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2.xml" ContentType="application/vnd.openxmlformats-officedocument.spreadsheetml.table+xml"/>
  <Override PartName="/xl/pivotTables/pivotTable5.xml" ContentType="application/vnd.openxmlformats-officedocument.spreadsheetml.pivotTable+xml"/>
  <Override PartName="/xl/tables/table3.xml" ContentType="application/vnd.openxmlformats-officedocument.spreadsheetml.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Rafael Valdés\Documents\PSAH\BALANCE PSAH\"/>
    </mc:Choice>
  </mc:AlternateContent>
  <xr:revisionPtr revIDLastSave="0" documentId="13_ncr:1_{B46B1125-1217-4A1A-AE85-6128AB3D5ACD}" xr6:coauthVersionLast="47" xr6:coauthVersionMax="47" xr10:uidLastSave="{00000000-0000-0000-0000-000000000000}"/>
  <bookViews>
    <workbookView xWindow="-109" yWindow="-109" windowWidth="18775" windowHeight="10067" tabRatio="1000" firstSheet="12" activeTab="20" xr2:uid="{00000000-000D-0000-FFFF-FFFF00000000}"/>
  </bookViews>
  <sheets>
    <sheet name="Resultado Admin." sheetId="10" r:id="rId1"/>
    <sheet name="Balance mensual administracion" sheetId="11" r:id="rId2"/>
    <sheet name="Blce Admin mensual" sheetId="19" r:id="rId3"/>
    <sheet name="Conciliación Adm." sheetId="26" r:id="rId4"/>
    <sheet name="Diario Adm" sheetId="166" r:id="rId5"/>
    <sheet name="Modelo Centralización" sheetId="163" state="hidden" r:id="rId6"/>
    <sheet name="Honorarios2021" sheetId="174" r:id="rId7"/>
    <sheet name="Honorarios Terceros" sheetId="172" r:id="rId8"/>
    <sheet name="Relac.Adm" sheetId="193" r:id="rId9"/>
    <sheet name="Relac.Cali" sheetId="192" r:id="rId10"/>
    <sheet name="TD Cali (2)" sheetId="212" r:id="rId11"/>
    <sheet name="Bce Tributario" sheetId="22" r:id="rId12"/>
    <sheet name="Control EP" sheetId="228" r:id="rId13"/>
    <sheet name="224" sheetId="225" r:id="rId14"/>
    <sheet name="TD Adm" sheetId="168" r:id="rId15"/>
    <sheet name="Hoja6" sheetId="226" r:id="rId16"/>
    <sheet name="TD Cali" sheetId="170" r:id="rId17"/>
    <sheet name="Plan" sheetId="24" r:id="rId18"/>
    <sheet name="Libro De Compras 2021" sheetId="76" r:id="rId19"/>
    <sheet name="Proveedores" sheetId="194" r:id="rId20"/>
    <sheet name="Diario Cali" sheetId="167" r:id="rId21"/>
    <sheet name="Conciliación Chile Cali" sheetId="25" r:id="rId22"/>
    <sheet name="Conciliación Security Cali" sheetId="74" r:id="rId23"/>
    <sheet name="Conciliación Santander Cali" sheetId="197" r:id="rId24"/>
    <sheet name="Resultado Cali" sheetId="8" r:id="rId25"/>
    <sheet name="Balance mensual CALI" sheetId="20" r:id="rId26"/>
    <sheet name="Blce CALI mensual" sheetId="18" r:id="rId27"/>
    <sheet name="Modelos" sheetId="78" state="hidden" r:id="rId28"/>
    <sheet name="3ros" sheetId="66" state="hidden" r:id="rId29"/>
    <sheet name="Anticipo y Retenciones" sheetId="137" state="hidden" r:id="rId30"/>
    <sheet name="Resultado Consolidado" sheetId="12" r:id="rId31"/>
    <sheet name="Blce Consolidado" sheetId="14" r:id="rId32"/>
    <sheet name="Analisis Adm." sheetId="17" state="hidden" r:id="rId33"/>
    <sheet name="Analisis Cali" sheetId="16" state="hidden" r:id="rId34"/>
    <sheet name="Analisis Consolidado" sheetId="15" state="hidden" r:id="rId35"/>
    <sheet name="Costos Activados" sheetId="72" state="hidden" r:id="rId36"/>
    <sheet name="Inversiones" sheetId="43" r:id="rId37"/>
    <sheet name="Pablo Cerda" sheetId="161" r:id="rId38"/>
  </sheets>
  <externalReferences>
    <externalReference r:id="rId39"/>
    <externalReference r:id="rId40"/>
  </externalReferences>
  <definedNames>
    <definedName name="_xlnm._FilterDatabase" localSheetId="11" hidden="1">'Bce Tributario'!$A$8:$K$196</definedName>
    <definedName name="_xlnm._FilterDatabase" localSheetId="4" hidden="1">'Diario Adm'!$A$1:$I$9323</definedName>
    <definedName name="_xlnm._FilterDatabase" localSheetId="20" hidden="1">'Diario Cali'!$A$1:$N$10758</definedName>
    <definedName name="_xlnm._FilterDatabase" localSheetId="0" hidden="1">'Resultado Admin.'!$P$5:$P$105</definedName>
    <definedName name="_xlnm._FilterDatabase" localSheetId="24" hidden="1">'Resultado Cali'!$P$6:$P$42</definedName>
    <definedName name="_xlnm._FilterDatabase" localSheetId="30" hidden="1">'Resultado Consolidado'!$P$3:$P$135</definedName>
    <definedName name="_xlnm.Print_Area" localSheetId="32">'Analisis Adm.'!$A$1:$E$35</definedName>
    <definedName name="_xlnm.Print_Area" localSheetId="1">'Balance mensual administracion'!$A$1:$N$63</definedName>
    <definedName name="_xlnm.Print_Area" localSheetId="25">'Balance mensual CALI'!$A$1:$N$67</definedName>
    <definedName name="_xlnm.Print_Area" localSheetId="23">#REF!</definedName>
    <definedName name="_xlnm.Print_Area" localSheetId="17">Plan!$A$68:$C$245</definedName>
    <definedName name="_xlnm.Print_Area" localSheetId="0">'Resultado Admin.'!$A$1:$P$106</definedName>
    <definedName name="_xlnm.Print_Area" localSheetId="24">'Resultado Cali'!$A$1:$P$43</definedName>
    <definedName name="_xlnm.Print_Area">#REF!</definedName>
    <definedName name="_xlnm.Print_Titles" localSheetId="11">'Bce Tributario'!$1:$8</definedName>
    <definedName name="_xlnm.Print_Titles" localSheetId="0">'Resultado Admin.'!$5:$5</definedName>
  </definedNames>
  <calcPr calcId="181029"/>
  <pivotCaches>
    <pivotCache cacheId="0" r:id="rId41"/>
    <pivotCache cacheId="1" r:id="rId42"/>
    <pivotCache cacheId="2" r:id="rId4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29" i="167" l="1"/>
  <c r="E6428" i="167"/>
  <c r="G6427" i="167"/>
  <c r="D6429" i="167"/>
  <c r="H6428" i="167"/>
  <c r="H6429" i="167" s="1"/>
  <c r="D6428" i="167"/>
  <c r="A6428" i="167"/>
  <c r="A6429" i="167" s="1"/>
  <c r="D6427" i="167"/>
  <c r="B6427" i="167"/>
  <c r="B6428" i="167" s="1"/>
  <c r="B6429" i="167" s="1"/>
  <c r="G7231" i="166"/>
  <c r="E7231" i="166" s="1"/>
  <c r="D7231" i="166"/>
  <c r="A7231" i="166"/>
  <c r="B7231" i="166" s="1"/>
  <c r="G7230" i="166"/>
  <c r="E7230" i="166"/>
  <c r="D7230" i="166"/>
  <c r="B7230" i="166"/>
  <c r="A7230" i="166"/>
  <c r="H7229" i="166"/>
  <c r="G7229" i="166"/>
  <c r="E7229" i="166" s="1"/>
  <c r="D7229" i="166"/>
  <c r="G7228" i="166"/>
  <c r="E7228" i="166"/>
  <c r="D7228" i="166"/>
  <c r="A7228" i="166"/>
  <c r="A7229" i="166" s="1"/>
  <c r="B7229" i="166" s="1"/>
  <c r="H7226" i="166"/>
  <c r="D7226" i="166"/>
  <c r="G7225" i="166"/>
  <c r="D7225" i="166"/>
  <c r="A7225" i="166"/>
  <c r="A7226" i="166" s="1"/>
  <c r="B7226" i="166" s="1"/>
  <c r="E6427" i="167" l="1"/>
  <c r="B7228" i="166"/>
  <c r="B7225" i="166"/>
  <c r="B19" i="10"/>
  <c r="H7224" i="166"/>
  <c r="G7224" i="166"/>
  <c r="E7224" i="166" s="1"/>
  <c r="D7224" i="166"/>
  <c r="G7223" i="166"/>
  <c r="E7223" i="166"/>
  <c r="D7223" i="166"/>
  <c r="H7222" i="166"/>
  <c r="G7222" i="166"/>
  <c r="E7222" i="166" s="1"/>
  <c r="D7222" i="166"/>
  <c r="G7221" i="166"/>
  <c r="E7221" i="166" s="1"/>
  <c r="D7221" i="166"/>
  <c r="H7220" i="166"/>
  <c r="G7220" i="166"/>
  <c r="E7220" i="166" s="1"/>
  <c r="D7220" i="166"/>
  <c r="G7219" i="166"/>
  <c r="E7219" i="166" s="1"/>
  <c r="D7219" i="166"/>
  <c r="G24" i="167"/>
  <c r="F2" i="167"/>
  <c r="G6415" i="167"/>
  <c r="E6416" i="167"/>
  <c r="D6416" i="167"/>
  <c r="G7217" i="166" l="1"/>
  <c r="E7217" i="166" s="1"/>
  <c r="H7217" i="166"/>
  <c r="G7216" i="166"/>
  <c r="E7216" i="166" s="1"/>
  <c r="D7217" i="166"/>
  <c r="D7216" i="166"/>
  <c r="G7215" i="166"/>
  <c r="E7215" i="166" s="1"/>
  <c r="H7215" i="166"/>
  <c r="D7215" i="166"/>
  <c r="A7215" i="166"/>
  <c r="A7216" i="166" s="1"/>
  <c r="A7217" i="166" s="1"/>
  <c r="E7214" i="166"/>
  <c r="D7214" i="166"/>
  <c r="B7214" i="166"/>
  <c r="F19" i="166"/>
  <c r="H6425" i="167"/>
  <c r="E6425" i="167"/>
  <c r="D6425" i="167"/>
  <c r="A6425" i="167"/>
  <c r="E6424" i="167"/>
  <c r="D6424" i="167"/>
  <c r="B6424" i="167"/>
  <c r="B6425" i="167" s="1"/>
  <c r="E7212" i="166"/>
  <c r="D7212" i="166"/>
  <c r="E7211" i="166"/>
  <c r="D7211" i="166"/>
  <c r="E7210" i="166"/>
  <c r="D7210" i="166"/>
  <c r="H7209" i="166"/>
  <c r="H7210" i="166" s="1"/>
  <c r="H7211" i="166" s="1"/>
  <c r="H7212" i="166" s="1"/>
  <c r="E7209" i="166"/>
  <c r="D7209" i="166"/>
  <c r="A7209" i="166"/>
  <c r="B7209" i="166" s="1"/>
  <c r="E7208" i="166"/>
  <c r="D7208" i="166"/>
  <c r="B7208" i="166"/>
  <c r="E6418" i="167"/>
  <c r="H6422" i="167"/>
  <c r="G6422" i="167"/>
  <c r="E6422" i="167" s="1"/>
  <c r="D6422" i="167"/>
  <c r="A6422" i="167"/>
  <c r="E6421" i="167"/>
  <c r="D6421" i="167"/>
  <c r="B6421" i="167"/>
  <c r="B6422" i="167" s="1"/>
  <c r="B6418" i="167"/>
  <c r="B6419" i="167" s="1"/>
  <c r="G6419" i="167"/>
  <c r="E6419" i="167" s="1"/>
  <c r="D6419" i="167"/>
  <c r="H6419" i="167"/>
  <c r="D6418" i="167"/>
  <c r="A6419" i="167"/>
  <c r="J11" i="228"/>
  <c r="K11" i="228"/>
  <c r="J12" i="228"/>
  <c r="K12" i="228"/>
  <c r="J13" i="228"/>
  <c r="K13" i="228"/>
  <c r="J14" i="228"/>
  <c r="K14" i="228"/>
  <c r="J15" i="228"/>
  <c r="K15" i="228"/>
  <c r="J16" i="228"/>
  <c r="K16" i="228"/>
  <c r="J17" i="228"/>
  <c r="K17" i="228"/>
  <c r="J18" i="228"/>
  <c r="K18" i="228"/>
  <c r="J19" i="228"/>
  <c r="K19" i="228"/>
  <c r="J20" i="228"/>
  <c r="K20" i="228"/>
  <c r="J21" i="228"/>
  <c r="K21" i="228"/>
  <c r="K10" i="228"/>
  <c r="J10" i="228"/>
  <c r="E25" i="228"/>
  <c r="E24" i="228"/>
  <c r="F23" i="228"/>
  <c r="F25" i="228" s="1"/>
  <c r="E23" i="228"/>
  <c r="I125" i="174"/>
  <c r="I119" i="174"/>
  <c r="I124" i="174" s="1"/>
  <c r="I123" i="174"/>
  <c r="H7144" i="166"/>
  <c r="E7144" i="166"/>
  <c r="D7144" i="166"/>
  <c r="B7144" i="166"/>
  <c r="I120" i="174"/>
  <c r="K73" i="172" s="1"/>
  <c r="K74" i="172" s="1"/>
  <c r="D64" i="22"/>
  <c r="C64" i="22"/>
  <c r="E6415" i="167"/>
  <c r="D6415" i="167"/>
  <c r="E6414" i="167"/>
  <c r="D6414" i="167"/>
  <c r="H6413" i="167"/>
  <c r="H6414" i="167" s="1"/>
  <c r="H6415" i="167" s="1"/>
  <c r="H6416" i="167" s="1"/>
  <c r="E6413" i="167"/>
  <c r="D6413" i="167"/>
  <c r="E6412" i="167"/>
  <c r="D6412" i="167"/>
  <c r="G6342" i="167"/>
  <c r="F6343" i="167"/>
  <c r="F6326" i="167"/>
  <c r="F6325" i="167"/>
  <c r="F6324" i="167"/>
  <c r="F6323" i="167"/>
  <c r="F921" i="166"/>
  <c r="E922" i="166"/>
  <c r="D922" i="166"/>
  <c r="B922" i="166"/>
  <c r="H7048" i="166"/>
  <c r="G7048" i="166"/>
  <c r="E7048" i="166" s="1"/>
  <c r="D7048" i="166"/>
  <c r="A7048" i="166"/>
  <c r="B7048" i="166" s="1"/>
  <c r="E7047" i="166"/>
  <c r="D7047" i="166"/>
  <c r="B7047" i="166"/>
  <c r="C60" i="22"/>
  <c r="H5803" i="167"/>
  <c r="G5803" i="167"/>
  <c r="E5803" i="167" s="1"/>
  <c r="D5803" i="167"/>
  <c r="E5802" i="167"/>
  <c r="D5802" i="167"/>
  <c r="G5800" i="167"/>
  <c r="E5800" i="167" s="1"/>
  <c r="D5800" i="167"/>
  <c r="E5799" i="167"/>
  <c r="D5799" i="167"/>
  <c r="G5797" i="167"/>
  <c r="E5797" i="167" s="1"/>
  <c r="D5797" i="167"/>
  <c r="E5796" i="167"/>
  <c r="D5796" i="167"/>
  <c r="G5794" i="167"/>
  <c r="E5794" i="167" s="1"/>
  <c r="D5794" i="167"/>
  <c r="E5793" i="167"/>
  <c r="D5793" i="167"/>
  <c r="A5793" i="167"/>
  <c r="A5794" i="167" s="1"/>
  <c r="H6410" i="167"/>
  <c r="G6410" i="167"/>
  <c r="E6410" i="167" s="1"/>
  <c r="D6410" i="167"/>
  <c r="E6409" i="167"/>
  <c r="D6409" i="167"/>
  <c r="G6407" i="167"/>
  <c r="E6407" i="167" s="1"/>
  <c r="D6407" i="167"/>
  <c r="E6406" i="167"/>
  <c r="D6406" i="167"/>
  <c r="G6404" i="167"/>
  <c r="E6404" i="167" s="1"/>
  <c r="D6404" i="167"/>
  <c r="E6403" i="167"/>
  <c r="D6403" i="167"/>
  <c r="G6401" i="167"/>
  <c r="E6401" i="167" s="1"/>
  <c r="D6401" i="167"/>
  <c r="E6400" i="167"/>
  <c r="D6400" i="167"/>
  <c r="B7217" i="166" l="1"/>
  <c r="A7219" i="166"/>
  <c r="B7215" i="166"/>
  <c r="B7216" i="166"/>
  <c r="A7210" i="166"/>
  <c r="A7211" i="166" s="1"/>
  <c r="A5796" i="167"/>
  <c r="A5799" i="167" s="1"/>
  <c r="A5802" i="167" s="1"/>
  <c r="A5803" i="167" s="1"/>
  <c r="A7220" i="166" l="1"/>
  <c r="B7220" i="166" s="1"/>
  <c r="A7221" i="166"/>
  <c r="B7219" i="166"/>
  <c r="B7210" i="166"/>
  <c r="B7211" i="166"/>
  <c r="A7212" i="166"/>
  <c r="B7212" i="166" s="1"/>
  <c r="A5800" i="167"/>
  <c r="A5797" i="167"/>
  <c r="B41" i="12"/>
  <c r="C56" i="20"/>
  <c r="D56" i="20" s="1"/>
  <c r="E56" i="20" s="1"/>
  <c r="F56" i="20" s="1"/>
  <c r="G56" i="20" s="1"/>
  <c r="H56" i="20" s="1"/>
  <c r="I56" i="20" s="1"/>
  <c r="J56" i="20" s="1"/>
  <c r="K56" i="20" s="1"/>
  <c r="L56" i="20" s="1"/>
  <c r="M56" i="20" s="1"/>
  <c r="N56" i="20" s="1"/>
  <c r="B56" i="20"/>
  <c r="E7206" i="166"/>
  <c r="D7206" i="166"/>
  <c r="A7206" i="166"/>
  <c r="B7206" i="166" s="1"/>
  <c r="E7205" i="166"/>
  <c r="D7205" i="166"/>
  <c r="B7205" i="166"/>
  <c r="E7204" i="166"/>
  <c r="D7204" i="166"/>
  <c r="A7204" i="166"/>
  <c r="B7204" i="166" s="1"/>
  <c r="E7203" i="166"/>
  <c r="D7203" i="166"/>
  <c r="B7203" i="166"/>
  <c r="E7202" i="166"/>
  <c r="D7202" i="166"/>
  <c r="A7202" i="166"/>
  <c r="B7202" i="166" s="1"/>
  <c r="E7201" i="166"/>
  <c r="D7201" i="166"/>
  <c r="B7201" i="166"/>
  <c r="H7199" i="166"/>
  <c r="G7199" i="166"/>
  <c r="E7199" i="166" s="1"/>
  <c r="D7199" i="166"/>
  <c r="A7199" i="166"/>
  <c r="B7199" i="166" s="1"/>
  <c r="E7198" i="166"/>
  <c r="D7198" i="166"/>
  <c r="B7198" i="166"/>
  <c r="G5925" i="167"/>
  <c r="E5925" i="167" s="1"/>
  <c r="D5925" i="167"/>
  <c r="G6116" i="167"/>
  <c r="E6116" i="167" s="1"/>
  <c r="D6116" i="167"/>
  <c r="G6112" i="167"/>
  <c r="E6112" i="167" s="1"/>
  <c r="D6112" i="167"/>
  <c r="G6124" i="167"/>
  <c r="E6124" i="167" s="1"/>
  <c r="D6124" i="167"/>
  <c r="G5849" i="167"/>
  <c r="E5849" i="167" s="1"/>
  <c r="D5849" i="167"/>
  <c r="G6080" i="167"/>
  <c r="E6080" i="167" s="1"/>
  <c r="D6080" i="167"/>
  <c r="G6073" i="167"/>
  <c r="E6073" i="167" s="1"/>
  <c r="D6073" i="167"/>
  <c r="G6084" i="167"/>
  <c r="E6084" i="167" s="1"/>
  <c r="D6084" i="167"/>
  <c r="E6398" i="167"/>
  <c r="D6398" i="167"/>
  <c r="E6397" i="167"/>
  <c r="D6397" i="167"/>
  <c r="E6396" i="167"/>
  <c r="D6396" i="167"/>
  <c r="E6395" i="167"/>
  <c r="D6395" i="167"/>
  <c r="E6394" i="167"/>
  <c r="D6394" i="167"/>
  <c r="E6393" i="167"/>
  <c r="D6393" i="167"/>
  <c r="E6392" i="167"/>
  <c r="D6392" i="167"/>
  <c r="E6391" i="167"/>
  <c r="D6391" i="167"/>
  <c r="G6120" i="167"/>
  <c r="E6120" i="167" s="1"/>
  <c r="D6120" i="167"/>
  <c r="A7223" i="166" l="1"/>
  <c r="A7222" i="166"/>
  <c r="B7222" i="166" s="1"/>
  <c r="B7221" i="166"/>
  <c r="E6390" i="167"/>
  <c r="D6390" i="167"/>
  <c r="E6389" i="167"/>
  <c r="D6389" i="167"/>
  <c r="E6388" i="167"/>
  <c r="D6388" i="167"/>
  <c r="E6387" i="167"/>
  <c r="D6387" i="167"/>
  <c r="E6386" i="167"/>
  <c r="D6386" i="167"/>
  <c r="E6385" i="167"/>
  <c r="D6385" i="167"/>
  <c r="E6384" i="167"/>
  <c r="D6384" i="167"/>
  <c r="E6383" i="167"/>
  <c r="D6383" i="167"/>
  <c r="E6382" i="167"/>
  <c r="D6382" i="167"/>
  <c r="E6381" i="167"/>
  <c r="D6381" i="167"/>
  <c r="E6380" i="167"/>
  <c r="D6380" i="167"/>
  <c r="E6379" i="167"/>
  <c r="D6379" i="167"/>
  <c r="E6378" i="167"/>
  <c r="D6378" i="167"/>
  <c r="E6377" i="167"/>
  <c r="D6377" i="167"/>
  <c r="E6376" i="167"/>
  <c r="D6376" i="167"/>
  <c r="E6375" i="167"/>
  <c r="D6375" i="167"/>
  <c r="E6374" i="167"/>
  <c r="D6374" i="167"/>
  <c r="E6373" i="167"/>
  <c r="D6373" i="167"/>
  <c r="E6372" i="167"/>
  <c r="D6372" i="167"/>
  <c r="E6371" i="167"/>
  <c r="D6371" i="167"/>
  <c r="E6370" i="167"/>
  <c r="D6370" i="167"/>
  <c r="E6369" i="167"/>
  <c r="D6369" i="167"/>
  <c r="E6368" i="167"/>
  <c r="D6368" i="167"/>
  <c r="D6367" i="167"/>
  <c r="D6366" i="167"/>
  <c r="D6365" i="167"/>
  <c r="D6364" i="167"/>
  <c r="D6363" i="167"/>
  <c r="D6362" i="167"/>
  <c r="D6361" i="167"/>
  <c r="D6360" i="167"/>
  <c r="D6359" i="167"/>
  <c r="D6358" i="167"/>
  <c r="D6357" i="167"/>
  <c r="D6356" i="167"/>
  <c r="D6355" i="167"/>
  <c r="D6354" i="167"/>
  <c r="D6353" i="167"/>
  <c r="D6352" i="167"/>
  <c r="D6351" i="167"/>
  <c r="D6350" i="167"/>
  <c r="D6349" i="167"/>
  <c r="D6348" i="167"/>
  <c r="D6347" i="167"/>
  <c r="D6346" i="167"/>
  <c r="A6346" i="167"/>
  <c r="B6346" i="167" s="1"/>
  <c r="D6345" i="167"/>
  <c r="B6345" i="167"/>
  <c r="A7224" i="166" l="1"/>
  <c r="B7224" i="166" s="1"/>
  <c r="B7223" i="166"/>
  <c r="A6347" i="167"/>
  <c r="A6348" i="167" s="1"/>
  <c r="B6348" i="167" s="1"/>
  <c r="H6318" i="167"/>
  <c r="H6319" i="167" s="1"/>
  <c r="H6320" i="167" s="1"/>
  <c r="H6321" i="167" s="1"/>
  <c r="H6322" i="167" s="1"/>
  <c r="H6323" i="167" s="1"/>
  <c r="H6324" i="167" s="1"/>
  <c r="H6325" i="167" s="1"/>
  <c r="H6326" i="167" s="1"/>
  <c r="H6327" i="167" s="1"/>
  <c r="H6328" i="167" s="1"/>
  <c r="H6329" i="167" s="1"/>
  <c r="H6330" i="167" s="1"/>
  <c r="H6331" i="167" s="1"/>
  <c r="H6332" i="167" s="1"/>
  <c r="H6333" i="167" s="1"/>
  <c r="H6334" i="167" s="1"/>
  <c r="H6335" i="167" s="1"/>
  <c r="H6336" i="167" s="1"/>
  <c r="H6337" i="167" s="1"/>
  <c r="H6338" i="167" s="1"/>
  <c r="H6339" i="167" s="1"/>
  <c r="H6340" i="167" s="1"/>
  <c r="H6341" i="167" s="1"/>
  <c r="H6342" i="167" s="1"/>
  <c r="H6343" i="167" s="1"/>
  <c r="E6325" i="167"/>
  <c r="E6324" i="167"/>
  <c r="E6326" i="167"/>
  <c r="E6336" i="167"/>
  <c r="D6343" i="167"/>
  <c r="D6342" i="167"/>
  <c r="D6341" i="167"/>
  <c r="D6340" i="167"/>
  <c r="D6339" i="167"/>
  <c r="D6338" i="167"/>
  <c r="D6337" i="167"/>
  <c r="D6336" i="167"/>
  <c r="E6335" i="167"/>
  <c r="D6335" i="167"/>
  <c r="D6334" i="167"/>
  <c r="E6333" i="167"/>
  <c r="D6333" i="167"/>
  <c r="D6332" i="167"/>
  <c r="D6331" i="167"/>
  <c r="D6330" i="167"/>
  <c r="D6329" i="167"/>
  <c r="D6328" i="167"/>
  <c r="D6327" i="167"/>
  <c r="D6326" i="167"/>
  <c r="D6325" i="167"/>
  <c r="D6324" i="167"/>
  <c r="D6323" i="167"/>
  <c r="D6322" i="167"/>
  <c r="E6321" i="167"/>
  <c r="D6321" i="167"/>
  <c r="D6320" i="167"/>
  <c r="E6319" i="167"/>
  <c r="D6319" i="167"/>
  <c r="A6319" i="167"/>
  <c r="B6319" i="167" s="1"/>
  <c r="E6318" i="167"/>
  <c r="D6318" i="167"/>
  <c r="A6318" i="167"/>
  <c r="B6318" i="167" s="1"/>
  <c r="D6317" i="167"/>
  <c r="B6317" i="167"/>
  <c r="B14" i="11"/>
  <c r="H490" i="166"/>
  <c r="A6350" i="167" l="1"/>
  <c r="A6351" i="167" s="1"/>
  <c r="B6347" i="167"/>
  <c r="A6349" i="167"/>
  <c r="B6349" i="167" s="1"/>
  <c r="E6334" i="167"/>
  <c r="E6317" i="167"/>
  <c r="E6320" i="167"/>
  <c r="E6322" i="167"/>
  <c r="E6338" i="167"/>
  <c r="E6332" i="167"/>
  <c r="E6330" i="167"/>
  <c r="A6320" i="167"/>
  <c r="A6321" i="167"/>
  <c r="A7186" i="166"/>
  <c r="B7186" i="166" s="1"/>
  <c r="H7196" i="166"/>
  <c r="G7196" i="166"/>
  <c r="E7196" i="166" s="1"/>
  <c r="D7196" i="166"/>
  <c r="A7196" i="166"/>
  <c r="B7196" i="166" s="1"/>
  <c r="E7195" i="166"/>
  <c r="D7195" i="166"/>
  <c r="B7195" i="166"/>
  <c r="H7193" i="166"/>
  <c r="G7193" i="166"/>
  <c r="E7193" i="166" s="1"/>
  <c r="D7193" i="166"/>
  <c r="A7193" i="166"/>
  <c r="B7193" i="166" s="1"/>
  <c r="E7192" i="166"/>
  <c r="D7192" i="166"/>
  <c r="B7192" i="166"/>
  <c r="F7188" i="166"/>
  <c r="E7188" i="166" s="1"/>
  <c r="E7190" i="166"/>
  <c r="D7190" i="166"/>
  <c r="H7189" i="166"/>
  <c r="H7190" i="166" s="1"/>
  <c r="E7189" i="166"/>
  <c r="D7189" i="166"/>
  <c r="A7189" i="166"/>
  <c r="A7190" i="166" s="1"/>
  <c r="B7190" i="166" s="1"/>
  <c r="D7188" i="166"/>
  <c r="B7188" i="166"/>
  <c r="H7186" i="166"/>
  <c r="G7186" i="166"/>
  <c r="E7186" i="166" s="1"/>
  <c r="D7186" i="166"/>
  <c r="E7185" i="166"/>
  <c r="D7185" i="166"/>
  <c r="B7185" i="166"/>
  <c r="H7183" i="166"/>
  <c r="G7183" i="166"/>
  <c r="E7183" i="166" s="1"/>
  <c r="D7183" i="166"/>
  <c r="A7183" i="166"/>
  <c r="B7183" i="166" s="1"/>
  <c r="E7182" i="166"/>
  <c r="D7182" i="166"/>
  <c r="B7182" i="166"/>
  <c r="H7180" i="166"/>
  <c r="G7180" i="166"/>
  <c r="E7180" i="166" s="1"/>
  <c r="D7180" i="166"/>
  <c r="A7180" i="166"/>
  <c r="B7180" i="166" s="1"/>
  <c r="E7179" i="166"/>
  <c r="D7179" i="166"/>
  <c r="B7179" i="166"/>
  <c r="H7177" i="166"/>
  <c r="G7177" i="166"/>
  <c r="E7177" i="166" s="1"/>
  <c r="D7177" i="166"/>
  <c r="A7177" i="166"/>
  <c r="B7177" i="166" s="1"/>
  <c r="E7176" i="166"/>
  <c r="D7176" i="166"/>
  <c r="B7176" i="166"/>
  <c r="H7174" i="166"/>
  <c r="G7174" i="166"/>
  <c r="E7174" i="166" s="1"/>
  <c r="D7174" i="166"/>
  <c r="E7173" i="166"/>
  <c r="D7173" i="166"/>
  <c r="B7173" i="166"/>
  <c r="A7174" i="166"/>
  <c r="B7174" i="166" s="1"/>
  <c r="B6350" i="167" l="1"/>
  <c r="A6352" i="167"/>
  <c r="A6354" i="167" s="1"/>
  <c r="B6351" i="167"/>
  <c r="A6353" i="167"/>
  <c r="E6339" i="167"/>
  <c r="E6343" i="167"/>
  <c r="E6342" i="167"/>
  <c r="E6341" i="167"/>
  <c r="E6328" i="167"/>
  <c r="E6327" i="167"/>
  <c r="E6323" i="167"/>
  <c r="B6321" i="167"/>
  <c r="A6323" i="167"/>
  <c r="B6320" i="167"/>
  <c r="A6322" i="167"/>
  <c r="B6322" i="167" s="1"/>
  <c r="B7189" i="166"/>
  <c r="H7171" i="166"/>
  <c r="G7171" i="166"/>
  <c r="E7171" i="166" s="1"/>
  <c r="D7171" i="166"/>
  <c r="E7170" i="166"/>
  <c r="D7170" i="166"/>
  <c r="H7168" i="166"/>
  <c r="G7168" i="166"/>
  <c r="E7168" i="166" s="1"/>
  <c r="D7168" i="166"/>
  <c r="E7167" i="166"/>
  <c r="D7167" i="166"/>
  <c r="H7165" i="166"/>
  <c r="G7165" i="166"/>
  <c r="E7165" i="166" s="1"/>
  <c r="D7165" i="166"/>
  <c r="E7164" i="166"/>
  <c r="D7164" i="166"/>
  <c r="H7162" i="166"/>
  <c r="G7162" i="166"/>
  <c r="E7162" i="166" s="1"/>
  <c r="D7162" i="166"/>
  <c r="E7161" i="166"/>
  <c r="D7161" i="166"/>
  <c r="H7159" i="166"/>
  <c r="G7159" i="166"/>
  <c r="E7159" i="166" s="1"/>
  <c r="D7159" i="166"/>
  <c r="E7158" i="166"/>
  <c r="D7158" i="166"/>
  <c r="E7156" i="166"/>
  <c r="E7153" i="166"/>
  <c r="D7156" i="166"/>
  <c r="E7155" i="166"/>
  <c r="D7155" i="166"/>
  <c r="E7154" i="166"/>
  <c r="D7154" i="166"/>
  <c r="D7153" i="166"/>
  <c r="E7152" i="166"/>
  <c r="D7152" i="166"/>
  <c r="E7151" i="166"/>
  <c r="D7151" i="166"/>
  <c r="A7151" i="166"/>
  <c r="A7152" i="166" s="1"/>
  <c r="A7153" i="166" s="1"/>
  <c r="A7154" i="166" s="1"/>
  <c r="A7155" i="166" s="1"/>
  <c r="A7156" i="166" s="1"/>
  <c r="A7158" i="166" s="1"/>
  <c r="B7158" i="166" s="1"/>
  <c r="E7150" i="166"/>
  <c r="D7150" i="166"/>
  <c r="B7150" i="166"/>
  <c r="B7151" i="166" s="1"/>
  <c r="B7152" i="166" s="1"/>
  <c r="B7153" i="166" s="1"/>
  <c r="B7154" i="166" s="1"/>
  <c r="B7155" i="166" s="1"/>
  <c r="B7156" i="166" s="1"/>
  <c r="B6352" i="167" l="1"/>
  <c r="B6353" i="167"/>
  <c r="A6355" i="167"/>
  <c r="B6354" i="167"/>
  <c r="A6356" i="167"/>
  <c r="E6340" i="167"/>
  <c r="E6337" i="167"/>
  <c r="E6329" i="167"/>
  <c r="E6331" i="167"/>
  <c r="B6323" i="167"/>
  <c r="A6324" i="167"/>
  <c r="A7159" i="166"/>
  <c r="A6358" i="167" l="1"/>
  <c r="B6356" i="167"/>
  <c r="B6355" i="167"/>
  <c r="A6357" i="167"/>
  <c r="B6357" i="167" s="1"/>
  <c r="B6324" i="167"/>
  <c r="A6326" i="167"/>
  <c r="A6325" i="167"/>
  <c r="B6325" i="167" s="1"/>
  <c r="B7159" i="166"/>
  <c r="A7161" i="166"/>
  <c r="A6360" i="167" l="1"/>
  <c r="B6358" i="167"/>
  <c r="A6359" i="167"/>
  <c r="B6326" i="167"/>
  <c r="A6327" i="167"/>
  <c r="A7164" i="166"/>
  <c r="B7161" i="166"/>
  <c r="A7162" i="166"/>
  <c r="B7162" i="166" s="1"/>
  <c r="B6359" i="167" l="1"/>
  <c r="A6361" i="167"/>
  <c r="B6360" i="167"/>
  <c r="A6362" i="167"/>
  <c r="B6327" i="167"/>
  <c r="A6328" i="167"/>
  <c r="B7164" i="166"/>
  <c r="A7165" i="166"/>
  <c r="B6362" i="167" l="1"/>
  <c r="A6364" i="167"/>
  <c r="B6361" i="167"/>
  <c r="A6363" i="167"/>
  <c r="B6328" i="167"/>
  <c r="A6329" i="167"/>
  <c r="B7165" i="166"/>
  <c r="A7167" i="166"/>
  <c r="B6363" i="167" l="1"/>
  <c r="A6365" i="167"/>
  <c r="B6364" i="167"/>
  <c r="A6366" i="167"/>
  <c r="B6329" i="167"/>
  <c r="A6330" i="167"/>
  <c r="B7167" i="166"/>
  <c r="A7168" i="166"/>
  <c r="A6367" i="167" l="1"/>
  <c r="B6365" i="167"/>
  <c r="A6368" i="167"/>
  <c r="B6368" i="167" s="1"/>
  <c r="B6366" i="167"/>
  <c r="B6330" i="167"/>
  <c r="A6331" i="167"/>
  <c r="A7170" i="166"/>
  <c r="B7168" i="166"/>
  <c r="B6367" i="167" l="1"/>
  <c r="A6369" i="167"/>
  <c r="B6331" i="167"/>
  <c r="A6332" i="167"/>
  <c r="B7170" i="166"/>
  <c r="A7171" i="166"/>
  <c r="B7171" i="166" s="1"/>
  <c r="A6370" i="167" l="1"/>
  <c r="A6371" i="167" s="1"/>
  <c r="A6372" i="167" s="1"/>
  <c r="B6369" i="167"/>
  <c r="B6332" i="167"/>
  <c r="A6333" i="167"/>
  <c r="H7148" i="166"/>
  <c r="G7148" i="166"/>
  <c r="E7148" i="166" s="1"/>
  <c r="D7148" i="166"/>
  <c r="A7148" i="166"/>
  <c r="B7148" i="166" s="1"/>
  <c r="E7147" i="166"/>
  <c r="D7147" i="166"/>
  <c r="B7147" i="166"/>
  <c r="H7145" i="166"/>
  <c r="D7145" i="166"/>
  <c r="A7145" i="166"/>
  <c r="B7145" i="166" s="1"/>
  <c r="D7143" i="166"/>
  <c r="B7143" i="166"/>
  <c r="E7141" i="166"/>
  <c r="D7141" i="166"/>
  <c r="A7141" i="166"/>
  <c r="B7141" i="166" s="1"/>
  <c r="I7140" i="166"/>
  <c r="H7140" i="166"/>
  <c r="H7141" i="166" s="1"/>
  <c r="E7140" i="166"/>
  <c r="D7140" i="166"/>
  <c r="A7140" i="166"/>
  <c r="B7140" i="166" s="1"/>
  <c r="F7139" i="166"/>
  <c r="E7139" i="166" s="1"/>
  <c r="D7139" i="166"/>
  <c r="B7139" i="166"/>
  <c r="D7137" i="166"/>
  <c r="D7136" i="166"/>
  <c r="D7135" i="166"/>
  <c r="D7133" i="166"/>
  <c r="D7132" i="166"/>
  <c r="D7131" i="166"/>
  <c r="D7129" i="166"/>
  <c r="D7128" i="166"/>
  <c r="D7126" i="166"/>
  <c r="D7125" i="166"/>
  <c r="D7123" i="166"/>
  <c r="D7122" i="166"/>
  <c r="D7120" i="166"/>
  <c r="D7119" i="166"/>
  <c r="D7117" i="166"/>
  <c r="D7116" i="166"/>
  <c r="D7114" i="166"/>
  <c r="D7113" i="166"/>
  <c r="D7111" i="166"/>
  <c r="D7110" i="166"/>
  <c r="D7108" i="166"/>
  <c r="D7107" i="166"/>
  <c r="D7105" i="166"/>
  <c r="D7104" i="166"/>
  <c r="D7102" i="166"/>
  <c r="D7101" i="166"/>
  <c r="D7099" i="166"/>
  <c r="D7098" i="166"/>
  <c r="D7096" i="166"/>
  <c r="D7095" i="166"/>
  <c r="D7093" i="166"/>
  <c r="D7092" i="166"/>
  <c r="D7090" i="166"/>
  <c r="D7089" i="166"/>
  <c r="D7087" i="166"/>
  <c r="D7086" i="166"/>
  <c r="D7084" i="166"/>
  <c r="D7083" i="166"/>
  <c r="D7081" i="166"/>
  <c r="D7080" i="166"/>
  <c r="D7078" i="166"/>
  <c r="D7077" i="166"/>
  <c r="D7075" i="166"/>
  <c r="D7074" i="166"/>
  <c r="D7072" i="166"/>
  <c r="D7071" i="166"/>
  <c r="D7069" i="166"/>
  <c r="D7068" i="166"/>
  <c r="D7066" i="166"/>
  <c r="D7065" i="166"/>
  <c r="D7063" i="166"/>
  <c r="D7062" i="166"/>
  <c r="D7060" i="166"/>
  <c r="D7059" i="166"/>
  <c r="D7057" i="166"/>
  <c r="D7056" i="166"/>
  <c r="D7054" i="166"/>
  <c r="D7053" i="166"/>
  <c r="D7051" i="166"/>
  <c r="D7050" i="166"/>
  <c r="D7045" i="166"/>
  <c r="D7044" i="166"/>
  <c r="D7042" i="166"/>
  <c r="D7041" i="166"/>
  <c r="D7040" i="166"/>
  <c r="D7038" i="166"/>
  <c r="D7037" i="166"/>
  <c r="D7035" i="166"/>
  <c r="D7034" i="166"/>
  <c r="D7032" i="166"/>
  <c r="D7031" i="166"/>
  <c r="D7029" i="166"/>
  <c r="D7028" i="166"/>
  <c r="D7026" i="166"/>
  <c r="D7025" i="166"/>
  <c r="D7023" i="166"/>
  <c r="D7022" i="166"/>
  <c r="D7020" i="166"/>
  <c r="D7019" i="166"/>
  <c r="D7017" i="166"/>
  <c r="D7016" i="166"/>
  <c r="D7014" i="166"/>
  <c r="D7013" i="166"/>
  <c r="D7011" i="166"/>
  <c r="D7010" i="166"/>
  <c r="D7008" i="166"/>
  <c r="D7007" i="166"/>
  <c r="D7005" i="166"/>
  <c r="D7004" i="166"/>
  <c r="D7002" i="166"/>
  <c r="D7001" i="166"/>
  <c r="D6999" i="166"/>
  <c r="D6998" i="166"/>
  <c r="D6996" i="166"/>
  <c r="D6995" i="166"/>
  <c r="D6993" i="166"/>
  <c r="D6992" i="166"/>
  <c r="D6990" i="166"/>
  <c r="D6989" i="166"/>
  <c r="D6987" i="166"/>
  <c r="D6986" i="166"/>
  <c r="D6984" i="166"/>
  <c r="D6983" i="166"/>
  <c r="D6981" i="166"/>
  <c r="D6980" i="166"/>
  <c r="D6978" i="166"/>
  <c r="D6977" i="166"/>
  <c r="D6975" i="166"/>
  <c r="D6974" i="166"/>
  <c r="D6972" i="166"/>
  <c r="D6971" i="166"/>
  <c r="E7137" i="166"/>
  <c r="A7137" i="166"/>
  <c r="B7137" i="166" s="1"/>
  <c r="I7136" i="166"/>
  <c r="H7136" i="166"/>
  <c r="H7137" i="166" s="1"/>
  <c r="E7136" i="166"/>
  <c r="A7136" i="166"/>
  <c r="B7136" i="166" s="1"/>
  <c r="F7135" i="166"/>
  <c r="E7135" i="166" s="1"/>
  <c r="B7135" i="166"/>
  <c r="E7133" i="166"/>
  <c r="A7133" i="166"/>
  <c r="B7133" i="166" s="1"/>
  <c r="I7132" i="166"/>
  <c r="H7132" i="166"/>
  <c r="H7133" i="166" s="1"/>
  <c r="E7132" i="166"/>
  <c r="A7132" i="166"/>
  <c r="B7132" i="166" s="1"/>
  <c r="F7131" i="166"/>
  <c r="E7131" i="166" s="1"/>
  <c r="B7131" i="166"/>
  <c r="H7129" i="166"/>
  <c r="G7129" i="166"/>
  <c r="E7129" i="166" s="1"/>
  <c r="A7129" i="166"/>
  <c r="B7129" i="166" s="1"/>
  <c r="E7128" i="166"/>
  <c r="B7128" i="166"/>
  <c r="H7126" i="166"/>
  <c r="G7126" i="166"/>
  <c r="E7126" i="166" s="1"/>
  <c r="A7126" i="166"/>
  <c r="B7126" i="166" s="1"/>
  <c r="E7125" i="166"/>
  <c r="B7125" i="166"/>
  <c r="H7123" i="166"/>
  <c r="G7123" i="166"/>
  <c r="E7123" i="166" s="1"/>
  <c r="A7123" i="166"/>
  <c r="B7123" i="166" s="1"/>
  <c r="E7122" i="166"/>
  <c r="B7122" i="166"/>
  <c r="H7120" i="166"/>
  <c r="G7120" i="166"/>
  <c r="E7120" i="166" s="1"/>
  <c r="A7120" i="166"/>
  <c r="B7120" i="166" s="1"/>
  <c r="E7119" i="166"/>
  <c r="B7119" i="166"/>
  <c r="H7117" i="166"/>
  <c r="G7117" i="166"/>
  <c r="E7117" i="166" s="1"/>
  <c r="A7117" i="166"/>
  <c r="B7117" i="166" s="1"/>
  <c r="E7116" i="166"/>
  <c r="B7116" i="166"/>
  <c r="H7114" i="166"/>
  <c r="G7114" i="166"/>
  <c r="E7114" i="166" s="1"/>
  <c r="A7114" i="166"/>
  <c r="B7114" i="166" s="1"/>
  <c r="E7113" i="166"/>
  <c r="B7113" i="166"/>
  <c r="H7111" i="166"/>
  <c r="G7111" i="166"/>
  <c r="E7111" i="166" s="1"/>
  <c r="A7111" i="166"/>
  <c r="B7111" i="166" s="1"/>
  <c r="E7110" i="166"/>
  <c r="B7110" i="166"/>
  <c r="H7108" i="166"/>
  <c r="G7108" i="166"/>
  <c r="E7108" i="166" s="1"/>
  <c r="A7108" i="166"/>
  <c r="B7108" i="166" s="1"/>
  <c r="E7107" i="166"/>
  <c r="B7107" i="166"/>
  <c r="H7105" i="166"/>
  <c r="G7105" i="166"/>
  <c r="E7105" i="166" s="1"/>
  <c r="A7105" i="166"/>
  <c r="B7105" i="166" s="1"/>
  <c r="E7104" i="166"/>
  <c r="B7104" i="166"/>
  <c r="H7102" i="166"/>
  <c r="G7102" i="166"/>
  <c r="E7102" i="166" s="1"/>
  <c r="A7102" i="166"/>
  <c r="B7102" i="166" s="1"/>
  <c r="E7101" i="166"/>
  <c r="B7101" i="166"/>
  <c r="H7099" i="166"/>
  <c r="G7099" i="166"/>
  <c r="E7099" i="166" s="1"/>
  <c r="A7099" i="166"/>
  <c r="B7099" i="166" s="1"/>
  <c r="E7098" i="166"/>
  <c r="B7098" i="166"/>
  <c r="H7096" i="166"/>
  <c r="G7096" i="166"/>
  <c r="E7096" i="166" s="1"/>
  <c r="A7096" i="166"/>
  <c r="B7096" i="166" s="1"/>
  <c r="E7095" i="166"/>
  <c r="B7095" i="166"/>
  <c r="H7093" i="166"/>
  <c r="G7093" i="166"/>
  <c r="E7093" i="166" s="1"/>
  <c r="A7093" i="166"/>
  <c r="B7093" i="166" s="1"/>
  <c r="E7092" i="166"/>
  <c r="B7092" i="166"/>
  <c r="H7090" i="166"/>
  <c r="G7090" i="166"/>
  <c r="E7090" i="166" s="1"/>
  <c r="A7090" i="166"/>
  <c r="B7090" i="166" s="1"/>
  <c r="E7089" i="166"/>
  <c r="B7089" i="166"/>
  <c r="H7087" i="166"/>
  <c r="G7087" i="166"/>
  <c r="E7087" i="166" s="1"/>
  <c r="A7087" i="166"/>
  <c r="B7087" i="166" s="1"/>
  <c r="E7086" i="166"/>
  <c r="B7086" i="166"/>
  <c r="H7084" i="166"/>
  <c r="G7084" i="166"/>
  <c r="E7084" i="166" s="1"/>
  <c r="A7084" i="166"/>
  <c r="B7084" i="166" s="1"/>
  <c r="E7083" i="166"/>
  <c r="B7083" i="166"/>
  <c r="H7081" i="166"/>
  <c r="G7081" i="166"/>
  <c r="E7081" i="166" s="1"/>
  <c r="A7081" i="166"/>
  <c r="B7081" i="166" s="1"/>
  <c r="E7080" i="166"/>
  <c r="B7080" i="166"/>
  <c r="H7078" i="166"/>
  <c r="G7078" i="166"/>
  <c r="E7078" i="166" s="1"/>
  <c r="A7078" i="166"/>
  <c r="B7078" i="166" s="1"/>
  <c r="E7077" i="166"/>
  <c r="B7077" i="166"/>
  <c r="H7075" i="166"/>
  <c r="G7075" i="166"/>
  <c r="E7075" i="166" s="1"/>
  <c r="A7075" i="166"/>
  <c r="B7075" i="166" s="1"/>
  <c r="E7074" i="166"/>
  <c r="B7074" i="166"/>
  <c r="H7072" i="166"/>
  <c r="G7072" i="166"/>
  <c r="E7072" i="166" s="1"/>
  <c r="A7072" i="166"/>
  <c r="B7072" i="166" s="1"/>
  <c r="E7071" i="166"/>
  <c r="B7071" i="166"/>
  <c r="H7069" i="166"/>
  <c r="G7069" i="166"/>
  <c r="E7069" i="166" s="1"/>
  <c r="A7069" i="166"/>
  <c r="B7069" i="166" s="1"/>
  <c r="E7068" i="166"/>
  <c r="B7068" i="166"/>
  <c r="H7066" i="166"/>
  <c r="G7066" i="166"/>
  <c r="E7066" i="166" s="1"/>
  <c r="A7066" i="166"/>
  <c r="B7066" i="166" s="1"/>
  <c r="E7065" i="166"/>
  <c r="B7065" i="166"/>
  <c r="H7063" i="166"/>
  <c r="G7063" i="166"/>
  <c r="E7063" i="166" s="1"/>
  <c r="A7063" i="166"/>
  <c r="B7063" i="166" s="1"/>
  <c r="E7062" i="166"/>
  <c r="B7062" i="166"/>
  <c r="H7060" i="166"/>
  <c r="G7060" i="166"/>
  <c r="E7060" i="166" s="1"/>
  <c r="A7060" i="166"/>
  <c r="B7060" i="166" s="1"/>
  <c r="E7059" i="166"/>
  <c r="B7059" i="166"/>
  <c r="H7057" i="166"/>
  <c r="G7057" i="166"/>
  <c r="E7057" i="166" s="1"/>
  <c r="A7057" i="166"/>
  <c r="B7057" i="166" s="1"/>
  <c r="E7056" i="166"/>
  <c r="B7056" i="166"/>
  <c r="H7054" i="166"/>
  <c r="G7054" i="166"/>
  <c r="E7054" i="166" s="1"/>
  <c r="A7054" i="166"/>
  <c r="B7054" i="166" s="1"/>
  <c r="E7053" i="166"/>
  <c r="B7053" i="166"/>
  <c r="H7051" i="166"/>
  <c r="G7051" i="166"/>
  <c r="E7051" i="166" s="1"/>
  <c r="A7051" i="166"/>
  <c r="B7051" i="166" s="1"/>
  <c r="E7050" i="166"/>
  <c r="B7050" i="166"/>
  <c r="H7045" i="166"/>
  <c r="G7045" i="166"/>
  <c r="E7045" i="166" s="1"/>
  <c r="A7045" i="166"/>
  <c r="B7045" i="166" s="1"/>
  <c r="E7044" i="166"/>
  <c r="B7044" i="166"/>
  <c r="E7042" i="166"/>
  <c r="H7041" i="166"/>
  <c r="H7042" i="166" s="1"/>
  <c r="E7041" i="166"/>
  <c r="A7041" i="166"/>
  <c r="A7042" i="166" s="1"/>
  <c r="B7042" i="166" s="1"/>
  <c r="F7040" i="166"/>
  <c r="E7040" i="166" s="1"/>
  <c r="B7040" i="166"/>
  <c r="H7038" i="166"/>
  <c r="G7038" i="166"/>
  <c r="E7038" i="166" s="1"/>
  <c r="A7038" i="166"/>
  <c r="B7038" i="166" s="1"/>
  <c r="E7037" i="166"/>
  <c r="B7037" i="166"/>
  <c r="H7035" i="166"/>
  <c r="G7035" i="166"/>
  <c r="E7035" i="166" s="1"/>
  <c r="A7035" i="166"/>
  <c r="B7035" i="166" s="1"/>
  <c r="E7034" i="166"/>
  <c r="B7034" i="166"/>
  <c r="H7032" i="166"/>
  <c r="G7032" i="166"/>
  <c r="E7032" i="166" s="1"/>
  <c r="A7032" i="166"/>
  <c r="B7032" i="166" s="1"/>
  <c r="E7031" i="166"/>
  <c r="B7031" i="166"/>
  <c r="H7029" i="166"/>
  <c r="G7029" i="166"/>
  <c r="E7029" i="166" s="1"/>
  <c r="A7029" i="166"/>
  <c r="B7029" i="166" s="1"/>
  <c r="E7028" i="166"/>
  <c r="B7028" i="166"/>
  <c r="H7026" i="166"/>
  <c r="G7026" i="166"/>
  <c r="E7026" i="166" s="1"/>
  <c r="A7026" i="166"/>
  <c r="B7026" i="166" s="1"/>
  <c r="E7025" i="166"/>
  <c r="B7025" i="166"/>
  <c r="H7023" i="166"/>
  <c r="G7023" i="166"/>
  <c r="E7023" i="166" s="1"/>
  <c r="A7023" i="166"/>
  <c r="B7023" i="166" s="1"/>
  <c r="E7022" i="166"/>
  <c r="B7022" i="166"/>
  <c r="H7020" i="166"/>
  <c r="G7020" i="166"/>
  <c r="E7020" i="166" s="1"/>
  <c r="A7020" i="166"/>
  <c r="B7020" i="166" s="1"/>
  <c r="E7019" i="166"/>
  <c r="B7019" i="166"/>
  <c r="H7017" i="166"/>
  <c r="G7017" i="166"/>
  <c r="E7017" i="166" s="1"/>
  <c r="A7017" i="166"/>
  <c r="B7017" i="166" s="1"/>
  <c r="E7016" i="166"/>
  <c r="B7016" i="166"/>
  <c r="H7014" i="166"/>
  <c r="G7014" i="166"/>
  <c r="E7014" i="166" s="1"/>
  <c r="A7014" i="166"/>
  <c r="B7014" i="166" s="1"/>
  <c r="E7013" i="166"/>
  <c r="B7013" i="166"/>
  <c r="H7011" i="166"/>
  <c r="G7011" i="166"/>
  <c r="E7011" i="166" s="1"/>
  <c r="A7011" i="166"/>
  <c r="B7011" i="166" s="1"/>
  <c r="E7010" i="166"/>
  <c r="B7010" i="166"/>
  <c r="H7008" i="166"/>
  <c r="G7008" i="166"/>
  <c r="E7008" i="166" s="1"/>
  <c r="A7008" i="166"/>
  <c r="B7008" i="166" s="1"/>
  <c r="E7007" i="166"/>
  <c r="B7007" i="166"/>
  <c r="H7005" i="166"/>
  <c r="G7005" i="166"/>
  <c r="E7005" i="166" s="1"/>
  <c r="A7005" i="166"/>
  <c r="B7005" i="166" s="1"/>
  <c r="E7004" i="166"/>
  <c r="B7004" i="166"/>
  <c r="H7002" i="166"/>
  <c r="G7002" i="166"/>
  <c r="E7002" i="166" s="1"/>
  <c r="A7002" i="166"/>
  <c r="B7002" i="166" s="1"/>
  <c r="E7001" i="166"/>
  <c r="B7001" i="166"/>
  <c r="H6999" i="166"/>
  <c r="G6999" i="166"/>
  <c r="E6999" i="166" s="1"/>
  <c r="A6999" i="166"/>
  <c r="B6999" i="166" s="1"/>
  <c r="E6998" i="166"/>
  <c r="B6998" i="166"/>
  <c r="H6996" i="166"/>
  <c r="G6996" i="166"/>
  <c r="E6996" i="166" s="1"/>
  <c r="A6996" i="166"/>
  <c r="B6996" i="166" s="1"/>
  <c r="E6995" i="166"/>
  <c r="B6995" i="166"/>
  <c r="H6993" i="166"/>
  <c r="G6993" i="166"/>
  <c r="E6993" i="166" s="1"/>
  <c r="A6993" i="166"/>
  <c r="B6993" i="166" s="1"/>
  <c r="E6992" i="166"/>
  <c r="B6992" i="166"/>
  <c r="H6990" i="166"/>
  <c r="G6990" i="166"/>
  <c r="E6990" i="166" s="1"/>
  <c r="A6990" i="166"/>
  <c r="B6990" i="166" s="1"/>
  <c r="E6989" i="166"/>
  <c r="B6989" i="166"/>
  <c r="H6987" i="166"/>
  <c r="G6987" i="166"/>
  <c r="E6987" i="166" s="1"/>
  <c r="A6987" i="166"/>
  <c r="B6987" i="166" s="1"/>
  <c r="E6986" i="166"/>
  <c r="B6986" i="166"/>
  <c r="H6984" i="166"/>
  <c r="G6984" i="166"/>
  <c r="E6984" i="166" s="1"/>
  <c r="A6984" i="166"/>
  <c r="B6984" i="166" s="1"/>
  <c r="E6983" i="166"/>
  <c r="B6983" i="166"/>
  <c r="H6981" i="166"/>
  <c r="G6981" i="166"/>
  <c r="E6981" i="166" s="1"/>
  <c r="A6981" i="166"/>
  <c r="B6981" i="166" s="1"/>
  <c r="E6980" i="166"/>
  <c r="B6980" i="166"/>
  <c r="H6978" i="166"/>
  <c r="G6978" i="166"/>
  <c r="E6978" i="166" s="1"/>
  <c r="A6978" i="166"/>
  <c r="B6978" i="166" s="1"/>
  <c r="E6977" i="166"/>
  <c r="B6977" i="166"/>
  <c r="H6975" i="166"/>
  <c r="G6975" i="166"/>
  <c r="E6975" i="166" s="1"/>
  <c r="A6975" i="166"/>
  <c r="B6975" i="166" s="1"/>
  <c r="E6974" i="166"/>
  <c r="B6974" i="166"/>
  <c r="H6972" i="166"/>
  <c r="G6972" i="166"/>
  <c r="E6972" i="166" s="1"/>
  <c r="A6972" i="166"/>
  <c r="B6972" i="166" s="1"/>
  <c r="E6971" i="166"/>
  <c r="B6971" i="166"/>
  <c r="D6969" i="166"/>
  <c r="D6968" i="166"/>
  <c r="D6966" i="166"/>
  <c r="D6965" i="166"/>
  <c r="D6963" i="166"/>
  <c r="D6962" i="166"/>
  <c r="D6960" i="166"/>
  <c r="D6959" i="166"/>
  <c r="D6957" i="166"/>
  <c r="D6956" i="166"/>
  <c r="D6954" i="166"/>
  <c r="D6953" i="166"/>
  <c r="D6951" i="166"/>
  <c r="D6950" i="166"/>
  <c r="D6948" i="166"/>
  <c r="D6947" i="166"/>
  <c r="D6945" i="166"/>
  <c r="D6944" i="166"/>
  <c r="D6942" i="166"/>
  <c r="D6941" i="166"/>
  <c r="D6940" i="166"/>
  <c r="D6938" i="166"/>
  <c r="D6937" i="166"/>
  <c r="D6936" i="166"/>
  <c r="D6934" i="166"/>
  <c r="D6933" i="166"/>
  <c r="D6932" i="166"/>
  <c r="D6930" i="166"/>
  <c r="D6929" i="166"/>
  <c r="D6927" i="166"/>
  <c r="D6926" i="166"/>
  <c r="D6924" i="166"/>
  <c r="D6923" i="166"/>
  <c r="D6921" i="166"/>
  <c r="D6920" i="166"/>
  <c r="D6918" i="166"/>
  <c r="D6917" i="166"/>
  <c r="D6915" i="166"/>
  <c r="D6914" i="166"/>
  <c r="D6912" i="166"/>
  <c r="D6911" i="166"/>
  <c r="D6909" i="166"/>
  <c r="D6908" i="166"/>
  <c r="D6906" i="166"/>
  <c r="D6905" i="166"/>
  <c r="D6903" i="166"/>
  <c r="D6902" i="166"/>
  <c r="D6900" i="166"/>
  <c r="D6899" i="166"/>
  <c r="D6897" i="166"/>
  <c r="D6896" i="166"/>
  <c r="D6894" i="166"/>
  <c r="D6893" i="166"/>
  <c r="D6891" i="166"/>
  <c r="D6890" i="166"/>
  <c r="D6888" i="166"/>
  <c r="D6887" i="166"/>
  <c r="D6885" i="166"/>
  <c r="D6884" i="166"/>
  <c r="D6882" i="166"/>
  <c r="D6881" i="166"/>
  <c r="D6879" i="166"/>
  <c r="D6878" i="166"/>
  <c r="D6876" i="166"/>
  <c r="D6875" i="166"/>
  <c r="D6873" i="166"/>
  <c r="D6872" i="166"/>
  <c r="D6870" i="166"/>
  <c r="D6869" i="166"/>
  <c r="D6867" i="166"/>
  <c r="D6866" i="166"/>
  <c r="D6864" i="166"/>
  <c r="D6863" i="166"/>
  <c r="D6861" i="166"/>
  <c r="D6860" i="166"/>
  <c r="D6858" i="166"/>
  <c r="D6857" i="166"/>
  <c r="D6855" i="166"/>
  <c r="D6854" i="166"/>
  <c r="D6852" i="166"/>
  <c r="D6851" i="166"/>
  <c r="D6849" i="166"/>
  <c r="D6848" i="166"/>
  <c r="D6846" i="166"/>
  <c r="D6845" i="166"/>
  <c r="D6843" i="166"/>
  <c r="D6842" i="166"/>
  <c r="D6840" i="166"/>
  <c r="D6839" i="166"/>
  <c r="D6837" i="166"/>
  <c r="D6836" i="166"/>
  <c r="D6834" i="166"/>
  <c r="D6833" i="166"/>
  <c r="D6831" i="166"/>
  <c r="D6830" i="166"/>
  <c r="D6828" i="166"/>
  <c r="D6827" i="166"/>
  <c r="D6825" i="166"/>
  <c r="D6824" i="166"/>
  <c r="D6822" i="166"/>
  <c r="D6821" i="166"/>
  <c r="D6819" i="166"/>
  <c r="H6786" i="166"/>
  <c r="G6786" i="166"/>
  <c r="E6786" i="166" s="1"/>
  <c r="D6786" i="166"/>
  <c r="A6786" i="166"/>
  <c r="B6786" i="166" s="1"/>
  <c r="E6785" i="166"/>
  <c r="D6785" i="166"/>
  <c r="B6785" i="166"/>
  <c r="H6969" i="166"/>
  <c r="G6969" i="166"/>
  <c r="E6969" i="166" s="1"/>
  <c r="A6969" i="166"/>
  <c r="B6969" i="166" s="1"/>
  <c r="E6968" i="166"/>
  <c r="B6968" i="166"/>
  <c r="H6966" i="166"/>
  <c r="G6966" i="166"/>
  <c r="E6966" i="166" s="1"/>
  <c r="A6966" i="166"/>
  <c r="B6966" i="166" s="1"/>
  <c r="E6965" i="166"/>
  <c r="B6965" i="166"/>
  <c r="H6963" i="166"/>
  <c r="G6963" i="166"/>
  <c r="E6963" i="166" s="1"/>
  <c r="A6963" i="166"/>
  <c r="B6963" i="166" s="1"/>
  <c r="E6962" i="166"/>
  <c r="B6962" i="166"/>
  <c r="H6960" i="166"/>
  <c r="G6960" i="166"/>
  <c r="E6960" i="166" s="1"/>
  <c r="A6960" i="166"/>
  <c r="B6960" i="166" s="1"/>
  <c r="E6959" i="166"/>
  <c r="B6959" i="166"/>
  <c r="H6957" i="166"/>
  <c r="G6957" i="166"/>
  <c r="E6957" i="166" s="1"/>
  <c r="A6957" i="166"/>
  <c r="B6957" i="166" s="1"/>
  <c r="E6956" i="166"/>
  <c r="B6956" i="166"/>
  <c r="H6954" i="166"/>
  <c r="G6954" i="166"/>
  <c r="E6954" i="166" s="1"/>
  <c r="A6954" i="166"/>
  <c r="B6954" i="166" s="1"/>
  <c r="E6953" i="166"/>
  <c r="B6953" i="166"/>
  <c r="H6951" i="166"/>
  <c r="G6951" i="166"/>
  <c r="E6951" i="166" s="1"/>
  <c r="A6951" i="166"/>
  <c r="B6951" i="166" s="1"/>
  <c r="E6950" i="166"/>
  <c r="B6950" i="166"/>
  <c r="H6948" i="166"/>
  <c r="G6948" i="166"/>
  <c r="E6948" i="166" s="1"/>
  <c r="A6948" i="166"/>
  <c r="B6948" i="166" s="1"/>
  <c r="E6947" i="166"/>
  <c r="B6947" i="166"/>
  <c r="H6945" i="166"/>
  <c r="G6945" i="166"/>
  <c r="E6945" i="166" s="1"/>
  <c r="A6945" i="166"/>
  <c r="B6945" i="166" s="1"/>
  <c r="E6944" i="166"/>
  <c r="B6944" i="166"/>
  <c r="E6942" i="166"/>
  <c r="H6941" i="166"/>
  <c r="H6942" i="166" s="1"/>
  <c r="E6941" i="166"/>
  <c r="A6941" i="166"/>
  <c r="A6942" i="166" s="1"/>
  <c r="B6942" i="166" s="1"/>
  <c r="F6940" i="166"/>
  <c r="E6940" i="166" s="1"/>
  <c r="B6940" i="166"/>
  <c r="E6938" i="166"/>
  <c r="A6938" i="166"/>
  <c r="B6938" i="166" s="1"/>
  <c r="I6937" i="166"/>
  <c r="H6937" i="166"/>
  <c r="H6938" i="166" s="1"/>
  <c r="E6937" i="166"/>
  <c r="A6937" i="166"/>
  <c r="B6937" i="166" s="1"/>
  <c r="F6936" i="166"/>
  <c r="E6936" i="166" s="1"/>
  <c r="B6936" i="166"/>
  <c r="E6934" i="166"/>
  <c r="H6933" i="166"/>
  <c r="H6934" i="166" s="1"/>
  <c r="E6933" i="166"/>
  <c r="A6933" i="166"/>
  <c r="A6934" i="166" s="1"/>
  <c r="B6934" i="166" s="1"/>
  <c r="F6932" i="166"/>
  <c r="E6932" i="166" s="1"/>
  <c r="B6932" i="166"/>
  <c r="H6930" i="166"/>
  <c r="G6930" i="166"/>
  <c r="E6930" i="166" s="1"/>
  <c r="A6930" i="166"/>
  <c r="B6930" i="166" s="1"/>
  <c r="E6929" i="166"/>
  <c r="B6929" i="166"/>
  <c r="H6927" i="166"/>
  <c r="G6927" i="166"/>
  <c r="E6927" i="166" s="1"/>
  <c r="A6927" i="166"/>
  <c r="B6927" i="166" s="1"/>
  <c r="E6926" i="166"/>
  <c r="B6926" i="166"/>
  <c r="H6924" i="166"/>
  <c r="G6924" i="166"/>
  <c r="E6924" i="166" s="1"/>
  <c r="A6924" i="166"/>
  <c r="B6924" i="166" s="1"/>
  <c r="E6923" i="166"/>
  <c r="B6923" i="166"/>
  <c r="H6921" i="166"/>
  <c r="G6921" i="166"/>
  <c r="E6921" i="166" s="1"/>
  <c r="A6921" i="166"/>
  <c r="B6921" i="166" s="1"/>
  <c r="E6920" i="166"/>
  <c r="B6920" i="166"/>
  <c r="H6918" i="166"/>
  <c r="G6918" i="166"/>
  <c r="E6918" i="166" s="1"/>
  <c r="A6918" i="166"/>
  <c r="B6918" i="166" s="1"/>
  <c r="E6917" i="166"/>
  <c r="B6917" i="166"/>
  <c r="H6915" i="166"/>
  <c r="G6915" i="166"/>
  <c r="E6915" i="166" s="1"/>
  <c r="A6915" i="166"/>
  <c r="B6915" i="166" s="1"/>
  <c r="E6914" i="166"/>
  <c r="B6914" i="166"/>
  <c r="H6912" i="166"/>
  <c r="G6912" i="166"/>
  <c r="E6912" i="166" s="1"/>
  <c r="A6912" i="166"/>
  <c r="B6912" i="166" s="1"/>
  <c r="E6911" i="166"/>
  <c r="B6911" i="166"/>
  <c r="H6909" i="166"/>
  <c r="G6909" i="166"/>
  <c r="E6909" i="166" s="1"/>
  <c r="A6909" i="166"/>
  <c r="B6909" i="166" s="1"/>
  <c r="E6908" i="166"/>
  <c r="B6908" i="166"/>
  <c r="H6906" i="166"/>
  <c r="G6906" i="166"/>
  <c r="E6906" i="166" s="1"/>
  <c r="A6906" i="166"/>
  <c r="B6906" i="166" s="1"/>
  <c r="E6905" i="166"/>
  <c r="B6905" i="166"/>
  <c r="H6903" i="166"/>
  <c r="G6903" i="166"/>
  <c r="E6903" i="166" s="1"/>
  <c r="A6903" i="166"/>
  <c r="B6903" i="166" s="1"/>
  <c r="E6902" i="166"/>
  <c r="B6902" i="166"/>
  <c r="H6900" i="166"/>
  <c r="G6900" i="166"/>
  <c r="E6900" i="166" s="1"/>
  <c r="A6900" i="166"/>
  <c r="B6900" i="166" s="1"/>
  <c r="E6899" i="166"/>
  <c r="B6899" i="166"/>
  <c r="H6897" i="166"/>
  <c r="G6897" i="166"/>
  <c r="E6897" i="166" s="1"/>
  <c r="A6897" i="166"/>
  <c r="B6897" i="166" s="1"/>
  <c r="E6896" i="166"/>
  <c r="B6896" i="166"/>
  <c r="H6894" i="166"/>
  <c r="G6894" i="166"/>
  <c r="E6894" i="166" s="1"/>
  <c r="A6894" i="166"/>
  <c r="B6894" i="166" s="1"/>
  <c r="E6893" i="166"/>
  <c r="B6893" i="166"/>
  <c r="H6891" i="166"/>
  <c r="G6891" i="166"/>
  <c r="E6891" i="166" s="1"/>
  <c r="A6891" i="166"/>
  <c r="B6891" i="166" s="1"/>
  <c r="E6890" i="166"/>
  <c r="B6890" i="166"/>
  <c r="H6888" i="166"/>
  <c r="G6888" i="166"/>
  <c r="E6888" i="166" s="1"/>
  <c r="A6888" i="166"/>
  <c r="B6888" i="166" s="1"/>
  <c r="E6887" i="166"/>
  <c r="B6887" i="166"/>
  <c r="H6885" i="166"/>
  <c r="G6885" i="166"/>
  <c r="E6885" i="166" s="1"/>
  <c r="A6885" i="166"/>
  <c r="B6885" i="166" s="1"/>
  <c r="E6884" i="166"/>
  <c r="B6884" i="166"/>
  <c r="H6882" i="166"/>
  <c r="G6882" i="166"/>
  <c r="E6882" i="166" s="1"/>
  <c r="A6882" i="166"/>
  <c r="B6882" i="166" s="1"/>
  <c r="E6881" i="166"/>
  <c r="B6881" i="166"/>
  <c r="H6879" i="166"/>
  <c r="G6879" i="166"/>
  <c r="E6879" i="166" s="1"/>
  <c r="A6879" i="166"/>
  <c r="B6879" i="166" s="1"/>
  <c r="E6878" i="166"/>
  <c r="B6878" i="166"/>
  <c r="H6876" i="166"/>
  <c r="G6876" i="166"/>
  <c r="E6876" i="166" s="1"/>
  <c r="A6876" i="166"/>
  <c r="B6876" i="166" s="1"/>
  <c r="E6875" i="166"/>
  <c r="B6875" i="166"/>
  <c r="H6873" i="166"/>
  <c r="G6873" i="166"/>
  <c r="E6873" i="166" s="1"/>
  <c r="A6873" i="166"/>
  <c r="B6873" i="166" s="1"/>
  <c r="E6872" i="166"/>
  <c r="B6872" i="166"/>
  <c r="H6870" i="166"/>
  <c r="G6870" i="166"/>
  <c r="E6870" i="166" s="1"/>
  <c r="A6870" i="166"/>
  <c r="B6870" i="166" s="1"/>
  <c r="E6869" i="166"/>
  <c r="B6869" i="166"/>
  <c r="H6867" i="166"/>
  <c r="G6867" i="166"/>
  <c r="E6867" i="166" s="1"/>
  <c r="A6867" i="166"/>
  <c r="B6867" i="166" s="1"/>
  <c r="E6866" i="166"/>
  <c r="B6866" i="166"/>
  <c r="H6864" i="166"/>
  <c r="G6864" i="166"/>
  <c r="E6864" i="166" s="1"/>
  <c r="A6864" i="166"/>
  <c r="B6864" i="166" s="1"/>
  <c r="E6863" i="166"/>
  <c r="B6863" i="166"/>
  <c r="H6861" i="166"/>
  <c r="G6861" i="166"/>
  <c r="E6861" i="166" s="1"/>
  <c r="A6861" i="166"/>
  <c r="B6861" i="166" s="1"/>
  <c r="E6860" i="166"/>
  <c r="B6860" i="166"/>
  <c r="H6858" i="166"/>
  <c r="G6858" i="166"/>
  <c r="E6858" i="166" s="1"/>
  <c r="A6858" i="166"/>
  <c r="B6858" i="166" s="1"/>
  <c r="E6857" i="166"/>
  <c r="B6857" i="166"/>
  <c r="H6855" i="166"/>
  <c r="G6855" i="166"/>
  <c r="E6855" i="166" s="1"/>
  <c r="A6855" i="166"/>
  <c r="B6855" i="166" s="1"/>
  <c r="E6854" i="166"/>
  <c r="B6854" i="166"/>
  <c r="H6852" i="166"/>
  <c r="G6852" i="166"/>
  <c r="E6852" i="166" s="1"/>
  <c r="A6852" i="166"/>
  <c r="B6852" i="166" s="1"/>
  <c r="E6851" i="166"/>
  <c r="B6851" i="166"/>
  <c r="H6849" i="166"/>
  <c r="G6849" i="166"/>
  <c r="E6849" i="166" s="1"/>
  <c r="A6849" i="166"/>
  <c r="B6849" i="166" s="1"/>
  <c r="E6848" i="166"/>
  <c r="B6848" i="166"/>
  <c r="H6846" i="166"/>
  <c r="G6846" i="166"/>
  <c r="E6846" i="166" s="1"/>
  <c r="A6846" i="166"/>
  <c r="B6846" i="166" s="1"/>
  <c r="E6845" i="166"/>
  <c r="B6845" i="166"/>
  <c r="H6843" i="166"/>
  <c r="G6843" i="166"/>
  <c r="E6843" i="166" s="1"/>
  <c r="A6843" i="166"/>
  <c r="B6843" i="166" s="1"/>
  <c r="E6842" i="166"/>
  <c r="B6842" i="166"/>
  <c r="H6840" i="166"/>
  <c r="G6840" i="166"/>
  <c r="E6840" i="166" s="1"/>
  <c r="A6840" i="166"/>
  <c r="B6840" i="166" s="1"/>
  <c r="E6839" i="166"/>
  <c r="B6839" i="166"/>
  <c r="H6837" i="166"/>
  <c r="G6837" i="166"/>
  <c r="E6837" i="166" s="1"/>
  <c r="A6837" i="166"/>
  <c r="B6837" i="166" s="1"/>
  <c r="E6836" i="166"/>
  <c r="B6836" i="166"/>
  <c r="H6834" i="166"/>
  <c r="G6834" i="166"/>
  <c r="E6834" i="166" s="1"/>
  <c r="A6834" i="166"/>
  <c r="B6834" i="166" s="1"/>
  <c r="E6833" i="166"/>
  <c r="B6833" i="166"/>
  <c r="H6831" i="166"/>
  <c r="G6831" i="166"/>
  <c r="E6831" i="166" s="1"/>
  <c r="A6831" i="166"/>
  <c r="B6831" i="166" s="1"/>
  <c r="E6830" i="166"/>
  <c r="B6830" i="166"/>
  <c r="H6828" i="166"/>
  <c r="G6828" i="166"/>
  <c r="E6828" i="166" s="1"/>
  <c r="A6828" i="166"/>
  <c r="B6828" i="166" s="1"/>
  <c r="E6827" i="166"/>
  <c r="B6827" i="166"/>
  <c r="H6825" i="166"/>
  <c r="G6825" i="166"/>
  <c r="E6825" i="166" s="1"/>
  <c r="A6825" i="166"/>
  <c r="B6825" i="166" s="1"/>
  <c r="E6824" i="166"/>
  <c r="B6824" i="166"/>
  <c r="H6822" i="166"/>
  <c r="G6822" i="166"/>
  <c r="E6822" i="166" s="1"/>
  <c r="A6822" i="166"/>
  <c r="B6822" i="166" s="1"/>
  <c r="E6821" i="166"/>
  <c r="B6821" i="166"/>
  <c r="H6819" i="166"/>
  <c r="G6819" i="166"/>
  <c r="E6819" i="166" s="1"/>
  <c r="A6819" i="166"/>
  <c r="B6819" i="166" s="1"/>
  <c r="E6818" i="166"/>
  <c r="D6818" i="166"/>
  <c r="B6818" i="166"/>
  <c r="H6816" i="166"/>
  <c r="G6816" i="166"/>
  <c r="E6816" i="166" s="1"/>
  <c r="D6816" i="166"/>
  <c r="A6816" i="166"/>
  <c r="B6816" i="166" s="1"/>
  <c r="E6815" i="166"/>
  <c r="D6815" i="166"/>
  <c r="B6815" i="166"/>
  <c r="H6813" i="166"/>
  <c r="G6813" i="166"/>
  <c r="E6813" i="166" s="1"/>
  <c r="D6813" i="166"/>
  <c r="A6813" i="166"/>
  <c r="B6813" i="166" s="1"/>
  <c r="E6812" i="166"/>
  <c r="D6812" i="166"/>
  <c r="B6812" i="166"/>
  <c r="H6810" i="166"/>
  <c r="G6810" i="166"/>
  <c r="E6810" i="166" s="1"/>
  <c r="D6810" i="166"/>
  <c r="A6810" i="166"/>
  <c r="B6810" i="166" s="1"/>
  <c r="E6809" i="166"/>
  <c r="D6809" i="166"/>
  <c r="B6809" i="166"/>
  <c r="H6807" i="166"/>
  <c r="G6807" i="166"/>
  <c r="E6807" i="166" s="1"/>
  <c r="D6807" i="166"/>
  <c r="A6807" i="166"/>
  <c r="B6807" i="166" s="1"/>
  <c r="E6806" i="166"/>
  <c r="D6806" i="166"/>
  <c r="B6806" i="166"/>
  <c r="H6804" i="166"/>
  <c r="G6804" i="166"/>
  <c r="E6804" i="166" s="1"/>
  <c r="D6804" i="166"/>
  <c r="A6804" i="166"/>
  <c r="B6804" i="166" s="1"/>
  <c r="E6803" i="166"/>
  <c r="D6803" i="166"/>
  <c r="B6803" i="166"/>
  <c r="H6801" i="166"/>
  <c r="G6801" i="166"/>
  <c r="E6801" i="166" s="1"/>
  <c r="D6801" i="166"/>
  <c r="A6801" i="166"/>
  <c r="B6801" i="166" s="1"/>
  <c r="E6800" i="166"/>
  <c r="D6800" i="166"/>
  <c r="B6800" i="166"/>
  <c r="H6798" i="166"/>
  <c r="G6798" i="166"/>
  <c r="E6798" i="166" s="1"/>
  <c r="D6798" i="166"/>
  <c r="A6798" i="166"/>
  <c r="B6798" i="166" s="1"/>
  <c r="E6797" i="166"/>
  <c r="D6797" i="166"/>
  <c r="B6797" i="166"/>
  <c r="H6795" i="166"/>
  <c r="G6795" i="166"/>
  <c r="E6795" i="166" s="1"/>
  <c r="D6795" i="166"/>
  <c r="A6795" i="166"/>
  <c r="B6795" i="166" s="1"/>
  <c r="E6794" i="166"/>
  <c r="D6794" i="166"/>
  <c r="B6794" i="166"/>
  <c r="B6371" i="167" l="1"/>
  <c r="A6373" i="167"/>
  <c r="B6370" i="167"/>
  <c r="B6333" i="167"/>
  <c r="A6335" i="167"/>
  <c r="A6334" i="167"/>
  <c r="B7041" i="166"/>
  <c r="B6933" i="166"/>
  <c r="B6941" i="166"/>
  <c r="A6375" i="167" l="1"/>
  <c r="B6373" i="167"/>
  <c r="A6374" i="167"/>
  <c r="B6374" i="167" s="1"/>
  <c r="B6372" i="167"/>
  <c r="B6334" i="167"/>
  <c r="A6336" i="167"/>
  <c r="B6336" i="167" s="1"/>
  <c r="B6335" i="167"/>
  <c r="A6337" i="167"/>
  <c r="H6792" i="166"/>
  <c r="G6792" i="166"/>
  <c r="E6792" i="166" s="1"/>
  <c r="D6792" i="166"/>
  <c r="A6792" i="166"/>
  <c r="B6792" i="166" s="1"/>
  <c r="E6791" i="166"/>
  <c r="D6791" i="166"/>
  <c r="B6791" i="166"/>
  <c r="H6789" i="166"/>
  <c r="G6789" i="166"/>
  <c r="E6789" i="166" s="1"/>
  <c r="D6789" i="166"/>
  <c r="A6789" i="166"/>
  <c r="B6789" i="166" s="1"/>
  <c r="E6788" i="166"/>
  <c r="D6788" i="166"/>
  <c r="B6788" i="166"/>
  <c r="H6783" i="166"/>
  <c r="G6783" i="166"/>
  <c r="E6783" i="166" s="1"/>
  <c r="D6783" i="166"/>
  <c r="A6783" i="166"/>
  <c r="B6783" i="166" s="1"/>
  <c r="E6782" i="166"/>
  <c r="D6782" i="166"/>
  <c r="B6782" i="166"/>
  <c r="H6780" i="166"/>
  <c r="G6780" i="166"/>
  <c r="E6780" i="166" s="1"/>
  <c r="D6780" i="166"/>
  <c r="A6780" i="166"/>
  <c r="B6780" i="166" s="1"/>
  <c r="E6779" i="166"/>
  <c r="D6779" i="166"/>
  <c r="B6779" i="166"/>
  <c r="H6777" i="166"/>
  <c r="G6777" i="166"/>
  <c r="E6777" i="166" s="1"/>
  <c r="D6777" i="166"/>
  <c r="A6777" i="166"/>
  <c r="B6777" i="166" s="1"/>
  <c r="E6776" i="166"/>
  <c r="D6776" i="166"/>
  <c r="B6776" i="166"/>
  <c r="H6774" i="166"/>
  <c r="G6774" i="166"/>
  <c r="E6774" i="166" s="1"/>
  <c r="D6774" i="166"/>
  <c r="A6774" i="166"/>
  <c r="B6774" i="166" s="1"/>
  <c r="E6773" i="166"/>
  <c r="D6773" i="166"/>
  <c r="B6773" i="166"/>
  <c r="H6771" i="166"/>
  <c r="G6771" i="166"/>
  <c r="E6771" i="166" s="1"/>
  <c r="D6771" i="166"/>
  <c r="A6771" i="166"/>
  <c r="B6771" i="166" s="1"/>
  <c r="E6770" i="166"/>
  <c r="D6770" i="166"/>
  <c r="B6770" i="166"/>
  <c r="H6768" i="166"/>
  <c r="G6768" i="166"/>
  <c r="E6768" i="166" s="1"/>
  <c r="D6768" i="166"/>
  <c r="A6768" i="166"/>
  <c r="B6768" i="166" s="1"/>
  <c r="E6767" i="166"/>
  <c r="D6767" i="166"/>
  <c r="B6767" i="166"/>
  <c r="H6765" i="166"/>
  <c r="G6765" i="166"/>
  <c r="E6765" i="166" s="1"/>
  <c r="D6765" i="166"/>
  <c r="A6765" i="166"/>
  <c r="B6765" i="166" s="1"/>
  <c r="E6764" i="166"/>
  <c r="D6764" i="166"/>
  <c r="B6764" i="166"/>
  <c r="H6762" i="166"/>
  <c r="G6762" i="166"/>
  <c r="E6762" i="166" s="1"/>
  <c r="D6762" i="166"/>
  <c r="A6762" i="166"/>
  <c r="B6762" i="166" s="1"/>
  <c r="E6761" i="166"/>
  <c r="D6761" i="166"/>
  <c r="B6761" i="166"/>
  <c r="H6759" i="166"/>
  <c r="G6759" i="166"/>
  <c r="E6759" i="166" s="1"/>
  <c r="D6759" i="166"/>
  <c r="A6759" i="166"/>
  <c r="B6759" i="166" s="1"/>
  <c r="E6758" i="166"/>
  <c r="D6758" i="166"/>
  <c r="B6758" i="166"/>
  <c r="H6756" i="166"/>
  <c r="G6756" i="166"/>
  <c r="E6756" i="166" s="1"/>
  <c r="D6756" i="166"/>
  <c r="A6756" i="166"/>
  <c r="B6756" i="166" s="1"/>
  <c r="E6755" i="166"/>
  <c r="D6755" i="166"/>
  <c r="B6755" i="166"/>
  <c r="A6377" i="167" l="1"/>
  <c r="A6376" i="167"/>
  <c r="B6375" i="167"/>
  <c r="B6337" i="167"/>
  <c r="A6338" i="167"/>
  <c r="H6753" i="166"/>
  <c r="G6753" i="166"/>
  <c r="E6753" i="166" s="1"/>
  <c r="D6753" i="166"/>
  <c r="A6753" i="166"/>
  <c r="B6753" i="166" s="1"/>
  <c r="E6752" i="166"/>
  <c r="D6752" i="166"/>
  <c r="B6752" i="166"/>
  <c r="H6750" i="166"/>
  <c r="G6750" i="166"/>
  <c r="E6750" i="166" s="1"/>
  <c r="D6750" i="166"/>
  <c r="A6750" i="166"/>
  <c r="B6750" i="166" s="1"/>
  <c r="E6749" i="166"/>
  <c r="D6749" i="166"/>
  <c r="B6749" i="166"/>
  <c r="H6747" i="166"/>
  <c r="G6747" i="166"/>
  <c r="E6747" i="166" s="1"/>
  <c r="D6747" i="166"/>
  <c r="A6747" i="166"/>
  <c r="B6747" i="166" s="1"/>
  <c r="E6746" i="166"/>
  <c r="D6746" i="166"/>
  <c r="B6746" i="166"/>
  <c r="H6744" i="166"/>
  <c r="G6744" i="166"/>
  <c r="E6744" i="166" s="1"/>
  <c r="D6744" i="166"/>
  <c r="E6743" i="166"/>
  <c r="D6743" i="166"/>
  <c r="B6743" i="166"/>
  <c r="A6744" i="166"/>
  <c r="B6744" i="166" s="1"/>
  <c r="H6741" i="166"/>
  <c r="G6741" i="166"/>
  <c r="E6741" i="166" s="1"/>
  <c r="D6741" i="166"/>
  <c r="E6740" i="166"/>
  <c r="D6740" i="166"/>
  <c r="H6738" i="166"/>
  <c r="G6738" i="166"/>
  <c r="E6738" i="166" s="1"/>
  <c r="D6738" i="166"/>
  <c r="E6737" i="166"/>
  <c r="D6737" i="166"/>
  <c r="H6735" i="166"/>
  <c r="G6735" i="166"/>
  <c r="E6735" i="166" s="1"/>
  <c r="D6735" i="166"/>
  <c r="E6734" i="166"/>
  <c r="D6734" i="166"/>
  <c r="H6732" i="166"/>
  <c r="G6732" i="166"/>
  <c r="E6732" i="166" s="1"/>
  <c r="D6732" i="166"/>
  <c r="E6731" i="166"/>
  <c r="D6731" i="166"/>
  <c r="A6726" i="166"/>
  <c r="B6726" i="166" s="1"/>
  <c r="H6729" i="166"/>
  <c r="G6729" i="166"/>
  <c r="E6729" i="166" s="1"/>
  <c r="D6729" i="166"/>
  <c r="E6728" i="166"/>
  <c r="D6728" i="166"/>
  <c r="H6726" i="166"/>
  <c r="G6726" i="166"/>
  <c r="E6726" i="166" s="1"/>
  <c r="D6726" i="166"/>
  <c r="E6725" i="166"/>
  <c r="D6725" i="166"/>
  <c r="B6725" i="166"/>
  <c r="A6379" i="167" l="1"/>
  <c r="B6377" i="167"/>
  <c r="B6376" i="167"/>
  <c r="B6400" i="167" s="1"/>
  <c r="A6378" i="167"/>
  <c r="B6338" i="167"/>
  <c r="A6340" i="167"/>
  <c r="A6339" i="167"/>
  <c r="B6339" i="167" s="1"/>
  <c r="A6728" i="166"/>
  <c r="B6401" i="167" l="1"/>
  <c r="B6403" i="167"/>
  <c r="A6382" i="167"/>
  <c r="A6381" i="167"/>
  <c r="B6381" i="167" s="1"/>
  <c r="B6379" i="167"/>
  <c r="B6378" i="167"/>
  <c r="A6380" i="167"/>
  <c r="B6340" i="167"/>
  <c r="A6343" i="167"/>
  <c r="B6343" i="167" s="1"/>
  <c r="A6342" i="167"/>
  <c r="B6342" i="167" s="1"/>
  <c r="A6341" i="167"/>
  <c r="B6341" i="167" s="1"/>
  <c r="B6728" i="166"/>
  <c r="A6729" i="166"/>
  <c r="A6722" i="166"/>
  <c r="B6722" i="166" s="1"/>
  <c r="H6723" i="166"/>
  <c r="E6723" i="166"/>
  <c r="D6723" i="166"/>
  <c r="A6723" i="166"/>
  <c r="B6723" i="166" s="1"/>
  <c r="H6722" i="166"/>
  <c r="E6722" i="166"/>
  <c r="D6722" i="166"/>
  <c r="E6721" i="166"/>
  <c r="D6721" i="166"/>
  <c r="B6721" i="166"/>
  <c r="H6719" i="166"/>
  <c r="G6719" i="166"/>
  <c r="E6719" i="166" s="1"/>
  <c r="D6719" i="166"/>
  <c r="A6719" i="166"/>
  <c r="B6719" i="166" s="1"/>
  <c r="E6718" i="166"/>
  <c r="D6718" i="166"/>
  <c r="B6718" i="166"/>
  <c r="H6716" i="166"/>
  <c r="G6716" i="166"/>
  <c r="E6716" i="166" s="1"/>
  <c r="D6716" i="166"/>
  <c r="A6716" i="166"/>
  <c r="B6716" i="166" s="1"/>
  <c r="E6715" i="166"/>
  <c r="D6715" i="166"/>
  <c r="B6715" i="166"/>
  <c r="B6406" i="167" l="1"/>
  <c r="B6404" i="167"/>
  <c r="B6380" i="167"/>
  <c r="A6383" i="167"/>
  <c r="B6383" i="167" s="1"/>
  <c r="B6382" i="167"/>
  <c r="A6384" i="167"/>
  <c r="B6729" i="166"/>
  <c r="A6731" i="166"/>
  <c r="H6713" i="166"/>
  <c r="G6713" i="166"/>
  <c r="E6713" i="166" s="1"/>
  <c r="D6713" i="166"/>
  <c r="A6713" i="166"/>
  <c r="B6713" i="166" s="1"/>
  <c r="E6712" i="166"/>
  <c r="D6712" i="166"/>
  <c r="B6712" i="166"/>
  <c r="H6710" i="166"/>
  <c r="G6710" i="166"/>
  <c r="E6710" i="166" s="1"/>
  <c r="D6710" i="166"/>
  <c r="A6710" i="166"/>
  <c r="B6710" i="166" s="1"/>
  <c r="E6709" i="166"/>
  <c r="D6709" i="166"/>
  <c r="B6709" i="166"/>
  <c r="H6707" i="166"/>
  <c r="G6707" i="166"/>
  <c r="E6707" i="166" s="1"/>
  <c r="D6707" i="166"/>
  <c r="A6707" i="166"/>
  <c r="B6707" i="166" s="1"/>
  <c r="E6706" i="166"/>
  <c r="D6706" i="166"/>
  <c r="B6706" i="166"/>
  <c r="H6704" i="166"/>
  <c r="G6704" i="166"/>
  <c r="E6704" i="166" s="1"/>
  <c r="D6704" i="166"/>
  <c r="A6704" i="166"/>
  <c r="B6704" i="166" s="1"/>
  <c r="E6703" i="166"/>
  <c r="D6703" i="166"/>
  <c r="B6703" i="166"/>
  <c r="B6409" i="167" l="1"/>
  <c r="B6407" i="167"/>
  <c r="B6384" i="167"/>
  <c r="A6387" i="167"/>
  <c r="A6391" i="167" s="1"/>
  <c r="A6385" i="167"/>
  <c r="A6732" i="166"/>
  <c r="B6731" i="166"/>
  <c r="H6701" i="166"/>
  <c r="G6701" i="166"/>
  <c r="E6701" i="166" s="1"/>
  <c r="D6701" i="166"/>
  <c r="A6701" i="166"/>
  <c r="B6701" i="166" s="1"/>
  <c r="E6700" i="166"/>
  <c r="D6700" i="166"/>
  <c r="B6700" i="166"/>
  <c r="H6698" i="166"/>
  <c r="G6698" i="166"/>
  <c r="E6698" i="166" s="1"/>
  <c r="D6698" i="166"/>
  <c r="A6698" i="166"/>
  <c r="B6698" i="166" s="1"/>
  <c r="E6697" i="166"/>
  <c r="D6697" i="166"/>
  <c r="B6697" i="166"/>
  <c r="H6695" i="166"/>
  <c r="G6695" i="166"/>
  <c r="E6695" i="166" s="1"/>
  <c r="D6695" i="166"/>
  <c r="A6695" i="166"/>
  <c r="B6695" i="166" s="1"/>
  <c r="E6694" i="166"/>
  <c r="D6694" i="166"/>
  <c r="B6694" i="166"/>
  <c r="H6692" i="166"/>
  <c r="G6692" i="166"/>
  <c r="E6692" i="166" s="1"/>
  <c r="D6692" i="166"/>
  <c r="A6692" i="166"/>
  <c r="B6692" i="166" s="1"/>
  <c r="E6691" i="166"/>
  <c r="D6691" i="166"/>
  <c r="B6691" i="166"/>
  <c r="H6689" i="166"/>
  <c r="G6689" i="166"/>
  <c r="E6689" i="166" s="1"/>
  <c r="D6689" i="166"/>
  <c r="A6689" i="166"/>
  <c r="B6689" i="166" s="1"/>
  <c r="E6688" i="166"/>
  <c r="D6688" i="166"/>
  <c r="B6688" i="166"/>
  <c r="H6686" i="166"/>
  <c r="G6686" i="166"/>
  <c r="E6686" i="166" s="1"/>
  <c r="D6686" i="166"/>
  <c r="A6686" i="166"/>
  <c r="B6686" i="166" s="1"/>
  <c r="E6685" i="166"/>
  <c r="D6685" i="166"/>
  <c r="B6685" i="166"/>
  <c r="H6683" i="166"/>
  <c r="G6683" i="166"/>
  <c r="E6683" i="166" s="1"/>
  <c r="D6683" i="166"/>
  <c r="A6683" i="166"/>
  <c r="B6683" i="166" s="1"/>
  <c r="E6682" i="166"/>
  <c r="D6682" i="166"/>
  <c r="B6682" i="166"/>
  <c r="H6572" i="166"/>
  <c r="G6572" i="166"/>
  <c r="E6572" i="166" s="1"/>
  <c r="D6572" i="166"/>
  <c r="A6572" i="166"/>
  <c r="B6572" i="166" s="1"/>
  <c r="E6571" i="166"/>
  <c r="D6571" i="166"/>
  <c r="B6571" i="166"/>
  <c r="H6680" i="166"/>
  <c r="G6680" i="166"/>
  <c r="E6680" i="166" s="1"/>
  <c r="D6680" i="166"/>
  <c r="A6680" i="166"/>
  <c r="B6680" i="166" s="1"/>
  <c r="E6679" i="166"/>
  <c r="D6679" i="166"/>
  <c r="B6679" i="166"/>
  <c r="H6677" i="166"/>
  <c r="G6677" i="166"/>
  <c r="E6677" i="166" s="1"/>
  <c r="D6677" i="166"/>
  <c r="A6677" i="166"/>
  <c r="B6677" i="166" s="1"/>
  <c r="E6676" i="166"/>
  <c r="D6676" i="166"/>
  <c r="B6676" i="166"/>
  <c r="H6674" i="166"/>
  <c r="G6674" i="166"/>
  <c r="E6674" i="166" s="1"/>
  <c r="D6674" i="166"/>
  <c r="A6674" i="166"/>
  <c r="B6674" i="166" s="1"/>
  <c r="E6673" i="166"/>
  <c r="D6673" i="166"/>
  <c r="B6673" i="166"/>
  <c r="H6671" i="166"/>
  <c r="G6671" i="166"/>
  <c r="E6671" i="166" s="1"/>
  <c r="D6671" i="166"/>
  <c r="A6671" i="166"/>
  <c r="B6671" i="166" s="1"/>
  <c r="E6670" i="166"/>
  <c r="D6670" i="166"/>
  <c r="B6670" i="166"/>
  <c r="H6668" i="166"/>
  <c r="G6668" i="166"/>
  <c r="E6668" i="166" s="1"/>
  <c r="D6668" i="166"/>
  <c r="A6668" i="166"/>
  <c r="B6668" i="166" s="1"/>
  <c r="E6667" i="166"/>
  <c r="D6667" i="166"/>
  <c r="B6667" i="166"/>
  <c r="H6665" i="166"/>
  <c r="G6665" i="166"/>
  <c r="E6665" i="166" s="1"/>
  <c r="D6665" i="166"/>
  <c r="A6665" i="166"/>
  <c r="B6665" i="166" s="1"/>
  <c r="E6664" i="166"/>
  <c r="D6664" i="166"/>
  <c r="B6664" i="166"/>
  <c r="H6662" i="166"/>
  <c r="G6662" i="166"/>
  <c r="E6662" i="166" s="1"/>
  <c r="D6662" i="166"/>
  <c r="A6662" i="166"/>
  <c r="B6662" i="166" s="1"/>
  <c r="E6661" i="166"/>
  <c r="D6661" i="166"/>
  <c r="B6661" i="166"/>
  <c r="H6659" i="166"/>
  <c r="G6659" i="166"/>
  <c r="E6659" i="166" s="1"/>
  <c r="D6659" i="166"/>
  <c r="A6659" i="166"/>
  <c r="B6659" i="166" s="1"/>
  <c r="E6658" i="166"/>
  <c r="D6658" i="166"/>
  <c r="B6658" i="166"/>
  <c r="H6656" i="166"/>
  <c r="G6656" i="166"/>
  <c r="E6656" i="166" s="1"/>
  <c r="D6656" i="166"/>
  <c r="A6656" i="166"/>
  <c r="B6656" i="166" s="1"/>
  <c r="E6655" i="166"/>
  <c r="D6655" i="166"/>
  <c r="B6655" i="166"/>
  <c r="H6653" i="166"/>
  <c r="G6653" i="166"/>
  <c r="E6653" i="166" s="1"/>
  <c r="D6653" i="166"/>
  <c r="A6653" i="166"/>
  <c r="B6653" i="166" s="1"/>
  <c r="E6652" i="166"/>
  <c r="D6652" i="166"/>
  <c r="B6652" i="166"/>
  <c r="H6650" i="166"/>
  <c r="G6650" i="166"/>
  <c r="E6650" i="166" s="1"/>
  <c r="D6650" i="166"/>
  <c r="A6650" i="166"/>
  <c r="B6650" i="166" s="1"/>
  <c r="E6649" i="166"/>
  <c r="D6649" i="166"/>
  <c r="B6649" i="166"/>
  <c r="H6647" i="166"/>
  <c r="G6647" i="166"/>
  <c r="E6647" i="166" s="1"/>
  <c r="D6647" i="166"/>
  <c r="A6647" i="166"/>
  <c r="B6647" i="166" s="1"/>
  <c r="E6646" i="166"/>
  <c r="D6646" i="166"/>
  <c r="B6646" i="166"/>
  <c r="H6644" i="166"/>
  <c r="G6644" i="166"/>
  <c r="E6644" i="166" s="1"/>
  <c r="D6644" i="166"/>
  <c r="A6644" i="166"/>
  <c r="B6644" i="166" s="1"/>
  <c r="E6643" i="166"/>
  <c r="D6643" i="166"/>
  <c r="B6643" i="166"/>
  <c r="H6641" i="166"/>
  <c r="G6641" i="166"/>
  <c r="E6641" i="166" s="1"/>
  <c r="D6641" i="166"/>
  <c r="A6641" i="166"/>
  <c r="B6641" i="166" s="1"/>
  <c r="E6640" i="166"/>
  <c r="D6640" i="166"/>
  <c r="B6640" i="166"/>
  <c r="H6638" i="166"/>
  <c r="G6638" i="166"/>
  <c r="E6638" i="166" s="1"/>
  <c r="D6638" i="166"/>
  <c r="A6638" i="166"/>
  <c r="B6638" i="166" s="1"/>
  <c r="E6637" i="166"/>
  <c r="D6637" i="166"/>
  <c r="B6637" i="166"/>
  <c r="H6635" i="166"/>
  <c r="G6635" i="166"/>
  <c r="E6635" i="166" s="1"/>
  <c r="D6635" i="166"/>
  <c r="A6635" i="166"/>
  <c r="B6635" i="166" s="1"/>
  <c r="E6634" i="166"/>
  <c r="D6634" i="166"/>
  <c r="B6634" i="166"/>
  <c r="H6632" i="166"/>
  <c r="G6632" i="166"/>
  <c r="E6632" i="166" s="1"/>
  <c r="D6632" i="166"/>
  <c r="A6632" i="166"/>
  <c r="B6632" i="166" s="1"/>
  <c r="E6631" i="166"/>
  <c r="D6631" i="166"/>
  <c r="B6631" i="166"/>
  <c r="H6629" i="166"/>
  <c r="G6629" i="166"/>
  <c r="E6629" i="166" s="1"/>
  <c r="D6629" i="166"/>
  <c r="A6629" i="166"/>
  <c r="B6629" i="166" s="1"/>
  <c r="E6628" i="166"/>
  <c r="D6628" i="166"/>
  <c r="B6628" i="166"/>
  <c r="H6626" i="166"/>
  <c r="G6626" i="166"/>
  <c r="E6626" i="166" s="1"/>
  <c r="D6626" i="166"/>
  <c r="A6626" i="166"/>
  <c r="B6626" i="166" s="1"/>
  <c r="E6625" i="166"/>
  <c r="D6625" i="166"/>
  <c r="B6625" i="166"/>
  <c r="H6623" i="166"/>
  <c r="G6623" i="166"/>
  <c r="E6623" i="166" s="1"/>
  <c r="D6623" i="166"/>
  <c r="A6623" i="166"/>
  <c r="B6623" i="166" s="1"/>
  <c r="E6622" i="166"/>
  <c r="D6622" i="166"/>
  <c r="B6622" i="166"/>
  <c r="H6620" i="166"/>
  <c r="G6620" i="166"/>
  <c r="E6620" i="166" s="1"/>
  <c r="D6620" i="166"/>
  <c r="A6620" i="166"/>
  <c r="B6620" i="166" s="1"/>
  <c r="E6619" i="166"/>
  <c r="D6619" i="166"/>
  <c r="B6619" i="166"/>
  <c r="H6617" i="166"/>
  <c r="G6617" i="166"/>
  <c r="E6617" i="166" s="1"/>
  <c r="D6617" i="166"/>
  <c r="A6617" i="166"/>
  <c r="B6617" i="166" s="1"/>
  <c r="E6616" i="166"/>
  <c r="D6616" i="166"/>
  <c r="B6616" i="166"/>
  <c r="H6614" i="166"/>
  <c r="G6614" i="166"/>
  <c r="E6614" i="166" s="1"/>
  <c r="D6614" i="166"/>
  <c r="A6614" i="166"/>
  <c r="B6614" i="166" s="1"/>
  <c r="E6613" i="166"/>
  <c r="D6613" i="166"/>
  <c r="B6613" i="166"/>
  <c r="H6611" i="166"/>
  <c r="G6611" i="166"/>
  <c r="E6611" i="166" s="1"/>
  <c r="D6611" i="166"/>
  <c r="A6611" i="166"/>
  <c r="B6611" i="166" s="1"/>
  <c r="E6610" i="166"/>
  <c r="D6610" i="166"/>
  <c r="B6610" i="166"/>
  <c r="H6608" i="166"/>
  <c r="G6608" i="166"/>
  <c r="E6608" i="166" s="1"/>
  <c r="D6608" i="166"/>
  <c r="A6608" i="166"/>
  <c r="B6608" i="166" s="1"/>
  <c r="E6607" i="166"/>
  <c r="D6607" i="166"/>
  <c r="B6607" i="166"/>
  <c r="H6605" i="166"/>
  <c r="G6605" i="166"/>
  <c r="E6605" i="166" s="1"/>
  <c r="D6605" i="166"/>
  <c r="A6605" i="166"/>
  <c r="B6605" i="166" s="1"/>
  <c r="E6604" i="166"/>
  <c r="D6604" i="166"/>
  <c r="B6604" i="166"/>
  <c r="H6602" i="166"/>
  <c r="G6602" i="166"/>
  <c r="E6602" i="166" s="1"/>
  <c r="D6602" i="166"/>
  <c r="A6602" i="166"/>
  <c r="B6602" i="166" s="1"/>
  <c r="E6601" i="166"/>
  <c r="D6601" i="166"/>
  <c r="B6601" i="166"/>
  <c r="H6599" i="166"/>
  <c r="G6599" i="166"/>
  <c r="E6599" i="166" s="1"/>
  <c r="D6599" i="166"/>
  <c r="A6599" i="166"/>
  <c r="B6599" i="166" s="1"/>
  <c r="E6598" i="166"/>
  <c r="D6598" i="166"/>
  <c r="B6598" i="166"/>
  <c r="H6596" i="166"/>
  <c r="G6596" i="166"/>
  <c r="E6596" i="166" s="1"/>
  <c r="D6596" i="166"/>
  <c r="A6596" i="166"/>
  <c r="B6596" i="166" s="1"/>
  <c r="E6595" i="166"/>
  <c r="D6595" i="166"/>
  <c r="B6595" i="166"/>
  <c r="H6593" i="166"/>
  <c r="G6593" i="166"/>
  <c r="E6593" i="166" s="1"/>
  <c r="D6593" i="166"/>
  <c r="A6593" i="166"/>
  <c r="B6593" i="166" s="1"/>
  <c r="E6592" i="166"/>
  <c r="D6592" i="166"/>
  <c r="B6592" i="166"/>
  <c r="H6590" i="166"/>
  <c r="G6590" i="166"/>
  <c r="E6590" i="166" s="1"/>
  <c r="D6590" i="166"/>
  <c r="A6590" i="166"/>
  <c r="B6590" i="166" s="1"/>
  <c r="E6589" i="166"/>
  <c r="D6589" i="166"/>
  <c r="B6589" i="166"/>
  <c r="H6587" i="166"/>
  <c r="G6587" i="166"/>
  <c r="E6587" i="166" s="1"/>
  <c r="D6587" i="166"/>
  <c r="A6587" i="166"/>
  <c r="B6587" i="166" s="1"/>
  <c r="E6586" i="166"/>
  <c r="D6586" i="166"/>
  <c r="B6586" i="166"/>
  <c r="H6584" i="166"/>
  <c r="G6584" i="166"/>
  <c r="E6584" i="166" s="1"/>
  <c r="D6584" i="166"/>
  <c r="A6584" i="166"/>
  <c r="B6584" i="166" s="1"/>
  <c r="E6583" i="166"/>
  <c r="D6583" i="166"/>
  <c r="B6583" i="166"/>
  <c r="H6581" i="166"/>
  <c r="G6581" i="166"/>
  <c r="E6581" i="166" s="1"/>
  <c r="D6581" i="166"/>
  <c r="A6581" i="166"/>
  <c r="B6581" i="166" s="1"/>
  <c r="E6580" i="166"/>
  <c r="D6580" i="166"/>
  <c r="B6580" i="166"/>
  <c r="H6578" i="166"/>
  <c r="G6578" i="166"/>
  <c r="E6578" i="166" s="1"/>
  <c r="D6578" i="166"/>
  <c r="A6578" i="166"/>
  <c r="B6578" i="166" s="1"/>
  <c r="E6577" i="166"/>
  <c r="D6577" i="166"/>
  <c r="B6577" i="166"/>
  <c r="H6575" i="166"/>
  <c r="G6575" i="166"/>
  <c r="E6575" i="166" s="1"/>
  <c r="D6575" i="166"/>
  <c r="A6575" i="166"/>
  <c r="B6575" i="166" s="1"/>
  <c r="E6574" i="166"/>
  <c r="D6574" i="166"/>
  <c r="B6574" i="166"/>
  <c r="H6569" i="166"/>
  <c r="G6569" i="166"/>
  <c r="E6569" i="166" s="1"/>
  <c r="D6569" i="166"/>
  <c r="A6569" i="166"/>
  <c r="B6569" i="166" s="1"/>
  <c r="E6568" i="166"/>
  <c r="D6568" i="166"/>
  <c r="B6568" i="166"/>
  <c r="H6566" i="166"/>
  <c r="G6566" i="166"/>
  <c r="E6566" i="166" s="1"/>
  <c r="D6566" i="166"/>
  <c r="A6566" i="166"/>
  <c r="B6566" i="166" s="1"/>
  <c r="E6565" i="166"/>
  <c r="D6565" i="166"/>
  <c r="B6565" i="166"/>
  <c r="H6563" i="166"/>
  <c r="G6563" i="166"/>
  <c r="E6563" i="166" s="1"/>
  <c r="D6563" i="166"/>
  <c r="A6563" i="166"/>
  <c r="B6563" i="166" s="1"/>
  <c r="E6562" i="166"/>
  <c r="D6562" i="166"/>
  <c r="B6562" i="166"/>
  <c r="H6560" i="166"/>
  <c r="G6560" i="166"/>
  <c r="E6560" i="166" s="1"/>
  <c r="D6560" i="166"/>
  <c r="A6560" i="166"/>
  <c r="B6560" i="166" s="1"/>
  <c r="E6559" i="166"/>
  <c r="D6559" i="166"/>
  <c r="B6559" i="166"/>
  <c r="H6557" i="166"/>
  <c r="G6557" i="166"/>
  <c r="E6557" i="166" s="1"/>
  <c r="D6557" i="166"/>
  <c r="A6557" i="166"/>
  <c r="B6557" i="166" s="1"/>
  <c r="E6556" i="166"/>
  <c r="D6556" i="166"/>
  <c r="B6556" i="166"/>
  <c r="H6554" i="166"/>
  <c r="G6554" i="166"/>
  <c r="E6554" i="166" s="1"/>
  <c r="D6554" i="166"/>
  <c r="A6554" i="166"/>
  <c r="B6554" i="166" s="1"/>
  <c r="E6553" i="166"/>
  <c r="D6553" i="166"/>
  <c r="B6553" i="166"/>
  <c r="H6551" i="166"/>
  <c r="G6551" i="166"/>
  <c r="E6551" i="166" s="1"/>
  <c r="D6551" i="166"/>
  <c r="A6551" i="166"/>
  <c r="B6551" i="166" s="1"/>
  <c r="E6550" i="166"/>
  <c r="D6550" i="166"/>
  <c r="B6550" i="166"/>
  <c r="H6548" i="166"/>
  <c r="G6548" i="166"/>
  <c r="E6548" i="166" s="1"/>
  <c r="D6548" i="166"/>
  <c r="A6548" i="166"/>
  <c r="B6548" i="166" s="1"/>
  <c r="E6547" i="166"/>
  <c r="D6547" i="166"/>
  <c r="B6547" i="166"/>
  <c r="H6545" i="166"/>
  <c r="G6545" i="166"/>
  <c r="E6545" i="166" s="1"/>
  <c r="D6545" i="166"/>
  <c r="A6545" i="166"/>
  <c r="B6545" i="166" s="1"/>
  <c r="E6544" i="166"/>
  <c r="D6544" i="166"/>
  <c r="B6544" i="166"/>
  <c r="H6542" i="166"/>
  <c r="G6542" i="166"/>
  <c r="E6542" i="166" s="1"/>
  <c r="D6542" i="166"/>
  <c r="A6542" i="166"/>
  <c r="B6542" i="166" s="1"/>
  <c r="E6541" i="166"/>
  <c r="D6541" i="166"/>
  <c r="B6541" i="166"/>
  <c r="H6539" i="166"/>
  <c r="G6539" i="166"/>
  <c r="E6539" i="166" s="1"/>
  <c r="D6539" i="166"/>
  <c r="A6539" i="166"/>
  <c r="B6539" i="166" s="1"/>
  <c r="E6538" i="166"/>
  <c r="D6538" i="166"/>
  <c r="B6538" i="166"/>
  <c r="H6536" i="166"/>
  <c r="G6536" i="166"/>
  <c r="E6536" i="166" s="1"/>
  <c r="D6536" i="166"/>
  <c r="A6536" i="166"/>
  <c r="B6536" i="166" s="1"/>
  <c r="E6535" i="166"/>
  <c r="D6535" i="166"/>
  <c r="B6535" i="166"/>
  <c r="H6533" i="166"/>
  <c r="G6533" i="166"/>
  <c r="E6533" i="166" s="1"/>
  <c r="D6533" i="166"/>
  <c r="A6533" i="166"/>
  <c r="B6533" i="166" s="1"/>
  <c r="E6532" i="166"/>
  <c r="D6532" i="166"/>
  <c r="B6532" i="166"/>
  <c r="H6530" i="166"/>
  <c r="G6530" i="166"/>
  <c r="E6530" i="166" s="1"/>
  <c r="D6530" i="166"/>
  <c r="A6530" i="166"/>
  <c r="B6530" i="166" s="1"/>
  <c r="E6529" i="166"/>
  <c r="D6529" i="166"/>
  <c r="B6529" i="166"/>
  <c r="H6527" i="166"/>
  <c r="G6527" i="166"/>
  <c r="E6527" i="166" s="1"/>
  <c r="D6527" i="166"/>
  <c r="A6527" i="166"/>
  <c r="B6527" i="166" s="1"/>
  <c r="E6526" i="166"/>
  <c r="D6526" i="166"/>
  <c r="B6526" i="166"/>
  <c r="H6524" i="166"/>
  <c r="G6524" i="166"/>
  <c r="E6524" i="166" s="1"/>
  <c r="D6524" i="166"/>
  <c r="A6524" i="166"/>
  <c r="B6524" i="166" s="1"/>
  <c r="E6523" i="166"/>
  <c r="D6523" i="166"/>
  <c r="B6523" i="166"/>
  <c r="H6521" i="166"/>
  <c r="G6521" i="166"/>
  <c r="E6521" i="166" s="1"/>
  <c r="D6521" i="166"/>
  <c r="A6521" i="166"/>
  <c r="B6521" i="166" s="1"/>
  <c r="E6520" i="166"/>
  <c r="D6520" i="166"/>
  <c r="B6520" i="166"/>
  <c r="H6518" i="166"/>
  <c r="G6518" i="166"/>
  <c r="E6518" i="166" s="1"/>
  <c r="D6518" i="166"/>
  <c r="A6518" i="166"/>
  <c r="B6518" i="166" s="1"/>
  <c r="E6517" i="166"/>
  <c r="D6517" i="166"/>
  <c r="B6517" i="166"/>
  <c r="H6515" i="166"/>
  <c r="G6515" i="166"/>
  <c r="E6515" i="166" s="1"/>
  <c r="D6515" i="166"/>
  <c r="A6515" i="166"/>
  <c r="B6515" i="166" s="1"/>
  <c r="E6514" i="166"/>
  <c r="D6514" i="166"/>
  <c r="B6514" i="166"/>
  <c r="H6512" i="166"/>
  <c r="G6512" i="166"/>
  <c r="E6512" i="166" s="1"/>
  <c r="D6512" i="166"/>
  <c r="A6512" i="166"/>
  <c r="B6512" i="166" s="1"/>
  <c r="E6511" i="166"/>
  <c r="D6511" i="166"/>
  <c r="B6511" i="166"/>
  <c r="H6509" i="166"/>
  <c r="G6509" i="166"/>
  <c r="E6509" i="166" s="1"/>
  <c r="D6509" i="166"/>
  <c r="A6509" i="166"/>
  <c r="B6509" i="166" s="1"/>
  <c r="E6508" i="166"/>
  <c r="D6508" i="166"/>
  <c r="B6508" i="166"/>
  <c r="H6506" i="166"/>
  <c r="G6506" i="166"/>
  <c r="E6506" i="166" s="1"/>
  <c r="D6506" i="166"/>
  <c r="A6506" i="166"/>
  <c r="B6506" i="166" s="1"/>
  <c r="E6505" i="166"/>
  <c r="D6505" i="166"/>
  <c r="B6505" i="166"/>
  <c r="H6503" i="166"/>
  <c r="G6503" i="166"/>
  <c r="E6503" i="166" s="1"/>
  <c r="D6503" i="166"/>
  <c r="A6503" i="166"/>
  <c r="B6503" i="166" s="1"/>
  <c r="E6502" i="166"/>
  <c r="D6502" i="166"/>
  <c r="B6502" i="166"/>
  <c r="H6500" i="166"/>
  <c r="G6500" i="166"/>
  <c r="E6500" i="166" s="1"/>
  <c r="D6500" i="166"/>
  <c r="A6500" i="166"/>
  <c r="B6500" i="166" s="1"/>
  <c r="E6499" i="166"/>
  <c r="D6499" i="166"/>
  <c r="B6499" i="166"/>
  <c r="H6497" i="166"/>
  <c r="G6497" i="166"/>
  <c r="E6497" i="166" s="1"/>
  <c r="D6497" i="166"/>
  <c r="A6497" i="166"/>
  <c r="B6497" i="166" s="1"/>
  <c r="E6496" i="166"/>
  <c r="D6496" i="166"/>
  <c r="B6496" i="166"/>
  <c r="B6410" i="167" l="1"/>
  <c r="B6412" i="167"/>
  <c r="B6413" i="167" s="1"/>
  <c r="B6414" i="167" s="1"/>
  <c r="B6415" i="167" s="1"/>
  <c r="B6416" i="167" s="1"/>
  <c r="B6391" i="167"/>
  <c r="A6395" i="167"/>
  <c r="B6395" i="167" s="1"/>
  <c r="A6389" i="167"/>
  <c r="A6393" i="167" s="1"/>
  <c r="A6388" i="167"/>
  <c r="A6392" i="167" s="1"/>
  <c r="A6386" i="167"/>
  <c r="B6385" i="167"/>
  <c r="B6387" i="167"/>
  <c r="B6732" i="166"/>
  <c r="A6734" i="166"/>
  <c r="H6315" i="167"/>
  <c r="G6315" i="167"/>
  <c r="E6315" i="167" s="1"/>
  <c r="D6315" i="167"/>
  <c r="A6315" i="167"/>
  <c r="B6315" i="167" s="1"/>
  <c r="E6314" i="167"/>
  <c r="D6314" i="167"/>
  <c r="B6314" i="167"/>
  <c r="H6312" i="167"/>
  <c r="G6312" i="167"/>
  <c r="E6312" i="167" s="1"/>
  <c r="D6312" i="167"/>
  <c r="A6312" i="167"/>
  <c r="B6312" i="167" s="1"/>
  <c r="E6311" i="167"/>
  <c r="D6311" i="167"/>
  <c r="B6311" i="167"/>
  <c r="L6298" i="167"/>
  <c r="K6298" i="167"/>
  <c r="H6298" i="167"/>
  <c r="G6298" i="167"/>
  <c r="E6298" i="167" s="1"/>
  <c r="D6298" i="167"/>
  <c r="A6298" i="167"/>
  <c r="K6297" i="167"/>
  <c r="E6297" i="167"/>
  <c r="D6297" i="167"/>
  <c r="B6297" i="167"/>
  <c r="B6298" i="167" s="1"/>
  <c r="G6309" i="167"/>
  <c r="E6309" i="167" s="1"/>
  <c r="K6309" i="167"/>
  <c r="D6309" i="167"/>
  <c r="K6308" i="167"/>
  <c r="E6308" i="167"/>
  <c r="D6308" i="167"/>
  <c r="L6307" i="167"/>
  <c r="L6308" i="167" s="1"/>
  <c r="L6309" i="167" s="1"/>
  <c r="K6307" i="167"/>
  <c r="E6307" i="167"/>
  <c r="D6307" i="167"/>
  <c r="A6307" i="167"/>
  <c r="A6308" i="167" s="1"/>
  <c r="A6309" i="167" s="1"/>
  <c r="K6306" i="167"/>
  <c r="E6306" i="167"/>
  <c r="D6306" i="167"/>
  <c r="B6306" i="167"/>
  <c r="B6307" i="167" s="1"/>
  <c r="B6308" i="167" s="1"/>
  <c r="B6309" i="167" s="1"/>
  <c r="H6304" i="167"/>
  <c r="G6304" i="167"/>
  <c r="E6304" i="167" s="1"/>
  <c r="D6304" i="167"/>
  <c r="A6304" i="167"/>
  <c r="E6303" i="167"/>
  <c r="D6303" i="167"/>
  <c r="B6303" i="167"/>
  <c r="B6304" i="167" s="1"/>
  <c r="L6301" i="167"/>
  <c r="K6301" i="167"/>
  <c r="H6301" i="167"/>
  <c r="G6301" i="167"/>
  <c r="E6301" i="167" s="1"/>
  <c r="D6301" i="167"/>
  <c r="A6301" i="167"/>
  <c r="K6300" i="167"/>
  <c r="E6300" i="167"/>
  <c r="D6300" i="167"/>
  <c r="B6300" i="167"/>
  <c r="B6301" i="167" s="1"/>
  <c r="N6295" i="167"/>
  <c r="L6295" i="167"/>
  <c r="H6295" i="167"/>
  <c r="G6295" i="167"/>
  <c r="E6295" i="167" s="1"/>
  <c r="D6295" i="167"/>
  <c r="A6295" i="167"/>
  <c r="N6294" i="167"/>
  <c r="E6294" i="167"/>
  <c r="D6294" i="167"/>
  <c r="B6294" i="167"/>
  <c r="B6295" i="167" s="1"/>
  <c r="H6292" i="167"/>
  <c r="G6292" i="167"/>
  <c r="E6292" i="167" s="1"/>
  <c r="D6292" i="167"/>
  <c r="A6292" i="167"/>
  <c r="B6292" i="167" s="1"/>
  <c r="E6291" i="167"/>
  <c r="D6291" i="167"/>
  <c r="B6291" i="167"/>
  <c r="H6289" i="167"/>
  <c r="G6289" i="167"/>
  <c r="E6289" i="167" s="1"/>
  <c r="D6289" i="167"/>
  <c r="A6289" i="167"/>
  <c r="B6289" i="167" s="1"/>
  <c r="E6288" i="167"/>
  <c r="D6288" i="167"/>
  <c r="B6288" i="167"/>
  <c r="B6393" i="167" l="1"/>
  <c r="A6397" i="167"/>
  <c r="B6397" i="167" s="1"/>
  <c r="B6392" i="167"/>
  <c r="A6396" i="167"/>
  <c r="B6396" i="167" s="1"/>
  <c r="A6390" i="167"/>
  <c r="A6394" i="167" s="1"/>
  <c r="B6386" i="167"/>
  <c r="B6388" i="167"/>
  <c r="B6389" i="167"/>
  <c r="A6735" i="166"/>
  <c r="B6734" i="166"/>
  <c r="H6286" i="167"/>
  <c r="G6286" i="167"/>
  <c r="E6286" i="167" s="1"/>
  <c r="D6286" i="167"/>
  <c r="A6286" i="167"/>
  <c r="B6286" i="167" s="1"/>
  <c r="E6285" i="167"/>
  <c r="D6285" i="167"/>
  <c r="B6285" i="167"/>
  <c r="H6283" i="167"/>
  <c r="G6283" i="167"/>
  <c r="E6283" i="167" s="1"/>
  <c r="D6283" i="167"/>
  <c r="A6283" i="167"/>
  <c r="B6283" i="167" s="1"/>
  <c r="E6282" i="167"/>
  <c r="D6282" i="167"/>
  <c r="B6282" i="167"/>
  <c r="H6280" i="167"/>
  <c r="G6280" i="167"/>
  <c r="E6280" i="167" s="1"/>
  <c r="D6280" i="167"/>
  <c r="A6280" i="167"/>
  <c r="B6280" i="167" s="1"/>
  <c r="E6279" i="167"/>
  <c r="D6279" i="167"/>
  <c r="B6279" i="167"/>
  <c r="H6277" i="167"/>
  <c r="G6277" i="167"/>
  <c r="E6277" i="167" s="1"/>
  <c r="D6277" i="167"/>
  <c r="A6277" i="167"/>
  <c r="B6277" i="167" s="1"/>
  <c r="E6276" i="167"/>
  <c r="D6276" i="167"/>
  <c r="B6276" i="167"/>
  <c r="H6274" i="167"/>
  <c r="G6274" i="167"/>
  <c r="E6274" i="167" s="1"/>
  <c r="D6274" i="167"/>
  <c r="A6274" i="167"/>
  <c r="B6274" i="167" s="1"/>
  <c r="E6273" i="167"/>
  <c r="D6273" i="167"/>
  <c r="B6273" i="167"/>
  <c r="H6271" i="167"/>
  <c r="G6271" i="167"/>
  <c r="E6271" i="167" s="1"/>
  <c r="D6271" i="167"/>
  <c r="A6271" i="167"/>
  <c r="B6271" i="167" s="1"/>
  <c r="E6270" i="167"/>
  <c r="D6270" i="167"/>
  <c r="B6270" i="167"/>
  <c r="B6394" i="167" l="1"/>
  <c r="A6398" i="167"/>
  <c r="B6398" i="167" s="1"/>
  <c r="B6390" i="167"/>
  <c r="B6735" i="166"/>
  <c r="A6737" i="166"/>
  <c r="H6268" i="167"/>
  <c r="G6268" i="167"/>
  <c r="E6268" i="167" s="1"/>
  <c r="D6268" i="167"/>
  <c r="A6268" i="167"/>
  <c r="B6268" i="167" s="1"/>
  <c r="E6267" i="167"/>
  <c r="D6267" i="167"/>
  <c r="B6267" i="167"/>
  <c r="H6265" i="167"/>
  <c r="G6265" i="167"/>
  <c r="E6265" i="167" s="1"/>
  <c r="D6265" i="167"/>
  <c r="A6265" i="167"/>
  <c r="B6265" i="167" s="1"/>
  <c r="E6264" i="167"/>
  <c r="D6264" i="167"/>
  <c r="B6264" i="167"/>
  <c r="H6262" i="167"/>
  <c r="G6262" i="167"/>
  <c r="E6262" i="167" s="1"/>
  <c r="D6262" i="167"/>
  <c r="A6262" i="167"/>
  <c r="B6262" i="167" s="1"/>
  <c r="E6261" i="167"/>
  <c r="D6261" i="167"/>
  <c r="B6261" i="167"/>
  <c r="H6259" i="167"/>
  <c r="G6259" i="167"/>
  <c r="E6259" i="167" s="1"/>
  <c r="D6259" i="167"/>
  <c r="A6259" i="167"/>
  <c r="B6259" i="167" s="1"/>
  <c r="E6258" i="167"/>
  <c r="D6258" i="167"/>
  <c r="B6258" i="167"/>
  <c r="H6256" i="167"/>
  <c r="G6256" i="167"/>
  <c r="E6256" i="167" s="1"/>
  <c r="D6256" i="167"/>
  <c r="A6256" i="167"/>
  <c r="B6256" i="167" s="1"/>
  <c r="E6255" i="167"/>
  <c r="D6255" i="167"/>
  <c r="B6255" i="167"/>
  <c r="H6253" i="167"/>
  <c r="G6253" i="167"/>
  <c r="E6253" i="167" s="1"/>
  <c r="D6253" i="167"/>
  <c r="A6253" i="167"/>
  <c r="B6253" i="167" s="1"/>
  <c r="E6252" i="167"/>
  <c r="D6252" i="167"/>
  <c r="B6252" i="167"/>
  <c r="H6250" i="167"/>
  <c r="G6250" i="167"/>
  <c r="E6250" i="167" s="1"/>
  <c r="D6250" i="167"/>
  <c r="A6250" i="167"/>
  <c r="B6250" i="167" s="1"/>
  <c r="E6249" i="167"/>
  <c r="D6249" i="167"/>
  <c r="B6249" i="167"/>
  <c r="H6247" i="167"/>
  <c r="G6247" i="167"/>
  <c r="E6247" i="167" s="1"/>
  <c r="D6247" i="167"/>
  <c r="A6247" i="167"/>
  <c r="B6247" i="167" s="1"/>
  <c r="E6246" i="167"/>
  <c r="D6246" i="167"/>
  <c r="B6246" i="167"/>
  <c r="H6244" i="167"/>
  <c r="G6244" i="167"/>
  <c r="E6244" i="167" s="1"/>
  <c r="D6244" i="167"/>
  <c r="A6244" i="167"/>
  <c r="B6244" i="167" s="1"/>
  <c r="E6243" i="167"/>
  <c r="D6243" i="167"/>
  <c r="B6243" i="167"/>
  <c r="H6241" i="167"/>
  <c r="G6241" i="167"/>
  <c r="E6241" i="167" s="1"/>
  <c r="D6241" i="167"/>
  <c r="A6241" i="167"/>
  <c r="B6241" i="167" s="1"/>
  <c r="E6240" i="167"/>
  <c r="D6240" i="167"/>
  <c r="B6240" i="167"/>
  <c r="H6238" i="167"/>
  <c r="G6238" i="167"/>
  <c r="E6238" i="167" s="1"/>
  <c r="D6238" i="167"/>
  <c r="A6238" i="167"/>
  <c r="B6238" i="167" s="1"/>
  <c r="E6237" i="167"/>
  <c r="D6237" i="167"/>
  <c r="B6237" i="167"/>
  <c r="H6235" i="167"/>
  <c r="G6235" i="167"/>
  <c r="E6235" i="167" s="1"/>
  <c r="D6235" i="167"/>
  <c r="A6235" i="167"/>
  <c r="B6235" i="167" s="1"/>
  <c r="E6234" i="167"/>
  <c r="D6234" i="167"/>
  <c r="B6234" i="167"/>
  <c r="H6232" i="167"/>
  <c r="G6232" i="167"/>
  <c r="E6232" i="167" s="1"/>
  <c r="D6232" i="167"/>
  <c r="A6232" i="167"/>
  <c r="B6232" i="167" s="1"/>
  <c r="E6231" i="167"/>
  <c r="D6231" i="167"/>
  <c r="B6231" i="167"/>
  <c r="H6229" i="167"/>
  <c r="G6229" i="167"/>
  <c r="E6229" i="167" s="1"/>
  <c r="D6229" i="167"/>
  <c r="A6229" i="167"/>
  <c r="B6229" i="167" s="1"/>
  <c r="E6228" i="167"/>
  <c r="D6228" i="167"/>
  <c r="B6228" i="167"/>
  <c r="H6226" i="167"/>
  <c r="G6226" i="167"/>
  <c r="E6226" i="167" s="1"/>
  <c r="D6226" i="167"/>
  <c r="A6226" i="167"/>
  <c r="B6226" i="167" s="1"/>
  <c r="E6225" i="167"/>
  <c r="D6225" i="167"/>
  <c r="B6225" i="167"/>
  <c r="H6223" i="167"/>
  <c r="G6223" i="167"/>
  <c r="E6223" i="167" s="1"/>
  <c r="D6223" i="167"/>
  <c r="A6223" i="167"/>
  <c r="B6223" i="167" s="1"/>
  <c r="E6222" i="167"/>
  <c r="D6222" i="167"/>
  <c r="B6222" i="167"/>
  <c r="H6220" i="167"/>
  <c r="G6220" i="167"/>
  <c r="E6220" i="167" s="1"/>
  <c r="D6220" i="167"/>
  <c r="A6220" i="167"/>
  <c r="B6220" i="167" s="1"/>
  <c r="E6219" i="167"/>
  <c r="D6219" i="167"/>
  <c r="B6219" i="167"/>
  <c r="H6217" i="167"/>
  <c r="G6217" i="167"/>
  <c r="E6217" i="167" s="1"/>
  <c r="D6217" i="167"/>
  <c r="A6217" i="167"/>
  <c r="B6217" i="167" s="1"/>
  <c r="E6216" i="167"/>
  <c r="D6216" i="167"/>
  <c r="B6216" i="167"/>
  <c r="H6214" i="167"/>
  <c r="G6214" i="167"/>
  <c r="E6214" i="167" s="1"/>
  <c r="D6214" i="167"/>
  <c r="A6214" i="167"/>
  <c r="B6214" i="167" s="1"/>
  <c r="E6213" i="167"/>
  <c r="D6213" i="167"/>
  <c r="B6213" i="167"/>
  <c r="H6211" i="167"/>
  <c r="G6211" i="167"/>
  <c r="E6211" i="167" s="1"/>
  <c r="D6211" i="167"/>
  <c r="A6211" i="167"/>
  <c r="B6211" i="167" s="1"/>
  <c r="E6210" i="167"/>
  <c r="D6210" i="167"/>
  <c r="B6210" i="167"/>
  <c r="H6208" i="167"/>
  <c r="G6208" i="167"/>
  <c r="E6208" i="167" s="1"/>
  <c r="D6208" i="167"/>
  <c r="A6208" i="167"/>
  <c r="B6208" i="167" s="1"/>
  <c r="E6207" i="167"/>
  <c r="D6207" i="167"/>
  <c r="B6207" i="167"/>
  <c r="H6205" i="167"/>
  <c r="G6205" i="167"/>
  <c r="E6205" i="167" s="1"/>
  <c r="D6205" i="167"/>
  <c r="A6205" i="167"/>
  <c r="B6205" i="167" s="1"/>
  <c r="E6204" i="167"/>
  <c r="D6204" i="167"/>
  <c r="B6204" i="167"/>
  <c r="H6202" i="167"/>
  <c r="G6202" i="167"/>
  <c r="E6202" i="167" s="1"/>
  <c r="D6202" i="167"/>
  <c r="A6202" i="167"/>
  <c r="B6202" i="167" s="1"/>
  <c r="E6201" i="167"/>
  <c r="D6201" i="167"/>
  <c r="B6201" i="167"/>
  <c r="H6199" i="167"/>
  <c r="G6199" i="167"/>
  <c r="E6199" i="167" s="1"/>
  <c r="D6199" i="167"/>
  <c r="A6199" i="167"/>
  <c r="B6199" i="167" s="1"/>
  <c r="E6198" i="167"/>
  <c r="D6198" i="167"/>
  <c r="B6198" i="167"/>
  <c r="H6196" i="167"/>
  <c r="G6196" i="167"/>
  <c r="E6196" i="167" s="1"/>
  <c r="D6196" i="167"/>
  <c r="A6196" i="167"/>
  <c r="B6196" i="167" s="1"/>
  <c r="E6195" i="167"/>
  <c r="D6195" i="167"/>
  <c r="B6195" i="167"/>
  <c r="H6193" i="167"/>
  <c r="G6193" i="167"/>
  <c r="E6193" i="167" s="1"/>
  <c r="D6193" i="167"/>
  <c r="A6193" i="167"/>
  <c r="B6193" i="167" s="1"/>
  <c r="E6192" i="167"/>
  <c r="D6192" i="167"/>
  <c r="B6192" i="167"/>
  <c r="H6190" i="167"/>
  <c r="G6190" i="167"/>
  <c r="E6190" i="167" s="1"/>
  <c r="D6190" i="167"/>
  <c r="A6190" i="167"/>
  <c r="B6190" i="167" s="1"/>
  <c r="E6189" i="167"/>
  <c r="D6189" i="167"/>
  <c r="B6189" i="167"/>
  <c r="H6187" i="167"/>
  <c r="G6187" i="167"/>
  <c r="E6187" i="167" s="1"/>
  <c r="D6187" i="167"/>
  <c r="A6187" i="167"/>
  <c r="B6187" i="167" s="1"/>
  <c r="E6186" i="167"/>
  <c r="D6186" i="167"/>
  <c r="B6186" i="167"/>
  <c r="H6184" i="167"/>
  <c r="G6184" i="167"/>
  <c r="E6184" i="167" s="1"/>
  <c r="D6184" i="167"/>
  <c r="A6184" i="167"/>
  <c r="B6184" i="167" s="1"/>
  <c r="E6183" i="167"/>
  <c r="D6183" i="167"/>
  <c r="B6183" i="167"/>
  <c r="H6181" i="167"/>
  <c r="G6181" i="167"/>
  <c r="E6181" i="167" s="1"/>
  <c r="D6181" i="167"/>
  <c r="A6181" i="167"/>
  <c r="B6181" i="167" s="1"/>
  <c r="E6180" i="167"/>
  <c r="D6180" i="167"/>
  <c r="B6180" i="167"/>
  <c r="H6178" i="167"/>
  <c r="G6178" i="167"/>
  <c r="E6178" i="167" s="1"/>
  <c r="D6178" i="167"/>
  <c r="A6178" i="167"/>
  <c r="B6178" i="167" s="1"/>
  <c r="E6177" i="167"/>
  <c r="D6177" i="167"/>
  <c r="B6177" i="167"/>
  <c r="H6175" i="167"/>
  <c r="G6175" i="167"/>
  <c r="E6175" i="167" s="1"/>
  <c r="D6175" i="167"/>
  <c r="A6175" i="167"/>
  <c r="B6175" i="167" s="1"/>
  <c r="E6174" i="167"/>
  <c r="D6174" i="167"/>
  <c r="B6174" i="167"/>
  <c r="H6172" i="167"/>
  <c r="G6172" i="167"/>
  <c r="E6172" i="167" s="1"/>
  <c r="D6172" i="167"/>
  <c r="A6172" i="167"/>
  <c r="B6172" i="167" s="1"/>
  <c r="E6171" i="167"/>
  <c r="D6171" i="167"/>
  <c r="B6171" i="167"/>
  <c r="H6169" i="167"/>
  <c r="G6169" i="167"/>
  <c r="E6169" i="167" s="1"/>
  <c r="D6169" i="167"/>
  <c r="A6169" i="167"/>
  <c r="B6169" i="167" s="1"/>
  <c r="E6168" i="167"/>
  <c r="D6168" i="167"/>
  <c r="B6168" i="167"/>
  <c r="H6166" i="167"/>
  <c r="G6166" i="167"/>
  <c r="E6166" i="167" s="1"/>
  <c r="D6166" i="167"/>
  <c r="A6166" i="167"/>
  <c r="B6166" i="167" s="1"/>
  <c r="E6165" i="167"/>
  <c r="D6165" i="167"/>
  <c r="B6165" i="167"/>
  <c r="H6163" i="167"/>
  <c r="G6163" i="167"/>
  <c r="E6163" i="167" s="1"/>
  <c r="D6163" i="167"/>
  <c r="A6163" i="167"/>
  <c r="B6163" i="167" s="1"/>
  <c r="E6162" i="167"/>
  <c r="D6162" i="167"/>
  <c r="B6162" i="167"/>
  <c r="H6160" i="167"/>
  <c r="G6160" i="167"/>
  <c r="E6160" i="167" s="1"/>
  <c r="D6160" i="167"/>
  <c r="A6160" i="167"/>
  <c r="B6160" i="167" s="1"/>
  <c r="E6159" i="167"/>
  <c r="D6159" i="167"/>
  <c r="B6159" i="167"/>
  <c r="H6157" i="167"/>
  <c r="G6157" i="167"/>
  <c r="E6157" i="167" s="1"/>
  <c r="D6157" i="167"/>
  <c r="A6157" i="167"/>
  <c r="B6157" i="167" s="1"/>
  <c r="E6156" i="167"/>
  <c r="D6156" i="167"/>
  <c r="B6156" i="167"/>
  <c r="H6154" i="167"/>
  <c r="G6154" i="167"/>
  <c r="E6154" i="167" s="1"/>
  <c r="D6154" i="167"/>
  <c r="A6154" i="167"/>
  <c r="B6154" i="167" s="1"/>
  <c r="E6153" i="167"/>
  <c r="D6153" i="167"/>
  <c r="B6153" i="167"/>
  <c r="H6151" i="167"/>
  <c r="G6151" i="167"/>
  <c r="E6151" i="167" s="1"/>
  <c r="D6151" i="167"/>
  <c r="A6151" i="167"/>
  <c r="B6151" i="167" s="1"/>
  <c r="E6150" i="167"/>
  <c r="D6150" i="167"/>
  <c r="B6150" i="167"/>
  <c r="H6148" i="167"/>
  <c r="G6148" i="167"/>
  <c r="E6148" i="167" s="1"/>
  <c r="D6148" i="167"/>
  <c r="A6148" i="167"/>
  <c r="B6148" i="167" s="1"/>
  <c r="E6147" i="167"/>
  <c r="D6147" i="167"/>
  <c r="B6147" i="167"/>
  <c r="H6145" i="167"/>
  <c r="G6145" i="167"/>
  <c r="E6145" i="167" s="1"/>
  <c r="D6145" i="167"/>
  <c r="A6145" i="167"/>
  <c r="B6145" i="167" s="1"/>
  <c r="E6144" i="167"/>
  <c r="D6144" i="167"/>
  <c r="B6144" i="167"/>
  <c r="H6142" i="167"/>
  <c r="G6142" i="167"/>
  <c r="E6142" i="167" s="1"/>
  <c r="D6142" i="167"/>
  <c r="A6142" i="167"/>
  <c r="B6142" i="167" s="1"/>
  <c r="E6141" i="167"/>
  <c r="D6141" i="167"/>
  <c r="B6141" i="167"/>
  <c r="H6139" i="167"/>
  <c r="G6139" i="167"/>
  <c r="E6139" i="167" s="1"/>
  <c r="D6139" i="167"/>
  <c r="A6139" i="167"/>
  <c r="B6139" i="167" s="1"/>
  <c r="E6138" i="167"/>
  <c r="D6138" i="167"/>
  <c r="B6138" i="167"/>
  <c r="H6136" i="167"/>
  <c r="G6136" i="167"/>
  <c r="E6136" i="167" s="1"/>
  <c r="D6136" i="167"/>
  <c r="A6136" i="167"/>
  <c r="B6136" i="167" s="1"/>
  <c r="E6135" i="167"/>
  <c r="D6135" i="167"/>
  <c r="B6135" i="167"/>
  <c r="H6133" i="167"/>
  <c r="G6133" i="167"/>
  <c r="E6133" i="167" s="1"/>
  <c r="D6133" i="167"/>
  <c r="A6133" i="167"/>
  <c r="B6133" i="167" s="1"/>
  <c r="E6132" i="167"/>
  <c r="D6132" i="167"/>
  <c r="B6132" i="167"/>
  <c r="H6130" i="167"/>
  <c r="G6130" i="167"/>
  <c r="E6130" i="167" s="1"/>
  <c r="D6130" i="167"/>
  <c r="A6130" i="167"/>
  <c r="B6130" i="167" s="1"/>
  <c r="E6129" i="167"/>
  <c r="D6129" i="167"/>
  <c r="B6129" i="167"/>
  <c r="H6127" i="167"/>
  <c r="G6127" i="167"/>
  <c r="E6127" i="167" s="1"/>
  <c r="D6127" i="167"/>
  <c r="A6127" i="167"/>
  <c r="B6127" i="167" s="1"/>
  <c r="E6126" i="167"/>
  <c r="D6126" i="167"/>
  <c r="B6126" i="167"/>
  <c r="H6123" i="167"/>
  <c r="H6124" i="167" s="1"/>
  <c r="E6123" i="167"/>
  <c r="D6123" i="167"/>
  <c r="A6123" i="167"/>
  <c r="E6122" i="167"/>
  <c r="D6122" i="167"/>
  <c r="B6122" i="167"/>
  <c r="H6119" i="167"/>
  <c r="H6120" i="167" s="1"/>
  <c r="E6119" i="167"/>
  <c r="D6119" i="167"/>
  <c r="A6119" i="167"/>
  <c r="E6118" i="167"/>
  <c r="D6118" i="167"/>
  <c r="B6118" i="167"/>
  <c r="H6115" i="167"/>
  <c r="H6116" i="167" s="1"/>
  <c r="E6115" i="167"/>
  <c r="D6115" i="167"/>
  <c r="A6115" i="167"/>
  <c r="E6114" i="167"/>
  <c r="D6114" i="167"/>
  <c r="B6114" i="167"/>
  <c r="H6111" i="167"/>
  <c r="H6112" i="167" s="1"/>
  <c r="E6111" i="167"/>
  <c r="D6111" i="167"/>
  <c r="A6111" i="167"/>
  <c r="E6110" i="167"/>
  <c r="D6110" i="167"/>
  <c r="B6110" i="167"/>
  <c r="H6108" i="167"/>
  <c r="G6108" i="167"/>
  <c r="E6108" i="167" s="1"/>
  <c r="D6108" i="167"/>
  <c r="A6108" i="167"/>
  <c r="B6108" i="167" s="1"/>
  <c r="E6107" i="167"/>
  <c r="D6107" i="167"/>
  <c r="B6107" i="167"/>
  <c r="D28" i="22"/>
  <c r="C28" i="22"/>
  <c r="H6105" i="167"/>
  <c r="G6105" i="167"/>
  <c r="E6105" i="167" s="1"/>
  <c r="D6105" i="167"/>
  <c r="A6105" i="167"/>
  <c r="B6105" i="167" s="1"/>
  <c r="E6104" i="167"/>
  <c r="D6104" i="167"/>
  <c r="B6104" i="167"/>
  <c r="E6102" i="167"/>
  <c r="D6102" i="167"/>
  <c r="H6101" i="167"/>
  <c r="H6102" i="167" s="1"/>
  <c r="E6101" i="167"/>
  <c r="D6101" i="167"/>
  <c r="A6101" i="167"/>
  <c r="A6102" i="167" s="1"/>
  <c r="F6100" i="167"/>
  <c r="E6100" i="167" s="1"/>
  <c r="D6100" i="167"/>
  <c r="B6100" i="167"/>
  <c r="B6101" i="167" s="1"/>
  <c r="B6102" i="167" s="1"/>
  <c r="E6098" i="167"/>
  <c r="D6098" i="167"/>
  <c r="H6097" i="167"/>
  <c r="H6098" i="167" s="1"/>
  <c r="E6097" i="167"/>
  <c r="D6097" i="167"/>
  <c r="A6097" i="167"/>
  <c r="A6098" i="167" s="1"/>
  <c r="E6096" i="167"/>
  <c r="D6096" i="167"/>
  <c r="B6096" i="167"/>
  <c r="B6097" i="167" s="1"/>
  <c r="B6098" i="167" s="1"/>
  <c r="E6094" i="167"/>
  <c r="D6094" i="167"/>
  <c r="H6093" i="167"/>
  <c r="H6094" i="167" s="1"/>
  <c r="D6093" i="167"/>
  <c r="A6093" i="167"/>
  <c r="A6094" i="167" s="1"/>
  <c r="B6094" i="167" s="1"/>
  <c r="D6092" i="167"/>
  <c r="B6092" i="167"/>
  <c r="H6090" i="167"/>
  <c r="G6090" i="167"/>
  <c r="E6090" i="167" s="1"/>
  <c r="D6090" i="167"/>
  <c r="A6090" i="167"/>
  <c r="B6090" i="167" s="1"/>
  <c r="E6089" i="167"/>
  <c r="D6089" i="167"/>
  <c r="B6089" i="167"/>
  <c r="H6087" i="167"/>
  <c r="G6087" i="167"/>
  <c r="E6087" i="167" s="1"/>
  <c r="D6087" i="167"/>
  <c r="A6087" i="167"/>
  <c r="B6087" i="167" s="1"/>
  <c r="E6086" i="167"/>
  <c r="D6086" i="167"/>
  <c r="B6086" i="167"/>
  <c r="H6083" i="167"/>
  <c r="H6084" i="167" s="1"/>
  <c r="E6083" i="167"/>
  <c r="D6083" i="167"/>
  <c r="A6083" i="167"/>
  <c r="E6082" i="167"/>
  <c r="D6082" i="167"/>
  <c r="B6082" i="167"/>
  <c r="H6079" i="167"/>
  <c r="H6080" i="167" s="1"/>
  <c r="E6079" i="167"/>
  <c r="D6079" i="167"/>
  <c r="A6079" i="167"/>
  <c r="E6078" i="167"/>
  <c r="D6078" i="167"/>
  <c r="B6078" i="167"/>
  <c r="H6076" i="167"/>
  <c r="G6076" i="167"/>
  <c r="E6076" i="167" s="1"/>
  <c r="D6076" i="167"/>
  <c r="A6076" i="167"/>
  <c r="B6076" i="167" s="1"/>
  <c r="E6075" i="167"/>
  <c r="D6075" i="167"/>
  <c r="B6075" i="167"/>
  <c r="H6072" i="167"/>
  <c r="H6073" i="167" s="1"/>
  <c r="E6072" i="167"/>
  <c r="D6072" i="167"/>
  <c r="A6072" i="167"/>
  <c r="E6071" i="167"/>
  <c r="D6071" i="167"/>
  <c r="B6071" i="167"/>
  <c r="H6069" i="167"/>
  <c r="G6069" i="167"/>
  <c r="E6069" i="167" s="1"/>
  <c r="D6069" i="167"/>
  <c r="A6069" i="167"/>
  <c r="B6069" i="167" s="1"/>
  <c r="E6068" i="167"/>
  <c r="D6068" i="167"/>
  <c r="B6068" i="167"/>
  <c r="H6066" i="167"/>
  <c r="G6066" i="167"/>
  <c r="E6066" i="167" s="1"/>
  <c r="D6066" i="167"/>
  <c r="A6066" i="167"/>
  <c r="B6066" i="167" s="1"/>
  <c r="E6065" i="167"/>
  <c r="D6065" i="167"/>
  <c r="B6065" i="167"/>
  <c r="H6063" i="167"/>
  <c r="G6063" i="167"/>
  <c r="E6063" i="167" s="1"/>
  <c r="D6063" i="167"/>
  <c r="A6063" i="167"/>
  <c r="B6063" i="167" s="1"/>
  <c r="E6062" i="167"/>
  <c r="D6062" i="167"/>
  <c r="B6062" i="167"/>
  <c r="H6060" i="167"/>
  <c r="G6060" i="167"/>
  <c r="E6060" i="167" s="1"/>
  <c r="D6060" i="167"/>
  <c r="A6060" i="167"/>
  <c r="B6060" i="167" s="1"/>
  <c r="E6059" i="167"/>
  <c r="D6059" i="167"/>
  <c r="B6059" i="167"/>
  <c r="H6057" i="167"/>
  <c r="G6057" i="167"/>
  <c r="E6057" i="167" s="1"/>
  <c r="D6057" i="167"/>
  <c r="A6057" i="167"/>
  <c r="B6057" i="167" s="1"/>
  <c r="E6056" i="167"/>
  <c r="D6056" i="167"/>
  <c r="B6056" i="167"/>
  <c r="H6054" i="167"/>
  <c r="G6054" i="167"/>
  <c r="E6054" i="167" s="1"/>
  <c r="D6054" i="167"/>
  <c r="A6054" i="167"/>
  <c r="B6054" i="167" s="1"/>
  <c r="E6053" i="167"/>
  <c r="D6053" i="167"/>
  <c r="B6053" i="167"/>
  <c r="H6051" i="167"/>
  <c r="G6051" i="167"/>
  <c r="E6051" i="167" s="1"/>
  <c r="D6051" i="167"/>
  <c r="A6051" i="167"/>
  <c r="B6051" i="167" s="1"/>
  <c r="E6050" i="167"/>
  <c r="D6050" i="167"/>
  <c r="B6050" i="167"/>
  <c r="H6048" i="167"/>
  <c r="G6048" i="167"/>
  <c r="E6048" i="167" s="1"/>
  <c r="D6048" i="167"/>
  <c r="A6048" i="167"/>
  <c r="B6048" i="167" s="1"/>
  <c r="E6047" i="167"/>
  <c r="D6047" i="167"/>
  <c r="B6047" i="167"/>
  <c r="H6045" i="167"/>
  <c r="G6045" i="167"/>
  <c r="E6045" i="167" s="1"/>
  <c r="D6045" i="167"/>
  <c r="A6045" i="167"/>
  <c r="B6045" i="167" s="1"/>
  <c r="E6044" i="167"/>
  <c r="D6044" i="167"/>
  <c r="B6044" i="167"/>
  <c r="H6042" i="167"/>
  <c r="G6042" i="167"/>
  <c r="E6042" i="167" s="1"/>
  <c r="D6042" i="167"/>
  <c r="A6042" i="167"/>
  <c r="B6042" i="167" s="1"/>
  <c r="E6041" i="167"/>
  <c r="D6041" i="167"/>
  <c r="B6041" i="167"/>
  <c r="H6039" i="167"/>
  <c r="G6039" i="167"/>
  <c r="E6039" i="167" s="1"/>
  <c r="D6039" i="167"/>
  <c r="A6039" i="167"/>
  <c r="B6039" i="167" s="1"/>
  <c r="E6038" i="167"/>
  <c r="D6038" i="167"/>
  <c r="B6038" i="167"/>
  <c r="H6036" i="167"/>
  <c r="G6036" i="167"/>
  <c r="E6036" i="167" s="1"/>
  <c r="D6036" i="167"/>
  <c r="A6036" i="167"/>
  <c r="B6036" i="167" s="1"/>
  <c r="E6035" i="167"/>
  <c r="D6035" i="167"/>
  <c r="B6035" i="167"/>
  <c r="H6033" i="167"/>
  <c r="G6033" i="167"/>
  <c r="E6033" i="167" s="1"/>
  <c r="D6033" i="167"/>
  <c r="A6033" i="167"/>
  <c r="B6033" i="167" s="1"/>
  <c r="E6032" i="167"/>
  <c r="D6032" i="167"/>
  <c r="B6032" i="167"/>
  <c r="H6030" i="167"/>
  <c r="G6030" i="167"/>
  <c r="E6030" i="167" s="1"/>
  <c r="D6030" i="167"/>
  <c r="A6030" i="167"/>
  <c r="B6030" i="167" s="1"/>
  <c r="E6029" i="167"/>
  <c r="D6029" i="167"/>
  <c r="B6029" i="167"/>
  <c r="H6027" i="167"/>
  <c r="G6027" i="167"/>
  <c r="E6027" i="167" s="1"/>
  <c r="D6027" i="167"/>
  <c r="A6027" i="167"/>
  <c r="B6027" i="167" s="1"/>
  <c r="E6026" i="167"/>
  <c r="D6026" i="167"/>
  <c r="B6026" i="167"/>
  <c r="H6024" i="167"/>
  <c r="G6024" i="167"/>
  <c r="E6024" i="167" s="1"/>
  <c r="D6024" i="167"/>
  <c r="A6024" i="167"/>
  <c r="B6024" i="167" s="1"/>
  <c r="E6023" i="167"/>
  <c r="D6023" i="167"/>
  <c r="B6023" i="167"/>
  <c r="H6021" i="167"/>
  <c r="G6021" i="167"/>
  <c r="E6021" i="167" s="1"/>
  <c r="D6021" i="167"/>
  <c r="A6021" i="167"/>
  <c r="B6021" i="167" s="1"/>
  <c r="E6020" i="167"/>
  <c r="D6020" i="167"/>
  <c r="B6020" i="167"/>
  <c r="H6018" i="167"/>
  <c r="G6018" i="167"/>
  <c r="E6018" i="167" s="1"/>
  <c r="D6018" i="167"/>
  <c r="A6018" i="167"/>
  <c r="B6018" i="167" s="1"/>
  <c r="E6017" i="167"/>
  <c r="D6017" i="167"/>
  <c r="B6017" i="167"/>
  <c r="H6015" i="167"/>
  <c r="G6015" i="167"/>
  <c r="E6015" i="167" s="1"/>
  <c r="D6015" i="167"/>
  <c r="A6015" i="167"/>
  <c r="B6015" i="167" s="1"/>
  <c r="E6014" i="167"/>
  <c r="D6014" i="167"/>
  <c r="B6014" i="167"/>
  <c r="A6012" i="167"/>
  <c r="B6012" i="167" s="1"/>
  <c r="A6009" i="167"/>
  <c r="B6009" i="167" s="1"/>
  <c r="A6006" i="167"/>
  <c r="B6006" i="167" s="1"/>
  <c r="A6003" i="167"/>
  <c r="B6003" i="167" s="1"/>
  <c r="A6000" i="167"/>
  <c r="B6000" i="167" s="1"/>
  <c r="A5997" i="167"/>
  <c r="B5997" i="167" s="1"/>
  <c r="A5991" i="167"/>
  <c r="B5991" i="167" s="1"/>
  <c r="A5988" i="167"/>
  <c r="B5988" i="167" s="1"/>
  <c r="A5985" i="167"/>
  <c r="B5985" i="167" s="1"/>
  <c r="A5982" i="167"/>
  <c r="B5982" i="167" s="1"/>
  <c r="A5979" i="167"/>
  <c r="B5979" i="167" s="1"/>
  <c r="H6012" i="167"/>
  <c r="G6012" i="167"/>
  <c r="E6012" i="167" s="1"/>
  <c r="D6012" i="167"/>
  <c r="E6011" i="167"/>
  <c r="D6011" i="167"/>
  <c r="B6011" i="167"/>
  <c r="H6009" i="167"/>
  <c r="G6009" i="167"/>
  <c r="E6009" i="167" s="1"/>
  <c r="D6009" i="167"/>
  <c r="E6008" i="167"/>
  <c r="D6008" i="167"/>
  <c r="B6008" i="167"/>
  <c r="H6006" i="167"/>
  <c r="G6006" i="167"/>
  <c r="E6006" i="167" s="1"/>
  <c r="D6006" i="167"/>
  <c r="E6005" i="167"/>
  <c r="D6005" i="167"/>
  <c r="B6005" i="167"/>
  <c r="H6003" i="167"/>
  <c r="G6003" i="167"/>
  <c r="E6003" i="167" s="1"/>
  <c r="D6003" i="167"/>
  <c r="E6002" i="167"/>
  <c r="D6002" i="167"/>
  <c r="B6002" i="167"/>
  <c r="H6000" i="167"/>
  <c r="G6000" i="167"/>
  <c r="E6000" i="167" s="1"/>
  <c r="D6000" i="167"/>
  <c r="E5999" i="167"/>
  <c r="D5999" i="167"/>
  <c r="B5999" i="167"/>
  <c r="H5997" i="167"/>
  <c r="G5997" i="167"/>
  <c r="E5997" i="167" s="1"/>
  <c r="D5997" i="167"/>
  <c r="E5996" i="167"/>
  <c r="D5996" i="167"/>
  <c r="B5996" i="167"/>
  <c r="H5994" i="167"/>
  <c r="G5994" i="167"/>
  <c r="E5994" i="167" s="1"/>
  <c r="D5994" i="167"/>
  <c r="A5994" i="167"/>
  <c r="B5994" i="167" s="1"/>
  <c r="E5993" i="167"/>
  <c r="D5993" i="167"/>
  <c r="B5993" i="167"/>
  <c r="H5991" i="167"/>
  <c r="G5991" i="167"/>
  <c r="E5991" i="167" s="1"/>
  <c r="D5991" i="167"/>
  <c r="E5990" i="167"/>
  <c r="D5990" i="167"/>
  <c r="B5990" i="167"/>
  <c r="H5988" i="167"/>
  <c r="G5988" i="167"/>
  <c r="E5988" i="167" s="1"/>
  <c r="D5988" i="167"/>
  <c r="E5987" i="167"/>
  <c r="D5987" i="167"/>
  <c r="B5987" i="167"/>
  <c r="H5985" i="167"/>
  <c r="G5985" i="167"/>
  <c r="E5985" i="167" s="1"/>
  <c r="D5985" i="167"/>
  <c r="E5984" i="167"/>
  <c r="D5984" i="167"/>
  <c r="B5984" i="167"/>
  <c r="H5982" i="167"/>
  <c r="G5982" i="167"/>
  <c r="E5982" i="167" s="1"/>
  <c r="D5982" i="167"/>
  <c r="E5981" i="167"/>
  <c r="D5981" i="167"/>
  <c r="B5981" i="167"/>
  <c r="H5979" i="167"/>
  <c r="G5979" i="167"/>
  <c r="E5979" i="167" s="1"/>
  <c r="D5979" i="167"/>
  <c r="E5978" i="167"/>
  <c r="D5978" i="167"/>
  <c r="B5978" i="167"/>
  <c r="H5976" i="167"/>
  <c r="G5976" i="167"/>
  <c r="E5976" i="167" s="1"/>
  <c r="D5976" i="167"/>
  <c r="A5976" i="167"/>
  <c r="B5976" i="167" s="1"/>
  <c r="E5975" i="167"/>
  <c r="D5975" i="167"/>
  <c r="B5975" i="167"/>
  <c r="H5973" i="167"/>
  <c r="G5973" i="167"/>
  <c r="E5973" i="167" s="1"/>
  <c r="D5973" i="167"/>
  <c r="A5973" i="167"/>
  <c r="B5973" i="167" s="1"/>
  <c r="E5972" i="167"/>
  <c r="D5972" i="167"/>
  <c r="B5972" i="167"/>
  <c r="H5970" i="167"/>
  <c r="G5970" i="167"/>
  <c r="E5970" i="167" s="1"/>
  <c r="D5970" i="167"/>
  <c r="A5970" i="167"/>
  <c r="B5970" i="167" s="1"/>
  <c r="E5969" i="167"/>
  <c r="D5969" i="167"/>
  <c r="B5969" i="167"/>
  <c r="H5967" i="167"/>
  <c r="G5967" i="167"/>
  <c r="E5967" i="167" s="1"/>
  <c r="D5967" i="167"/>
  <c r="A5967" i="167"/>
  <c r="B5967" i="167" s="1"/>
  <c r="E5966" i="167"/>
  <c r="D5966" i="167"/>
  <c r="B5966" i="167"/>
  <c r="H5964" i="167"/>
  <c r="G5964" i="167"/>
  <c r="E5964" i="167" s="1"/>
  <c r="D5964" i="167"/>
  <c r="A5964" i="167"/>
  <c r="B5964" i="167" s="1"/>
  <c r="E5963" i="167"/>
  <c r="D5963" i="167"/>
  <c r="B5963" i="167"/>
  <c r="H5961" i="167"/>
  <c r="G5961" i="167"/>
  <c r="E5961" i="167" s="1"/>
  <c r="D5961" i="167"/>
  <c r="A5961" i="167"/>
  <c r="B5961" i="167" s="1"/>
  <c r="E5960" i="167"/>
  <c r="D5960" i="167"/>
  <c r="B5960" i="167"/>
  <c r="H5958" i="167"/>
  <c r="G5958" i="167"/>
  <c r="E5958" i="167" s="1"/>
  <c r="D5958" i="167"/>
  <c r="A5958" i="167"/>
  <c r="B5958" i="167" s="1"/>
  <c r="E5957" i="167"/>
  <c r="D5957" i="167"/>
  <c r="B5957" i="167"/>
  <c r="H5955" i="167"/>
  <c r="G5955" i="167"/>
  <c r="E5955" i="167" s="1"/>
  <c r="D5955" i="167"/>
  <c r="A5955" i="167"/>
  <c r="B5955" i="167" s="1"/>
  <c r="E5954" i="167"/>
  <c r="D5954" i="167"/>
  <c r="B5954" i="167"/>
  <c r="H5952" i="167"/>
  <c r="G5952" i="167"/>
  <c r="E5952" i="167" s="1"/>
  <c r="D5952" i="167"/>
  <c r="A5952" i="167"/>
  <c r="B5952" i="167" s="1"/>
  <c r="E5951" i="167"/>
  <c r="D5951" i="167"/>
  <c r="B5951" i="167"/>
  <c r="H5949" i="167"/>
  <c r="G5949" i="167"/>
  <c r="E5949" i="167" s="1"/>
  <c r="D5949" i="167"/>
  <c r="A5949" i="167"/>
  <c r="B5949" i="167" s="1"/>
  <c r="E5948" i="167"/>
  <c r="D5948" i="167"/>
  <c r="B5948" i="167"/>
  <c r="A5946" i="167"/>
  <c r="B5946" i="167" s="1"/>
  <c r="A5943" i="167"/>
  <c r="B5943" i="167" s="1"/>
  <c r="A5940" i="167"/>
  <c r="B5940" i="167" s="1"/>
  <c r="A5937" i="167"/>
  <c r="B5937" i="167" s="1"/>
  <c r="H5946" i="167"/>
  <c r="G5946" i="167"/>
  <c r="E5946" i="167" s="1"/>
  <c r="D5946" i="167"/>
  <c r="E5945" i="167"/>
  <c r="D5945" i="167"/>
  <c r="B5945" i="167"/>
  <c r="H5943" i="167"/>
  <c r="G5943" i="167"/>
  <c r="E5943" i="167" s="1"/>
  <c r="D5943" i="167"/>
  <c r="E5942" i="167"/>
  <c r="D5942" i="167"/>
  <c r="B5942" i="167"/>
  <c r="H5940" i="167"/>
  <c r="G5940" i="167"/>
  <c r="E5940" i="167" s="1"/>
  <c r="D5940" i="167"/>
  <c r="E5939" i="167"/>
  <c r="D5939" i="167"/>
  <c r="B5939" i="167"/>
  <c r="H5937" i="167"/>
  <c r="G5937" i="167"/>
  <c r="E5937" i="167" s="1"/>
  <c r="D5937" i="167"/>
  <c r="E5936" i="167"/>
  <c r="D5936" i="167"/>
  <c r="B5936" i="167"/>
  <c r="H5934" i="167"/>
  <c r="G5934" i="167"/>
  <c r="E5934" i="167" s="1"/>
  <c r="D5934" i="167"/>
  <c r="A5934" i="167"/>
  <c r="B5934" i="167" s="1"/>
  <c r="E5933" i="167"/>
  <c r="D5933" i="167"/>
  <c r="B5933" i="167"/>
  <c r="H5931" i="167"/>
  <c r="G5931" i="167"/>
  <c r="E5931" i="167" s="1"/>
  <c r="D5931" i="167"/>
  <c r="A5931" i="167"/>
  <c r="B5931" i="167" s="1"/>
  <c r="E5930" i="167"/>
  <c r="D5930" i="167"/>
  <c r="B5930" i="167"/>
  <c r="A5928" i="167"/>
  <c r="B5928" i="167" s="1"/>
  <c r="A5924" i="167"/>
  <c r="A5921" i="167"/>
  <c r="B5921" i="167" s="1"/>
  <c r="A5918" i="167"/>
  <c r="B5918" i="167" s="1"/>
  <c r="A5915" i="167"/>
  <c r="B5915" i="167" s="1"/>
  <c r="A5912" i="167"/>
  <c r="B5912" i="167" s="1"/>
  <c r="A5909" i="167"/>
  <c r="B5909" i="167" s="1"/>
  <c r="A5906" i="167"/>
  <c r="B5906" i="167" s="1"/>
  <c r="A5903" i="167"/>
  <c r="B5903" i="167" s="1"/>
  <c r="A5900" i="167"/>
  <c r="B5900" i="167" s="1"/>
  <c r="A5897" i="167"/>
  <c r="B5897" i="167" s="1"/>
  <c r="A5894" i="167"/>
  <c r="B5894" i="167" s="1"/>
  <c r="A5891" i="167"/>
  <c r="B5891" i="167" s="1"/>
  <c r="H5928" i="167"/>
  <c r="G5928" i="167"/>
  <c r="E5928" i="167" s="1"/>
  <c r="D5928" i="167"/>
  <c r="E5927" i="167"/>
  <c r="D5927" i="167"/>
  <c r="B5927" i="167"/>
  <c r="H5924" i="167"/>
  <c r="H5925" i="167" s="1"/>
  <c r="E5924" i="167"/>
  <c r="D5924" i="167"/>
  <c r="E5923" i="167"/>
  <c r="D5923" i="167"/>
  <c r="B5923" i="167"/>
  <c r="H5921" i="167"/>
  <c r="G5921" i="167"/>
  <c r="E5921" i="167" s="1"/>
  <c r="D5921" i="167"/>
  <c r="E5920" i="167"/>
  <c r="D5920" i="167"/>
  <c r="B5920" i="167"/>
  <c r="H5918" i="167"/>
  <c r="G5918" i="167"/>
  <c r="E5918" i="167" s="1"/>
  <c r="D5918" i="167"/>
  <c r="E5917" i="167"/>
  <c r="D5917" i="167"/>
  <c r="B5917" i="167"/>
  <c r="H5915" i="167"/>
  <c r="G5915" i="167"/>
  <c r="E5915" i="167" s="1"/>
  <c r="D5915" i="167"/>
  <c r="E5914" i="167"/>
  <c r="D5914" i="167"/>
  <c r="B5914" i="167"/>
  <c r="H5912" i="167"/>
  <c r="G5912" i="167"/>
  <c r="E5912" i="167" s="1"/>
  <c r="D5912" i="167"/>
  <c r="E5911" i="167"/>
  <c r="D5911" i="167"/>
  <c r="B5911" i="167"/>
  <c r="H5909" i="167"/>
  <c r="G5909" i="167"/>
  <c r="E5909" i="167" s="1"/>
  <c r="D5909" i="167"/>
  <c r="E5908" i="167"/>
  <c r="D5908" i="167"/>
  <c r="B5908" i="167"/>
  <c r="H5906" i="167"/>
  <c r="G5906" i="167"/>
  <c r="E5906" i="167" s="1"/>
  <c r="D5906" i="167"/>
  <c r="E5905" i="167"/>
  <c r="D5905" i="167"/>
  <c r="B5905" i="167"/>
  <c r="H5903" i="167"/>
  <c r="G5903" i="167"/>
  <c r="E5903" i="167" s="1"/>
  <c r="D5903" i="167"/>
  <c r="E5902" i="167"/>
  <c r="D5902" i="167"/>
  <c r="B5902" i="167"/>
  <c r="H5900" i="167"/>
  <c r="G5900" i="167"/>
  <c r="E5900" i="167" s="1"/>
  <c r="D5900" i="167"/>
  <c r="E5899" i="167"/>
  <c r="D5899" i="167"/>
  <c r="B5899" i="167"/>
  <c r="H5897" i="167"/>
  <c r="G5897" i="167"/>
  <c r="E5897" i="167" s="1"/>
  <c r="D5897" i="167"/>
  <c r="E5896" i="167"/>
  <c r="D5896" i="167"/>
  <c r="B5896" i="167"/>
  <c r="H5894" i="167"/>
  <c r="G5894" i="167"/>
  <c r="E5894" i="167" s="1"/>
  <c r="D5894" i="167"/>
  <c r="E5893" i="167"/>
  <c r="D5893" i="167"/>
  <c r="B5893" i="167"/>
  <c r="H5891" i="167"/>
  <c r="G5891" i="167"/>
  <c r="E5891" i="167" s="1"/>
  <c r="D5891" i="167"/>
  <c r="E5890" i="167"/>
  <c r="D5890" i="167"/>
  <c r="B5890" i="167"/>
  <c r="H5888" i="167"/>
  <c r="G5888" i="167"/>
  <c r="E5888" i="167" s="1"/>
  <c r="D5888" i="167"/>
  <c r="A5888" i="167"/>
  <c r="B5888" i="167" s="1"/>
  <c r="E5887" i="167"/>
  <c r="D5887" i="167"/>
  <c r="B5887" i="167"/>
  <c r="H5885" i="167"/>
  <c r="G5885" i="167"/>
  <c r="E5885" i="167" s="1"/>
  <c r="D5885" i="167"/>
  <c r="A5885" i="167"/>
  <c r="B5885" i="167" s="1"/>
  <c r="E5884" i="167"/>
  <c r="D5884" i="167"/>
  <c r="B5884" i="167"/>
  <c r="H5882" i="167"/>
  <c r="G5882" i="167"/>
  <c r="E5882" i="167" s="1"/>
  <c r="D5882" i="167"/>
  <c r="A5882" i="167"/>
  <c r="B5882" i="167" s="1"/>
  <c r="E5881" i="167"/>
  <c r="D5881" i="167"/>
  <c r="B5881" i="167"/>
  <c r="H5879" i="167"/>
  <c r="G5879" i="167"/>
  <c r="E5879" i="167" s="1"/>
  <c r="D5879" i="167"/>
  <c r="A5879" i="167"/>
  <c r="B5879" i="167" s="1"/>
  <c r="E5878" i="167"/>
  <c r="D5878" i="167"/>
  <c r="B5878" i="167"/>
  <c r="H5876" i="167"/>
  <c r="G5876" i="167"/>
  <c r="E5876" i="167" s="1"/>
  <c r="D5876" i="167"/>
  <c r="A5876" i="167"/>
  <c r="B5876" i="167" s="1"/>
  <c r="E5875" i="167"/>
  <c r="D5875" i="167"/>
  <c r="B5875" i="167"/>
  <c r="H5873" i="167"/>
  <c r="G5873" i="167"/>
  <c r="E5873" i="167" s="1"/>
  <c r="D5873" i="167"/>
  <c r="A5873" i="167"/>
  <c r="B5873" i="167" s="1"/>
  <c r="E5872" i="167"/>
  <c r="D5872" i="167"/>
  <c r="B5872" i="167"/>
  <c r="H5870" i="167"/>
  <c r="G5870" i="167"/>
  <c r="E5870" i="167" s="1"/>
  <c r="D5870" i="167"/>
  <c r="A5870" i="167"/>
  <c r="B5870" i="167" s="1"/>
  <c r="E5869" i="167"/>
  <c r="D5869" i="167"/>
  <c r="B5869" i="167"/>
  <c r="H5867" i="167"/>
  <c r="G5867" i="167"/>
  <c r="E5867" i="167" s="1"/>
  <c r="D5867" i="167"/>
  <c r="A5867" i="167"/>
  <c r="B5867" i="167" s="1"/>
  <c r="E5866" i="167"/>
  <c r="D5866" i="167"/>
  <c r="B5866" i="167"/>
  <c r="H5864" i="167"/>
  <c r="G5864" i="167"/>
  <c r="E5864" i="167" s="1"/>
  <c r="D5864" i="167"/>
  <c r="A5864" i="167"/>
  <c r="B5864" i="167" s="1"/>
  <c r="E5863" i="167"/>
  <c r="D5863" i="167"/>
  <c r="B5863" i="167"/>
  <c r="H5861" i="167"/>
  <c r="G5861" i="167"/>
  <c r="D5861" i="167"/>
  <c r="A5861" i="167"/>
  <c r="B5861" i="167" s="1"/>
  <c r="E5860" i="167"/>
  <c r="D5860" i="167"/>
  <c r="B5860" i="167"/>
  <c r="H5858" i="167"/>
  <c r="G5858" i="167"/>
  <c r="E5858" i="167" s="1"/>
  <c r="D5858" i="167"/>
  <c r="A5858" i="167"/>
  <c r="B5858" i="167" s="1"/>
  <c r="E5857" i="167"/>
  <c r="D5857" i="167"/>
  <c r="B5857" i="167"/>
  <c r="H5855" i="167"/>
  <c r="G5855" i="167"/>
  <c r="E5855" i="167" s="1"/>
  <c r="D5855" i="167"/>
  <c r="A5855" i="167"/>
  <c r="B5855" i="167" s="1"/>
  <c r="E5854" i="167"/>
  <c r="D5854" i="167"/>
  <c r="B5854" i="167"/>
  <c r="H5852" i="167"/>
  <c r="G5852" i="167"/>
  <c r="E5852" i="167" s="1"/>
  <c r="D5852" i="167"/>
  <c r="A5852" i="167"/>
  <c r="B5852" i="167" s="1"/>
  <c r="E5851" i="167"/>
  <c r="D5851" i="167"/>
  <c r="B5851" i="167"/>
  <c r="H5848" i="167"/>
  <c r="H5849" i="167" s="1"/>
  <c r="E5848" i="167"/>
  <c r="D5848" i="167"/>
  <c r="A5848" i="167"/>
  <c r="E5847" i="167"/>
  <c r="D5847" i="167"/>
  <c r="B5847" i="167"/>
  <c r="H5845" i="167"/>
  <c r="G5845" i="167"/>
  <c r="E5845" i="167" s="1"/>
  <c r="D5845" i="167"/>
  <c r="A5845" i="167"/>
  <c r="B5845" i="167" s="1"/>
  <c r="E5844" i="167"/>
  <c r="D5844" i="167"/>
  <c r="B5844" i="167"/>
  <c r="H5842" i="167"/>
  <c r="G5842" i="167"/>
  <c r="E5842" i="167" s="1"/>
  <c r="D5842" i="167"/>
  <c r="A5842" i="167"/>
  <c r="B5842" i="167" s="1"/>
  <c r="E5841" i="167"/>
  <c r="D5841" i="167"/>
  <c r="B5841" i="167"/>
  <c r="H5839" i="167"/>
  <c r="G5839" i="167"/>
  <c r="E5839" i="167" s="1"/>
  <c r="D5839" i="167"/>
  <c r="A5839" i="167"/>
  <c r="B5839" i="167" s="1"/>
  <c r="E5838" i="167"/>
  <c r="D5838" i="167"/>
  <c r="B5838" i="167"/>
  <c r="H5836" i="167"/>
  <c r="G5836" i="167"/>
  <c r="E5836" i="167" s="1"/>
  <c r="D5836" i="167"/>
  <c r="A5836" i="167"/>
  <c r="B5836" i="167" s="1"/>
  <c r="E5835" i="167"/>
  <c r="D5835" i="167"/>
  <c r="B5835" i="167"/>
  <c r="H5833" i="167"/>
  <c r="G5833" i="167"/>
  <c r="E5833" i="167" s="1"/>
  <c r="D5833" i="167"/>
  <c r="A5833" i="167"/>
  <c r="B5833" i="167" s="1"/>
  <c r="E5832" i="167"/>
  <c r="D5832" i="167"/>
  <c r="B5832" i="167"/>
  <c r="H5830" i="167"/>
  <c r="G5830" i="167"/>
  <c r="E5830" i="167" s="1"/>
  <c r="D5830" i="167"/>
  <c r="A5830" i="167"/>
  <c r="B5830" i="167" s="1"/>
  <c r="E5829" i="167"/>
  <c r="D5829" i="167"/>
  <c r="B5829" i="167"/>
  <c r="H5827" i="167"/>
  <c r="G5827" i="167"/>
  <c r="E5827" i="167" s="1"/>
  <c r="D5827" i="167"/>
  <c r="A5827" i="167"/>
  <c r="B5827" i="167" s="1"/>
  <c r="E5826" i="167"/>
  <c r="D5826" i="167"/>
  <c r="B5826" i="167"/>
  <c r="H5824" i="167"/>
  <c r="G5824" i="167"/>
  <c r="E5824" i="167" s="1"/>
  <c r="D5824" i="167"/>
  <c r="A5824" i="167"/>
  <c r="B5824" i="167" s="1"/>
  <c r="E5823" i="167"/>
  <c r="D5823" i="167"/>
  <c r="B5823" i="167"/>
  <c r="H5821" i="167"/>
  <c r="G5821" i="167"/>
  <c r="E5821" i="167" s="1"/>
  <c r="D5821" i="167"/>
  <c r="A5821" i="167"/>
  <c r="B5821" i="167" s="1"/>
  <c r="E5820" i="167"/>
  <c r="D5820" i="167"/>
  <c r="B5820" i="167"/>
  <c r="H5818" i="167"/>
  <c r="G5818" i="167"/>
  <c r="E5818" i="167" s="1"/>
  <c r="D5818" i="167"/>
  <c r="A5818" i="167"/>
  <c r="B5818" i="167" s="1"/>
  <c r="E5817" i="167"/>
  <c r="D5817" i="167"/>
  <c r="B5817" i="167"/>
  <c r="E5814" i="167"/>
  <c r="E5811" i="167"/>
  <c r="H5815" i="167"/>
  <c r="G5815" i="167"/>
  <c r="E5815" i="167" s="1"/>
  <c r="D5815" i="167"/>
  <c r="A5815" i="167"/>
  <c r="B5815" i="167" s="1"/>
  <c r="D5814" i="167"/>
  <c r="B5814" i="167"/>
  <c r="E5808" i="167"/>
  <c r="H5812" i="167"/>
  <c r="G5812" i="167"/>
  <c r="E5812" i="167" s="1"/>
  <c r="D5812" i="167"/>
  <c r="A5812" i="167"/>
  <c r="B5812" i="167" s="1"/>
  <c r="D5811" i="167"/>
  <c r="B5811" i="167"/>
  <c r="H5809" i="167"/>
  <c r="G5809" i="167"/>
  <c r="E5809" i="167" s="1"/>
  <c r="D5809" i="167"/>
  <c r="A5809" i="167"/>
  <c r="B5809" i="167" s="1"/>
  <c r="D5808" i="167"/>
  <c r="B5808" i="167"/>
  <c r="H5806" i="167"/>
  <c r="G5806" i="167"/>
  <c r="E5806" i="167" s="1"/>
  <c r="D5806" i="167"/>
  <c r="A5806" i="167"/>
  <c r="B5806" i="167" s="1"/>
  <c r="E5805" i="167"/>
  <c r="D5805" i="167"/>
  <c r="B5805" i="167"/>
  <c r="E5861" i="167" l="1"/>
  <c r="E64" i="22"/>
  <c r="A6401" i="167"/>
  <c r="A6403" i="167"/>
  <c r="B5924" i="167"/>
  <c r="A5925" i="167"/>
  <c r="B5925" i="167" s="1"/>
  <c r="B6115" i="167"/>
  <c r="A6116" i="167"/>
  <c r="B6116" i="167" s="1"/>
  <c r="B6111" i="167"/>
  <c r="A6112" i="167"/>
  <c r="B6112" i="167" s="1"/>
  <c r="B6123" i="167"/>
  <c r="A6124" i="167"/>
  <c r="B6124" i="167" s="1"/>
  <c r="B5848" i="167"/>
  <c r="A5849" i="167"/>
  <c r="B5849" i="167" s="1"/>
  <c r="B6079" i="167"/>
  <c r="A6080" i="167"/>
  <c r="B6080" i="167" s="1"/>
  <c r="B6072" i="167"/>
  <c r="A6073" i="167"/>
  <c r="B6073" i="167" s="1"/>
  <c r="B6083" i="167"/>
  <c r="A6084" i="167"/>
  <c r="B6084" i="167" s="1"/>
  <c r="B6119" i="167"/>
  <c r="A6120" i="167"/>
  <c r="B6120" i="167" s="1"/>
  <c r="B6737" i="166"/>
  <c r="A6738" i="166"/>
  <c r="B6093" i="167"/>
  <c r="E28" i="22"/>
  <c r="F28" i="22" s="1"/>
  <c r="H28" i="22" s="1"/>
  <c r="G64" i="22" l="1"/>
  <c r="I64" i="22" s="1"/>
  <c r="F64" i="22"/>
  <c r="H64" i="22" s="1"/>
  <c r="A6404" i="167"/>
  <c r="A6406" i="167"/>
  <c r="B6738" i="166"/>
  <c r="A6740" i="166"/>
  <c r="G28" i="22"/>
  <c r="I28" i="22" s="1"/>
  <c r="D6494" i="166"/>
  <c r="B6494" i="166"/>
  <c r="E6493" i="166"/>
  <c r="D6493" i="166"/>
  <c r="B6493" i="166"/>
  <c r="E6492" i="166"/>
  <c r="D6492" i="166"/>
  <c r="B6492" i="166"/>
  <c r="E6491" i="166"/>
  <c r="D6491" i="166"/>
  <c r="B6491" i="166"/>
  <c r="H6490" i="166"/>
  <c r="H6491" i="166" s="1"/>
  <c r="H6492" i="166" s="1"/>
  <c r="H6493" i="166" s="1"/>
  <c r="H6494" i="166" s="1"/>
  <c r="E6490" i="166"/>
  <c r="D6490" i="166"/>
  <c r="B6490" i="166"/>
  <c r="E6489" i="166"/>
  <c r="D6489" i="166"/>
  <c r="B6489" i="166"/>
  <c r="H5791" i="167"/>
  <c r="G5791" i="167"/>
  <c r="E5791" i="167" s="1"/>
  <c r="D5791" i="167"/>
  <c r="A5791" i="167"/>
  <c r="B5791" i="167" s="1"/>
  <c r="E5790" i="167"/>
  <c r="D5790" i="167"/>
  <c r="B5790" i="167"/>
  <c r="E4720" i="166"/>
  <c r="D4720" i="166"/>
  <c r="B4720" i="166"/>
  <c r="H5788" i="167"/>
  <c r="G5788" i="167"/>
  <c r="E5788" i="167" s="1"/>
  <c r="D5788" i="167"/>
  <c r="A5788" i="167"/>
  <c r="B5788" i="167" s="1"/>
  <c r="E5787" i="167"/>
  <c r="D5787" i="167"/>
  <c r="B5787" i="167"/>
  <c r="A6407" i="167" l="1"/>
  <c r="A6409" i="167"/>
  <c r="B6740" i="166"/>
  <c r="A6741" i="166"/>
  <c r="B6741" i="166" s="1"/>
  <c r="E6494" i="166"/>
  <c r="E5739" i="167"/>
  <c r="D5739" i="167"/>
  <c r="D5740" i="167"/>
  <c r="E5740" i="167"/>
  <c r="E5736" i="167"/>
  <c r="D5736" i="167"/>
  <c r="E5733" i="167"/>
  <c r="D5733" i="167"/>
  <c r="E5731" i="167"/>
  <c r="D5731" i="167"/>
  <c r="E5729" i="167"/>
  <c r="D5729" i="167"/>
  <c r="E5727" i="167"/>
  <c r="D5727" i="167"/>
  <c r="E5722" i="167"/>
  <c r="D5722" i="167"/>
  <c r="E5712" i="167"/>
  <c r="D5712" i="167"/>
  <c r="G5633" i="167"/>
  <c r="E5633" i="167" s="1"/>
  <c r="D5633" i="167"/>
  <c r="G5448" i="167"/>
  <c r="E5448" i="167" s="1"/>
  <c r="D5448" i="167"/>
  <c r="G5429" i="167"/>
  <c r="E5429" i="167" s="1"/>
  <c r="D5429" i="167"/>
  <c r="A6410" i="167" l="1"/>
  <c r="A6412" i="167"/>
  <c r="A6413" i="167" s="1"/>
  <c r="A6414" i="167" s="1"/>
  <c r="A6415" i="167" s="1"/>
  <c r="A6416" i="167" s="1"/>
  <c r="H5785" i="167"/>
  <c r="G5785" i="167"/>
  <c r="E5785" i="167" s="1"/>
  <c r="D5785" i="167"/>
  <c r="A5785" i="167"/>
  <c r="B5785" i="167" s="1"/>
  <c r="E5784" i="167"/>
  <c r="D5784" i="167"/>
  <c r="B5784" i="167"/>
  <c r="H6487" i="166" l="1"/>
  <c r="E6487" i="166"/>
  <c r="D6487" i="166"/>
  <c r="B6487" i="166"/>
  <c r="E6486" i="166"/>
  <c r="D6486" i="166"/>
  <c r="B6486" i="166"/>
  <c r="F5591" i="167"/>
  <c r="E5591" i="167" s="1"/>
  <c r="E5593" i="167"/>
  <c r="D5593" i="167"/>
  <c r="E5592" i="167"/>
  <c r="D5592" i="167"/>
  <c r="D5591" i="167"/>
  <c r="B5591" i="167"/>
  <c r="G5782" i="167"/>
  <c r="E5782" i="167" s="1"/>
  <c r="D5782" i="167"/>
  <c r="E5781" i="167"/>
  <c r="D5781" i="167"/>
  <c r="B5781" i="167"/>
  <c r="G5779" i="167"/>
  <c r="E5779" i="167" s="1"/>
  <c r="D5779" i="167"/>
  <c r="E5778" i="167"/>
  <c r="D5778" i="167"/>
  <c r="B5778" i="167"/>
  <c r="L5762" i="167" l="1"/>
  <c r="K5776" i="167"/>
  <c r="E5776" i="167"/>
  <c r="D5776" i="167"/>
  <c r="K5775" i="167"/>
  <c r="E5775" i="167"/>
  <c r="D5775" i="167"/>
  <c r="K5774" i="167"/>
  <c r="E5774" i="167"/>
  <c r="D5774" i="167"/>
  <c r="K5773" i="167"/>
  <c r="E5773" i="167"/>
  <c r="D5773" i="167"/>
  <c r="B5773" i="167"/>
  <c r="G5771" i="167"/>
  <c r="E5771" i="167" s="1"/>
  <c r="D5771" i="167"/>
  <c r="E5770" i="167"/>
  <c r="D5770" i="167"/>
  <c r="B5770" i="167"/>
  <c r="K5768" i="167"/>
  <c r="G5768" i="167"/>
  <c r="E5768" i="167" s="1"/>
  <c r="D5768" i="167"/>
  <c r="K5767" i="167"/>
  <c r="E5767" i="167"/>
  <c r="D5767" i="167"/>
  <c r="B5767" i="167"/>
  <c r="N5765" i="167"/>
  <c r="L5765" i="167"/>
  <c r="L5768" i="167" s="1"/>
  <c r="G5765" i="167"/>
  <c r="E5765" i="167" s="1"/>
  <c r="D5765" i="167"/>
  <c r="N5764" i="167"/>
  <c r="E5764" i="167"/>
  <c r="D5764" i="167"/>
  <c r="B5764" i="167"/>
  <c r="G5762" i="167"/>
  <c r="E5762" i="167" s="1"/>
  <c r="D5762" i="167"/>
  <c r="E5761" i="167"/>
  <c r="D5761" i="167"/>
  <c r="B5761" i="167"/>
  <c r="H5759" i="167"/>
  <c r="H5762" i="167" s="1"/>
  <c r="H5765" i="167" s="1"/>
  <c r="H5768" i="167" s="1"/>
  <c r="H5771" i="167" s="1"/>
  <c r="H5779" i="167" s="1"/>
  <c r="H5782" i="167" s="1"/>
  <c r="G5759" i="167"/>
  <c r="E5759" i="167" s="1"/>
  <c r="D5759" i="167"/>
  <c r="E5758" i="167"/>
  <c r="D5758" i="167"/>
  <c r="B5758" i="167"/>
  <c r="H5756" i="167"/>
  <c r="G5756" i="167"/>
  <c r="E5756" i="167" s="1"/>
  <c r="D5756" i="167"/>
  <c r="E5755" i="167"/>
  <c r="D5755" i="167"/>
  <c r="B5755" i="167"/>
  <c r="D5752" i="167"/>
  <c r="E5752" i="167"/>
  <c r="D5753" i="167"/>
  <c r="G5753" i="167"/>
  <c r="E5753" i="167" s="1"/>
  <c r="H5750" i="167"/>
  <c r="H5753" i="167" s="1"/>
  <c r="G5750" i="167"/>
  <c r="E5750" i="167" s="1"/>
  <c r="D5750" i="167"/>
  <c r="E5749" i="167"/>
  <c r="D5749" i="167"/>
  <c r="H5747" i="167"/>
  <c r="G5747" i="167"/>
  <c r="E5747" i="167" s="1"/>
  <c r="D5747" i="167"/>
  <c r="E5746" i="167"/>
  <c r="D5746" i="167"/>
  <c r="G5744" i="167"/>
  <c r="E5744" i="167" s="1"/>
  <c r="H5744" i="167"/>
  <c r="D5744" i="167"/>
  <c r="E5743" i="167"/>
  <c r="D5743" i="167"/>
  <c r="B5743" i="167"/>
  <c r="E6485" i="166"/>
  <c r="D6485" i="166"/>
  <c r="B6485" i="166"/>
  <c r="E6484" i="166"/>
  <c r="D6484" i="166"/>
  <c r="B6484" i="166"/>
  <c r="E6483" i="166"/>
  <c r="D6483" i="166"/>
  <c r="B6483" i="166"/>
  <c r="E6482" i="166"/>
  <c r="D6482" i="166"/>
  <c r="B6482" i="166"/>
  <c r="E6481" i="166"/>
  <c r="D6481" i="166"/>
  <c r="B6481" i="166"/>
  <c r="E6480" i="166"/>
  <c r="D6480" i="166"/>
  <c r="B6480" i="166"/>
  <c r="E6478" i="166"/>
  <c r="D6478" i="166"/>
  <c r="B6478" i="166"/>
  <c r="E6477" i="166"/>
  <c r="D6477" i="166"/>
  <c r="B6477" i="166"/>
  <c r="E6476" i="166"/>
  <c r="D6476" i="166"/>
  <c r="B6476" i="166"/>
  <c r="E6475" i="166"/>
  <c r="D6475" i="166"/>
  <c r="B6475" i="166"/>
  <c r="E6474" i="166"/>
  <c r="D6474" i="166"/>
  <c r="B6474" i="166"/>
  <c r="E6473" i="166"/>
  <c r="D6473" i="166"/>
  <c r="B6473" i="166"/>
  <c r="E6472" i="166"/>
  <c r="D6472" i="166"/>
  <c r="B6472" i="166"/>
  <c r="E6471" i="166"/>
  <c r="D6471" i="166"/>
  <c r="B6471" i="166"/>
  <c r="E5706" i="167"/>
  <c r="E5707" i="167"/>
  <c r="E5708" i="167"/>
  <c r="E5705" i="167"/>
  <c r="E5702" i="167"/>
  <c r="E5701" i="167"/>
  <c r="E5693" i="167"/>
  <c r="E5690" i="167"/>
  <c r="E5689" i="167"/>
  <c r="E5686" i="167"/>
  <c r="E5685" i="167"/>
  <c r="E5697" i="167"/>
  <c r="E5741" i="167"/>
  <c r="D5741" i="167"/>
  <c r="E5738" i="167"/>
  <c r="D5738" i="167"/>
  <c r="E5737" i="167"/>
  <c r="D5737" i="167"/>
  <c r="E5735" i="167"/>
  <c r="D5735" i="167"/>
  <c r="E5734" i="167"/>
  <c r="D5734" i="167"/>
  <c r="E5732" i="167"/>
  <c r="D5732" i="167"/>
  <c r="E5730" i="167"/>
  <c r="D5730" i="167"/>
  <c r="E5728" i="167"/>
  <c r="D5728" i="167"/>
  <c r="E5726" i="167"/>
  <c r="D5726" i="167"/>
  <c r="E5725" i="167"/>
  <c r="D5725" i="167"/>
  <c r="E5724" i="167"/>
  <c r="D5724" i="167"/>
  <c r="E5723" i="167"/>
  <c r="D5723" i="167"/>
  <c r="E5721" i="167"/>
  <c r="D5721" i="167"/>
  <c r="E5720" i="167"/>
  <c r="D5720" i="167"/>
  <c r="E5719" i="167"/>
  <c r="D5719" i="167"/>
  <c r="E5718" i="167"/>
  <c r="D5718" i="167"/>
  <c r="E5717" i="167"/>
  <c r="D5717" i="167"/>
  <c r="E5716" i="167"/>
  <c r="D5716" i="167"/>
  <c r="E5715" i="167"/>
  <c r="D5715" i="167"/>
  <c r="E5714" i="167"/>
  <c r="D5714" i="167"/>
  <c r="E5713" i="167"/>
  <c r="D5713" i="167"/>
  <c r="E5711" i="167"/>
  <c r="D5711" i="167"/>
  <c r="E5710" i="167"/>
  <c r="D5710" i="167"/>
  <c r="E5709" i="167"/>
  <c r="D5709" i="167"/>
  <c r="D5708" i="167"/>
  <c r="D5707" i="167"/>
  <c r="D5706" i="167"/>
  <c r="D5705" i="167"/>
  <c r="E5704" i="167"/>
  <c r="D5704" i="167"/>
  <c r="E5703" i="167"/>
  <c r="D5703" i="167"/>
  <c r="D5702" i="167"/>
  <c r="D5701" i="167"/>
  <c r="E5700" i="167"/>
  <c r="D5700" i="167"/>
  <c r="E5699" i="167"/>
  <c r="D5699" i="167"/>
  <c r="E5698" i="167"/>
  <c r="D5698" i="167"/>
  <c r="D5697" i="167"/>
  <c r="E5696" i="167"/>
  <c r="D5696" i="167"/>
  <c r="E5695" i="167"/>
  <c r="D5695" i="167"/>
  <c r="E5694" i="167"/>
  <c r="D5694" i="167"/>
  <c r="D5693" i="167"/>
  <c r="E5692" i="167"/>
  <c r="D5692" i="167"/>
  <c r="E5691" i="167"/>
  <c r="D5691" i="167"/>
  <c r="D5690" i="167"/>
  <c r="D5689" i="167"/>
  <c r="E5688" i="167"/>
  <c r="D5688" i="167"/>
  <c r="E5687" i="167"/>
  <c r="D5687" i="167"/>
  <c r="D5686" i="167"/>
  <c r="D5685" i="167"/>
  <c r="E5684" i="167"/>
  <c r="D5684" i="167"/>
  <c r="B5684" i="167"/>
  <c r="E5663" i="167"/>
  <c r="E5665" i="167"/>
  <c r="E5674" i="167"/>
  <c r="E5664" i="167"/>
  <c r="E5671" i="167"/>
  <c r="D5682" i="167"/>
  <c r="D5681" i="167"/>
  <c r="D5680" i="167"/>
  <c r="D5679" i="167"/>
  <c r="D5678" i="167"/>
  <c r="D5677" i="167"/>
  <c r="D5676" i="167"/>
  <c r="E5675" i="167"/>
  <c r="D5675" i="167"/>
  <c r="D5674" i="167"/>
  <c r="E5673" i="167"/>
  <c r="D5673" i="167"/>
  <c r="D5672" i="167"/>
  <c r="D5671" i="167"/>
  <c r="D5670" i="167"/>
  <c r="D5669" i="167"/>
  <c r="D5668" i="167"/>
  <c r="D5667" i="167"/>
  <c r="D5666" i="167"/>
  <c r="D5665" i="167"/>
  <c r="D5664" i="167"/>
  <c r="D5663" i="167"/>
  <c r="D5662" i="167"/>
  <c r="D5661" i="167"/>
  <c r="E5660" i="167"/>
  <c r="D5660" i="167"/>
  <c r="E5659" i="167"/>
  <c r="D5659" i="167"/>
  <c r="D5658" i="167"/>
  <c r="E5657" i="167"/>
  <c r="D5657" i="167"/>
  <c r="E5656" i="167"/>
  <c r="D5656" i="167"/>
  <c r="B5656" i="167"/>
  <c r="G5654" i="167"/>
  <c r="E5654" i="167" s="1"/>
  <c r="D5654" i="167"/>
  <c r="E5653" i="167"/>
  <c r="D5653" i="167"/>
  <c r="B5653" i="167"/>
  <c r="G5651" i="167"/>
  <c r="E5651" i="167" s="1"/>
  <c r="D5651" i="167"/>
  <c r="E5650" i="167"/>
  <c r="D5650" i="167"/>
  <c r="B5650" i="167"/>
  <c r="G5648" i="167"/>
  <c r="E5648" i="167" s="1"/>
  <c r="D5648" i="167"/>
  <c r="E5647" i="167"/>
  <c r="D5647" i="167"/>
  <c r="B5647" i="167"/>
  <c r="G5645" i="167"/>
  <c r="E5645" i="167" s="1"/>
  <c r="D5645" i="167"/>
  <c r="E5644" i="167"/>
  <c r="D5644" i="167"/>
  <c r="B5644" i="167"/>
  <c r="G5642" i="167"/>
  <c r="E5642" i="167" s="1"/>
  <c r="D5642" i="167"/>
  <c r="E5641" i="167"/>
  <c r="D5641" i="167"/>
  <c r="B5641" i="167"/>
  <c r="G5639" i="167"/>
  <c r="E5639" i="167" s="1"/>
  <c r="D5639" i="167"/>
  <c r="E5638" i="167"/>
  <c r="D5638" i="167"/>
  <c r="B5638" i="167"/>
  <c r="G5636" i="167"/>
  <c r="E5636" i="167" s="1"/>
  <c r="D5636" i="167"/>
  <c r="E5635" i="167"/>
  <c r="D5635" i="167"/>
  <c r="B5635" i="167"/>
  <c r="E5632" i="167"/>
  <c r="D5632" i="167"/>
  <c r="E5631" i="167"/>
  <c r="D5631" i="167"/>
  <c r="B5631" i="167"/>
  <c r="G5629" i="167"/>
  <c r="E5629" i="167" s="1"/>
  <c r="D5629" i="167"/>
  <c r="E5628" i="167"/>
  <c r="D5628" i="167"/>
  <c r="B5628" i="167"/>
  <c r="G5626" i="167"/>
  <c r="E5626" i="167" s="1"/>
  <c r="D5626" i="167"/>
  <c r="E5625" i="167"/>
  <c r="D5625" i="167"/>
  <c r="B5625" i="167"/>
  <c r="G5623" i="167"/>
  <c r="E5623" i="167" s="1"/>
  <c r="D5623" i="167"/>
  <c r="E5622" i="167"/>
  <c r="D5622" i="167"/>
  <c r="B5622" i="167"/>
  <c r="G5620" i="167"/>
  <c r="E5620" i="167" s="1"/>
  <c r="D5620" i="167"/>
  <c r="E5619" i="167"/>
  <c r="D5619" i="167"/>
  <c r="B5619" i="167"/>
  <c r="G5614" i="167"/>
  <c r="E5614" i="167" s="1"/>
  <c r="D5614" i="167"/>
  <c r="E5613" i="167"/>
  <c r="D5613" i="167"/>
  <c r="B5613" i="167"/>
  <c r="G5617" i="167"/>
  <c r="E5617" i="167" s="1"/>
  <c r="D5617" i="167"/>
  <c r="E5616" i="167"/>
  <c r="D5616" i="167"/>
  <c r="B5616" i="167"/>
  <c r="G5611" i="167"/>
  <c r="E5611" i="167" s="1"/>
  <c r="D5611" i="167"/>
  <c r="E5610" i="167"/>
  <c r="D5610" i="167"/>
  <c r="B5610" i="167"/>
  <c r="G5608" i="167"/>
  <c r="E5608" i="167" s="1"/>
  <c r="D5608" i="167"/>
  <c r="E5607" i="167"/>
  <c r="D5607" i="167"/>
  <c r="B5607" i="167"/>
  <c r="G5605" i="167"/>
  <c r="E5605" i="167" s="1"/>
  <c r="D5605" i="167"/>
  <c r="E5604" i="167"/>
  <c r="D5604" i="167"/>
  <c r="B5604" i="167"/>
  <c r="D5602" i="167"/>
  <c r="E5601" i="167"/>
  <c r="D5601" i="167"/>
  <c r="B5601" i="167"/>
  <c r="D5599" i="167"/>
  <c r="E5598" i="167"/>
  <c r="D5598" i="167"/>
  <c r="B5598" i="167"/>
  <c r="G5596" i="167"/>
  <c r="E5596" i="167" s="1"/>
  <c r="D5596" i="167"/>
  <c r="E5595" i="167"/>
  <c r="D5595" i="167"/>
  <c r="B5595" i="167"/>
  <c r="E5589" i="167"/>
  <c r="D5589" i="167"/>
  <c r="B5589" i="167"/>
  <c r="E5588" i="167"/>
  <c r="D5588" i="167"/>
  <c r="E5587" i="167"/>
  <c r="D5587" i="167"/>
  <c r="E5586" i="167"/>
  <c r="D5586" i="167"/>
  <c r="B5586" i="167"/>
  <c r="G5584" i="167"/>
  <c r="E5584" i="167" s="1"/>
  <c r="D5584" i="167"/>
  <c r="E5583" i="167"/>
  <c r="D5583" i="167"/>
  <c r="B5583" i="167"/>
  <c r="G5581" i="167"/>
  <c r="E5581" i="167" s="1"/>
  <c r="D5581" i="167"/>
  <c r="E5580" i="167"/>
  <c r="D5580" i="167"/>
  <c r="B5580" i="167"/>
  <c r="G5578" i="167"/>
  <c r="E5578" i="167" s="1"/>
  <c r="D5578" i="167"/>
  <c r="E5577" i="167"/>
  <c r="D5577" i="167"/>
  <c r="B5577" i="167"/>
  <c r="G5575" i="167"/>
  <c r="E5575" i="167" s="1"/>
  <c r="D5575" i="167"/>
  <c r="E5574" i="167"/>
  <c r="D5574" i="167"/>
  <c r="B5574" i="167"/>
  <c r="G5572" i="167"/>
  <c r="E5572" i="167" s="1"/>
  <c r="D5572" i="167"/>
  <c r="E5571" i="167"/>
  <c r="D5571" i="167"/>
  <c r="B5571" i="167"/>
  <c r="G5569" i="167"/>
  <c r="E5569" i="167" s="1"/>
  <c r="D5569" i="167"/>
  <c r="E5568" i="167"/>
  <c r="D5568" i="167"/>
  <c r="B5568" i="167"/>
  <c r="G5566" i="167"/>
  <c r="E5566" i="167" s="1"/>
  <c r="D5566" i="167"/>
  <c r="E5565" i="167"/>
  <c r="D5565" i="167"/>
  <c r="B5565" i="167"/>
  <c r="G5563" i="167"/>
  <c r="E5563" i="167" s="1"/>
  <c r="D5563" i="167"/>
  <c r="E5562" i="167"/>
  <c r="D5562" i="167"/>
  <c r="B5562" i="167"/>
  <c r="G5560" i="167"/>
  <c r="E5560" i="167" s="1"/>
  <c r="D5560" i="167"/>
  <c r="E5559" i="167"/>
  <c r="D5559" i="167"/>
  <c r="B5559" i="167"/>
  <c r="G5557" i="167"/>
  <c r="E5557" i="167" s="1"/>
  <c r="D5557" i="167"/>
  <c r="E5556" i="167"/>
  <c r="D5556" i="167"/>
  <c r="B5556" i="167"/>
  <c r="G5554" i="167"/>
  <c r="E5554" i="167" s="1"/>
  <c r="D5554" i="167"/>
  <c r="E5553" i="167"/>
  <c r="D5553" i="167"/>
  <c r="B5553" i="167"/>
  <c r="B5746" i="167" l="1"/>
  <c r="A5685" i="167"/>
  <c r="A5686" i="167" s="1"/>
  <c r="E5672" i="167"/>
  <c r="E5658" i="167"/>
  <c r="E5680" i="167"/>
  <c r="E5661" i="167"/>
  <c r="E5676" i="167"/>
  <c r="E5678" i="167"/>
  <c r="E5677" i="167"/>
  <c r="E5669" i="167"/>
  <c r="B5686" i="167" l="1"/>
  <c r="B5685" i="167"/>
  <c r="A5687" i="167"/>
  <c r="A5688" i="167" s="1"/>
  <c r="E5679" i="167"/>
  <c r="E5667" i="167"/>
  <c r="E5666" i="167"/>
  <c r="E5682" i="167"/>
  <c r="E5681" i="167"/>
  <c r="E5662" i="167"/>
  <c r="B5688" i="167" l="1"/>
  <c r="B5687" i="167"/>
  <c r="A5689" i="167"/>
  <c r="B5689" i="167" s="1"/>
  <c r="E5670" i="167"/>
  <c r="E5668" i="167"/>
  <c r="A5690" i="167" l="1"/>
  <c r="B5690" i="167" s="1"/>
  <c r="A5691" i="167" l="1"/>
  <c r="A5692" i="167" s="1"/>
  <c r="B5692" i="167" s="1"/>
  <c r="A5693" i="167" l="1"/>
  <c r="A5694" i="167" s="1"/>
  <c r="B5694" i="167" s="1"/>
  <c r="B5691" i="167"/>
  <c r="A5696" i="167" l="1"/>
  <c r="B5696" i="167" s="1"/>
  <c r="B5693" i="167"/>
  <c r="A5695" i="167"/>
  <c r="A5697" i="167" s="1"/>
  <c r="B5697" i="167" s="1"/>
  <c r="B5695" i="167" l="1"/>
  <c r="A5698" i="167"/>
  <c r="A5700" i="167" s="1"/>
  <c r="A5699" i="167" l="1"/>
  <c r="A5701" i="167" s="1"/>
  <c r="B5698" i="167"/>
  <c r="B5700" i="167"/>
  <c r="A5702" i="167"/>
  <c r="B5699" i="167" l="1"/>
  <c r="B5701" i="167"/>
  <c r="A5703" i="167"/>
  <c r="B5702" i="167"/>
  <c r="A5704" i="167"/>
  <c r="G5551" i="167"/>
  <c r="E5551" i="167" s="1"/>
  <c r="D5551" i="167"/>
  <c r="E5550" i="167"/>
  <c r="D5550" i="167"/>
  <c r="B5550" i="167"/>
  <c r="G5548" i="167"/>
  <c r="E5548" i="167" s="1"/>
  <c r="D5548" i="167"/>
  <c r="E5547" i="167"/>
  <c r="D5547" i="167"/>
  <c r="B5547" i="167"/>
  <c r="G5545" i="167"/>
  <c r="E5545" i="167" s="1"/>
  <c r="D5545" i="167"/>
  <c r="E5544" i="167"/>
  <c r="D5544" i="167"/>
  <c r="B5544" i="167"/>
  <c r="G5542" i="167"/>
  <c r="E5542" i="167" s="1"/>
  <c r="D5542" i="167"/>
  <c r="E5541" i="167"/>
  <c r="D5541" i="167"/>
  <c r="B5541" i="167"/>
  <c r="G5539" i="167"/>
  <c r="E5539" i="167" s="1"/>
  <c r="D5539" i="167"/>
  <c r="E5538" i="167"/>
  <c r="D5538" i="167"/>
  <c r="B5538" i="167"/>
  <c r="G5536" i="167"/>
  <c r="E5536" i="167" s="1"/>
  <c r="D5536" i="167"/>
  <c r="E5535" i="167"/>
  <c r="D5535" i="167"/>
  <c r="B5535" i="167"/>
  <c r="H5533" i="167"/>
  <c r="G5533" i="167"/>
  <c r="E5533" i="167" s="1"/>
  <c r="D5533" i="167"/>
  <c r="A5533" i="167"/>
  <c r="E5532" i="167"/>
  <c r="D5532" i="167"/>
  <c r="B5532" i="167"/>
  <c r="G5530" i="167"/>
  <c r="E5530" i="167" s="1"/>
  <c r="D5530" i="167"/>
  <c r="E5529" i="167"/>
  <c r="D5529" i="167"/>
  <c r="B5529" i="167"/>
  <c r="G5527" i="167"/>
  <c r="E5527" i="167" s="1"/>
  <c r="D5527" i="167"/>
  <c r="E5526" i="167"/>
  <c r="D5526" i="167"/>
  <c r="B5526" i="167"/>
  <c r="G5524" i="167"/>
  <c r="E5524" i="167" s="1"/>
  <c r="D5524" i="167"/>
  <c r="E5523" i="167"/>
  <c r="D5523" i="167"/>
  <c r="B5523" i="167"/>
  <c r="G5521" i="167"/>
  <c r="E5521" i="167" s="1"/>
  <c r="D5521" i="167"/>
  <c r="E5520" i="167"/>
  <c r="D5520" i="167"/>
  <c r="B5520" i="167"/>
  <c r="G5518" i="167"/>
  <c r="E5518" i="167" s="1"/>
  <c r="D5518" i="167"/>
  <c r="E5517" i="167"/>
  <c r="D5517" i="167"/>
  <c r="B5517" i="167"/>
  <c r="G5515" i="167"/>
  <c r="E5515" i="167" s="1"/>
  <c r="D5515" i="167"/>
  <c r="E5514" i="167"/>
  <c r="D5514" i="167"/>
  <c r="B5514" i="167"/>
  <c r="B5511" i="167"/>
  <c r="D5511" i="167"/>
  <c r="E5511" i="167"/>
  <c r="D5512" i="167"/>
  <c r="G5512" i="167"/>
  <c r="E5512" i="167" s="1"/>
  <c r="G5509" i="167"/>
  <c r="E5509" i="167" s="1"/>
  <c r="D5509" i="167"/>
  <c r="E5508" i="167"/>
  <c r="D5508" i="167"/>
  <c r="B5508" i="167"/>
  <c r="G5506" i="167"/>
  <c r="E5506" i="167" s="1"/>
  <c r="D5506" i="167"/>
  <c r="E5505" i="167"/>
  <c r="D5505" i="167"/>
  <c r="B5505" i="167"/>
  <c r="G5503" i="167"/>
  <c r="E5503" i="167" s="1"/>
  <c r="D5503" i="167"/>
  <c r="E5502" i="167"/>
  <c r="D5502" i="167"/>
  <c r="B5502" i="167"/>
  <c r="G5500" i="167"/>
  <c r="E5500" i="167" s="1"/>
  <c r="D5500" i="167"/>
  <c r="E5499" i="167"/>
  <c r="D5499" i="167"/>
  <c r="B5499" i="167"/>
  <c r="F5495" i="167"/>
  <c r="E5495" i="167" s="1"/>
  <c r="E5497" i="167"/>
  <c r="D5497" i="167"/>
  <c r="E5496" i="167"/>
  <c r="D5496" i="167"/>
  <c r="A5496" i="167"/>
  <c r="D5495" i="167"/>
  <c r="B5495" i="167"/>
  <c r="H5493" i="167"/>
  <c r="H5548" i="167" s="1"/>
  <c r="H5551" i="167" s="1"/>
  <c r="H5566" i="167" s="1"/>
  <c r="G5493" i="167"/>
  <c r="E5493" i="167" s="1"/>
  <c r="D5493" i="167"/>
  <c r="E5492" i="167"/>
  <c r="D5492" i="167"/>
  <c r="B5492" i="167"/>
  <c r="G5490" i="167"/>
  <c r="E5490" i="167" s="1"/>
  <c r="D5490" i="167"/>
  <c r="E5489" i="167"/>
  <c r="D5489" i="167"/>
  <c r="B5489" i="167"/>
  <c r="G5487" i="167"/>
  <c r="E5487" i="167" s="1"/>
  <c r="D5487" i="167"/>
  <c r="E5486" i="167"/>
  <c r="D5486" i="167"/>
  <c r="B5486" i="167"/>
  <c r="G5484" i="167"/>
  <c r="E5484" i="167" s="1"/>
  <c r="D5484" i="167"/>
  <c r="E5483" i="167"/>
  <c r="D5483" i="167"/>
  <c r="B5483" i="167"/>
  <c r="G5481" i="167"/>
  <c r="E5481" i="167" s="1"/>
  <c r="D5481" i="167"/>
  <c r="E5480" i="167"/>
  <c r="D5480" i="167"/>
  <c r="B5480" i="167"/>
  <c r="G5478" i="167"/>
  <c r="E5478" i="167" s="1"/>
  <c r="D5478" i="167"/>
  <c r="E5477" i="167"/>
  <c r="D5477" i="167"/>
  <c r="B5477" i="167"/>
  <c r="G5475" i="167"/>
  <c r="E5475" i="167" s="1"/>
  <c r="D5475" i="167"/>
  <c r="E5474" i="167"/>
  <c r="D5474" i="167"/>
  <c r="B5474" i="167"/>
  <c r="G5472" i="167"/>
  <c r="E5472" i="167" s="1"/>
  <c r="D5472" i="167"/>
  <c r="E5471" i="167"/>
  <c r="D5471" i="167"/>
  <c r="B5471" i="167"/>
  <c r="G5469" i="167"/>
  <c r="E5469" i="167" s="1"/>
  <c r="D5469" i="167"/>
  <c r="E5468" i="167"/>
  <c r="D5468" i="167"/>
  <c r="B5468" i="167"/>
  <c r="G5466" i="167"/>
  <c r="E5466" i="167" s="1"/>
  <c r="D5466" i="167"/>
  <c r="E5465" i="167"/>
  <c r="D5465" i="167"/>
  <c r="B5465" i="167"/>
  <c r="G5463" i="167"/>
  <c r="E5463" i="167" s="1"/>
  <c r="D5463" i="167"/>
  <c r="E5462" i="167"/>
  <c r="D5462" i="167"/>
  <c r="B5462" i="167"/>
  <c r="G5460" i="167"/>
  <c r="E5460" i="167" s="1"/>
  <c r="D5460" i="167"/>
  <c r="E5459" i="167"/>
  <c r="D5459" i="167"/>
  <c r="B5459" i="167"/>
  <c r="G5457" i="167"/>
  <c r="E5457" i="167" s="1"/>
  <c r="D5457" i="167"/>
  <c r="E5456" i="167"/>
  <c r="D5456" i="167"/>
  <c r="B5456" i="167"/>
  <c r="G5454" i="167"/>
  <c r="E5454" i="167" s="1"/>
  <c r="D5454" i="167"/>
  <c r="E5453" i="167"/>
  <c r="D5453" i="167"/>
  <c r="B5453" i="167"/>
  <c r="G5451" i="167"/>
  <c r="E5451" i="167" s="1"/>
  <c r="D5451" i="167"/>
  <c r="E5450" i="167"/>
  <c r="D5450" i="167"/>
  <c r="B5450" i="167"/>
  <c r="E5447" i="167"/>
  <c r="D5447" i="167"/>
  <c r="E5446" i="167"/>
  <c r="D5446" i="167"/>
  <c r="B5446" i="167"/>
  <c r="G5444" i="167"/>
  <c r="E5444" i="167" s="1"/>
  <c r="D5444" i="167"/>
  <c r="E5443" i="167"/>
  <c r="D5443" i="167"/>
  <c r="B5443" i="167"/>
  <c r="G5441" i="167"/>
  <c r="E5441" i="167" s="1"/>
  <c r="D5441" i="167"/>
  <c r="E5440" i="167"/>
  <c r="D5440" i="167"/>
  <c r="B5440" i="167"/>
  <c r="G5438" i="167"/>
  <c r="E5438" i="167" s="1"/>
  <c r="D5438" i="167"/>
  <c r="E5437" i="167"/>
  <c r="D5437" i="167"/>
  <c r="B5437" i="167"/>
  <c r="G5435" i="167"/>
  <c r="E5435" i="167" s="1"/>
  <c r="D5435" i="167"/>
  <c r="E5434" i="167"/>
  <c r="D5434" i="167"/>
  <c r="B5434" i="167"/>
  <c r="G5432" i="167"/>
  <c r="E5432" i="167" s="1"/>
  <c r="D5432" i="167"/>
  <c r="E5431" i="167"/>
  <c r="D5431" i="167"/>
  <c r="B5431" i="167"/>
  <c r="E5428" i="167"/>
  <c r="D5428" i="167"/>
  <c r="E5427" i="167"/>
  <c r="D5427" i="167"/>
  <c r="B5427" i="167"/>
  <c r="H5425" i="167"/>
  <c r="G5425" i="167"/>
  <c r="E5425" i="167" s="1"/>
  <c r="D5425" i="167"/>
  <c r="E5424" i="167"/>
  <c r="D5424" i="167"/>
  <c r="B5424" i="167"/>
  <c r="G5422" i="167"/>
  <c r="E5422" i="167" s="1"/>
  <c r="D5422" i="167"/>
  <c r="E5421" i="167"/>
  <c r="D5421" i="167"/>
  <c r="B5421" i="167"/>
  <c r="G5419" i="167"/>
  <c r="E5419" i="167" s="1"/>
  <c r="D5419" i="167"/>
  <c r="E5418" i="167"/>
  <c r="D5418" i="167"/>
  <c r="B5418" i="167"/>
  <c r="G5416" i="167"/>
  <c r="E5416" i="167" s="1"/>
  <c r="D5416" i="167"/>
  <c r="E5415" i="167"/>
  <c r="D5415" i="167"/>
  <c r="B5415" i="167"/>
  <c r="G5413" i="167"/>
  <c r="E5413" i="167" s="1"/>
  <c r="D5413" i="167"/>
  <c r="E5412" i="167"/>
  <c r="D5412" i="167"/>
  <c r="B5412" i="167"/>
  <c r="G5410" i="167"/>
  <c r="E5410" i="167" s="1"/>
  <c r="D5410" i="167"/>
  <c r="E5409" i="167"/>
  <c r="D5409" i="167"/>
  <c r="B5409" i="167"/>
  <c r="G5407" i="167"/>
  <c r="E5407" i="167" s="1"/>
  <c r="D5407" i="167"/>
  <c r="E5406" i="167"/>
  <c r="D5406" i="167"/>
  <c r="B5406" i="167"/>
  <c r="G5404" i="167"/>
  <c r="E5404" i="167" s="1"/>
  <c r="D5404" i="167"/>
  <c r="E5403" i="167"/>
  <c r="D5403" i="167"/>
  <c r="B5403" i="167"/>
  <c r="G5401" i="167"/>
  <c r="E5401" i="167" s="1"/>
  <c r="D5401" i="167"/>
  <c r="E5400" i="167"/>
  <c r="D5400" i="167"/>
  <c r="B5400" i="167"/>
  <c r="G5398" i="167"/>
  <c r="E5398" i="167" s="1"/>
  <c r="D5398" i="167"/>
  <c r="E5397" i="167"/>
  <c r="D5397" i="167"/>
  <c r="B5397" i="167"/>
  <c r="G5395" i="167"/>
  <c r="E5395" i="167" s="1"/>
  <c r="D5395" i="167"/>
  <c r="E5394" i="167"/>
  <c r="D5394" i="167"/>
  <c r="B5394" i="167"/>
  <c r="G5392" i="167"/>
  <c r="E5392" i="167" s="1"/>
  <c r="D5392" i="167"/>
  <c r="E5391" i="167"/>
  <c r="D5391" i="167"/>
  <c r="B5391" i="167"/>
  <c r="G5389" i="167"/>
  <c r="E5389" i="167" s="1"/>
  <c r="D5389" i="167"/>
  <c r="E5388" i="167"/>
  <c r="D5388" i="167"/>
  <c r="B5388" i="167"/>
  <c r="G5386" i="167"/>
  <c r="E5386" i="167" s="1"/>
  <c r="D5386" i="167"/>
  <c r="E5385" i="167"/>
  <c r="D5385" i="167"/>
  <c r="B5385" i="167"/>
  <c r="G5383" i="167"/>
  <c r="E5383" i="167" s="1"/>
  <c r="D5383" i="167"/>
  <c r="E5382" i="167"/>
  <c r="D5382" i="167"/>
  <c r="B5382" i="167"/>
  <c r="H5217" i="167"/>
  <c r="H5218" i="167" s="1"/>
  <c r="F5216" i="167"/>
  <c r="E5216" i="167" s="1"/>
  <c r="E5217" i="167"/>
  <c r="D5217" i="167"/>
  <c r="B5217" i="167"/>
  <c r="E5218" i="167"/>
  <c r="D5218" i="167"/>
  <c r="B5218" i="167"/>
  <c r="D5216" i="167"/>
  <c r="B5216" i="167"/>
  <c r="H5380" i="167"/>
  <c r="G5380" i="167"/>
  <c r="E5380" i="167" s="1"/>
  <c r="D5380" i="167"/>
  <c r="A5380" i="167"/>
  <c r="E5379" i="167"/>
  <c r="D5379" i="167"/>
  <c r="B5379" i="167"/>
  <c r="D5377" i="167"/>
  <c r="E5376" i="167"/>
  <c r="D5376" i="167"/>
  <c r="B5376" i="167"/>
  <c r="G5374" i="167"/>
  <c r="E5374" i="167" s="1"/>
  <c r="D5374" i="167"/>
  <c r="E5373" i="167"/>
  <c r="D5373" i="167"/>
  <c r="B5373" i="167"/>
  <c r="G5371" i="167"/>
  <c r="E5371" i="167" s="1"/>
  <c r="D5371" i="167"/>
  <c r="E5370" i="167"/>
  <c r="D5370" i="167"/>
  <c r="B5370" i="167"/>
  <c r="G5368" i="167"/>
  <c r="E5368" i="167" s="1"/>
  <c r="D5368" i="167"/>
  <c r="E5367" i="167"/>
  <c r="D5367" i="167"/>
  <c r="B5367" i="167"/>
  <c r="G5365" i="167"/>
  <c r="E5365" i="167" s="1"/>
  <c r="D5365" i="167"/>
  <c r="E5364" i="167"/>
  <c r="D5364" i="167"/>
  <c r="B5364" i="167"/>
  <c r="G5362" i="167"/>
  <c r="E5362" i="167" s="1"/>
  <c r="D5362" i="167"/>
  <c r="E5361" i="167"/>
  <c r="D5361" i="167"/>
  <c r="B5361" i="167"/>
  <c r="G5359" i="167"/>
  <c r="E5359" i="167" s="1"/>
  <c r="D5359" i="167"/>
  <c r="E5358" i="167"/>
  <c r="D5358" i="167"/>
  <c r="B5358" i="167"/>
  <c r="G5356" i="167"/>
  <c r="E5356" i="167" s="1"/>
  <c r="D5356" i="167"/>
  <c r="E5355" i="167"/>
  <c r="D5355" i="167"/>
  <c r="B5355" i="167"/>
  <c r="G5353" i="167"/>
  <c r="E5353" i="167" s="1"/>
  <c r="D5353" i="167"/>
  <c r="E5352" i="167"/>
  <c r="D5352" i="167"/>
  <c r="B5352" i="167"/>
  <c r="G5350" i="167"/>
  <c r="E5350" i="167" s="1"/>
  <c r="D5350" i="167"/>
  <c r="E5349" i="167"/>
  <c r="D5349" i="167"/>
  <c r="B5349" i="167"/>
  <c r="G5347" i="167"/>
  <c r="E5347" i="167" s="1"/>
  <c r="D5347" i="167"/>
  <c r="E5346" i="167"/>
  <c r="D5346" i="167"/>
  <c r="B5346" i="167"/>
  <c r="G5344" i="167"/>
  <c r="E5344" i="167" s="1"/>
  <c r="D5344" i="167"/>
  <c r="E5343" i="167"/>
  <c r="D5343" i="167"/>
  <c r="B5343" i="167"/>
  <c r="G5341" i="167"/>
  <c r="E5341" i="167" s="1"/>
  <c r="D5341" i="167"/>
  <c r="E5340" i="167"/>
  <c r="D5340" i="167"/>
  <c r="B5340" i="167"/>
  <c r="G5338" i="167"/>
  <c r="E5338" i="167" s="1"/>
  <c r="D5338" i="167"/>
  <c r="E5337" i="167"/>
  <c r="D5337" i="167"/>
  <c r="B5337" i="167"/>
  <c r="G5335" i="167"/>
  <c r="E5335" i="167" s="1"/>
  <c r="D5335" i="167"/>
  <c r="E5334" i="167"/>
  <c r="D5334" i="167"/>
  <c r="B5334" i="167"/>
  <c r="G5332" i="167"/>
  <c r="E5332" i="167" s="1"/>
  <c r="D5332" i="167"/>
  <c r="E5331" i="167"/>
  <c r="D5331" i="167"/>
  <c r="B5331" i="167"/>
  <c r="G5329" i="167"/>
  <c r="E5329" i="167" s="1"/>
  <c r="D5329" i="167"/>
  <c r="E5328" i="167"/>
  <c r="D5328" i="167"/>
  <c r="B5328" i="167"/>
  <c r="G5326" i="167"/>
  <c r="E5326" i="167" s="1"/>
  <c r="D5326" i="167"/>
  <c r="E5325" i="167"/>
  <c r="D5325" i="167"/>
  <c r="B5325" i="167"/>
  <c r="G5323" i="167"/>
  <c r="E5323" i="167" s="1"/>
  <c r="D5323" i="167"/>
  <c r="E5322" i="167"/>
  <c r="D5322" i="167"/>
  <c r="B5322" i="167"/>
  <c r="G5320" i="167"/>
  <c r="E5320" i="167" s="1"/>
  <c r="D5320" i="167"/>
  <c r="E5319" i="167"/>
  <c r="D5319" i="167"/>
  <c r="B5319" i="167"/>
  <c r="G5317" i="167"/>
  <c r="E5317" i="167" s="1"/>
  <c r="D5317" i="167"/>
  <c r="E5316" i="167"/>
  <c r="D5316" i="167"/>
  <c r="B5316" i="167"/>
  <c r="G5314" i="167"/>
  <c r="E5314" i="167" s="1"/>
  <c r="D5314" i="167"/>
  <c r="E5313" i="167"/>
  <c r="D5313" i="167"/>
  <c r="B5313" i="167"/>
  <c r="H5311" i="167"/>
  <c r="H5314" i="167" s="1"/>
  <c r="G5311" i="167"/>
  <c r="E5311" i="167" s="1"/>
  <c r="D5311" i="167"/>
  <c r="E5310" i="167"/>
  <c r="D5310" i="167"/>
  <c r="B5310" i="167"/>
  <c r="H5308" i="167"/>
  <c r="G5308" i="167"/>
  <c r="E5308" i="167" s="1"/>
  <c r="D5308" i="167"/>
  <c r="E5307" i="167"/>
  <c r="D5307" i="167"/>
  <c r="B5307" i="167"/>
  <c r="G5305" i="167"/>
  <c r="E5305" i="167" s="1"/>
  <c r="D5305" i="167"/>
  <c r="E5304" i="167"/>
  <c r="D5304" i="167"/>
  <c r="B5304" i="167"/>
  <c r="G5302" i="167"/>
  <c r="E5302" i="167" s="1"/>
  <c r="D5302" i="167"/>
  <c r="E5301" i="167"/>
  <c r="D5301" i="167"/>
  <c r="B5301" i="167"/>
  <c r="G5299" i="167"/>
  <c r="E5299" i="167" s="1"/>
  <c r="D5299" i="167"/>
  <c r="E5298" i="167"/>
  <c r="D5298" i="167"/>
  <c r="B5298" i="167"/>
  <c r="G5296" i="167"/>
  <c r="E5296" i="167" s="1"/>
  <c r="D5296" i="167"/>
  <c r="E5295" i="167"/>
  <c r="D5295" i="167"/>
  <c r="B5295" i="167"/>
  <c r="G5293" i="167"/>
  <c r="E5293" i="167" s="1"/>
  <c r="D5293" i="167"/>
  <c r="E5292" i="167"/>
  <c r="D5292" i="167"/>
  <c r="B5292" i="167"/>
  <c r="G5290" i="167"/>
  <c r="E5290" i="167" s="1"/>
  <c r="D5290" i="167"/>
  <c r="E5289" i="167"/>
  <c r="D5289" i="167"/>
  <c r="B5289" i="167"/>
  <c r="G5287" i="167"/>
  <c r="E5287" i="167" s="1"/>
  <c r="D5287" i="167"/>
  <c r="E5286" i="167"/>
  <c r="D5286" i="167"/>
  <c r="B5286" i="167"/>
  <c r="G5284" i="167"/>
  <c r="E5284" i="167" s="1"/>
  <c r="D5284" i="167"/>
  <c r="E5283" i="167"/>
  <c r="D5283" i="167"/>
  <c r="B5283" i="167"/>
  <c r="G5281" i="167"/>
  <c r="E5281" i="167" s="1"/>
  <c r="D5281" i="167"/>
  <c r="E5280" i="167"/>
  <c r="D5280" i="167"/>
  <c r="B5280" i="167"/>
  <c r="G5278" i="167"/>
  <c r="E5278" i="167" s="1"/>
  <c r="D5278" i="167"/>
  <c r="E5277" i="167"/>
  <c r="D5277" i="167"/>
  <c r="B5277" i="167"/>
  <c r="G5275" i="167"/>
  <c r="E5275" i="167" s="1"/>
  <c r="D5275" i="167"/>
  <c r="E5274" i="167"/>
  <c r="D5274" i="167"/>
  <c r="B5274" i="167"/>
  <c r="G5272" i="167"/>
  <c r="E5272" i="167" s="1"/>
  <c r="D5272" i="167"/>
  <c r="E5271" i="167"/>
  <c r="D5271" i="167"/>
  <c r="B5271" i="167"/>
  <c r="G5269" i="167"/>
  <c r="E5269" i="167" s="1"/>
  <c r="D5269" i="167"/>
  <c r="E5268" i="167"/>
  <c r="D5268" i="167"/>
  <c r="B5268" i="167"/>
  <c r="G5266" i="167"/>
  <c r="E5266" i="167" s="1"/>
  <c r="D5266" i="167"/>
  <c r="E5265" i="167"/>
  <c r="D5265" i="167"/>
  <c r="B5265" i="167"/>
  <c r="G5263" i="167"/>
  <c r="E5263" i="167" s="1"/>
  <c r="D5263" i="167"/>
  <c r="E5262" i="167"/>
  <c r="D5262" i="167"/>
  <c r="B5262" i="167"/>
  <c r="G5260" i="167"/>
  <c r="E5260" i="167" s="1"/>
  <c r="D5260" i="167"/>
  <c r="E5259" i="167"/>
  <c r="D5259" i="167"/>
  <c r="B5259" i="167"/>
  <c r="G5257" i="167"/>
  <c r="E5257" i="167" s="1"/>
  <c r="D5257" i="167"/>
  <c r="E5256" i="167"/>
  <c r="D5256" i="167"/>
  <c r="B5256" i="167"/>
  <c r="G5254" i="167"/>
  <c r="E5254" i="167" s="1"/>
  <c r="D5254" i="167"/>
  <c r="E5253" i="167"/>
  <c r="D5253" i="167"/>
  <c r="B5253" i="167"/>
  <c r="G5251" i="167"/>
  <c r="E5251" i="167" s="1"/>
  <c r="D5251" i="167"/>
  <c r="E5250" i="167"/>
  <c r="D5250" i="167"/>
  <c r="B5250" i="167"/>
  <c r="G5248" i="167"/>
  <c r="E5248" i="167" s="1"/>
  <c r="D5248" i="167"/>
  <c r="E5247" i="167"/>
  <c r="D5247" i="167"/>
  <c r="B5247" i="167"/>
  <c r="G5245" i="167"/>
  <c r="E5245" i="167" s="1"/>
  <c r="D5245" i="167"/>
  <c r="E5244" i="167"/>
  <c r="D5244" i="167"/>
  <c r="B5244" i="167"/>
  <c r="H5242" i="167"/>
  <c r="H5278" i="167" s="1"/>
  <c r="H5290" i="167" s="1"/>
  <c r="H5326" i="167" s="1"/>
  <c r="H5329" i="167" s="1"/>
  <c r="H5344" i="167" s="1"/>
  <c r="H5410" i="167" s="1"/>
  <c r="H5416" i="167" s="1"/>
  <c r="H5432" i="167" s="1"/>
  <c r="H5435" i="167" s="1"/>
  <c r="H5460" i="167" s="1"/>
  <c r="H5466" i="167" s="1"/>
  <c r="H5512" i="167" s="1"/>
  <c r="H5539" i="167" s="1"/>
  <c r="H5584" i="167" s="1"/>
  <c r="H5596" i="167" s="1"/>
  <c r="H5605" i="167" s="1"/>
  <c r="H5648" i="167" s="1"/>
  <c r="G5242" i="167"/>
  <c r="E5242" i="167" s="1"/>
  <c r="D5242" i="167"/>
  <c r="E5241" i="167"/>
  <c r="D5241" i="167"/>
  <c r="B5241" i="167"/>
  <c r="G5239" i="167"/>
  <c r="E5239" i="167" s="1"/>
  <c r="D5239" i="167"/>
  <c r="E5238" i="167"/>
  <c r="D5238" i="167"/>
  <c r="B5238" i="167"/>
  <c r="G5236" i="167"/>
  <c r="E5236" i="167" s="1"/>
  <c r="D5236" i="167"/>
  <c r="E5235" i="167"/>
  <c r="D5235" i="167"/>
  <c r="B5235" i="167"/>
  <c r="G5233" i="167"/>
  <c r="E5233" i="167" s="1"/>
  <c r="D5233" i="167"/>
  <c r="E5232" i="167"/>
  <c r="D5232" i="167"/>
  <c r="B5232" i="167"/>
  <c r="G5230" i="167"/>
  <c r="E5230" i="167" s="1"/>
  <c r="D5230" i="167"/>
  <c r="E5229" i="167"/>
  <c r="D5229" i="167"/>
  <c r="B5229" i="167"/>
  <c r="G5227" i="167"/>
  <c r="E5227" i="167" s="1"/>
  <c r="D5227" i="167"/>
  <c r="E5226" i="167"/>
  <c r="D5226" i="167"/>
  <c r="B5226" i="167"/>
  <c r="H5224" i="167"/>
  <c r="H5230" i="167" s="1"/>
  <c r="H5245" i="167" s="1"/>
  <c r="H5248" i="167" s="1"/>
  <c r="H5251" i="167" s="1"/>
  <c r="H5260" i="167" s="1"/>
  <c r="H5269" i="167" s="1"/>
  <c r="H5272" i="167" s="1"/>
  <c r="H5284" i="167" s="1"/>
  <c r="H5293" i="167" s="1"/>
  <c r="H5296" i="167" s="1"/>
  <c r="H5299" i="167" s="1"/>
  <c r="H5317" i="167" s="1"/>
  <c r="H5320" i="167" s="1"/>
  <c r="H5332" i="167" s="1"/>
  <c r="H5335" i="167" s="1"/>
  <c r="H5341" i="167" s="1"/>
  <c r="H5347" i="167" s="1"/>
  <c r="H5350" i="167" s="1"/>
  <c r="H5353" i="167" s="1"/>
  <c r="H5356" i="167" s="1"/>
  <c r="H5362" i="167" s="1"/>
  <c r="H5365" i="167" s="1"/>
  <c r="H5368" i="167" s="1"/>
  <c r="H5374" i="167" s="1"/>
  <c r="H5383" i="167" s="1"/>
  <c r="H5386" i="167" s="1"/>
  <c r="H5389" i="167" s="1"/>
  <c r="H5392" i="167" s="1"/>
  <c r="H5395" i="167" s="1"/>
  <c r="H5398" i="167" s="1"/>
  <c r="H5401" i="167" s="1"/>
  <c r="H5407" i="167" s="1"/>
  <c r="H5419" i="167" s="1"/>
  <c r="H5422" i="167" s="1"/>
  <c r="H5428" i="167" s="1"/>
  <c r="G5224" i="167"/>
  <c r="E5224" i="167" s="1"/>
  <c r="D5224" i="167"/>
  <c r="E5223" i="167"/>
  <c r="D5223" i="167"/>
  <c r="B5223" i="167"/>
  <c r="B5220" i="167"/>
  <c r="H5221" i="167"/>
  <c r="H5227" i="167" s="1"/>
  <c r="H5233" i="167" s="1"/>
  <c r="H5239" i="167" s="1"/>
  <c r="H5254" i="167" s="1"/>
  <c r="H5257" i="167" s="1"/>
  <c r="H5263" i="167" s="1"/>
  <c r="H5266" i="167" s="1"/>
  <c r="H5275" i="167" s="1"/>
  <c r="H5281" i="167" s="1"/>
  <c r="H5287" i="167" s="1"/>
  <c r="H5302" i="167" s="1"/>
  <c r="H5305" i="167" s="1"/>
  <c r="H5323" i="167" s="1"/>
  <c r="H5338" i="167" s="1"/>
  <c r="H5371" i="167" s="1"/>
  <c r="H5404" i="167" s="1"/>
  <c r="H5444" i="167" s="1"/>
  <c r="H5457" i="167" s="1"/>
  <c r="H5478" i="167" s="1"/>
  <c r="H5536" i="167" s="1"/>
  <c r="H5542" i="167" s="1"/>
  <c r="H5554" i="167" s="1"/>
  <c r="H5578" i="167" s="1"/>
  <c r="H5581" i="167" s="1"/>
  <c r="H5623" i="167" s="1"/>
  <c r="H5626" i="167" s="1"/>
  <c r="G5221" i="167"/>
  <c r="E5221" i="167" s="1"/>
  <c r="D5221" i="167"/>
  <c r="E5220" i="167"/>
  <c r="D5220" i="167"/>
  <c r="H5441" i="167" l="1"/>
  <c r="H5447" i="167" s="1"/>
  <c r="H5429" i="167"/>
  <c r="B5496" i="167"/>
  <c r="B5592" i="167" s="1"/>
  <c r="B5593" i="167" s="1"/>
  <c r="H5496" i="167"/>
  <c r="A5497" i="167"/>
  <c r="A5500" i="167" s="1"/>
  <c r="A5503" i="167" s="1"/>
  <c r="A5592" i="167"/>
  <c r="B5533" i="167"/>
  <c r="B5380" i="167"/>
  <c r="B5704" i="167"/>
  <c r="A5706" i="167"/>
  <c r="B5703" i="167"/>
  <c r="A5705" i="167"/>
  <c r="H6312" i="166"/>
  <c r="G6312" i="166"/>
  <c r="E6312" i="166" s="1"/>
  <c r="D6312" i="166"/>
  <c r="A6312" i="166"/>
  <c r="B6312" i="166" s="1"/>
  <c r="E6311" i="166"/>
  <c r="D6311" i="166"/>
  <c r="B6311" i="166"/>
  <c r="H6315" i="166"/>
  <c r="G6315" i="166"/>
  <c r="E6315" i="166" s="1"/>
  <c r="D6315" i="166"/>
  <c r="A6315" i="166"/>
  <c r="B6315" i="166" s="1"/>
  <c r="E6314" i="166"/>
  <c r="D6314" i="166"/>
  <c r="B6314" i="166"/>
  <c r="H6469" i="166"/>
  <c r="G6469" i="166"/>
  <c r="E6469" i="166" s="1"/>
  <c r="D6469" i="166"/>
  <c r="A6469" i="166"/>
  <c r="B6469" i="166" s="1"/>
  <c r="E6468" i="166"/>
  <c r="D6468" i="166"/>
  <c r="B6468" i="166"/>
  <c r="H5451" i="167" l="1"/>
  <c r="H5454" i="167" s="1"/>
  <c r="H5469" i="167" s="1"/>
  <c r="H5472" i="167" s="1"/>
  <c r="H5481" i="167" s="1"/>
  <c r="H5484" i="167" s="1"/>
  <c r="H5490" i="167" s="1"/>
  <c r="H5509" i="167" s="1"/>
  <c r="H5515" i="167" s="1"/>
  <c r="H5527" i="167" s="1"/>
  <c r="H5530" i="167" s="1"/>
  <c r="H5545" i="167" s="1"/>
  <c r="H5563" i="167" s="1"/>
  <c r="H5569" i="167" s="1"/>
  <c r="H5572" i="167" s="1"/>
  <c r="H5575" i="167" s="1"/>
  <c r="H5608" i="167" s="1"/>
  <c r="H5611" i="167" s="1"/>
  <c r="H5614" i="167" s="1"/>
  <c r="H5617" i="167" s="1"/>
  <c r="H5620" i="167" s="1"/>
  <c r="H5629" i="167" s="1"/>
  <c r="H5632" i="167" s="1"/>
  <c r="H5448" i="167"/>
  <c r="B5497" i="167"/>
  <c r="B5500" i="167" s="1"/>
  <c r="B5503" i="167" s="1"/>
  <c r="H5497" i="167"/>
  <c r="H5500" i="167" s="1"/>
  <c r="H5503" i="167" s="1"/>
  <c r="H5592" i="167"/>
  <c r="B5706" i="167"/>
  <c r="A5708" i="167"/>
  <c r="B5708" i="167" s="1"/>
  <c r="B5705" i="167"/>
  <c r="A5707" i="167"/>
  <c r="H6466" i="166"/>
  <c r="G6466" i="166"/>
  <c r="E6466" i="166" s="1"/>
  <c r="D6466" i="166"/>
  <c r="A6466" i="166"/>
  <c r="B6466" i="166" s="1"/>
  <c r="E6465" i="166"/>
  <c r="D6465" i="166"/>
  <c r="B6465" i="166"/>
  <c r="H6463" i="166"/>
  <c r="G6463" i="166"/>
  <c r="E6463" i="166" s="1"/>
  <c r="D6463" i="166"/>
  <c r="A6463" i="166"/>
  <c r="B6463" i="166" s="1"/>
  <c r="E6462" i="166"/>
  <c r="D6462" i="166"/>
  <c r="B6462" i="166"/>
  <c r="H6460" i="166"/>
  <c r="G6460" i="166"/>
  <c r="E6460" i="166" s="1"/>
  <c r="D6460" i="166"/>
  <c r="A6460" i="166"/>
  <c r="B6460" i="166" s="1"/>
  <c r="E6459" i="166"/>
  <c r="D6459" i="166"/>
  <c r="B6459" i="166"/>
  <c r="H6457" i="166"/>
  <c r="G6457" i="166"/>
  <c r="E6457" i="166" s="1"/>
  <c r="D6457" i="166"/>
  <c r="A6457" i="166"/>
  <c r="B6457" i="166" s="1"/>
  <c r="E6456" i="166"/>
  <c r="D6456" i="166"/>
  <c r="B6456" i="166"/>
  <c r="H6454" i="166"/>
  <c r="G6454" i="166"/>
  <c r="E6454" i="166" s="1"/>
  <c r="D6454" i="166"/>
  <c r="A6454" i="166"/>
  <c r="B6454" i="166" s="1"/>
  <c r="E6453" i="166"/>
  <c r="D6453" i="166"/>
  <c r="B6453" i="166"/>
  <c r="H6451" i="166"/>
  <c r="G6451" i="166"/>
  <c r="E6451" i="166" s="1"/>
  <c r="D6451" i="166"/>
  <c r="A6451" i="166"/>
  <c r="B6451" i="166" s="1"/>
  <c r="E6450" i="166"/>
  <c r="D6450" i="166"/>
  <c r="B6450" i="166"/>
  <c r="H6448" i="166"/>
  <c r="G6448" i="166"/>
  <c r="E6448" i="166" s="1"/>
  <c r="D6448" i="166"/>
  <c r="A6448" i="166"/>
  <c r="B6448" i="166" s="1"/>
  <c r="E6447" i="166"/>
  <c r="D6447" i="166"/>
  <c r="B6447" i="166"/>
  <c r="H6445" i="166"/>
  <c r="G6445" i="166"/>
  <c r="E6445" i="166" s="1"/>
  <c r="D6445" i="166"/>
  <c r="A6445" i="166"/>
  <c r="B6445" i="166" s="1"/>
  <c r="E6444" i="166"/>
  <c r="D6444" i="166"/>
  <c r="B6444" i="166"/>
  <c r="H6442" i="166"/>
  <c r="G6442" i="166"/>
  <c r="E6442" i="166" s="1"/>
  <c r="D6442" i="166"/>
  <c r="A6442" i="166"/>
  <c r="B6442" i="166" s="1"/>
  <c r="E6441" i="166"/>
  <c r="D6441" i="166"/>
  <c r="B6441" i="166"/>
  <c r="H6439" i="166"/>
  <c r="G6439" i="166"/>
  <c r="E6439" i="166" s="1"/>
  <c r="D6439" i="166"/>
  <c r="E6438" i="166"/>
  <c r="D6438" i="166"/>
  <c r="H6436" i="166"/>
  <c r="G6436" i="166"/>
  <c r="E6436" i="166" s="1"/>
  <c r="D6436" i="166"/>
  <c r="E6435" i="166"/>
  <c r="D6435" i="166"/>
  <c r="H6433" i="166"/>
  <c r="G6433" i="166"/>
  <c r="E6433" i="166" s="1"/>
  <c r="D6433" i="166"/>
  <c r="E6432" i="166"/>
  <c r="D6432" i="166"/>
  <c r="H6430" i="166"/>
  <c r="G6430" i="166"/>
  <c r="E6430" i="166" s="1"/>
  <c r="D6430" i="166"/>
  <c r="E6429" i="166"/>
  <c r="D6429" i="166"/>
  <c r="H6427" i="166"/>
  <c r="G6427" i="166"/>
  <c r="E6427" i="166" s="1"/>
  <c r="D6427" i="166"/>
  <c r="E6426" i="166"/>
  <c r="D6426" i="166"/>
  <c r="E6424" i="166"/>
  <c r="D6424" i="166"/>
  <c r="E6423" i="166"/>
  <c r="D6423" i="166"/>
  <c r="E6422" i="166"/>
  <c r="D6422" i="166"/>
  <c r="E6421" i="166"/>
  <c r="D6421" i="166"/>
  <c r="E6420" i="166"/>
  <c r="D6420" i="166"/>
  <c r="E6419" i="166"/>
  <c r="D6419" i="166"/>
  <c r="A6419" i="166"/>
  <c r="A6420" i="166" s="1"/>
  <c r="A6421" i="166" s="1"/>
  <c r="A6422" i="166" s="1"/>
  <c r="A6423" i="166" s="1"/>
  <c r="A6424" i="166" s="1"/>
  <c r="A6426" i="166" s="1"/>
  <c r="B6426" i="166" s="1"/>
  <c r="E6418" i="166"/>
  <c r="D6418" i="166"/>
  <c r="B6418" i="166"/>
  <c r="B6419" i="166" s="1"/>
  <c r="B6420" i="166" s="1"/>
  <c r="B6421" i="166" s="1"/>
  <c r="B6422" i="166" s="1"/>
  <c r="B6423" i="166" s="1"/>
  <c r="B6424" i="166" s="1"/>
  <c r="H5636" i="167" l="1"/>
  <c r="H5651" i="167" s="1"/>
  <c r="H5654" i="167" s="1"/>
  <c r="H5633" i="167"/>
  <c r="B5707" i="167"/>
  <c r="A6427" i="166"/>
  <c r="B6427" i="166" l="1"/>
  <c r="A6429" i="166"/>
  <c r="B6429" i="166" l="1"/>
  <c r="A6430" i="166"/>
  <c r="B6430" i="166" s="1"/>
  <c r="A6432" i="166"/>
  <c r="B6432" i="166" l="1"/>
  <c r="A6433" i="166"/>
  <c r="B6433" i="166" l="1"/>
  <c r="A6435" i="166"/>
  <c r="B6435" i="166" l="1"/>
  <c r="A6436" i="166"/>
  <c r="B6436" i="166" l="1"/>
  <c r="A6438" i="166"/>
  <c r="B6438" i="166" l="1"/>
  <c r="A6439" i="166"/>
  <c r="B6439" i="166" s="1"/>
  <c r="F6414" i="166" l="1"/>
  <c r="E6414" i="166" s="1"/>
  <c r="E6415" i="166"/>
  <c r="D6415" i="166"/>
  <c r="B6415" i="166"/>
  <c r="A6411" i="166"/>
  <c r="B6411" i="166" s="1"/>
  <c r="H6412" i="166"/>
  <c r="E6411" i="166"/>
  <c r="D6411" i="166"/>
  <c r="F6410" i="166"/>
  <c r="E6410" i="166" s="1"/>
  <c r="H6416" i="166"/>
  <c r="E6416" i="166"/>
  <c r="D6416" i="166"/>
  <c r="A6416" i="166"/>
  <c r="B6416" i="166" s="1"/>
  <c r="D6414" i="166"/>
  <c r="B6414" i="166"/>
  <c r="E6412" i="166"/>
  <c r="D6412" i="166"/>
  <c r="A6412" i="166"/>
  <c r="B6412" i="166" s="1"/>
  <c r="D6410" i="166"/>
  <c r="B6410" i="166"/>
  <c r="H6408" i="166"/>
  <c r="G6408" i="166"/>
  <c r="E6408" i="166" s="1"/>
  <c r="D6408" i="166"/>
  <c r="A6408" i="166"/>
  <c r="B6408" i="166" s="1"/>
  <c r="E6407" i="166"/>
  <c r="D6407" i="166"/>
  <c r="B6407" i="166"/>
  <c r="H6405" i="166"/>
  <c r="G6405" i="166"/>
  <c r="E6405" i="166" s="1"/>
  <c r="D6405" i="166"/>
  <c r="A6405" i="166"/>
  <c r="B6405" i="166" s="1"/>
  <c r="E6404" i="166"/>
  <c r="D6404" i="166"/>
  <c r="B6404" i="166"/>
  <c r="H6402" i="166"/>
  <c r="G6402" i="166"/>
  <c r="E6402" i="166" s="1"/>
  <c r="D6402" i="166"/>
  <c r="A6402" i="166"/>
  <c r="B6402" i="166" s="1"/>
  <c r="E6401" i="166"/>
  <c r="D6401" i="166"/>
  <c r="B6401" i="166"/>
  <c r="H6399" i="166"/>
  <c r="G6399" i="166"/>
  <c r="E6399" i="166" s="1"/>
  <c r="D6399" i="166"/>
  <c r="A6399" i="166"/>
  <c r="B6399" i="166" s="1"/>
  <c r="E6398" i="166"/>
  <c r="D6398" i="166"/>
  <c r="B6398" i="166"/>
  <c r="H6396" i="166"/>
  <c r="G6396" i="166"/>
  <c r="E6396" i="166" s="1"/>
  <c r="D6396" i="166"/>
  <c r="A6396" i="166"/>
  <c r="B6396" i="166" s="1"/>
  <c r="E6395" i="166"/>
  <c r="D6395" i="166"/>
  <c r="B6395" i="166"/>
  <c r="H6393" i="166"/>
  <c r="G6393" i="166"/>
  <c r="E6393" i="166" s="1"/>
  <c r="D6393" i="166"/>
  <c r="A6393" i="166"/>
  <c r="B6393" i="166" s="1"/>
  <c r="E6392" i="166"/>
  <c r="D6392" i="166"/>
  <c r="B6392" i="166"/>
  <c r="H6390" i="166"/>
  <c r="G6390" i="166"/>
  <c r="E6390" i="166" s="1"/>
  <c r="D6390" i="166"/>
  <c r="A6390" i="166"/>
  <c r="B6390" i="166" s="1"/>
  <c r="E6389" i="166"/>
  <c r="D6389" i="166"/>
  <c r="B6389" i="166"/>
  <c r="H6387" i="166"/>
  <c r="G6387" i="166"/>
  <c r="E6387" i="166" s="1"/>
  <c r="D6387" i="166"/>
  <c r="A6387" i="166"/>
  <c r="B6387" i="166" s="1"/>
  <c r="E6386" i="166"/>
  <c r="D6386" i="166"/>
  <c r="B6386" i="166"/>
  <c r="H6384" i="166"/>
  <c r="G6384" i="166"/>
  <c r="E6384" i="166" s="1"/>
  <c r="D6384" i="166"/>
  <c r="A6384" i="166"/>
  <c r="B6384" i="166" s="1"/>
  <c r="E6383" i="166"/>
  <c r="D6383" i="166"/>
  <c r="B6383" i="166"/>
  <c r="H6381" i="166"/>
  <c r="G6381" i="166"/>
  <c r="E6381" i="166" s="1"/>
  <c r="D6381" i="166"/>
  <c r="A6381" i="166"/>
  <c r="B6381" i="166" s="1"/>
  <c r="E6380" i="166"/>
  <c r="D6380" i="166"/>
  <c r="B6380" i="166"/>
  <c r="H6378" i="166"/>
  <c r="G6378" i="166"/>
  <c r="E6378" i="166" s="1"/>
  <c r="D6378" i="166"/>
  <c r="A6378" i="166"/>
  <c r="B6378" i="166" s="1"/>
  <c r="E6377" i="166"/>
  <c r="D6377" i="166"/>
  <c r="B6377" i="166"/>
  <c r="H6375" i="166"/>
  <c r="G6375" i="166"/>
  <c r="E6375" i="166" s="1"/>
  <c r="D6375" i="166"/>
  <c r="A6375" i="166"/>
  <c r="B6375" i="166" s="1"/>
  <c r="E6374" i="166"/>
  <c r="D6374" i="166"/>
  <c r="B6374" i="166"/>
  <c r="H6372" i="166"/>
  <c r="G6372" i="166"/>
  <c r="E6372" i="166" s="1"/>
  <c r="D6372" i="166"/>
  <c r="A6372" i="166"/>
  <c r="B6372" i="166" s="1"/>
  <c r="E6371" i="166"/>
  <c r="D6371" i="166"/>
  <c r="B6371" i="166"/>
  <c r="H6369" i="166"/>
  <c r="G6369" i="166"/>
  <c r="E6369" i="166" s="1"/>
  <c r="D6369" i="166"/>
  <c r="A6369" i="166"/>
  <c r="B6369" i="166" s="1"/>
  <c r="E6368" i="166"/>
  <c r="D6368" i="166"/>
  <c r="B6368" i="166"/>
  <c r="H6366" i="166"/>
  <c r="G6366" i="166"/>
  <c r="E6366" i="166" s="1"/>
  <c r="D6366" i="166"/>
  <c r="A6366" i="166"/>
  <c r="B6366" i="166" s="1"/>
  <c r="E6365" i="166"/>
  <c r="D6365" i="166"/>
  <c r="B6365" i="166"/>
  <c r="H6363" i="166"/>
  <c r="G6363" i="166"/>
  <c r="E6363" i="166" s="1"/>
  <c r="D6363" i="166"/>
  <c r="A6363" i="166"/>
  <c r="B6363" i="166" s="1"/>
  <c r="E6362" i="166"/>
  <c r="D6362" i="166"/>
  <c r="B6362" i="166"/>
  <c r="H6360" i="166"/>
  <c r="G6360" i="166"/>
  <c r="E6360" i="166" s="1"/>
  <c r="D6360" i="166"/>
  <c r="A6360" i="166"/>
  <c r="B6360" i="166" s="1"/>
  <c r="E6359" i="166"/>
  <c r="D6359" i="166"/>
  <c r="B6359" i="166"/>
  <c r="H6357" i="166"/>
  <c r="G6357" i="166"/>
  <c r="E6357" i="166" s="1"/>
  <c r="D6357" i="166"/>
  <c r="A6357" i="166"/>
  <c r="B6357" i="166" s="1"/>
  <c r="E6356" i="166"/>
  <c r="D6356" i="166"/>
  <c r="B6356" i="166"/>
  <c r="H6354" i="166"/>
  <c r="G6354" i="166"/>
  <c r="E6354" i="166" s="1"/>
  <c r="D6354" i="166"/>
  <c r="A6354" i="166"/>
  <c r="B6354" i="166" s="1"/>
  <c r="E6353" i="166"/>
  <c r="D6353" i="166"/>
  <c r="B6353" i="166"/>
  <c r="H6351" i="166"/>
  <c r="G6351" i="166"/>
  <c r="E6351" i="166" s="1"/>
  <c r="D6351" i="166"/>
  <c r="A6351" i="166"/>
  <c r="B6351" i="166" s="1"/>
  <c r="E6350" i="166"/>
  <c r="D6350" i="166"/>
  <c r="B6350" i="166"/>
  <c r="H6348" i="166"/>
  <c r="G6348" i="166"/>
  <c r="E6348" i="166" s="1"/>
  <c r="D6348" i="166"/>
  <c r="A6348" i="166"/>
  <c r="B6348" i="166" s="1"/>
  <c r="E6347" i="166"/>
  <c r="D6347" i="166"/>
  <c r="B6347" i="166"/>
  <c r="H6345" i="166"/>
  <c r="G6345" i="166"/>
  <c r="E6345" i="166" s="1"/>
  <c r="D6345" i="166"/>
  <c r="A6345" i="166"/>
  <c r="B6345" i="166" s="1"/>
  <c r="E6344" i="166"/>
  <c r="D6344" i="166"/>
  <c r="B6344" i="166"/>
  <c r="H6342" i="166"/>
  <c r="G6342" i="166"/>
  <c r="E6342" i="166" s="1"/>
  <c r="D6342" i="166"/>
  <c r="A6342" i="166"/>
  <c r="B6342" i="166" s="1"/>
  <c r="E6341" i="166"/>
  <c r="D6341" i="166"/>
  <c r="B6341" i="166"/>
  <c r="H6339" i="166"/>
  <c r="G6339" i="166"/>
  <c r="E6339" i="166" s="1"/>
  <c r="D6339" i="166"/>
  <c r="A6339" i="166"/>
  <c r="B6339" i="166" s="1"/>
  <c r="E6338" i="166"/>
  <c r="D6338" i="166"/>
  <c r="B6338" i="166"/>
  <c r="H6336" i="166"/>
  <c r="G6336" i="166"/>
  <c r="E6336" i="166" s="1"/>
  <c r="D6336" i="166"/>
  <c r="A6336" i="166"/>
  <c r="B6336" i="166" s="1"/>
  <c r="E6335" i="166"/>
  <c r="D6335" i="166"/>
  <c r="B6335" i="166"/>
  <c r="H6333" i="166"/>
  <c r="G6333" i="166"/>
  <c r="E6333" i="166" s="1"/>
  <c r="D6333" i="166"/>
  <c r="A6333" i="166"/>
  <c r="B6333" i="166" s="1"/>
  <c r="E6332" i="166"/>
  <c r="D6332" i="166"/>
  <c r="B6332" i="166"/>
  <c r="H6330" i="166"/>
  <c r="G6330" i="166"/>
  <c r="E6330" i="166" s="1"/>
  <c r="D6330" i="166"/>
  <c r="A6330" i="166"/>
  <c r="B6330" i="166" s="1"/>
  <c r="E6329" i="166"/>
  <c r="D6329" i="166"/>
  <c r="B6329" i="166"/>
  <c r="H6327" i="166"/>
  <c r="G6327" i="166"/>
  <c r="E6327" i="166" s="1"/>
  <c r="D6327" i="166"/>
  <c r="A6327" i="166"/>
  <c r="B6327" i="166" s="1"/>
  <c r="E6326" i="166"/>
  <c r="D6326" i="166"/>
  <c r="B6326" i="166"/>
  <c r="H6324" i="166"/>
  <c r="G6324" i="166"/>
  <c r="E6324" i="166" s="1"/>
  <c r="D6324" i="166"/>
  <c r="A6324" i="166"/>
  <c r="B6324" i="166" s="1"/>
  <c r="E6323" i="166"/>
  <c r="D6323" i="166"/>
  <c r="B6323" i="166"/>
  <c r="H6321" i="166"/>
  <c r="G6321" i="166"/>
  <c r="E6321" i="166" s="1"/>
  <c r="D6321" i="166"/>
  <c r="A6321" i="166"/>
  <c r="B6321" i="166" s="1"/>
  <c r="E6320" i="166"/>
  <c r="D6320" i="166"/>
  <c r="B6320" i="166"/>
  <c r="H6318" i="166"/>
  <c r="G6318" i="166"/>
  <c r="E6318" i="166" s="1"/>
  <c r="D6318" i="166"/>
  <c r="A6318" i="166"/>
  <c r="B6318" i="166" s="1"/>
  <c r="E6317" i="166"/>
  <c r="D6317" i="166"/>
  <c r="B6317" i="166"/>
  <c r="H6309" i="166"/>
  <c r="G6309" i="166"/>
  <c r="E6309" i="166" s="1"/>
  <c r="D6309" i="166"/>
  <c r="A6309" i="166"/>
  <c r="B6309" i="166" s="1"/>
  <c r="E6308" i="166"/>
  <c r="D6308" i="166"/>
  <c r="B6308" i="166"/>
  <c r="H6306" i="166"/>
  <c r="G6306" i="166"/>
  <c r="E6306" i="166" s="1"/>
  <c r="D6306" i="166"/>
  <c r="A6306" i="166"/>
  <c r="B6306" i="166" s="1"/>
  <c r="E6305" i="166"/>
  <c r="D6305" i="166"/>
  <c r="B6305" i="166"/>
  <c r="H6303" i="166"/>
  <c r="G6303" i="166"/>
  <c r="E6303" i="166" s="1"/>
  <c r="D6303" i="166"/>
  <c r="A6303" i="166"/>
  <c r="B6303" i="166" s="1"/>
  <c r="E6302" i="166"/>
  <c r="D6302" i="166"/>
  <c r="B6302" i="166"/>
  <c r="H6300" i="166"/>
  <c r="G6300" i="166"/>
  <c r="E6300" i="166" s="1"/>
  <c r="D6300" i="166"/>
  <c r="A6300" i="166"/>
  <c r="B6300" i="166" s="1"/>
  <c r="E6299" i="166"/>
  <c r="D6299" i="166"/>
  <c r="B6299" i="166"/>
  <c r="H6297" i="166"/>
  <c r="G6297" i="166"/>
  <c r="E6297" i="166" s="1"/>
  <c r="D6297" i="166"/>
  <c r="A6297" i="166"/>
  <c r="B6297" i="166" s="1"/>
  <c r="E6296" i="166"/>
  <c r="D6296" i="166"/>
  <c r="B6296" i="166"/>
  <c r="H6294" i="166"/>
  <c r="G6294" i="166"/>
  <c r="E6294" i="166" s="1"/>
  <c r="D6294" i="166"/>
  <c r="A6294" i="166"/>
  <c r="B6294" i="166" s="1"/>
  <c r="E6293" i="166"/>
  <c r="D6293" i="166"/>
  <c r="B6293" i="166"/>
  <c r="H6291" i="166"/>
  <c r="G6291" i="166"/>
  <c r="E6291" i="166" s="1"/>
  <c r="D6291" i="166"/>
  <c r="A6291" i="166"/>
  <c r="B6291" i="166" s="1"/>
  <c r="E6290" i="166"/>
  <c r="D6290" i="166"/>
  <c r="B6290" i="166"/>
  <c r="H6288" i="166"/>
  <c r="G6288" i="166"/>
  <c r="E6288" i="166" s="1"/>
  <c r="D6288" i="166"/>
  <c r="A6288" i="166"/>
  <c r="B6288" i="166" s="1"/>
  <c r="E6287" i="166"/>
  <c r="D6287" i="166"/>
  <c r="B6287" i="166"/>
  <c r="H6285" i="166"/>
  <c r="G6285" i="166"/>
  <c r="E6285" i="166" s="1"/>
  <c r="D6285" i="166"/>
  <c r="A6285" i="166"/>
  <c r="B6285" i="166" s="1"/>
  <c r="E6284" i="166"/>
  <c r="D6284" i="166"/>
  <c r="B6284" i="166"/>
  <c r="H6282" i="166"/>
  <c r="G6282" i="166"/>
  <c r="E6282" i="166" s="1"/>
  <c r="D6282" i="166"/>
  <c r="A6282" i="166"/>
  <c r="B6282" i="166" s="1"/>
  <c r="E6281" i="166"/>
  <c r="D6281" i="166"/>
  <c r="B6281" i="166"/>
  <c r="H6279" i="166"/>
  <c r="G6279" i="166"/>
  <c r="E6279" i="166" s="1"/>
  <c r="D6279" i="166"/>
  <c r="A6279" i="166"/>
  <c r="B6279" i="166" s="1"/>
  <c r="E6278" i="166"/>
  <c r="D6278" i="166"/>
  <c r="B6278" i="166"/>
  <c r="H6276" i="166"/>
  <c r="G6276" i="166"/>
  <c r="E6276" i="166" s="1"/>
  <c r="D6276" i="166"/>
  <c r="A6276" i="166"/>
  <c r="B6276" i="166" s="1"/>
  <c r="E6275" i="166"/>
  <c r="D6275" i="166"/>
  <c r="B6275" i="166"/>
  <c r="H6273" i="166"/>
  <c r="G6273" i="166"/>
  <c r="E6273" i="166" s="1"/>
  <c r="D6273" i="166"/>
  <c r="A6273" i="166"/>
  <c r="B6273" i="166" s="1"/>
  <c r="E6272" i="166"/>
  <c r="D6272" i="166"/>
  <c r="B6272" i="166"/>
  <c r="H6270" i="166"/>
  <c r="G6270" i="166"/>
  <c r="E6270" i="166" s="1"/>
  <c r="D6270" i="166"/>
  <c r="A6270" i="166"/>
  <c r="B6270" i="166" s="1"/>
  <c r="E6269" i="166"/>
  <c r="D6269" i="166"/>
  <c r="B6269" i="166"/>
  <c r="H6267" i="166"/>
  <c r="G6267" i="166"/>
  <c r="E6267" i="166" s="1"/>
  <c r="D6267" i="166"/>
  <c r="A6267" i="166"/>
  <c r="B6267" i="166" s="1"/>
  <c r="E6266" i="166"/>
  <c r="D6266" i="166"/>
  <c r="B6266" i="166"/>
  <c r="H6264" i="166"/>
  <c r="G6264" i="166"/>
  <c r="E6264" i="166" s="1"/>
  <c r="D6264" i="166"/>
  <c r="A6264" i="166"/>
  <c r="B6264" i="166" s="1"/>
  <c r="E6263" i="166"/>
  <c r="D6263" i="166"/>
  <c r="B6263" i="166"/>
  <c r="H6261" i="166"/>
  <c r="G6261" i="166"/>
  <c r="E6261" i="166" s="1"/>
  <c r="D6261" i="166"/>
  <c r="A6261" i="166"/>
  <c r="B6261" i="166" s="1"/>
  <c r="E6260" i="166"/>
  <c r="D6260" i="166"/>
  <c r="B6260" i="166"/>
  <c r="H6258" i="166"/>
  <c r="G6258" i="166"/>
  <c r="E6258" i="166" s="1"/>
  <c r="D6258" i="166"/>
  <c r="A6258" i="166"/>
  <c r="B6258" i="166" s="1"/>
  <c r="E6257" i="166"/>
  <c r="D6257" i="166"/>
  <c r="B6257" i="166"/>
  <c r="H6255" i="166"/>
  <c r="G6255" i="166"/>
  <c r="E6255" i="166" s="1"/>
  <c r="D6255" i="166"/>
  <c r="A6255" i="166"/>
  <c r="B6255" i="166" s="1"/>
  <c r="E6254" i="166"/>
  <c r="D6254" i="166"/>
  <c r="B6254" i="166"/>
  <c r="H6252" i="166"/>
  <c r="G6252" i="166"/>
  <c r="E6252" i="166" s="1"/>
  <c r="D6252" i="166"/>
  <c r="A6252" i="166"/>
  <c r="B6252" i="166" s="1"/>
  <c r="E6251" i="166"/>
  <c r="D6251" i="166"/>
  <c r="B6251" i="166"/>
  <c r="H6249" i="166"/>
  <c r="G6249" i="166"/>
  <c r="E6249" i="166" s="1"/>
  <c r="D6249" i="166"/>
  <c r="A6249" i="166"/>
  <c r="B6249" i="166" s="1"/>
  <c r="E6248" i="166"/>
  <c r="D6248" i="166"/>
  <c r="B6248" i="166"/>
  <c r="H6246" i="166"/>
  <c r="G6246" i="166"/>
  <c r="E6246" i="166" s="1"/>
  <c r="D6246" i="166"/>
  <c r="A6246" i="166"/>
  <c r="B6246" i="166" s="1"/>
  <c r="E6245" i="166"/>
  <c r="D6245" i="166"/>
  <c r="B6245" i="166"/>
  <c r="H6243" i="166"/>
  <c r="G6243" i="166"/>
  <c r="E6243" i="166" s="1"/>
  <c r="D6243" i="166"/>
  <c r="A6243" i="166"/>
  <c r="B6243" i="166" s="1"/>
  <c r="E6242" i="166"/>
  <c r="D6242" i="166"/>
  <c r="B6242" i="166"/>
  <c r="H6240" i="166"/>
  <c r="G6240" i="166"/>
  <c r="E6240" i="166" s="1"/>
  <c r="D6240" i="166"/>
  <c r="A6240" i="166"/>
  <c r="B6240" i="166" s="1"/>
  <c r="E6239" i="166"/>
  <c r="D6239" i="166"/>
  <c r="B6239" i="166"/>
  <c r="H6237" i="166"/>
  <c r="G6237" i="166"/>
  <c r="E6237" i="166" s="1"/>
  <c r="D6237" i="166"/>
  <c r="A6237" i="166"/>
  <c r="B6237" i="166" s="1"/>
  <c r="E6236" i="166"/>
  <c r="D6236" i="166"/>
  <c r="B6236" i="166"/>
  <c r="H6234" i="166"/>
  <c r="G6234" i="166"/>
  <c r="E6234" i="166" s="1"/>
  <c r="D6234" i="166"/>
  <c r="A6234" i="166"/>
  <c r="B6234" i="166" s="1"/>
  <c r="E6233" i="166"/>
  <c r="D6233" i="166"/>
  <c r="B6233" i="166"/>
  <c r="H6231" i="166"/>
  <c r="G6231" i="166"/>
  <c r="E6231" i="166" s="1"/>
  <c r="D6231" i="166"/>
  <c r="A6231" i="166"/>
  <c r="B6231" i="166" s="1"/>
  <c r="E6230" i="166"/>
  <c r="D6230" i="166"/>
  <c r="B6230" i="166"/>
  <c r="H6228" i="166"/>
  <c r="G6228" i="166"/>
  <c r="E6228" i="166" s="1"/>
  <c r="D6228" i="166"/>
  <c r="A6228" i="166"/>
  <c r="B6228" i="166" s="1"/>
  <c r="E6227" i="166"/>
  <c r="D6227" i="166"/>
  <c r="B6227" i="166"/>
  <c r="H6225" i="166"/>
  <c r="G6225" i="166"/>
  <c r="E6225" i="166" s="1"/>
  <c r="D6225" i="166"/>
  <c r="A6225" i="166"/>
  <c r="B6225" i="166" s="1"/>
  <c r="E6224" i="166"/>
  <c r="D6224" i="166"/>
  <c r="B6224" i="166"/>
  <c r="H6222" i="166"/>
  <c r="G6222" i="166"/>
  <c r="E6222" i="166" s="1"/>
  <c r="D6222" i="166"/>
  <c r="A6222" i="166"/>
  <c r="B6222" i="166" s="1"/>
  <c r="E6221" i="166"/>
  <c r="D6221" i="166"/>
  <c r="B6221" i="166"/>
  <c r="H6219" i="166"/>
  <c r="G6219" i="166"/>
  <c r="E6219" i="166" s="1"/>
  <c r="D6219" i="166"/>
  <c r="A6219" i="166"/>
  <c r="B6219" i="166" s="1"/>
  <c r="E6218" i="166"/>
  <c r="D6218" i="166"/>
  <c r="B6218" i="166"/>
  <c r="H6216" i="166"/>
  <c r="G6216" i="166"/>
  <c r="E6216" i="166" s="1"/>
  <c r="D6216" i="166"/>
  <c r="A6216" i="166"/>
  <c r="B6216" i="166" s="1"/>
  <c r="E6215" i="166"/>
  <c r="D6215" i="166"/>
  <c r="B6215" i="166"/>
  <c r="H6213" i="166"/>
  <c r="G6213" i="166"/>
  <c r="E6213" i="166" s="1"/>
  <c r="D6213" i="166"/>
  <c r="A6213" i="166"/>
  <c r="B6213" i="166" s="1"/>
  <c r="E6212" i="166"/>
  <c r="D6212" i="166"/>
  <c r="B6212" i="166"/>
  <c r="H6210" i="166"/>
  <c r="G6210" i="166"/>
  <c r="E6210" i="166" s="1"/>
  <c r="D6210" i="166"/>
  <c r="A6210" i="166"/>
  <c r="B6210" i="166" s="1"/>
  <c r="E6209" i="166"/>
  <c r="D6209" i="166"/>
  <c r="B6209" i="166"/>
  <c r="H6207" i="166"/>
  <c r="G6207" i="166"/>
  <c r="E6207" i="166" s="1"/>
  <c r="D6207" i="166"/>
  <c r="A6207" i="166"/>
  <c r="B6207" i="166" s="1"/>
  <c r="E6206" i="166"/>
  <c r="D6206" i="166"/>
  <c r="B6206" i="166"/>
  <c r="H6204" i="166"/>
  <c r="G6204" i="166"/>
  <c r="E6204" i="166" s="1"/>
  <c r="D6204" i="166"/>
  <c r="A6204" i="166"/>
  <c r="B6204" i="166" s="1"/>
  <c r="E6203" i="166"/>
  <c r="D6203" i="166"/>
  <c r="B6203" i="166"/>
  <c r="H6201" i="166"/>
  <c r="G6201" i="166"/>
  <c r="E6201" i="166" s="1"/>
  <c r="D6201" i="166"/>
  <c r="A6201" i="166"/>
  <c r="B6201" i="166" s="1"/>
  <c r="E6200" i="166"/>
  <c r="D6200" i="166"/>
  <c r="B6200" i="166"/>
  <c r="H6198" i="166"/>
  <c r="G6198" i="166"/>
  <c r="E6198" i="166" s="1"/>
  <c r="D6198" i="166"/>
  <c r="A6198" i="166"/>
  <c r="B6198" i="166" s="1"/>
  <c r="E6197" i="166"/>
  <c r="D6197" i="166"/>
  <c r="B6197" i="166"/>
  <c r="H6195" i="166"/>
  <c r="G6195" i="166"/>
  <c r="E6195" i="166" s="1"/>
  <c r="D6195" i="166"/>
  <c r="A6195" i="166"/>
  <c r="B6195" i="166" s="1"/>
  <c r="E6194" i="166"/>
  <c r="D6194" i="166"/>
  <c r="B6194" i="166"/>
  <c r="H6192" i="166"/>
  <c r="G6192" i="166"/>
  <c r="E6192" i="166" s="1"/>
  <c r="D6192" i="166"/>
  <c r="A6192" i="166"/>
  <c r="B6192" i="166" s="1"/>
  <c r="E6191" i="166"/>
  <c r="D6191" i="166"/>
  <c r="B6191" i="166"/>
  <c r="H6189" i="166"/>
  <c r="G6189" i="166"/>
  <c r="E6189" i="166" s="1"/>
  <c r="D6189" i="166"/>
  <c r="A6189" i="166"/>
  <c r="B6189" i="166" s="1"/>
  <c r="E6188" i="166"/>
  <c r="D6188" i="166"/>
  <c r="B6188" i="166"/>
  <c r="H6111" i="166"/>
  <c r="G6111" i="166"/>
  <c r="E6111" i="166" s="1"/>
  <c r="D6111" i="166"/>
  <c r="A6111" i="166"/>
  <c r="B6111" i="166" s="1"/>
  <c r="E6110" i="166"/>
  <c r="D6110" i="166"/>
  <c r="B6110" i="166"/>
  <c r="H6186" i="166" l="1"/>
  <c r="G6186" i="166"/>
  <c r="E6186" i="166" s="1"/>
  <c r="D6186" i="166"/>
  <c r="A6186" i="166"/>
  <c r="B6186" i="166" s="1"/>
  <c r="E6185" i="166"/>
  <c r="D6185" i="166"/>
  <c r="B6185" i="166"/>
  <c r="H6183" i="166"/>
  <c r="G6183" i="166"/>
  <c r="E6183" i="166" s="1"/>
  <c r="D6183" i="166"/>
  <c r="A6183" i="166"/>
  <c r="B6183" i="166" s="1"/>
  <c r="E6182" i="166"/>
  <c r="D6182" i="166"/>
  <c r="B6182" i="166"/>
  <c r="H6180" i="166"/>
  <c r="G6180" i="166"/>
  <c r="E6180" i="166" s="1"/>
  <c r="D6180" i="166"/>
  <c r="A6180" i="166"/>
  <c r="B6180" i="166" s="1"/>
  <c r="E6179" i="166"/>
  <c r="D6179" i="166"/>
  <c r="B6179" i="166"/>
  <c r="H6177" i="166"/>
  <c r="G6177" i="166"/>
  <c r="E6177" i="166" s="1"/>
  <c r="D6177" i="166"/>
  <c r="A6177" i="166"/>
  <c r="B6177" i="166" s="1"/>
  <c r="E6176" i="166"/>
  <c r="D6176" i="166"/>
  <c r="B6176" i="166"/>
  <c r="H6174" i="166"/>
  <c r="G6174" i="166"/>
  <c r="E6174" i="166" s="1"/>
  <c r="D6174" i="166"/>
  <c r="A6174" i="166"/>
  <c r="B6174" i="166" s="1"/>
  <c r="E6173" i="166"/>
  <c r="D6173" i="166"/>
  <c r="B6173" i="166"/>
  <c r="H6171" i="166"/>
  <c r="G6171" i="166"/>
  <c r="E6171" i="166" s="1"/>
  <c r="D6171" i="166"/>
  <c r="A6171" i="166"/>
  <c r="B6171" i="166" s="1"/>
  <c r="E6170" i="166"/>
  <c r="D6170" i="166"/>
  <c r="B6170" i="166"/>
  <c r="H6168" i="166"/>
  <c r="G6168" i="166"/>
  <c r="E6168" i="166" s="1"/>
  <c r="D6168" i="166"/>
  <c r="A6168" i="166"/>
  <c r="B6168" i="166" s="1"/>
  <c r="E6167" i="166"/>
  <c r="D6167" i="166"/>
  <c r="B6167" i="166"/>
  <c r="H6165" i="166"/>
  <c r="G6165" i="166"/>
  <c r="E6165" i="166" s="1"/>
  <c r="D6165" i="166"/>
  <c r="A6165" i="166"/>
  <c r="B6165" i="166" s="1"/>
  <c r="E6164" i="166"/>
  <c r="D6164" i="166"/>
  <c r="B6164" i="166"/>
  <c r="H6162" i="166"/>
  <c r="G6162" i="166"/>
  <c r="E6162" i="166" s="1"/>
  <c r="D6162" i="166"/>
  <c r="A6162" i="166"/>
  <c r="B6162" i="166" s="1"/>
  <c r="E6161" i="166"/>
  <c r="D6161" i="166"/>
  <c r="B6161" i="166"/>
  <c r="H6159" i="166"/>
  <c r="G6159" i="166"/>
  <c r="E6159" i="166" s="1"/>
  <c r="D6159" i="166"/>
  <c r="A6159" i="166"/>
  <c r="B6159" i="166" s="1"/>
  <c r="E6158" i="166"/>
  <c r="D6158" i="166"/>
  <c r="B6158" i="166"/>
  <c r="H6156" i="166"/>
  <c r="G6156" i="166"/>
  <c r="E6156" i="166" s="1"/>
  <c r="D6156" i="166"/>
  <c r="A6156" i="166"/>
  <c r="B6156" i="166" s="1"/>
  <c r="E6155" i="166"/>
  <c r="D6155" i="166"/>
  <c r="B6155" i="166"/>
  <c r="H6153" i="166"/>
  <c r="G6153" i="166"/>
  <c r="E6153" i="166" s="1"/>
  <c r="D6153" i="166"/>
  <c r="A6153" i="166"/>
  <c r="B6153" i="166" s="1"/>
  <c r="E6152" i="166"/>
  <c r="D6152" i="166"/>
  <c r="B6152" i="166"/>
  <c r="H6150" i="166"/>
  <c r="G6150" i="166"/>
  <c r="E6150" i="166" s="1"/>
  <c r="D6150" i="166"/>
  <c r="A6150" i="166"/>
  <c r="B6150" i="166" s="1"/>
  <c r="E6149" i="166"/>
  <c r="D6149" i="166"/>
  <c r="B6149" i="166"/>
  <c r="H6147" i="166"/>
  <c r="G6147" i="166"/>
  <c r="E6147" i="166" s="1"/>
  <c r="D6147" i="166"/>
  <c r="A6147" i="166"/>
  <c r="B6147" i="166" s="1"/>
  <c r="E6146" i="166"/>
  <c r="D6146" i="166"/>
  <c r="B6146" i="166"/>
  <c r="E6144" i="166"/>
  <c r="D6144" i="166"/>
  <c r="H6143" i="166"/>
  <c r="H6144" i="166" s="1"/>
  <c r="E6143" i="166"/>
  <c r="D6143" i="166"/>
  <c r="A6143" i="166"/>
  <c r="A6144" i="166" s="1"/>
  <c r="B6144" i="166" s="1"/>
  <c r="F6142" i="166"/>
  <c r="E6142" i="166" s="1"/>
  <c r="D6142" i="166"/>
  <c r="B6142" i="166"/>
  <c r="E6140" i="166"/>
  <c r="D6140" i="166"/>
  <c r="H6139" i="166"/>
  <c r="H6140" i="166" s="1"/>
  <c r="E6139" i="166"/>
  <c r="D6139" i="166"/>
  <c r="A6139" i="166"/>
  <c r="A6140" i="166" s="1"/>
  <c r="B6140" i="166" s="1"/>
  <c r="F6138" i="166"/>
  <c r="E6138" i="166" s="1"/>
  <c r="D6138" i="166"/>
  <c r="B6138" i="166"/>
  <c r="E6136" i="166"/>
  <c r="D6136" i="166"/>
  <c r="H6135" i="166"/>
  <c r="H6136" i="166" s="1"/>
  <c r="D6135" i="166"/>
  <c r="A6135" i="166"/>
  <c r="B6135" i="166" s="1"/>
  <c r="D6134" i="166"/>
  <c r="B6134" i="166"/>
  <c r="B6143" i="166" l="1"/>
  <c r="B6139" i="166"/>
  <c r="A6136" i="166"/>
  <c r="B6136" i="166" s="1"/>
  <c r="H6132" i="166" l="1"/>
  <c r="G6132" i="166"/>
  <c r="E6132" i="166" s="1"/>
  <c r="D6132" i="166"/>
  <c r="A6132" i="166"/>
  <c r="B6132" i="166" s="1"/>
  <c r="E6131" i="166"/>
  <c r="D6131" i="166"/>
  <c r="B6131" i="166"/>
  <c r="H6129" i="166"/>
  <c r="G6129" i="166"/>
  <c r="E6129" i="166" s="1"/>
  <c r="D6129" i="166"/>
  <c r="A6129" i="166"/>
  <c r="B6129" i="166" s="1"/>
  <c r="E6128" i="166"/>
  <c r="D6128" i="166"/>
  <c r="B6128" i="166"/>
  <c r="H6126" i="166"/>
  <c r="G6126" i="166"/>
  <c r="E6126" i="166" s="1"/>
  <c r="D6126" i="166"/>
  <c r="A6126" i="166"/>
  <c r="B6126" i="166" s="1"/>
  <c r="E6125" i="166"/>
  <c r="D6125" i="166"/>
  <c r="B6125" i="166"/>
  <c r="H6123" i="166"/>
  <c r="G6123" i="166"/>
  <c r="E6123" i="166" s="1"/>
  <c r="D6123" i="166"/>
  <c r="A6123" i="166"/>
  <c r="B6123" i="166" s="1"/>
  <c r="E6122" i="166"/>
  <c r="D6122" i="166"/>
  <c r="B6122" i="166"/>
  <c r="H6120" i="166"/>
  <c r="G6120" i="166"/>
  <c r="E6120" i="166" s="1"/>
  <c r="D6120" i="166"/>
  <c r="A6120" i="166"/>
  <c r="B6120" i="166" s="1"/>
  <c r="E6119" i="166"/>
  <c r="D6119" i="166"/>
  <c r="B6119" i="166"/>
  <c r="H6117" i="166"/>
  <c r="G6117" i="166"/>
  <c r="E6117" i="166" s="1"/>
  <c r="D6117" i="166"/>
  <c r="A6117" i="166"/>
  <c r="B6117" i="166" s="1"/>
  <c r="E6116" i="166"/>
  <c r="D6116" i="166"/>
  <c r="B6116" i="166"/>
  <c r="H6114" i="166"/>
  <c r="G6114" i="166"/>
  <c r="E6114" i="166" s="1"/>
  <c r="D6114" i="166"/>
  <c r="A6114" i="166"/>
  <c r="B6114" i="166" s="1"/>
  <c r="E6113" i="166"/>
  <c r="D6113" i="166"/>
  <c r="B6113" i="166"/>
  <c r="H6108" i="166"/>
  <c r="G6108" i="166"/>
  <c r="E6108" i="166" s="1"/>
  <c r="D6108" i="166"/>
  <c r="A6108" i="166"/>
  <c r="B6108" i="166" s="1"/>
  <c r="E6107" i="166"/>
  <c r="D6107" i="166"/>
  <c r="B6107" i="166"/>
  <c r="H6105" i="166"/>
  <c r="G6105" i="166"/>
  <c r="E6105" i="166" s="1"/>
  <c r="D6105" i="166"/>
  <c r="A6105" i="166"/>
  <c r="B6105" i="166" s="1"/>
  <c r="E6104" i="166"/>
  <c r="D6104" i="166"/>
  <c r="B6104" i="166"/>
  <c r="H6102" i="166"/>
  <c r="G6102" i="166"/>
  <c r="E6102" i="166" s="1"/>
  <c r="D6102" i="166"/>
  <c r="A6102" i="166"/>
  <c r="B6102" i="166" s="1"/>
  <c r="E6101" i="166"/>
  <c r="D6101" i="166"/>
  <c r="B6101" i="166"/>
  <c r="H6099" i="166"/>
  <c r="G6099" i="166"/>
  <c r="E6099" i="166" s="1"/>
  <c r="D6099" i="166"/>
  <c r="A6099" i="166"/>
  <c r="B6099" i="166" s="1"/>
  <c r="E6098" i="166"/>
  <c r="D6098" i="166"/>
  <c r="B6098" i="166"/>
  <c r="H6096" i="166"/>
  <c r="G6096" i="166"/>
  <c r="E6096" i="166" s="1"/>
  <c r="D6096" i="166"/>
  <c r="A6096" i="166"/>
  <c r="B6096" i="166" s="1"/>
  <c r="E6095" i="166"/>
  <c r="D6095" i="166"/>
  <c r="B6095" i="166"/>
  <c r="H6093" i="166"/>
  <c r="G6093" i="166"/>
  <c r="E6093" i="166" s="1"/>
  <c r="D6093" i="166"/>
  <c r="A6093" i="166"/>
  <c r="B6093" i="166" s="1"/>
  <c r="E6092" i="166"/>
  <c r="D6092" i="166"/>
  <c r="B6092" i="166"/>
  <c r="H6090" i="166"/>
  <c r="G6090" i="166"/>
  <c r="E6090" i="166" s="1"/>
  <c r="D6090" i="166"/>
  <c r="A6090" i="166"/>
  <c r="B6090" i="166" s="1"/>
  <c r="E6089" i="166"/>
  <c r="D6089" i="166"/>
  <c r="B6089" i="166"/>
  <c r="H6087" i="166"/>
  <c r="G6087" i="166"/>
  <c r="E6087" i="166" s="1"/>
  <c r="D6087" i="166"/>
  <c r="A6087" i="166"/>
  <c r="B6087" i="166" s="1"/>
  <c r="E6086" i="166"/>
  <c r="D6086" i="166"/>
  <c r="B6086" i="166"/>
  <c r="H6084" i="166"/>
  <c r="G6084" i="166"/>
  <c r="E6084" i="166" s="1"/>
  <c r="D6084" i="166"/>
  <c r="A6084" i="166"/>
  <c r="B6084" i="166" s="1"/>
  <c r="E6083" i="166"/>
  <c r="D6083" i="166"/>
  <c r="B6083" i="166"/>
  <c r="H6081" i="166"/>
  <c r="G6081" i="166"/>
  <c r="E6081" i="166" s="1"/>
  <c r="D6081" i="166"/>
  <c r="A6081" i="166"/>
  <c r="B6081" i="166" s="1"/>
  <c r="E6080" i="166"/>
  <c r="D6080" i="166"/>
  <c r="B6080" i="166"/>
  <c r="H6078" i="166"/>
  <c r="G6078" i="166"/>
  <c r="E6078" i="166" s="1"/>
  <c r="D6078" i="166"/>
  <c r="A6078" i="166"/>
  <c r="B6078" i="166" s="1"/>
  <c r="E6077" i="166"/>
  <c r="D6077" i="166"/>
  <c r="B6077" i="166"/>
  <c r="H6075" i="166"/>
  <c r="G6075" i="166"/>
  <c r="E6075" i="166" s="1"/>
  <c r="D6075" i="166"/>
  <c r="A6075" i="166"/>
  <c r="B6075" i="166" s="1"/>
  <c r="E6074" i="166"/>
  <c r="D6074" i="166"/>
  <c r="B6074" i="166"/>
  <c r="H6072" i="166"/>
  <c r="G6072" i="166"/>
  <c r="E6072" i="166" s="1"/>
  <c r="D6072" i="166"/>
  <c r="A6072" i="166"/>
  <c r="B6072" i="166" s="1"/>
  <c r="E6071" i="166"/>
  <c r="D6071" i="166"/>
  <c r="B6071" i="166"/>
  <c r="H6069" i="166"/>
  <c r="G6069" i="166"/>
  <c r="E6069" i="166" s="1"/>
  <c r="D6069" i="166"/>
  <c r="A6069" i="166"/>
  <c r="B6069" i="166" s="1"/>
  <c r="E6068" i="166"/>
  <c r="D6068" i="166"/>
  <c r="B6068" i="166"/>
  <c r="H6066" i="166"/>
  <c r="G6066" i="166"/>
  <c r="E6066" i="166" s="1"/>
  <c r="D6066" i="166"/>
  <c r="A6066" i="166"/>
  <c r="B6066" i="166" s="1"/>
  <c r="E6065" i="166"/>
  <c r="D6065" i="166"/>
  <c r="B6065" i="166"/>
  <c r="H6063" i="166"/>
  <c r="G6063" i="166"/>
  <c r="E6063" i="166" s="1"/>
  <c r="D6063" i="166"/>
  <c r="A6063" i="166"/>
  <c r="B6063" i="166" s="1"/>
  <c r="E6062" i="166"/>
  <c r="D6062" i="166"/>
  <c r="B6062" i="166"/>
  <c r="H6060" i="166"/>
  <c r="G6060" i="166"/>
  <c r="E6060" i="166" s="1"/>
  <c r="D6060" i="166"/>
  <c r="A6060" i="166"/>
  <c r="B6060" i="166" s="1"/>
  <c r="E6059" i="166"/>
  <c r="D6059" i="166"/>
  <c r="B6059" i="166"/>
  <c r="H6057" i="166"/>
  <c r="G6057" i="166"/>
  <c r="E6057" i="166" s="1"/>
  <c r="D6057" i="166"/>
  <c r="A6057" i="166"/>
  <c r="B6057" i="166" s="1"/>
  <c r="E6056" i="166"/>
  <c r="D6056" i="166"/>
  <c r="B6056" i="166"/>
  <c r="H6054" i="166"/>
  <c r="G6054" i="166"/>
  <c r="E6054" i="166" s="1"/>
  <c r="D6054" i="166"/>
  <c r="A6054" i="166"/>
  <c r="B6054" i="166" s="1"/>
  <c r="E6053" i="166"/>
  <c r="D6053" i="166"/>
  <c r="B6053" i="166"/>
  <c r="H6051" i="166"/>
  <c r="G6051" i="166"/>
  <c r="E6051" i="166" s="1"/>
  <c r="D6051" i="166"/>
  <c r="A6051" i="166"/>
  <c r="B6051" i="166" s="1"/>
  <c r="E6050" i="166"/>
  <c r="D6050" i="166"/>
  <c r="B6050" i="166"/>
  <c r="H6048" i="166"/>
  <c r="G6048" i="166"/>
  <c r="E6048" i="166" s="1"/>
  <c r="D6048" i="166"/>
  <c r="A6048" i="166"/>
  <c r="B6048" i="166" s="1"/>
  <c r="E6047" i="166"/>
  <c r="D6047" i="166"/>
  <c r="B6047" i="166"/>
  <c r="H6045" i="166"/>
  <c r="G6045" i="166"/>
  <c r="E6045" i="166" s="1"/>
  <c r="D6045" i="166"/>
  <c r="A6045" i="166"/>
  <c r="B6045" i="166" s="1"/>
  <c r="E6044" i="166"/>
  <c r="D6044" i="166"/>
  <c r="B6044" i="166"/>
  <c r="H6042" i="166"/>
  <c r="G6042" i="166"/>
  <c r="E6042" i="166" s="1"/>
  <c r="D6042" i="166"/>
  <c r="A6042" i="166"/>
  <c r="B6042" i="166" s="1"/>
  <c r="E6041" i="166"/>
  <c r="D6041" i="166"/>
  <c r="B6041" i="166"/>
  <c r="H6039" i="166"/>
  <c r="G6039" i="166"/>
  <c r="E6039" i="166" s="1"/>
  <c r="D6039" i="166"/>
  <c r="A6039" i="166"/>
  <c r="B6039" i="166" s="1"/>
  <c r="E6038" i="166"/>
  <c r="D6038" i="166"/>
  <c r="B6038" i="166"/>
  <c r="H6036" i="166"/>
  <c r="G6036" i="166"/>
  <c r="E6036" i="166" s="1"/>
  <c r="D6036" i="166"/>
  <c r="A6036" i="166"/>
  <c r="B6036" i="166" s="1"/>
  <c r="E6035" i="166"/>
  <c r="D6035" i="166"/>
  <c r="B6035" i="166"/>
  <c r="H6033" i="166"/>
  <c r="G6033" i="166"/>
  <c r="E6033" i="166" s="1"/>
  <c r="D6033" i="166"/>
  <c r="A6033" i="166"/>
  <c r="B6033" i="166" s="1"/>
  <c r="E6032" i="166"/>
  <c r="D6032" i="166"/>
  <c r="B6032" i="166"/>
  <c r="H6030" i="166"/>
  <c r="G6030" i="166"/>
  <c r="E6030" i="166" s="1"/>
  <c r="D6030" i="166"/>
  <c r="A6030" i="166"/>
  <c r="B6030" i="166" s="1"/>
  <c r="E6029" i="166"/>
  <c r="D6029" i="166"/>
  <c r="B6029" i="166"/>
  <c r="H6027" i="166"/>
  <c r="G6027" i="166"/>
  <c r="E6027" i="166" s="1"/>
  <c r="D6027" i="166"/>
  <c r="A6027" i="166"/>
  <c r="B6027" i="166" s="1"/>
  <c r="E6026" i="166"/>
  <c r="D6026" i="166"/>
  <c r="B6026" i="166"/>
  <c r="H6024" i="166"/>
  <c r="G6024" i="166"/>
  <c r="E6024" i="166" s="1"/>
  <c r="D6024" i="166"/>
  <c r="A6024" i="166"/>
  <c r="B6024" i="166" s="1"/>
  <c r="E6023" i="166"/>
  <c r="D6023" i="166"/>
  <c r="B6023" i="166"/>
  <c r="H6021" i="166"/>
  <c r="G6021" i="166"/>
  <c r="E6021" i="166" s="1"/>
  <c r="D6021" i="166"/>
  <c r="A6021" i="166"/>
  <c r="B6021" i="166" s="1"/>
  <c r="E6020" i="166"/>
  <c r="D6020" i="166"/>
  <c r="B6020" i="166"/>
  <c r="H6018" i="166"/>
  <c r="G6018" i="166"/>
  <c r="E6018" i="166" s="1"/>
  <c r="D6018" i="166"/>
  <c r="A6018" i="166"/>
  <c r="B6018" i="166" s="1"/>
  <c r="E6017" i="166"/>
  <c r="D6017" i="166"/>
  <c r="B6017" i="166"/>
  <c r="H6015" i="166"/>
  <c r="G6015" i="166"/>
  <c r="E6015" i="166" s="1"/>
  <c r="D6015" i="166"/>
  <c r="A6015" i="166"/>
  <c r="B6015" i="166" s="1"/>
  <c r="E6014" i="166"/>
  <c r="D6014" i="166"/>
  <c r="B6014" i="166"/>
  <c r="H6012" i="166"/>
  <c r="G6012" i="166"/>
  <c r="E6012" i="166" s="1"/>
  <c r="D6012" i="166"/>
  <c r="A6012" i="166"/>
  <c r="B6012" i="166" s="1"/>
  <c r="E6011" i="166"/>
  <c r="D6011" i="166"/>
  <c r="B6011" i="166"/>
  <c r="H6009" i="166"/>
  <c r="G6009" i="166"/>
  <c r="E6009" i="166" s="1"/>
  <c r="D6009" i="166"/>
  <c r="A6009" i="166"/>
  <c r="B6009" i="166" s="1"/>
  <c r="E6008" i="166"/>
  <c r="D6008" i="166"/>
  <c r="B6008" i="166"/>
  <c r="H6006" i="166"/>
  <c r="G6006" i="166"/>
  <c r="E6006" i="166" s="1"/>
  <c r="D6006" i="166"/>
  <c r="A6006" i="166"/>
  <c r="B6006" i="166" s="1"/>
  <c r="E6005" i="166"/>
  <c r="D6005" i="166"/>
  <c r="B6005" i="166"/>
  <c r="H6003" i="166"/>
  <c r="G6003" i="166"/>
  <c r="E6003" i="166" s="1"/>
  <c r="D6003" i="166"/>
  <c r="A6003" i="166"/>
  <c r="B6003" i="166" s="1"/>
  <c r="E6002" i="166"/>
  <c r="D6002" i="166"/>
  <c r="B6002" i="166"/>
  <c r="H6000" i="166"/>
  <c r="G6000" i="166"/>
  <c r="E6000" i="166" s="1"/>
  <c r="D6000" i="166"/>
  <c r="A6000" i="166"/>
  <c r="B6000" i="166" s="1"/>
  <c r="E5999" i="166"/>
  <c r="D5999" i="166"/>
  <c r="B5999" i="166"/>
  <c r="H5997" i="166"/>
  <c r="G5997" i="166"/>
  <c r="E5997" i="166" s="1"/>
  <c r="D5997" i="166"/>
  <c r="A5997" i="166"/>
  <c r="B5997" i="166" s="1"/>
  <c r="E5996" i="166"/>
  <c r="D5996" i="166"/>
  <c r="B5996" i="166"/>
  <c r="H5991" i="166"/>
  <c r="G5991" i="166"/>
  <c r="E5991" i="166" s="1"/>
  <c r="D5991" i="166"/>
  <c r="A5991" i="166"/>
  <c r="B5991" i="166" s="1"/>
  <c r="E5990" i="166"/>
  <c r="D5990" i="166"/>
  <c r="B5990" i="166"/>
  <c r="H5994" i="166"/>
  <c r="G5994" i="166"/>
  <c r="E5994" i="166" s="1"/>
  <c r="D5994" i="166"/>
  <c r="A5994" i="166"/>
  <c r="B5994" i="166" s="1"/>
  <c r="E5993" i="166"/>
  <c r="D5993" i="166"/>
  <c r="B5993" i="166"/>
  <c r="H5988" i="166"/>
  <c r="G5988" i="166"/>
  <c r="E5988" i="166" s="1"/>
  <c r="D5988" i="166"/>
  <c r="A5988" i="166"/>
  <c r="B5988" i="166" s="1"/>
  <c r="E5987" i="166"/>
  <c r="D5987" i="166"/>
  <c r="B5987" i="166"/>
  <c r="H5985" i="166"/>
  <c r="G5985" i="166"/>
  <c r="E5985" i="166" s="1"/>
  <c r="D5985" i="166"/>
  <c r="A5985" i="166"/>
  <c r="B5985" i="166" s="1"/>
  <c r="E5984" i="166"/>
  <c r="D5984" i="166"/>
  <c r="B5984" i="166"/>
  <c r="H5982" i="166"/>
  <c r="G5982" i="166"/>
  <c r="E5982" i="166" s="1"/>
  <c r="D5982" i="166"/>
  <c r="A5982" i="166"/>
  <c r="B5982" i="166" s="1"/>
  <c r="E5981" i="166"/>
  <c r="D5981" i="166"/>
  <c r="B5981" i="166"/>
  <c r="H5979" i="166"/>
  <c r="G5979" i="166"/>
  <c r="E5979" i="166" s="1"/>
  <c r="D5979" i="166"/>
  <c r="A5979" i="166"/>
  <c r="B5979" i="166" s="1"/>
  <c r="E5978" i="166"/>
  <c r="D5978" i="166"/>
  <c r="B5978" i="166"/>
  <c r="H5976" i="166"/>
  <c r="G5976" i="166"/>
  <c r="E5976" i="166" s="1"/>
  <c r="D5976" i="166"/>
  <c r="A5976" i="166"/>
  <c r="B5976" i="166" s="1"/>
  <c r="E5975" i="166"/>
  <c r="D5975" i="166"/>
  <c r="B5975" i="166"/>
  <c r="H5973" i="166"/>
  <c r="G5973" i="166"/>
  <c r="E5973" i="166" s="1"/>
  <c r="D5973" i="166"/>
  <c r="A5973" i="166"/>
  <c r="B5973" i="166" s="1"/>
  <c r="E5972" i="166"/>
  <c r="D5972" i="166"/>
  <c r="B5972" i="166"/>
  <c r="H5970" i="166"/>
  <c r="G5970" i="166"/>
  <c r="E5970" i="166" s="1"/>
  <c r="D5970" i="166"/>
  <c r="A5970" i="166"/>
  <c r="B5970" i="166" s="1"/>
  <c r="E5969" i="166"/>
  <c r="D5969" i="166"/>
  <c r="B5969" i="166"/>
  <c r="H5967" i="166"/>
  <c r="G5967" i="166"/>
  <c r="E5967" i="166" s="1"/>
  <c r="D5967" i="166"/>
  <c r="A5967" i="166"/>
  <c r="B5967" i="166" s="1"/>
  <c r="E5966" i="166"/>
  <c r="D5966" i="166"/>
  <c r="B5966" i="166"/>
  <c r="H5964" i="166"/>
  <c r="G5964" i="166"/>
  <c r="E5964" i="166" s="1"/>
  <c r="D5964" i="166"/>
  <c r="A5964" i="166"/>
  <c r="B5964" i="166" s="1"/>
  <c r="E5963" i="166"/>
  <c r="D5963" i="166"/>
  <c r="B5963" i="166"/>
  <c r="H5961" i="166"/>
  <c r="G5961" i="166"/>
  <c r="E5961" i="166" s="1"/>
  <c r="D5961" i="166"/>
  <c r="A5961" i="166"/>
  <c r="B5961" i="166" s="1"/>
  <c r="E5960" i="166"/>
  <c r="D5960" i="166"/>
  <c r="B5960" i="166"/>
  <c r="H5958" i="166"/>
  <c r="G5958" i="166"/>
  <c r="E5958" i="166" s="1"/>
  <c r="D5958" i="166"/>
  <c r="A5958" i="166"/>
  <c r="B5958" i="166" s="1"/>
  <c r="E5957" i="166"/>
  <c r="D5957" i="166"/>
  <c r="B5957" i="166"/>
  <c r="H5955" i="166"/>
  <c r="G5955" i="166"/>
  <c r="E5955" i="166" s="1"/>
  <c r="D5955" i="166"/>
  <c r="A5955" i="166"/>
  <c r="B5955" i="166" s="1"/>
  <c r="E5954" i="166"/>
  <c r="D5954" i="166"/>
  <c r="B5954" i="166"/>
  <c r="H5952" i="166"/>
  <c r="G5952" i="166"/>
  <c r="E5952" i="166" s="1"/>
  <c r="D5952" i="166"/>
  <c r="A5952" i="166"/>
  <c r="B5952" i="166" s="1"/>
  <c r="E5951" i="166"/>
  <c r="D5951" i="166"/>
  <c r="B5951" i="166"/>
  <c r="A5946" i="166"/>
  <c r="B5946" i="166" s="1"/>
  <c r="A5949" i="166"/>
  <c r="B5949" i="166" s="1"/>
  <c r="H5949" i="166"/>
  <c r="G5949" i="166"/>
  <c r="E5949" i="166" s="1"/>
  <c r="D5949" i="166"/>
  <c r="E5948" i="166"/>
  <c r="D5948" i="166"/>
  <c r="B5948" i="166"/>
  <c r="H5946" i="166"/>
  <c r="G5946" i="166"/>
  <c r="E5946" i="166" s="1"/>
  <c r="D5946" i="166"/>
  <c r="E5945" i="166"/>
  <c r="D5945" i="166"/>
  <c r="B5945" i="166"/>
  <c r="H5943" i="166"/>
  <c r="G5943" i="166"/>
  <c r="E5943" i="166" s="1"/>
  <c r="D5943" i="166"/>
  <c r="B5943" i="166"/>
  <c r="E5942" i="166"/>
  <c r="D5942" i="166"/>
  <c r="B5942" i="166"/>
  <c r="H5940" i="166"/>
  <c r="G5940" i="166"/>
  <c r="E5940" i="166" s="1"/>
  <c r="D5940" i="166"/>
  <c r="B5940" i="166"/>
  <c r="E5939" i="166"/>
  <c r="D5939" i="166"/>
  <c r="B5939" i="166"/>
  <c r="H5937" i="166"/>
  <c r="G5937" i="166"/>
  <c r="E5937" i="166" s="1"/>
  <c r="D5937" i="166"/>
  <c r="B5937" i="166"/>
  <c r="E5936" i="166"/>
  <c r="D5936" i="166"/>
  <c r="B5936" i="166"/>
  <c r="H5934" i="166"/>
  <c r="G5934" i="166"/>
  <c r="E5934" i="166" s="1"/>
  <c r="D5934" i="166"/>
  <c r="B5934" i="166"/>
  <c r="E5933" i="166"/>
  <c r="D5933" i="166"/>
  <c r="B5933" i="166"/>
  <c r="H5931" i="166"/>
  <c r="G5931" i="166"/>
  <c r="E5931" i="166" s="1"/>
  <c r="D5931" i="166"/>
  <c r="B5931" i="166"/>
  <c r="E5930" i="166"/>
  <c r="D5930" i="166"/>
  <c r="B5930" i="166"/>
  <c r="H5928" i="166"/>
  <c r="G5928" i="166"/>
  <c r="E5928" i="166" s="1"/>
  <c r="D5928" i="166"/>
  <c r="B5928" i="166"/>
  <c r="E5927" i="166"/>
  <c r="D5927" i="166"/>
  <c r="B5927" i="166"/>
  <c r="H5925" i="166"/>
  <c r="G5925" i="166"/>
  <c r="E5925" i="166" s="1"/>
  <c r="D5925" i="166"/>
  <c r="B5925" i="166"/>
  <c r="E5924" i="166"/>
  <c r="D5924" i="166"/>
  <c r="B5924" i="166"/>
  <c r="H5922" i="166"/>
  <c r="G5922" i="166"/>
  <c r="E5922" i="166" s="1"/>
  <c r="D5922" i="166"/>
  <c r="B5922" i="166"/>
  <c r="E5921" i="166"/>
  <c r="D5921" i="166"/>
  <c r="B5921" i="166"/>
  <c r="H5919" i="166"/>
  <c r="G5919" i="166"/>
  <c r="E5919" i="166" s="1"/>
  <c r="D5919" i="166"/>
  <c r="B5919" i="166"/>
  <c r="E5918" i="166"/>
  <c r="D5918" i="166"/>
  <c r="B5918" i="166"/>
  <c r="H5916" i="166"/>
  <c r="G5916" i="166"/>
  <c r="E5916" i="166" s="1"/>
  <c r="D5916" i="166"/>
  <c r="B5916" i="166"/>
  <c r="E5915" i="166"/>
  <c r="D5915" i="166"/>
  <c r="B5915" i="166"/>
  <c r="H5913" i="166"/>
  <c r="G5913" i="166"/>
  <c r="E5913" i="166" s="1"/>
  <c r="D5913" i="166"/>
  <c r="B5913" i="166"/>
  <c r="E5912" i="166"/>
  <c r="D5912" i="166"/>
  <c r="B5912" i="166"/>
  <c r="H5910" i="166"/>
  <c r="G5910" i="166"/>
  <c r="E5910" i="166" s="1"/>
  <c r="D5910" i="166"/>
  <c r="B5910" i="166"/>
  <c r="E5909" i="166"/>
  <c r="D5909" i="166"/>
  <c r="B5909" i="166"/>
  <c r="H5907" i="166"/>
  <c r="G5907" i="166"/>
  <c r="E5907" i="166" s="1"/>
  <c r="D5907" i="166"/>
  <c r="B5907" i="166"/>
  <c r="E5906" i="166"/>
  <c r="D5906" i="166"/>
  <c r="B5906" i="166"/>
  <c r="H5904" i="166"/>
  <c r="G5904" i="166"/>
  <c r="E5904" i="166" s="1"/>
  <c r="D5904" i="166"/>
  <c r="B5904" i="166"/>
  <c r="E5903" i="166"/>
  <c r="D5903" i="166"/>
  <c r="B5903" i="166"/>
  <c r="H5901" i="166" l="1"/>
  <c r="G5901" i="166"/>
  <c r="E5901" i="166" s="1"/>
  <c r="D5901" i="166"/>
  <c r="B5901" i="166"/>
  <c r="E5900" i="166"/>
  <c r="D5900" i="166"/>
  <c r="B5900" i="166"/>
  <c r="H5898" i="166"/>
  <c r="G5898" i="166"/>
  <c r="E5898" i="166" s="1"/>
  <c r="D5898" i="166"/>
  <c r="B5898" i="166"/>
  <c r="E5897" i="166"/>
  <c r="D5897" i="166"/>
  <c r="B5897" i="166"/>
  <c r="H5895" i="166"/>
  <c r="G5895" i="166"/>
  <c r="E5895" i="166" s="1"/>
  <c r="D5895" i="166"/>
  <c r="B5895" i="166"/>
  <c r="E5894" i="166"/>
  <c r="D5894" i="166"/>
  <c r="B5894" i="166"/>
  <c r="H5892" i="166"/>
  <c r="G5892" i="166"/>
  <c r="E5892" i="166" s="1"/>
  <c r="D5892" i="166"/>
  <c r="B5892" i="166"/>
  <c r="E5891" i="166"/>
  <c r="D5891" i="166"/>
  <c r="B5891" i="166"/>
  <c r="H5889" i="166"/>
  <c r="G5889" i="166"/>
  <c r="E5889" i="166" s="1"/>
  <c r="D5889" i="166"/>
  <c r="B5889" i="166"/>
  <c r="E5888" i="166"/>
  <c r="D5888" i="166"/>
  <c r="B5888" i="166"/>
  <c r="H5886" i="166"/>
  <c r="G5886" i="166"/>
  <c r="E5886" i="166" s="1"/>
  <c r="D5886" i="166"/>
  <c r="B5886" i="166"/>
  <c r="E5885" i="166"/>
  <c r="D5885" i="166"/>
  <c r="B5885" i="166"/>
  <c r="H5883" i="166"/>
  <c r="G5883" i="166"/>
  <c r="E5883" i="166" s="1"/>
  <c r="D5883" i="166"/>
  <c r="B5883" i="166"/>
  <c r="E5882" i="166"/>
  <c r="D5882" i="166"/>
  <c r="B5882" i="166"/>
  <c r="H5880" i="166"/>
  <c r="G5880" i="166"/>
  <c r="E5880" i="166" s="1"/>
  <c r="D5880" i="166"/>
  <c r="B5880" i="166"/>
  <c r="E5879" i="166"/>
  <c r="D5879" i="166"/>
  <c r="B5879" i="166"/>
  <c r="H5877" i="166"/>
  <c r="G5877" i="166"/>
  <c r="E5877" i="166" s="1"/>
  <c r="D5877" i="166"/>
  <c r="B5877" i="166"/>
  <c r="E5876" i="166"/>
  <c r="D5876" i="166"/>
  <c r="B5876" i="166"/>
  <c r="H5874" i="166"/>
  <c r="G5874" i="166"/>
  <c r="E5874" i="166" s="1"/>
  <c r="D5874" i="166"/>
  <c r="B5874" i="166"/>
  <c r="E5873" i="166"/>
  <c r="D5873" i="166"/>
  <c r="B5873" i="166"/>
  <c r="H5871" i="166"/>
  <c r="G5871" i="166"/>
  <c r="E5871" i="166" s="1"/>
  <c r="D5871" i="166"/>
  <c r="B5871" i="166"/>
  <c r="E5870" i="166"/>
  <c r="D5870" i="166"/>
  <c r="B5870" i="166"/>
  <c r="H5868" i="166"/>
  <c r="G5868" i="166"/>
  <c r="E5868" i="166" s="1"/>
  <c r="D5868" i="166"/>
  <c r="B5868" i="166"/>
  <c r="E5867" i="166"/>
  <c r="D5867" i="166"/>
  <c r="B5867" i="166"/>
  <c r="H5865" i="166"/>
  <c r="G5865" i="166"/>
  <c r="E5865" i="166" s="1"/>
  <c r="D5865" i="166"/>
  <c r="B5865" i="166"/>
  <c r="E5864" i="166"/>
  <c r="D5864" i="166"/>
  <c r="B5864" i="166"/>
  <c r="H5862" i="166"/>
  <c r="G5862" i="166"/>
  <c r="E5862" i="166" s="1"/>
  <c r="D5862" i="166"/>
  <c r="B5862" i="166"/>
  <c r="E5861" i="166"/>
  <c r="D5861" i="166"/>
  <c r="B5861" i="166"/>
  <c r="H5859" i="166"/>
  <c r="G5859" i="166"/>
  <c r="E5859" i="166" s="1"/>
  <c r="D5859" i="166"/>
  <c r="B5859" i="166"/>
  <c r="E5858" i="166"/>
  <c r="D5858" i="166"/>
  <c r="B5858" i="166"/>
  <c r="G5856" i="166"/>
  <c r="E5856" i="166" s="1"/>
  <c r="H5856" i="166"/>
  <c r="D5856" i="166"/>
  <c r="B5856" i="166"/>
  <c r="E5855" i="166"/>
  <c r="D5855" i="166"/>
  <c r="B5855" i="166"/>
  <c r="H5852" i="166"/>
  <c r="E5852" i="166"/>
  <c r="D5852" i="166"/>
  <c r="B5852" i="166"/>
  <c r="H5853" i="166"/>
  <c r="E5853" i="166"/>
  <c r="D5853" i="166"/>
  <c r="A5853" i="166"/>
  <c r="B5853" i="166" s="1"/>
  <c r="E5851" i="166"/>
  <c r="D5851" i="166"/>
  <c r="B5851" i="166"/>
  <c r="H5849" i="166"/>
  <c r="G5849" i="166"/>
  <c r="E5849" i="166" s="1"/>
  <c r="D5849" i="166"/>
  <c r="A5849" i="166"/>
  <c r="B5849" i="166" s="1"/>
  <c r="E5848" i="166"/>
  <c r="D5848" i="166"/>
  <c r="B5848" i="166"/>
  <c r="H5846" i="166"/>
  <c r="G5846" i="166"/>
  <c r="E5846" i="166" s="1"/>
  <c r="D5846" i="166"/>
  <c r="A5846" i="166"/>
  <c r="B5846" i="166" s="1"/>
  <c r="E5845" i="166"/>
  <c r="D5845" i="166"/>
  <c r="B5845" i="166"/>
  <c r="H5843" i="166"/>
  <c r="G5843" i="166"/>
  <c r="E5843" i="166" s="1"/>
  <c r="D5843" i="166"/>
  <c r="A5843" i="166"/>
  <c r="B5843" i="166" s="1"/>
  <c r="E5842" i="166"/>
  <c r="D5842" i="166"/>
  <c r="B5842" i="166"/>
  <c r="H5840" i="166"/>
  <c r="G5840" i="166"/>
  <c r="E5840" i="166" s="1"/>
  <c r="D5840" i="166"/>
  <c r="A5840" i="166"/>
  <c r="B5840" i="166" s="1"/>
  <c r="E5839" i="166"/>
  <c r="D5839" i="166"/>
  <c r="B5839" i="166"/>
  <c r="H5837" i="166"/>
  <c r="G5837" i="166"/>
  <c r="E5837" i="166" s="1"/>
  <c r="D5837" i="166"/>
  <c r="A5837" i="166"/>
  <c r="B5837" i="166" s="1"/>
  <c r="E5836" i="166"/>
  <c r="D5836" i="166"/>
  <c r="B5836" i="166"/>
  <c r="H5834" i="166"/>
  <c r="G5834" i="166"/>
  <c r="E5834" i="166" s="1"/>
  <c r="D5834" i="166"/>
  <c r="A5834" i="166"/>
  <c r="B5834" i="166" s="1"/>
  <c r="E5833" i="166"/>
  <c r="D5833" i="166"/>
  <c r="B5833" i="166"/>
  <c r="H5831" i="166" l="1"/>
  <c r="G5831" i="166"/>
  <c r="E5831" i="166" s="1"/>
  <c r="D5831" i="166"/>
  <c r="A5831" i="166"/>
  <c r="B5831" i="166" s="1"/>
  <c r="E5830" i="166"/>
  <c r="D5830" i="166"/>
  <c r="B5830" i="166"/>
  <c r="H5828" i="166"/>
  <c r="G5828" i="166"/>
  <c r="E5828" i="166" s="1"/>
  <c r="D5828" i="166"/>
  <c r="A5828" i="166"/>
  <c r="B5828" i="166" s="1"/>
  <c r="E5827" i="166"/>
  <c r="D5827" i="166"/>
  <c r="B5827" i="166"/>
  <c r="H5825" i="166"/>
  <c r="G5825" i="166"/>
  <c r="E5825" i="166" s="1"/>
  <c r="D5825" i="166"/>
  <c r="A5825" i="166"/>
  <c r="B5825" i="166" s="1"/>
  <c r="E5824" i="166"/>
  <c r="D5824" i="166"/>
  <c r="B5824" i="166"/>
  <c r="H5822" i="166"/>
  <c r="G5822" i="166"/>
  <c r="E5822" i="166" s="1"/>
  <c r="D5822" i="166"/>
  <c r="A5822" i="166"/>
  <c r="B5822" i="166" s="1"/>
  <c r="E5821" i="166"/>
  <c r="D5821" i="166"/>
  <c r="B5821" i="166"/>
  <c r="H5819" i="166"/>
  <c r="G5819" i="166"/>
  <c r="E5819" i="166" s="1"/>
  <c r="D5819" i="166"/>
  <c r="A5819" i="166"/>
  <c r="B5819" i="166" s="1"/>
  <c r="E5818" i="166"/>
  <c r="D5818" i="166"/>
  <c r="B5818" i="166"/>
  <c r="H5816" i="166"/>
  <c r="G5816" i="166"/>
  <c r="E5816" i="166" s="1"/>
  <c r="D5816" i="166"/>
  <c r="A5816" i="166"/>
  <c r="B5816" i="166" s="1"/>
  <c r="E5815" i="166"/>
  <c r="D5815" i="166"/>
  <c r="B5815" i="166"/>
  <c r="H5813" i="166"/>
  <c r="G5813" i="166"/>
  <c r="E5813" i="166" s="1"/>
  <c r="D5813" i="166"/>
  <c r="A5813" i="166"/>
  <c r="B5813" i="166" s="1"/>
  <c r="E5812" i="166"/>
  <c r="D5812" i="166"/>
  <c r="B5812" i="166"/>
  <c r="H5810" i="166"/>
  <c r="G5810" i="166"/>
  <c r="E5810" i="166" s="1"/>
  <c r="D5810" i="166"/>
  <c r="A5810" i="166"/>
  <c r="B5810" i="166" s="1"/>
  <c r="E5809" i="166"/>
  <c r="D5809" i="166"/>
  <c r="B5809" i="166"/>
  <c r="H5807" i="166"/>
  <c r="G5807" i="166"/>
  <c r="E5807" i="166" s="1"/>
  <c r="D5807" i="166"/>
  <c r="A5807" i="166"/>
  <c r="B5807" i="166" s="1"/>
  <c r="E5806" i="166"/>
  <c r="D5806" i="166"/>
  <c r="B5806" i="166"/>
  <c r="H5804" i="166"/>
  <c r="G5804" i="166"/>
  <c r="E5804" i="166" s="1"/>
  <c r="D5804" i="166"/>
  <c r="A5804" i="166"/>
  <c r="B5804" i="166" s="1"/>
  <c r="E5803" i="166"/>
  <c r="D5803" i="166"/>
  <c r="B5803" i="166"/>
  <c r="F5170" i="167" l="1"/>
  <c r="H5801" i="166" l="1"/>
  <c r="G5801" i="166"/>
  <c r="E5801" i="166" s="1"/>
  <c r="D5801" i="166"/>
  <c r="A5801" i="166"/>
  <c r="B5801" i="166" s="1"/>
  <c r="E5800" i="166"/>
  <c r="D5800" i="166"/>
  <c r="B5800" i="166"/>
  <c r="H5798" i="166"/>
  <c r="G5798" i="166"/>
  <c r="E5798" i="166" s="1"/>
  <c r="D5798" i="166"/>
  <c r="A5798" i="166"/>
  <c r="B5798" i="166" s="1"/>
  <c r="E5797" i="166"/>
  <c r="D5797" i="166"/>
  <c r="B5797" i="166"/>
  <c r="H5795" i="166"/>
  <c r="G5795" i="166"/>
  <c r="E5795" i="166" s="1"/>
  <c r="D5795" i="166"/>
  <c r="A5795" i="166"/>
  <c r="B5795" i="166" s="1"/>
  <c r="E5794" i="166"/>
  <c r="D5794" i="166"/>
  <c r="B5794" i="166"/>
  <c r="H5792" i="166"/>
  <c r="G5792" i="166"/>
  <c r="E5792" i="166" s="1"/>
  <c r="D5792" i="166"/>
  <c r="A5792" i="166"/>
  <c r="B5792" i="166" s="1"/>
  <c r="E5791" i="166"/>
  <c r="D5791" i="166"/>
  <c r="B5791" i="166"/>
  <c r="H5789" i="166"/>
  <c r="G5789" i="166"/>
  <c r="E5789" i="166" s="1"/>
  <c r="D5789" i="166"/>
  <c r="A5789" i="166"/>
  <c r="B5789" i="166" s="1"/>
  <c r="E5788" i="166"/>
  <c r="D5788" i="166"/>
  <c r="B5788" i="166"/>
  <c r="H5786" i="166"/>
  <c r="G5786" i="166"/>
  <c r="E5786" i="166" s="1"/>
  <c r="D5786" i="166"/>
  <c r="A5786" i="166"/>
  <c r="B5786" i="166" s="1"/>
  <c r="E5785" i="166"/>
  <c r="D5785" i="166"/>
  <c r="B5785" i="166"/>
  <c r="H5783" i="166"/>
  <c r="G5783" i="166"/>
  <c r="E5783" i="166" s="1"/>
  <c r="D5783" i="166"/>
  <c r="A5783" i="166"/>
  <c r="B5783" i="166" s="1"/>
  <c r="E5782" i="166"/>
  <c r="D5782" i="166"/>
  <c r="B5782" i="166"/>
  <c r="H5780" i="166"/>
  <c r="G5780" i="166"/>
  <c r="E5780" i="166" s="1"/>
  <c r="D5780" i="166"/>
  <c r="A5780" i="166"/>
  <c r="B5780" i="166" s="1"/>
  <c r="E5779" i="166"/>
  <c r="D5779" i="166"/>
  <c r="B5779" i="166"/>
  <c r="H5777" i="166"/>
  <c r="G5777" i="166"/>
  <c r="E5777" i="166" s="1"/>
  <c r="D5777" i="166"/>
  <c r="A5777" i="166"/>
  <c r="B5777" i="166" s="1"/>
  <c r="E5776" i="166"/>
  <c r="D5776" i="166"/>
  <c r="B5776" i="166"/>
  <c r="H5774" i="166"/>
  <c r="G5774" i="166"/>
  <c r="E5774" i="166" s="1"/>
  <c r="D5774" i="166"/>
  <c r="A5774" i="166"/>
  <c r="B5774" i="166" s="1"/>
  <c r="E5773" i="166"/>
  <c r="D5773" i="166"/>
  <c r="B5773" i="166"/>
  <c r="H5771" i="166"/>
  <c r="G5771" i="166"/>
  <c r="E5771" i="166" s="1"/>
  <c r="D5771" i="166"/>
  <c r="A5771" i="166"/>
  <c r="B5771" i="166" s="1"/>
  <c r="E5770" i="166"/>
  <c r="D5770" i="166"/>
  <c r="B5770" i="166"/>
  <c r="H5768" i="166"/>
  <c r="G5768" i="166"/>
  <c r="E5768" i="166" s="1"/>
  <c r="D5768" i="166"/>
  <c r="A5768" i="166"/>
  <c r="B5768" i="166" s="1"/>
  <c r="E5767" i="166"/>
  <c r="D5767" i="166"/>
  <c r="B5767" i="166"/>
  <c r="H5765" i="166"/>
  <c r="G5765" i="166"/>
  <c r="E5765" i="166" s="1"/>
  <c r="D5765" i="166"/>
  <c r="A5765" i="166"/>
  <c r="B5765" i="166" s="1"/>
  <c r="E5764" i="166"/>
  <c r="D5764" i="166"/>
  <c r="B5764" i="166"/>
  <c r="H5762" i="166"/>
  <c r="G5762" i="166"/>
  <c r="E5762" i="166" s="1"/>
  <c r="D5762" i="166"/>
  <c r="A5762" i="166"/>
  <c r="B5762" i="166" s="1"/>
  <c r="E5761" i="166"/>
  <c r="D5761" i="166"/>
  <c r="B5761" i="166"/>
  <c r="H5759" i="166"/>
  <c r="G5759" i="166"/>
  <c r="E5759" i="166" s="1"/>
  <c r="D5759" i="166"/>
  <c r="A5759" i="166"/>
  <c r="B5759" i="166" s="1"/>
  <c r="E5758" i="166"/>
  <c r="D5758" i="166"/>
  <c r="B5758" i="166"/>
  <c r="H5756" i="166"/>
  <c r="G5756" i="166"/>
  <c r="E5756" i="166" s="1"/>
  <c r="D5756" i="166"/>
  <c r="A5756" i="166"/>
  <c r="B5756" i="166" s="1"/>
  <c r="E5755" i="166"/>
  <c r="D5755" i="166"/>
  <c r="B5755" i="166"/>
  <c r="H5753" i="166"/>
  <c r="G5753" i="166"/>
  <c r="E5753" i="166" s="1"/>
  <c r="D5753" i="166"/>
  <c r="A5753" i="166"/>
  <c r="B5753" i="166" s="1"/>
  <c r="E5752" i="166"/>
  <c r="D5752" i="166"/>
  <c r="B5752" i="166"/>
  <c r="H5750" i="166"/>
  <c r="G5750" i="166"/>
  <c r="E5750" i="166" s="1"/>
  <c r="D5750" i="166"/>
  <c r="A5750" i="166"/>
  <c r="B5750" i="166" s="1"/>
  <c r="E5749" i="166"/>
  <c r="D5749" i="166"/>
  <c r="B5749" i="166"/>
  <c r="H5747" i="166"/>
  <c r="G5747" i="166"/>
  <c r="E5747" i="166" s="1"/>
  <c r="D5747" i="166"/>
  <c r="A5747" i="166"/>
  <c r="B5747" i="166" s="1"/>
  <c r="E5746" i="166"/>
  <c r="D5746" i="166"/>
  <c r="B5746" i="166"/>
  <c r="H5744" i="166"/>
  <c r="G5744" i="166"/>
  <c r="E5744" i="166" s="1"/>
  <c r="D5744" i="166"/>
  <c r="A5744" i="166"/>
  <c r="B5744" i="166" s="1"/>
  <c r="E5743" i="166"/>
  <c r="D5743" i="166"/>
  <c r="B5743" i="166"/>
  <c r="H5741" i="166"/>
  <c r="G5741" i="166"/>
  <c r="E5741" i="166" s="1"/>
  <c r="D5741" i="166"/>
  <c r="A5741" i="166"/>
  <c r="B5741" i="166" s="1"/>
  <c r="E5740" i="166"/>
  <c r="D5740" i="166"/>
  <c r="B5740" i="166"/>
  <c r="H5738" i="166"/>
  <c r="G5738" i="166"/>
  <c r="E5738" i="166" s="1"/>
  <c r="D5738" i="166"/>
  <c r="A5738" i="166"/>
  <c r="B5738" i="166" s="1"/>
  <c r="E5737" i="166"/>
  <c r="D5737" i="166"/>
  <c r="B5737" i="166"/>
  <c r="H5735" i="166"/>
  <c r="G5735" i="166"/>
  <c r="E5735" i="166" s="1"/>
  <c r="D5735" i="166"/>
  <c r="A5735" i="166"/>
  <c r="B5735" i="166" s="1"/>
  <c r="E5734" i="166"/>
  <c r="D5734" i="166"/>
  <c r="B5734" i="166"/>
  <c r="H5732" i="166"/>
  <c r="G5732" i="166"/>
  <c r="E5732" i="166" s="1"/>
  <c r="D5732" i="166"/>
  <c r="A5732" i="166"/>
  <c r="B5732" i="166" s="1"/>
  <c r="E5731" i="166"/>
  <c r="D5731" i="166"/>
  <c r="B5731" i="166"/>
  <c r="H5729" i="166"/>
  <c r="G5729" i="166"/>
  <c r="E5729" i="166" s="1"/>
  <c r="D5729" i="166"/>
  <c r="A5729" i="166"/>
  <c r="B5729" i="166" s="1"/>
  <c r="E5728" i="166"/>
  <c r="D5728" i="166"/>
  <c r="B5728" i="166"/>
  <c r="H5726" i="166"/>
  <c r="G5726" i="166"/>
  <c r="E5726" i="166" s="1"/>
  <c r="D5726" i="166"/>
  <c r="A5726" i="166"/>
  <c r="B5726" i="166" s="1"/>
  <c r="E5725" i="166"/>
  <c r="D5725" i="166"/>
  <c r="B5725" i="166"/>
  <c r="H5723" i="166"/>
  <c r="G5723" i="166"/>
  <c r="E5723" i="166" s="1"/>
  <c r="D5723" i="166"/>
  <c r="E5722" i="166"/>
  <c r="D5722" i="166"/>
  <c r="B5722" i="166"/>
  <c r="A5723" i="166" l="1"/>
  <c r="B5723" i="166" s="1"/>
  <c r="H5214" i="167" l="1"/>
  <c r="G5214" i="167"/>
  <c r="E5214" i="167" s="1"/>
  <c r="D5214" i="167"/>
  <c r="E5213" i="167"/>
  <c r="D5213" i="167"/>
  <c r="G5211" i="167"/>
  <c r="E5211" i="167" s="1"/>
  <c r="D5211" i="167"/>
  <c r="E5210" i="167"/>
  <c r="D5210" i="167"/>
  <c r="G5208" i="167"/>
  <c r="E5208" i="167" s="1"/>
  <c r="D5208" i="167"/>
  <c r="E5207" i="167"/>
  <c r="D5207" i="167"/>
  <c r="G5205" i="167"/>
  <c r="E5205" i="167" s="1"/>
  <c r="D5205" i="167"/>
  <c r="E5204" i="167"/>
  <c r="D5204" i="167"/>
  <c r="B45" i="11" l="1"/>
  <c r="E102" i="22"/>
  <c r="D15" i="22"/>
  <c r="D102" i="22"/>
  <c r="D14" i="22"/>
  <c r="E14" i="22"/>
  <c r="E2" i="166"/>
  <c r="E19" i="166"/>
  <c r="E6" i="166"/>
  <c r="E10" i="166"/>
  <c r="E14" i="166"/>
  <c r="E18" i="166"/>
  <c r="E3" i="166"/>
  <c r="E4" i="166"/>
  <c r="E5" i="166"/>
  <c r="E7" i="166"/>
  <c r="E8" i="166"/>
  <c r="E9" i="166"/>
  <c r="E11" i="166"/>
  <c r="E12" i="166"/>
  <c r="E13" i="166"/>
  <c r="E15" i="166"/>
  <c r="E16" i="166"/>
  <c r="E17" i="166"/>
  <c r="E20" i="166"/>
  <c r="E21" i="166"/>
  <c r="H5720" i="166"/>
  <c r="G5720" i="166"/>
  <c r="E5720" i="166" s="1"/>
  <c r="D5720" i="166"/>
  <c r="E5719" i="166"/>
  <c r="D5719" i="166"/>
  <c r="H5717" i="166"/>
  <c r="G5717" i="166"/>
  <c r="E5717" i="166" s="1"/>
  <c r="D5717" i="166"/>
  <c r="E5716" i="166"/>
  <c r="D5716" i="166"/>
  <c r="H5714" i="166"/>
  <c r="G5714" i="166"/>
  <c r="E5714" i="166" s="1"/>
  <c r="D5714" i="166"/>
  <c r="E5713" i="166"/>
  <c r="D5713" i="166"/>
  <c r="H5711" i="166"/>
  <c r="G5711" i="166"/>
  <c r="E5711" i="166" s="1"/>
  <c r="D5711" i="166"/>
  <c r="E5710" i="166"/>
  <c r="D5710" i="166"/>
  <c r="H5708" i="166"/>
  <c r="G5708" i="166"/>
  <c r="E5708" i="166" s="1"/>
  <c r="D5708" i="166"/>
  <c r="E5707" i="166"/>
  <c r="D5707" i="166"/>
  <c r="H5705" i="166"/>
  <c r="G5705" i="166"/>
  <c r="E5705" i="166" s="1"/>
  <c r="D5705" i="166"/>
  <c r="E5704" i="166"/>
  <c r="D5704" i="166"/>
  <c r="H5702" i="166" l="1"/>
  <c r="G5702" i="166"/>
  <c r="E5702" i="166" s="1"/>
  <c r="D5702" i="166"/>
  <c r="E5701" i="166"/>
  <c r="D5701" i="166"/>
  <c r="H5699" i="166"/>
  <c r="G5699" i="166"/>
  <c r="E5699" i="166" s="1"/>
  <c r="D5699" i="166"/>
  <c r="E5698" i="166"/>
  <c r="D5698" i="166"/>
  <c r="H5696" i="166"/>
  <c r="G5696" i="166"/>
  <c r="E5696" i="166" s="1"/>
  <c r="D5696" i="166"/>
  <c r="E5695" i="166"/>
  <c r="D5695" i="166"/>
  <c r="H5693" i="166"/>
  <c r="G5693" i="166"/>
  <c r="E5693" i="166" s="1"/>
  <c r="D5693" i="166"/>
  <c r="E5692" i="166"/>
  <c r="D5692" i="166"/>
  <c r="H5690" i="166"/>
  <c r="G5690" i="166"/>
  <c r="E5690" i="166" s="1"/>
  <c r="D5690" i="166"/>
  <c r="E5689" i="166"/>
  <c r="D5689" i="166"/>
  <c r="E5687" i="166"/>
  <c r="D5687" i="166"/>
  <c r="E5686" i="166"/>
  <c r="D5686" i="166"/>
  <c r="E5685" i="166"/>
  <c r="D5685" i="166"/>
  <c r="E5684" i="166"/>
  <c r="D5684" i="166"/>
  <c r="E5683" i="166"/>
  <c r="D5683" i="166"/>
  <c r="E5682" i="166"/>
  <c r="D5682" i="166"/>
  <c r="A5682" i="166"/>
  <c r="A5683" i="166" s="1"/>
  <c r="A5684" i="166" s="1"/>
  <c r="A5685" i="166" s="1"/>
  <c r="A5686" i="166" s="1"/>
  <c r="A5687" i="166" s="1"/>
  <c r="A5689" i="166" s="1"/>
  <c r="E5681" i="166"/>
  <c r="D5681" i="166"/>
  <c r="B5681" i="166"/>
  <c r="B5682" i="166" s="1"/>
  <c r="B5683" i="166" s="1"/>
  <c r="B5684" i="166" s="1"/>
  <c r="B5685" i="166" s="1"/>
  <c r="B5686" i="166" s="1"/>
  <c r="B5687" i="166" s="1"/>
  <c r="A5690" i="166" l="1"/>
  <c r="B5689" i="166"/>
  <c r="B5690" i="166" l="1"/>
  <c r="A5692" i="166"/>
  <c r="A5693" i="166" l="1"/>
  <c r="B5693" i="166" s="1"/>
  <c r="B5692" i="166"/>
  <c r="A5695" i="166"/>
  <c r="A5696" i="166" l="1"/>
  <c r="B5695" i="166"/>
  <c r="B5696" i="166" l="1"/>
  <c r="A5698" i="166"/>
  <c r="B5698" i="166" l="1"/>
  <c r="A5699" i="166"/>
  <c r="A5701" i="166" l="1"/>
  <c r="B5699" i="166"/>
  <c r="A5702" i="166" l="1"/>
  <c r="B5701" i="166"/>
  <c r="F5299" i="166"/>
  <c r="E5299" i="166" s="1"/>
  <c r="E5301" i="166"/>
  <c r="D5301" i="166"/>
  <c r="H5300" i="166"/>
  <c r="H5301" i="166" s="1"/>
  <c r="E5300" i="166"/>
  <c r="D5300" i="166"/>
  <c r="A5300" i="166"/>
  <c r="B5300" i="166" s="1"/>
  <c r="D5299" i="166"/>
  <c r="B5299" i="166"/>
  <c r="A5394" i="166"/>
  <c r="H5394" i="166"/>
  <c r="F5393" i="166"/>
  <c r="B5702" i="166" l="1"/>
  <c r="A5704" i="166"/>
  <c r="A5301" i="166"/>
  <c r="B5301" i="166" s="1"/>
  <c r="G5202" i="167"/>
  <c r="E5202" i="167" s="1"/>
  <c r="D5202" i="167"/>
  <c r="E5201" i="167"/>
  <c r="D5201" i="167"/>
  <c r="G5199" i="167"/>
  <c r="E5199" i="167" s="1"/>
  <c r="D5199" i="167"/>
  <c r="E5198" i="167"/>
  <c r="D5198" i="167"/>
  <c r="H5196" i="167"/>
  <c r="H5199" i="167" s="1"/>
  <c r="H5202" i="167" s="1"/>
  <c r="H5438" i="167" s="1"/>
  <c r="H5463" i="167" s="1"/>
  <c r="H5506" i="167" s="1"/>
  <c r="H5518" i="167" s="1"/>
  <c r="H5521" i="167" s="1"/>
  <c r="H5524" i="167" s="1"/>
  <c r="H5639" i="167" s="1"/>
  <c r="H5642" i="167" s="1"/>
  <c r="H5645" i="167" s="1"/>
  <c r="G5196" i="167"/>
  <c r="E5196" i="167" s="1"/>
  <c r="D5196" i="167"/>
  <c r="E5195" i="167"/>
  <c r="D5195" i="167"/>
  <c r="E5193" i="167"/>
  <c r="D5193" i="167"/>
  <c r="E5192" i="167"/>
  <c r="D5192" i="167"/>
  <c r="E5191" i="167"/>
  <c r="D5191" i="167"/>
  <c r="E5190" i="167"/>
  <c r="D5190" i="167"/>
  <c r="E5189" i="167"/>
  <c r="D5189" i="167"/>
  <c r="E5188" i="167"/>
  <c r="D5188" i="167"/>
  <c r="E5187" i="167"/>
  <c r="D5187" i="167"/>
  <c r="E5186" i="167"/>
  <c r="D5186" i="167"/>
  <c r="E5185" i="167"/>
  <c r="D5185" i="167"/>
  <c r="E5184" i="167"/>
  <c r="D5184" i="167"/>
  <c r="E5183" i="167"/>
  <c r="D5183" i="167"/>
  <c r="E5182" i="167"/>
  <c r="D5182" i="167"/>
  <c r="E5181" i="167"/>
  <c r="D5181" i="167"/>
  <c r="E5180" i="167"/>
  <c r="D5180" i="167"/>
  <c r="E5179" i="167"/>
  <c r="D5179" i="167"/>
  <c r="E5178" i="167"/>
  <c r="D5178" i="167"/>
  <c r="E5177" i="167"/>
  <c r="D5177" i="167"/>
  <c r="E5176" i="167"/>
  <c r="D5176" i="167"/>
  <c r="E5175" i="167"/>
  <c r="D5175" i="167"/>
  <c r="E5174" i="167"/>
  <c r="D5174" i="167"/>
  <c r="E5173" i="167"/>
  <c r="D5173" i="167"/>
  <c r="E5172" i="167"/>
  <c r="D5172" i="167"/>
  <c r="E5679" i="166"/>
  <c r="D5679" i="166"/>
  <c r="B5679" i="166"/>
  <c r="E5678" i="166"/>
  <c r="D5678" i="166"/>
  <c r="B5678" i="166"/>
  <c r="E5677" i="166"/>
  <c r="D5677" i="166"/>
  <c r="B5677" i="166"/>
  <c r="E5676" i="166"/>
  <c r="D5676" i="166"/>
  <c r="B5676" i="166"/>
  <c r="E5675" i="166"/>
  <c r="D5675" i="166"/>
  <c r="B5675" i="166"/>
  <c r="E5674" i="166"/>
  <c r="D5674" i="166"/>
  <c r="B5674" i="166"/>
  <c r="E5673" i="166"/>
  <c r="D5673" i="166"/>
  <c r="B5673" i="166"/>
  <c r="E5672" i="166"/>
  <c r="D5672" i="166"/>
  <c r="B5672" i="166"/>
  <c r="A5705" i="166" l="1"/>
  <c r="B5704" i="166"/>
  <c r="D5170" i="167"/>
  <c r="D5169" i="167"/>
  <c r="D5168" i="167"/>
  <c r="D5167" i="167"/>
  <c r="F5166" i="167"/>
  <c r="D5166" i="167"/>
  <c r="F5165" i="167"/>
  <c r="E5165" i="167" s="1"/>
  <c r="D5165" i="167"/>
  <c r="D5164" i="167"/>
  <c r="E5163" i="167"/>
  <c r="D5163" i="167"/>
  <c r="E5162" i="167"/>
  <c r="D5162" i="167"/>
  <c r="E5161" i="167"/>
  <c r="D5161" i="167"/>
  <c r="E5160" i="167"/>
  <c r="D5160" i="167"/>
  <c r="D5159" i="167"/>
  <c r="D5158" i="167"/>
  <c r="D5157" i="167"/>
  <c r="D5156" i="167"/>
  <c r="D5155" i="167"/>
  <c r="D5154" i="167"/>
  <c r="D5153" i="167"/>
  <c r="D5152" i="167"/>
  <c r="D5151" i="167"/>
  <c r="D5150" i="167"/>
  <c r="E5149" i="167"/>
  <c r="D5149" i="167"/>
  <c r="E5148" i="167"/>
  <c r="D5148" i="167"/>
  <c r="E5147" i="167"/>
  <c r="D5147" i="167"/>
  <c r="E5146" i="167"/>
  <c r="D5146" i="167"/>
  <c r="E5145" i="167"/>
  <c r="D5145" i="167"/>
  <c r="E5144" i="167"/>
  <c r="D5144" i="167"/>
  <c r="B5144" i="167"/>
  <c r="E5170" i="167" l="1"/>
  <c r="G5169" i="167"/>
  <c r="B5705" i="166"/>
  <c r="A5707" i="166"/>
  <c r="E5166" i="167"/>
  <c r="G5142" i="167"/>
  <c r="E5142" i="167" s="1"/>
  <c r="D5142" i="167"/>
  <c r="E5141" i="167"/>
  <c r="D5141" i="167"/>
  <c r="B5141" i="167"/>
  <c r="G5139" i="167"/>
  <c r="E5139" i="167" s="1"/>
  <c r="D5139" i="167"/>
  <c r="E5138" i="167"/>
  <c r="D5138" i="167"/>
  <c r="B5138" i="167"/>
  <c r="H5136" i="167"/>
  <c r="G5136" i="167"/>
  <c r="E5136" i="167" s="1"/>
  <c r="D5136" i="167"/>
  <c r="A5136" i="167"/>
  <c r="E5135" i="167"/>
  <c r="D5135" i="167"/>
  <c r="B5135" i="167"/>
  <c r="B5136" i="167" s="1"/>
  <c r="H5133" i="167"/>
  <c r="G5133" i="167"/>
  <c r="E5133" i="167" s="1"/>
  <c r="D5133" i="167"/>
  <c r="E5132" i="167"/>
  <c r="D5132" i="167"/>
  <c r="B5132" i="167"/>
  <c r="G5130" i="167"/>
  <c r="E5130" i="167" s="1"/>
  <c r="D5130" i="167"/>
  <c r="A5130" i="167"/>
  <c r="E5129" i="167"/>
  <c r="D5129" i="167"/>
  <c r="B5129" i="167"/>
  <c r="A5708" i="166" l="1"/>
  <c r="B5707" i="166"/>
  <c r="L5116" i="167"/>
  <c r="F5125" i="167"/>
  <c r="B5708" i="166" l="1"/>
  <c r="A5710" i="166"/>
  <c r="K5127" i="167"/>
  <c r="E5127" i="167"/>
  <c r="D5127" i="167"/>
  <c r="K5126" i="167"/>
  <c r="E5126" i="167"/>
  <c r="D5126" i="167"/>
  <c r="K5125" i="167"/>
  <c r="E5125" i="167"/>
  <c r="D5125" i="167"/>
  <c r="K5124" i="167"/>
  <c r="E5124" i="167"/>
  <c r="D5124" i="167"/>
  <c r="B5124" i="167"/>
  <c r="G5122" i="167"/>
  <c r="E5122" i="167" s="1"/>
  <c r="D5122" i="167"/>
  <c r="E5121" i="167"/>
  <c r="D5121" i="167"/>
  <c r="B5121" i="167"/>
  <c r="L5119" i="167"/>
  <c r="K5119" i="167"/>
  <c r="G5119" i="167"/>
  <c r="E5119" i="167" s="1"/>
  <c r="D5119" i="167"/>
  <c r="K5118" i="167"/>
  <c r="E5118" i="167"/>
  <c r="D5118" i="167"/>
  <c r="B5118" i="167"/>
  <c r="N5116" i="167"/>
  <c r="G5116" i="167"/>
  <c r="E5116" i="167" s="1"/>
  <c r="D5116" i="167"/>
  <c r="N5115" i="167"/>
  <c r="E5115" i="167"/>
  <c r="D5115" i="167"/>
  <c r="B5115" i="167"/>
  <c r="B5116" i="167" s="1"/>
  <c r="H5113" i="167"/>
  <c r="H5116" i="167" s="1"/>
  <c r="H5119" i="167" s="1"/>
  <c r="H5122" i="167" s="1"/>
  <c r="G5113" i="167"/>
  <c r="E5113" i="167" s="1"/>
  <c r="D5113" i="167"/>
  <c r="A5113" i="167"/>
  <c r="A5116" i="167" s="1"/>
  <c r="A5119" i="167" s="1"/>
  <c r="A5122" i="167" s="1"/>
  <c r="E5112" i="167"/>
  <c r="D5112" i="167"/>
  <c r="B5112" i="167"/>
  <c r="B5113" i="167" s="1"/>
  <c r="H5110" i="167"/>
  <c r="H5130" i="167" s="1"/>
  <c r="G5110" i="167"/>
  <c r="E5110" i="167" s="1"/>
  <c r="D5110" i="167"/>
  <c r="E5109" i="167"/>
  <c r="D5109" i="167"/>
  <c r="B5109" i="167"/>
  <c r="A5756" i="167" l="1"/>
  <c r="B5119" i="167"/>
  <c r="B5122" i="167" s="1"/>
  <c r="B5710" i="166"/>
  <c r="A5711" i="166"/>
  <c r="G5107" i="167"/>
  <c r="E5107" i="167" s="1"/>
  <c r="D5107" i="167"/>
  <c r="E5106" i="167"/>
  <c r="D5106" i="167"/>
  <c r="B5106" i="167"/>
  <c r="H5104" i="167"/>
  <c r="H5107" i="167" s="1"/>
  <c r="G5104" i="167"/>
  <c r="E5104" i="167" s="1"/>
  <c r="D5104" i="167"/>
  <c r="A5104" i="167"/>
  <c r="A5107" i="167" s="1"/>
  <c r="E5103" i="167"/>
  <c r="D5103" i="167"/>
  <c r="B5103" i="167"/>
  <c r="G5101" i="167"/>
  <c r="E5101" i="167" s="1"/>
  <c r="D5101" i="167"/>
  <c r="E5100" i="167"/>
  <c r="D5100" i="167"/>
  <c r="B5100" i="167"/>
  <c r="G5098" i="167"/>
  <c r="E5098" i="167" s="1"/>
  <c r="D5098" i="167"/>
  <c r="E5097" i="167"/>
  <c r="D5097" i="167"/>
  <c r="B5097" i="167"/>
  <c r="G5095" i="167"/>
  <c r="E5095" i="167" s="1"/>
  <c r="D5095" i="167"/>
  <c r="E5094" i="167"/>
  <c r="D5094" i="167"/>
  <c r="B5094" i="167"/>
  <c r="G5092" i="167"/>
  <c r="E5092" i="167" s="1"/>
  <c r="D5092" i="167"/>
  <c r="E5091" i="167"/>
  <c r="D5091" i="167"/>
  <c r="B5091" i="167"/>
  <c r="G5089" i="167"/>
  <c r="D5089" i="167"/>
  <c r="E5088" i="167"/>
  <c r="D5088" i="167"/>
  <c r="B5088" i="167"/>
  <c r="G5086" i="167"/>
  <c r="E5086" i="167" s="1"/>
  <c r="D5086" i="167"/>
  <c r="E5085" i="167"/>
  <c r="D5085" i="167"/>
  <c r="B5085" i="167"/>
  <c r="G5083" i="167"/>
  <c r="E5083" i="167" s="1"/>
  <c r="D5083" i="167"/>
  <c r="E5082" i="167"/>
  <c r="D5082" i="167"/>
  <c r="B5082" i="167"/>
  <c r="G5080" i="167"/>
  <c r="E5080" i="167" s="1"/>
  <c r="D5080" i="167"/>
  <c r="E5079" i="167"/>
  <c r="D5079" i="167"/>
  <c r="B5079" i="167"/>
  <c r="G5077" i="167"/>
  <c r="E5077" i="167" s="1"/>
  <c r="D5077" i="167"/>
  <c r="E5076" i="167"/>
  <c r="D5076" i="167"/>
  <c r="B5076" i="167"/>
  <c r="G5074" i="167"/>
  <c r="E5074" i="167" s="1"/>
  <c r="D5074" i="167"/>
  <c r="E5073" i="167"/>
  <c r="D5073" i="167"/>
  <c r="B5073" i="167"/>
  <c r="H5071" i="167"/>
  <c r="E5071" i="167"/>
  <c r="D5071" i="167"/>
  <c r="A5071" i="167"/>
  <c r="E5070" i="167"/>
  <c r="D5070" i="167"/>
  <c r="E5069" i="167"/>
  <c r="D5069" i="167"/>
  <c r="B5069" i="167"/>
  <c r="D5067" i="167"/>
  <c r="E5066" i="167"/>
  <c r="D5066" i="167"/>
  <c r="B5066" i="167"/>
  <c r="D5064" i="167"/>
  <c r="E5063" i="167"/>
  <c r="D5063" i="167"/>
  <c r="B5063" i="167"/>
  <c r="E5089" i="167" l="1"/>
  <c r="F5152" i="167"/>
  <c r="E5152" i="167" s="1"/>
  <c r="B5071" i="167"/>
  <c r="B5756" i="167"/>
  <c r="A5759" i="167"/>
  <c r="B5711" i="166"/>
  <c r="A5713" i="166"/>
  <c r="G5061" i="167"/>
  <c r="E5061" i="167" s="1"/>
  <c r="D5061" i="167"/>
  <c r="E5060" i="167"/>
  <c r="D5060" i="167"/>
  <c r="B5060" i="167"/>
  <c r="G5058" i="167"/>
  <c r="E5058" i="167" s="1"/>
  <c r="D5058" i="167"/>
  <c r="E5057" i="167"/>
  <c r="D5057" i="167"/>
  <c r="B5057" i="167"/>
  <c r="G5055" i="167"/>
  <c r="E5055" i="167" s="1"/>
  <c r="D5055" i="167"/>
  <c r="E5054" i="167"/>
  <c r="D5054" i="167"/>
  <c r="B5054" i="167"/>
  <c r="G5052" i="167"/>
  <c r="E5052" i="167" s="1"/>
  <c r="D5052" i="167"/>
  <c r="E5051" i="167"/>
  <c r="D5051" i="167"/>
  <c r="B5051" i="167"/>
  <c r="G5049" i="167"/>
  <c r="E5049" i="167" s="1"/>
  <c r="D5049" i="167"/>
  <c r="E5048" i="167"/>
  <c r="D5048" i="167"/>
  <c r="B5048" i="167"/>
  <c r="G5046" i="167"/>
  <c r="E5046" i="167" s="1"/>
  <c r="D5046" i="167"/>
  <c r="E5045" i="167"/>
  <c r="D5045" i="167"/>
  <c r="B5045" i="167"/>
  <c r="G5043" i="167"/>
  <c r="E5043" i="167" s="1"/>
  <c r="D5043" i="167"/>
  <c r="E5042" i="167"/>
  <c r="D5042" i="167"/>
  <c r="B5042" i="167"/>
  <c r="G5040" i="167"/>
  <c r="E5040" i="167" s="1"/>
  <c r="D5040" i="167"/>
  <c r="E5039" i="167"/>
  <c r="D5039" i="167"/>
  <c r="B5039" i="167"/>
  <c r="G5037" i="167"/>
  <c r="E5037" i="167" s="1"/>
  <c r="D5037" i="167"/>
  <c r="E5036" i="167"/>
  <c r="D5036" i="167"/>
  <c r="B5036" i="167"/>
  <c r="G5034" i="167"/>
  <c r="E5034" i="167" s="1"/>
  <c r="D5034" i="167"/>
  <c r="E5033" i="167"/>
  <c r="D5033" i="167"/>
  <c r="B5033" i="167"/>
  <c r="G5031" i="167"/>
  <c r="E5031" i="167" s="1"/>
  <c r="D5031" i="167"/>
  <c r="E5030" i="167"/>
  <c r="D5030" i="167"/>
  <c r="B5030" i="167"/>
  <c r="G5028" i="167"/>
  <c r="E5028" i="167" s="1"/>
  <c r="D5028" i="167"/>
  <c r="E5027" i="167"/>
  <c r="D5027" i="167"/>
  <c r="B5027" i="167"/>
  <c r="G5025" i="167"/>
  <c r="E5025" i="167" s="1"/>
  <c r="D5025" i="167"/>
  <c r="E5024" i="167"/>
  <c r="D5024" i="167"/>
  <c r="B5024" i="167"/>
  <c r="G5022" i="167"/>
  <c r="E5022" i="167" s="1"/>
  <c r="D5022" i="167"/>
  <c r="E5021" i="167"/>
  <c r="D5021" i="167"/>
  <c r="B5021" i="167"/>
  <c r="G5019" i="167"/>
  <c r="E5019" i="167" s="1"/>
  <c r="D5019" i="167"/>
  <c r="E5018" i="167"/>
  <c r="D5018" i="167"/>
  <c r="B5018" i="167"/>
  <c r="G5016" i="167"/>
  <c r="E5016" i="167" s="1"/>
  <c r="D5016" i="167"/>
  <c r="E5015" i="167"/>
  <c r="D5015" i="167"/>
  <c r="B5015" i="167"/>
  <c r="G5013" i="167"/>
  <c r="E5013" i="167" s="1"/>
  <c r="D5013" i="167"/>
  <c r="E5012" i="167"/>
  <c r="D5012" i="167"/>
  <c r="B5012" i="167"/>
  <c r="G5010" i="167"/>
  <c r="E5010" i="167" s="1"/>
  <c r="D5010" i="167"/>
  <c r="E5009" i="167"/>
  <c r="D5009" i="167"/>
  <c r="B5009" i="167"/>
  <c r="G5007" i="167"/>
  <c r="E5007" i="167" s="1"/>
  <c r="D5007" i="167"/>
  <c r="E5006" i="167"/>
  <c r="D5006" i="167"/>
  <c r="B5006" i="167"/>
  <c r="G5004" i="167"/>
  <c r="E5004" i="167" s="1"/>
  <c r="D5004" i="167"/>
  <c r="E5003" i="167"/>
  <c r="D5003" i="167"/>
  <c r="B5003" i="167"/>
  <c r="G5001" i="167"/>
  <c r="E5001" i="167" s="1"/>
  <c r="D5001" i="167"/>
  <c r="E5000" i="167"/>
  <c r="D5000" i="167"/>
  <c r="B5000" i="167"/>
  <c r="G4998" i="167"/>
  <c r="E4998" i="167" s="1"/>
  <c r="D4998" i="167"/>
  <c r="E4997" i="167"/>
  <c r="D4997" i="167"/>
  <c r="B4997" i="167"/>
  <c r="G4995" i="167"/>
  <c r="E4995" i="167" s="1"/>
  <c r="D4995" i="167"/>
  <c r="E4994" i="167"/>
  <c r="D4994" i="167"/>
  <c r="B4994" i="167"/>
  <c r="G4992" i="167"/>
  <c r="E4992" i="167" s="1"/>
  <c r="D4992" i="167"/>
  <c r="E4991" i="167"/>
  <c r="D4991" i="167"/>
  <c r="B4991" i="167"/>
  <c r="G4989" i="167"/>
  <c r="E4989" i="167" s="1"/>
  <c r="D4989" i="167"/>
  <c r="E4988" i="167"/>
  <c r="D4988" i="167"/>
  <c r="B4988" i="167"/>
  <c r="G4986" i="167"/>
  <c r="E4986" i="167" s="1"/>
  <c r="D4986" i="167"/>
  <c r="E4985" i="167"/>
  <c r="D4985" i="167"/>
  <c r="B4985" i="167"/>
  <c r="G4983" i="167"/>
  <c r="E4983" i="167" s="1"/>
  <c r="D4983" i="167"/>
  <c r="E4982" i="167"/>
  <c r="D4982" i="167"/>
  <c r="B4982" i="167"/>
  <c r="G4980" i="167"/>
  <c r="E4980" i="167" s="1"/>
  <c r="D4980" i="167"/>
  <c r="E4979" i="167"/>
  <c r="D4979" i="167"/>
  <c r="B4979" i="167"/>
  <c r="G4977" i="167"/>
  <c r="E4977" i="167" s="1"/>
  <c r="D4977" i="167"/>
  <c r="A4977" i="167"/>
  <c r="E4976" i="167"/>
  <c r="D4976" i="167"/>
  <c r="B4976" i="167"/>
  <c r="E4974" i="167"/>
  <c r="D4974" i="167"/>
  <c r="H4973" i="167"/>
  <c r="H4974" i="167" s="1"/>
  <c r="E4973" i="167"/>
  <c r="D4973" i="167"/>
  <c r="A4973" i="167"/>
  <c r="D4972" i="167"/>
  <c r="B4972" i="167"/>
  <c r="G4970" i="167"/>
  <c r="E4970" i="167" s="1"/>
  <c r="D4970" i="167"/>
  <c r="E4969" i="167"/>
  <c r="D4969" i="167"/>
  <c r="B4969" i="167"/>
  <c r="G4967" i="167"/>
  <c r="E4967" i="167" s="1"/>
  <c r="D4967" i="167"/>
  <c r="E4966" i="167"/>
  <c r="D4966" i="167"/>
  <c r="B4966" i="167"/>
  <c r="G4964" i="167"/>
  <c r="E4964" i="167" s="1"/>
  <c r="D4964" i="167"/>
  <c r="E4963" i="167"/>
  <c r="D4963" i="167"/>
  <c r="B4963" i="167"/>
  <c r="G4961" i="167"/>
  <c r="D4961" i="167"/>
  <c r="E4960" i="167"/>
  <c r="D4960" i="167"/>
  <c r="B4960" i="167"/>
  <c r="G4958" i="167"/>
  <c r="E4958" i="167" s="1"/>
  <c r="D4958" i="167"/>
  <c r="E4957" i="167"/>
  <c r="D4957" i="167"/>
  <c r="B4957" i="167"/>
  <c r="G4955" i="167"/>
  <c r="E4955" i="167" s="1"/>
  <c r="D4955" i="167"/>
  <c r="E4954" i="167"/>
  <c r="D4954" i="167"/>
  <c r="B4954" i="167"/>
  <c r="G4952" i="167"/>
  <c r="E4952" i="167" s="1"/>
  <c r="D4952" i="167"/>
  <c r="E4951" i="167"/>
  <c r="D4951" i="167"/>
  <c r="B4951" i="167"/>
  <c r="G4949" i="167"/>
  <c r="E4949" i="167" s="1"/>
  <c r="D4949" i="167"/>
  <c r="E4948" i="167"/>
  <c r="D4948" i="167"/>
  <c r="B4948" i="167"/>
  <c r="G4946" i="167"/>
  <c r="E4946" i="167" s="1"/>
  <c r="D4946" i="167"/>
  <c r="E4945" i="167"/>
  <c r="D4945" i="167"/>
  <c r="B4945" i="167"/>
  <c r="B4973" i="167" l="1"/>
  <c r="B5759" i="167"/>
  <c r="B5762" i="167" s="1"/>
  <c r="B5765" i="167" s="1"/>
  <c r="A5762" i="167"/>
  <c r="A5765" i="167" s="1"/>
  <c r="A5768" i="167" s="1"/>
  <c r="A5771" i="167" s="1"/>
  <c r="A5779" i="167" s="1"/>
  <c r="A5782" i="167" s="1"/>
  <c r="A5744" i="167" s="1"/>
  <c r="B5744" i="167" s="1"/>
  <c r="E4961" i="167"/>
  <c r="F5151" i="167"/>
  <c r="E5151" i="167" s="1"/>
  <c r="B4977" i="167"/>
  <c r="H4977" i="167"/>
  <c r="B5104" i="167"/>
  <c r="B5107" i="167" s="1"/>
  <c r="A5714" i="166"/>
  <c r="B5713" i="166"/>
  <c r="G4943" i="167"/>
  <c r="E4943" i="167" s="1"/>
  <c r="D4943" i="167"/>
  <c r="E4942" i="167"/>
  <c r="D4942" i="167"/>
  <c r="B4942" i="167"/>
  <c r="G4940" i="167"/>
  <c r="E4940" i="167" s="1"/>
  <c r="D4940" i="167"/>
  <c r="E4939" i="167"/>
  <c r="D4939" i="167"/>
  <c r="B4939" i="167"/>
  <c r="G4937" i="167"/>
  <c r="E4937" i="167" s="1"/>
  <c r="D4937" i="167"/>
  <c r="E4936" i="167"/>
  <c r="D4936" i="167"/>
  <c r="B4936" i="167"/>
  <c r="G4934" i="167"/>
  <c r="E4934" i="167" s="1"/>
  <c r="D4934" i="167"/>
  <c r="E4933" i="167"/>
  <c r="D4933" i="167"/>
  <c r="B4933" i="167"/>
  <c r="G4931" i="167"/>
  <c r="E4931" i="167" s="1"/>
  <c r="D4931" i="167"/>
  <c r="E4930" i="167"/>
  <c r="D4930" i="167"/>
  <c r="B4930" i="167"/>
  <c r="G4928" i="167"/>
  <c r="E4928" i="167" s="1"/>
  <c r="D4928" i="167"/>
  <c r="E4927" i="167"/>
  <c r="D4927" i="167"/>
  <c r="B4927" i="167"/>
  <c r="G4925" i="167"/>
  <c r="E4925" i="167" s="1"/>
  <c r="D4925" i="167"/>
  <c r="E4924" i="167"/>
  <c r="D4924" i="167"/>
  <c r="B4924" i="167"/>
  <c r="G4922" i="167"/>
  <c r="E4922" i="167" s="1"/>
  <c r="D4922" i="167"/>
  <c r="E4921" i="167"/>
  <c r="D4921" i="167"/>
  <c r="B4921" i="167"/>
  <c r="G4919" i="167"/>
  <c r="E4919" i="167" s="1"/>
  <c r="D4919" i="167"/>
  <c r="E4918" i="167"/>
  <c r="D4918" i="167"/>
  <c r="B4918" i="167"/>
  <c r="G4916" i="167"/>
  <c r="E4916" i="167" s="1"/>
  <c r="D4916" i="167"/>
  <c r="E4915" i="167"/>
  <c r="D4915" i="167"/>
  <c r="B4915" i="167"/>
  <c r="G4913" i="167"/>
  <c r="E4913" i="167" s="1"/>
  <c r="D4913" i="167"/>
  <c r="E4912" i="167"/>
  <c r="D4912" i="167"/>
  <c r="B4912" i="167"/>
  <c r="G4910" i="167"/>
  <c r="E4910" i="167" s="1"/>
  <c r="D4910" i="167"/>
  <c r="E4909" i="167"/>
  <c r="D4909" i="167"/>
  <c r="B4909" i="167"/>
  <c r="G4907" i="167"/>
  <c r="E4907" i="167" s="1"/>
  <c r="D4907" i="167"/>
  <c r="E4906" i="167"/>
  <c r="D4906" i="167"/>
  <c r="B4906" i="167"/>
  <c r="G4904" i="167"/>
  <c r="E4904" i="167" s="1"/>
  <c r="D4904" i="167"/>
  <c r="E4903" i="167"/>
  <c r="D4903" i="167"/>
  <c r="B4903" i="167"/>
  <c r="G4901" i="167"/>
  <c r="E4901" i="167" s="1"/>
  <c r="D4901" i="167"/>
  <c r="E4900" i="167"/>
  <c r="D4900" i="167"/>
  <c r="B4900" i="167"/>
  <c r="G4898" i="167"/>
  <c r="E4898" i="167" s="1"/>
  <c r="D4898" i="167"/>
  <c r="E4897" i="167"/>
  <c r="D4897" i="167"/>
  <c r="B4897" i="167"/>
  <c r="G4895" i="167"/>
  <c r="E4895" i="167" s="1"/>
  <c r="D4895" i="167"/>
  <c r="E4894" i="167"/>
  <c r="D4894" i="167"/>
  <c r="B4894" i="167"/>
  <c r="H4892" i="167"/>
  <c r="G4892" i="167"/>
  <c r="E4892" i="167" s="1"/>
  <c r="D4892" i="167"/>
  <c r="A4892" i="167"/>
  <c r="E4891" i="167"/>
  <c r="D4891" i="167"/>
  <c r="B4891" i="167"/>
  <c r="G4889" i="167"/>
  <c r="E4889" i="167" s="1"/>
  <c r="D4889" i="167"/>
  <c r="E4888" i="167"/>
  <c r="D4888" i="167"/>
  <c r="B4888" i="167"/>
  <c r="G4886" i="167"/>
  <c r="E4886" i="167" s="1"/>
  <c r="D4886" i="167"/>
  <c r="E4885" i="167"/>
  <c r="D4885" i="167"/>
  <c r="B4885" i="167"/>
  <c r="G4883" i="167"/>
  <c r="E4883" i="167" s="1"/>
  <c r="D4883" i="167"/>
  <c r="E4882" i="167"/>
  <c r="D4882" i="167"/>
  <c r="B4882" i="167"/>
  <c r="G4880" i="167"/>
  <c r="E4880" i="167" s="1"/>
  <c r="D4880" i="167"/>
  <c r="E4879" i="167"/>
  <c r="D4879" i="167"/>
  <c r="B4879" i="167"/>
  <c r="G4877" i="167"/>
  <c r="E4877" i="167" s="1"/>
  <c r="D4877" i="167"/>
  <c r="E4876" i="167"/>
  <c r="D4876" i="167"/>
  <c r="B4876" i="167"/>
  <c r="G4874" i="167"/>
  <c r="E4874" i="167" s="1"/>
  <c r="D4874" i="167"/>
  <c r="E4873" i="167"/>
  <c r="D4873" i="167"/>
  <c r="B4873" i="167"/>
  <c r="G4871" i="167"/>
  <c r="E4871" i="167" s="1"/>
  <c r="D4871" i="167"/>
  <c r="E4870" i="167"/>
  <c r="D4870" i="167"/>
  <c r="B4870" i="167"/>
  <c r="G4868" i="167"/>
  <c r="E4868" i="167" s="1"/>
  <c r="D4868" i="167"/>
  <c r="E4867" i="167"/>
  <c r="D4867" i="167"/>
  <c r="B4867" i="167"/>
  <c r="G4865" i="167"/>
  <c r="E4865" i="167" s="1"/>
  <c r="D4865" i="167"/>
  <c r="E4864" i="167"/>
  <c r="D4864" i="167"/>
  <c r="B4864" i="167"/>
  <c r="G4862" i="167"/>
  <c r="E4862" i="167" s="1"/>
  <c r="D4862" i="167"/>
  <c r="E4861" i="167"/>
  <c r="D4861" i="167"/>
  <c r="B4861" i="167"/>
  <c r="G4859" i="167"/>
  <c r="E4859" i="167" s="1"/>
  <c r="D4859" i="167"/>
  <c r="E4858" i="167"/>
  <c r="D4858" i="167"/>
  <c r="B4858" i="167"/>
  <c r="G4856" i="167"/>
  <c r="E4856" i="167" s="1"/>
  <c r="D4856" i="167"/>
  <c r="E4855" i="167"/>
  <c r="D4855" i="167"/>
  <c r="B4855" i="167"/>
  <c r="G4853" i="167"/>
  <c r="E4853" i="167" s="1"/>
  <c r="D4853" i="167"/>
  <c r="E4852" i="167"/>
  <c r="D4852" i="167"/>
  <c r="B4852" i="167"/>
  <c r="G4850" i="167"/>
  <c r="E4850" i="167" s="1"/>
  <c r="D4850" i="167"/>
  <c r="E4849" i="167"/>
  <c r="D4849" i="167"/>
  <c r="B4849" i="167"/>
  <c r="G4847" i="167"/>
  <c r="E4847" i="167" s="1"/>
  <c r="D4847" i="167"/>
  <c r="E4846" i="167"/>
  <c r="D4846" i="167"/>
  <c r="B4846" i="167"/>
  <c r="G4844" i="167"/>
  <c r="E4844" i="167" s="1"/>
  <c r="D4844" i="167"/>
  <c r="E4843" i="167"/>
  <c r="D4843" i="167"/>
  <c r="B4843" i="167"/>
  <c r="G4841" i="167"/>
  <c r="E4841" i="167" s="1"/>
  <c r="D4841" i="167"/>
  <c r="E4840" i="167"/>
  <c r="D4840" i="167"/>
  <c r="B4840" i="167"/>
  <c r="G4838" i="167"/>
  <c r="E4838" i="167" s="1"/>
  <c r="D4838" i="167"/>
  <c r="E4837" i="167"/>
  <c r="D4837" i="167"/>
  <c r="B4837" i="167"/>
  <c r="H4835" i="167"/>
  <c r="H4838" i="167" s="1"/>
  <c r="H4841" i="167" s="1"/>
  <c r="H4844" i="167" s="1"/>
  <c r="G4835" i="167"/>
  <c r="E4835" i="167" s="1"/>
  <c r="D4835" i="167"/>
  <c r="E4834" i="167"/>
  <c r="D4834" i="167"/>
  <c r="B4834" i="167"/>
  <c r="G4832" i="167"/>
  <c r="E4832" i="167" s="1"/>
  <c r="D4832" i="167"/>
  <c r="E4831" i="167"/>
  <c r="D4831" i="167"/>
  <c r="B4831" i="167"/>
  <c r="G4829" i="167"/>
  <c r="E4829" i="167" s="1"/>
  <c r="D4829" i="167"/>
  <c r="E4828" i="167"/>
  <c r="D4828" i="167"/>
  <c r="B4828" i="167"/>
  <c r="G4826" i="167"/>
  <c r="E4826" i="167" s="1"/>
  <c r="D4826" i="167"/>
  <c r="E4825" i="167"/>
  <c r="D4825" i="167"/>
  <c r="B4825" i="167"/>
  <c r="G4823" i="167"/>
  <c r="E4823" i="167" s="1"/>
  <c r="D4823" i="167"/>
  <c r="E4822" i="167"/>
  <c r="D4822" i="167"/>
  <c r="B4822" i="167"/>
  <c r="G4820" i="167"/>
  <c r="E4820" i="167" s="1"/>
  <c r="D4820" i="167"/>
  <c r="E4819" i="167"/>
  <c r="D4819" i="167"/>
  <c r="B4819" i="167"/>
  <c r="G4817" i="167"/>
  <c r="E4817" i="167" s="1"/>
  <c r="D4817" i="167"/>
  <c r="E4816" i="167"/>
  <c r="D4816" i="167"/>
  <c r="B4816" i="167"/>
  <c r="G4814" i="167"/>
  <c r="E4814" i="167" s="1"/>
  <c r="D4814" i="167"/>
  <c r="E4813" i="167"/>
  <c r="D4813" i="167"/>
  <c r="B4813" i="167"/>
  <c r="G4811" i="167"/>
  <c r="E4811" i="167" s="1"/>
  <c r="D4811" i="167"/>
  <c r="E4810" i="167"/>
  <c r="D4810" i="167"/>
  <c r="B4810" i="167"/>
  <c r="G4808" i="167"/>
  <c r="E4808" i="167" s="1"/>
  <c r="D4808" i="167"/>
  <c r="E4807" i="167"/>
  <c r="D4807" i="167"/>
  <c r="B4807" i="167"/>
  <c r="G4805" i="167"/>
  <c r="E4805" i="167" s="1"/>
  <c r="D4805" i="167"/>
  <c r="E4804" i="167"/>
  <c r="D4804" i="167"/>
  <c r="B4804" i="167"/>
  <c r="G4802" i="167"/>
  <c r="E4802" i="167" s="1"/>
  <c r="D4802" i="167"/>
  <c r="E4801" i="167"/>
  <c r="D4801" i="167"/>
  <c r="B4801" i="167"/>
  <c r="G4799" i="167"/>
  <c r="E4799" i="167" s="1"/>
  <c r="D4799" i="167"/>
  <c r="E4798" i="167"/>
  <c r="D4798" i="167"/>
  <c r="B4798" i="167"/>
  <c r="G4796" i="167"/>
  <c r="E4796" i="167" s="1"/>
  <c r="D4796" i="167"/>
  <c r="E4795" i="167"/>
  <c r="D4795" i="167"/>
  <c r="B4795" i="167"/>
  <c r="G4793" i="167"/>
  <c r="E4793" i="167" s="1"/>
  <c r="D4793" i="167"/>
  <c r="E4792" i="167"/>
  <c r="D4792" i="167"/>
  <c r="B4792" i="167"/>
  <c r="G4790" i="167"/>
  <c r="E4790" i="167" s="1"/>
  <c r="D4790" i="167"/>
  <c r="E4789" i="167"/>
  <c r="D4789" i="167"/>
  <c r="B4789" i="167"/>
  <c r="G4787" i="167"/>
  <c r="E4787" i="167" s="1"/>
  <c r="D4787" i="167"/>
  <c r="E4786" i="167"/>
  <c r="D4786" i="167"/>
  <c r="B4786" i="167"/>
  <c r="G4784" i="167"/>
  <c r="E4784" i="167" s="1"/>
  <c r="D4784" i="167"/>
  <c r="E4783" i="167"/>
  <c r="D4783" i="167"/>
  <c r="B4783" i="167"/>
  <c r="G4781" i="167"/>
  <c r="E4781" i="167" s="1"/>
  <c r="D4781" i="167"/>
  <c r="E4780" i="167"/>
  <c r="D4780" i="167"/>
  <c r="B4780" i="167"/>
  <c r="G4778" i="167"/>
  <c r="E4778" i="167" s="1"/>
  <c r="D4778" i="167"/>
  <c r="E4777" i="167"/>
  <c r="D4777" i="167"/>
  <c r="B4777" i="167"/>
  <c r="G4775" i="167"/>
  <c r="E4775" i="167" s="1"/>
  <c r="D4775" i="167"/>
  <c r="E4774" i="167"/>
  <c r="D4774" i="167"/>
  <c r="B4774" i="167"/>
  <c r="G4772" i="167"/>
  <c r="E4772" i="167" s="1"/>
  <c r="D4772" i="167"/>
  <c r="E4771" i="167"/>
  <c r="D4771" i="167"/>
  <c r="B4771" i="167"/>
  <c r="G4769" i="167"/>
  <c r="E4769" i="167" s="1"/>
  <c r="D4769" i="167"/>
  <c r="E4768" i="167"/>
  <c r="D4768" i="167"/>
  <c r="B4768" i="167"/>
  <c r="G4766" i="167"/>
  <c r="E4766" i="167" s="1"/>
  <c r="D4766" i="167"/>
  <c r="E4765" i="167"/>
  <c r="D4765" i="167"/>
  <c r="B4765" i="167"/>
  <c r="G4763" i="167"/>
  <c r="E4763" i="167" s="1"/>
  <c r="D4763" i="167"/>
  <c r="E4762" i="167"/>
  <c r="D4762" i="167"/>
  <c r="B4762" i="167"/>
  <c r="G4760" i="167"/>
  <c r="E4760" i="167" s="1"/>
  <c r="D4760" i="167"/>
  <c r="E4759" i="167"/>
  <c r="D4759" i="167"/>
  <c r="B4759" i="167"/>
  <c r="G4757" i="167"/>
  <c r="E4757" i="167" s="1"/>
  <c r="D4757" i="167"/>
  <c r="E4756" i="167"/>
  <c r="D4756" i="167"/>
  <c r="B4756" i="167"/>
  <c r="D4754" i="167"/>
  <c r="E4753" i="167"/>
  <c r="D4753" i="167"/>
  <c r="B4753" i="167"/>
  <c r="G4751" i="167"/>
  <c r="E4751" i="167" s="1"/>
  <c r="D4751" i="167"/>
  <c r="E4750" i="167"/>
  <c r="D4750" i="167"/>
  <c r="B4750" i="167"/>
  <c r="G4748" i="167"/>
  <c r="E4748" i="167" s="1"/>
  <c r="D4748" i="167"/>
  <c r="E4747" i="167"/>
  <c r="D4747" i="167"/>
  <c r="B4747" i="167"/>
  <c r="G4745" i="167"/>
  <c r="E4745" i="167" s="1"/>
  <c r="D4745" i="167"/>
  <c r="E4744" i="167"/>
  <c r="D4744" i="167"/>
  <c r="B4744" i="167"/>
  <c r="G4742" i="167"/>
  <c r="E4742" i="167" s="1"/>
  <c r="D4742" i="167"/>
  <c r="E4741" i="167"/>
  <c r="D4741" i="167"/>
  <c r="B4741" i="167"/>
  <c r="G4739" i="167"/>
  <c r="E4739" i="167" s="1"/>
  <c r="D4739" i="167"/>
  <c r="E4738" i="167"/>
  <c r="D4738" i="167"/>
  <c r="B4738" i="167"/>
  <c r="G4736" i="167"/>
  <c r="E4736" i="167" s="1"/>
  <c r="D4736" i="167"/>
  <c r="E4735" i="167"/>
  <c r="D4735" i="167"/>
  <c r="B4735" i="167"/>
  <c r="G4733" i="167"/>
  <c r="E4733" i="167" s="1"/>
  <c r="D4733" i="167"/>
  <c r="E4732" i="167"/>
  <c r="D4732" i="167"/>
  <c r="B4732" i="167"/>
  <c r="G4730" i="167"/>
  <c r="E4730" i="167" s="1"/>
  <c r="D4730" i="167"/>
  <c r="E4729" i="167"/>
  <c r="D4729" i="167"/>
  <c r="B4729" i="167"/>
  <c r="G4727" i="167"/>
  <c r="E4727" i="167" s="1"/>
  <c r="D4727" i="167"/>
  <c r="E4726" i="167"/>
  <c r="D4726" i="167"/>
  <c r="B4726" i="167"/>
  <c r="G4724" i="167"/>
  <c r="E4724" i="167" s="1"/>
  <c r="D4724" i="167"/>
  <c r="E4723" i="167"/>
  <c r="D4723" i="167"/>
  <c r="B4723" i="167"/>
  <c r="G4721" i="167"/>
  <c r="E4721" i="167" s="1"/>
  <c r="D4721" i="167"/>
  <c r="E4720" i="167"/>
  <c r="D4720" i="167"/>
  <c r="B4720" i="167"/>
  <c r="H4718" i="167"/>
  <c r="H4730" i="167" s="1"/>
  <c r="H4733" i="167" s="1"/>
  <c r="H4745" i="167" s="1"/>
  <c r="H4748" i="167" s="1"/>
  <c r="H4778" i="167" s="1"/>
  <c r="H4784" i="167" s="1"/>
  <c r="H4790" i="167" s="1"/>
  <c r="H4793" i="167" s="1"/>
  <c r="H4802" i="167" s="1"/>
  <c r="H4814" i="167" s="1"/>
  <c r="H4832" i="167" s="1"/>
  <c r="H4847" i="167" s="1"/>
  <c r="H4850" i="167" s="1"/>
  <c r="H4889" i="167" s="1"/>
  <c r="H4895" i="167" s="1"/>
  <c r="H4907" i="167" s="1"/>
  <c r="H4937" i="167" s="1"/>
  <c r="H4943" i="167" s="1"/>
  <c r="H4958" i="167" s="1"/>
  <c r="H4980" i="167" s="1"/>
  <c r="H4983" i="167" s="1"/>
  <c r="H4989" i="167" s="1"/>
  <c r="H4992" i="167" s="1"/>
  <c r="H4995" i="167" s="1"/>
  <c r="H4998" i="167" s="1"/>
  <c r="H5004" i="167" s="1"/>
  <c r="H5031" i="167" s="1"/>
  <c r="H5040" i="167" s="1"/>
  <c r="H5043" i="167" s="1"/>
  <c r="H5049" i="167" s="1"/>
  <c r="H5052" i="167" s="1"/>
  <c r="H5058" i="167" s="1"/>
  <c r="H5061" i="167" s="1"/>
  <c r="H5083" i="167" s="1"/>
  <c r="H5101" i="167" s="1"/>
  <c r="D4718" i="167"/>
  <c r="E4717" i="167"/>
  <c r="D4717" i="167"/>
  <c r="B4717" i="167"/>
  <c r="G4715" i="167"/>
  <c r="E4715" i="167" s="1"/>
  <c r="D4715" i="167"/>
  <c r="E4714" i="167"/>
  <c r="D4714" i="167"/>
  <c r="B4714" i="167"/>
  <c r="G4712" i="167"/>
  <c r="E4712" i="167" s="1"/>
  <c r="D4712" i="167"/>
  <c r="E4711" i="167"/>
  <c r="D4711" i="167"/>
  <c r="B4711" i="167"/>
  <c r="H4709" i="167"/>
  <c r="H4712" i="167" s="1"/>
  <c r="H4715" i="167" s="1"/>
  <c r="H4724" i="167" s="1"/>
  <c r="H4727" i="167" s="1"/>
  <c r="H4736" i="167" s="1"/>
  <c r="H4739" i="167" s="1"/>
  <c r="H4742" i="167" s="1"/>
  <c r="H4751" i="167" s="1"/>
  <c r="H4763" i="167" s="1"/>
  <c r="H4766" i="167" s="1"/>
  <c r="H4775" i="167" s="1"/>
  <c r="H4781" i="167" s="1"/>
  <c r="H4799" i="167" s="1"/>
  <c r="H4805" i="167" s="1"/>
  <c r="H4808" i="167" s="1"/>
  <c r="H4817" i="167" s="1"/>
  <c r="H4820" i="167" s="1"/>
  <c r="H4823" i="167" s="1"/>
  <c r="H4826" i="167" s="1"/>
  <c r="H4829" i="167" s="1"/>
  <c r="H4853" i="167" s="1"/>
  <c r="H4856" i="167" s="1"/>
  <c r="H4859" i="167" s="1"/>
  <c r="H4865" i="167" s="1"/>
  <c r="H4868" i="167" s="1"/>
  <c r="H4871" i="167" s="1"/>
  <c r="H4874" i="167" s="1"/>
  <c r="H4877" i="167" s="1"/>
  <c r="H4883" i="167" s="1"/>
  <c r="H4886" i="167" s="1"/>
  <c r="H4898" i="167" s="1"/>
  <c r="H4904" i="167" s="1"/>
  <c r="H4910" i="167" s="1"/>
  <c r="H4916" i="167" s="1"/>
  <c r="H4919" i="167" s="1"/>
  <c r="H4922" i="167" s="1"/>
  <c r="H4928" i="167" s="1"/>
  <c r="H4946" i="167" s="1"/>
  <c r="H4949" i="167" s="1"/>
  <c r="H4955" i="167" s="1"/>
  <c r="H4964" i="167" s="1"/>
  <c r="H4970" i="167" s="1"/>
  <c r="H5001" i="167" s="1"/>
  <c r="H5007" i="167" s="1"/>
  <c r="H5010" i="167" s="1"/>
  <c r="H5022" i="167" s="1"/>
  <c r="H5025" i="167" s="1"/>
  <c r="H5034" i="167" s="1"/>
  <c r="H5046" i="167" s="1"/>
  <c r="H5055" i="167" s="1"/>
  <c r="H5074" i="167" s="1"/>
  <c r="H5077" i="167" s="1"/>
  <c r="H5080" i="167" s="1"/>
  <c r="H5089" i="167" s="1"/>
  <c r="H5095" i="167" s="1"/>
  <c r="H5098" i="167" s="1"/>
  <c r="H5139" i="167" s="1"/>
  <c r="H5142" i="167" s="1"/>
  <c r="G4709" i="167"/>
  <c r="E4709" i="167" s="1"/>
  <c r="D4709" i="167"/>
  <c r="E4708" i="167"/>
  <c r="D4708" i="167"/>
  <c r="B4708" i="167"/>
  <c r="B4705" i="167"/>
  <c r="H4706" i="167"/>
  <c r="H4721" i="167" s="1"/>
  <c r="H4757" i="167" s="1"/>
  <c r="H4760" i="167" s="1"/>
  <c r="H4772" i="167" s="1"/>
  <c r="H4787" i="167" s="1"/>
  <c r="H4880" i="167" s="1"/>
  <c r="H4901" i="167" s="1"/>
  <c r="H4913" i="167" s="1"/>
  <c r="H4925" i="167" s="1"/>
  <c r="H4934" i="167" s="1"/>
  <c r="H4952" i="167" s="1"/>
  <c r="H4961" i="167" s="1"/>
  <c r="H5013" i="167" s="1"/>
  <c r="H5028" i="167" s="1"/>
  <c r="H5086" i="167" s="1"/>
  <c r="H5092" i="167" s="1"/>
  <c r="G4706" i="167"/>
  <c r="E4706" i="167" s="1"/>
  <c r="D4706" i="167"/>
  <c r="E4705" i="167"/>
  <c r="D4705" i="167"/>
  <c r="B5768" i="167" l="1"/>
  <c r="B5771" i="167" s="1"/>
  <c r="B5779" i="167" s="1"/>
  <c r="B5782" i="167" s="1"/>
  <c r="B5793" i="167"/>
  <c r="B4892" i="167"/>
  <c r="B5714" i="166"/>
  <c r="A5716" i="166"/>
  <c r="E5670" i="166"/>
  <c r="D5670" i="166"/>
  <c r="H5669" i="166"/>
  <c r="H5670" i="166" s="1"/>
  <c r="E5669" i="166"/>
  <c r="D5669" i="166"/>
  <c r="A5669" i="166"/>
  <c r="A5670" i="166" s="1"/>
  <c r="B5670" i="166" s="1"/>
  <c r="F5668" i="166"/>
  <c r="E5668" i="166" s="1"/>
  <c r="D5668" i="166"/>
  <c r="B5668" i="166"/>
  <c r="E5666" i="166"/>
  <c r="D5666" i="166"/>
  <c r="H5665" i="166"/>
  <c r="H5666" i="166" s="1"/>
  <c r="D5665" i="166"/>
  <c r="A5665" i="166"/>
  <c r="B5665" i="166" s="1"/>
  <c r="D5664" i="166"/>
  <c r="B5664" i="166"/>
  <c r="H5662" i="166"/>
  <c r="G5662" i="166"/>
  <c r="E5662" i="166" s="1"/>
  <c r="D5662" i="166"/>
  <c r="A5662" i="166"/>
  <c r="B5662" i="166" s="1"/>
  <c r="E5661" i="166"/>
  <c r="D5661" i="166"/>
  <c r="B5661" i="166"/>
  <c r="H5659" i="166"/>
  <c r="G5659" i="166"/>
  <c r="E5659" i="166" s="1"/>
  <c r="D5659" i="166"/>
  <c r="A5659" i="166"/>
  <c r="B5659" i="166" s="1"/>
  <c r="E5658" i="166"/>
  <c r="D5658" i="166"/>
  <c r="B5658" i="166"/>
  <c r="H5656" i="166"/>
  <c r="G5656" i="166"/>
  <c r="E5656" i="166" s="1"/>
  <c r="D5656" i="166"/>
  <c r="A5656" i="166"/>
  <c r="B5656" i="166" s="1"/>
  <c r="E5655" i="166"/>
  <c r="D5655" i="166"/>
  <c r="B5655" i="166"/>
  <c r="H5653" i="166"/>
  <c r="G5653" i="166"/>
  <c r="E5653" i="166" s="1"/>
  <c r="D5653" i="166"/>
  <c r="A5653" i="166"/>
  <c r="B5653" i="166" s="1"/>
  <c r="E5652" i="166"/>
  <c r="D5652" i="166"/>
  <c r="B5652" i="166"/>
  <c r="H5650" i="166"/>
  <c r="G5650" i="166"/>
  <c r="E5650" i="166" s="1"/>
  <c r="D5650" i="166"/>
  <c r="A5650" i="166"/>
  <c r="B5650" i="166" s="1"/>
  <c r="E5649" i="166"/>
  <c r="D5649" i="166"/>
  <c r="B5649" i="166"/>
  <c r="H5647" i="166"/>
  <c r="G5647" i="166"/>
  <c r="E5647" i="166" s="1"/>
  <c r="D5647" i="166"/>
  <c r="A5647" i="166"/>
  <c r="B5647" i="166" s="1"/>
  <c r="E5646" i="166"/>
  <c r="D5646" i="166"/>
  <c r="B5646" i="166"/>
  <c r="H5644" i="166"/>
  <c r="G5644" i="166"/>
  <c r="E5644" i="166" s="1"/>
  <c r="D5644" i="166"/>
  <c r="A5644" i="166"/>
  <c r="B5644" i="166" s="1"/>
  <c r="E5643" i="166"/>
  <c r="D5643" i="166"/>
  <c r="B5643" i="166"/>
  <c r="H5641" i="166"/>
  <c r="G5641" i="166"/>
  <c r="E5641" i="166" s="1"/>
  <c r="D5641" i="166"/>
  <c r="A5641" i="166"/>
  <c r="B5641" i="166" s="1"/>
  <c r="E5640" i="166"/>
  <c r="D5640" i="166"/>
  <c r="B5640" i="166"/>
  <c r="H5638" i="166"/>
  <c r="G5638" i="166"/>
  <c r="E5638" i="166" s="1"/>
  <c r="D5638" i="166"/>
  <c r="A5638" i="166"/>
  <c r="B5638" i="166" s="1"/>
  <c r="E5637" i="166"/>
  <c r="D5637" i="166"/>
  <c r="B5637" i="166"/>
  <c r="H5635" i="166"/>
  <c r="G5635" i="166"/>
  <c r="E5635" i="166" s="1"/>
  <c r="D5635" i="166"/>
  <c r="A5635" i="166"/>
  <c r="B5635" i="166" s="1"/>
  <c r="E5634" i="166"/>
  <c r="D5634" i="166"/>
  <c r="B5634" i="166"/>
  <c r="H5632" i="166"/>
  <c r="G5632" i="166"/>
  <c r="E5632" i="166" s="1"/>
  <c r="D5632" i="166"/>
  <c r="A5632" i="166"/>
  <c r="B5632" i="166" s="1"/>
  <c r="E5631" i="166"/>
  <c r="D5631" i="166"/>
  <c r="B5631" i="166"/>
  <c r="H5629" i="166"/>
  <c r="G5629" i="166"/>
  <c r="E5629" i="166" s="1"/>
  <c r="D5629" i="166"/>
  <c r="A5629" i="166"/>
  <c r="B5629" i="166" s="1"/>
  <c r="E5628" i="166"/>
  <c r="D5628" i="166"/>
  <c r="B5628" i="166"/>
  <c r="H5626" i="166"/>
  <c r="G5626" i="166"/>
  <c r="E5626" i="166" s="1"/>
  <c r="D5626" i="166"/>
  <c r="A5626" i="166"/>
  <c r="B5626" i="166" s="1"/>
  <c r="E5625" i="166"/>
  <c r="D5625" i="166"/>
  <c r="B5625" i="166"/>
  <c r="H5623" i="166"/>
  <c r="G5623" i="166"/>
  <c r="E5623" i="166" s="1"/>
  <c r="D5623" i="166"/>
  <c r="A5623" i="166"/>
  <c r="B5623" i="166" s="1"/>
  <c r="E5622" i="166"/>
  <c r="D5622" i="166"/>
  <c r="B5622" i="166"/>
  <c r="H5620" i="166"/>
  <c r="G5620" i="166"/>
  <c r="E5620" i="166" s="1"/>
  <c r="D5620" i="166"/>
  <c r="A5620" i="166"/>
  <c r="B5620" i="166" s="1"/>
  <c r="E5619" i="166"/>
  <c r="D5619" i="166"/>
  <c r="B5619" i="166"/>
  <c r="H5617" i="166"/>
  <c r="G5617" i="166"/>
  <c r="E5617" i="166" s="1"/>
  <c r="D5617" i="166"/>
  <c r="A5617" i="166"/>
  <c r="B5617" i="166" s="1"/>
  <c r="E5616" i="166"/>
  <c r="D5616" i="166"/>
  <c r="B5616" i="166"/>
  <c r="H5614" i="166"/>
  <c r="G5614" i="166"/>
  <c r="E5614" i="166" s="1"/>
  <c r="D5614" i="166"/>
  <c r="A5614" i="166"/>
  <c r="B5614" i="166" s="1"/>
  <c r="E5613" i="166"/>
  <c r="D5613" i="166"/>
  <c r="B5613" i="166"/>
  <c r="H5611" i="166"/>
  <c r="G5611" i="166"/>
  <c r="E5611" i="166" s="1"/>
  <c r="D5611" i="166"/>
  <c r="A5611" i="166"/>
  <c r="B5611" i="166" s="1"/>
  <c r="E5610" i="166"/>
  <c r="D5610" i="166"/>
  <c r="B5610" i="166"/>
  <c r="H5608" i="166"/>
  <c r="G5608" i="166"/>
  <c r="E5608" i="166" s="1"/>
  <c r="D5608" i="166"/>
  <c r="A5608" i="166"/>
  <c r="B5608" i="166" s="1"/>
  <c r="E5607" i="166"/>
  <c r="D5607" i="166"/>
  <c r="B5607" i="166"/>
  <c r="H5605" i="166"/>
  <c r="G5605" i="166"/>
  <c r="E5605" i="166" s="1"/>
  <c r="D5605" i="166"/>
  <c r="A5605" i="166"/>
  <c r="B5605" i="166" s="1"/>
  <c r="E5604" i="166"/>
  <c r="D5604" i="166"/>
  <c r="B5604" i="166"/>
  <c r="H5602" i="166"/>
  <c r="G5602" i="166"/>
  <c r="E5602" i="166" s="1"/>
  <c r="D5602" i="166"/>
  <c r="A5602" i="166"/>
  <c r="B5602" i="166" s="1"/>
  <c r="E5601" i="166"/>
  <c r="D5601" i="166"/>
  <c r="B5601" i="166"/>
  <c r="B5796" i="167" l="1"/>
  <c r="B5794" i="167"/>
  <c r="A5717" i="166"/>
  <c r="B5716" i="166"/>
  <c r="A5666" i="166"/>
  <c r="B5666" i="166" s="1"/>
  <c r="B5669" i="166"/>
  <c r="B5797" i="167" l="1"/>
  <c r="B5799" i="167"/>
  <c r="B5717" i="166"/>
  <c r="A5719" i="166"/>
  <c r="H5599" i="166"/>
  <c r="G5599" i="166"/>
  <c r="E5599" i="166" s="1"/>
  <c r="D5599" i="166"/>
  <c r="A5599" i="166"/>
  <c r="B5599" i="166" s="1"/>
  <c r="E5598" i="166"/>
  <c r="D5598" i="166"/>
  <c r="B5598" i="166"/>
  <c r="H5596" i="166"/>
  <c r="G5596" i="166"/>
  <c r="E5596" i="166" s="1"/>
  <c r="D5596" i="166"/>
  <c r="A5596" i="166"/>
  <c r="B5596" i="166" s="1"/>
  <c r="E5595" i="166"/>
  <c r="D5595" i="166"/>
  <c r="B5595" i="166"/>
  <c r="H5593" i="166"/>
  <c r="G5593" i="166"/>
  <c r="E5593" i="166" s="1"/>
  <c r="D5593" i="166"/>
  <c r="A5593" i="166"/>
  <c r="B5593" i="166" s="1"/>
  <c r="E5592" i="166"/>
  <c r="D5592" i="166"/>
  <c r="B5592" i="166"/>
  <c r="H5590" i="166"/>
  <c r="G5590" i="166"/>
  <c r="E5590" i="166" s="1"/>
  <c r="D5590" i="166"/>
  <c r="A5590" i="166"/>
  <c r="B5590" i="166" s="1"/>
  <c r="E5589" i="166"/>
  <c r="D5589" i="166"/>
  <c r="B5589" i="166"/>
  <c r="H5587" i="166"/>
  <c r="G5587" i="166"/>
  <c r="E5587" i="166" s="1"/>
  <c r="D5587" i="166"/>
  <c r="A5587" i="166"/>
  <c r="B5587" i="166" s="1"/>
  <c r="E5586" i="166"/>
  <c r="D5586" i="166"/>
  <c r="B5586" i="166"/>
  <c r="H5584" i="166"/>
  <c r="G5584" i="166"/>
  <c r="E5584" i="166" s="1"/>
  <c r="D5584" i="166"/>
  <c r="A5584" i="166"/>
  <c r="B5584" i="166" s="1"/>
  <c r="E5583" i="166"/>
  <c r="D5583" i="166"/>
  <c r="B5583" i="166"/>
  <c r="H5581" i="166"/>
  <c r="G5581" i="166"/>
  <c r="E5581" i="166" s="1"/>
  <c r="D5581" i="166"/>
  <c r="A5581" i="166"/>
  <c r="B5581" i="166" s="1"/>
  <c r="E5580" i="166"/>
  <c r="D5580" i="166"/>
  <c r="B5580" i="166"/>
  <c r="H5578" i="166"/>
  <c r="G5578" i="166"/>
  <c r="E5578" i="166" s="1"/>
  <c r="D5578" i="166"/>
  <c r="A5578" i="166"/>
  <c r="B5578" i="166" s="1"/>
  <c r="E5577" i="166"/>
  <c r="D5577" i="166"/>
  <c r="B5577" i="166"/>
  <c r="B5802" i="167" l="1"/>
  <c r="B5803" i="167" s="1"/>
  <c r="B5800" i="167"/>
  <c r="A5720" i="166"/>
  <c r="B5720" i="166" s="1"/>
  <c r="B5719" i="166"/>
  <c r="H5575" i="166"/>
  <c r="G5575" i="166"/>
  <c r="E5575" i="166" s="1"/>
  <c r="D5575" i="166"/>
  <c r="A5575" i="166"/>
  <c r="B5575" i="166" s="1"/>
  <c r="E5574" i="166"/>
  <c r="D5574" i="166"/>
  <c r="B5574" i="166"/>
  <c r="H5572" i="166"/>
  <c r="G5572" i="166"/>
  <c r="E5572" i="166" s="1"/>
  <c r="D5572" i="166"/>
  <c r="A5572" i="166"/>
  <c r="B5572" i="166" s="1"/>
  <c r="E5571" i="166"/>
  <c r="D5571" i="166"/>
  <c r="B5571" i="166"/>
  <c r="H5569" i="166"/>
  <c r="G5569" i="166"/>
  <c r="E5569" i="166" s="1"/>
  <c r="D5569" i="166"/>
  <c r="A5569" i="166"/>
  <c r="B5569" i="166" s="1"/>
  <c r="E5568" i="166"/>
  <c r="D5568" i="166"/>
  <c r="B5568" i="166"/>
  <c r="H5566" i="166"/>
  <c r="G5566" i="166"/>
  <c r="E5566" i="166" s="1"/>
  <c r="D5566" i="166"/>
  <c r="A5566" i="166"/>
  <c r="B5566" i="166" s="1"/>
  <c r="E5565" i="166"/>
  <c r="D5565" i="166"/>
  <c r="B5565" i="166"/>
  <c r="H5563" i="166"/>
  <c r="G5563" i="166"/>
  <c r="E5563" i="166" s="1"/>
  <c r="D5563" i="166"/>
  <c r="A5563" i="166"/>
  <c r="B5563" i="166" s="1"/>
  <c r="E5562" i="166"/>
  <c r="D5562" i="166"/>
  <c r="B5562" i="166"/>
  <c r="H5560" i="166"/>
  <c r="G5560" i="166"/>
  <c r="E5560" i="166" s="1"/>
  <c r="D5560" i="166"/>
  <c r="A5560" i="166"/>
  <c r="B5560" i="166" s="1"/>
  <c r="E5559" i="166"/>
  <c r="D5559" i="166"/>
  <c r="B5559" i="166"/>
  <c r="H5557" i="166"/>
  <c r="G5557" i="166"/>
  <c r="E5557" i="166" s="1"/>
  <c r="D5557" i="166"/>
  <c r="A5557" i="166"/>
  <c r="B5557" i="166" s="1"/>
  <c r="E5556" i="166"/>
  <c r="D5556" i="166"/>
  <c r="B5556" i="166"/>
  <c r="H5554" i="166"/>
  <c r="G5554" i="166"/>
  <c r="E5554" i="166" s="1"/>
  <c r="D5554" i="166"/>
  <c r="A5554" i="166"/>
  <c r="B5554" i="166" s="1"/>
  <c r="E5553" i="166"/>
  <c r="D5553" i="166"/>
  <c r="B5553" i="166"/>
  <c r="H5551" i="166"/>
  <c r="G5551" i="166"/>
  <c r="E5551" i="166" s="1"/>
  <c r="D5551" i="166"/>
  <c r="A5551" i="166"/>
  <c r="B5551" i="166" s="1"/>
  <c r="E5550" i="166"/>
  <c r="D5550" i="166"/>
  <c r="B5550" i="166"/>
  <c r="H5548" i="166"/>
  <c r="G5548" i="166"/>
  <c r="E5548" i="166" s="1"/>
  <c r="D5548" i="166"/>
  <c r="A5548" i="166"/>
  <c r="B5548" i="166" s="1"/>
  <c r="E5547" i="166"/>
  <c r="D5547" i="166"/>
  <c r="B5547" i="166"/>
  <c r="H5545" i="166"/>
  <c r="G5545" i="166"/>
  <c r="E5545" i="166" s="1"/>
  <c r="D5545" i="166"/>
  <c r="A5545" i="166"/>
  <c r="B5545" i="166" s="1"/>
  <c r="E5544" i="166"/>
  <c r="D5544" i="166"/>
  <c r="B5544" i="166"/>
  <c r="E5542" i="166"/>
  <c r="D5542" i="166"/>
  <c r="H5541" i="166"/>
  <c r="H5542" i="166" s="1"/>
  <c r="E5541" i="166"/>
  <c r="D5541" i="166"/>
  <c r="A5541" i="166"/>
  <c r="A5542" i="166" s="1"/>
  <c r="B5542" i="166" s="1"/>
  <c r="F5540" i="166"/>
  <c r="E5540" i="166" s="1"/>
  <c r="D5540" i="166"/>
  <c r="B5540" i="166"/>
  <c r="E5538" i="166"/>
  <c r="D5538" i="166"/>
  <c r="H5537" i="166"/>
  <c r="H5538" i="166" s="1"/>
  <c r="E5537" i="166"/>
  <c r="D5537" i="166"/>
  <c r="A5537" i="166"/>
  <c r="A5538" i="166" s="1"/>
  <c r="B5538" i="166" s="1"/>
  <c r="F5536" i="166"/>
  <c r="E5536" i="166" s="1"/>
  <c r="D5536" i="166"/>
  <c r="B5536" i="166"/>
  <c r="E5534" i="166"/>
  <c r="D5534" i="166"/>
  <c r="H5533" i="166"/>
  <c r="H5534" i="166" s="1"/>
  <c r="D5533" i="166"/>
  <c r="A5533" i="166"/>
  <c r="B5533" i="166" s="1"/>
  <c r="D5532" i="166"/>
  <c r="B5532" i="166"/>
  <c r="H5530" i="166"/>
  <c r="G5530" i="166"/>
  <c r="E5530" i="166" s="1"/>
  <c r="D5530" i="166"/>
  <c r="A5530" i="166"/>
  <c r="B5530" i="166" s="1"/>
  <c r="E5529" i="166"/>
  <c r="D5529" i="166"/>
  <c r="B5529" i="166"/>
  <c r="H5527" i="166"/>
  <c r="G5527" i="166"/>
  <c r="E5527" i="166" s="1"/>
  <c r="D5527" i="166"/>
  <c r="A5527" i="166"/>
  <c r="B5527" i="166" s="1"/>
  <c r="E5526" i="166"/>
  <c r="D5526" i="166"/>
  <c r="B5526" i="166"/>
  <c r="H5524" i="166"/>
  <c r="G5524" i="166"/>
  <c r="E5524" i="166" s="1"/>
  <c r="D5524" i="166"/>
  <c r="A5524" i="166"/>
  <c r="B5524" i="166" s="1"/>
  <c r="E5523" i="166"/>
  <c r="D5523" i="166"/>
  <c r="B5523" i="166"/>
  <c r="H5521" i="166"/>
  <c r="G5521" i="166"/>
  <c r="E5521" i="166" s="1"/>
  <c r="D5521" i="166"/>
  <c r="A5521" i="166"/>
  <c r="B5521" i="166" s="1"/>
  <c r="E5520" i="166"/>
  <c r="D5520" i="166"/>
  <c r="B5520" i="166"/>
  <c r="H5518" i="166"/>
  <c r="G5518" i="166"/>
  <c r="E5518" i="166" s="1"/>
  <c r="D5518" i="166"/>
  <c r="A5518" i="166"/>
  <c r="B5518" i="166" s="1"/>
  <c r="E5517" i="166"/>
  <c r="D5517" i="166"/>
  <c r="B5517" i="166"/>
  <c r="H5515" i="166"/>
  <c r="G5515" i="166"/>
  <c r="E5515" i="166" s="1"/>
  <c r="D5515" i="166"/>
  <c r="A5515" i="166"/>
  <c r="B5515" i="166" s="1"/>
  <c r="E5514" i="166"/>
  <c r="D5514" i="166"/>
  <c r="B5514" i="166"/>
  <c r="H5512" i="166"/>
  <c r="G5512" i="166"/>
  <c r="E5512" i="166" s="1"/>
  <c r="D5512" i="166"/>
  <c r="A5512" i="166"/>
  <c r="B5512" i="166" s="1"/>
  <c r="E5511" i="166"/>
  <c r="D5511" i="166"/>
  <c r="B5511" i="166"/>
  <c r="H5509" i="166"/>
  <c r="G5509" i="166"/>
  <c r="E5509" i="166" s="1"/>
  <c r="D5509" i="166"/>
  <c r="A5509" i="166"/>
  <c r="B5509" i="166" s="1"/>
  <c r="E5508" i="166"/>
  <c r="D5508" i="166"/>
  <c r="B5508" i="166"/>
  <c r="H5506" i="166"/>
  <c r="G5506" i="166"/>
  <c r="E5506" i="166" s="1"/>
  <c r="D5506" i="166"/>
  <c r="A5506" i="166"/>
  <c r="B5506" i="166" s="1"/>
  <c r="E5505" i="166"/>
  <c r="D5505" i="166"/>
  <c r="B5505" i="166"/>
  <c r="H5503" i="166"/>
  <c r="G5503" i="166"/>
  <c r="E5503" i="166" s="1"/>
  <c r="D5503" i="166"/>
  <c r="A5503" i="166"/>
  <c r="B5503" i="166" s="1"/>
  <c r="E5502" i="166"/>
  <c r="D5502" i="166"/>
  <c r="B5502" i="166"/>
  <c r="H5500" i="166"/>
  <c r="G5500" i="166"/>
  <c r="E5500" i="166" s="1"/>
  <c r="D5500" i="166"/>
  <c r="A5500" i="166"/>
  <c r="B5500" i="166" s="1"/>
  <c r="E5499" i="166"/>
  <c r="D5499" i="166"/>
  <c r="B5499" i="166"/>
  <c r="H5497" i="166"/>
  <c r="G5497" i="166"/>
  <c r="E5497" i="166" s="1"/>
  <c r="D5497" i="166"/>
  <c r="A5497" i="166"/>
  <c r="B5497" i="166" s="1"/>
  <c r="E5496" i="166"/>
  <c r="D5496" i="166"/>
  <c r="B5496" i="166"/>
  <c r="H5494" i="166"/>
  <c r="G5494" i="166"/>
  <c r="E5494" i="166" s="1"/>
  <c r="D5494" i="166"/>
  <c r="A5494" i="166"/>
  <c r="B5494" i="166" s="1"/>
  <c r="E5493" i="166"/>
  <c r="D5493" i="166"/>
  <c r="B5493" i="166"/>
  <c r="H5491" i="166"/>
  <c r="G5491" i="166"/>
  <c r="E5491" i="166" s="1"/>
  <c r="D5491" i="166"/>
  <c r="A5491" i="166"/>
  <c r="B5491" i="166" s="1"/>
  <c r="E5490" i="166"/>
  <c r="D5490" i="166"/>
  <c r="B5490" i="166"/>
  <c r="H5488" i="166"/>
  <c r="G5488" i="166"/>
  <c r="E5488" i="166" s="1"/>
  <c r="D5488" i="166"/>
  <c r="A5488" i="166"/>
  <c r="B5488" i="166" s="1"/>
  <c r="E5487" i="166"/>
  <c r="D5487" i="166"/>
  <c r="B5487" i="166"/>
  <c r="H5485" i="166"/>
  <c r="G5485" i="166"/>
  <c r="E5485" i="166" s="1"/>
  <c r="D5485" i="166"/>
  <c r="A5485" i="166"/>
  <c r="B5485" i="166" s="1"/>
  <c r="E5484" i="166"/>
  <c r="D5484" i="166"/>
  <c r="B5484" i="166"/>
  <c r="H5482" i="166"/>
  <c r="G5482" i="166"/>
  <c r="E5482" i="166" s="1"/>
  <c r="D5482" i="166"/>
  <c r="A5482" i="166"/>
  <c r="B5482" i="166" s="1"/>
  <c r="E5481" i="166"/>
  <c r="D5481" i="166"/>
  <c r="B5481" i="166"/>
  <c r="H5479" i="166"/>
  <c r="G5479" i="166"/>
  <c r="E5479" i="166" s="1"/>
  <c r="D5479" i="166"/>
  <c r="A5479" i="166"/>
  <c r="B5479" i="166" s="1"/>
  <c r="E5478" i="166"/>
  <c r="D5478" i="166"/>
  <c r="B5478" i="166"/>
  <c r="H5476" i="166"/>
  <c r="G5476" i="166"/>
  <c r="E5476" i="166" s="1"/>
  <c r="D5476" i="166"/>
  <c r="A5476" i="166"/>
  <c r="B5476" i="166" s="1"/>
  <c r="E5475" i="166"/>
  <c r="D5475" i="166"/>
  <c r="B5475" i="166"/>
  <c r="H5473" i="166"/>
  <c r="G5473" i="166"/>
  <c r="E5473" i="166" s="1"/>
  <c r="D5473" i="166"/>
  <c r="A5473" i="166"/>
  <c r="B5473" i="166" s="1"/>
  <c r="E5472" i="166"/>
  <c r="D5472" i="166"/>
  <c r="B5472" i="166"/>
  <c r="H5470" i="166"/>
  <c r="G5470" i="166"/>
  <c r="E5470" i="166" s="1"/>
  <c r="D5470" i="166"/>
  <c r="A5470" i="166"/>
  <c r="B5470" i="166" s="1"/>
  <c r="E5469" i="166"/>
  <c r="D5469" i="166"/>
  <c r="B5469" i="166"/>
  <c r="H5467" i="166"/>
  <c r="G5467" i="166"/>
  <c r="E5467" i="166" s="1"/>
  <c r="D5467" i="166"/>
  <c r="A5467" i="166"/>
  <c r="B5467" i="166" s="1"/>
  <c r="E5466" i="166"/>
  <c r="D5466" i="166"/>
  <c r="B5466" i="166"/>
  <c r="H5464" i="166"/>
  <c r="G5464" i="166"/>
  <c r="E5464" i="166" s="1"/>
  <c r="D5464" i="166"/>
  <c r="A5464" i="166"/>
  <c r="B5464" i="166" s="1"/>
  <c r="E5463" i="166"/>
  <c r="D5463" i="166"/>
  <c r="B5463" i="166"/>
  <c r="H5461" i="166"/>
  <c r="G5461" i="166"/>
  <c r="E5461" i="166" s="1"/>
  <c r="D5461" i="166"/>
  <c r="A5461" i="166"/>
  <c r="B5461" i="166" s="1"/>
  <c r="E5460" i="166"/>
  <c r="D5460" i="166"/>
  <c r="B5460" i="166"/>
  <c r="H5458" i="166"/>
  <c r="G5458" i="166"/>
  <c r="E5458" i="166" s="1"/>
  <c r="D5458" i="166"/>
  <c r="A5458" i="166"/>
  <c r="B5458" i="166" s="1"/>
  <c r="E5457" i="166"/>
  <c r="D5457" i="166"/>
  <c r="B5457" i="166"/>
  <c r="H5455" i="166"/>
  <c r="G5455" i="166"/>
  <c r="E5455" i="166" s="1"/>
  <c r="D5455" i="166"/>
  <c r="A5455" i="166"/>
  <c r="B5455" i="166" s="1"/>
  <c r="E5454" i="166"/>
  <c r="D5454" i="166"/>
  <c r="B5454" i="166"/>
  <c r="H5452" i="166"/>
  <c r="G5452" i="166"/>
  <c r="E5452" i="166" s="1"/>
  <c r="D5452" i="166"/>
  <c r="A5452" i="166"/>
  <c r="B5452" i="166" s="1"/>
  <c r="E5451" i="166"/>
  <c r="D5451" i="166"/>
  <c r="B5451" i="166"/>
  <c r="H5449" i="166"/>
  <c r="G5449" i="166"/>
  <c r="E5449" i="166" s="1"/>
  <c r="D5449" i="166"/>
  <c r="A5449" i="166"/>
  <c r="B5449" i="166" s="1"/>
  <c r="E5448" i="166"/>
  <c r="D5448" i="166"/>
  <c r="B5448" i="166"/>
  <c r="H5446" i="166"/>
  <c r="G5446" i="166"/>
  <c r="E5446" i="166" s="1"/>
  <c r="D5446" i="166"/>
  <c r="A5446" i="166"/>
  <c r="B5446" i="166" s="1"/>
  <c r="E5445" i="166"/>
  <c r="D5445" i="166"/>
  <c r="B5445" i="166"/>
  <c r="H5443" i="166"/>
  <c r="G5443" i="166"/>
  <c r="E5443" i="166" s="1"/>
  <c r="D5443" i="166"/>
  <c r="A5443" i="166"/>
  <c r="B5443" i="166" s="1"/>
  <c r="E5442" i="166"/>
  <c r="D5442" i="166"/>
  <c r="B5442" i="166"/>
  <c r="H5440" i="166"/>
  <c r="G5440" i="166"/>
  <c r="E5440" i="166" s="1"/>
  <c r="D5440" i="166"/>
  <c r="A5440" i="166"/>
  <c r="B5440" i="166" s="1"/>
  <c r="E5439" i="166"/>
  <c r="D5439" i="166"/>
  <c r="B5439" i="166"/>
  <c r="H5437" i="166"/>
  <c r="G5437" i="166"/>
  <c r="E5437" i="166" s="1"/>
  <c r="D5437" i="166"/>
  <c r="A5437" i="166"/>
  <c r="B5437" i="166" s="1"/>
  <c r="E5436" i="166"/>
  <c r="D5436" i="166"/>
  <c r="B5436" i="166"/>
  <c r="H5434" i="166"/>
  <c r="G5434" i="166"/>
  <c r="E5434" i="166" s="1"/>
  <c r="D5434" i="166"/>
  <c r="A5434" i="166"/>
  <c r="B5434" i="166" s="1"/>
  <c r="E5433" i="166"/>
  <c r="D5433" i="166"/>
  <c r="B5433" i="166"/>
  <c r="H5431" i="166"/>
  <c r="G5431" i="166"/>
  <c r="E5431" i="166" s="1"/>
  <c r="D5431" i="166"/>
  <c r="A5431" i="166"/>
  <c r="B5431" i="166" s="1"/>
  <c r="E5430" i="166"/>
  <c r="D5430" i="166"/>
  <c r="B5430" i="166"/>
  <c r="H5428" i="166"/>
  <c r="G5428" i="166"/>
  <c r="E5428" i="166" s="1"/>
  <c r="D5428" i="166"/>
  <c r="A5428" i="166"/>
  <c r="B5428" i="166" s="1"/>
  <c r="E5427" i="166"/>
  <c r="D5427" i="166"/>
  <c r="B5427" i="166"/>
  <c r="H5425" i="166"/>
  <c r="G5425" i="166"/>
  <c r="E5425" i="166" s="1"/>
  <c r="D5425" i="166"/>
  <c r="A5425" i="166"/>
  <c r="B5425" i="166" s="1"/>
  <c r="E5424" i="166"/>
  <c r="D5424" i="166"/>
  <c r="B5424" i="166"/>
  <c r="H5422" i="166"/>
  <c r="G5422" i="166"/>
  <c r="E5422" i="166" s="1"/>
  <c r="D5422" i="166"/>
  <c r="A5422" i="166"/>
  <c r="B5422" i="166" s="1"/>
  <c r="E5421" i="166"/>
  <c r="D5421" i="166"/>
  <c r="B5421" i="166"/>
  <c r="H5419" i="166"/>
  <c r="G5419" i="166"/>
  <c r="E5419" i="166" s="1"/>
  <c r="D5419" i="166"/>
  <c r="A5419" i="166"/>
  <c r="B5419" i="166" s="1"/>
  <c r="E5418" i="166"/>
  <c r="D5418" i="166"/>
  <c r="B5418" i="166"/>
  <c r="H5416" i="166"/>
  <c r="G5416" i="166"/>
  <c r="E5416" i="166" s="1"/>
  <c r="D5416" i="166"/>
  <c r="A5416" i="166"/>
  <c r="B5416" i="166" s="1"/>
  <c r="E5415" i="166"/>
  <c r="D5415" i="166"/>
  <c r="B5415" i="166"/>
  <c r="H5413" i="166"/>
  <c r="G5413" i="166"/>
  <c r="E5413" i="166" s="1"/>
  <c r="D5413" i="166"/>
  <c r="A5413" i="166"/>
  <c r="B5413" i="166" s="1"/>
  <c r="E5412" i="166"/>
  <c r="D5412" i="166"/>
  <c r="B5412" i="166"/>
  <c r="H5410" i="166"/>
  <c r="G5410" i="166"/>
  <c r="E5410" i="166" s="1"/>
  <c r="D5410" i="166"/>
  <c r="A5410" i="166"/>
  <c r="B5410" i="166" s="1"/>
  <c r="E5409" i="166"/>
  <c r="D5409" i="166"/>
  <c r="B5409" i="166"/>
  <c r="H5407" i="166"/>
  <c r="G5407" i="166"/>
  <c r="E5407" i="166" s="1"/>
  <c r="D5407" i="166"/>
  <c r="A5407" i="166"/>
  <c r="B5407" i="166" s="1"/>
  <c r="E5406" i="166"/>
  <c r="D5406" i="166"/>
  <c r="B5406" i="166"/>
  <c r="H5404" i="166"/>
  <c r="G5404" i="166"/>
  <c r="E5404" i="166" s="1"/>
  <c r="D5404" i="166"/>
  <c r="A5404" i="166"/>
  <c r="B5404" i="166" s="1"/>
  <c r="E5403" i="166"/>
  <c r="D5403" i="166"/>
  <c r="B5403" i="166"/>
  <c r="G5401" i="166"/>
  <c r="E5401" i="166" s="1"/>
  <c r="H5401" i="166"/>
  <c r="D5401" i="166"/>
  <c r="A5401" i="166"/>
  <c r="B5401" i="166" s="1"/>
  <c r="E5400" i="166"/>
  <c r="D5400" i="166"/>
  <c r="B5400" i="166"/>
  <c r="E5396" i="166"/>
  <c r="E5398" i="166"/>
  <c r="D5398" i="166"/>
  <c r="B5398" i="166"/>
  <c r="H5397" i="166"/>
  <c r="H5398" i="166" s="1"/>
  <c r="E5397" i="166"/>
  <c r="D5397" i="166"/>
  <c r="A5397" i="166"/>
  <c r="B5397" i="166" s="1"/>
  <c r="D5396" i="166"/>
  <c r="B5396" i="166"/>
  <c r="E5393" i="166"/>
  <c r="D5393" i="166"/>
  <c r="B5393" i="166"/>
  <c r="E5394" i="166"/>
  <c r="D5394" i="166"/>
  <c r="B5394" i="166"/>
  <c r="H5391" i="166"/>
  <c r="G5391" i="166"/>
  <c r="E5391" i="166" s="1"/>
  <c r="D5391" i="166"/>
  <c r="A5391" i="166"/>
  <c r="B5391" i="166" s="1"/>
  <c r="E5390" i="166"/>
  <c r="D5390" i="166"/>
  <c r="B5390" i="166"/>
  <c r="H5388" i="166"/>
  <c r="G5388" i="166"/>
  <c r="E5388" i="166" s="1"/>
  <c r="D5388" i="166"/>
  <c r="A5388" i="166"/>
  <c r="B5388" i="166" s="1"/>
  <c r="E5387" i="166"/>
  <c r="D5387" i="166"/>
  <c r="B5387" i="166"/>
  <c r="H5385" i="166"/>
  <c r="G5385" i="166"/>
  <c r="E5385" i="166" s="1"/>
  <c r="D5385" i="166"/>
  <c r="A5385" i="166"/>
  <c r="B5385" i="166" s="1"/>
  <c r="E5384" i="166"/>
  <c r="D5384" i="166"/>
  <c r="B5384" i="166"/>
  <c r="H5382" i="166"/>
  <c r="G5382" i="166"/>
  <c r="E5382" i="166" s="1"/>
  <c r="D5382" i="166"/>
  <c r="A5382" i="166"/>
  <c r="B5382" i="166" s="1"/>
  <c r="E5381" i="166"/>
  <c r="D5381" i="166"/>
  <c r="B5381" i="166"/>
  <c r="H5379" i="166"/>
  <c r="G5379" i="166"/>
  <c r="E5379" i="166" s="1"/>
  <c r="D5379" i="166"/>
  <c r="A5379" i="166"/>
  <c r="B5379" i="166" s="1"/>
  <c r="E5378" i="166"/>
  <c r="D5378" i="166"/>
  <c r="B5378" i="166"/>
  <c r="H5376" i="166"/>
  <c r="G5376" i="166"/>
  <c r="E5376" i="166" s="1"/>
  <c r="D5376" i="166"/>
  <c r="A5376" i="166"/>
  <c r="B5376" i="166" s="1"/>
  <c r="E5375" i="166"/>
  <c r="D5375" i="166"/>
  <c r="B5375" i="166"/>
  <c r="H5373" i="166"/>
  <c r="G5373" i="166"/>
  <c r="E5373" i="166" s="1"/>
  <c r="D5373" i="166"/>
  <c r="A5373" i="166"/>
  <c r="B5373" i="166" s="1"/>
  <c r="E5372" i="166"/>
  <c r="D5372" i="166"/>
  <c r="B5372" i="166"/>
  <c r="H5370" i="166"/>
  <c r="G5370" i="166"/>
  <c r="E5370" i="166" s="1"/>
  <c r="D5370" i="166"/>
  <c r="A5370" i="166"/>
  <c r="B5370" i="166" s="1"/>
  <c r="E5369" i="166"/>
  <c r="D5369" i="166"/>
  <c r="B5369" i="166"/>
  <c r="H5367" i="166"/>
  <c r="G5367" i="166"/>
  <c r="E5367" i="166" s="1"/>
  <c r="D5367" i="166"/>
  <c r="A5367" i="166"/>
  <c r="B5367" i="166" s="1"/>
  <c r="E5366" i="166"/>
  <c r="D5366" i="166"/>
  <c r="B5366" i="166"/>
  <c r="H5364" i="166"/>
  <c r="G5364" i="166"/>
  <c r="E5364" i="166" s="1"/>
  <c r="D5364" i="166"/>
  <c r="A5364" i="166"/>
  <c r="B5364" i="166" s="1"/>
  <c r="E5363" i="166"/>
  <c r="D5363" i="166"/>
  <c r="B5363" i="166"/>
  <c r="H5361" i="166"/>
  <c r="G5361" i="166"/>
  <c r="E5361" i="166" s="1"/>
  <c r="D5361" i="166"/>
  <c r="A5361" i="166"/>
  <c r="B5361" i="166" s="1"/>
  <c r="E5360" i="166"/>
  <c r="D5360" i="166"/>
  <c r="B5360" i="166"/>
  <c r="H5358" i="166"/>
  <c r="G5358" i="166"/>
  <c r="E5358" i="166" s="1"/>
  <c r="D5358" i="166"/>
  <c r="A5358" i="166"/>
  <c r="B5358" i="166" s="1"/>
  <c r="E5357" i="166"/>
  <c r="D5357" i="166"/>
  <c r="B5357" i="166"/>
  <c r="H5355" i="166"/>
  <c r="G5355" i="166"/>
  <c r="E5355" i="166" s="1"/>
  <c r="D5355" i="166"/>
  <c r="A5355" i="166"/>
  <c r="B5355" i="166" s="1"/>
  <c r="E5354" i="166"/>
  <c r="D5354" i="166"/>
  <c r="B5354" i="166"/>
  <c r="H5352" i="166"/>
  <c r="G5352" i="166"/>
  <c r="E5352" i="166" s="1"/>
  <c r="D5352" i="166"/>
  <c r="A5352" i="166"/>
  <c r="B5352" i="166" s="1"/>
  <c r="E5351" i="166"/>
  <c r="D5351" i="166"/>
  <c r="B5351" i="166"/>
  <c r="H5349" i="166"/>
  <c r="G5349" i="166"/>
  <c r="E5349" i="166" s="1"/>
  <c r="D5349" i="166"/>
  <c r="A5349" i="166"/>
  <c r="B5349" i="166" s="1"/>
  <c r="E5348" i="166"/>
  <c r="D5348" i="166"/>
  <c r="B5348" i="166"/>
  <c r="H5346" i="166"/>
  <c r="G5346" i="166"/>
  <c r="E5346" i="166" s="1"/>
  <c r="D5346" i="166"/>
  <c r="A5346" i="166"/>
  <c r="B5346" i="166" s="1"/>
  <c r="E5345" i="166"/>
  <c r="D5345" i="166"/>
  <c r="B5345" i="166"/>
  <c r="H5343" i="166"/>
  <c r="G5343" i="166"/>
  <c r="E5343" i="166" s="1"/>
  <c r="D5343" i="166"/>
  <c r="A5343" i="166"/>
  <c r="B5343" i="166" s="1"/>
  <c r="E5342" i="166"/>
  <c r="D5342" i="166"/>
  <c r="B5342" i="166"/>
  <c r="H5340" i="166"/>
  <c r="G5340" i="166"/>
  <c r="E5340" i="166" s="1"/>
  <c r="D5340" i="166"/>
  <c r="A5340" i="166"/>
  <c r="B5340" i="166" s="1"/>
  <c r="E5339" i="166"/>
  <c r="D5339" i="166"/>
  <c r="B5339" i="166"/>
  <c r="H5337" i="166"/>
  <c r="G5337" i="166"/>
  <c r="E5337" i="166" s="1"/>
  <c r="D5337" i="166"/>
  <c r="A5337" i="166"/>
  <c r="B5337" i="166" s="1"/>
  <c r="E5336" i="166"/>
  <c r="D5336" i="166"/>
  <c r="B5336" i="166"/>
  <c r="H5334" i="166"/>
  <c r="G5334" i="166"/>
  <c r="E5334" i="166" s="1"/>
  <c r="D5334" i="166"/>
  <c r="A5334" i="166"/>
  <c r="B5334" i="166" s="1"/>
  <c r="E5333" i="166"/>
  <c r="D5333" i="166"/>
  <c r="B5333" i="166"/>
  <c r="H5331" i="166"/>
  <c r="G5331" i="166"/>
  <c r="E5331" i="166" s="1"/>
  <c r="D5331" i="166"/>
  <c r="A5331" i="166"/>
  <c r="B5331" i="166" s="1"/>
  <c r="E5330" i="166"/>
  <c r="D5330" i="166"/>
  <c r="B5330" i="166"/>
  <c r="H5328" i="166"/>
  <c r="G5328" i="166"/>
  <c r="E5328" i="166" s="1"/>
  <c r="D5328" i="166"/>
  <c r="A5328" i="166"/>
  <c r="B5328" i="166" s="1"/>
  <c r="E5327" i="166"/>
  <c r="D5327" i="166"/>
  <c r="B5327" i="166"/>
  <c r="H5325" i="166"/>
  <c r="G5325" i="166"/>
  <c r="E5325" i="166" s="1"/>
  <c r="D5325" i="166"/>
  <c r="A5325" i="166"/>
  <c r="B5325" i="166" s="1"/>
  <c r="E5324" i="166"/>
  <c r="D5324" i="166"/>
  <c r="B5324" i="166"/>
  <c r="H5322" i="166"/>
  <c r="G5322" i="166"/>
  <c r="E5322" i="166" s="1"/>
  <c r="D5322" i="166"/>
  <c r="A5322" i="166"/>
  <c r="B5322" i="166" s="1"/>
  <c r="E5321" i="166"/>
  <c r="D5321" i="166"/>
  <c r="B5321" i="166"/>
  <c r="H5319" i="166"/>
  <c r="G5319" i="166"/>
  <c r="E5319" i="166" s="1"/>
  <c r="D5319" i="166"/>
  <c r="A5319" i="166"/>
  <c r="B5319" i="166" s="1"/>
  <c r="E5318" i="166"/>
  <c r="D5318" i="166"/>
  <c r="B5318" i="166"/>
  <c r="H5316" i="166"/>
  <c r="G5316" i="166"/>
  <c r="E5316" i="166" s="1"/>
  <c r="D5316" i="166"/>
  <c r="A5316" i="166"/>
  <c r="B5316" i="166" s="1"/>
  <c r="E5315" i="166"/>
  <c r="D5315" i="166"/>
  <c r="B5315" i="166"/>
  <c r="H5313" i="166"/>
  <c r="G5313" i="166"/>
  <c r="E5313" i="166" s="1"/>
  <c r="D5313" i="166"/>
  <c r="A5313" i="166"/>
  <c r="B5313" i="166" s="1"/>
  <c r="E5312" i="166"/>
  <c r="D5312" i="166"/>
  <c r="B5312" i="166"/>
  <c r="H5310" i="166"/>
  <c r="G5310" i="166"/>
  <c r="E5310" i="166" s="1"/>
  <c r="D5310" i="166"/>
  <c r="A5310" i="166"/>
  <c r="B5310" i="166" s="1"/>
  <c r="E5309" i="166"/>
  <c r="D5309" i="166"/>
  <c r="B5309" i="166"/>
  <c r="H5307" i="166"/>
  <c r="G5307" i="166"/>
  <c r="E5307" i="166" s="1"/>
  <c r="D5307" i="166"/>
  <c r="A5307" i="166"/>
  <c r="B5307" i="166" s="1"/>
  <c r="E5306" i="166"/>
  <c r="D5306" i="166"/>
  <c r="B5306" i="166"/>
  <c r="H5304" i="166"/>
  <c r="G5304" i="166"/>
  <c r="E5304" i="166" s="1"/>
  <c r="D5304" i="166"/>
  <c r="A5304" i="166"/>
  <c r="B5304" i="166" s="1"/>
  <c r="E5303" i="166"/>
  <c r="D5303" i="166"/>
  <c r="B5303" i="166"/>
  <c r="A5534" i="166" l="1"/>
  <c r="B5534" i="166" s="1"/>
  <c r="B5541" i="166"/>
  <c r="B5537" i="166"/>
  <c r="H4703" i="167" l="1"/>
  <c r="D4703" i="167"/>
  <c r="E4702" i="167"/>
  <c r="D4702" i="167"/>
  <c r="G4700" i="167"/>
  <c r="D4700" i="167"/>
  <c r="E4699" i="167"/>
  <c r="D4699" i="167"/>
  <c r="G4697" i="167"/>
  <c r="E4697" i="167" s="1"/>
  <c r="D4697" i="167"/>
  <c r="E4696" i="167"/>
  <c r="D4696" i="167"/>
  <c r="G4694" i="167"/>
  <c r="E4694" i="167" s="1"/>
  <c r="D4694" i="167"/>
  <c r="E4693" i="167"/>
  <c r="D4693" i="167"/>
  <c r="E4163" i="167"/>
  <c r="D4163" i="167"/>
  <c r="A4163" i="167"/>
  <c r="B4163" i="167" s="1"/>
  <c r="E4162" i="167"/>
  <c r="D4162" i="167"/>
  <c r="H4160" i="167"/>
  <c r="G4160" i="167"/>
  <c r="E4160" i="167" s="1"/>
  <c r="D4160" i="167"/>
  <c r="E4159" i="167"/>
  <c r="D4159" i="167"/>
  <c r="G4157" i="167"/>
  <c r="E4157" i="167" s="1"/>
  <c r="D4157" i="167"/>
  <c r="E4156" i="167"/>
  <c r="D4156" i="167"/>
  <c r="G4154" i="167"/>
  <c r="E4154" i="167" s="1"/>
  <c r="D4154" i="167"/>
  <c r="E4153" i="167"/>
  <c r="D4153" i="167"/>
  <c r="G4151" i="167"/>
  <c r="E4151" i="167" s="1"/>
  <c r="D4151" i="167"/>
  <c r="E4150" i="167"/>
  <c r="D4150" i="167"/>
  <c r="H3603" i="167"/>
  <c r="G3603" i="167"/>
  <c r="E3603" i="167" s="1"/>
  <c r="D3603" i="167"/>
  <c r="E3602" i="167"/>
  <c r="D3602" i="167"/>
  <c r="G3600" i="167"/>
  <c r="E3600" i="167" s="1"/>
  <c r="D3600" i="167"/>
  <c r="E3599" i="167"/>
  <c r="D3599" i="167"/>
  <c r="G3597" i="167"/>
  <c r="E3597" i="167" s="1"/>
  <c r="D3597" i="167"/>
  <c r="E3596" i="167"/>
  <c r="D3596" i="167"/>
  <c r="G3594" i="167"/>
  <c r="E3594" i="167" s="1"/>
  <c r="D3594" i="167"/>
  <c r="E3593" i="167"/>
  <c r="D3593" i="167"/>
  <c r="H3061" i="167"/>
  <c r="G3061" i="167"/>
  <c r="E3061" i="167" s="1"/>
  <c r="D3061" i="167"/>
  <c r="E3060" i="167"/>
  <c r="D3060" i="167"/>
  <c r="G3058" i="167"/>
  <c r="E3058" i="167" s="1"/>
  <c r="D3058" i="167"/>
  <c r="E3057" i="167"/>
  <c r="D3057" i="167"/>
  <c r="G3055" i="167"/>
  <c r="E3055" i="167" s="1"/>
  <c r="D3055" i="167"/>
  <c r="E3054" i="167"/>
  <c r="D3054" i="167"/>
  <c r="G3052" i="167"/>
  <c r="E3052" i="167" s="1"/>
  <c r="D3052" i="167"/>
  <c r="E3051" i="167"/>
  <c r="D3051" i="167"/>
  <c r="H2515" i="167"/>
  <c r="G2515" i="167"/>
  <c r="E2515" i="167" s="1"/>
  <c r="D2515" i="167"/>
  <c r="E2514" i="167"/>
  <c r="D2514" i="167"/>
  <c r="G2512" i="167"/>
  <c r="E2512" i="167" s="1"/>
  <c r="D2512" i="167"/>
  <c r="E2511" i="167"/>
  <c r="D2511" i="167"/>
  <c r="G2509" i="167"/>
  <c r="E2509" i="167" s="1"/>
  <c r="D2509" i="167"/>
  <c r="E2508" i="167"/>
  <c r="D2508" i="167"/>
  <c r="G2506" i="167"/>
  <c r="E2506" i="167" s="1"/>
  <c r="D2506" i="167"/>
  <c r="E2505" i="167"/>
  <c r="D2505" i="167"/>
  <c r="H1997" i="167"/>
  <c r="G1997" i="167"/>
  <c r="E1997" i="167" s="1"/>
  <c r="D1997" i="167"/>
  <c r="E1996" i="167"/>
  <c r="D1996" i="167"/>
  <c r="G1994" i="167"/>
  <c r="E1994" i="167" s="1"/>
  <c r="D1994" i="167"/>
  <c r="E1993" i="167"/>
  <c r="D1993" i="167"/>
  <c r="G1991" i="167"/>
  <c r="E1991" i="167" s="1"/>
  <c r="D1991" i="167"/>
  <c r="E1990" i="167"/>
  <c r="D1990" i="167"/>
  <c r="G1988" i="167"/>
  <c r="E1988" i="167" s="1"/>
  <c r="D1988" i="167"/>
  <c r="E1987" i="167"/>
  <c r="D1987" i="167"/>
  <c r="H1494" i="167"/>
  <c r="G1494" i="167"/>
  <c r="E1494" i="167" s="1"/>
  <c r="D1494" i="167"/>
  <c r="E1493" i="167"/>
  <c r="D1493" i="167"/>
  <c r="G1491" i="167"/>
  <c r="E1491" i="167" s="1"/>
  <c r="D1491" i="167"/>
  <c r="E1490" i="167"/>
  <c r="D1490" i="167"/>
  <c r="G1488" i="167"/>
  <c r="E1488" i="167" s="1"/>
  <c r="D1488" i="167"/>
  <c r="E1487" i="167"/>
  <c r="D1487" i="167"/>
  <c r="G1485" i="167"/>
  <c r="E1485" i="167" s="1"/>
  <c r="D1485" i="167"/>
  <c r="E1484" i="167"/>
  <c r="D1484" i="167"/>
  <c r="G913" i="167"/>
  <c r="E913" i="167" s="1"/>
  <c r="D913" i="167"/>
  <c r="E912" i="167"/>
  <c r="D912" i="167"/>
  <c r="G910" i="167"/>
  <c r="E910" i="167" s="1"/>
  <c r="D910" i="167"/>
  <c r="E909" i="167"/>
  <c r="D909" i="167"/>
  <c r="G907" i="167"/>
  <c r="E907" i="167" s="1"/>
  <c r="D907" i="167"/>
  <c r="E906" i="167"/>
  <c r="D906" i="167"/>
  <c r="F4700" i="167" l="1"/>
  <c r="G4703" i="167" s="1"/>
  <c r="E4703" i="167" s="1"/>
  <c r="G3863" i="167"/>
  <c r="E3863" i="167" s="1"/>
  <c r="D3863" i="167"/>
  <c r="B3863" i="167"/>
  <c r="E4418" i="167"/>
  <c r="D4418" i="167"/>
  <c r="B4418" i="167"/>
  <c r="H4587" i="167"/>
  <c r="G4587" i="167"/>
  <c r="E4587" i="167" s="1"/>
  <c r="D4587" i="167"/>
  <c r="E4586" i="167"/>
  <c r="D4586" i="167"/>
  <c r="B4586" i="167"/>
  <c r="G1219" i="167"/>
  <c r="E1219" i="167" s="1"/>
  <c r="D1219" i="167"/>
  <c r="E1218" i="167"/>
  <c r="D1218" i="167"/>
  <c r="B1218" i="167"/>
  <c r="G1216" i="167"/>
  <c r="E1216" i="167" s="1"/>
  <c r="D1216" i="167"/>
  <c r="E1215" i="167"/>
  <c r="D1215" i="167"/>
  <c r="B1215" i="167"/>
  <c r="G4684" i="167"/>
  <c r="F5150" i="167" s="1"/>
  <c r="E4690" i="167"/>
  <c r="E4689" i="167"/>
  <c r="E4688" i="167"/>
  <c r="E4687" i="167"/>
  <c r="E4686" i="167"/>
  <c r="D4691" i="167"/>
  <c r="D4690" i="167"/>
  <c r="D4689" i="167"/>
  <c r="D4688" i="167"/>
  <c r="D4687" i="167"/>
  <c r="D4686" i="167"/>
  <c r="H5297" i="166"/>
  <c r="H5294" i="166"/>
  <c r="H5291" i="166"/>
  <c r="H5288" i="166"/>
  <c r="H5285" i="166"/>
  <c r="H5282" i="166"/>
  <c r="H5279" i="166"/>
  <c r="H5276" i="166"/>
  <c r="H5273" i="166"/>
  <c r="H5270" i="166"/>
  <c r="H5267" i="166"/>
  <c r="H5264" i="166"/>
  <c r="H5258" i="166"/>
  <c r="H5261" i="166"/>
  <c r="H5255" i="166"/>
  <c r="H5252" i="166"/>
  <c r="G5297" i="166"/>
  <c r="E5297" i="166" s="1"/>
  <c r="D5297" i="166"/>
  <c r="A5297" i="166"/>
  <c r="B5297" i="166" s="1"/>
  <c r="E5296" i="166"/>
  <c r="D5296" i="166"/>
  <c r="B5296" i="166"/>
  <c r="G5294" i="166"/>
  <c r="E5294" i="166" s="1"/>
  <c r="D5294" i="166"/>
  <c r="A5294" i="166"/>
  <c r="B5294" i="166" s="1"/>
  <c r="E5293" i="166"/>
  <c r="D5293" i="166"/>
  <c r="B5293" i="166"/>
  <c r="G5291" i="166"/>
  <c r="E5291" i="166" s="1"/>
  <c r="D5291" i="166"/>
  <c r="A5291" i="166"/>
  <c r="B5291" i="166" s="1"/>
  <c r="E5290" i="166"/>
  <c r="D5290" i="166"/>
  <c r="B5290" i="166"/>
  <c r="G5288" i="166"/>
  <c r="E5288" i="166" s="1"/>
  <c r="D5288" i="166"/>
  <c r="A5288" i="166"/>
  <c r="B5288" i="166" s="1"/>
  <c r="E5287" i="166"/>
  <c r="D5287" i="166"/>
  <c r="B5287" i="166"/>
  <c r="G5285" i="166"/>
  <c r="E5285" i="166" s="1"/>
  <c r="D5285" i="166"/>
  <c r="A5285" i="166"/>
  <c r="B5285" i="166" s="1"/>
  <c r="E5284" i="166"/>
  <c r="D5284" i="166"/>
  <c r="B5284" i="166"/>
  <c r="G5282" i="166"/>
  <c r="E5282" i="166" s="1"/>
  <c r="D5282" i="166"/>
  <c r="A5282" i="166"/>
  <c r="B5282" i="166" s="1"/>
  <c r="E5281" i="166"/>
  <c r="D5281" i="166"/>
  <c r="B5281" i="166"/>
  <c r="G5279" i="166"/>
  <c r="E5279" i="166" s="1"/>
  <c r="D5279" i="166"/>
  <c r="A5279" i="166"/>
  <c r="B5279" i="166" s="1"/>
  <c r="E5278" i="166"/>
  <c r="D5278" i="166"/>
  <c r="B5278" i="166"/>
  <c r="G5276" i="166"/>
  <c r="E5276" i="166" s="1"/>
  <c r="D5276" i="166"/>
  <c r="A5276" i="166"/>
  <c r="B5276" i="166" s="1"/>
  <c r="E5275" i="166"/>
  <c r="D5275" i="166"/>
  <c r="B5275" i="166"/>
  <c r="G5273" i="166"/>
  <c r="E5273" i="166" s="1"/>
  <c r="D5273" i="166"/>
  <c r="A5273" i="166"/>
  <c r="B5273" i="166" s="1"/>
  <c r="E5272" i="166"/>
  <c r="D5272" i="166"/>
  <c r="B5272" i="166"/>
  <c r="G5270" i="166"/>
  <c r="E5270" i="166" s="1"/>
  <c r="D5270" i="166"/>
  <c r="A5270" i="166"/>
  <c r="B5270" i="166" s="1"/>
  <c r="E5269" i="166"/>
  <c r="D5269" i="166"/>
  <c r="B5269" i="166"/>
  <c r="G5267" i="166"/>
  <c r="E5267" i="166" s="1"/>
  <c r="D5267" i="166"/>
  <c r="A5267" i="166"/>
  <c r="B5267" i="166" s="1"/>
  <c r="E5266" i="166"/>
  <c r="D5266" i="166"/>
  <c r="B5266" i="166"/>
  <c r="G5264" i="166"/>
  <c r="E5264" i="166" s="1"/>
  <c r="D5264" i="166"/>
  <c r="A5264" i="166"/>
  <c r="B5264" i="166" s="1"/>
  <c r="E5263" i="166"/>
  <c r="D5263" i="166"/>
  <c r="B5263" i="166"/>
  <c r="G5261" i="166"/>
  <c r="E5261" i="166" s="1"/>
  <c r="D5261" i="166"/>
  <c r="A5261" i="166"/>
  <c r="B5261" i="166" s="1"/>
  <c r="E5260" i="166"/>
  <c r="D5260" i="166"/>
  <c r="B5260" i="166"/>
  <c r="G5258" i="166"/>
  <c r="E5258" i="166" s="1"/>
  <c r="D5258" i="166"/>
  <c r="A5258" i="166"/>
  <c r="B5258" i="166" s="1"/>
  <c r="E5257" i="166"/>
  <c r="D5257" i="166"/>
  <c r="B5257" i="166"/>
  <c r="G5255" i="166"/>
  <c r="E5255" i="166" s="1"/>
  <c r="D5255" i="166"/>
  <c r="A5255" i="166"/>
  <c r="B5255" i="166" s="1"/>
  <c r="E5254" i="166"/>
  <c r="D5254" i="166"/>
  <c r="B5254" i="166"/>
  <c r="G5252" i="166"/>
  <c r="E5252" i="166" s="1"/>
  <c r="D5252" i="166"/>
  <c r="A5252" i="166"/>
  <c r="B5252" i="166" s="1"/>
  <c r="E5251" i="166"/>
  <c r="D5251" i="166"/>
  <c r="B5251" i="166"/>
  <c r="E4700" i="167" l="1"/>
  <c r="G5156" i="167"/>
  <c r="F5158" i="167" s="1"/>
  <c r="E5158" i="167" s="1"/>
  <c r="E5150" i="167"/>
  <c r="H4684" i="167"/>
  <c r="H4811" i="167" s="1"/>
  <c r="H4862" i="167" s="1"/>
  <c r="H4931" i="167" s="1"/>
  <c r="H5016" i="167" s="1"/>
  <c r="H5019" i="167" s="1"/>
  <c r="E4683" i="167"/>
  <c r="E4684" i="167"/>
  <c r="D4684" i="167"/>
  <c r="D4683" i="167"/>
  <c r="E5156" i="167" l="1"/>
  <c r="F4972" i="167"/>
  <c r="E4972" i="167" s="1"/>
  <c r="F4644" i="167"/>
  <c r="G4643" i="167" s="1"/>
  <c r="G4575" i="167"/>
  <c r="E4575" i="167" s="1"/>
  <c r="D4575" i="167"/>
  <c r="E4574" i="167"/>
  <c r="D4574" i="167"/>
  <c r="B4574" i="167"/>
  <c r="G4572" i="167"/>
  <c r="E4572" i="167" s="1"/>
  <c r="D4572" i="167"/>
  <c r="E4571" i="167"/>
  <c r="D4571" i="167"/>
  <c r="B4571" i="167"/>
  <c r="G4569" i="167"/>
  <c r="E4569" i="167" s="1"/>
  <c r="D4569" i="167"/>
  <c r="E4568" i="167"/>
  <c r="D4568" i="167"/>
  <c r="B4568" i="167"/>
  <c r="G4566" i="167"/>
  <c r="E4566" i="167" s="1"/>
  <c r="D4566" i="167"/>
  <c r="E4565" i="167"/>
  <c r="D4565" i="167"/>
  <c r="B4565" i="167"/>
  <c r="G4563" i="167"/>
  <c r="E4563" i="167" s="1"/>
  <c r="D4563" i="167"/>
  <c r="E4562" i="167"/>
  <c r="D4562" i="167"/>
  <c r="B4562" i="167"/>
  <c r="G4560" i="167"/>
  <c r="E4560" i="167" s="1"/>
  <c r="D4560" i="167"/>
  <c r="E4559" i="167"/>
  <c r="D4559" i="167"/>
  <c r="B4559" i="167"/>
  <c r="G4557" i="167"/>
  <c r="E4557" i="167" s="1"/>
  <c r="D4557" i="167"/>
  <c r="E4556" i="167"/>
  <c r="D4556" i="167"/>
  <c r="B4556" i="167"/>
  <c r="A4550" i="167"/>
  <c r="G4550" i="167"/>
  <c r="E4550" i="167" s="1"/>
  <c r="D4550" i="167"/>
  <c r="E4551" i="167"/>
  <c r="D4551" i="167"/>
  <c r="E4549" i="167"/>
  <c r="D4549" i="167"/>
  <c r="B4549" i="167"/>
  <c r="G4547" i="167"/>
  <c r="E4547" i="167" s="1"/>
  <c r="D4547" i="167"/>
  <c r="E4546" i="167"/>
  <c r="D4546" i="167"/>
  <c r="B4546" i="167"/>
  <c r="G4544" i="167"/>
  <c r="E4544" i="167" s="1"/>
  <c r="D4544" i="167"/>
  <c r="E4543" i="167"/>
  <c r="D4543" i="167"/>
  <c r="B4543" i="167"/>
  <c r="G4541" i="167"/>
  <c r="E4541" i="167" s="1"/>
  <c r="D4541" i="167"/>
  <c r="E4540" i="167"/>
  <c r="D4540" i="167"/>
  <c r="B4540" i="167"/>
  <c r="G4538" i="167"/>
  <c r="E4538" i="167" s="1"/>
  <c r="D4538" i="167"/>
  <c r="E4537" i="167"/>
  <c r="D4537" i="167"/>
  <c r="B4537" i="167"/>
  <c r="G4535" i="167"/>
  <c r="E4535" i="167" s="1"/>
  <c r="D4535" i="167"/>
  <c r="E4534" i="167"/>
  <c r="D4534" i="167"/>
  <c r="B4534" i="167"/>
  <c r="A3774" i="167" l="1"/>
  <c r="D4681" i="167" l="1"/>
  <c r="D4680" i="167"/>
  <c r="D4679" i="167"/>
  <c r="D4678" i="167"/>
  <c r="D4677" i="167"/>
  <c r="D4676" i="167"/>
  <c r="D4675" i="167"/>
  <c r="D4674" i="167"/>
  <c r="D4673" i="167"/>
  <c r="D4672" i="167"/>
  <c r="D4671" i="167"/>
  <c r="D4670" i="167"/>
  <c r="D4669" i="167"/>
  <c r="D4668" i="167"/>
  <c r="D4667" i="167"/>
  <c r="D4666" i="167"/>
  <c r="D4665" i="167"/>
  <c r="D4664" i="167"/>
  <c r="D4663" i="167"/>
  <c r="D4662" i="167"/>
  <c r="D4661" i="167"/>
  <c r="D4660" i="167"/>
  <c r="D4659" i="167"/>
  <c r="D4658" i="167"/>
  <c r="D4657" i="167"/>
  <c r="D4656" i="167"/>
  <c r="D4655" i="167"/>
  <c r="D4654" i="167"/>
  <c r="D4653" i="167"/>
  <c r="D4652" i="167"/>
  <c r="D4651" i="167"/>
  <c r="E4650" i="167"/>
  <c r="D4650" i="167"/>
  <c r="D4649" i="167"/>
  <c r="G4648" i="167"/>
  <c r="E4648" i="167" s="1"/>
  <c r="D4648" i="167"/>
  <c r="E4647" i="167"/>
  <c r="D4647" i="167"/>
  <c r="E4646" i="167"/>
  <c r="D4646" i="167"/>
  <c r="E5249" i="166"/>
  <c r="E5248" i="166"/>
  <c r="E5247" i="166"/>
  <c r="E5246" i="166"/>
  <c r="E5245" i="166"/>
  <c r="E5244" i="166"/>
  <c r="E5243" i="166"/>
  <c r="E5242" i="166"/>
  <c r="E5241" i="166"/>
  <c r="E5240" i="166"/>
  <c r="E5239" i="166"/>
  <c r="E5238" i="166"/>
  <c r="D5249" i="166"/>
  <c r="A5249" i="166"/>
  <c r="B5249" i="166" s="1"/>
  <c r="D5248" i="166"/>
  <c r="B5248" i="166"/>
  <c r="D5247" i="166"/>
  <c r="A5247" i="166"/>
  <c r="B5247" i="166" s="1"/>
  <c r="D5246" i="166"/>
  <c r="B5246" i="166"/>
  <c r="D5245" i="166"/>
  <c r="A5245" i="166"/>
  <c r="B5245" i="166" s="1"/>
  <c r="D5244" i="166"/>
  <c r="B5244" i="166"/>
  <c r="D5243" i="166"/>
  <c r="A5243" i="166"/>
  <c r="B5243" i="166" s="1"/>
  <c r="D5242" i="166"/>
  <c r="B5242" i="166"/>
  <c r="D5241" i="166"/>
  <c r="A5241" i="166"/>
  <c r="B5241" i="166" s="1"/>
  <c r="D5240" i="166"/>
  <c r="B5240" i="166"/>
  <c r="D5239" i="166"/>
  <c r="A5239" i="166"/>
  <c r="B5239" i="166" s="1"/>
  <c r="D5238" i="166"/>
  <c r="B5238" i="166"/>
  <c r="E4649" i="167" l="1"/>
  <c r="E4644" i="167"/>
  <c r="D4644" i="167"/>
  <c r="D4643" i="167"/>
  <c r="D4642" i="167"/>
  <c r="D4641" i="167"/>
  <c r="F4640" i="167"/>
  <c r="D4640" i="167"/>
  <c r="F4639" i="167"/>
  <c r="E4639" i="167" s="1"/>
  <c r="D4639" i="167"/>
  <c r="D4638" i="167"/>
  <c r="E4637" i="167"/>
  <c r="D4637" i="167"/>
  <c r="E4636" i="167"/>
  <c r="D4636" i="167"/>
  <c r="E4635" i="167"/>
  <c r="D4635" i="167"/>
  <c r="E4634" i="167"/>
  <c r="D4634" i="167"/>
  <c r="D4633" i="167"/>
  <c r="D4632" i="167"/>
  <c r="D4631" i="167"/>
  <c r="D4630" i="167"/>
  <c r="D4629" i="167"/>
  <c r="D4628" i="167"/>
  <c r="D4627" i="167"/>
  <c r="F4626" i="167"/>
  <c r="E4626" i="167" s="1"/>
  <c r="D4626" i="167"/>
  <c r="D4625" i="167"/>
  <c r="D4624" i="167"/>
  <c r="E4623" i="167"/>
  <c r="D4623" i="167"/>
  <c r="E4622" i="167"/>
  <c r="D4622" i="167"/>
  <c r="E4621" i="167"/>
  <c r="D4621" i="167"/>
  <c r="E4620" i="167"/>
  <c r="D4620" i="167"/>
  <c r="E4619" i="167"/>
  <c r="D4619" i="167"/>
  <c r="E4618" i="167"/>
  <c r="D4618" i="167"/>
  <c r="B4618" i="167"/>
  <c r="H3859" i="167"/>
  <c r="A3859" i="167"/>
  <c r="B3859" i="167" s="1"/>
  <c r="G3859" i="167"/>
  <c r="E3859" i="167" s="1"/>
  <c r="D3859" i="167"/>
  <c r="E4651" i="167" l="1"/>
  <c r="E4652" i="167"/>
  <c r="E4654" i="167"/>
  <c r="E4640" i="167"/>
  <c r="A4395" i="167"/>
  <c r="H4395" i="167"/>
  <c r="H4399" i="167" s="1"/>
  <c r="G4395" i="167"/>
  <c r="E4395" i="167" s="1"/>
  <c r="D4395" i="167"/>
  <c r="A4399" i="167"/>
  <c r="G4399" i="167"/>
  <c r="E4399" i="167" s="1"/>
  <c r="D4399" i="167"/>
  <c r="H3774" i="167"/>
  <c r="G3774" i="167"/>
  <c r="E3774" i="167" s="1"/>
  <c r="D3774" i="167"/>
  <c r="B3774" i="167"/>
  <c r="G4616" i="167"/>
  <c r="E4616" i="167" s="1"/>
  <c r="D4616" i="167"/>
  <c r="E4615" i="167"/>
  <c r="D4615" i="167"/>
  <c r="B4615" i="167"/>
  <c r="G4613" i="167"/>
  <c r="E4613" i="167" s="1"/>
  <c r="D4613" i="167"/>
  <c r="E4612" i="167"/>
  <c r="D4612" i="167"/>
  <c r="B4612" i="167"/>
  <c r="H4610" i="167"/>
  <c r="G4610" i="167"/>
  <c r="E4610" i="167" s="1"/>
  <c r="D4610" i="167"/>
  <c r="A4610" i="167"/>
  <c r="E4609" i="167"/>
  <c r="D4609" i="167"/>
  <c r="B4609" i="167"/>
  <c r="B4610" i="167" s="1"/>
  <c r="H4607" i="167"/>
  <c r="G4607" i="167"/>
  <c r="E4607" i="167" s="1"/>
  <c r="D4607" i="167"/>
  <c r="E4606" i="167"/>
  <c r="D4606" i="167"/>
  <c r="B4606" i="167"/>
  <c r="B5110" i="167" l="1"/>
  <c r="B5130" i="167" s="1"/>
  <c r="E4653" i="167"/>
  <c r="E4656" i="167"/>
  <c r="L4074" i="167"/>
  <c r="N4074" i="167"/>
  <c r="N4073" i="167"/>
  <c r="L4071" i="167"/>
  <c r="K4071" i="167"/>
  <c r="K4070" i="167"/>
  <c r="K4068" i="167"/>
  <c r="K4067" i="167"/>
  <c r="L4066" i="167"/>
  <c r="L4067" i="167" s="1"/>
  <c r="L4068" i="167" s="1"/>
  <c r="K4066" i="167"/>
  <c r="K4065" i="167"/>
  <c r="E4655" i="167" l="1"/>
  <c r="E4658" i="167"/>
  <c r="N4593" i="167"/>
  <c r="L4596" i="167"/>
  <c r="K4596" i="167"/>
  <c r="K4595" i="167"/>
  <c r="K4604" i="167"/>
  <c r="K4603" i="167"/>
  <c r="L4602" i="167"/>
  <c r="K4602" i="167"/>
  <c r="K4601" i="167"/>
  <c r="L4603" i="167" l="1"/>
  <c r="L4604" i="167" s="1"/>
  <c r="L5125" i="167"/>
  <c r="E4657" i="167"/>
  <c r="E4662" i="167"/>
  <c r="E4659" i="167"/>
  <c r="E4660" i="167"/>
  <c r="F4113" i="167"/>
  <c r="E4113" i="167" s="1"/>
  <c r="D4113" i="167"/>
  <c r="D4112" i="167"/>
  <c r="D4111" i="167"/>
  <c r="D4110" i="167"/>
  <c r="F4109" i="167"/>
  <c r="D4109" i="167"/>
  <c r="F4108" i="167"/>
  <c r="D4108" i="167"/>
  <c r="D4107" i="167"/>
  <c r="E4106" i="167"/>
  <c r="D4106" i="167"/>
  <c r="E4105" i="167"/>
  <c r="D4105" i="167"/>
  <c r="E4104" i="167"/>
  <c r="D4104" i="167"/>
  <c r="E4103" i="167"/>
  <c r="D4103" i="167"/>
  <c r="D4102" i="167"/>
  <c r="D4101" i="167"/>
  <c r="D4100" i="167"/>
  <c r="D4099" i="167"/>
  <c r="D4098" i="167"/>
  <c r="D4097" i="167"/>
  <c r="D4096" i="167"/>
  <c r="F4095" i="167"/>
  <c r="E4095" i="167" s="1"/>
  <c r="D4095" i="167"/>
  <c r="D4094" i="167"/>
  <c r="D4093" i="167"/>
  <c r="E4092" i="167"/>
  <c r="D4092" i="167"/>
  <c r="E4091" i="167"/>
  <c r="D4091" i="167"/>
  <c r="E4090" i="167"/>
  <c r="D4090" i="167"/>
  <c r="E4089" i="167"/>
  <c r="D4089" i="167"/>
  <c r="E4088" i="167"/>
  <c r="D4088" i="167"/>
  <c r="E4087" i="167"/>
  <c r="D4087" i="167"/>
  <c r="B4087" i="167"/>
  <c r="L5126" i="167" l="1"/>
  <c r="L5127" i="167" s="1"/>
  <c r="L5774" i="167"/>
  <c r="E4661" i="167"/>
  <c r="E4665" i="167"/>
  <c r="E4109" i="167"/>
  <c r="E4108" i="167"/>
  <c r="E4130" i="167"/>
  <c r="D4130" i="167"/>
  <c r="E4129" i="167"/>
  <c r="D4129" i="167"/>
  <c r="E4128" i="167"/>
  <c r="D4128" i="167"/>
  <c r="E4127" i="167"/>
  <c r="D4127" i="167"/>
  <c r="B4127" i="167"/>
  <c r="L5775" i="167" l="1"/>
  <c r="L5776" i="167" s="1"/>
  <c r="E4664" i="167"/>
  <c r="E4663" i="167"/>
  <c r="E4604" i="167"/>
  <c r="D4604" i="167"/>
  <c r="E4603" i="167"/>
  <c r="D4603" i="167"/>
  <c r="E4602" i="167"/>
  <c r="D4602" i="167"/>
  <c r="E4601" i="167"/>
  <c r="D4601" i="167"/>
  <c r="B4601" i="167"/>
  <c r="G4599" i="167"/>
  <c r="E4599" i="167" s="1"/>
  <c r="D4599" i="167"/>
  <c r="E4598" i="167"/>
  <c r="D4598" i="167"/>
  <c r="B4598" i="167"/>
  <c r="G4596" i="167"/>
  <c r="E4596" i="167" s="1"/>
  <c r="D4596" i="167"/>
  <c r="E4595" i="167"/>
  <c r="D4595" i="167"/>
  <c r="B4595" i="167"/>
  <c r="G4593" i="167"/>
  <c r="E4593" i="167" s="1"/>
  <c r="D4593" i="167"/>
  <c r="A4593" i="167"/>
  <c r="A4596" i="167" s="1"/>
  <c r="A4599" i="167" s="1"/>
  <c r="E4592" i="167"/>
  <c r="D4592" i="167"/>
  <c r="B4592" i="167"/>
  <c r="H4590" i="167"/>
  <c r="H4593" i="167" s="1"/>
  <c r="H4596" i="167" s="1"/>
  <c r="H4599" i="167" s="1"/>
  <c r="G4590" i="167"/>
  <c r="E4590" i="167" s="1"/>
  <c r="D4590" i="167"/>
  <c r="A4590" i="167"/>
  <c r="E4589" i="167"/>
  <c r="D4589" i="167"/>
  <c r="B4589" i="167"/>
  <c r="B4590" i="167" s="1"/>
  <c r="H4584" i="167"/>
  <c r="G4584" i="167"/>
  <c r="E4584" i="167" s="1"/>
  <c r="D4584" i="167"/>
  <c r="A4584" i="167"/>
  <c r="E4583" i="167"/>
  <c r="D4583" i="167"/>
  <c r="B4583" i="167"/>
  <c r="H4581" i="167"/>
  <c r="G4581" i="167"/>
  <c r="E4581" i="167" s="1"/>
  <c r="D4581" i="167"/>
  <c r="E4580" i="167"/>
  <c r="D4580" i="167"/>
  <c r="B4580" i="167"/>
  <c r="H4578" i="167"/>
  <c r="G4578" i="167"/>
  <c r="E4578" i="167" s="1"/>
  <c r="D4578" i="167"/>
  <c r="A4578" i="167"/>
  <c r="A4581" i="167" s="1"/>
  <c r="E4577" i="167"/>
  <c r="D4577" i="167"/>
  <c r="B4577" i="167"/>
  <c r="B4593" i="167" l="1"/>
  <c r="B4596" i="167" s="1"/>
  <c r="B4599" i="167" s="1"/>
  <c r="E4668" i="167"/>
  <c r="E4666" i="167"/>
  <c r="B4459" i="167"/>
  <c r="D4459" i="167"/>
  <c r="E4459" i="167"/>
  <c r="D4460" i="167"/>
  <c r="G4460" i="167"/>
  <c r="E4460" i="167" s="1"/>
  <c r="B4462" i="167"/>
  <c r="D4462" i="167"/>
  <c r="E4462" i="167"/>
  <c r="D4463" i="167"/>
  <c r="G4463" i="167"/>
  <c r="E4463" i="167" s="1"/>
  <c r="B4465" i="167"/>
  <c r="D4465" i="167"/>
  <c r="E4465" i="167"/>
  <c r="D4466" i="167"/>
  <c r="G4466" i="167"/>
  <c r="E4466" i="167" s="1"/>
  <c r="B4468" i="167"/>
  <c r="D4468" i="167"/>
  <c r="E4468" i="167"/>
  <c r="D4469" i="167"/>
  <c r="G4469" i="167"/>
  <c r="E4469" i="167" s="1"/>
  <c r="B4471" i="167"/>
  <c r="D4471" i="167"/>
  <c r="E4471" i="167"/>
  <c r="D4472" i="167"/>
  <c r="G4472" i="167"/>
  <c r="E4472" i="167" s="1"/>
  <c r="B4474" i="167"/>
  <c r="D4474" i="167"/>
  <c r="E4474" i="167"/>
  <c r="D4475" i="167"/>
  <c r="G4475" i="167"/>
  <c r="E4475" i="167" s="1"/>
  <c r="B4477" i="167"/>
  <c r="D4477" i="167"/>
  <c r="E4477" i="167"/>
  <c r="D4478" i="167"/>
  <c r="G4478" i="167"/>
  <c r="E4478" i="167" s="1"/>
  <c r="B4480" i="167"/>
  <c r="D4480" i="167"/>
  <c r="E4480" i="167"/>
  <c r="D4481" i="167"/>
  <c r="G4481" i="167"/>
  <c r="E4481" i="167" s="1"/>
  <c r="B4483" i="167"/>
  <c r="D4483" i="167"/>
  <c r="E4483" i="167"/>
  <c r="D4484" i="167"/>
  <c r="G4484" i="167"/>
  <c r="E4484" i="167" s="1"/>
  <c r="B4486" i="167"/>
  <c r="D4486" i="167"/>
  <c r="E4486" i="167"/>
  <c r="D4487" i="167"/>
  <c r="G4487" i="167"/>
  <c r="E4487" i="167" s="1"/>
  <c r="B4489" i="167"/>
  <c r="D4489" i="167"/>
  <c r="E4489" i="167"/>
  <c r="D4490" i="167"/>
  <c r="G4490" i="167"/>
  <c r="E4490" i="167" s="1"/>
  <c r="B4492" i="167"/>
  <c r="D4492" i="167"/>
  <c r="E4492" i="167"/>
  <c r="D4493" i="167"/>
  <c r="G4493" i="167"/>
  <c r="E4493" i="167" s="1"/>
  <c r="B4495" i="167"/>
  <c r="D4495" i="167"/>
  <c r="E4495" i="167"/>
  <c r="D4496" i="167"/>
  <c r="G4496" i="167"/>
  <c r="E4496" i="167" s="1"/>
  <c r="B4498" i="167"/>
  <c r="D4498" i="167"/>
  <c r="E4498" i="167"/>
  <c r="D4499" i="167"/>
  <c r="G4499" i="167"/>
  <c r="E4499" i="167" s="1"/>
  <c r="B4501" i="167"/>
  <c r="D4501" i="167"/>
  <c r="E4501" i="167"/>
  <c r="D4502" i="167"/>
  <c r="G4502" i="167"/>
  <c r="E4502" i="167" s="1"/>
  <c r="B4504" i="167"/>
  <c r="D4504" i="167"/>
  <c r="E4504" i="167"/>
  <c r="D4505" i="167"/>
  <c r="G4505" i="167"/>
  <c r="E4505" i="167" s="1"/>
  <c r="B4507" i="167"/>
  <c r="D4507" i="167"/>
  <c r="E4507" i="167"/>
  <c r="D4508" i="167"/>
  <c r="G4508" i="167"/>
  <c r="E4508" i="167" s="1"/>
  <c r="B4510" i="167"/>
  <c r="D4510" i="167"/>
  <c r="E4510" i="167"/>
  <c r="D4511" i="167"/>
  <c r="G4511" i="167"/>
  <c r="E4511" i="167" s="1"/>
  <c r="B4513" i="167"/>
  <c r="D4513" i="167"/>
  <c r="E4513" i="167"/>
  <c r="D4514" i="167"/>
  <c r="G4514" i="167"/>
  <c r="E4514" i="167" s="1"/>
  <c r="B4516" i="167"/>
  <c r="D4516" i="167"/>
  <c r="E4516" i="167"/>
  <c r="D4517" i="167"/>
  <c r="G4517" i="167"/>
  <c r="E4517" i="167" s="1"/>
  <c r="B4519" i="167"/>
  <c r="D4519" i="167"/>
  <c r="E4519" i="167"/>
  <c r="D4520" i="167"/>
  <c r="G4520" i="167"/>
  <c r="E4520" i="167" s="1"/>
  <c r="B4522" i="167"/>
  <c r="D4522" i="167"/>
  <c r="E4522" i="167"/>
  <c r="D4523" i="167"/>
  <c r="G4523" i="167"/>
  <c r="E4523" i="167" s="1"/>
  <c r="B4525" i="167"/>
  <c r="D4525" i="167"/>
  <c r="E4525" i="167"/>
  <c r="D4526" i="167"/>
  <c r="G4526" i="167"/>
  <c r="E4526" i="167" s="1"/>
  <c r="B4528" i="167"/>
  <c r="D4528" i="167"/>
  <c r="E4528" i="167"/>
  <c r="D4529" i="167"/>
  <c r="G4529" i="167"/>
  <c r="E4529" i="167" s="1"/>
  <c r="B4531" i="167"/>
  <c r="D4531" i="167"/>
  <c r="E4531" i="167"/>
  <c r="D4532" i="167"/>
  <c r="G4532" i="167"/>
  <c r="E4532" i="167" s="1"/>
  <c r="B4553" i="167"/>
  <c r="B4554" i="167" s="1"/>
  <c r="D4553" i="167"/>
  <c r="E4553" i="167"/>
  <c r="A4554" i="167"/>
  <c r="D4554" i="167"/>
  <c r="G4554" i="167"/>
  <c r="E4554" i="167" s="1"/>
  <c r="H4554" i="167"/>
  <c r="B4408" i="167"/>
  <c r="D4408" i="167"/>
  <c r="E4408" i="167"/>
  <c r="D4409" i="167"/>
  <c r="G4409" i="167"/>
  <c r="E4409" i="167" s="1"/>
  <c r="B4411" i="167"/>
  <c r="D4411" i="167"/>
  <c r="E4411" i="167"/>
  <c r="D4412" i="167"/>
  <c r="G4412" i="167"/>
  <c r="E4412" i="167" s="1"/>
  <c r="B4414" i="167"/>
  <c r="D4414" i="167"/>
  <c r="E4414" i="167"/>
  <c r="D4415" i="167"/>
  <c r="G4415" i="167"/>
  <c r="E4415" i="167" s="1"/>
  <c r="B4417" i="167"/>
  <c r="D4417" i="167"/>
  <c r="E4417" i="167"/>
  <c r="A4419" i="167"/>
  <c r="D4419" i="167"/>
  <c r="E4419" i="167"/>
  <c r="H4419" i="167"/>
  <c r="B4421" i="167"/>
  <c r="D4421" i="167"/>
  <c r="F4421" i="167"/>
  <c r="E4421" i="167" s="1"/>
  <c r="A4422" i="167"/>
  <c r="A4423" i="167" s="1"/>
  <c r="D4422" i="167"/>
  <c r="E4422" i="167"/>
  <c r="H4422" i="167"/>
  <c r="H4423" i="167" s="1"/>
  <c r="D4423" i="167"/>
  <c r="E4423" i="167"/>
  <c r="B4425" i="167"/>
  <c r="D4425" i="167"/>
  <c r="E4425" i="167"/>
  <c r="A4426" i="167"/>
  <c r="D4426" i="167"/>
  <c r="G4426" i="167"/>
  <c r="E4426" i="167" s="1"/>
  <c r="H4426" i="167"/>
  <c r="B4428" i="167"/>
  <c r="D4428" i="167"/>
  <c r="A4429" i="167"/>
  <c r="A4430" i="167" s="1"/>
  <c r="D4429" i="167"/>
  <c r="E4429" i="167"/>
  <c r="H4429" i="167"/>
  <c r="H4430" i="167" s="1"/>
  <c r="D4430" i="167"/>
  <c r="E4430" i="167"/>
  <c r="B4432" i="167"/>
  <c r="D4432" i="167"/>
  <c r="E4432" i="167"/>
  <c r="D4433" i="167"/>
  <c r="G4433" i="167"/>
  <c r="E4433" i="167" s="1"/>
  <c r="B4435" i="167"/>
  <c r="B4578" i="167" s="1"/>
  <c r="B4581" i="167" s="1"/>
  <c r="D4435" i="167"/>
  <c r="E4435" i="167"/>
  <c r="D4436" i="167"/>
  <c r="G4436" i="167"/>
  <c r="E4436" i="167" s="1"/>
  <c r="B4438" i="167"/>
  <c r="D4438" i="167"/>
  <c r="E4438" i="167"/>
  <c r="D4439" i="167"/>
  <c r="G4439" i="167"/>
  <c r="E4439" i="167" s="1"/>
  <c r="B4441" i="167"/>
  <c r="D4441" i="167"/>
  <c r="E4441" i="167"/>
  <c r="D4442" i="167"/>
  <c r="G4442" i="167"/>
  <c r="E4442" i="167" s="1"/>
  <c r="B4444" i="167"/>
  <c r="D4444" i="167"/>
  <c r="E4444" i="167"/>
  <c r="D4445" i="167"/>
  <c r="G4445" i="167"/>
  <c r="E4445" i="167" s="1"/>
  <c r="B4447" i="167"/>
  <c r="D4447" i="167"/>
  <c r="E4447" i="167"/>
  <c r="D4448" i="167"/>
  <c r="G4448" i="167"/>
  <c r="E4448" i="167" s="1"/>
  <c r="B4450" i="167"/>
  <c r="D4450" i="167"/>
  <c r="E4450" i="167"/>
  <c r="D4451" i="167"/>
  <c r="G4451" i="167"/>
  <c r="E4451" i="167" s="1"/>
  <c r="H4451" i="167"/>
  <c r="B4453" i="167"/>
  <c r="D4453" i="167"/>
  <c r="E4453" i="167"/>
  <c r="D4454" i="167"/>
  <c r="G4454" i="167"/>
  <c r="E4454" i="167" s="1"/>
  <c r="B4456" i="167"/>
  <c r="D4456" i="167"/>
  <c r="E4456" i="167"/>
  <c r="D4457" i="167"/>
  <c r="G4457" i="167"/>
  <c r="E4457" i="167" s="1"/>
  <c r="D4406" i="167"/>
  <c r="D4405" i="167"/>
  <c r="D4403" i="167"/>
  <c r="D4402" i="167"/>
  <c r="D4400" i="167"/>
  <c r="D4398" i="167"/>
  <c r="D4396" i="167"/>
  <c r="D4394" i="167"/>
  <c r="D4392" i="167"/>
  <c r="D4391" i="167"/>
  <c r="D4389" i="167"/>
  <c r="D4388" i="167"/>
  <c r="D4386" i="167"/>
  <c r="D4385" i="167"/>
  <c r="D4383" i="167"/>
  <c r="D4382" i="167"/>
  <c r="D4380" i="167"/>
  <c r="D4379" i="167"/>
  <c r="D4377" i="167"/>
  <c r="D4376" i="167"/>
  <c r="D4374" i="167"/>
  <c r="D4373" i="167"/>
  <c r="D4371" i="167"/>
  <c r="D4370" i="167"/>
  <c r="D4368" i="167"/>
  <c r="D4367" i="167"/>
  <c r="D4365" i="167"/>
  <c r="D4364" i="167"/>
  <c r="D4362" i="167"/>
  <c r="D4361" i="167"/>
  <c r="D4359" i="167"/>
  <c r="D4358" i="167"/>
  <c r="D4356" i="167"/>
  <c r="D4355" i="167"/>
  <c r="D4353" i="167"/>
  <c r="D4352" i="167"/>
  <c r="D4350" i="167"/>
  <c r="D4349" i="167"/>
  <c r="D4347" i="167"/>
  <c r="D4346" i="167"/>
  <c r="D4344" i="167"/>
  <c r="D4343" i="167"/>
  <c r="D4341" i="167"/>
  <c r="D4340" i="167"/>
  <c r="D4338" i="167"/>
  <c r="D4337" i="167"/>
  <c r="D4335" i="167"/>
  <c r="D4334" i="167"/>
  <c r="D4332" i="167"/>
  <c r="D4331" i="167"/>
  <c r="D4329" i="167"/>
  <c r="D4328" i="167"/>
  <c r="D4326" i="167"/>
  <c r="D4325" i="167"/>
  <c r="D4323" i="167"/>
  <c r="D4322" i="167"/>
  <c r="D4320" i="167"/>
  <c r="D4319" i="167"/>
  <c r="D4317" i="167"/>
  <c r="D4316" i="167"/>
  <c r="D4314" i="167"/>
  <c r="D4313" i="167"/>
  <c r="D4311" i="167"/>
  <c r="D4310" i="167"/>
  <c r="D4308" i="167"/>
  <c r="D4307" i="167"/>
  <c r="D4305" i="167"/>
  <c r="D4304" i="167"/>
  <c r="D4302" i="167"/>
  <c r="D4301" i="167"/>
  <c r="D4299" i="167"/>
  <c r="D4298" i="167"/>
  <c r="D4296" i="167"/>
  <c r="D4295" i="167"/>
  <c r="D4293" i="167"/>
  <c r="D4292" i="167"/>
  <c r="D4290" i="167"/>
  <c r="D4289" i="167"/>
  <c r="D4287" i="167"/>
  <c r="D4286" i="167"/>
  <c r="D4284" i="167"/>
  <c r="D4283" i="167"/>
  <c r="D4281" i="167"/>
  <c r="D4280" i="167"/>
  <c r="B4280" i="167"/>
  <c r="E4280" i="167"/>
  <c r="G4281" i="167"/>
  <c r="E4281" i="167" s="1"/>
  <c r="H4281" i="167"/>
  <c r="H4284" i="167" s="1"/>
  <c r="H4287" i="167" s="1"/>
  <c r="H4296" i="167" s="1"/>
  <c r="H4299" i="167" s="1"/>
  <c r="H4305" i="167" s="1"/>
  <c r="H4314" i="167" s="1"/>
  <c r="H4317" i="167" s="1"/>
  <c r="H4353" i="167" s="1"/>
  <c r="H4356" i="167" s="1"/>
  <c r="H4359" i="167" s="1"/>
  <c r="H4365" i="167" s="1"/>
  <c r="H4374" i="167" s="1"/>
  <c r="H4383" i="167" s="1"/>
  <c r="B4283" i="167"/>
  <c r="E4283" i="167"/>
  <c r="G4284" i="167"/>
  <c r="E4284" i="167" s="1"/>
  <c r="B4286" i="167"/>
  <c r="E4286" i="167"/>
  <c r="G4287" i="167"/>
  <c r="E4287" i="167" s="1"/>
  <c r="B4289" i="167"/>
  <c r="E4289" i="167"/>
  <c r="G4290" i="167"/>
  <c r="E4290" i="167" s="1"/>
  <c r="B4292" i="167"/>
  <c r="E4292" i="167"/>
  <c r="G4293" i="167"/>
  <c r="E4293" i="167" s="1"/>
  <c r="B4295" i="167"/>
  <c r="E4295" i="167"/>
  <c r="G4296" i="167"/>
  <c r="E4296" i="167" s="1"/>
  <c r="B4298" i="167"/>
  <c r="E4298" i="167"/>
  <c r="G4299" i="167"/>
  <c r="E4299" i="167" s="1"/>
  <c r="B4301" i="167"/>
  <c r="E4301" i="167"/>
  <c r="G4302" i="167"/>
  <c r="E4302" i="167" s="1"/>
  <c r="B4304" i="167"/>
  <c r="E4304" i="167"/>
  <c r="G4305" i="167"/>
  <c r="E4305" i="167" s="1"/>
  <c r="B4307" i="167"/>
  <c r="E4307" i="167"/>
  <c r="G4308" i="167"/>
  <c r="E4308" i="167" s="1"/>
  <c r="B4310" i="167"/>
  <c r="E4310" i="167"/>
  <c r="G4311" i="167"/>
  <c r="E4311" i="167" s="1"/>
  <c r="B4313" i="167"/>
  <c r="E4313" i="167"/>
  <c r="G4314" i="167"/>
  <c r="E4314" i="167" s="1"/>
  <c r="B4316" i="167"/>
  <c r="E4316" i="167"/>
  <c r="G4317" i="167"/>
  <c r="E4317" i="167" s="1"/>
  <c r="B4319" i="167"/>
  <c r="E4319" i="167"/>
  <c r="G4320" i="167"/>
  <c r="E4320" i="167" s="1"/>
  <c r="B4322" i="167"/>
  <c r="B4323" i="167" s="1"/>
  <c r="E4322" i="167"/>
  <c r="A4323" i="167"/>
  <c r="G4323" i="167"/>
  <c r="E4323" i="167" s="1"/>
  <c r="B4325" i="167"/>
  <c r="E4325" i="167"/>
  <c r="G4326" i="167"/>
  <c r="E4326" i="167" s="1"/>
  <c r="B4328" i="167"/>
  <c r="B4329" i="167" s="1"/>
  <c r="E4328" i="167"/>
  <c r="A4329" i="167"/>
  <c r="A4451" i="167" s="1"/>
  <c r="A4484" i="167" s="1"/>
  <c r="A4487" i="167" s="1"/>
  <c r="A4490" i="167" s="1"/>
  <c r="G4329" i="167"/>
  <c r="B4331" i="167"/>
  <c r="E4331" i="167"/>
  <c r="G4332" i="167"/>
  <c r="E4332" i="167" s="1"/>
  <c r="B4334" i="167"/>
  <c r="E4334" i="167"/>
  <c r="G4335" i="167"/>
  <c r="E4335" i="167" s="1"/>
  <c r="B4337" i="167"/>
  <c r="E4337" i="167"/>
  <c r="G4338" i="167"/>
  <c r="E4338" i="167" s="1"/>
  <c r="B4340" i="167"/>
  <c r="E4340" i="167"/>
  <c r="G4341" i="167"/>
  <c r="E4341" i="167" s="1"/>
  <c r="B4343" i="167"/>
  <c r="E4343" i="167"/>
  <c r="G4344" i="167"/>
  <c r="E4344" i="167" s="1"/>
  <c r="B4346" i="167"/>
  <c r="E4346" i="167"/>
  <c r="G4347" i="167"/>
  <c r="E4347" i="167" s="1"/>
  <c r="B4349" i="167"/>
  <c r="E4349" i="167"/>
  <c r="G4350" i="167"/>
  <c r="E4350" i="167" s="1"/>
  <c r="B4352" i="167"/>
  <c r="E4352" i="167"/>
  <c r="G4353" i="167"/>
  <c r="E4353" i="167" s="1"/>
  <c r="B4355" i="167"/>
  <c r="E4355" i="167"/>
  <c r="G4356" i="167"/>
  <c r="E4356" i="167" s="1"/>
  <c r="B4358" i="167"/>
  <c r="E4358" i="167"/>
  <c r="G4359" i="167"/>
  <c r="E4359" i="167" s="1"/>
  <c r="B4361" i="167"/>
  <c r="E4361" i="167"/>
  <c r="G4362" i="167"/>
  <c r="B4364" i="167"/>
  <c r="E4364" i="167"/>
  <c r="G4365" i="167"/>
  <c r="E4365" i="167" s="1"/>
  <c r="B4367" i="167"/>
  <c r="E4367" i="167"/>
  <c r="G4368" i="167"/>
  <c r="E4368" i="167" s="1"/>
  <c r="B4370" i="167"/>
  <c r="E4370" i="167"/>
  <c r="G4371" i="167"/>
  <c r="E4371" i="167" s="1"/>
  <c r="B4373" i="167"/>
  <c r="E4373" i="167"/>
  <c r="G4374" i="167"/>
  <c r="E4374" i="167" s="1"/>
  <c r="B4376" i="167"/>
  <c r="E4376" i="167"/>
  <c r="G4377" i="167"/>
  <c r="E4377" i="167" s="1"/>
  <c r="B4379" i="167"/>
  <c r="E4379" i="167"/>
  <c r="G4380" i="167"/>
  <c r="E4380" i="167" s="1"/>
  <c r="B4382" i="167"/>
  <c r="E4382" i="167"/>
  <c r="G4383" i="167"/>
  <c r="E4383" i="167" s="1"/>
  <c r="B4385" i="167"/>
  <c r="E4385" i="167"/>
  <c r="G4386" i="167"/>
  <c r="E4386" i="167" s="1"/>
  <c r="B4388" i="167"/>
  <c r="E4388" i="167"/>
  <c r="G4389" i="167"/>
  <c r="E4389" i="167" s="1"/>
  <c r="B4391" i="167"/>
  <c r="E4391" i="167"/>
  <c r="G4392" i="167"/>
  <c r="E4392" i="167" s="1"/>
  <c r="B4394" i="167"/>
  <c r="E4394" i="167"/>
  <c r="E4396" i="167"/>
  <c r="B4398" i="167"/>
  <c r="E4398" i="167"/>
  <c r="E4400" i="167"/>
  <c r="B4402" i="167"/>
  <c r="E4402" i="167"/>
  <c r="G4403" i="167"/>
  <c r="E4403" i="167" s="1"/>
  <c r="B4405" i="167"/>
  <c r="E4405" i="167"/>
  <c r="G4406" i="167"/>
  <c r="E4406" i="167" s="1"/>
  <c r="H4278" i="167"/>
  <c r="G4278" i="167"/>
  <c r="E4278" i="167" s="1"/>
  <c r="D4278" i="167"/>
  <c r="A4278" i="167"/>
  <c r="E4277" i="167"/>
  <c r="D4277" i="167"/>
  <c r="B4277" i="167"/>
  <c r="G4275" i="167"/>
  <c r="E4275" i="167" s="1"/>
  <c r="D4275" i="167"/>
  <c r="E4274" i="167"/>
  <c r="D4274" i="167"/>
  <c r="B4274" i="167"/>
  <c r="G4272" i="167"/>
  <c r="E4272" i="167" s="1"/>
  <c r="D4272" i="167"/>
  <c r="E4271" i="167"/>
  <c r="D4271" i="167"/>
  <c r="B4271" i="167"/>
  <c r="G4269" i="167"/>
  <c r="E4269" i="167" s="1"/>
  <c r="D4269" i="167"/>
  <c r="E4268" i="167"/>
  <c r="D4268" i="167"/>
  <c r="B4268" i="167"/>
  <c r="G4266" i="167"/>
  <c r="E4266" i="167" s="1"/>
  <c r="D4266" i="167"/>
  <c r="E4265" i="167"/>
  <c r="D4265" i="167"/>
  <c r="B4265" i="167"/>
  <c r="G4263" i="167"/>
  <c r="E4263" i="167" s="1"/>
  <c r="D4263" i="167"/>
  <c r="E4262" i="167"/>
  <c r="D4262" i="167"/>
  <c r="B4262" i="167"/>
  <c r="G4260" i="167"/>
  <c r="E4260" i="167" s="1"/>
  <c r="D4260" i="167"/>
  <c r="E4259" i="167"/>
  <c r="D4259" i="167"/>
  <c r="B4259" i="167"/>
  <c r="A4502" i="167" l="1"/>
  <c r="H4396" i="167"/>
  <c r="H4386" i="167"/>
  <c r="H4400" i="167" s="1"/>
  <c r="H4406" i="167" s="1"/>
  <c r="H4409" i="167" s="1"/>
  <c r="H4415" i="167" s="1"/>
  <c r="H4445" i="167" s="1"/>
  <c r="H4448" i="167" s="1"/>
  <c r="H4454" i="167" s="1"/>
  <c r="H4460" i="167" s="1"/>
  <c r="H4463" i="167" s="1"/>
  <c r="H4469" i="167" s="1"/>
  <c r="H4472" i="167" s="1"/>
  <c r="H4478" i="167" s="1"/>
  <c r="H4499" i="167" s="1"/>
  <c r="H4511" i="167" s="1"/>
  <c r="H4529" i="167" s="1"/>
  <c r="H4535" i="167" s="1"/>
  <c r="H4541" i="167" s="1"/>
  <c r="B4278" i="167"/>
  <c r="E4329" i="167"/>
  <c r="F4624" i="167"/>
  <c r="H4433" i="167"/>
  <c r="H4436" i="167" s="1"/>
  <c r="E4362" i="167"/>
  <c r="F4625" i="167"/>
  <c r="E4625" i="167" s="1"/>
  <c r="B4451" i="167"/>
  <c r="B4484" i="167" s="1"/>
  <c r="B4487" i="167" s="1"/>
  <c r="B4490" i="167" s="1"/>
  <c r="B4502" i="167" s="1"/>
  <c r="B4419" i="167"/>
  <c r="B4426" i="167" s="1"/>
  <c r="B4429" i="167" s="1"/>
  <c r="A4433" i="167"/>
  <c r="A4436" i="167" s="1"/>
  <c r="B4550" i="167"/>
  <c r="B4399" i="167"/>
  <c r="B4395" i="167"/>
  <c r="E4667" i="167"/>
  <c r="E4669" i="167"/>
  <c r="E4670" i="167"/>
  <c r="G4257" i="167"/>
  <c r="E4257" i="167" s="1"/>
  <c r="D4257" i="167"/>
  <c r="E4256" i="167"/>
  <c r="D4256" i="167"/>
  <c r="B4256" i="167"/>
  <c r="G4254" i="167"/>
  <c r="E4254" i="167" s="1"/>
  <c r="D4254" i="167"/>
  <c r="E4253" i="167"/>
  <c r="D4253" i="167"/>
  <c r="B4253" i="167"/>
  <c r="G4251" i="167"/>
  <c r="E4251" i="167" s="1"/>
  <c r="D4251" i="167"/>
  <c r="E4250" i="167"/>
  <c r="D4250" i="167"/>
  <c r="B4250" i="167"/>
  <c r="G4248" i="167"/>
  <c r="E4248" i="167" s="1"/>
  <c r="D4248" i="167"/>
  <c r="E4247" i="167"/>
  <c r="D4247" i="167"/>
  <c r="B4247" i="167"/>
  <c r="G4245" i="167"/>
  <c r="E4245" i="167" s="1"/>
  <c r="D4245" i="167"/>
  <c r="E4244" i="167"/>
  <c r="D4244" i="167"/>
  <c r="B4244" i="167"/>
  <c r="G4242" i="167"/>
  <c r="E4242" i="167" s="1"/>
  <c r="D4242" i="167"/>
  <c r="E4241" i="167"/>
  <c r="D4241" i="167"/>
  <c r="B4241" i="167"/>
  <c r="G4239" i="167"/>
  <c r="E4239" i="167" s="1"/>
  <c r="D4239" i="167"/>
  <c r="E4238" i="167"/>
  <c r="D4238" i="167"/>
  <c r="B4238" i="167"/>
  <c r="G4236" i="167"/>
  <c r="E4236" i="167" s="1"/>
  <c r="D4236" i="167"/>
  <c r="E4235" i="167"/>
  <c r="D4235" i="167"/>
  <c r="B4235" i="167"/>
  <c r="G4233" i="167"/>
  <c r="E4233" i="167" s="1"/>
  <c r="D4233" i="167"/>
  <c r="E4232" i="167"/>
  <c r="D4232" i="167"/>
  <c r="B4232" i="167"/>
  <c r="G4230" i="167"/>
  <c r="E4230" i="167" s="1"/>
  <c r="D4230" i="167"/>
  <c r="E4229" i="167"/>
  <c r="D4229" i="167"/>
  <c r="B4229" i="167"/>
  <c r="G4227" i="167"/>
  <c r="E4227" i="167" s="1"/>
  <c r="D4227" i="167"/>
  <c r="E4226" i="167"/>
  <c r="D4226" i="167"/>
  <c r="B4226" i="167"/>
  <c r="G4224" i="167"/>
  <c r="E4224" i="167" s="1"/>
  <c r="D4224" i="167"/>
  <c r="E4223" i="167"/>
  <c r="D4223" i="167"/>
  <c r="B4223" i="167"/>
  <c r="G4221" i="167"/>
  <c r="E4221" i="167" s="1"/>
  <c r="D4221" i="167"/>
  <c r="E4220" i="167"/>
  <c r="D4220" i="167"/>
  <c r="B4220" i="167"/>
  <c r="G4218" i="167"/>
  <c r="E4218" i="167" s="1"/>
  <c r="D4218" i="167"/>
  <c r="E4217" i="167"/>
  <c r="D4217" i="167"/>
  <c r="B4217" i="167"/>
  <c r="G4215" i="167"/>
  <c r="E4215" i="167" s="1"/>
  <c r="D4215" i="167"/>
  <c r="E4214" i="167"/>
  <c r="D4214" i="167"/>
  <c r="B4214" i="167"/>
  <c r="G4212" i="167"/>
  <c r="E4212" i="167" s="1"/>
  <c r="D4212" i="167"/>
  <c r="E4211" i="167"/>
  <c r="D4211" i="167"/>
  <c r="B4211" i="167"/>
  <c r="G4209" i="167"/>
  <c r="E4209" i="167" s="1"/>
  <c r="D4209" i="167"/>
  <c r="E4208" i="167"/>
  <c r="D4208" i="167"/>
  <c r="B4208" i="167"/>
  <c r="G4206" i="167"/>
  <c r="E4206" i="167" s="1"/>
  <c r="D4206" i="167"/>
  <c r="E4205" i="167"/>
  <c r="D4205" i="167"/>
  <c r="B4205" i="167"/>
  <c r="G4203" i="167"/>
  <c r="E4203" i="167" s="1"/>
  <c r="D4203" i="167"/>
  <c r="E4202" i="167"/>
  <c r="D4202" i="167"/>
  <c r="B4202" i="167"/>
  <c r="G4200" i="167"/>
  <c r="E4200" i="167" s="1"/>
  <c r="D4200" i="167"/>
  <c r="E4199" i="167"/>
  <c r="D4199" i="167"/>
  <c r="B4199" i="167"/>
  <c r="G4197" i="167"/>
  <c r="E4197" i="167" s="1"/>
  <c r="D4197" i="167"/>
  <c r="E4196" i="167"/>
  <c r="D4196" i="167"/>
  <c r="B4196" i="167"/>
  <c r="G4194" i="167"/>
  <c r="E4194" i="167" s="1"/>
  <c r="D4194" i="167"/>
  <c r="E4193" i="167"/>
  <c r="D4193" i="167"/>
  <c r="B4193" i="167"/>
  <c r="G4191" i="167"/>
  <c r="E4191" i="167" s="1"/>
  <c r="D4191" i="167"/>
  <c r="E4190" i="167"/>
  <c r="D4190" i="167"/>
  <c r="B4190" i="167"/>
  <c r="G4188" i="167"/>
  <c r="E4188" i="167" s="1"/>
  <c r="D4188" i="167"/>
  <c r="E4187" i="167"/>
  <c r="D4187" i="167"/>
  <c r="B4187" i="167"/>
  <c r="D4185" i="167"/>
  <c r="A4185" i="167"/>
  <c r="A4224" i="167" s="1"/>
  <c r="A4236" i="167" s="1"/>
  <c r="A4248" i="167" s="1"/>
  <c r="A4260" i="167" s="1"/>
  <c r="A4275" i="167" s="1"/>
  <c r="A4308" i="167" s="1"/>
  <c r="A4311" i="167" s="1"/>
  <c r="A4320" i="167" s="1"/>
  <c r="A4332" i="167" s="1"/>
  <c r="A4338" i="167" s="1"/>
  <c r="A4362" i="167" s="1"/>
  <c r="A4392" i="167" s="1"/>
  <c r="A4493" i="167" s="1"/>
  <c r="A4517" i="167" s="1"/>
  <c r="A4547" i="167" s="1"/>
  <c r="E4184" i="167"/>
  <c r="D4184" i="167"/>
  <c r="B4184" i="167"/>
  <c r="B4185" i="167" s="1"/>
  <c r="G4182" i="167"/>
  <c r="E4182" i="167" s="1"/>
  <c r="D4182" i="167"/>
  <c r="E4181" i="167"/>
  <c r="D4181" i="167"/>
  <c r="B4181" i="167"/>
  <c r="G4179" i="167"/>
  <c r="E4179" i="167" s="1"/>
  <c r="D4179" i="167"/>
  <c r="E4178" i="167"/>
  <c r="D4178" i="167"/>
  <c r="B4178" i="167"/>
  <c r="H4176" i="167"/>
  <c r="H4194" i="167" s="1"/>
  <c r="H4197" i="167" s="1"/>
  <c r="H4200" i="167" s="1"/>
  <c r="H4206" i="167" s="1"/>
  <c r="H4227" i="167" s="1"/>
  <c r="H4233" i="167" s="1"/>
  <c r="H4242" i="167" s="1"/>
  <c r="H4257" i="167" s="1"/>
  <c r="H4263" i="167" s="1"/>
  <c r="H4293" i="167" s="1"/>
  <c r="H4302" i="167" s="1"/>
  <c r="H4335" i="167" s="1"/>
  <c r="H4341" i="167" s="1"/>
  <c r="H4344" i="167" s="1"/>
  <c r="H4347" i="167" s="1"/>
  <c r="H4368" i="167" s="1"/>
  <c r="H4371" i="167" s="1"/>
  <c r="H4380" i="167" s="1"/>
  <c r="H4389" i="167" s="1"/>
  <c r="H4403" i="167" s="1"/>
  <c r="H4442" i="167" s="1"/>
  <c r="H4457" i="167" s="1"/>
  <c r="H4466" i="167" s="1"/>
  <c r="H4475" i="167" s="1"/>
  <c r="H4496" i="167" s="1"/>
  <c r="H4505" i="167" s="1"/>
  <c r="H4508" i="167" s="1"/>
  <c r="H4514" i="167" s="1"/>
  <c r="H4526" i="167" s="1"/>
  <c r="H4532" i="167" s="1"/>
  <c r="H4538" i="167" s="1"/>
  <c r="H4557" i="167" s="1"/>
  <c r="H4560" i="167" s="1"/>
  <c r="H4566" i="167" s="1"/>
  <c r="H4572" i="167" s="1"/>
  <c r="G4176" i="167"/>
  <c r="E4176" i="167" s="1"/>
  <c r="D4176" i="167"/>
  <c r="A4176" i="167"/>
  <c r="A4194" i="167" s="1"/>
  <c r="A4197" i="167" s="1"/>
  <c r="A4200" i="167" s="1"/>
  <c r="A4206" i="167" s="1"/>
  <c r="A4227" i="167" s="1"/>
  <c r="A4233" i="167" s="1"/>
  <c r="A4242" i="167" s="1"/>
  <c r="A4257" i="167" s="1"/>
  <c r="A4263" i="167" s="1"/>
  <c r="A4293" i="167" s="1"/>
  <c r="A4302" i="167" s="1"/>
  <c r="A4335" i="167" s="1"/>
  <c r="A4341" i="167" s="1"/>
  <c r="A4344" i="167" s="1"/>
  <c r="A4347" i="167" s="1"/>
  <c r="A4368" i="167" s="1"/>
  <c r="A4371" i="167" s="1"/>
  <c r="A4380" i="167" s="1"/>
  <c r="A4389" i="167" s="1"/>
  <c r="A4403" i="167" s="1"/>
  <c r="A4442" i="167" s="1"/>
  <c r="A4457" i="167" s="1"/>
  <c r="A4466" i="167" s="1"/>
  <c r="A4475" i="167" s="1"/>
  <c r="A4496" i="167" s="1"/>
  <c r="A4505" i="167" s="1"/>
  <c r="A4508" i="167" s="1"/>
  <c r="A4514" i="167" s="1"/>
  <c r="A4526" i="167" s="1"/>
  <c r="A4532" i="167" s="1"/>
  <c r="A4538" i="167" s="1"/>
  <c r="A4557" i="167" s="1"/>
  <c r="A4560" i="167" s="1"/>
  <c r="A4566" i="167" s="1"/>
  <c r="A4572" i="167" s="1"/>
  <c r="E4175" i="167"/>
  <c r="D4175" i="167"/>
  <c r="B4175" i="167"/>
  <c r="G4173" i="167"/>
  <c r="E4173" i="167" s="1"/>
  <c r="D4173" i="167"/>
  <c r="E4172" i="167"/>
  <c r="D4172" i="167"/>
  <c r="B4172" i="167"/>
  <c r="G4170" i="167"/>
  <c r="E4170" i="167" s="1"/>
  <c r="B4169" i="167"/>
  <c r="D4170" i="167"/>
  <c r="E4169" i="167"/>
  <c r="D4169" i="167"/>
  <c r="B4433" i="167" l="1"/>
  <c r="B4436" i="167" s="1"/>
  <c r="G4630" i="167"/>
  <c r="F4632" i="167" s="1"/>
  <c r="E4632" i="167" s="1"/>
  <c r="E4624" i="167"/>
  <c r="H4544" i="167"/>
  <c r="H4551" i="167"/>
  <c r="H4563" i="167" s="1"/>
  <c r="H4569" i="167" s="1"/>
  <c r="H4575" i="167" s="1"/>
  <c r="B4224" i="167"/>
  <c r="B4236" i="167"/>
  <c r="B4248" i="167"/>
  <c r="B4260" i="167" s="1"/>
  <c r="B4275" i="167" s="1"/>
  <c r="B4308" i="167" s="1"/>
  <c r="B4311" i="167" s="1"/>
  <c r="B4320" i="167" s="1"/>
  <c r="B4332" i="167" s="1"/>
  <c r="B4338" i="167" s="1"/>
  <c r="B4362" i="167" s="1"/>
  <c r="B4392" i="167" s="1"/>
  <c r="B4493" i="167" s="1"/>
  <c r="B4517" i="167" s="1"/>
  <c r="B4547" i="167" s="1"/>
  <c r="E4672" i="167"/>
  <c r="B5235" i="166"/>
  <c r="B5232" i="166"/>
  <c r="B5229" i="166"/>
  <c r="B5226" i="166"/>
  <c r="B5223" i="166"/>
  <c r="D5144" i="166"/>
  <c r="E5144" i="166"/>
  <c r="A5145" i="166"/>
  <c r="D5145" i="166"/>
  <c r="G5145" i="166"/>
  <c r="E5145" i="166" s="1"/>
  <c r="H5145" i="166"/>
  <c r="I5145" i="166"/>
  <c r="D5147" i="166"/>
  <c r="E5147" i="166"/>
  <c r="A5148" i="166"/>
  <c r="D5148" i="166"/>
  <c r="G5148" i="166"/>
  <c r="E5148" i="166" s="1"/>
  <c r="H5148" i="166"/>
  <c r="I5148" i="166"/>
  <c r="D5150" i="166"/>
  <c r="E5150" i="166"/>
  <c r="A5151" i="166"/>
  <c r="D5151" i="166"/>
  <c r="G5151" i="166"/>
  <c r="E5151" i="166" s="1"/>
  <c r="H5151" i="166"/>
  <c r="I5151" i="166"/>
  <c r="D5153" i="166"/>
  <c r="E5153" i="166"/>
  <c r="A5154" i="166"/>
  <c r="D5154" i="166"/>
  <c r="G5154" i="166"/>
  <c r="E5154" i="166" s="1"/>
  <c r="H5154" i="166"/>
  <c r="I5154" i="166"/>
  <c r="D5156" i="166"/>
  <c r="E5156" i="166"/>
  <c r="A5157" i="166"/>
  <c r="D5157" i="166"/>
  <c r="G5157" i="166"/>
  <c r="E5157" i="166" s="1"/>
  <c r="H5157" i="166"/>
  <c r="I5157" i="166"/>
  <c r="D5159" i="166"/>
  <c r="E5159" i="166"/>
  <c r="A5160" i="166"/>
  <c r="D5160" i="166"/>
  <c r="G5160" i="166"/>
  <c r="E5160" i="166" s="1"/>
  <c r="H5160" i="166"/>
  <c r="I5160" i="166"/>
  <c r="D5162" i="166"/>
  <c r="E5162" i="166"/>
  <c r="A5163" i="166"/>
  <c r="D5163" i="166"/>
  <c r="G5163" i="166"/>
  <c r="E5163" i="166" s="1"/>
  <c r="H5163" i="166"/>
  <c r="I5163" i="166"/>
  <c r="D5165" i="166"/>
  <c r="E5165" i="166"/>
  <c r="A5166" i="166"/>
  <c r="D5166" i="166"/>
  <c r="G5166" i="166"/>
  <c r="E5166" i="166" s="1"/>
  <c r="H5166" i="166"/>
  <c r="I5166" i="166"/>
  <c r="D5168" i="166"/>
  <c r="E5168" i="166"/>
  <c r="A5169" i="166"/>
  <c r="D5169" i="166"/>
  <c r="G5169" i="166"/>
  <c r="E5169" i="166" s="1"/>
  <c r="H5169" i="166"/>
  <c r="I5169" i="166"/>
  <c r="D5171" i="166"/>
  <c r="E5171" i="166"/>
  <c r="A5172" i="166"/>
  <c r="D5172" i="166"/>
  <c r="G5172" i="166"/>
  <c r="E5172" i="166" s="1"/>
  <c r="H5172" i="166"/>
  <c r="I5172" i="166"/>
  <c r="D5174" i="166"/>
  <c r="E5174" i="166"/>
  <c r="A5175" i="166"/>
  <c r="D5175" i="166"/>
  <c r="G5175" i="166"/>
  <c r="E5175" i="166" s="1"/>
  <c r="H5175" i="166"/>
  <c r="I5175" i="166"/>
  <c r="D5177" i="166"/>
  <c r="E5177" i="166"/>
  <c r="A5178" i="166"/>
  <c r="D5178" i="166"/>
  <c r="G5178" i="166"/>
  <c r="E5178" i="166" s="1"/>
  <c r="H5178" i="166"/>
  <c r="I5178" i="166"/>
  <c r="D5180" i="166"/>
  <c r="E5180" i="166"/>
  <c r="A5181" i="166"/>
  <c r="D5181" i="166"/>
  <c r="G5181" i="166"/>
  <c r="E5181" i="166" s="1"/>
  <c r="H5181" i="166"/>
  <c r="I5181" i="166"/>
  <c r="D5183" i="166"/>
  <c r="E5183" i="166"/>
  <c r="A5184" i="166"/>
  <c r="D5184" i="166"/>
  <c r="G5184" i="166"/>
  <c r="E5184" i="166" s="1"/>
  <c r="H5184" i="166"/>
  <c r="I5184" i="166"/>
  <c r="D5186" i="166"/>
  <c r="E5186" i="166"/>
  <c r="A5187" i="166"/>
  <c r="D5187" i="166"/>
  <c r="G5187" i="166"/>
  <c r="E5187" i="166" s="1"/>
  <c r="H5187" i="166"/>
  <c r="I5187" i="166"/>
  <c r="D5189" i="166"/>
  <c r="E5189" i="166"/>
  <c r="A5190" i="166"/>
  <c r="D5190" i="166"/>
  <c r="G5190" i="166"/>
  <c r="E5190" i="166" s="1"/>
  <c r="H5190" i="166"/>
  <c r="I5190" i="166"/>
  <c r="D5192" i="166"/>
  <c r="E5192" i="166"/>
  <c r="A5193" i="166"/>
  <c r="D5193" i="166"/>
  <c r="G5193" i="166"/>
  <c r="E5193" i="166" s="1"/>
  <c r="H5193" i="166"/>
  <c r="I5193" i="166"/>
  <c r="D5195" i="166"/>
  <c r="E5195" i="166"/>
  <c r="A5196" i="166"/>
  <c r="D5196" i="166"/>
  <c r="G5196" i="166"/>
  <c r="E5196" i="166" s="1"/>
  <c r="H5196" i="166"/>
  <c r="I5196" i="166"/>
  <c r="D5198" i="166"/>
  <c r="E5198" i="166"/>
  <c r="A5199" i="166"/>
  <c r="D5199" i="166"/>
  <c r="G5199" i="166"/>
  <c r="E5199" i="166" s="1"/>
  <c r="H5199" i="166"/>
  <c r="I5199" i="166"/>
  <c r="D5201" i="166"/>
  <c r="E5201" i="166"/>
  <c r="A5202" i="166"/>
  <c r="D5202" i="166"/>
  <c r="G5202" i="166"/>
  <c r="E5202" i="166" s="1"/>
  <c r="H5202" i="166"/>
  <c r="I5202" i="166"/>
  <c r="D5204" i="166"/>
  <c r="E5204" i="166"/>
  <c r="A5205" i="166"/>
  <c r="D5205" i="166"/>
  <c r="G5205" i="166"/>
  <c r="E5205" i="166" s="1"/>
  <c r="H5205" i="166"/>
  <c r="I5205" i="166"/>
  <c r="D5207" i="166"/>
  <c r="F5207" i="166"/>
  <c r="E5207" i="166" s="1"/>
  <c r="A5208" i="166"/>
  <c r="A5209" i="166" s="1"/>
  <c r="D5208" i="166"/>
  <c r="E5208" i="166"/>
  <c r="H5208" i="166"/>
  <c r="H5209" i="166" s="1"/>
  <c r="I5208" i="166"/>
  <c r="I5209" i="166" s="1"/>
  <c r="D5209" i="166"/>
  <c r="E5209" i="166"/>
  <c r="D5211" i="166"/>
  <c r="F5211" i="166"/>
  <c r="E5211" i="166" s="1"/>
  <c r="A5212" i="166"/>
  <c r="A5213" i="166" s="1"/>
  <c r="D5212" i="166"/>
  <c r="E5212" i="166"/>
  <c r="H5212" i="166"/>
  <c r="H5213" i="166" s="1"/>
  <c r="I5212" i="166"/>
  <c r="I5213" i="166" s="1"/>
  <c r="D5213" i="166"/>
  <c r="E5213" i="166"/>
  <c r="B5215" i="166"/>
  <c r="B5216" i="166" s="1"/>
  <c r="B5217" i="166" s="1"/>
  <c r="B5218" i="166" s="1"/>
  <c r="B5219" i="166" s="1"/>
  <c r="B5220" i="166" s="1"/>
  <c r="B5221" i="166" s="1"/>
  <c r="D5215" i="166"/>
  <c r="E5215" i="166"/>
  <c r="A5216" i="166"/>
  <c r="A5217" i="166" s="1"/>
  <c r="A5218" i="166" s="1"/>
  <c r="A5219" i="166" s="1"/>
  <c r="A5220" i="166" s="1"/>
  <c r="A5221" i="166" s="1"/>
  <c r="D5216" i="166"/>
  <c r="E5216" i="166"/>
  <c r="D5217" i="166"/>
  <c r="E5217" i="166"/>
  <c r="D5218" i="166"/>
  <c r="E5218" i="166"/>
  <c r="D5219" i="166"/>
  <c r="E5219" i="166"/>
  <c r="D5220" i="166"/>
  <c r="E5220" i="166"/>
  <c r="D5221" i="166"/>
  <c r="E5221" i="166"/>
  <c r="D5223" i="166"/>
  <c r="E5223" i="166"/>
  <c r="A5224" i="166"/>
  <c r="B5224" i="166" s="1"/>
  <c r="D5224" i="166"/>
  <c r="G5224" i="166"/>
  <c r="E5224" i="166" s="1"/>
  <c r="H5224" i="166"/>
  <c r="D5226" i="166"/>
  <c r="E5226" i="166"/>
  <c r="A5227" i="166"/>
  <c r="B5227" i="166" s="1"/>
  <c r="D5227" i="166"/>
  <c r="G5227" i="166"/>
  <c r="E5227" i="166" s="1"/>
  <c r="H5227" i="166"/>
  <c r="D5229" i="166"/>
  <c r="E5229" i="166"/>
  <c r="A5230" i="166"/>
  <c r="B5230" i="166" s="1"/>
  <c r="D5230" i="166"/>
  <c r="G5230" i="166"/>
  <c r="E5230" i="166" s="1"/>
  <c r="H5230" i="166"/>
  <c r="D5232" i="166"/>
  <c r="E5232" i="166"/>
  <c r="A5233" i="166"/>
  <c r="B5233" i="166" s="1"/>
  <c r="D5233" i="166"/>
  <c r="G5233" i="166"/>
  <c r="E5233" i="166" s="1"/>
  <c r="H5233" i="166"/>
  <c r="D5235" i="166"/>
  <c r="E5235" i="166"/>
  <c r="A5236" i="166"/>
  <c r="B5236" i="166" s="1"/>
  <c r="D5236" i="166"/>
  <c r="G5236" i="166"/>
  <c r="E5236" i="166" s="1"/>
  <c r="H5236" i="166"/>
  <c r="B5105" i="166"/>
  <c r="B5102" i="166"/>
  <c r="B5099" i="166"/>
  <c r="B5096" i="166"/>
  <c r="B5093" i="166"/>
  <c r="B5090" i="166"/>
  <c r="B5087" i="166"/>
  <c r="B5084" i="166"/>
  <c r="B5081" i="166"/>
  <c r="B5078" i="166"/>
  <c r="B5079" i="166" s="1"/>
  <c r="B5075" i="166"/>
  <c r="B5063" i="166"/>
  <c r="B5064" i="166" s="1"/>
  <c r="B5065" i="166" s="1"/>
  <c r="D5063" i="166"/>
  <c r="F5063" i="166"/>
  <c r="E5063" i="166" s="1"/>
  <c r="A5064" i="166"/>
  <c r="A5065" i="166" s="1"/>
  <c r="D5064" i="166"/>
  <c r="E5064" i="166"/>
  <c r="H5064" i="166"/>
  <c r="H5065" i="166" s="1"/>
  <c r="D5065" i="166"/>
  <c r="E5065" i="166"/>
  <c r="I5065" i="166"/>
  <c r="B5067" i="166"/>
  <c r="B5068" i="166" s="1"/>
  <c r="B5069" i="166" s="1"/>
  <c r="D5067" i="166"/>
  <c r="F5067" i="166"/>
  <c r="E5067" i="166" s="1"/>
  <c r="A5068" i="166"/>
  <c r="A5069" i="166" s="1"/>
  <c r="D5068" i="166"/>
  <c r="E5068" i="166"/>
  <c r="H5068" i="166"/>
  <c r="H5069" i="166" s="1"/>
  <c r="D5069" i="166"/>
  <c r="E5069" i="166"/>
  <c r="I5069" i="166"/>
  <c r="B5071" i="166"/>
  <c r="B5072" i="166" s="1"/>
  <c r="B5073" i="166" s="1"/>
  <c r="D5071" i="166"/>
  <c r="F5071" i="166"/>
  <c r="E5071" i="166" s="1"/>
  <c r="A5072" i="166"/>
  <c r="A5073" i="166" s="1"/>
  <c r="D5072" i="166"/>
  <c r="E5072" i="166"/>
  <c r="H5072" i="166"/>
  <c r="H5073" i="166" s="1"/>
  <c r="D5073" i="166"/>
  <c r="E5073" i="166"/>
  <c r="I5073" i="166"/>
  <c r="D5075" i="166"/>
  <c r="E5075" i="166"/>
  <c r="A5076" i="166"/>
  <c r="B5076" i="166" s="1"/>
  <c r="D5076" i="166"/>
  <c r="G5076" i="166"/>
  <c r="E5076" i="166" s="1"/>
  <c r="H5076" i="166"/>
  <c r="I5076" i="166"/>
  <c r="D5078" i="166"/>
  <c r="E5078" i="166"/>
  <c r="A5079" i="166"/>
  <c r="D5079" i="166"/>
  <c r="G5079" i="166"/>
  <c r="E5079" i="166" s="1"/>
  <c r="H5079" i="166"/>
  <c r="I5079" i="166"/>
  <c r="D5081" i="166"/>
  <c r="E5081" i="166"/>
  <c r="A5082" i="166"/>
  <c r="B5082" i="166" s="1"/>
  <c r="D5082" i="166"/>
  <c r="G5082" i="166"/>
  <c r="E5082" i="166" s="1"/>
  <c r="H5082" i="166"/>
  <c r="I5082" i="166"/>
  <c r="D5084" i="166"/>
  <c r="E5084" i="166"/>
  <c r="A5085" i="166"/>
  <c r="B5085" i="166" s="1"/>
  <c r="D5085" i="166"/>
  <c r="G5085" i="166"/>
  <c r="E5085" i="166" s="1"/>
  <c r="H5085" i="166"/>
  <c r="I5085" i="166"/>
  <c r="D5087" i="166"/>
  <c r="E5087" i="166"/>
  <c r="A5088" i="166"/>
  <c r="B5088" i="166" s="1"/>
  <c r="D5088" i="166"/>
  <c r="G5088" i="166"/>
  <c r="E5088" i="166" s="1"/>
  <c r="H5088" i="166"/>
  <c r="I5088" i="166"/>
  <c r="D5090" i="166"/>
  <c r="E5090" i="166"/>
  <c r="A5091" i="166"/>
  <c r="B5091" i="166" s="1"/>
  <c r="D5091" i="166"/>
  <c r="G5091" i="166"/>
  <c r="E5091" i="166" s="1"/>
  <c r="H5091" i="166"/>
  <c r="I5091" i="166"/>
  <c r="D5093" i="166"/>
  <c r="E5093" i="166"/>
  <c r="A5094" i="166"/>
  <c r="B5094" i="166" s="1"/>
  <c r="D5094" i="166"/>
  <c r="G5094" i="166"/>
  <c r="E5094" i="166" s="1"/>
  <c r="H5094" i="166"/>
  <c r="I5094" i="166"/>
  <c r="D5096" i="166"/>
  <c r="E5096" i="166"/>
  <c r="A5097" i="166"/>
  <c r="B5097" i="166" s="1"/>
  <c r="D5097" i="166"/>
  <c r="G5097" i="166"/>
  <c r="E5097" i="166" s="1"/>
  <c r="H5097" i="166"/>
  <c r="I5097" i="166"/>
  <c r="D5099" i="166"/>
  <c r="E5099" i="166"/>
  <c r="A5100" i="166"/>
  <c r="B5100" i="166" s="1"/>
  <c r="D5100" i="166"/>
  <c r="G5100" i="166"/>
  <c r="E5100" i="166" s="1"/>
  <c r="H5100" i="166"/>
  <c r="I5100" i="166"/>
  <c r="D5102" i="166"/>
  <c r="E5102" i="166"/>
  <c r="A5103" i="166"/>
  <c r="B5103" i="166" s="1"/>
  <c r="D5103" i="166"/>
  <c r="G5103" i="166"/>
  <c r="E5103" i="166" s="1"/>
  <c r="H5103" i="166"/>
  <c r="I5103" i="166"/>
  <c r="D5105" i="166"/>
  <c r="E5105" i="166"/>
  <c r="A5106" i="166"/>
  <c r="B5106" i="166" s="1"/>
  <c r="D5106" i="166"/>
  <c r="G5106" i="166"/>
  <c r="E5106" i="166" s="1"/>
  <c r="H5106" i="166"/>
  <c r="I5106" i="166"/>
  <c r="D5108" i="166"/>
  <c r="E5108" i="166"/>
  <c r="A5109" i="166"/>
  <c r="D5109" i="166"/>
  <c r="G5109" i="166"/>
  <c r="E5109" i="166" s="1"/>
  <c r="H5109" i="166"/>
  <c r="I5109" i="166"/>
  <c r="D5111" i="166"/>
  <c r="E5111" i="166"/>
  <c r="A5112" i="166"/>
  <c r="D5112" i="166"/>
  <c r="G5112" i="166"/>
  <c r="E5112" i="166" s="1"/>
  <c r="H5112" i="166"/>
  <c r="I5112" i="166"/>
  <c r="D5114" i="166"/>
  <c r="E5114" i="166"/>
  <c r="A5115" i="166"/>
  <c r="D5115" i="166"/>
  <c r="G5115" i="166"/>
  <c r="E5115" i="166" s="1"/>
  <c r="H5115" i="166"/>
  <c r="I5115" i="166"/>
  <c r="D5117" i="166"/>
  <c r="E5117" i="166"/>
  <c r="A5118" i="166"/>
  <c r="D5118" i="166"/>
  <c r="G5118" i="166"/>
  <c r="E5118" i="166" s="1"/>
  <c r="H5118" i="166"/>
  <c r="I5118" i="166"/>
  <c r="D5120" i="166"/>
  <c r="E5120" i="166"/>
  <c r="A5121" i="166"/>
  <c r="D5121" i="166"/>
  <c r="G5121" i="166"/>
  <c r="E5121" i="166" s="1"/>
  <c r="H5121" i="166"/>
  <c r="I5121" i="166"/>
  <c r="D5123" i="166"/>
  <c r="E5123" i="166"/>
  <c r="A5124" i="166"/>
  <c r="D5124" i="166"/>
  <c r="G5124" i="166"/>
  <c r="E5124" i="166" s="1"/>
  <c r="H5124" i="166"/>
  <c r="I5124" i="166"/>
  <c r="D5126" i="166"/>
  <c r="E5126" i="166"/>
  <c r="A5127" i="166"/>
  <c r="D5127" i="166"/>
  <c r="G5127" i="166"/>
  <c r="E5127" i="166" s="1"/>
  <c r="H5127" i="166"/>
  <c r="I5127" i="166"/>
  <c r="D5129" i="166"/>
  <c r="E5129" i="166"/>
  <c r="A5130" i="166"/>
  <c r="D5130" i="166"/>
  <c r="G5130" i="166"/>
  <c r="E5130" i="166" s="1"/>
  <c r="H5130" i="166"/>
  <c r="I5130" i="166"/>
  <c r="D5132" i="166"/>
  <c r="E5132" i="166"/>
  <c r="A5133" i="166"/>
  <c r="D5133" i="166"/>
  <c r="G5133" i="166"/>
  <c r="E5133" i="166" s="1"/>
  <c r="H5133" i="166"/>
  <c r="I5133" i="166"/>
  <c r="D5135" i="166"/>
  <c r="E5135" i="166"/>
  <c r="A5136" i="166"/>
  <c r="D5136" i="166"/>
  <c r="G5136" i="166"/>
  <c r="E5136" i="166" s="1"/>
  <c r="H5136" i="166"/>
  <c r="I5136" i="166"/>
  <c r="D5138" i="166"/>
  <c r="E5138" i="166"/>
  <c r="A5139" i="166"/>
  <c r="D5139" i="166"/>
  <c r="G5139" i="166"/>
  <c r="E5139" i="166" s="1"/>
  <c r="H5139" i="166"/>
  <c r="I5139" i="166"/>
  <c r="D5141" i="166"/>
  <c r="E5141" i="166"/>
  <c r="A5142" i="166"/>
  <c r="D5142" i="166"/>
  <c r="G5142" i="166"/>
  <c r="E5142" i="166" s="1"/>
  <c r="H5142" i="166"/>
  <c r="I5142" i="166"/>
  <c r="B4994" i="166"/>
  <c r="B4995" i="166" s="1"/>
  <c r="D4994" i="166"/>
  <c r="E4994" i="166"/>
  <c r="A4995" i="166"/>
  <c r="D4995" i="166"/>
  <c r="G4995" i="166"/>
  <c r="E4995" i="166" s="1"/>
  <c r="H4995" i="166"/>
  <c r="B4997" i="166"/>
  <c r="B4998" i="166" s="1"/>
  <c r="D4997" i="166"/>
  <c r="E4997" i="166"/>
  <c r="A4998" i="166"/>
  <c r="D4998" i="166"/>
  <c r="G4998" i="166"/>
  <c r="E4998" i="166" s="1"/>
  <c r="H4998" i="166"/>
  <c r="B5000" i="166"/>
  <c r="B5001" i="166" s="1"/>
  <c r="D5000" i="166"/>
  <c r="E5000" i="166"/>
  <c r="A5001" i="166"/>
  <c r="D5001" i="166"/>
  <c r="G5001" i="166"/>
  <c r="E5001" i="166" s="1"/>
  <c r="H5001" i="166"/>
  <c r="B5003" i="166"/>
  <c r="B5004" i="166" s="1"/>
  <c r="D5003" i="166"/>
  <c r="E5003" i="166"/>
  <c r="A5004" i="166"/>
  <c r="D5004" i="166"/>
  <c r="G5004" i="166"/>
  <c r="E5004" i="166" s="1"/>
  <c r="H5004" i="166"/>
  <c r="B5006" i="166"/>
  <c r="B5007" i="166" s="1"/>
  <c r="D5006" i="166"/>
  <c r="E5006" i="166"/>
  <c r="A5007" i="166"/>
  <c r="D5007" i="166"/>
  <c r="G5007" i="166"/>
  <c r="E5007" i="166" s="1"/>
  <c r="H5007" i="166"/>
  <c r="B5009" i="166"/>
  <c r="B5010" i="166" s="1"/>
  <c r="D5009" i="166"/>
  <c r="E5009" i="166"/>
  <c r="A5010" i="166"/>
  <c r="D5010" i="166"/>
  <c r="G5010" i="166"/>
  <c r="E5010" i="166" s="1"/>
  <c r="H5010" i="166"/>
  <c r="B5012" i="166"/>
  <c r="B5013" i="166" s="1"/>
  <c r="D5012" i="166"/>
  <c r="E5012" i="166"/>
  <c r="A5013" i="166"/>
  <c r="D5013" i="166"/>
  <c r="G5013" i="166"/>
  <c r="E5013" i="166" s="1"/>
  <c r="H5013" i="166"/>
  <c r="B5015" i="166"/>
  <c r="B5016" i="166" s="1"/>
  <c r="D5015" i="166"/>
  <c r="E5015" i="166"/>
  <c r="A5016" i="166"/>
  <c r="D5016" i="166"/>
  <c r="G5016" i="166"/>
  <c r="E5016" i="166" s="1"/>
  <c r="H5016" i="166"/>
  <c r="B5018" i="166"/>
  <c r="B5019" i="166" s="1"/>
  <c r="D5018" i="166"/>
  <c r="E5018" i="166"/>
  <c r="A5019" i="166"/>
  <c r="D5019" i="166"/>
  <c r="G5019" i="166"/>
  <c r="E5019" i="166" s="1"/>
  <c r="H5019" i="166"/>
  <c r="B5021" i="166"/>
  <c r="B5022" i="166" s="1"/>
  <c r="D5021" i="166"/>
  <c r="E5021" i="166"/>
  <c r="A5022" i="166"/>
  <c r="D5022" i="166"/>
  <c r="G5022" i="166"/>
  <c r="E5022" i="166" s="1"/>
  <c r="H5022" i="166"/>
  <c r="B5024" i="166"/>
  <c r="B5025" i="166" s="1"/>
  <c r="D5024" i="166"/>
  <c r="E5024" i="166"/>
  <c r="A5025" i="166"/>
  <c r="D5025" i="166"/>
  <c r="G5025" i="166"/>
  <c r="E5025" i="166" s="1"/>
  <c r="H5025" i="166"/>
  <c r="B5027" i="166"/>
  <c r="B5028" i="166" s="1"/>
  <c r="D5027" i="166"/>
  <c r="E5027" i="166"/>
  <c r="A5028" i="166"/>
  <c r="D5028" i="166"/>
  <c r="G5028" i="166"/>
  <c r="E5028" i="166" s="1"/>
  <c r="H5028" i="166"/>
  <c r="B5030" i="166"/>
  <c r="B5031" i="166" s="1"/>
  <c r="D5030" i="166"/>
  <c r="E5030" i="166"/>
  <c r="A5031" i="166"/>
  <c r="D5031" i="166"/>
  <c r="G5031" i="166"/>
  <c r="E5031" i="166" s="1"/>
  <c r="H5031" i="166"/>
  <c r="B5033" i="166"/>
  <c r="B5034" i="166" s="1"/>
  <c r="D5033" i="166"/>
  <c r="E5033" i="166"/>
  <c r="A5034" i="166"/>
  <c r="D5034" i="166"/>
  <c r="G5034" i="166"/>
  <c r="E5034" i="166" s="1"/>
  <c r="H5034" i="166"/>
  <c r="B5036" i="166"/>
  <c r="B5037" i="166" s="1"/>
  <c r="D5036" i="166"/>
  <c r="E5036" i="166"/>
  <c r="A5037" i="166"/>
  <c r="D5037" i="166"/>
  <c r="G5037" i="166"/>
  <c r="E5037" i="166" s="1"/>
  <c r="H5037" i="166"/>
  <c r="B5039" i="166"/>
  <c r="B5040" i="166" s="1"/>
  <c r="D5039" i="166"/>
  <c r="E5039" i="166"/>
  <c r="A5040" i="166"/>
  <c r="D5040" i="166"/>
  <c r="G5040" i="166"/>
  <c r="E5040" i="166" s="1"/>
  <c r="H5040" i="166"/>
  <c r="B5042" i="166"/>
  <c r="B5043" i="166" s="1"/>
  <c r="D5042" i="166"/>
  <c r="E5042" i="166"/>
  <c r="A5043" i="166"/>
  <c r="D5043" i="166"/>
  <c r="G5043" i="166"/>
  <c r="E5043" i="166" s="1"/>
  <c r="H5043" i="166"/>
  <c r="B5045" i="166"/>
  <c r="B5046" i="166" s="1"/>
  <c r="D5045" i="166"/>
  <c r="E5045" i="166"/>
  <c r="A5046" i="166"/>
  <c r="D5046" i="166"/>
  <c r="G5046" i="166"/>
  <c r="E5046" i="166" s="1"/>
  <c r="H5046" i="166"/>
  <c r="B5048" i="166"/>
  <c r="B5049" i="166" s="1"/>
  <c r="D5048" i="166"/>
  <c r="E5048" i="166"/>
  <c r="A5049" i="166"/>
  <c r="D5049" i="166"/>
  <c r="G5049" i="166"/>
  <c r="E5049" i="166" s="1"/>
  <c r="H5049" i="166"/>
  <c r="B5051" i="166"/>
  <c r="B5052" i="166" s="1"/>
  <c r="D5051" i="166"/>
  <c r="E5051" i="166"/>
  <c r="A5052" i="166"/>
  <c r="D5052" i="166"/>
  <c r="G5052" i="166"/>
  <c r="E5052" i="166" s="1"/>
  <c r="H5052" i="166"/>
  <c r="B5054" i="166"/>
  <c r="B5055" i="166" s="1"/>
  <c r="D5054" i="166"/>
  <c r="E5054" i="166"/>
  <c r="A5055" i="166"/>
  <c r="D5055" i="166"/>
  <c r="G5055" i="166"/>
  <c r="E5055" i="166" s="1"/>
  <c r="H5055" i="166"/>
  <c r="B5057" i="166"/>
  <c r="B5058" i="166" s="1"/>
  <c r="D5057" i="166"/>
  <c r="E5057" i="166"/>
  <c r="A5058" i="166"/>
  <c r="D5058" i="166"/>
  <c r="G5058" i="166"/>
  <c r="E5058" i="166" s="1"/>
  <c r="H5058" i="166"/>
  <c r="B5060" i="166"/>
  <c r="B5061" i="166" s="1"/>
  <c r="D5060" i="166"/>
  <c r="E5060" i="166"/>
  <c r="A5061" i="166"/>
  <c r="D5061" i="166"/>
  <c r="G5061" i="166"/>
  <c r="E5061" i="166" s="1"/>
  <c r="H5061" i="166"/>
  <c r="H4905" i="166"/>
  <c r="G4905" i="166"/>
  <c r="E4905" i="166" s="1"/>
  <c r="D4905" i="166"/>
  <c r="A4905" i="166"/>
  <c r="E4904" i="166"/>
  <c r="D4904" i="166"/>
  <c r="B4904" i="166"/>
  <c r="B4905" i="166" s="1"/>
  <c r="E4630" i="167" l="1"/>
  <c r="F4428" i="167"/>
  <c r="E4428" i="167" s="1"/>
  <c r="E4673" i="167"/>
  <c r="E4671" i="167"/>
  <c r="E4674" i="167"/>
  <c r="B5108" i="166"/>
  <c r="B5109" i="166" s="1"/>
  <c r="B5111" i="166" s="1"/>
  <c r="B5112" i="166" s="1"/>
  <c r="B5114" i="166" s="1"/>
  <c r="B5115" i="166" s="1"/>
  <c r="B5117" i="166" s="1"/>
  <c r="B5118" i="166" s="1"/>
  <c r="B5120" i="166" s="1"/>
  <c r="B5121" i="166" s="1"/>
  <c r="B5123" i="166" s="1"/>
  <c r="B5124" i="166" s="1"/>
  <c r="B5126" i="166" s="1"/>
  <c r="B5127" i="166" s="1"/>
  <c r="B5129" i="166" s="1"/>
  <c r="B5130" i="166" s="1"/>
  <c r="B5132" i="166" s="1"/>
  <c r="B5133" i="166" s="1"/>
  <c r="B5135" i="166" s="1"/>
  <c r="B5136" i="166" s="1"/>
  <c r="B5138" i="166" s="1"/>
  <c r="B5139" i="166" s="1"/>
  <c r="B5141" i="166" s="1"/>
  <c r="B5142" i="166" s="1"/>
  <c r="B5144" i="166" s="1"/>
  <c r="B5145" i="166" s="1"/>
  <c r="B5147" i="166" s="1"/>
  <c r="B5148" i="166" s="1"/>
  <c r="B5150" i="166" s="1"/>
  <c r="B5151" i="166" s="1"/>
  <c r="B5153" i="166" s="1"/>
  <c r="B5154" i="166" s="1"/>
  <c r="B5156" i="166" s="1"/>
  <c r="B5157" i="166" s="1"/>
  <c r="B5159" i="166" s="1"/>
  <c r="B5160" i="166" s="1"/>
  <c r="B5162" i="166" s="1"/>
  <c r="B5163" i="166" s="1"/>
  <c r="B5165" i="166" s="1"/>
  <c r="B5166" i="166" s="1"/>
  <c r="B5168" i="166" s="1"/>
  <c r="B5169" i="166" s="1"/>
  <c r="B5171" i="166" s="1"/>
  <c r="B5172" i="166" s="1"/>
  <c r="B5174" i="166" s="1"/>
  <c r="B5175" i="166" s="1"/>
  <c r="B5177" i="166" s="1"/>
  <c r="B5178" i="166" s="1"/>
  <c r="B5180" i="166" s="1"/>
  <c r="B5181" i="166" s="1"/>
  <c r="B5183" i="166" s="1"/>
  <c r="B5184" i="166" s="1"/>
  <c r="B5186" i="166" s="1"/>
  <c r="B5187" i="166" s="1"/>
  <c r="B5189" i="166" s="1"/>
  <c r="B5190" i="166" s="1"/>
  <c r="B5192" i="166" s="1"/>
  <c r="B5193" i="166" s="1"/>
  <c r="B5195" i="166" s="1"/>
  <c r="B5196" i="166" s="1"/>
  <c r="B5198" i="166" s="1"/>
  <c r="B5199" i="166" s="1"/>
  <c r="B5201" i="166" s="1"/>
  <c r="B5202" i="166" s="1"/>
  <c r="B5204" i="166" s="1"/>
  <c r="B5205" i="166" s="1"/>
  <c r="B5207" i="166" s="1"/>
  <c r="B5208" i="166" s="1"/>
  <c r="B5209" i="166" s="1"/>
  <c r="B5211" i="166" s="1"/>
  <c r="B5212" i="166" s="1"/>
  <c r="B5213" i="166" s="1"/>
  <c r="E4676" i="167" l="1"/>
  <c r="E4677" i="167"/>
  <c r="E4678" i="167"/>
  <c r="H4992" i="166"/>
  <c r="G4992" i="166"/>
  <c r="E4992" i="166" s="1"/>
  <c r="D4992" i="166"/>
  <c r="A4992" i="166"/>
  <c r="E4991" i="166"/>
  <c r="D4991" i="166"/>
  <c r="B4991" i="166"/>
  <c r="B4992" i="166" s="1"/>
  <c r="H4989" i="166"/>
  <c r="G4989" i="166"/>
  <c r="E4989" i="166" s="1"/>
  <c r="D4989" i="166"/>
  <c r="A4989" i="166"/>
  <c r="E4988" i="166"/>
  <c r="D4988" i="166"/>
  <c r="B4988" i="166"/>
  <c r="B4989" i="166" s="1"/>
  <c r="H4986" i="166"/>
  <c r="G4986" i="166"/>
  <c r="E4986" i="166" s="1"/>
  <c r="D4986" i="166"/>
  <c r="A4986" i="166"/>
  <c r="E4985" i="166"/>
  <c r="D4985" i="166"/>
  <c r="B4985" i="166"/>
  <c r="B4986" i="166" s="1"/>
  <c r="H4983" i="166"/>
  <c r="G4983" i="166"/>
  <c r="E4983" i="166" s="1"/>
  <c r="D4983" i="166"/>
  <c r="A4983" i="166"/>
  <c r="E4982" i="166"/>
  <c r="D4982" i="166"/>
  <c r="B4982" i="166"/>
  <c r="B4983" i="166" s="1"/>
  <c r="H4980" i="166"/>
  <c r="G4980" i="166"/>
  <c r="E4980" i="166" s="1"/>
  <c r="D4980" i="166"/>
  <c r="A4980" i="166"/>
  <c r="E4979" i="166"/>
  <c r="D4979" i="166"/>
  <c r="B4979" i="166"/>
  <c r="B4980" i="166" s="1"/>
  <c r="H4977" i="166"/>
  <c r="G4977" i="166"/>
  <c r="E4977" i="166" s="1"/>
  <c r="D4977" i="166"/>
  <c r="A4977" i="166"/>
  <c r="E4976" i="166"/>
  <c r="D4976" i="166"/>
  <c r="B4976" i="166"/>
  <c r="B4977" i="166" s="1"/>
  <c r="H4974" i="166"/>
  <c r="G4974" i="166"/>
  <c r="E4974" i="166" s="1"/>
  <c r="D4974" i="166"/>
  <c r="A4974" i="166"/>
  <c r="E4973" i="166"/>
  <c r="D4973" i="166"/>
  <c r="B4973" i="166"/>
  <c r="B4974" i="166" s="1"/>
  <c r="H4971" i="166"/>
  <c r="G4971" i="166"/>
  <c r="E4971" i="166" s="1"/>
  <c r="D4971" i="166"/>
  <c r="A4971" i="166"/>
  <c r="E4970" i="166"/>
  <c r="D4970" i="166"/>
  <c r="B4970" i="166"/>
  <c r="B4971" i="166" s="1"/>
  <c r="H4968" i="166"/>
  <c r="G4968" i="166"/>
  <c r="E4968" i="166" s="1"/>
  <c r="D4968" i="166"/>
  <c r="A4968" i="166"/>
  <c r="E4967" i="166"/>
  <c r="D4967" i="166"/>
  <c r="B4967" i="166"/>
  <c r="B4968" i="166" s="1"/>
  <c r="H4965" i="166"/>
  <c r="G4965" i="166"/>
  <c r="E4965" i="166" s="1"/>
  <c r="D4965" i="166"/>
  <c r="A4965" i="166"/>
  <c r="E4964" i="166"/>
  <c r="D4964" i="166"/>
  <c r="B4964" i="166"/>
  <c r="B4965" i="166" s="1"/>
  <c r="H4962" i="166"/>
  <c r="G4962" i="166"/>
  <c r="E4962" i="166" s="1"/>
  <c r="D4962" i="166"/>
  <c r="A4962" i="166"/>
  <c r="E4961" i="166"/>
  <c r="D4961" i="166"/>
  <c r="B4961" i="166"/>
  <c r="B4962" i="166" s="1"/>
  <c r="H4959" i="166"/>
  <c r="G4959" i="166"/>
  <c r="E4959" i="166" s="1"/>
  <c r="D4959" i="166"/>
  <c r="A4959" i="166"/>
  <c r="E4958" i="166"/>
  <c r="D4958" i="166"/>
  <c r="B4958" i="166"/>
  <c r="B4959" i="166" s="1"/>
  <c r="H4956" i="166"/>
  <c r="G4956" i="166"/>
  <c r="E4956" i="166" s="1"/>
  <c r="D4956" i="166"/>
  <c r="A4956" i="166"/>
  <c r="E4955" i="166"/>
  <c r="D4955" i="166"/>
  <c r="B4955" i="166"/>
  <c r="B4956" i="166" s="1"/>
  <c r="H4953" i="166"/>
  <c r="G4953" i="166"/>
  <c r="E4953" i="166" s="1"/>
  <c r="D4953" i="166"/>
  <c r="A4953" i="166"/>
  <c r="E4952" i="166"/>
  <c r="D4952" i="166"/>
  <c r="B4952" i="166"/>
  <c r="B4953" i="166" s="1"/>
  <c r="H4950" i="166"/>
  <c r="G4950" i="166"/>
  <c r="E4950" i="166" s="1"/>
  <c r="D4950" i="166"/>
  <c r="A4950" i="166"/>
  <c r="E4949" i="166"/>
  <c r="D4949" i="166"/>
  <c r="B4949" i="166"/>
  <c r="B4950" i="166" s="1"/>
  <c r="H4947" i="166"/>
  <c r="G4947" i="166"/>
  <c r="E4947" i="166" s="1"/>
  <c r="D4947" i="166"/>
  <c r="A4947" i="166"/>
  <c r="E4946" i="166"/>
  <c r="D4946" i="166"/>
  <c r="B4946" i="166"/>
  <c r="B4947" i="166" s="1"/>
  <c r="H4944" i="166"/>
  <c r="G4944" i="166"/>
  <c r="E4944" i="166" s="1"/>
  <c r="D4944" i="166"/>
  <c r="A4944" i="166"/>
  <c r="E4943" i="166"/>
  <c r="D4943" i="166"/>
  <c r="B4943" i="166"/>
  <c r="B4944" i="166" s="1"/>
  <c r="H4941" i="166"/>
  <c r="G4941" i="166"/>
  <c r="E4941" i="166" s="1"/>
  <c r="D4941" i="166"/>
  <c r="A4941" i="166"/>
  <c r="E4940" i="166"/>
  <c r="D4940" i="166"/>
  <c r="B4940" i="166"/>
  <c r="B4941" i="166" s="1"/>
  <c r="H4938" i="166"/>
  <c r="G4938" i="166"/>
  <c r="E4938" i="166" s="1"/>
  <c r="D4938" i="166"/>
  <c r="A4938" i="166"/>
  <c r="E4937" i="166"/>
  <c r="D4937" i="166"/>
  <c r="B4937" i="166"/>
  <c r="B4938" i="166" s="1"/>
  <c r="H4935" i="166"/>
  <c r="G4935" i="166"/>
  <c r="E4935" i="166" s="1"/>
  <c r="D4935" i="166"/>
  <c r="A4935" i="166"/>
  <c r="E4934" i="166"/>
  <c r="D4934" i="166"/>
  <c r="B4934" i="166"/>
  <c r="B4935" i="166" s="1"/>
  <c r="H4932" i="166"/>
  <c r="G4932" i="166"/>
  <c r="E4932" i="166" s="1"/>
  <c r="D4932" i="166"/>
  <c r="A4932" i="166"/>
  <c r="E4931" i="166"/>
  <c r="D4931" i="166"/>
  <c r="B4931" i="166"/>
  <c r="B4932" i="166" s="1"/>
  <c r="H4929" i="166"/>
  <c r="G4929" i="166"/>
  <c r="E4929" i="166" s="1"/>
  <c r="D4929" i="166"/>
  <c r="A4929" i="166"/>
  <c r="E4928" i="166"/>
  <c r="D4928" i="166"/>
  <c r="B4928" i="166"/>
  <c r="B4929" i="166" s="1"/>
  <c r="H4926" i="166"/>
  <c r="G4926" i="166"/>
  <c r="E4926" i="166" s="1"/>
  <c r="D4926" i="166"/>
  <c r="A4926" i="166"/>
  <c r="E4925" i="166"/>
  <c r="D4925" i="166"/>
  <c r="B4925" i="166"/>
  <c r="B4926" i="166" s="1"/>
  <c r="H4923" i="166"/>
  <c r="G4923" i="166"/>
  <c r="E4923" i="166" s="1"/>
  <c r="D4923" i="166"/>
  <c r="A4923" i="166"/>
  <c r="E4922" i="166"/>
  <c r="D4922" i="166"/>
  <c r="B4922" i="166"/>
  <c r="B4923" i="166" s="1"/>
  <c r="H4920" i="166"/>
  <c r="G4920" i="166"/>
  <c r="E4920" i="166" s="1"/>
  <c r="D4920" i="166"/>
  <c r="A4920" i="166"/>
  <c r="E4919" i="166"/>
  <c r="D4919" i="166"/>
  <c r="B4919" i="166"/>
  <c r="B4920" i="166" s="1"/>
  <c r="H4917" i="166"/>
  <c r="G4917" i="166"/>
  <c r="E4917" i="166" s="1"/>
  <c r="D4917" i="166"/>
  <c r="A4917" i="166"/>
  <c r="E4916" i="166"/>
  <c r="D4916" i="166"/>
  <c r="B4916" i="166"/>
  <c r="B4917" i="166" s="1"/>
  <c r="H4914" i="166"/>
  <c r="G4914" i="166"/>
  <c r="E4914" i="166" s="1"/>
  <c r="D4914" i="166"/>
  <c r="A4914" i="166"/>
  <c r="E4913" i="166"/>
  <c r="D4913" i="166"/>
  <c r="B4913" i="166"/>
  <c r="B4914" i="166" s="1"/>
  <c r="H4911" i="166"/>
  <c r="G4911" i="166"/>
  <c r="E4911" i="166" s="1"/>
  <c r="D4911" i="166"/>
  <c r="A4911" i="166"/>
  <c r="E4910" i="166"/>
  <c r="D4910" i="166"/>
  <c r="B4910" i="166"/>
  <c r="B4911" i="166" s="1"/>
  <c r="H4908" i="166"/>
  <c r="G4908" i="166"/>
  <c r="E4908" i="166" s="1"/>
  <c r="D4908" i="166"/>
  <c r="A4908" i="166"/>
  <c r="E4907" i="166"/>
  <c r="D4907" i="166"/>
  <c r="B4907" i="166"/>
  <c r="B4908" i="166" s="1"/>
  <c r="H4902" i="166"/>
  <c r="G4902" i="166"/>
  <c r="E4902" i="166" s="1"/>
  <c r="D4902" i="166"/>
  <c r="A4902" i="166"/>
  <c r="E4901" i="166"/>
  <c r="D4901" i="166"/>
  <c r="B4901" i="166"/>
  <c r="B4902" i="166" s="1"/>
  <c r="H4899" i="166"/>
  <c r="G4899" i="166"/>
  <c r="E4899" i="166" s="1"/>
  <c r="D4899" i="166"/>
  <c r="A4899" i="166"/>
  <c r="E4898" i="166"/>
  <c r="D4898" i="166"/>
  <c r="B4898" i="166"/>
  <c r="B4899" i="166" s="1"/>
  <c r="H4896" i="166"/>
  <c r="G4896" i="166"/>
  <c r="E4896" i="166" s="1"/>
  <c r="D4896" i="166"/>
  <c r="A4896" i="166"/>
  <c r="E4895" i="166"/>
  <c r="D4895" i="166"/>
  <c r="B4895" i="166"/>
  <c r="B4896" i="166" s="1"/>
  <c r="H4893" i="166"/>
  <c r="G4893" i="166"/>
  <c r="E4893" i="166" s="1"/>
  <c r="D4893" i="166"/>
  <c r="A4893" i="166"/>
  <c r="E4892" i="166"/>
  <c r="D4892" i="166"/>
  <c r="B4892" i="166"/>
  <c r="B4893" i="166" s="1"/>
  <c r="H4890" i="166"/>
  <c r="G4890" i="166"/>
  <c r="E4890" i="166" s="1"/>
  <c r="D4890" i="166"/>
  <c r="A4890" i="166"/>
  <c r="E4889" i="166"/>
  <c r="D4889" i="166"/>
  <c r="B4889" i="166"/>
  <c r="B4890" i="166" s="1"/>
  <c r="H4887" i="166"/>
  <c r="G4887" i="166"/>
  <c r="E4887" i="166" s="1"/>
  <c r="D4887" i="166"/>
  <c r="A4887" i="166"/>
  <c r="E4886" i="166"/>
  <c r="D4886" i="166"/>
  <c r="B4886" i="166"/>
  <c r="B4887" i="166" s="1"/>
  <c r="H4884" i="166"/>
  <c r="G4884" i="166"/>
  <c r="E4884" i="166" s="1"/>
  <c r="D4884" i="166"/>
  <c r="A4884" i="166"/>
  <c r="E4883" i="166"/>
  <c r="D4883" i="166"/>
  <c r="B4883" i="166"/>
  <c r="B4884" i="166" s="1"/>
  <c r="H4881" i="166"/>
  <c r="G4881" i="166"/>
  <c r="E4881" i="166" s="1"/>
  <c r="D4881" i="166"/>
  <c r="A4881" i="166"/>
  <c r="E4880" i="166"/>
  <c r="D4880" i="166"/>
  <c r="B4880" i="166"/>
  <c r="B4881" i="166" s="1"/>
  <c r="H4878" i="166"/>
  <c r="G4878" i="166"/>
  <c r="E4878" i="166" s="1"/>
  <c r="D4878" i="166"/>
  <c r="A4878" i="166"/>
  <c r="E4877" i="166"/>
  <c r="D4877" i="166"/>
  <c r="B4877" i="166"/>
  <c r="B4878" i="166" s="1"/>
  <c r="H4875" i="166"/>
  <c r="G4875" i="166"/>
  <c r="E4875" i="166" s="1"/>
  <c r="D4875" i="166"/>
  <c r="A4875" i="166"/>
  <c r="E4874" i="166"/>
  <c r="D4874" i="166"/>
  <c r="B4874" i="166"/>
  <c r="B4875" i="166" s="1"/>
  <c r="H4872" i="166"/>
  <c r="G4872" i="166"/>
  <c r="E4872" i="166" s="1"/>
  <c r="D4872" i="166"/>
  <c r="A4872" i="166"/>
  <c r="E4871" i="166"/>
  <c r="D4871" i="166"/>
  <c r="B4871" i="166"/>
  <c r="B4872" i="166" s="1"/>
  <c r="E4675" i="167" l="1"/>
  <c r="E4869" i="166"/>
  <c r="D4869" i="166"/>
  <c r="B4869" i="166"/>
  <c r="E4867" i="166"/>
  <c r="D4867" i="166"/>
  <c r="B4867" i="166"/>
  <c r="H4868" i="166"/>
  <c r="E4868" i="166"/>
  <c r="D4868" i="166"/>
  <c r="A4868" i="166"/>
  <c r="E4866" i="166"/>
  <c r="D4866" i="166"/>
  <c r="B4866" i="166"/>
  <c r="B4868" i="166" s="1"/>
  <c r="H4864" i="166"/>
  <c r="G4864" i="166"/>
  <c r="E4864" i="166" s="1"/>
  <c r="D4864" i="166"/>
  <c r="A4864" i="166"/>
  <c r="E4863" i="166"/>
  <c r="D4863" i="166"/>
  <c r="B4863" i="166"/>
  <c r="B4864" i="166" s="1"/>
  <c r="H4861" i="166"/>
  <c r="G4861" i="166"/>
  <c r="E4861" i="166" s="1"/>
  <c r="D4861" i="166"/>
  <c r="A4861" i="166"/>
  <c r="E4860" i="166"/>
  <c r="D4860" i="166"/>
  <c r="B4860" i="166"/>
  <c r="B4861" i="166" s="1"/>
  <c r="H4858" i="166"/>
  <c r="G4858" i="166"/>
  <c r="E4858" i="166" s="1"/>
  <c r="D4858" i="166"/>
  <c r="A4858" i="166"/>
  <c r="E4857" i="166"/>
  <c r="D4857" i="166"/>
  <c r="B4857" i="166"/>
  <c r="B4858" i="166" s="1"/>
  <c r="H4855" i="166"/>
  <c r="G4855" i="166"/>
  <c r="E4855" i="166" s="1"/>
  <c r="D4855" i="166"/>
  <c r="A4855" i="166"/>
  <c r="E4854" i="166"/>
  <c r="D4854" i="166"/>
  <c r="B4854" i="166"/>
  <c r="B4855" i="166" s="1"/>
  <c r="H4852" i="166"/>
  <c r="G4852" i="166"/>
  <c r="E4852" i="166" s="1"/>
  <c r="D4852" i="166"/>
  <c r="A4852" i="166"/>
  <c r="E4851" i="166"/>
  <c r="D4851" i="166"/>
  <c r="B4851" i="166"/>
  <c r="B4852" i="166" s="1"/>
  <c r="H4849" i="166"/>
  <c r="G4849" i="166"/>
  <c r="E4849" i="166" s="1"/>
  <c r="D4849" i="166"/>
  <c r="A4849" i="166"/>
  <c r="E4848" i="166"/>
  <c r="D4848" i="166"/>
  <c r="B4848" i="166"/>
  <c r="B4849" i="166" s="1"/>
  <c r="H4846" i="166"/>
  <c r="G4846" i="166"/>
  <c r="E4846" i="166" s="1"/>
  <c r="D4846" i="166"/>
  <c r="A4846" i="166"/>
  <c r="E4845" i="166"/>
  <c r="D4845" i="166"/>
  <c r="B4845" i="166"/>
  <c r="B4846" i="166" s="1"/>
  <c r="H4843" i="166"/>
  <c r="G4843" i="166"/>
  <c r="E4843" i="166" s="1"/>
  <c r="D4843" i="166"/>
  <c r="A4843" i="166"/>
  <c r="E4842" i="166"/>
  <c r="D4842" i="166"/>
  <c r="B4842" i="166"/>
  <c r="B4843" i="166" s="1"/>
  <c r="H4840" i="166"/>
  <c r="G4840" i="166"/>
  <c r="E4840" i="166" s="1"/>
  <c r="D4840" i="166"/>
  <c r="A4840" i="166"/>
  <c r="E4839" i="166"/>
  <c r="D4839" i="166"/>
  <c r="B4839" i="166"/>
  <c r="B4840" i="166" s="1"/>
  <c r="H4837" i="166"/>
  <c r="G4837" i="166"/>
  <c r="E4837" i="166" s="1"/>
  <c r="D4837" i="166"/>
  <c r="A4837" i="166"/>
  <c r="E4836" i="166"/>
  <c r="D4836" i="166"/>
  <c r="B4836" i="166"/>
  <c r="B4837" i="166" s="1"/>
  <c r="H4834" i="166"/>
  <c r="G4834" i="166"/>
  <c r="E4834" i="166" s="1"/>
  <c r="D4834" i="166"/>
  <c r="A4834" i="166"/>
  <c r="E4833" i="166"/>
  <c r="D4833" i="166"/>
  <c r="B4833" i="166"/>
  <c r="B4834" i="166" s="1"/>
  <c r="H4831" i="166"/>
  <c r="G4831" i="166"/>
  <c r="E4831" i="166" s="1"/>
  <c r="D4831" i="166"/>
  <c r="A4831" i="166"/>
  <c r="E4830" i="166"/>
  <c r="D4830" i="166"/>
  <c r="B4830" i="166"/>
  <c r="B4831" i="166" s="1"/>
  <c r="H4828" i="166"/>
  <c r="G4828" i="166"/>
  <c r="E4828" i="166" s="1"/>
  <c r="D4828" i="166"/>
  <c r="A4828" i="166"/>
  <c r="E4827" i="166"/>
  <c r="D4827" i="166"/>
  <c r="B4827" i="166"/>
  <c r="B4828" i="166" s="1"/>
  <c r="H4825" i="166"/>
  <c r="G4825" i="166"/>
  <c r="E4825" i="166" s="1"/>
  <c r="D4825" i="166"/>
  <c r="A4825" i="166"/>
  <c r="E4824" i="166"/>
  <c r="D4824" i="166"/>
  <c r="B4824" i="166"/>
  <c r="B4825" i="166" s="1"/>
  <c r="H4822" i="166"/>
  <c r="G4822" i="166"/>
  <c r="E4822" i="166" s="1"/>
  <c r="D4822" i="166"/>
  <c r="A4822" i="166"/>
  <c r="E4821" i="166"/>
  <c r="D4821" i="166"/>
  <c r="B4821" i="166"/>
  <c r="B4822" i="166" s="1"/>
  <c r="H4819" i="166"/>
  <c r="G4819" i="166"/>
  <c r="E4819" i="166" s="1"/>
  <c r="D4819" i="166"/>
  <c r="A4819" i="166"/>
  <c r="E4818" i="166"/>
  <c r="D4818" i="166"/>
  <c r="B4818" i="166"/>
  <c r="B4819" i="166" s="1"/>
  <c r="H4816" i="166"/>
  <c r="G4816" i="166"/>
  <c r="E4816" i="166" s="1"/>
  <c r="D4816" i="166"/>
  <c r="A4816" i="166"/>
  <c r="E4815" i="166"/>
  <c r="D4815" i="166"/>
  <c r="B4815" i="166"/>
  <c r="B4816" i="166" s="1"/>
  <c r="H4813" i="166"/>
  <c r="G4813" i="166"/>
  <c r="E4813" i="166" s="1"/>
  <c r="D4813" i="166"/>
  <c r="A4813" i="166"/>
  <c r="E4812" i="166"/>
  <c r="D4812" i="166"/>
  <c r="B4812" i="166"/>
  <c r="B4813" i="166" s="1"/>
  <c r="H4810" i="166"/>
  <c r="G4810" i="166"/>
  <c r="E4810" i="166" s="1"/>
  <c r="D4810" i="166"/>
  <c r="A4810" i="166"/>
  <c r="E4809" i="166"/>
  <c r="D4809" i="166"/>
  <c r="B4809" i="166"/>
  <c r="B4810" i="166" s="1"/>
  <c r="H4807" i="166"/>
  <c r="G4807" i="166"/>
  <c r="E4807" i="166" s="1"/>
  <c r="D4807" i="166"/>
  <c r="A4807" i="166"/>
  <c r="E4806" i="166"/>
  <c r="D4806" i="166"/>
  <c r="B4806" i="166"/>
  <c r="B4807" i="166" s="1"/>
  <c r="H4804" i="166"/>
  <c r="G4804" i="166"/>
  <c r="E4804" i="166" s="1"/>
  <c r="D4804" i="166"/>
  <c r="A4804" i="166"/>
  <c r="E4803" i="166"/>
  <c r="D4803" i="166"/>
  <c r="B4803" i="166"/>
  <c r="B4804" i="166" s="1"/>
  <c r="H4801" i="166"/>
  <c r="G4801" i="166"/>
  <c r="E4801" i="166" s="1"/>
  <c r="D4801" i="166"/>
  <c r="A4801" i="166"/>
  <c r="E4800" i="166"/>
  <c r="D4800" i="166"/>
  <c r="B4800" i="166"/>
  <c r="B4801" i="166" s="1"/>
  <c r="H4798" i="166"/>
  <c r="G4798" i="166"/>
  <c r="E4798" i="166" s="1"/>
  <c r="D4798" i="166"/>
  <c r="A4798" i="166"/>
  <c r="E4797" i="166"/>
  <c r="D4797" i="166"/>
  <c r="B4797" i="166"/>
  <c r="B4798" i="166" s="1"/>
  <c r="H4795" i="166"/>
  <c r="G4795" i="166"/>
  <c r="E4795" i="166" s="1"/>
  <c r="D4795" i="166"/>
  <c r="A4795" i="166"/>
  <c r="E4794" i="166"/>
  <c r="D4794" i="166"/>
  <c r="B4794" i="166"/>
  <c r="B4795" i="166" s="1"/>
  <c r="H4792" i="166"/>
  <c r="G4792" i="166"/>
  <c r="E4792" i="166" s="1"/>
  <c r="D4792" i="166"/>
  <c r="A4792" i="166"/>
  <c r="E4791" i="166"/>
  <c r="D4791" i="166"/>
  <c r="B4791" i="166"/>
  <c r="B4792" i="166" s="1"/>
  <c r="H4789" i="166"/>
  <c r="G4789" i="166"/>
  <c r="E4789" i="166" s="1"/>
  <c r="D4789" i="166"/>
  <c r="A4789" i="166"/>
  <c r="E4788" i="166"/>
  <c r="D4788" i="166"/>
  <c r="B4788" i="166"/>
  <c r="B4789" i="166" s="1"/>
  <c r="H4786" i="166"/>
  <c r="G4786" i="166"/>
  <c r="E4786" i="166" s="1"/>
  <c r="D4786" i="166"/>
  <c r="A4786" i="166"/>
  <c r="E4785" i="166"/>
  <c r="D4785" i="166"/>
  <c r="B4785" i="166"/>
  <c r="B4786" i="166" s="1"/>
  <c r="H4783" i="166"/>
  <c r="G4783" i="166"/>
  <c r="E4783" i="166" s="1"/>
  <c r="D4783" i="166"/>
  <c r="A4783" i="166"/>
  <c r="E4782" i="166"/>
  <c r="D4782" i="166"/>
  <c r="B4782" i="166"/>
  <c r="B4783" i="166" s="1"/>
  <c r="H4780" i="166"/>
  <c r="G4780" i="166"/>
  <c r="E4780" i="166" s="1"/>
  <c r="D4780" i="166"/>
  <c r="A4780" i="166"/>
  <c r="E4779" i="166"/>
  <c r="D4779" i="166"/>
  <c r="B4779" i="166"/>
  <c r="B4780" i="166" s="1"/>
  <c r="H4777" i="166"/>
  <c r="G4777" i="166"/>
  <c r="E4777" i="166" s="1"/>
  <c r="D4777" i="166"/>
  <c r="A4777" i="166"/>
  <c r="E4776" i="166"/>
  <c r="D4776" i="166"/>
  <c r="B4776" i="166"/>
  <c r="B4777" i="166" s="1"/>
  <c r="G4774" i="166"/>
  <c r="E4774" i="166" s="1"/>
  <c r="H4774" i="166"/>
  <c r="D4774" i="166"/>
  <c r="A4774" i="166"/>
  <c r="E4773" i="166"/>
  <c r="D4773" i="166"/>
  <c r="B4773" i="166"/>
  <c r="B4774" i="166" s="1"/>
  <c r="E4681" i="167" l="1"/>
  <c r="E4680" i="167"/>
  <c r="E4679" i="167"/>
  <c r="E4167" i="167"/>
  <c r="D4167" i="167"/>
  <c r="E4166" i="167"/>
  <c r="D4166" i="167"/>
  <c r="E4165" i="167"/>
  <c r="D4165" i="167"/>
  <c r="B4165" i="167"/>
  <c r="H4148" i="167"/>
  <c r="G4148" i="167"/>
  <c r="E4148" i="167" s="1"/>
  <c r="D4148" i="167"/>
  <c r="A4148" i="167"/>
  <c r="E4147" i="167"/>
  <c r="D4147" i="167"/>
  <c r="B4147" i="167"/>
  <c r="B4148" i="167" l="1"/>
  <c r="H4145" i="167"/>
  <c r="H4170" i="167" s="1"/>
  <c r="H4173" i="167" s="1"/>
  <c r="H4179" i="167" s="1"/>
  <c r="H4182" i="167" s="1"/>
  <c r="H4188" i="167" s="1"/>
  <c r="H4191" i="167" s="1"/>
  <c r="H4203" i="167" s="1"/>
  <c r="H4209" i="167" s="1"/>
  <c r="H4212" i="167" s="1"/>
  <c r="H4215" i="167" s="1"/>
  <c r="H4218" i="167" s="1"/>
  <c r="H4230" i="167" s="1"/>
  <c r="H4239" i="167" s="1"/>
  <c r="H4245" i="167" s="1"/>
  <c r="H4251" i="167" s="1"/>
  <c r="H4254" i="167" s="1"/>
  <c r="H4266" i="167" s="1"/>
  <c r="G4145" i="167"/>
  <c r="E4145" i="167" s="1"/>
  <c r="D4145" i="167"/>
  <c r="A4145" i="167"/>
  <c r="E4144" i="167"/>
  <c r="D4144" i="167"/>
  <c r="B4144" i="167"/>
  <c r="B4584" i="167" s="1"/>
  <c r="H4142" i="167"/>
  <c r="G4142" i="167"/>
  <c r="E4142" i="167" s="1"/>
  <c r="D4142" i="167"/>
  <c r="A4142" i="167"/>
  <c r="B4142" i="167" s="1"/>
  <c r="E4141" i="167"/>
  <c r="D4141" i="167"/>
  <c r="B4141" i="167"/>
  <c r="B4145" i="167" l="1"/>
  <c r="B4170" i="167" s="1"/>
  <c r="B4173" i="167" s="1"/>
  <c r="B4179" i="167" s="1"/>
  <c r="B4182" i="167" s="1"/>
  <c r="B4188" i="167" s="1"/>
  <c r="B4191" i="167" s="1"/>
  <c r="B4203" i="167" s="1"/>
  <c r="B4209" i="167" s="1"/>
  <c r="B4212" i="167" s="1"/>
  <c r="B4215" i="167" s="1"/>
  <c r="B4218" i="167" s="1"/>
  <c r="B4230" i="167" s="1"/>
  <c r="B4239" i="167" s="1"/>
  <c r="B4245" i="167" s="1"/>
  <c r="B4251" i="167" s="1"/>
  <c r="B4254" i="167" s="1"/>
  <c r="B4266" i="167" s="1"/>
  <c r="B4269" i="167" s="1"/>
  <c r="B4281" i="167" s="1"/>
  <c r="B4284" i="167" s="1"/>
  <c r="B4287" i="167" s="1"/>
  <c r="B4296" i="167" s="1"/>
  <c r="B4299" i="167" s="1"/>
  <c r="B4305" i="167" s="1"/>
  <c r="B4314" i="167" s="1"/>
  <c r="B4317" i="167" s="1"/>
  <c r="B4353" i="167" s="1"/>
  <c r="B4356" i="167" s="1"/>
  <c r="B4359" i="167" s="1"/>
  <c r="B4365" i="167" s="1"/>
  <c r="B4374" i="167" s="1"/>
  <c r="B4383" i="167" s="1"/>
  <c r="A4170" i="167"/>
  <c r="A4173" i="167" s="1"/>
  <c r="A4179" i="167" s="1"/>
  <c r="A4182" i="167" s="1"/>
  <c r="A4188" i="167" s="1"/>
  <c r="A4191" i="167" s="1"/>
  <c r="A4203" i="167" s="1"/>
  <c r="A4209" i="167" s="1"/>
  <c r="A4212" i="167" s="1"/>
  <c r="A4215" i="167" s="1"/>
  <c r="A4218" i="167" s="1"/>
  <c r="A4230" i="167" s="1"/>
  <c r="A4239" i="167" s="1"/>
  <c r="A4245" i="167" s="1"/>
  <c r="A4251" i="167" s="1"/>
  <c r="A4254" i="167" s="1"/>
  <c r="A4266" i="167" s="1"/>
  <c r="A4269" i="167" s="1"/>
  <c r="A4281" i="167" s="1"/>
  <c r="A4284" i="167" s="1"/>
  <c r="A4287" i="167" s="1"/>
  <c r="A4296" i="167" s="1"/>
  <c r="A4299" i="167" s="1"/>
  <c r="A4305" i="167" s="1"/>
  <c r="A4314" i="167" s="1"/>
  <c r="A4317" i="167" s="1"/>
  <c r="A4353" i="167" s="1"/>
  <c r="A4356" i="167" s="1"/>
  <c r="A4359" i="167" s="1"/>
  <c r="A4365" i="167" s="1"/>
  <c r="A4374" i="167" s="1"/>
  <c r="A4383" i="167" s="1"/>
  <c r="G4139" i="167"/>
  <c r="E4139" i="167" s="1"/>
  <c r="D4139" i="167"/>
  <c r="E4138" i="167"/>
  <c r="D4138" i="167"/>
  <c r="B4138" i="167"/>
  <c r="G4136" i="167"/>
  <c r="E4136" i="167" s="1"/>
  <c r="D4136" i="167"/>
  <c r="E4135" i="167"/>
  <c r="D4135" i="167"/>
  <c r="B4135" i="167"/>
  <c r="H4133" i="167"/>
  <c r="H4136" i="167" s="1"/>
  <c r="G4133" i="167"/>
  <c r="E4133" i="167" s="1"/>
  <c r="D4133" i="167"/>
  <c r="A4133" i="167"/>
  <c r="B4133" i="167" s="1"/>
  <c r="E4132" i="167"/>
  <c r="D4132" i="167"/>
  <c r="B4132" i="167"/>
  <c r="H4125" i="167"/>
  <c r="H4139" i="167" s="1"/>
  <c r="G4125" i="167"/>
  <c r="E4125" i="167" s="1"/>
  <c r="D4125" i="167"/>
  <c r="E4124" i="167"/>
  <c r="D4124" i="167"/>
  <c r="B4124" i="167"/>
  <c r="G4122" i="167"/>
  <c r="E4122" i="167" s="1"/>
  <c r="D4122" i="167"/>
  <c r="E4121" i="167"/>
  <c r="D4121" i="167"/>
  <c r="B4121" i="167"/>
  <c r="H4119" i="167"/>
  <c r="H4122" i="167" s="1"/>
  <c r="G4119" i="167"/>
  <c r="E4119" i="167" s="1"/>
  <c r="D4119" i="167"/>
  <c r="A4119" i="167"/>
  <c r="B4119" i="167" s="1"/>
  <c r="E4118" i="167"/>
  <c r="D4118" i="167"/>
  <c r="B4118" i="167"/>
  <c r="G4116" i="167"/>
  <c r="E4116" i="167" s="1"/>
  <c r="H4116" i="167"/>
  <c r="A4116" i="167"/>
  <c r="B4116" i="167" s="1"/>
  <c r="D4116" i="167"/>
  <c r="E4115" i="167"/>
  <c r="D4115" i="167"/>
  <c r="B4115" i="167"/>
  <c r="A4122" i="167" l="1"/>
  <c r="B4122" i="167" s="1"/>
  <c r="A4136" i="167"/>
  <c r="B4136" i="167" s="1"/>
  <c r="A4396" i="167"/>
  <c r="A4386" i="167"/>
  <c r="A4400" i="167" s="1"/>
  <c r="A4406" i="167" s="1"/>
  <c r="A4409" i="167" s="1"/>
  <c r="A4415" i="167" s="1"/>
  <c r="A4445" i="167" s="1"/>
  <c r="A4448" i="167" s="1"/>
  <c r="A4454" i="167" s="1"/>
  <c r="A4460" i="167" s="1"/>
  <c r="A4463" i="167" s="1"/>
  <c r="A4469" i="167" s="1"/>
  <c r="A4472" i="167" s="1"/>
  <c r="A4478" i="167" s="1"/>
  <c r="A4499" i="167" s="1"/>
  <c r="A4511" i="167" s="1"/>
  <c r="A4529" i="167" s="1"/>
  <c r="A4535" i="167" s="1"/>
  <c r="A4541" i="167" s="1"/>
  <c r="B4396" i="167"/>
  <c r="B4386" i="167"/>
  <c r="B4400" i="167" s="1"/>
  <c r="B4406" i="167" s="1"/>
  <c r="B4409" i="167" s="1"/>
  <c r="B4415" i="167" s="1"/>
  <c r="B4445" i="167" s="1"/>
  <c r="B4448" i="167" s="1"/>
  <c r="B4454" i="167" s="1"/>
  <c r="B4460" i="167" s="1"/>
  <c r="B4463" i="167" s="1"/>
  <c r="B4469" i="167" s="1"/>
  <c r="B4472" i="167" s="1"/>
  <c r="B4478" i="167" s="1"/>
  <c r="B4499" i="167" s="1"/>
  <c r="B4511" i="167" s="1"/>
  <c r="B4529" i="167" s="1"/>
  <c r="B4535" i="167" s="1"/>
  <c r="B4541" i="167" s="1"/>
  <c r="E4085" i="167"/>
  <c r="E4084" i="167"/>
  <c r="E4083" i="167"/>
  <c r="E4082" i="167"/>
  <c r="E4081" i="167"/>
  <c r="E4080" i="167"/>
  <c r="E4079" i="167"/>
  <c r="E4078" i="167"/>
  <c r="E4077" i="167"/>
  <c r="E4076" i="167"/>
  <c r="E4075" i="167"/>
  <c r="E4074" i="167"/>
  <c r="E4073" i="167"/>
  <c r="E4072" i="167"/>
  <c r="E4071" i="167"/>
  <c r="E4070" i="167"/>
  <c r="E4069" i="167"/>
  <c r="E4068" i="167"/>
  <c r="D4085" i="167"/>
  <c r="B4085" i="167"/>
  <c r="D4084" i="167"/>
  <c r="B4084" i="167"/>
  <c r="D4083" i="167"/>
  <c r="B4083" i="167"/>
  <c r="D4082" i="167"/>
  <c r="B4082" i="167"/>
  <c r="D4081" i="167"/>
  <c r="B4081" i="167"/>
  <c r="D4080" i="167"/>
  <c r="B4080" i="167"/>
  <c r="D4079" i="167"/>
  <c r="B4079" i="167"/>
  <c r="D4078" i="167"/>
  <c r="B4078" i="167"/>
  <c r="B4176" i="167" s="1"/>
  <c r="B4194" i="167" s="1"/>
  <c r="B4197" i="167" s="1"/>
  <c r="B4200" i="167" s="1"/>
  <c r="B4206" i="167" s="1"/>
  <c r="B4227" i="167" s="1"/>
  <c r="B4233" i="167" s="1"/>
  <c r="B4242" i="167" s="1"/>
  <c r="B4257" i="167" s="1"/>
  <c r="B4263" i="167" s="1"/>
  <c r="B4293" i="167" s="1"/>
  <c r="B4302" i="167" s="1"/>
  <c r="B4335" i="167" s="1"/>
  <c r="B4341" i="167" s="1"/>
  <c r="B4344" i="167" s="1"/>
  <c r="B4347" i="167" s="1"/>
  <c r="B4368" i="167" s="1"/>
  <c r="B4371" i="167" s="1"/>
  <c r="B4380" i="167" s="1"/>
  <c r="B4389" i="167" s="1"/>
  <c r="B4403" i="167" s="1"/>
  <c r="B4442" i="167" s="1"/>
  <c r="B4457" i="167" s="1"/>
  <c r="B4466" i="167" s="1"/>
  <c r="B4475" i="167" s="1"/>
  <c r="B4496" i="167" s="1"/>
  <c r="B4505" i="167" s="1"/>
  <c r="B4508" i="167" s="1"/>
  <c r="B4514" i="167" s="1"/>
  <c r="B4526" i="167" s="1"/>
  <c r="B4532" i="167" s="1"/>
  <c r="B4538" i="167" s="1"/>
  <c r="B4557" i="167" s="1"/>
  <c r="B4560" i="167" s="1"/>
  <c r="B4566" i="167" s="1"/>
  <c r="B4572" i="167" s="1"/>
  <c r="D4077" i="167"/>
  <c r="B4077" i="167"/>
  <c r="D4076" i="167"/>
  <c r="B4076" i="167"/>
  <c r="D4075" i="167"/>
  <c r="B4075" i="167"/>
  <c r="D4074" i="167"/>
  <c r="B4074" i="167"/>
  <c r="D4073" i="167"/>
  <c r="B4073" i="167"/>
  <c r="D4072" i="167"/>
  <c r="B4072" i="167"/>
  <c r="D4071" i="167"/>
  <c r="B4071" i="167"/>
  <c r="D4070" i="167"/>
  <c r="B4070" i="167"/>
  <c r="D4069" i="167"/>
  <c r="B4069" i="167"/>
  <c r="D4068" i="167"/>
  <c r="B4068" i="167"/>
  <c r="E4064" i="167"/>
  <c r="E4060" i="167"/>
  <c r="E4056" i="167"/>
  <c r="E4067" i="167"/>
  <c r="D4067" i="167"/>
  <c r="B4067" i="167"/>
  <c r="E4066" i="167"/>
  <c r="D4066" i="167"/>
  <c r="B4066" i="167"/>
  <c r="D4065" i="167"/>
  <c r="B4065" i="167"/>
  <c r="D4064" i="167"/>
  <c r="B4064" i="167"/>
  <c r="E4063" i="167"/>
  <c r="D4063" i="167"/>
  <c r="B4063" i="167"/>
  <c r="E4062" i="167"/>
  <c r="D4062" i="167"/>
  <c r="B4062" i="167"/>
  <c r="D4061" i="167"/>
  <c r="B4061" i="167"/>
  <c r="D4060" i="167"/>
  <c r="B4060" i="167"/>
  <c r="E4059" i="167"/>
  <c r="D4059" i="167"/>
  <c r="B4059" i="167"/>
  <c r="E4058" i="167"/>
  <c r="D4058" i="167"/>
  <c r="B4058" i="167"/>
  <c r="D4057" i="167"/>
  <c r="B4057" i="167"/>
  <c r="D4056" i="167"/>
  <c r="B4056" i="167"/>
  <c r="E4055" i="167"/>
  <c r="D4055" i="167"/>
  <c r="B4055" i="167"/>
  <c r="E4054" i="167"/>
  <c r="D4054" i="167"/>
  <c r="B4054" i="167"/>
  <c r="D4053" i="167"/>
  <c r="B4053" i="167"/>
  <c r="E4052" i="167"/>
  <c r="D4052" i="167"/>
  <c r="B4052" i="167"/>
  <c r="E4051" i="167"/>
  <c r="D4051" i="167"/>
  <c r="B4051" i="167"/>
  <c r="E4050" i="167"/>
  <c r="D4050" i="167"/>
  <c r="B4050" i="167"/>
  <c r="E4770" i="166"/>
  <c r="D4770" i="166"/>
  <c r="A4770" i="166"/>
  <c r="E4769" i="166"/>
  <c r="D4769" i="166"/>
  <c r="B4769" i="166"/>
  <c r="B4770" i="166" s="1"/>
  <c r="E4768" i="166"/>
  <c r="D4768" i="166"/>
  <c r="E4767" i="166"/>
  <c r="D4767" i="166"/>
  <c r="A4767" i="166"/>
  <c r="A4768" i="166" s="1"/>
  <c r="E4766" i="166"/>
  <c r="D4766" i="166"/>
  <c r="B4766" i="166"/>
  <c r="B4767" i="166" s="1"/>
  <c r="B4768" i="166" s="1"/>
  <c r="E4765" i="166"/>
  <c r="D4765" i="166"/>
  <c r="A4765" i="166"/>
  <c r="E4764" i="166"/>
  <c r="D4764" i="166"/>
  <c r="B4764" i="166"/>
  <c r="B4765" i="166" s="1"/>
  <c r="E4763" i="166"/>
  <c r="D4763" i="166"/>
  <c r="A4763" i="166"/>
  <c r="E4762" i="166"/>
  <c r="D4762" i="166"/>
  <c r="B4762" i="166"/>
  <c r="B4763" i="166" s="1"/>
  <c r="E4761" i="166"/>
  <c r="D4761" i="166"/>
  <c r="E4760" i="166"/>
  <c r="D4760" i="166"/>
  <c r="A4760" i="166"/>
  <c r="A4761" i="166" s="1"/>
  <c r="E4759" i="166"/>
  <c r="D4759" i="166"/>
  <c r="B4759" i="166"/>
  <c r="B4760" i="166" s="1"/>
  <c r="B4761" i="166" s="1"/>
  <c r="E4758" i="166"/>
  <c r="D4758" i="166"/>
  <c r="A4758" i="166"/>
  <c r="E4757" i="166"/>
  <c r="D4757" i="166"/>
  <c r="B4757" i="166"/>
  <c r="B4758" i="166" s="1"/>
  <c r="A4544" i="167" l="1"/>
  <c r="A4551" i="167"/>
  <c r="A4563" i="167" s="1"/>
  <c r="A4569" i="167" s="1"/>
  <c r="A4575" i="167" s="1"/>
  <c r="A4613" i="167" s="1"/>
  <c r="A4616" i="167" s="1"/>
  <c r="B4544" i="167"/>
  <c r="B4551" i="167"/>
  <c r="B4563" i="167" s="1"/>
  <c r="B4569" i="167" s="1"/>
  <c r="B4575" i="167" s="1"/>
  <c r="B4613" i="167" s="1"/>
  <c r="B4616" i="167" s="1"/>
  <c r="E4053" i="167"/>
  <c r="E4057" i="167"/>
  <c r="E4061" i="167"/>
  <c r="E4065" i="167"/>
  <c r="E3872" i="167" l="1"/>
  <c r="E3871" i="167"/>
  <c r="E3868" i="167"/>
  <c r="E3867" i="167"/>
  <c r="E3606" i="167"/>
  <c r="E3605" i="167"/>
  <c r="E3584" i="167"/>
  <c r="E3583" i="167"/>
  <c r="E3582" i="167"/>
  <c r="E3581" i="167"/>
  <c r="E3570" i="167"/>
  <c r="E3569" i="167"/>
  <c r="E3568" i="167"/>
  <c r="E3567" i="167"/>
  <c r="E3566" i="167"/>
  <c r="E3565" i="167"/>
  <c r="E3563" i="167"/>
  <c r="E3562" i="167"/>
  <c r="E3561" i="167"/>
  <c r="E3560" i="167"/>
  <c r="E3559" i="167"/>
  <c r="E3558" i="167"/>
  <c r="E3557" i="167"/>
  <c r="E3556" i="167"/>
  <c r="E3555" i="167"/>
  <c r="E3554" i="167"/>
  <c r="E3553" i="167"/>
  <c r="E3552" i="167"/>
  <c r="E3551" i="167"/>
  <c r="E3550" i="167"/>
  <c r="E3549" i="167"/>
  <c r="E3548" i="167"/>
  <c r="E3547" i="167"/>
  <c r="E3546" i="167"/>
  <c r="E3545" i="167"/>
  <c r="E3544" i="167"/>
  <c r="E3543" i="167"/>
  <c r="E3542" i="167"/>
  <c r="E3541" i="167"/>
  <c r="E3540" i="167"/>
  <c r="E3539" i="167"/>
  <c r="E3538" i="167"/>
  <c r="E3537" i="167"/>
  <c r="E3536" i="167"/>
  <c r="E3535" i="167"/>
  <c r="E3534" i="167"/>
  <c r="E3533" i="167"/>
  <c r="E3532" i="167"/>
  <c r="E3529" i="167"/>
  <c r="E3526" i="167"/>
  <c r="E3523" i="167"/>
  <c r="E3520" i="167"/>
  <c r="E3517" i="167"/>
  <c r="E3514" i="167"/>
  <c r="E3511" i="167"/>
  <c r="E3509" i="167"/>
  <c r="E3508" i="167"/>
  <c r="E3507" i="167"/>
  <c r="E3506" i="167"/>
  <c r="E3503" i="167"/>
  <c r="E3500" i="167"/>
  <c r="E3497" i="167"/>
  <c r="E3494" i="167"/>
  <c r="E3491" i="167"/>
  <c r="E3488" i="167"/>
  <c r="E3485" i="167"/>
  <c r="E3482" i="167"/>
  <c r="E3479" i="167"/>
  <c r="E3476" i="167"/>
  <c r="E3474" i="167"/>
  <c r="E3473" i="167"/>
  <c r="E3469" i="167"/>
  <c r="E3466" i="167"/>
  <c r="E3463" i="167"/>
  <c r="E3460" i="167"/>
  <c r="E3457" i="167"/>
  <c r="E3454" i="167"/>
  <c r="E3451" i="167"/>
  <c r="E3448" i="167"/>
  <c r="E3445" i="167"/>
  <c r="E3442" i="167"/>
  <c r="E3439" i="167"/>
  <c r="E3436" i="167"/>
  <c r="E3433" i="167"/>
  <c r="E3430" i="167"/>
  <c r="E3427" i="167"/>
  <c r="E3424" i="167"/>
  <c r="E3421" i="167"/>
  <c r="E3418" i="167"/>
  <c r="E3415" i="167"/>
  <c r="E3412" i="167"/>
  <c r="E3409" i="167"/>
  <c r="E3406" i="167"/>
  <c r="E3403" i="167"/>
  <c r="E3400" i="167"/>
  <c r="E3397" i="167"/>
  <c r="E3394" i="167"/>
  <c r="E3391" i="167"/>
  <c r="E3388" i="167"/>
  <c r="E3385" i="167"/>
  <c r="E3382" i="167"/>
  <c r="E3379" i="167"/>
  <c r="E3376" i="167"/>
  <c r="E3373" i="167"/>
  <c r="E3370" i="167"/>
  <c r="E3367" i="167"/>
  <c r="E3364" i="167"/>
  <c r="E3361" i="167"/>
  <c r="E3358" i="167"/>
  <c r="E3355" i="167"/>
  <c r="E3352" i="167"/>
  <c r="E3349" i="167"/>
  <c r="E3346" i="167"/>
  <c r="E3343" i="167"/>
  <c r="E3340" i="167"/>
  <c r="E3337" i="167"/>
  <c r="E3335" i="167"/>
  <c r="E3334" i="167"/>
  <c r="E3331" i="167"/>
  <c r="E3329" i="167"/>
  <c r="E3326" i="167"/>
  <c r="E3325" i="167"/>
  <c r="E3322" i="167"/>
  <c r="E3319" i="167"/>
  <c r="E3316" i="167"/>
  <c r="E3313" i="167"/>
  <c r="E3310" i="167"/>
  <c r="E3307" i="167"/>
  <c r="E3304" i="167"/>
  <c r="E3301" i="167"/>
  <c r="E3298" i="167"/>
  <c r="E3295" i="167"/>
  <c r="E3292" i="167"/>
  <c r="E3289" i="167"/>
  <c r="E3286" i="167"/>
  <c r="E3283" i="167"/>
  <c r="E3280" i="167"/>
  <c r="E3277" i="167"/>
  <c r="E3274" i="167"/>
  <c r="E3271" i="167"/>
  <c r="E3268" i="167"/>
  <c r="E3265" i="167"/>
  <c r="E3262" i="167"/>
  <c r="E3259" i="167"/>
  <c r="E3256" i="167"/>
  <c r="E3253" i="167"/>
  <c r="E3250" i="167"/>
  <c r="E3247" i="167"/>
  <c r="E3244" i="167"/>
  <c r="E3241" i="167"/>
  <c r="E3238" i="167"/>
  <c r="E3235" i="167"/>
  <c r="E3232" i="167"/>
  <c r="E3229" i="167"/>
  <c r="E3226" i="167"/>
  <c r="E3223" i="167"/>
  <c r="E3220" i="167"/>
  <c r="E3217" i="167"/>
  <c r="E3214" i="167"/>
  <c r="E3211" i="167"/>
  <c r="E3208" i="167"/>
  <c r="E3205" i="167"/>
  <c r="E3202" i="167"/>
  <c r="E3199" i="167"/>
  <c r="E3196" i="167"/>
  <c r="E3193" i="167"/>
  <c r="E3190" i="167"/>
  <c r="E3187" i="167"/>
  <c r="E3184" i="167"/>
  <c r="E3181" i="167"/>
  <c r="E3178" i="167"/>
  <c r="E3175" i="167"/>
  <c r="E3172" i="167"/>
  <c r="E3169" i="167"/>
  <c r="E3166" i="167"/>
  <c r="E3163" i="167"/>
  <c r="E3160" i="167"/>
  <c r="E3157" i="167"/>
  <c r="E3154" i="167"/>
  <c r="E3151" i="167"/>
  <c r="E3148" i="167"/>
  <c r="E3145" i="167"/>
  <c r="E3142" i="167"/>
  <c r="E3139" i="167"/>
  <c r="E3136" i="167"/>
  <c r="E3133" i="167"/>
  <c r="E3130" i="167"/>
  <c r="E3127" i="167"/>
  <c r="E3124" i="167"/>
  <c r="E3122" i="167"/>
  <c r="E3120" i="167"/>
  <c r="E3117" i="167"/>
  <c r="E3114" i="167"/>
  <c r="E3111" i="167"/>
  <c r="E3108" i="167"/>
  <c r="E3105" i="167"/>
  <c r="E3102" i="167"/>
  <c r="E3099" i="167"/>
  <c r="E3096" i="167"/>
  <c r="E3093" i="167"/>
  <c r="E3090" i="167"/>
  <c r="E3087" i="167"/>
  <c r="E3084" i="167"/>
  <c r="E3081" i="167"/>
  <c r="E3078" i="167"/>
  <c r="E3075" i="167"/>
  <c r="E3072" i="167"/>
  <c r="E3069" i="167"/>
  <c r="E3066" i="167"/>
  <c r="E3063" i="167"/>
  <c r="E3049" i="167"/>
  <c r="E3048" i="167"/>
  <c r="E3047" i="167"/>
  <c r="E3046" i="167"/>
  <c r="E3045" i="167"/>
  <c r="E3044" i="167"/>
  <c r="E3043" i="167"/>
  <c r="E3042" i="167"/>
  <c r="E3041" i="167"/>
  <c r="E3040" i="167"/>
  <c r="E3039" i="167"/>
  <c r="E3038" i="167"/>
  <c r="E3037" i="167"/>
  <c r="E3036" i="167"/>
  <c r="E3035" i="167"/>
  <c r="E3034" i="167"/>
  <c r="E3033" i="167"/>
  <c r="E3032" i="167"/>
  <c r="E3031" i="167"/>
  <c r="E3030" i="167"/>
  <c r="E3029" i="167"/>
  <c r="E3028" i="167"/>
  <c r="E3027" i="167"/>
  <c r="E3026" i="167"/>
  <c r="E3025" i="167"/>
  <c r="E3024" i="167"/>
  <c r="E3021" i="167"/>
  <c r="E3018" i="167"/>
  <c r="E3015" i="167"/>
  <c r="E3005" i="167"/>
  <c r="E3004" i="167"/>
  <c r="E3003" i="167"/>
  <c r="E3002" i="167"/>
  <c r="E2991" i="167"/>
  <c r="E2990" i="167"/>
  <c r="E2989" i="167"/>
  <c r="E2988" i="167"/>
  <c r="E2987" i="167"/>
  <c r="E2986" i="167"/>
  <c r="E2983" i="167"/>
  <c r="E2980" i="167"/>
  <c r="E2977" i="167"/>
  <c r="E2974" i="167"/>
  <c r="E2971" i="167"/>
  <c r="E2968" i="167"/>
  <c r="E2965" i="167"/>
  <c r="E2962" i="167"/>
  <c r="E2960" i="167"/>
  <c r="E2959" i="167"/>
  <c r="E2957" i="167"/>
  <c r="E2954" i="167"/>
  <c r="E2950" i="167"/>
  <c r="E2947" i="167"/>
  <c r="E2944" i="167"/>
  <c r="E2941" i="167"/>
  <c r="E2938" i="167"/>
  <c r="E2935" i="167"/>
  <c r="E2932" i="167"/>
  <c r="E2929" i="167"/>
  <c r="E2926" i="167"/>
  <c r="E2923" i="167"/>
  <c r="E2920" i="167"/>
  <c r="E2917" i="167"/>
  <c r="E2914" i="167"/>
  <c r="E2911" i="167"/>
  <c r="E2908" i="167"/>
  <c r="E2905" i="167"/>
  <c r="E2902" i="167"/>
  <c r="E2899" i="167"/>
  <c r="E2896" i="167"/>
  <c r="E2893" i="167"/>
  <c r="E2890" i="167"/>
  <c r="E2887" i="167"/>
  <c r="E2884" i="167"/>
  <c r="E2881" i="167"/>
  <c r="E2878" i="167"/>
  <c r="E2875" i="167"/>
  <c r="E2872" i="167"/>
  <c r="E2869" i="167"/>
  <c r="E2866" i="167"/>
  <c r="E2863" i="167"/>
  <c r="E2860" i="167"/>
  <c r="E2857" i="167"/>
  <c r="E2854" i="167"/>
  <c r="E2851" i="167"/>
  <c r="E2848" i="167"/>
  <c r="E2845" i="167"/>
  <c r="E2842" i="167"/>
  <c r="E2840" i="167"/>
  <c r="E2838" i="167"/>
  <c r="E2835" i="167"/>
  <c r="E2832" i="167"/>
  <c r="E2829" i="167"/>
  <c r="E2826" i="167"/>
  <c r="E2823" i="167"/>
  <c r="E2820" i="167"/>
  <c r="E2817" i="167"/>
  <c r="E2814" i="167"/>
  <c r="E2811" i="167"/>
  <c r="E2808" i="167"/>
  <c r="E2805" i="167"/>
  <c r="E2802" i="167"/>
  <c r="E2799" i="167"/>
  <c r="E2796" i="167"/>
  <c r="E2794" i="167"/>
  <c r="E2793" i="167"/>
  <c r="E2790" i="167"/>
  <c r="E2789" i="167"/>
  <c r="E2786" i="167"/>
  <c r="E2784" i="167"/>
  <c r="E2781" i="167"/>
  <c r="E2778" i="167"/>
  <c r="E2775" i="167"/>
  <c r="E2773" i="167"/>
  <c r="E2771" i="167"/>
  <c r="E2768" i="167"/>
  <c r="E2765" i="167"/>
  <c r="E2762" i="167"/>
  <c r="E2759" i="167"/>
  <c r="E2756" i="167"/>
  <c r="E2753" i="167"/>
  <c r="E2750" i="167"/>
  <c r="E2747" i="167"/>
  <c r="E2744" i="167"/>
  <c r="E2741" i="167"/>
  <c r="E2738" i="167"/>
  <c r="E2735" i="167"/>
  <c r="E2732" i="167"/>
  <c r="E2729" i="167"/>
  <c r="E2726" i="167"/>
  <c r="E2723" i="167"/>
  <c r="E2720" i="167"/>
  <c r="E2717" i="167"/>
  <c r="E2714" i="167"/>
  <c r="E2711" i="167"/>
  <c r="E2708" i="167"/>
  <c r="E2705" i="167"/>
  <c r="E2702" i="167"/>
  <c r="E2699" i="167"/>
  <c r="E2696" i="167"/>
  <c r="E2693" i="167"/>
  <c r="E2690" i="167"/>
  <c r="E2687" i="167"/>
  <c r="E2684" i="167"/>
  <c r="E2681" i="167"/>
  <c r="E2678" i="167"/>
  <c r="E2675" i="167"/>
  <c r="E2672" i="167"/>
  <c r="E2669" i="167"/>
  <c r="E2666" i="167"/>
  <c r="E2663" i="167"/>
  <c r="E2660" i="167"/>
  <c r="E2657" i="167"/>
  <c r="E2654" i="167"/>
  <c r="E2651" i="167"/>
  <c r="E2648" i="167"/>
  <c r="E2645" i="167"/>
  <c r="E2642" i="167"/>
  <c r="E2639" i="167"/>
  <c r="E2636" i="167"/>
  <c r="E2633" i="167"/>
  <c r="E2630" i="167"/>
  <c r="E2628" i="167"/>
  <c r="E2626" i="167"/>
  <c r="E2623" i="167"/>
  <c r="E2620" i="167"/>
  <c r="E2617" i="167"/>
  <c r="E2614" i="167"/>
  <c r="E2611" i="167"/>
  <c r="E2608" i="167"/>
  <c r="E2605" i="167"/>
  <c r="E2602" i="167"/>
  <c r="E2599" i="167"/>
  <c r="E2596" i="167"/>
  <c r="E2593" i="167"/>
  <c r="E2590" i="167"/>
  <c r="E2587" i="167"/>
  <c r="E2584" i="167"/>
  <c r="E2581" i="167"/>
  <c r="E2578" i="167"/>
  <c r="E2575" i="167"/>
  <c r="E2572" i="167"/>
  <c r="E2569" i="167"/>
  <c r="E2566" i="167"/>
  <c r="E2563" i="167"/>
  <c r="E2560" i="167"/>
  <c r="E2557" i="167"/>
  <c r="E2554" i="167"/>
  <c r="E2551" i="167"/>
  <c r="E2548" i="167"/>
  <c r="E2545" i="167"/>
  <c r="E2542" i="167"/>
  <c r="E2539" i="167"/>
  <c r="E2536" i="167"/>
  <c r="E2533" i="167"/>
  <c r="E2530" i="167"/>
  <c r="E2527" i="167"/>
  <c r="E2524" i="167"/>
  <c r="E2521" i="167"/>
  <c r="E2503" i="167"/>
  <c r="E2502" i="167"/>
  <c r="E2501" i="167"/>
  <c r="E2500" i="167"/>
  <c r="E2499" i="167"/>
  <c r="E2498" i="167"/>
  <c r="E2497" i="167"/>
  <c r="E2496" i="167"/>
  <c r="E2495" i="167"/>
  <c r="E2494" i="167"/>
  <c r="E2493" i="167"/>
  <c r="E2492" i="167"/>
  <c r="E2491" i="167"/>
  <c r="E2490" i="167"/>
  <c r="E2489" i="167"/>
  <c r="E2488" i="167"/>
  <c r="E2487" i="167"/>
  <c r="E2486" i="167"/>
  <c r="E2485" i="167"/>
  <c r="E2484" i="167"/>
  <c r="E2483" i="167"/>
  <c r="E2482" i="167"/>
  <c r="E2481" i="167"/>
  <c r="E2480" i="167"/>
  <c r="E2479" i="167"/>
  <c r="E2478" i="167"/>
  <c r="E2477" i="167"/>
  <c r="E2476" i="167"/>
  <c r="E2475" i="167"/>
  <c r="E2474" i="167"/>
  <c r="E2473" i="167"/>
  <c r="E2472" i="167"/>
  <c r="E2463" i="167"/>
  <c r="E2462" i="167"/>
  <c r="E2461" i="167"/>
  <c r="E2460" i="167"/>
  <c r="E2449" i="167"/>
  <c r="E2448" i="167"/>
  <c r="E2447" i="167"/>
  <c r="E2446" i="167"/>
  <c r="E2445" i="167"/>
  <c r="E2444" i="167"/>
  <c r="E2441" i="167"/>
  <c r="E2438" i="167"/>
  <c r="E2435" i="167"/>
  <c r="E2433" i="167"/>
  <c r="E2432" i="167"/>
  <c r="E2431" i="167"/>
  <c r="E2430" i="167"/>
  <c r="E2427" i="167"/>
  <c r="E2424" i="167"/>
  <c r="E2421" i="167"/>
  <c r="E2418" i="167"/>
  <c r="E2415" i="167"/>
  <c r="E2412" i="167"/>
  <c r="E2409" i="167"/>
  <c r="E2406" i="167"/>
  <c r="E2403" i="167"/>
  <c r="E2400" i="167"/>
  <c r="E2397" i="167"/>
  <c r="E2394" i="167"/>
  <c r="E2391" i="167"/>
  <c r="E2388" i="167"/>
  <c r="E2385" i="167"/>
  <c r="E2382" i="167"/>
  <c r="E2379" i="167"/>
  <c r="E2376" i="167"/>
  <c r="E2373" i="167"/>
  <c r="E2370" i="167"/>
  <c r="E2367" i="167"/>
  <c r="E2364" i="167"/>
  <c r="E2361" i="167"/>
  <c r="E2358" i="167"/>
  <c r="E2355" i="167"/>
  <c r="E2352" i="167"/>
  <c r="E2349" i="167"/>
  <c r="E2347" i="167"/>
  <c r="E2346" i="167"/>
  <c r="E2345" i="167"/>
  <c r="E2342" i="167"/>
  <c r="E2339" i="167"/>
  <c r="E2336" i="167"/>
  <c r="E2333" i="167"/>
  <c r="E2330" i="167"/>
  <c r="E2327" i="167"/>
  <c r="E2324" i="167"/>
  <c r="E2321" i="167"/>
  <c r="E2318" i="167"/>
  <c r="E2315" i="167"/>
  <c r="E2312" i="167"/>
  <c r="E2309" i="167"/>
  <c r="E2306" i="167"/>
  <c r="E2303" i="167"/>
  <c r="E2300" i="167"/>
  <c r="E2297" i="167"/>
  <c r="E2294" i="167"/>
  <c r="E2291" i="167"/>
  <c r="E2288" i="167"/>
  <c r="E2285" i="167"/>
  <c r="E2282" i="167"/>
  <c r="E2279" i="167"/>
  <c r="E2276" i="167"/>
  <c r="E2273" i="167"/>
  <c r="E2270" i="167"/>
  <c r="E2267" i="167"/>
  <c r="E2264" i="167"/>
  <c r="E2261" i="167"/>
  <c r="E2258" i="167"/>
  <c r="E2255" i="167"/>
  <c r="E2252" i="167"/>
  <c r="E2250" i="167"/>
  <c r="E2249" i="167"/>
  <c r="E2245" i="167"/>
  <c r="E2243" i="167"/>
  <c r="E2242" i="167"/>
  <c r="E2241" i="167"/>
  <c r="E2238" i="167"/>
  <c r="E2235" i="167"/>
  <c r="E2232" i="167"/>
  <c r="E2229" i="167"/>
  <c r="E2226" i="167"/>
  <c r="E2223" i="167"/>
  <c r="E2220" i="167"/>
  <c r="E2217" i="167"/>
  <c r="E2214" i="167"/>
  <c r="E2212" i="167"/>
  <c r="E2210" i="167"/>
  <c r="E2207" i="167"/>
  <c r="E2204" i="167"/>
  <c r="E2201" i="167"/>
  <c r="E2198" i="167"/>
  <c r="E2195" i="167"/>
  <c r="E2192" i="167"/>
  <c r="E2189" i="167"/>
  <c r="E2186" i="167"/>
  <c r="E2183" i="167"/>
  <c r="E2180" i="167"/>
  <c r="E2177" i="167"/>
  <c r="E2174" i="167"/>
  <c r="E2171" i="167"/>
  <c r="E2168" i="167"/>
  <c r="E2165" i="167"/>
  <c r="E2162" i="167"/>
  <c r="E2159" i="167"/>
  <c r="E2156" i="167"/>
  <c r="E2153" i="167"/>
  <c r="E2150" i="167"/>
  <c r="E2147" i="167"/>
  <c r="E2144" i="167"/>
  <c r="E2141" i="167"/>
  <c r="E2138" i="167"/>
  <c r="E2135" i="167"/>
  <c r="E2132" i="167"/>
  <c r="E2130" i="167"/>
  <c r="E2128" i="167"/>
  <c r="E2125" i="167"/>
  <c r="E2122" i="167"/>
  <c r="E2119" i="167"/>
  <c r="E2116" i="167"/>
  <c r="E2113" i="167"/>
  <c r="E2110" i="167"/>
  <c r="E2107" i="167"/>
  <c r="E2104" i="167"/>
  <c r="E2101" i="167"/>
  <c r="E2098" i="167"/>
  <c r="E2095" i="167"/>
  <c r="E2092" i="167"/>
  <c r="E2089" i="167"/>
  <c r="E2086" i="167"/>
  <c r="E2083" i="167"/>
  <c r="E2080" i="167"/>
  <c r="E2077" i="167"/>
  <c r="E2074" i="167"/>
  <c r="E2071" i="167"/>
  <c r="E2068" i="167"/>
  <c r="E2065" i="167"/>
  <c r="E2062" i="167"/>
  <c r="E2059" i="167"/>
  <c r="E2056" i="167"/>
  <c r="E2053" i="167"/>
  <c r="E2050" i="167"/>
  <c r="E2047" i="167"/>
  <c r="E2044" i="167"/>
  <c r="E2041" i="167"/>
  <c r="E2038" i="167"/>
  <c r="E2035" i="167"/>
  <c r="E2032" i="167"/>
  <c r="E2029" i="167"/>
  <c r="E2026" i="167"/>
  <c r="E2023" i="167"/>
  <c r="E2020" i="167"/>
  <c r="E2017" i="167"/>
  <c r="E2014" i="167"/>
  <c r="E2011" i="167"/>
  <c r="E2008" i="167"/>
  <c r="E2005" i="167"/>
  <c r="E2002" i="167"/>
  <c r="E1999" i="167"/>
  <c r="E1985" i="167"/>
  <c r="E1984" i="167"/>
  <c r="E1983" i="167"/>
  <c r="E1982" i="167"/>
  <c r="E1981" i="167"/>
  <c r="E1980" i="167"/>
  <c r="E1979" i="167"/>
  <c r="E1978" i="167"/>
  <c r="E1977" i="167"/>
  <c r="E1976" i="167"/>
  <c r="E1975" i="167"/>
  <c r="E1974" i="167"/>
  <c r="E1973" i="167"/>
  <c r="E1972" i="167"/>
  <c r="E1971" i="167"/>
  <c r="E1970" i="167"/>
  <c r="E1969" i="167"/>
  <c r="E1968" i="167"/>
  <c r="E1967" i="167"/>
  <c r="E1966" i="167"/>
  <c r="E1965" i="167"/>
  <c r="E1964" i="167"/>
  <c r="E1963" i="167"/>
  <c r="E1962" i="167"/>
  <c r="E1953" i="167"/>
  <c r="E1952" i="167"/>
  <c r="E1951" i="167"/>
  <c r="E1950" i="167"/>
  <c r="E1939" i="167"/>
  <c r="E1938" i="167"/>
  <c r="E1937" i="167"/>
  <c r="E1936" i="167"/>
  <c r="E1935" i="167"/>
  <c r="E1934" i="167"/>
  <c r="E1931" i="167"/>
  <c r="E1929" i="167"/>
  <c r="E1928" i="167"/>
  <c r="E1927" i="167"/>
  <c r="E1924" i="167"/>
  <c r="E1921" i="167"/>
  <c r="E1919" i="167"/>
  <c r="E1918" i="167"/>
  <c r="E1917" i="167"/>
  <c r="E1916" i="167"/>
  <c r="E1913" i="167"/>
  <c r="E1910" i="167"/>
  <c r="E1907" i="167"/>
  <c r="E1904" i="167"/>
  <c r="E1901" i="167"/>
  <c r="E1898" i="167"/>
  <c r="E1895" i="167"/>
  <c r="E1892" i="167"/>
  <c r="E1889" i="167"/>
  <c r="E1886" i="167"/>
  <c r="E1883" i="167"/>
  <c r="E1880" i="167"/>
  <c r="E1877" i="167"/>
  <c r="E1874" i="167"/>
  <c r="E1871" i="167"/>
  <c r="E1868" i="167"/>
  <c r="E1865" i="167"/>
  <c r="E1862" i="167"/>
  <c r="E1859" i="167"/>
  <c r="E1856" i="167"/>
  <c r="E1853" i="167"/>
  <c r="E1850" i="167"/>
  <c r="E1847" i="167"/>
  <c r="E1844" i="167"/>
  <c r="E1841" i="167"/>
  <c r="E1838" i="167"/>
  <c r="E1835" i="167"/>
  <c r="E1832" i="167"/>
  <c r="E1829" i="167"/>
  <c r="E1826" i="167"/>
  <c r="E1823" i="167"/>
  <c r="E1820" i="167"/>
  <c r="E1817" i="167"/>
  <c r="E1814" i="167"/>
  <c r="E1811" i="167"/>
  <c r="E1808" i="167"/>
  <c r="E1805" i="167"/>
  <c r="E1802" i="167"/>
  <c r="E1799" i="167"/>
  <c r="E1796" i="167"/>
  <c r="E1793" i="167"/>
  <c r="E1790" i="167"/>
  <c r="E1787" i="167"/>
  <c r="E1784" i="167"/>
  <c r="E1781" i="167"/>
  <c r="E1778" i="167"/>
  <c r="E1775" i="167"/>
  <c r="E1772" i="167"/>
  <c r="E1769" i="167"/>
  <c r="E1766" i="167"/>
  <c r="E1763" i="167"/>
  <c r="E1760" i="167"/>
  <c r="E1758" i="167"/>
  <c r="E1757" i="167"/>
  <c r="E1756" i="167"/>
  <c r="E1753" i="167"/>
  <c r="E1751" i="167"/>
  <c r="E1750" i="167"/>
  <c r="E1749" i="167"/>
  <c r="E1746" i="167"/>
  <c r="E1743" i="167"/>
  <c r="E1740" i="167"/>
  <c r="E1737" i="167"/>
  <c r="E1734" i="167"/>
  <c r="E1731" i="167"/>
  <c r="E1728" i="167"/>
  <c r="E1725" i="167"/>
  <c r="E1722" i="167"/>
  <c r="E1719" i="167"/>
  <c r="E1716" i="167"/>
  <c r="E1713" i="167"/>
  <c r="E1710" i="167"/>
  <c r="E1707" i="167"/>
  <c r="E1704" i="167"/>
  <c r="E1701" i="167"/>
  <c r="E1698" i="167"/>
  <c r="E1695" i="167"/>
  <c r="E1692" i="167"/>
  <c r="E1689" i="167"/>
  <c r="E1686" i="167"/>
  <c r="E1683" i="167"/>
  <c r="E1680" i="167"/>
  <c r="E1677" i="167"/>
  <c r="E1674" i="167"/>
  <c r="E1671" i="167"/>
  <c r="E1668" i="167"/>
  <c r="E1665" i="167"/>
  <c r="E1662" i="167"/>
  <c r="E1659" i="167"/>
  <c r="E1656" i="167"/>
  <c r="E1654" i="167"/>
  <c r="E1652" i="167"/>
  <c r="E1649" i="167"/>
  <c r="E1646" i="167"/>
  <c r="E1643" i="167"/>
  <c r="E1640" i="167"/>
  <c r="E1637" i="167"/>
  <c r="E1634" i="167"/>
  <c r="E1631" i="167"/>
  <c r="E1628" i="167"/>
  <c r="E1625" i="167"/>
  <c r="E1622" i="167"/>
  <c r="E1619" i="167"/>
  <c r="E1616" i="167"/>
  <c r="E1613" i="167"/>
  <c r="E1610" i="167"/>
  <c r="E1607" i="167"/>
  <c r="E1604" i="167"/>
  <c r="E1601" i="167"/>
  <c r="E1598" i="167"/>
  <c r="E1595" i="167"/>
  <c r="E1592" i="167"/>
  <c r="E1589" i="167"/>
  <c r="E1586" i="167"/>
  <c r="E1583" i="167"/>
  <c r="E1580" i="167"/>
  <c r="E1577" i="167"/>
  <c r="E1574" i="167"/>
  <c r="E1571" i="167"/>
  <c r="E1568" i="167"/>
  <c r="E1565" i="167"/>
  <c r="E1562" i="167"/>
  <c r="E1559" i="167"/>
  <c r="E1556" i="167"/>
  <c r="E1553" i="167"/>
  <c r="E1550" i="167"/>
  <c r="E1547" i="167"/>
  <c r="E1544" i="167"/>
  <c r="E1541" i="167"/>
  <c r="E1538" i="167"/>
  <c r="E1535" i="167"/>
  <c r="E1532" i="167"/>
  <c r="E1529" i="167"/>
  <c r="E1526" i="167"/>
  <c r="E1523" i="167"/>
  <c r="E1520" i="167"/>
  <c r="E1517" i="167"/>
  <c r="E1514" i="167"/>
  <c r="E1511" i="167"/>
  <c r="E1508" i="167"/>
  <c r="E1505" i="167"/>
  <c r="E1502" i="167"/>
  <c r="E1499" i="167"/>
  <c r="E1496" i="167"/>
  <c r="E1481" i="167"/>
  <c r="E1480" i="167"/>
  <c r="E1479" i="167"/>
  <c r="E1478" i="167"/>
  <c r="E1477" i="167"/>
  <c r="E1476" i="167"/>
  <c r="E1475" i="167"/>
  <c r="E1474" i="167"/>
  <c r="E1473" i="167"/>
  <c r="E1472" i="167"/>
  <c r="E1471" i="167"/>
  <c r="E1470" i="167"/>
  <c r="E1469" i="167"/>
  <c r="E1468" i="167"/>
  <c r="E1467" i="167"/>
  <c r="E1466" i="167"/>
  <c r="E1465" i="167"/>
  <c r="E1456" i="167"/>
  <c r="E1455" i="167"/>
  <c r="E1454" i="167"/>
  <c r="E1453" i="167"/>
  <c r="E1442" i="167"/>
  <c r="E1441" i="167"/>
  <c r="E1440" i="167"/>
  <c r="E1439" i="167"/>
  <c r="E1438" i="167"/>
  <c r="E1437" i="167"/>
  <c r="E1434" i="167"/>
  <c r="E1431" i="167"/>
  <c r="E1428" i="167"/>
  <c r="E1425" i="167"/>
  <c r="E1423" i="167"/>
  <c r="E1422" i="167"/>
  <c r="E1421" i="167"/>
  <c r="E1420" i="167"/>
  <c r="E1417" i="167"/>
  <c r="E1414" i="167"/>
  <c r="E1411" i="167"/>
  <c r="E1408" i="167"/>
  <c r="E1405" i="167"/>
  <c r="E1402" i="167"/>
  <c r="E1399" i="167"/>
  <c r="E1396" i="167"/>
  <c r="E1393" i="167"/>
  <c r="E1390" i="167"/>
  <c r="E1387" i="167"/>
  <c r="E1384" i="167"/>
  <c r="E1381" i="167"/>
  <c r="E1378" i="167"/>
  <c r="E1375" i="167"/>
  <c r="E1372" i="167"/>
  <c r="E1369" i="167"/>
  <c r="E1367" i="167"/>
  <c r="E1366" i="167"/>
  <c r="E1365" i="167"/>
  <c r="E1363" i="167"/>
  <c r="E1362" i="167"/>
  <c r="E1361" i="167"/>
  <c r="E1359" i="167"/>
  <c r="E1358" i="167"/>
  <c r="E1357" i="167"/>
  <c r="E1355" i="167"/>
  <c r="E1353" i="167"/>
  <c r="E1350" i="167"/>
  <c r="E1347" i="167"/>
  <c r="E1344" i="167"/>
  <c r="E1341" i="167"/>
  <c r="E1338" i="167"/>
  <c r="E1335" i="167"/>
  <c r="E1332" i="167"/>
  <c r="E1329" i="167"/>
  <c r="E1326" i="167"/>
  <c r="E1323" i="167"/>
  <c r="E1320" i="167"/>
  <c r="E1317" i="167"/>
  <c r="E1314" i="167"/>
  <c r="E1311" i="167"/>
  <c r="E1308" i="167"/>
  <c r="E1305" i="167"/>
  <c r="E1302" i="167"/>
  <c r="E1299" i="167"/>
  <c r="E1296" i="167"/>
  <c r="E1293" i="167"/>
  <c r="E1290" i="167"/>
  <c r="E1287" i="167"/>
  <c r="E1284" i="167"/>
  <c r="E1281" i="167"/>
  <c r="E1278" i="167"/>
  <c r="E1275" i="167"/>
  <c r="E1272" i="167"/>
  <c r="E1269" i="167"/>
  <c r="E1266" i="167"/>
  <c r="E1263" i="167"/>
  <c r="E1260" i="167"/>
  <c r="E1257" i="167"/>
  <c r="E1254" i="167"/>
  <c r="E1251" i="167"/>
  <c r="E1248" i="167"/>
  <c r="E1245" i="167"/>
  <c r="E1242" i="167"/>
  <c r="E1239" i="167"/>
  <c r="E1236" i="167"/>
  <c r="E1233" i="167"/>
  <c r="E1230" i="167"/>
  <c r="E1227" i="167"/>
  <c r="E1224" i="167"/>
  <c r="E1221" i="167"/>
  <c r="E1212" i="167"/>
  <c r="E1209" i="167"/>
  <c r="E1206" i="167"/>
  <c r="E1203" i="167"/>
  <c r="E1200" i="167"/>
  <c r="E1197" i="167"/>
  <c r="E1194" i="167"/>
  <c r="E1191" i="167"/>
  <c r="E1188" i="167"/>
  <c r="E1185" i="167"/>
  <c r="E1182" i="167"/>
  <c r="E1179" i="167"/>
  <c r="E1176" i="167"/>
  <c r="E1173" i="167"/>
  <c r="E1170" i="167"/>
  <c r="E1167" i="167"/>
  <c r="E1164" i="167"/>
  <c r="E1161" i="167"/>
  <c r="E1158" i="167"/>
  <c r="E1155" i="167"/>
  <c r="E1152" i="167"/>
  <c r="E1149" i="167"/>
  <c r="E1146" i="167"/>
  <c r="E1143" i="167"/>
  <c r="E1140" i="167"/>
  <c r="E1137" i="167"/>
  <c r="E1134" i="167"/>
  <c r="E1131" i="167"/>
  <c r="E1128" i="167"/>
  <c r="E1125" i="167"/>
  <c r="E1122" i="167"/>
  <c r="E1119" i="167"/>
  <c r="E1116" i="167"/>
  <c r="E1113" i="167"/>
  <c r="E1110" i="167"/>
  <c r="E1107" i="167"/>
  <c r="E1104" i="167"/>
  <c r="E1101" i="167"/>
  <c r="E1098" i="167"/>
  <c r="E1095" i="167"/>
  <c r="E1092" i="167"/>
  <c r="E1089" i="167"/>
  <c r="E1086" i="167"/>
  <c r="E1083" i="167"/>
  <c r="E1080" i="167"/>
  <c r="E1077" i="167"/>
  <c r="E1074" i="167"/>
  <c r="E1072" i="167"/>
  <c r="E1070" i="167"/>
  <c r="E1068" i="167"/>
  <c r="E1067" i="167"/>
  <c r="E1064" i="167"/>
  <c r="E1061" i="167"/>
  <c r="E1058" i="167"/>
  <c r="E1055" i="167"/>
  <c r="E1052" i="167"/>
  <c r="E1049" i="167"/>
  <c r="E1046" i="167"/>
  <c r="E1044" i="167"/>
  <c r="E1042" i="167"/>
  <c r="E1039" i="167"/>
  <c r="E1036" i="167"/>
  <c r="E1033" i="167"/>
  <c r="E1030" i="167"/>
  <c r="E1027" i="167"/>
  <c r="E1024" i="167"/>
  <c r="E1021" i="167"/>
  <c r="E1018" i="167"/>
  <c r="E1015" i="167"/>
  <c r="E1012" i="167"/>
  <c r="E1009" i="167"/>
  <c r="E1006" i="167"/>
  <c r="E1003" i="167"/>
  <c r="E1000" i="167"/>
  <c r="E997" i="167"/>
  <c r="E994" i="167"/>
  <c r="E991" i="167"/>
  <c r="E988" i="167"/>
  <c r="E985" i="167"/>
  <c r="E982" i="167"/>
  <c r="E979" i="167"/>
  <c r="E976" i="167"/>
  <c r="E973" i="167"/>
  <c r="E970" i="167"/>
  <c r="E967" i="167"/>
  <c r="E964" i="167"/>
  <c r="E961" i="167"/>
  <c r="E958" i="167"/>
  <c r="E955" i="167"/>
  <c r="E952" i="167"/>
  <c r="E949" i="167"/>
  <c r="E946" i="167"/>
  <c r="E943" i="167"/>
  <c r="E940" i="167"/>
  <c r="E937" i="167"/>
  <c r="E934" i="167"/>
  <c r="E931" i="167"/>
  <c r="E928" i="167"/>
  <c r="E925" i="167"/>
  <c r="E922" i="167"/>
  <c r="E919" i="167"/>
  <c r="E916" i="167"/>
  <c r="E897" i="167"/>
  <c r="E896" i="167"/>
  <c r="E895" i="167"/>
  <c r="E894" i="167"/>
  <c r="E883" i="167"/>
  <c r="E882" i="167"/>
  <c r="E881" i="167"/>
  <c r="E880" i="167"/>
  <c r="E879" i="167"/>
  <c r="E878" i="167"/>
  <c r="E875" i="167"/>
  <c r="E872" i="167"/>
  <c r="E869" i="167"/>
  <c r="E866" i="167"/>
  <c r="E864" i="167"/>
  <c r="E863" i="167"/>
  <c r="E862" i="167"/>
  <c r="E861" i="167"/>
  <c r="E858" i="167"/>
  <c r="E855" i="167"/>
  <c r="E853" i="167"/>
  <c r="E852" i="167"/>
  <c r="E851" i="167"/>
  <c r="E850" i="167"/>
  <c r="E849" i="167"/>
  <c r="E848" i="167"/>
  <c r="E847" i="167"/>
  <c r="E846" i="167"/>
  <c r="E845" i="167"/>
  <c r="E844" i="167"/>
  <c r="E843" i="167"/>
  <c r="E842" i="167"/>
  <c r="E841" i="167"/>
  <c r="E840" i="167"/>
  <c r="E839" i="167"/>
  <c r="E838" i="167"/>
  <c r="E835" i="167"/>
  <c r="E832" i="167"/>
  <c r="E829" i="167"/>
  <c r="E826" i="167"/>
  <c r="E823" i="167"/>
  <c r="E820" i="167"/>
  <c r="E817" i="167"/>
  <c r="E814" i="167"/>
  <c r="E812" i="167"/>
  <c r="E811" i="167"/>
  <c r="E810" i="167"/>
  <c r="E808" i="167"/>
  <c r="E806" i="167"/>
  <c r="E804" i="167"/>
  <c r="E803" i="167"/>
  <c r="E799" i="167"/>
  <c r="E796" i="167"/>
  <c r="E793" i="167"/>
  <c r="E790" i="167"/>
  <c r="E787" i="167"/>
  <c r="E784" i="167"/>
  <c r="E781" i="167"/>
  <c r="E778" i="167"/>
  <c r="E775" i="167"/>
  <c r="E772" i="167"/>
  <c r="E769" i="167"/>
  <c r="E766" i="167"/>
  <c r="E763" i="167"/>
  <c r="E760" i="167"/>
  <c r="E757" i="167"/>
  <c r="E754" i="167"/>
  <c r="E751" i="167"/>
  <c r="E748" i="167"/>
  <c r="E745" i="167"/>
  <c r="E742" i="167"/>
  <c r="E739" i="167"/>
  <c r="E736" i="167"/>
  <c r="E733" i="167"/>
  <c r="E730" i="167"/>
  <c r="E728" i="167"/>
  <c r="E727" i="167"/>
  <c r="E726" i="167"/>
  <c r="E724" i="167"/>
  <c r="E723" i="167"/>
  <c r="E722" i="167"/>
  <c r="E719" i="167"/>
  <c r="E716" i="167"/>
  <c r="E713" i="167"/>
  <c r="E710" i="167"/>
  <c r="E707" i="167"/>
  <c r="E704" i="167"/>
  <c r="E701" i="167"/>
  <c r="E698" i="167"/>
  <c r="E695" i="167"/>
  <c r="E692" i="167"/>
  <c r="E689" i="167"/>
  <c r="E686" i="167"/>
  <c r="E683" i="167"/>
  <c r="E681" i="167"/>
  <c r="E679" i="167"/>
  <c r="E676" i="167"/>
  <c r="E673" i="167"/>
  <c r="E670" i="167"/>
  <c r="E667" i="167"/>
  <c r="E664" i="167"/>
  <c r="E661" i="167"/>
  <c r="E658" i="167"/>
  <c r="E655" i="167"/>
  <c r="E652" i="167"/>
  <c r="E649" i="167"/>
  <c r="E646" i="167"/>
  <c r="E643" i="167"/>
  <c r="E640" i="167"/>
  <c r="E637" i="167"/>
  <c r="E634" i="167"/>
  <c r="E631" i="167"/>
  <c r="E628" i="167"/>
  <c r="E625" i="167"/>
  <c r="E622" i="167"/>
  <c r="E619" i="167"/>
  <c r="E616" i="167"/>
  <c r="E613" i="167"/>
  <c r="E610" i="167"/>
  <c r="E607" i="167"/>
  <c r="E605" i="167"/>
  <c r="E603" i="167"/>
  <c r="E600" i="167"/>
  <c r="E597" i="167"/>
  <c r="E594" i="167"/>
  <c r="E591" i="167"/>
  <c r="E588" i="167"/>
  <c r="E585" i="167"/>
  <c r="E582" i="167"/>
  <c r="E579" i="167"/>
  <c r="E576" i="167"/>
  <c r="E573" i="167"/>
  <c r="E570" i="167"/>
  <c r="E567" i="167"/>
  <c r="E564" i="167"/>
  <c r="E561" i="167"/>
  <c r="E558" i="167"/>
  <c r="E555" i="167"/>
  <c r="E552" i="167"/>
  <c r="E549" i="167"/>
  <c r="E546" i="167"/>
  <c r="E543" i="167"/>
  <c r="E540" i="167"/>
  <c r="E537" i="167"/>
  <c r="E534" i="167"/>
  <c r="E531" i="167"/>
  <c r="E528" i="167"/>
  <c r="E525" i="167"/>
  <c r="E522" i="167"/>
  <c r="E519" i="167"/>
  <c r="E516" i="167"/>
  <c r="E513" i="167"/>
  <c r="E510" i="167"/>
  <c r="E507" i="167"/>
  <c r="E504" i="167"/>
  <c r="E502" i="167"/>
  <c r="E501" i="167"/>
  <c r="E500" i="167"/>
  <c r="E499" i="167"/>
  <c r="E496" i="167"/>
  <c r="E495" i="167"/>
  <c r="E494" i="167"/>
  <c r="E493" i="167"/>
  <c r="E490" i="167"/>
  <c r="E487" i="167"/>
  <c r="E484" i="167"/>
  <c r="E481" i="167"/>
  <c r="E478" i="167"/>
  <c r="E475" i="167"/>
  <c r="E472" i="167"/>
  <c r="E469" i="167"/>
  <c r="E466" i="167"/>
  <c r="E463" i="167"/>
  <c r="E460" i="167"/>
  <c r="E457" i="167"/>
  <c r="E454" i="167"/>
  <c r="E451" i="167"/>
  <c r="E442" i="167"/>
  <c r="E441" i="167"/>
  <c r="E440" i="167"/>
  <c r="E439" i="167"/>
  <c r="E428" i="167"/>
  <c r="E427" i="167"/>
  <c r="E426" i="167"/>
  <c r="E425" i="167"/>
  <c r="E424" i="167"/>
  <c r="E423" i="167"/>
  <c r="E420" i="167"/>
  <c r="E417" i="167"/>
  <c r="E414" i="167"/>
  <c r="E411" i="167"/>
  <c r="E408" i="167"/>
  <c r="E405" i="167"/>
  <c r="E402" i="167"/>
  <c r="E399" i="167"/>
  <c r="E396" i="167"/>
  <c r="E393" i="167"/>
  <c r="E390" i="167"/>
  <c r="E387" i="167"/>
  <c r="E384" i="167"/>
  <c r="E381" i="167"/>
  <c r="E378" i="167"/>
  <c r="E375" i="167"/>
  <c r="E372" i="167"/>
  <c r="E370" i="167"/>
  <c r="E368" i="167"/>
  <c r="E365" i="167"/>
  <c r="E362" i="167"/>
  <c r="E359" i="167"/>
  <c r="E356" i="167"/>
  <c r="E353" i="167"/>
  <c r="E350" i="167"/>
  <c r="E348" i="167"/>
  <c r="E347" i="167"/>
  <c r="E346" i="167"/>
  <c r="E343" i="167"/>
  <c r="E340" i="167"/>
  <c r="E337" i="167"/>
  <c r="E334" i="167"/>
  <c r="E331" i="167"/>
  <c r="E327" i="167"/>
  <c r="E324" i="167"/>
  <c r="E320" i="167"/>
  <c r="E317" i="167"/>
  <c r="E315" i="167"/>
  <c r="E314" i="167"/>
  <c r="E313" i="167"/>
  <c r="E310" i="167"/>
  <c r="E307" i="167"/>
  <c r="E304" i="167"/>
  <c r="E301" i="167"/>
  <c r="E298" i="167"/>
  <c r="E295" i="167"/>
  <c r="E293" i="167"/>
  <c r="E292" i="167"/>
  <c r="E291" i="167"/>
  <c r="E289" i="167"/>
  <c r="E288" i="167"/>
  <c r="E287" i="167"/>
  <c r="E285" i="167"/>
  <c r="E284" i="167"/>
  <c r="E283" i="167"/>
  <c r="E280" i="167"/>
  <c r="E277" i="167"/>
  <c r="E274" i="167"/>
  <c r="E271" i="167"/>
  <c r="E268" i="167"/>
  <c r="E265" i="167"/>
  <c r="E262" i="167"/>
  <c r="E259" i="167"/>
  <c r="E256" i="167"/>
  <c r="E253" i="167"/>
  <c r="E250" i="167"/>
  <c r="E247" i="167"/>
  <c r="E244" i="167"/>
  <c r="E241" i="167"/>
  <c r="E238" i="167"/>
  <c r="E235" i="167"/>
  <c r="E232" i="167"/>
  <c r="E229" i="167"/>
  <c r="E226" i="167"/>
  <c r="E223" i="167"/>
  <c r="E220" i="167"/>
  <c r="E217" i="167"/>
  <c r="E214" i="167"/>
  <c r="E211" i="167"/>
  <c r="E208" i="167"/>
  <c r="E205" i="167"/>
  <c r="E202" i="167"/>
  <c r="E199" i="167"/>
  <c r="E196" i="167"/>
  <c r="E193" i="167"/>
  <c r="E190" i="167"/>
  <c r="E187" i="167"/>
  <c r="E184" i="167"/>
  <c r="E181" i="167"/>
  <c r="E178" i="167"/>
  <c r="E175" i="167"/>
  <c r="E172" i="167"/>
  <c r="E169" i="167"/>
  <c r="E166" i="167"/>
  <c r="E163" i="167"/>
  <c r="E160" i="167"/>
  <c r="E159" i="167"/>
  <c r="E156" i="167"/>
  <c r="E153" i="167"/>
  <c r="E150" i="167"/>
  <c r="E147" i="167"/>
  <c r="E144" i="167"/>
  <c r="E141" i="167"/>
  <c r="E138" i="167"/>
  <c r="E135" i="167"/>
  <c r="E132" i="167"/>
  <c r="E129" i="167"/>
  <c r="E126" i="167"/>
  <c r="E123" i="167"/>
  <c r="E120" i="167"/>
  <c r="E117" i="167"/>
  <c r="E114" i="167"/>
  <c r="E111" i="167"/>
  <c r="E108" i="167"/>
  <c r="E105" i="167"/>
  <c r="E102" i="167"/>
  <c r="E99" i="167"/>
  <c r="E96" i="167"/>
  <c r="E93" i="167"/>
  <c r="E90" i="167"/>
  <c r="E87" i="167"/>
  <c r="E84" i="167"/>
  <c r="E81" i="167"/>
  <c r="E78" i="167"/>
  <c r="E75" i="167"/>
  <c r="E72" i="167"/>
  <c r="E69" i="167"/>
  <c r="E66" i="167"/>
  <c r="E63" i="167"/>
  <c r="E60" i="167"/>
  <c r="E57" i="167"/>
  <c r="E54" i="167"/>
  <c r="E51" i="167"/>
  <c r="E48" i="167"/>
  <c r="E45" i="167"/>
  <c r="E42" i="167"/>
  <c r="E39" i="167"/>
  <c r="E36" i="167"/>
  <c r="E33" i="167"/>
  <c r="E29" i="167"/>
  <c r="E27" i="167"/>
  <c r="E26" i="167"/>
  <c r="E23" i="167"/>
  <c r="E22" i="167"/>
  <c r="E21" i="167"/>
  <c r="E20" i="167"/>
  <c r="E19" i="167"/>
  <c r="E18" i="167"/>
  <c r="E17" i="167"/>
  <c r="E16" i="167"/>
  <c r="E15" i="167"/>
  <c r="E14" i="167"/>
  <c r="E13" i="167"/>
  <c r="E12" i="167"/>
  <c r="E11" i="167"/>
  <c r="E10" i="167"/>
  <c r="E9" i="167"/>
  <c r="E8" i="167"/>
  <c r="E7" i="167"/>
  <c r="E6" i="167"/>
  <c r="E5" i="167"/>
  <c r="E4" i="167"/>
  <c r="E3" i="167"/>
  <c r="G4046" i="167"/>
  <c r="E4046" i="167" s="1"/>
  <c r="D4046" i="167"/>
  <c r="G4045" i="167"/>
  <c r="E4045" i="167" s="1"/>
  <c r="D4045" i="167"/>
  <c r="B4045" i="167"/>
  <c r="G4043" i="167"/>
  <c r="E4043" i="167" s="1"/>
  <c r="D4043" i="167"/>
  <c r="G4042" i="167"/>
  <c r="E4042" i="167" s="1"/>
  <c r="D4042" i="167"/>
  <c r="B4042" i="167"/>
  <c r="G4040" i="167"/>
  <c r="E4040" i="167" s="1"/>
  <c r="D4040" i="167"/>
  <c r="G4039" i="167"/>
  <c r="E4039" i="167" s="1"/>
  <c r="D4039" i="167"/>
  <c r="B4039" i="167"/>
  <c r="G4037" i="167"/>
  <c r="E4037" i="167" s="1"/>
  <c r="D4037" i="167"/>
  <c r="G4036" i="167"/>
  <c r="E4036" i="167" s="1"/>
  <c r="D4036" i="167"/>
  <c r="B4036" i="167"/>
  <c r="G4034" i="167"/>
  <c r="E4034" i="167" s="1"/>
  <c r="D4034" i="167"/>
  <c r="G4033" i="167"/>
  <c r="E4033" i="167" s="1"/>
  <c r="D4033" i="167"/>
  <c r="B4033" i="167"/>
  <c r="G4031" i="167"/>
  <c r="E4031" i="167" s="1"/>
  <c r="D4031" i="167"/>
  <c r="G4030" i="167"/>
  <c r="E4030" i="167" s="1"/>
  <c r="D4030" i="167"/>
  <c r="B4030" i="167"/>
  <c r="G4028" i="167"/>
  <c r="E4028" i="167" s="1"/>
  <c r="D4028" i="167"/>
  <c r="G4027" i="167"/>
  <c r="E4027" i="167" s="1"/>
  <c r="D4027" i="167"/>
  <c r="B4027" i="167"/>
  <c r="G4025" i="167"/>
  <c r="E4025" i="167" s="1"/>
  <c r="D4025" i="167"/>
  <c r="G4024" i="167"/>
  <c r="E4024" i="167" s="1"/>
  <c r="D4024" i="167"/>
  <c r="B4024" i="167"/>
  <c r="G4022" i="167"/>
  <c r="E4022" i="167" s="1"/>
  <c r="D4022" i="167"/>
  <c r="G4021" i="167"/>
  <c r="E4021" i="167" s="1"/>
  <c r="D4021" i="167"/>
  <c r="B4021" i="167"/>
  <c r="G4019" i="167"/>
  <c r="E4019" i="167" s="1"/>
  <c r="D4019" i="167"/>
  <c r="G4018" i="167"/>
  <c r="E4018" i="167" s="1"/>
  <c r="D4018" i="167"/>
  <c r="B4018" i="167"/>
  <c r="G4016" i="167"/>
  <c r="E4016" i="167" s="1"/>
  <c r="D4016" i="167"/>
  <c r="G4015" i="167"/>
  <c r="E4015" i="167" s="1"/>
  <c r="D4015" i="167"/>
  <c r="B4015" i="167"/>
  <c r="G4013" i="167"/>
  <c r="E4013" i="167" s="1"/>
  <c r="D4013" i="167"/>
  <c r="G4012" i="167"/>
  <c r="E4012" i="167" s="1"/>
  <c r="D4012" i="167"/>
  <c r="B4012" i="167"/>
  <c r="G4010" i="167"/>
  <c r="E4010" i="167" s="1"/>
  <c r="D4010" i="167"/>
  <c r="G4009" i="167"/>
  <c r="E4009" i="167" s="1"/>
  <c r="D4009" i="167"/>
  <c r="B4009" i="167"/>
  <c r="G4007" i="167"/>
  <c r="E4007" i="167" s="1"/>
  <c r="D4007" i="167"/>
  <c r="G4006" i="167"/>
  <c r="E4006" i="167" s="1"/>
  <c r="D4006" i="167"/>
  <c r="B4006" i="167"/>
  <c r="G4004" i="167"/>
  <c r="E4004" i="167" s="1"/>
  <c r="D4004" i="167"/>
  <c r="G4003" i="167"/>
  <c r="E4003" i="167" s="1"/>
  <c r="D4003" i="167"/>
  <c r="B4003" i="167"/>
  <c r="G4001" i="167"/>
  <c r="E4001" i="167" s="1"/>
  <c r="D4001" i="167"/>
  <c r="G4000" i="167"/>
  <c r="E4000" i="167" s="1"/>
  <c r="D4000" i="167"/>
  <c r="B4000" i="167"/>
  <c r="G3998" i="167"/>
  <c r="E3998" i="167" s="1"/>
  <c r="D3998" i="167"/>
  <c r="G3997" i="167"/>
  <c r="E3997" i="167" s="1"/>
  <c r="D3997" i="167"/>
  <c r="B3997" i="167"/>
  <c r="G3995" i="167"/>
  <c r="E3995" i="167" s="1"/>
  <c r="D3995" i="167"/>
  <c r="G3994" i="167"/>
  <c r="E3994" i="167" s="1"/>
  <c r="D3994" i="167"/>
  <c r="B3994" i="167"/>
  <c r="G3992" i="167"/>
  <c r="E3992" i="167" s="1"/>
  <c r="D3992" i="167"/>
  <c r="G3991" i="167"/>
  <c r="E3991" i="167" s="1"/>
  <c r="D3991" i="167"/>
  <c r="B3991" i="167"/>
  <c r="G3989" i="167"/>
  <c r="E3989" i="167" s="1"/>
  <c r="D3989" i="167"/>
  <c r="G3988" i="167"/>
  <c r="E3988" i="167" s="1"/>
  <c r="D3988" i="167"/>
  <c r="B3988" i="167"/>
  <c r="G3986" i="167"/>
  <c r="E3986" i="167" s="1"/>
  <c r="D3986" i="167"/>
  <c r="G3985" i="167"/>
  <c r="E3985" i="167" s="1"/>
  <c r="D3985" i="167"/>
  <c r="B3985" i="167"/>
  <c r="H3983" i="167"/>
  <c r="G3983" i="167"/>
  <c r="E3983" i="167" s="1"/>
  <c r="D3983" i="167"/>
  <c r="A3983" i="167"/>
  <c r="B3983" i="167" s="1"/>
  <c r="G3982" i="167"/>
  <c r="E3982" i="167" s="1"/>
  <c r="D3982" i="167"/>
  <c r="B3982" i="167"/>
  <c r="D3980" i="167"/>
  <c r="G3979" i="167"/>
  <c r="E3979" i="167" s="1"/>
  <c r="D3979" i="167"/>
  <c r="B3979" i="167"/>
  <c r="D3977" i="167"/>
  <c r="G3976" i="167"/>
  <c r="E3976" i="167" s="1"/>
  <c r="D3976" i="167"/>
  <c r="B3976" i="167"/>
  <c r="G3974" i="167"/>
  <c r="E3974" i="167" s="1"/>
  <c r="D3974" i="167"/>
  <c r="G3973" i="167"/>
  <c r="E3973" i="167" s="1"/>
  <c r="D3973" i="167"/>
  <c r="B3973" i="167"/>
  <c r="G3971" i="167"/>
  <c r="E3971" i="167" s="1"/>
  <c r="D3971" i="167"/>
  <c r="G3970" i="167"/>
  <c r="E3970" i="167" s="1"/>
  <c r="D3970" i="167"/>
  <c r="B3970" i="167"/>
  <c r="G3968" i="167"/>
  <c r="E3968" i="167" s="1"/>
  <c r="D3968" i="167"/>
  <c r="G3967" i="167"/>
  <c r="E3967" i="167" s="1"/>
  <c r="D3967" i="167"/>
  <c r="B3967" i="167"/>
  <c r="G3965" i="167"/>
  <c r="D3965" i="167"/>
  <c r="G3964" i="167"/>
  <c r="E3964" i="167" s="1"/>
  <c r="D3964" i="167"/>
  <c r="B3964" i="167"/>
  <c r="G3962" i="167"/>
  <c r="E3962" i="167" s="1"/>
  <c r="D3962" i="167"/>
  <c r="G3961" i="167"/>
  <c r="E3961" i="167" s="1"/>
  <c r="D3961" i="167"/>
  <c r="B3961" i="167"/>
  <c r="G3959" i="167"/>
  <c r="E3959" i="167" s="1"/>
  <c r="D3959" i="167"/>
  <c r="G3958" i="167"/>
  <c r="E3958" i="167" s="1"/>
  <c r="D3958" i="167"/>
  <c r="B3958" i="167"/>
  <c r="G3956" i="167"/>
  <c r="E3956" i="167" s="1"/>
  <c r="D3956" i="167"/>
  <c r="G3955" i="167"/>
  <c r="E3955" i="167" s="1"/>
  <c r="D3955" i="167"/>
  <c r="B3955" i="167"/>
  <c r="G3953" i="167"/>
  <c r="E3953" i="167" s="1"/>
  <c r="D3953" i="167"/>
  <c r="G3952" i="167"/>
  <c r="E3952" i="167" s="1"/>
  <c r="D3952" i="167"/>
  <c r="B3952" i="167"/>
  <c r="G3950" i="167"/>
  <c r="E3950" i="167" s="1"/>
  <c r="D3950" i="167"/>
  <c r="G3949" i="167"/>
  <c r="E3949" i="167" s="1"/>
  <c r="D3949" i="167"/>
  <c r="B3949" i="167"/>
  <c r="G3947" i="167"/>
  <c r="E3947" i="167" s="1"/>
  <c r="D3947" i="167"/>
  <c r="G3946" i="167"/>
  <c r="E3946" i="167" s="1"/>
  <c r="D3946" i="167"/>
  <c r="B3946" i="167"/>
  <c r="G3944" i="167"/>
  <c r="E3944" i="167" s="1"/>
  <c r="D3944" i="167"/>
  <c r="G3943" i="167"/>
  <c r="E3943" i="167" s="1"/>
  <c r="D3943" i="167"/>
  <c r="B3943" i="167"/>
  <c r="G3941" i="167"/>
  <c r="E3941" i="167" s="1"/>
  <c r="D3941" i="167"/>
  <c r="G3940" i="167"/>
  <c r="E3940" i="167" s="1"/>
  <c r="D3940" i="167"/>
  <c r="B3940" i="167"/>
  <c r="G3938" i="167"/>
  <c r="E3938" i="167" s="1"/>
  <c r="D3938" i="167"/>
  <c r="G3937" i="167"/>
  <c r="E3937" i="167" s="1"/>
  <c r="D3937" i="167"/>
  <c r="B3937" i="167"/>
  <c r="G3935" i="167"/>
  <c r="E3935" i="167" s="1"/>
  <c r="D3935" i="167"/>
  <c r="G3934" i="167"/>
  <c r="E3934" i="167" s="1"/>
  <c r="D3934" i="167"/>
  <c r="B3934" i="167"/>
  <c r="G3932" i="167"/>
  <c r="D3932" i="167"/>
  <c r="G3931" i="167"/>
  <c r="E3931" i="167" s="1"/>
  <c r="D3931" i="167"/>
  <c r="B3931" i="167"/>
  <c r="G3929" i="167"/>
  <c r="E3929" i="167" s="1"/>
  <c r="D3929" i="167"/>
  <c r="G3928" i="167"/>
  <c r="E3928" i="167" s="1"/>
  <c r="D3928" i="167"/>
  <c r="B3928" i="167"/>
  <c r="G3926" i="167"/>
  <c r="E3926" i="167" s="1"/>
  <c r="D3926" i="167"/>
  <c r="G3925" i="167"/>
  <c r="E3925" i="167" s="1"/>
  <c r="D3925" i="167"/>
  <c r="B3925" i="167"/>
  <c r="H3923" i="167"/>
  <c r="G3923" i="167"/>
  <c r="E3923" i="167" s="1"/>
  <c r="D3923" i="167"/>
  <c r="G3922" i="167"/>
  <c r="E3922" i="167" s="1"/>
  <c r="D3922" i="167"/>
  <c r="B3922" i="167"/>
  <c r="G3920" i="167"/>
  <c r="E3920" i="167" s="1"/>
  <c r="D3920" i="167"/>
  <c r="G3919" i="167"/>
  <c r="E3919" i="167" s="1"/>
  <c r="D3919" i="167"/>
  <c r="B3919" i="167"/>
  <c r="G3917" i="167"/>
  <c r="E3917" i="167" s="1"/>
  <c r="D3917" i="167"/>
  <c r="G3916" i="167"/>
  <c r="E3916" i="167" s="1"/>
  <c r="D3916" i="167"/>
  <c r="B3916" i="167"/>
  <c r="G3914" i="167"/>
  <c r="E3914" i="167" s="1"/>
  <c r="D3914" i="167"/>
  <c r="G3913" i="167"/>
  <c r="E3913" i="167" s="1"/>
  <c r="D3913" i="167"/>
  <c r="B3913" i="167"/>
  <c r="G3911" i="167"/>
  <c r="E3911" i="167" s="1"/>
  <c r="D3911" i="167"/>
  <c r="G3910" i="167"/>
  <c r="E3910" i="167" s="1"/>
  <c r="D3910" i="167"/>
  <c r="B3910" i="167"/>
  <c r="G3908" i="167"/>
  <c r="D3908" i="167"/>
  <c r="G3907" i="167"/>
  <c r="E3907" i="167" s="1"/>
  <c r="D3907" i="167"/>
  <c r="B3907" i="167"/>
  <c r="G3905" i="167"/>
  <c r="E3905" i="167" s="1"/>
  <c r="D3905" i="167"/>
  <c r="G3904" i="167"/>
  <c r="E3904" i="167" s="1"/>
  <c r="D3904" i="167"/>
  <c r="B3904" i="167"/>
  <c r="G3902" i="167"/>
  <c r="E3902" i="167" s="1"/>
  <c r="D3902" i="167"/>
  <c r="G3901" i="167"/>
  <c r="E3901" i="167" s="1"/>
  <c r="D3901" i="167"/>
  <c r="B3901" i="167"/>
  <c r="G3899" i="167"/>
  <c r="E3899" i="167" s="1"/>
  <c r="D3899" i="167"/>
  <c r="G3898" i="167"/>
  <c r="E3898" i="167" s="1"/>
  <c r="D3898" i="167"/>
  <c r="B3898" i="167"/>
  <c r="G3896" i="167"/>
  <c r="E3896" i="167" s="1"/>
  <c r="D3896" i="167"/>
  <c r="G3895" i="167"/>
  <c r="E3895" i="167" s="1"/>
  <c r="D3895" i="167"/>
  <c r="B3895" i="167"/>
  <c r="G3893" i="167"/>
  <c r="E3893" i="167" s="1"/>
  <c r="D3893" i="167"/>
  <c r="G3892" i="167"/>
  <c r="E3892" i="167" s="1"/>
  <c r="D3892" i="167"/>
  <c r="B3892" i="167"/>
  <c r="G3890" i="167"/>
  <c r="E3890" i="167" s="1"/>
  <c r="D3890" i="167"/>
  <c r="G3889" i="167"/>
  <c r="E3889" i="167" s="1"/>
  <c r="D3889" i="167"/>
  <c r="B3889" i="167"/>
  <c r="G3887" i="167"/>
  <c r="E3887" i="167" s="1"/>
  <c r="D3887" i="167"/>
  <c r="G3886" i="167"/>
  <c r="E3886" i="167" s="1"/>
  <c r="D3886" i="167"/>
  <c r="B3886" i="167"/>
  <c r="E3908" i="167" l="1"/>
  <c r="F4093" i="167"/>
  <c r="E3965" i="167"/>
  <c r="E3932" i="167"/>
  <c r="F4094" i="167"/>
  <c r="G3884" i="167"/>
  <c r="E3884" i="167" s="1"/>
  <c r="D3884" i="167"/>
  <c r="G3883" i="167"/>
  <c r="E3883" i="167" s="1"/>
  <c r="D3883" i="167"/>
  <c r="B3883" i="167"/>
  <c r="G3881" i="167"/>
  <c r="E3881" i="167" s="1"/>
  <c r="D3881" i="167"/>
  <c r="G3880" i="167"/>
  <c r="E3880" i="167" s="1"/>
  <c r="D3880" i="167"/>
  <c r="B3880" i="167"/>
  <c r="G3878" i="167"/>
  <c r="E3878" i="167" s="1"/>
  <c r="D3878" i="167"/>
  <c r="G3877" i="167"/>
  <c r="E3877" i="167" s="1"/>
  <c r="D3877" i="167"/>
  <c r="B3877" i="167"/>
  <c r="G3875" i="167"/>
  <c r="E3875" i="167" s="1"/>
  <c r="D3875" i="167"/>
  <c r="G3874" i="167"/>
  <c r="E3874" i="167" s="1"/>
  <c r="D3874" i="167"/>
  <c r="B3874" i="167"/>
  <c r="D3872" i="167"/>
  <c r="D3871" i="167"/>
  <c r="G3870" i="167"/>
  <c r="D3870" i="167"/>
  <c r="B3870" i="167"/>
  <c r="F3866" i="167"/>
  <c r="D3868" i="167"/>
  <c r="H3867" i="167"/>
  <c r="H3868" i="167" s="1"/>
  <c r="D3867" i="167"/>
  <c r="G3866" i="167"/>
  <c r="D3866" i="167"/>
  <c r="B3866" i="167"/>
  <c r="H3864" i="167"/>
  <c r="E3864" i="167"/>
  <c r="D3864" i="167"/>
  <c r="A3864" i="167"/>
  <c r="B3864" i="167" s="1"/>
  <c r="G3862" i="167"/>
  <c r="E3862" i="167" s="1"/>
  <c r="D3862" i="167"/>
  <c r="B3862" i="167"/>
  <c r="E3860" i="167"/>
  <c r="D3860" i="167"/>
  <c r="G3858" i="167"/>
  <c r="E3858" i="167" s="1"/>
  <c r="D3858" i="167"/>
  <c r="B3858" i="167"/>
  <c r="G3856" i="167"/>
  <c r="E3856" i="167" s="1"/>
  <c r="D3856" i="167"/>
  <c r="G3855" i="167"/>
  <c r="E3855" i="167" s="1"/>
  <c r="D3855" i="167"/>
  <c r="B3855" i="167"/>
  <c r="G3853" i="167"/>
  <c r="E3853" i="167" s="1"/>
  <c r="D3853" i="167"/>
  <c r="G3852" i="167"/>
  <c r="E3852" i="167" s="1"/>
  <c r="D3852" i="167"/>
  <c r="B3852" i="167"/>
  <c r="G3850" i="167"/>
  <c r="E3850" i="167" s="1"/>
  <c r="D3850" i="167"/>
  <c r="G3849" i="167"/>
  <c r="E3849" i="167" s="1"/>
  <c r="D3849" i="167"/>
  <c r="B3849" i="167"/>
  <c r="G3847" i="167"/>
  <c r="E3847" i="167" s="1"/>
  <c r="D3847" i="167"/>
  <c r="G3846" i="167"/>
  <c r="E3846" i="167" s="1"/>
  <c r="D3846" i="167"/>
  <c r="B3846" i="167"/>
  <c r="G3844" i="167"/>
  <c r="E3844" i="167" s="1"/>
  <c r="D3844" i="167"/>
  <c r="G3843" i="167"/>
  <c r="E3843" i="167" s="1"/>
  <c r="D3843" i="167"/>
  <c r="B3843" i="167"/>
  <c r="G3841" i="167"/>
  <c r="E3841" i="167" s="1"/>
  <c r="D3841" i="167"/>
  <c r="G3840" i="167"/>
  <c r="E3840" i="167" s="1"/>
  <c r="D3840" i="167"/>
  <c r="B3840" i="167"/>
  <c r="G3838" i="167"/>
  <c r="E3838" i="167" s="1"/>
  <c r="D3838" i="167"/>
  <c r="G3837" i="167"/>
  <c r="E3837" i="167" s="1"/>
  <c r="D3837" i="167"/>
  <c r="B3837" i="167"/>
  <c r="G3835" i="167"/>
  <c r="E3835" i="167" s="1"/>
  <c r="D3835" i="167"/>
  <c r="G3834" i="167"/>
  <c r="E3834" i="167" s="1"/>
  <c r="D3834" i="167"/>
  <c r="B3834" i="167"/>
  <c r="G3832" i="167"/>
  <c r="E3832" i="167" s="1"/>
  <c r="D3832" i="167"/>
  <c r="G3831" i="167"/>
  <c r="E3831" i="167" s="1"/>
  <c r="D3831" i="167"/>
  <c r="B3831" i="167"/>
  <c r="G3829" i="167"/>
  <c r="E3829" i="167" s="1"/>
  <c r="D3829" i="167"/>
  <c r="G3828" i="167"/>
  <c r="E3828" i="167" s="1"/>
  <c r="D3828" i="167"/>
  <c r="B3828" i="167"/>
  <c r="G3826" i="167"/>
  <c r="E3826" i="167" s="1"/>
  <c r="D3826" i="167"/>
  <c r="G3825" i="167"/>
  <c r="E3825" i="167" s="1"/>
  <c r="D3825" i="167"/>
  <c r="B3825" i="167"/>
  <c r="G3823" i="167"/>
  <c r="E3823" i="167" s="1"/>
  <c r="D3823" i="167"/>
  <c r="G3822" i="167"/>
  <c r="E3822" i="167" s="1"/>
  <c r="D3822" i="167"/>
  <c r="B3822" i="167"/>
  <c r="G3820" i="167"/>
  <c r="E3820" i="167" s="1"/>
  <c r="D3820" i="167"/>
  <c r="G3819" i="167"/>
  <c r="E3819" i="167" s="1"/>
  <c r="D3819" i="167"/>
  <c r="B3819" i="167"/>
  <c r="G3817" i="167"/>
  <c r="E3817" i="167" s="1"/>
  <c r="D3817" i="167"/>
  <c r="G3816" i="167"/>
  <c r="E3816" i="167" s="1"/>
  <c r="D3816" i="167"/>
  <c r="B3816" i="167"/>
  <c r="G3814" i="167"/>
  <c r="E3814" i="167" s="1"/>
  <c r="D3814" i="167"/>
  <c r="G3813" i="167"/>
  <c r="E3813" i="167" s="1"/>
  <c r="D3813" i="167"/>
  <c r="B3813" i="167"/>
  <c r="G3811" i="167"/>
  <c r="E3811" i="167" s="1"/>
  <c r="D3811" i="167"/>
  <c r="G3810" i="167"/>
  <c r="E3810" i="167" s="1"/>
  <c r="D3810" i="167"/>
  <c r="B3810" i="167"/>
  <c r="H3808" i="167"/>
  <c r="H3826" i="167" s="1"/>
  <c r="H3829" i="167" s="1"/>
  <c r="H3847" i="167" s="1"/>
  <c r="H3853" i="167" s="1"/>
  <c r="G3808" i="167"/>
  <c r="E3808" i="167" s="1"/>
  <c r="D3808" i="167"/>
  <c r="G3807" i="167"/>
  <c r="E3807" i="167" s="1"/>
  <c r="D3807" i="167"/>
  <c r="B3807" i="167"/>
  <c r="G3805" i="167"/>
  <c r="E3805" i="167" s="1"/>
  <c r="D3805" i="167"/>
  <c r="G3804" i="167"/>
  <c r="E3804" i="167" s="1"/>
  <c r="D3804" i="167"/>
  <c r="B3804" i="167"/>
  <c r="G3802" i="167"/>
  <c r="E3802" i="167" s="1"/>
  <c r="D3802" i="167"/>
  <c r="G3801" i="167"/>
  <c r="E3801" i="167" s="1"/>
  <c r="D3801" i="167"/>
  <c r="B3801" i="167"/>
  <c r="G3799" i="167"/>
  <c r="E3799" i="167" s="1"/>
  <c r="D3799" i="167"/>
  <c r="G3798" i="167"/>
  <c r="E3798" i="167" s="1"/>
  <c r="D3798" i="167"/>
  <c r="B3798" i="167"/>
  <c r="H3796" i="167"/>
  <c r="G3796" i="167"/>
  <c r="E3796" i="167" s="1"/>
  <c r="D3796" i="167"/>
  <c r="A3796" i="167"/>
  <c r="B3796" i="167" s="1"/>
  <c r="G3795" i="167"/>
  <c r="E3795" i="167" s="1"/>
  <c r="D3795" i="167"/>
  <c r="B3795" i="167"/>
  <c r="G3793" i="167"/>
  <c r="E3793" i="167" s="1"/>
  <c r="D3793" i="167"/>
  <c r="G3792" i="167"/>
  <c r="E3792" i="167" s="1"/>
  <c r="D3792" i="167"/>
  <c r="B3792" i="167"/>
  <c r="G3790" i="167"/>
  <c r="E3790" i="167" s="1"/>
  <c r="D3790" i="167"/>
  <c r="G3789" i="167"/>
  <c r="E3789" i="167" s="1"/>
  <c r="D3789" i="167"/>
  <c r="B3789" i="167"/>
  <c r="G3787" i="167"/>
  <c r="E3787" i="167" s="1"/>
  <c r="D3787" i="167"/>
  <c r="G3786" i="167"/>
  <c r="E3786" i="167" s="1"/>
  <c r="D3786" i="167"/>
  <c r="B3786" i="167"/>
  <c r="G3784" i="167"/>
  <c r="E3784" i="167" s="1"/>
  <c r="D3784" i="167"/>
  <c r="G3783" i="167"/>
  <c r="E3783" i="167" s="1"/>
  <c r="D3783" i="167"/>
  <c r="B3783" i="167"/>
  <c r="G3781" i="167"/>
  <c r="E3781" i="167" s="1"/>
  <c r="D3781" i="167"/>
  <c r="G3780" i="167"/>
  <c r="E3780" i="167" s="1"/>
  <c r="D3780" i="167"/>
  <c r="B3780" i="167"/>
  <c r="G3778" i="167"/>
  <c r="E3778" i="167" s="1"/>
  <c r="D3778" i="167"/>
  <c r="G3777" i="167"/>
  <c r="E3777" i="167" s="1"/>
  <c r="D3777" i="167"/>
  <c r="B3777" i="167"/>
  <c r="E3775" i="167"/>
  <c r="D3775" i="167"/>
  <c r="G3773" i="167"/>
  <c r="E3773" i="167" s="1"/>
  <c r="D3773" i="167"/>
  <c r="B3773" i="167"/>
  <c r="G3771" i="167"/>
  <c r="E3771" i="167" s="1"/>
  <c r="D3771" i="167"/>
  <c r="G3770" i="167"/>
  <c r="E3770" i="167" s="1"/>
  <c r="D3770" i="167"/>
  <c r="B3770" i="167"/>
  <c r="G3768" i="167"/>
  <c r="E3768" i="167" s="1"/>
  <c r="D3768" i="167"/>
  <c r="G3767" i="167"/>
  <c r="E3767" i="167" s="1"/>
  <c r="D3767" i="167"/>
  <c r="B3767" i="167"/>
  <c r="G3765" i="167"/>
  <c r="E3765" i="167" s="1"/>
  <c r="D3765" i="167"/>
  <c r="G3764" i="167"/>
  <c r="E3764" i="167" s="1"/>
  <c r="D3764" i="167"/>
  <c r="B3764" i="167"/>
  <c r="H3762" i="167"/>
  <c r="G3762" i="167"/>
  <c r="E3762" i="167" s="1"/>
  <c r="D3762" i="167"/>
  <c r="A3762" i="167"/>
  <c r="B3762" i="167" s="1"/>
  <c r="G3761" i="167"/>
  <c r="E3761" i="167" s="1"/>
  <c r="D3761" i="167"/>
  <c r="B3761" i="167"/>
  <c r="G3759" i="167"/>
  <c r="E3759" i="167" s="1"/>
  <c r="D3759" i="167"/>
  <c r="G3758" i="167"/>
  <c r="E3758" i="167" s="1"/>
  <c r="D3758" i="167"/>
  <c r="B3758" i="167"/>
  <c r="G3756" i="167"/>
  <c r="E3756" i="167" s="1"/>
  <c r="D3756" i="167"/>
  <c r="G3755" i="167"/>
  <c r="E3755" i="167" s="1"/>
  <c r="D3755" i="167"/>
  <c r="B3755" i="167"/>
  <c r="G3753" i="167"/>
  <c r="E3753" i="167" s="1"/>
  <c r="D3753" i="167"/>
  <c r="G3752" i="167"/>
  <c r="E3752" i="167" s="1"/>
  <c r="D3752" i="167"/>
  <c r="B3752" i="167"/>
  <c r="G3750" i="167"/>
  <c r="E3750" i="167" s="1"/>
  <c r="D3750" i="167"/>
  <c r="G3749" i="167"/>
  <c r="E3749" i="167" s="1"/>
  <c r="D3749" i="167"/>
  <c r="B3749" i="167"/>
  <c r="G3747" i="167"/>
  <c r="E3747" i="167" s="1"/>
  <c r="D3747" i="167"/>
  <c r="G3746" i="167"/>
  <c r="E3746" i="167" s="1"/>
  <c r="D3746" i="167"/>
  <c r="B3746" i="167"/>
  <c r="G3744" i="167"/>
  <c r="E3744" i="167" s="1"/>
  <c r="D3744" i="167"/>
  <c r="G3743" i="167"/>
  <c r="E3743" i="167" s="1"/>
  <c r="D3743" i="167"/>
  <c r="B3743" i="167"/>
  <c r="G3741" i="167"/>
  <c r="E3741" i="167" s="1"/>
  <c r="D3741" i="167"/>
  <c r="G3740" i="167"/>
  <c r="E3740" i="167" s="1"/>
  <c r="D3740" i="167"/>
  <c r="B3740" i="167"/>
  <c r="G3738" i="167"/>
  <c r="E3738" i="167" s="1"/>
  <c r="D3738" i="167"/>
  <c r="G3737" i="167"/>
  <c r="E3737" i="167" s="1"/>
  <c r="D3737" i="167"/>
  <c r="B3737" i="167"/>
  <c r="G3735" i="167"/>
  <c r="E3735" i="167" s="1"/>
  <c r="D3735" i="167"/>
  <c r="G3734" i="167"/>
  <c r="E3734" i="167" s="1"/>
  <c r="D3734" i="167"/>
  <c r="B3734" i="167"/>
  <c r="G3732" i="167"/>
  <c r="E3732" i="167" s="1"/>
  <c r="D3732" i="167"/>
  <c r="G3731" i="167"/>
  <c r="E3731" i="167" s="1"/>
  <c r="D3731" i="167"/>
  <c r="B3731" i="167"/>
  <c r="G3729" i="167"/>
  <c r="E3729" i="167" s="1"/>
  <c r="D3729" i="167"/>
  <c r="G3728" i="167"/>
  <c r="E3728" i="167" s="1"/>
  <c r="D3728" i="167"/>
  <c r="B3728" i="167"/>
  <c r="G3726" i="167"/>
  <c r="E3726" i="167" s="1"/>
  <c r="D3726" i="167"/>
  <c r="G3725" i="167"/>
  <c r="E3725" i="167" s="1"/>
  <c r="D3725" i="167"/>
  <c r="B3725" i="167"/>
  <c r="G3723" i="167"/>
  <c r="E3723" i="167" s="1"/>
  <c r="D3723" i="167"/>
  <c r="G3722" i="167"/>
  <c r="E3722" i="167" s="1"/>
  <c r="D3722" i="167"/>
  <c r="B3722" i="167"/>
  <c r="G3720" i="167"/>
  <c r="E3720" i="167" s="1"/>
  <c r="D3720" i="167"/>
  <c r="G3719" i="167"/>
  <c r="E3719" i="167" s="1"/>
  <c r="D3719" i="167"/>
  <c r="B3719" i="167"/>
  <c r="G3717" i="167"/>
  <c r="E3717" i="167" s="1"/>
  <c r="D3717" i="167"/>
  <c r="G3716" i="167"/>
  <c r="E3716" i="167" s="1"/>
  <c r="D3716" i="167"/>
  <c r="B3716" i="167"/>
  <c r="G3714" i="167"/>
  <c r="E3714" i="167" s="1"/>
  <c r="D3714" i="167"/>
  <c r="G3713" i="167"/>
  <c r="E3713" i="167" s="1"/>
  <c r="D3713" i="167"/>
  <c r="B3713" i="167"/>
  <c r="G3711" i="167"/>
  <c r="E3711" i="167" s="1"/>
  <c r="D3711" i="167"/>
  <c r="G3710" i="167"/>
  <c r="E3710" i="167" s="1"/>
  <c r="D3710" i="167"/>
  <c r="B3710" i="167"/>
  <c r="G3708" i="167"/>
  <c r="E3708" i="167" s="1"/>
  <c r="D3708" i="167"/>
  <c r="G3707" i="167"/>
  <c r="E3707" i="167" s="1"/>
  <c r="D3707" i="167"/>
  <c r="B3707" i="167"/>
  <c r="G3705" i="167"/>
  <c r="E3705" i="167" s="1"/>
  <c r="D3705" i="167"/>
  <c r="G3704" i="167"/>
  <c r="E3704" i="167" s="1"/>
  <c r="D3704" i="167"/>
  <c r="B3704" i="167"/>
  <c r="G3702" i="167"/>
  <c r="E3702" i="167" s="1"/>
  <c r="D3702" i="167"/>
  <c r="G3701" i="167"/>
  <c r="E3701" i="167" s="1"/>
  <c r="D3701" i="167"/>
  <c r="B3701" i="167"/>
  <c r="G3699" i="167"/>
  <c r="E3699" i="167" s="1"/>
  <c r="D3699" i="167"/>
  <c r="G3698" i="167"/>
  <c r="E3698" i="167" s="1"/>
  <c r="D3698" i="167"/>
  <c r="B3698" i="167"/>
  <c r="G3696" i="167"/>
  <c r="E3696" i="167" s="1"/>
  <c r="D3696" i="167"/>
  <c r="G3695" i="167"/>
  <c r="E3695" i="167" s="1"/>
  <c r="D3695" i="167"/>
  <c r="B3695" i="167"/>
  <c r="G3693" i="167"/>
  <c r="E3693" i="167" s="1"/>
  <c r="D3693" i="167"/>
  <c r="G3692" i="167"/>
  <c r="E3692" i="167" s="1"/>
  <c r="D3692" i="167"/>
  <c r="B3692" i="167"/>
  <c r="G3690" i="167"/>
  <c r="E3690" i="167" s="1"/>
  <c r="D3690" i="167"/>
  <c r="G3689" i="167"/>
  <c r="E3689" i="167" s="1"/>
  <c r="D3689" i="167"/>
  <c r="B3689" i="167"/>
  <c r="G3687" i="167"/>
  <c r="E3687" i="167" s="1"/>
  <c r="D3687" i="167"/>
  <c r="G3686" i="167"/>
  <c r="E3686" i="167" s="1"/>
  <c r="D3686" i="167"/>
  <c r="B3686" i="167"/>
  <c r="D3684" i="167"/>
  <c r="G3683" i="167"/>
  <c r="E3683" i="167" s="1"/>
  <c r="D3683" i="167"/>
  <c r="B3683" i="167"/>
  <c r="G3681" i="167"/>
  <c r="E3681" i="167" s="1"/>
  <c r="D3681" i="167"/>
  <c r="G3680" i="167"/>
  <c r="E3680" i="167" s="1"/>
  <c r="D3680" i="167"/>
  <c r="B3680" i="167"/>
  <c r="G3678" i="167"/>
  <c r="E3678" i="167" s="1"/>
  <c r="D3678" i="167"/>
  <c r="G3677" i="167"/>
  <c r="E3677" i="167" s="1"/>
  <c r="D3677" i="167"/>
  <c r="B3677" i="167"/>
  <c r="G3675" i="167"/>
  <c r="E3675" i="167" s="1"/>
  <c r="D3675" i="167"/>
  <c r="G3674" i="167"/>
  <c r="E3674" i="167" s="1"/>
  <c r="D3674" i="167"/>
  <c r="B3674" i="167"/>
  <c r="G3672" i="167"/>
  <c r="E3672" i="167" s="1"/>
  <c r="D3672" i="167"/>
  <c r="G3671" i="167"/>
  <c r="E3671" i="167" s="1"/>
  <c r="D3671" i="167"/>
  <c r="B3671" i="167"/>
  <c r="G3669" i="167"/>
  <c r="E3669" i="167" s="1"/>
  <c r="D3669" i="167"/>
  <c r="G3668" i="167"/>
  <c r="E3668" i="167" s="1"/>
  <c r="D3668" i="167"/>
  <c r="B3668" i="167"/>
  <c r="G3666" i="167"/>
  <c r="E3666" i="167" s="1"/>
  <c r="D3666" i="167"/>
  <c r="G3665" i="167"/>
  <c r="E3665" i="167" s="1"/>
  <c r="D3665" i="167"/>
  <c r="B3665" i="167"/>
  <c r="G3663" i="167"/>
  <c r="E3663" i="167" s="1"/>
  <c r="D3663" i="167"/>
  <c r="G3662" i="167"/>
  <c r="E3662" i="167" s="1"/>
  <c r="D3662" i="167"/>
  <c r="B3662" i="167"/>
  <c r="G3660" i="167"/>
  <c r="E3660" i="167" s="1"/>
  <c r="D3660" i="167"/>
  <c r="G3659" i="167"/>
  <c r="E3659" i="167" s="1"/>
  <c r="D3659" i="167"/>
  <c r="B3659" i="167"/>
  <c r="G3657" i="167"/>
  <c r="E3657" i="167" s="1"/>
  <c r="D3657" i="167"/>
  <c r="G3656" i="167"/>
  <c r="E3656" i="167" s="1"/>
  <c r="D3656" i="167"/>
  <c r="B3656" i="167"/>
  <c r="G3654" i="167"/>
  <c r="E3654" i="167" s="1"/>
  <c r="D3654" i="167"/>
  <c r="G3653" i="167"/>
  <c r="E3653" i="167" s="1"/>
  <c r="D3653" i="167"/>
  <c r="B3653" i="167"/>
  <c r="G3651" i="167"/>
  <c r="E3651" i="167" s="1"/>
  <c r="D3651" i="167"/>
  <c r="G3650" i="167"/>
  <c r="E3650" i="167" s="1"/>
  <c r="D3650" i="167"/>
  <c r="B3650" i="167"/>
  <c r="G3648" i="167"/>
  <c r="E3648" i="167" s="1"/>
  <c r="D3648" i="167"/>
  <c r="G3647" i="167"/>
  <c r="E3647" i="167" s="1"/>
  <c r="D3647" i="167"/>
  <c r="B3647" i="167"/>
  <c r="G3645" i="167"/>
  <c r="E3645" i="167" s="1"/>
  <c r="D3645" i="167"/>
  <c r="G3644" i="167"/>
  <c r="E3644" i="167" s="1"/>
  <c r="D3644" i="167"/>
  <c r="B3644" i="167"/>
  <c r="G3642" i="167"/>
  <c r="E3642" i="167" s="1"/>
  <c r="D3642" i="167"/>
  <c r="G3641" i="167"/>
  <c r="E3641" i="167" s="1"/>
  <c r="D3641" i="167"/>
  <c r="B3641" i="167"/>
  <c r="G3639" i="167"/>
  <c r="E3639" i="167" s="1"/>
  <c r="D3639" i="167"/>
  <c r="G3638" i="167"/>
  <c r="E3638" i="167" s="1"/>
  <c r="D3638" i="167"/>
  <c r="B3638" i="167"/>
  <c r="G3636" i="167"/>
  <c r="E3636" i="167" s="1"/>
  <c r="D3636" i="167"/>
  <c r="G3635" i="167"/>
  <c r="E3635" i="167" s="1"/>
  <c r="D3635" i="167"/>
  <c r="B3635" i="167"/>
  <c r="G3633" i="167"/>
  <c r="E3633" i="167" s="1"/>
  <c r="D3633" i="167"/>
  <c r="G3632" i="167"/>
  <c r="E3632" i="167" s="1"/>
  <c r="D3632" i="167"/>
  <c r="B3632" i="167"/>
  <c r="G3630" i="167"/>
  <c r="E3630" i="167" s="1"/>
  <c r="D3630" i="167"/>
  <c r="G3629" i="167"/>
  <c r="E3629" i="167" s="1"/>
  <c r="D3629" i="167"/>
  <c r="B3629" i="167"/>
  <c r="G3627" i="167"/>
  <c r="E3627" i="167" s="1"/>
  <c r="D3627" i="167"/>
  <c r="G3626" i="167"/>
  <c r="E3626" i="167" s="1"/>
  <c r="D3626" i="167"/>
  <c r="B3626" i="167"/>
  <c r="G3624" i="167"/>
  <c r="E3624" i="167" s="1"/>
  <c r="D3624" i="167"/>
  <c r="G3623" i="167"/>
  <c r="E3623" i="167" s="1"/>
  <c r="D3623" i="167"/>
  <c r="B3623" i="167"/>
  <c r="G3621" i="167"/>
  <c r="E3621" i="167" s="1"/>
  <c r="D3621" i="167"/>
  <c r="G3620" i="167"/>
  <c r="E3620" i="167" s="1"/>
  <c r="D3620" i="167"/>
  <c r="B3620" i="167"/>
  <c r="G3618" i="167"/>
  <c r="E3618" i="167" s="1"/>
  <c r="D3618" i="167"/>
  <c r="G3617" i="167"/>
  <c r="E3617" i="167" s="1"/>
  <c r="D3617" i="167"/>
  <c r="B3617" i="167"/>
  <c r="H3615" i="167"/>
  <c r="H3627" i="167" s="1"/>
  <c r="H3639" i="167" s="1"/>
  <c r="H3645" i="167" s="1"/>
  <c r="H3666" i="167" s="1"/>
  <c r="H3669" i="167" s="1"/>
  <c r="H3681" i="167" s="1"/>
  <c r="H3693" i="167" s="1"/>
  <c r="H3723" i="167" s="1"/>
  <c r="H3732" i="167" s="1"/>
  <c r="H3735" i="167" s="1"/>
  <c r="H3747" i="167" s="1"/>
  <c r="H3805" i="167" s="1"/>
  <c r="H3820" i="167" s="1"/>
  <c r="H3832" i="167" s="1"/>
  <c r="H3841" i="167" s="1"/>
  <c r="H3844" i="167" s="1"/>
  <c r="H3850" i="167" s="1"/>
  <c r="H3887" i="167" s="1"/>
  <c r="H3890" i="167" s="1"/>
  <c r="H3911" i="167" s="1"/>
  <c r="H3929" i="167" s="1"/>
  <c r="H3935" i="167" s="1"/>
  <c r="H3947" i="167" s="1"/>
  <c r="H3959" i="167" s="1"/>
  <c r="H3962" i="167" s="1"/>
  <c r="H3968" i="167" s="1"/>
  <c r="H3995" i="167" s="1"/>
  <c r="H4007" i="167" s="1"/>
  <c r="H4010" i="167" s="1"/>
  <c r="H4016" i="167" s="1"/>
  <c r="H4022" i="167" s="1"/>
  <c r="H4031" i="167" s="1"/>
  <c r="H4034" i="167" s="1"/>
  <c r="H4040" i="167" s="1"/>
  <c r="G3615" i="167"/>
  <c r="E3615" i="167" s="1"/>
  <c r="D3615" i="167"/>
  <c r="A3615" i="167"/>
  <c r="B3615" i="167" s="1"/>
  <c r="G3614" i="167"/>
  <c r="E3614" i="167" s="1"/>
  <c r="D3614" i="167"/>
  <c r="B3614" i="167"/>
  <c r="D3612" i="167"/>
  <c r="G3611" i="167"/>
  <c r="E3611" i="167" s="1"/>
  <c r="D3611" i="167"/>
  <c r="B3611" i="167"/>
  <c r="D3609" i="167"/>
  <c r="D3608" i="167"/>
  <c r="B3608" i="167"/>
  <c r="H3856" i="167" l="1"/>
  <c r="H3860" i="167"/>
  <c r="H3884" i="167" s="1"/>
  <c r="H3902" i="167" s="1"/>
  <c r="H3905" i="167" s="1"/>
  <c r="H3914" i="167" s="1"/>
  <c r="H3917" i="167" s="1"/>
  <c r="H3920" i="167" s="1"/>
  <c r="H3938" i="167" s="1"/>
  <c r="H3941" i="167" s="1"/>
  <c r="H3950" i="167" s="1"/>
  <c r="H3953" i="167" s="1"/>
  <c r="H3956" i="167" s="1"/>
  <c r="H3974" i="167" s="1"/>
  <c r="H3986" i="167" s="1"/>
  <c r="H3992" i="167" s="1"/>
  <c r="H3998" i="167" s="1"/>
  <c r="H4004" i="167" s="1"/>
  <c r="H4013" i="167" s="1"/>
  <c r="H4019" i="167" s="1"/>
  <c r="H4028" i="167" s="1"/>
  <c r="H4037" i="167" s="1"/>
  <c r="H3871" i="167"/>
  <c r="E4094" i="167"/>
  <c r="G4185" i="167"/>
  <c r="E4185" i="167" s="1"/>
  <c r="G4099" i="167"/>
  <c r="F4101" i="167" s="1"/>
  <c r="E4101" i="167" s="1"/>
  <c r="E4093" i="167"/>
  <c r="A3627" i="167"/>
  <c r="A3867" i="167"/>
  <c r="A3868" i="167" s="1"/>
  <c r="B3868" i="167" s="1"/>
  <c r="E3866" i="167"/>
  <c r="G3608" i="167"/>
  <c r="E3608" i="167" s="1"/>
  <c r="B3627" i="167" l="1"/>
  <c r="A3639" i="167"/>
  <c r="H3872" i="167"/>
  <c r="H3875" i="167"/>
  <c r="H3878" i="167" s="1"/>
  <c r="E4099" i="167"/>
  <c r="F3870" i="167"/>
  <c r="E3870" i="167" s="1"/>
  <c r="B3867" i="167"/>
  <c r="A3871" i="167"/>
  <c r="H4753" i="166"/>
  <c r="G4753" i="166"/>
  <c r="E4753" i="166" s="1"/>
  <c r="D4753" i="166"/>
  <c r="A4753" i="166"/>
  <c r="E4752" i="166"/>
  <c r="D4752" i="166"/>
  <c r="B4752" i="166"/>
  <c r="B4753" i="166" s="1"/>
  <c r="H4750" i="166"/>
  <c r="G4750" i="166"/>
  <c r="E4750" i="166" s="1"/>
  <c r="D4750" i="166"/>
  <c r="A4750" i="166"/>
  <c r="E4749" i="166"/>
  <c r="D4749" i="166"/>
  <c r="B4749" i="166"/>
  <c r="B4750" i="166" s="1"/>
  <c r="H4747" i="166"/>
  <c r="G4747" i="166"/>
  <c r="E4747" i="166" s="1"/>
  <c r="D4747" i="166"/>
  <c r="A4747" i="166"/>
  <c r="E4746" i="166"/>
  <c r="D4746" i="166"/>
  <c r="B4746" i="166"/>
  <c r="B4747" i="166" s="1"/>
  <c r="H4744" i="166"/>
  <c r="G4744" i="166"/>
  <c r="E4744" i="166" s="1"/>
  <c r="D4744" i="166"/>
  <c r="A4744" i="166"/>
  <c r="E4743" i="166"/>
  <c r="D4743" i="166"/>
  <c r="B4743" i="166"/>
  <c r="B4744" i="166" s="1"/>
  <c r="H4741" i="166"/>
  <c r="G4741" i="166"/>
  <c r="E4741" i="166" s="1"/>
  <c r="D4741" i="166"/>
  <c r="A4741" i="166"/>
  <c r="E4740" i="166"/>
  <c r="D4740" i="166"/>
  <c r="B4740" i="166"/>
  <c r="B4741" i="166" s="1"/>
  <c r="H4738" i="166"/>
  <c r="G4738" i="166"/>
  <c r="E4738" i="166" s="1"/>
  <c r="D4738" i="166"/>
  <c r="A4738" i="166"/>
  <c r="E4737" i="166"/>
  <c r="D4737" i="166"/>
  <c r="B4737" i="166"/>
  <c r="B4738" i="166" s="1"/>
  <c r="H4735" i="166"/>
  <c r="G4735" i="166"/>
  <c r="E4735" i="166" s="1"/>
  <c r="D4735" i="166"/>
  <c r="A4735" i="166"/>
  <c r="E4734" i="166"/>
  <c r="D4734" i="166"/>
  <c r="B4734" i="166"/>
  <c r="B4735" i="166" s="1"/>
  <c r="H4732" i="166"/>
  <c r="G4732" i="166"/>
  <c r="E4732" i="166" s="1"/>
  <c r="D4732" i="166"/>
  <c r="A4732" i="166"/>
  <c r="E4731" i="166"/>
  <c r="D4731" i="166"/>
  <c r="B4731" i="166"/>
  <c r="B4732" i="166" s="1"/>
  <c r="E4729" i="166"/>
  <c r="E4728" i="166"/>
  <c r="E4725" i="166"/>
  <c r="E4724" i="166"/>
  <c r="D4729" i="166"/>
  <c r="D4728" i="166"/>
  <c r="E4727" i="166"/>
  <c r="D4727" i="166"/>
  <c r="E4726" i="166"/>
  <c r="D4726" i="166"/>
  <c r="D4725" i="166"/>
  <c r="D4724" i="166"/>
  <c r="A4724" i="166"/>
  <c r="A4725" i="166" s="1"/>
  <c r="A4726" i="166" s="1"/>
  <c r="A4727" i="166" s="1"/>
  <c r="A4728" i="166" s="1"/>
  <c r="A4729" i="166" s="1"/>
  <c r="E4723" i="166"/>
  <c r="D4723" i="166"/>
  <c r="B4723" i="166"/>
  <c r="B4724" i="166" s="1"/>
  <c r="B4725" i="166" s="1"/>
  <c r="B4726" i="166" s="1"/>
  <c r="B4727" i="166" s="1"/>
  <c r="B4728" i="166" s="1"/>
  <c r="B4729" i="166" s="1"/>
  <c r="A3872" i="167" l="1"/>
  <c r="B3872" i="167" s="1"/>
  <c r="A3875" i="167"/>
  <c r="B3871" i="167"/>
  <c r="B3639" i="167"/>
  <c r="A3645" i="167"/>
  <c r="H4721" i="166"/>
  <c r="D4721" i="166"/>
  <c r="A4721" i="166"/>
  <c r="D4719" i="166"/>
  <c r="B4719" i="166"/>
  <c r="B4721" i="166" s="1"/>
  <c r="H4717" i="166"/>
  <c r="G4717" i="166"/>
  <c r="E4717" i="166" s="1"/>
  <c r="D4717" i="166"/>
  <c r="A4717" i="166"/>
  <c r="E4716" i="166"/>
  <c r="D4716" i="166"/>
  <c r="B4716" i="166"/>
  <c r="B4717" i="166" s="1"/>
  <c r="H4714" i="166"/>
  <c r="G4714" i="166"/>
  <c r="E4714" i="166" s="1"/>
  <c r="D4714" i="166"/>
  <c r="A4714" i="166"/>
  <c r="E4713" i="166"/>
  <c r="D4713" i="166"/>
  <c r="B4713" i="166"/>
  <c r="B4714" i="166" s="1"/>
  <c r="H4711" i="166"/>
  <c r="G4711" i="166"/>
  <c r="E4711" i="166" s="1"/>
  <c r="D4711" i="166"/>
  <c r="A4711" i="166"/>
  <c r="E4710" i="166"/>
  <c r="D4710" i="166"/>
  <c r="B4710" i="166"/>
  <c r="B4711" i="166" s="1"/>
  <c r="H4708" i="166"/>
  <c r="G4708" i="166"/>
  <c r="E4708" i="166" s="1"/>
  <c r="D4708" i="166"/>
  <c r="A4708" i="166"/>
  <c r="E4707" i="166"/>
  <c r="D4707" i="166"/>
  <c r="B4707" i="166"/>
  <c r="B4708" i="166" s="1"/>
  <c r="H4705" i="166"/>
  <c r="G4705" i="166"/>
  <c r="E4705" i="166" s="1"/>
  <c r="D4705" i="166"/>
  <c r="A4705" i="166"/>
  <c r="E4704" i="166"/>
  <c r="D4704" i="166"/>
  <c r="B4704" i="166"/>
  <c r="B4705" i="166" s="1"/>
  <c r="H4702" i="166"/>
  <c r="G4702" i="166"/>
  <c r="E4702" i="166" s="1"/>
  <c r="D4702" i="166"/>
  <c r="A4702" i="166"/>
  <c r="E4701" i="166"/>
  <c r="D4701" i="166"/>
  <c r="B4701" i="166"/>
  <c r="B4702" i="166" s="1"/>
  <c r="H4699" i="166"/>
  <c r="G4699" i="166"/>
  <c r="E4699" i="166" s="1"/>
  <c r="D4699" i="166"/>
  <c r="A4699" i="166"/>
  <c r="E4698" i="166"/>
  <c r="D4698" i="166"/>
  <c r="B4698" i="166"/>
  <c r="B4699" i="166" s="1"/>
  <c r="H4696" i="166"/>
  <c r="G4696" i="166"/>
  <c r="E4696" i="166" s="1"/>
  <c r="D4696" i="166"/>
  <c r="A4696" i="166"/>
  <c r="E4695" i="166"/>
  <c r="D4695" i="166"/>
  <c r="B4695" i="166"/>
  <c r="B4696" i="166" s="1"/>
  <c r="H4693" i="166"/>
  <c r="G4693" i="166"/>
  <c r="E4693" i="166" s="1"/>
  <c r="D4693" i="166"/>
  <c r="A4693" i="166"/>
  <c r="E4692" i="166"/>
  <c r="D4692" i="166"/>
  <c r="B4692" i="166"/>
  <c r="B4693" i="166" s="1"/>
  <c r="H4690" i="166"/>
  <c r="G4690" i="166"/>
  <c r="E4690" i="166" s="1"/>
  <c r="D4690" i="166"/>
  <c r="A4690" i="166"/>
  <c r="E4689" i="166"/>
  <c r="D4689" i="166"/>
  <c r="B4689" i="166"/>
  <c r="B4690" i="166" s="1"/>
  <c r="H4687" i="166"/>
  <c r="G4687" i="166"/>
  <c r="E4687" i="166" s="1"/>
  <c r="D4687" i="166"/>
  <c r="A4687" i="166"/>
  <c r="E4686" i="166"/>
  <c r="D4686" i="166"/>
  <c r="B4686" i="166"/>
  <c r="B4687" i="166" s="1"/>
  <c r="H4684" i="166"/>
  <c r="G4684" i="166"/>
  <c r="E4684" i="166" s="1"/>
  <c r="D4684" i="166"/>
  <c r="A4684" i="166"/>
  <c r="E4683" i="166"/>
  <c r="D4683" i="166"/>
  <c r="B4683" i="166"/>
  <c r="B4684" i="166" s="1"/>
  <c r="H4681" i="166"/>
  <c r="G4681" i="166"/>
  <c r="E4681" i="166" s="1"/>
  <c r="D4681" i="166"/>
  <c r="A4681" i="166"/>
  <c r="E4680" i="166"/>
  <c r="D4680" i="166"/>
  <c r="B4680" i="166"/>
  <c r="B4681" i="166" s="1"/>
  <c r="H4678" i="166"/>
  <c r="G4678" i="166"/>
  <c r="E4678" i="166" s="1"/>
  <c r="D4678" i="166"/>
  <c r="A4678" i="166"/>
  <c r="E4677" i="166"/>
  <c r="D4677" i="166"/>
  <c r="B4677" i="166"/>
  <c r="B4678" i="166" s="1"/>
  <c r="H4675" i="166"/>
  <c r="G4675" i="166"/>
  <c r="E4675" i="166" s="1"/>
  <c r="D4675" i="166"/>
  <c r="A4675" i="166"/>
  <c r="E4674" i="166"/>
  <c r="D4674" i="166"/>
  <c r="B4674" i="166"/>
  <c r="B4675" i="166" s="1"/>
  <c r="H4672" i="166"/>
  <c r="G4672" i="166"/>
  <c r="E4672" i="166" s="1"/>
  <c r="D4672" i="166"/>
  <c r="A4672" i="166"/>
  <c r="E4671" i="166"/>
  <c r="D4671" i="166"/>
  <c r="B4671" i="166"/>
  <c r="B4672" i="166" s="1"/>
  <c r="H4669" i="166"/>
  <c r="G4669" i="166"/>
  <c r="E4669" i="166" s="1"/>
  <c r="D4669" i="166"/>
  <c r="A4669" i="166"/>
  <c r="E4668" i="166"/>
  <c r="D4668" i="166"/>
  <c r="B4668" i="166"/>
  <c r="B4669" i="166" s="1"/>
  <c r="H4666" i="166"/>
  <c r="G4666" i="166"/>
  <c r="E4666" i="166" s="1"/>
  <c r="D4666" i="166"/>
  <c r="A4666" i="166"/>
  <c r="E4665" i="166"/>
  <c r="D4665" i="166"/>
  <c r="B4665" i="166"/>
  <c r="B4666" i="166" s="1"/>
  <c r="H4663" i="166"/>
  <c r="G4663" i="166"/>
  <c r="E4663" i="166" s="1"/>
  <c r="D4663" i="166"/>
  <c r="A4663" i="166"/>
  <c r="E4662" i="166"/>
  <c r="D4662" i="166"/>
  <c r="B4662" i="166"/>
  <c r="B4663" i="166" s="1"/>
  <c r="H4660" i="166"/>
  <c r="G4660" i="166"/>
  <c r="E4660" i="166" s="1"/>
  <c r="D4660" i="166"/>
  <c r="A4660" i="166"/>
  <c r="E4659" i="166"/>
  <c r="D4659" i="166"/>
  <c r="B4659" i="166"/>
  <c r="B4660" i="166" s="1"/>
  <c r="H4657" i="166"/>
  <c r="G4657" i="166"/>
  <c r="E4657" i="166" s="1"/>
  <c r="D4657" i="166"/>
  <c r="A4657" i="166"/>
  <c r="E4656" i="166"/>
  <c r="D4656" i="166"/>
  <c r="B4656" i="166"/>
  <c r="B4657" i="166" s="1"/>
  <c r="H4654" i="166"/>
  <c r="G4654" i="166"/>
  <c r="E4654" i="166" s="1"/>
  <c r="D4654" i="166"/>
  <c r="A4654" i="166"/>
  <c r="E4653" i="166"/>
  <c r="D4653" i="166"/>
  <c r="B4653" i="166"/>
  <c r="B4654" i="166" s="1"/>
  <c r="H4651" i="166"/>
  <c r="G4651" i="166"/>
  <c r="E4651" i="166" s="1"/>
  <c r="D4651" i="166"/>
  <c r="A4651" i="166"/>
  <c r="E4650" i="166"/>
  <c r="D4650" i="166"/>
  <c r="B4650" i="166"/>
  <c r="B4651" i="166" s="1"/>
  <c r="H4648" i="166"/>
  <c r="G4648" i="166"/>
  <c r="E4648" i="166" s="1"/>
  <c r="D4648" i="166"/>
  <c r="A4648" i="166"/>
  <c r="E4647" i="166"/>
  <c r="D4647" i="166"/>
  <c r="B4647" i="166"/>
  <c r="B4648" i="166" s="1"/>
  <c r="H4645" i="166"/>
  <c r="G4645" i="166"/>
  <c r="E4645" i="166" s="1"/>
  <c r="D4645" i="166"/>
  <c r="A4645" i="166"/>
  <c r="E4644" i="166"/>
  <c r="D4644" i="166"/>
  <c r="B4644" i="166"/>
  <c r="B4645" i="166" s="1"/>
  <c r="H4642" i="166"/>
  <c r="G4642" i="166"/>
  <c r="E4642" i="166" s="1"/>
  <c r="D4642" i="166"/>
  <c r="A4642" i="166"/>
  <c r="E4641" i="166"/>
  <c r="D4641" i="166"/>
  <c r="B4641" i="166"/>
  <c r="B4642" i="166" s="1"/>
  <c r="H4639" i="166"/>
  <c r="G4639" i="166"/>
  <c r="E4639" i="166" s="1"/>
  <c r="D4639" i="166"/>
  <c r="A4639" i="166"/>
  <c r="E4638" i="166"/>
  <c r="D4638" i="166"/>
  <c r="B4638" i="166"/>
  <c r="B4639" i="166" s="1"/>
  <c r="H4636" i="166"/>
  <c r="G4636" i="166"/>
  <c r="E4636" i="166" s="1"/>
  <c r="D4636" i="166"/>
  <c r="A4636" i="166"/>
  <c r="E4635" i="166"/>
  <c r="D4635" i="166"/>
  <c r="B4635" i="166"/>
  <c r="B4636" i="166" s="1"/>
  <c r="H4633" i="166"/>
  <c r="G4633" i="166"/>
  <c r="E4633" i="166" s="1"/>
  <c r="D4633" i="166"/>
  <c r="A4633" i="166"/>
  <c r="E4632" i="166"/>
  <c r="D4632" i="166"/>
  <c r="B4632" i="166"/>
  <c r="B4633" i="166" s="1"/>
  <c r="H4630" i="166"/>
  <c r="G4630" i="166"/>
  <c r="E4630" i="166" s="1"/>
  <c r="D4630" i="166"/>
  <c r="A4630" i="166"/>
  <c r="E4629" i="166"/>
  <c r="D4629" i="166"/>
  <c r="B4629" i="166"/>
  <c r="B4630" i="166" s="1"/>
  <c r="H4627" i="166"/>
  <c r="G4627" i="166"/>
  <c r="E4627" i="166" s="1"/>
  <c r="D4627" i="166"/>
  <c r="A4627" i="166"/>
  <c r="E4626" i="166"/>
  <c r="D4626" i="166"/>
  <c r="B4626" i="166"/>
  <c r="B4627" i="166" s="1"/>
  <c r="H4624" i="166"/>
  <c r="G4624" i="166"/>
  <c r="E4624" i="166" s="1"/>
  <c r="D4624" i="166"/>
  <c r="A4624" i="166"/>
  <c r="E4623" i="166"/>
  <c r="D4623" i="166"/>
  <c r="B4623" i="166"/>
  <c r="B4624" i="166" s="1"/>
  <c r="H4621" i="166"/>
  <c r="G4621" i="166"/>
  <c r="E4621" i="166" s="1"/>
  <c r="D4621" i="166"/>
  <c r="A4621" i="166"/>
  <c r="E4620" i="166"/>
  <c r="D4620" i="166"/>
  <c r="B4620" i="166"/>
  <c r="B4621" i="166" s="1"/>
  <c r="H4618" i="166"/>
  <c r="G4618" i="166"/>
  <c r="E4618" i="166" s="1"/>
  <c r="D4618" i="166"/>
  <c r="A4618" i="166"/>
  <c r="E4617" i="166"/>
  <c r="D4617" i="166"/>
  <c r="B4617" i="166"/>
  <c r="B4618" i="166" s="1"/>
  <c r="H4615" i="166"/>
  <c r="G4615" i="166"/>
  <c r="E4615" i="166" s="1"/>
  <c r="D4615" i="166"/>
  <c r="A4615" i="166"/>
  <c r="E4614" i="166"/>
  <c r="D4614" i="166"/>
  <c r="B4614" i="166"/>
  <c r="B4615" i="166" s="1"/>
  <c r="H4612" i="166"/>
  <c r="G4612" i="166"/>
  <c r="E4612" i="166" s="1"/>
  <c r="D4612" i="166"/>
  <c r="A4612" i="166"/>
  <c r="E4611" i="166"/>
  <c r="D4611" i="166"/>
  <c r="B4611" i="166"/>
  <c r="B4612" i="166" s="1"/>
  <c r="H4609" i="166"/>
  <c r="G4609" i="166"/>
  <c r="E4609" i="166" s="1"/>
  <c r="D4609" i="166"/>
  <c r="A4609" i="166"/>
  <c r="E4608" i="166"/>
  <c r="D4608" i="166"/>
  <c r="B4608" i="166"/>
  <c r="B4609" i="166" s="1"/>
  <c r="H4606" i="166"/>
  <c r="G4606" i="166"/>
  <c r="E4606" i="166" s="1"/>
  <c r="D4606" i="166"/>
  <c r="A4606" i="166"/>
  <c r="E4605" i="166"/>
  <c r="D4605" i="166"/>
  <c r="B4605" i="166"/>
  <c r="B4606" i="166" s="1"/>
  <c r="H4603" i="166"/>
  <c r="G4603" i="166"/>
  <c r="E4603" i="166" s="1"/>
  <c r="D4603" i="166"/>
  <c r="A4603" i="166"/>
  <c r="E4602" i="166"/>
  <c r="D4602" i="166"/>
  <c r="B4602" i="166"/>
  <c r="B4603" i="166" s="1"/>
  <c r="H4600" i="166"/>
  <c r="G4600" i="166"/>
  <c r="E4600" i="166" s="1"/>
  <c r="D4600" i="166"/>
  <c r="A4600" i="166"/>
  <c r="E4599" i="166"/>
  <c r="D4599" i="166"/>
  <c r="B4599" i="166"/>
  <c r="B4600" i="166" s="1"/>
  <c r="H4597" i="166"/>
  <c r="G4597" i="166"/>
  <c r="E4597" i="166" s="1"/>
  <c r="D4597" i="166"/>
  <c r="A4597" i="166"/>
  <c r="E4596" i="166"/>
  <c r="D4596" i="166"/>
  <c r="B4596" i="166"/>
  <c r="B4597" i="166" s="1"/>
  <c r="H4594" i="166"/>
  <c r="G4594" i="166"/>
  <c r="E4594" i="166" s="1"/>
  <c r="D4594" i="166"/>
  <c r="A4594" i="166"/>
  <c r="E4593" i="166"/>
  <c r="D4593" i="166"/>
  <c r="B4593" i="166"/>
  <c r="B4594" i="166" s="1"/>
  <c r="H4591" i="166"/>
  <c r="G4591" i="166"/>
  <c r="E4591" i="166" s="1"/>
  <c r="D4591" i="166"/>
  <c r="A4591" i="166"/>
  <c r="E4590" i="166"/>
  <c r="D4590" i="166"/>
  <c r="B4590" i="166"/>
  <c r="B4591" i="166" s="1"/>
  <c r="H4588" i="166"/>
  <c r="G4588" i="166"/>
  <c r="E4588" i="166" s="1"/>
  <c r="D4588" i="166"/>
  <c r="A4588" i="166"/>
  <c r="E4587" i="166"/>
  <c r="D4587" i="166"/>
  <c r="B4587" i="166"/>
  <c r="B4588" i="166" s="1"/>
  <c r="H4585" i="166"/>
  <c r="G4585" i="166"/>
  <c r="E4585" i="166" s="1"/>
  <c r="D4585" i="166"/>
  <c r="A4585" i="166"/>
  <c r="E4584" i="166"/>
  <c r="D4584" i="166"/>
  <c r="B4584" i="166"/>
  <c r="B4585" i="166" s="1"/>
  <c r="H4582" i="166"/>
  <c r="G4582" i="166"/>
  <c r="E4582" i="166" s="1"/>
  <c r="D4582" i="166"/>
  <c r="A4582" i="166"/>
  <c r="E4581" i="166"/>
  <c r="D4581" i="166"/>
  <c r="B4581" i="166"/>
  <c r="B4582" i="166" s="1"/>
  <c r="H4579" i="166"/>
  <c r="G4579" i="166"/>
  <c r="E4579" i="166" s="1"/>
  <c r="D4579" i="166"/>
  <c r="A4579" i="166"/>
  <c r="E4578" i="166"/>
  <c r="D4578" i="166"/>
  <c r="B4578" i="166"/>
  <c r="B4579" i="166" s="1"/>
  <c r="H4576" i="166"/>
  <c r="G4576" i="166"/>
  <c r="E4576" i="166" s="1"/>
  <c r="D4576" i="166"/>
  <c r="A4576" i="166"/>
  <c r="E4575" i="166"/>
  <c r="D4575" i="166"/>
  <c r="B4575" i="166"/>
  <c r="B4576" i="166" s="1"/>
  <c r="H4573" i="166"/>
  <c r="G4573" i="166"/>
  <c r="E4573" i="166" s="1"/>
  <c r="D4573" i="166"/>
  <c r="A4573" i="166"/>
  <c r="E4572" i="166"/>
  <c r="D4572" i="166"/>
  <c r="B4572" i="166"/>
  <c r="B4573" i="166" s="1"/>
  <c r="H4570" i="166"/>
  <c r="G4570" i="166"/>
  <c r="E4570" i="166" s="1"/>
  <c r="D4570" i="166"/>
  <c r="A4570" i="166"/>
  <c r="E4569" i="166"/>
  <c r="D4569" i="166"/>
  <c r="B4569" i="166"/>
  <c r="B4570" i="166" s="1"/>
  <c r="H4567" i="166"/>
  <c r="G4567" i="166"/>
  <c r="E4567" i="166" s="1"/>
  <c r="D4567" i="166"/>
  <c r="A4567" i="166"/>
  <c r="E4566" i="166"/>
  <c r="D4566" i="166"/>
  <c r="B4566" i="166"/>
  <c r="B4567" i="166" s="1"/>
  <c r="H4564" i="166"/>
  <c r="G4564" i="166"/>
  <c r="E4564" i="166" s="1"/>
  <c r="D4564" i="166"/>
  <c r="A4564" i="166"/>
  <c r="E4563" i="166"/>
  <c r="D4563" i="166"/>
  <c r="B4563" i="166"/>
  <c r="B4564" i="166" s="1"/>
  <c r="H4561" i="166"/>
  <c r="G4561" i="166"/>
  <c r="E4561" i="166" s="1"/>
  <c r="D4561" i="166"/>
  <c r="A4561" i="166"/>
  <c r="E4560" i="166"/>
  <c r="D4560" i="166"/>
  <c r="B4560" i="166"/>
  <c r="B4561" i="166" s="1"/>
  <c r="H4558" i="166"/>
  <c r="G4558" i="166"/>
  <c r="E4558" i="166" s="1"/>
  <c r="D4558" i="166"/>
  <c r="A4558" i="166"/>
  <c r="E4557" i="166"/>
  <c r="D4557" i="166"/>
  <c r="B4557" i="166"/>
  <c r="B4558" i="166" s="1"/>
  <c r="H4555" i="166"/>
  <c r="G4555" i="166"/>
  <c r="E4555" i="166" s="1"/>
  <c r="D4555" i="166"/>
  <c r="A4555" i="166"/>
  <c r="E4554" i="166"/>
  <c r="D4554" i="166"/>
  <c r="B4554" i="166"/>
  <c r="B4555" i="166" s="1"/>
  <c r="H4552" i="166"/>
  <c r="G4552" i="166"/>
  <c r="E4552" i="166" s="1"/>
  <c r="D4552" i="166"/>
  <c r="A4552" i="166"/>
  <c r="E4551" i="166"/>
  <c r="D4551" i="166"/>
  <c r="B4551" i="166"/>
  <c r="B4552" i="166" s="1"/>
  <c r="H4549" i="166"/>
  <c r="G4549" i="166"/>
  <c r="E4549" i="166" s="1"/>
  <c r="D4549" i="166"/>
  <c r="A4549" i="166"/>
  <c r="E4548" i="166"/>
  <c r="D4548" i="166"/>
  <c r="B4548" i="166"/>
  <c r="B4549" i="166" s="1"/>
  <c r="H4546" i="166"/>
  <c r="G4546" i="166"/>
  <c r="E4546" i="166" s="1"/>
  <c r="D4546" i="166"/>
  <c r="A4546" i="166"/>
  <c r="E4545" i="166"/>
  <c r="D4545" i="166"/>
  <c r="B4545" i="166"/>
  <c r="B4546" i="166" s="1"/>
  <c r="H4543" i="166"/>
  <c r="G4543" i="166"/>
  <c r="E4543" i="166" s="1"/>
  <c r="D4543" i="166"/>
  <c r="A4543" i="166"/>
  <c r="E4542" i="166"/>
  <c r="D4542" i="166"/>
  <c r="B4542" i="166"/>
  <c r="B4543" i="166" s="1"/>
  <c r="H4540" i="166"/>
  <c r="G4540" i="166"/>
  <c r="E4540" i="166" s="1"/>
  <c r="D4540" i="166"/>
  <c r="A4540" i="166"/>
  <c r="E4539" i="166"/>
  <c r="D4539" i="166"/>
  <c r="B4539" i="166"/>
  <c r="B4540" i="166" s="1"/>
  <c r="H4537" i="166"/>
  <c r="G4537" i="166"/>
  <c r="E4537" i="166" s="1"/>
  <c r="D4537" i="166"/>
  <c r="A4537" i="166"/>
  <c r="E4536" i="166"/>
  <c r="D4536" i="166"/>
  <c r="B4536" i="166"/>
  <c r="B4537" i="166" s="1"/>
  <c r="H4534" i="166"/>
  <c r="G4534" i="166"/>
  <c r="E4534" i="166" s="1"/>
  <c r="D4534" i="166"/>
  <c r="A4534" i="166"/>
  <c r="E4533" i="166"/>
  <c r="D4533" i="166"/>
  <c r="B4533" i="166"/>
  <c r="B4534" i="166" s="1"/>
  <c r="H4531" i="166"/>
  <c r="G4531" i="166"/>
  <c r="E4531" i="166" s="1"/>
  <c r="D4531" i="166"/>
  <c r="A4531" i="166"/>
  <c r="E4530" i="166"/>
  <c r="D4530" i="166"/>
  <c r="B4530" i="166"/>
  <c r="B4531" i="166" s="1"/>
  <c r="H4528" i="166"/>
  <c r="G4528" i="166"/>
  <c r="E4528" i="166" s="1"/>
  <c r="D4528" i="166"/>
  <c r="A4528" i="166"/>
  <c r="E4527" i="166"/>
  <c r="D4527" i="166"/>
  <c r="B4527" i="166"/>
  <c r="B4528" i="166" s="1"/>
  <c r="H4525" i="166"/>
  <c r="G4525" i="166"/>
  <c r="E4525" i="166" s="1"/>
  <c r="D4525" i="166"/>
  <c r="A4525" i="166"/>
  <c r="E4524" i="166"/>
  <c r="D4524" i="166"/>
  <c r="B4524" i="166"/>
  <c r="B4525" i="166" s="1"/>
  <c r="H4522" i="166"/>
  <c r="G4522" i="166"/>
  <c r="E4522" i="166" s="1"/>
  <c r="D4522" i="166"/>
  <c r="A4522" i="166"/>
  <c r="E4521" i="166"/>
  <c r="D4521" i="166"/>
  <c r="B4521" i="166"/>
  <c r="B4522" i="166" s="1"/>
  <c r="H4519" i="166"/>
  <c r="G4519" i="166"/>
  <c r="E4519" i="166" s="1"/>
  <c r="D4519" i="166"/>
  <c r="A4519" i="166"/>
  <c r="E4518" i="166"/>
  <c r="D4518" i="166"/>
  <c r="B4518" i="166"/>
  <c r="B4519" i="166" s="1"/>
  <c r="H4516" i="166"/>
  <c r="G4516" i="166"/>
  <c r="E4516" i="166" s="1"/>
  <c r="D4516" i="166"/>
  <c r="A4516" i="166"/>
  <c r="E4515" i="166"/>
  <c r="D4515" i="166"/>
  <c r="B4515" i="166"/>
  <c r="B4516" i="166" s="1"/>
  <c r="H4513" i="166"/>
  <c r="G4513" i="166"/>
  <c r="E4513" i="166" s="1"/>
  <c r="D4513" i="166"/>
  <c r="A4513" i="166"/>
  <c r="E4512" i="166"/>
  <c r="D4512" i="166"/>
  <c r="B4512" i="166"/>
  <c r="B4513" i="166" s="1"/>
  <c r="B3875" i="167" l="1"/>
  <c r="A3878" i="167"/>
  <c r="B3878" i="167" s="1"/>
  <c r="B3645" i="167"/>
  <c r="A3666" i="167"/>
  <c r="H4510" i="166"/>
  <c r="G4510" i="166"/>
  <c r="E4510" i="166" s="1"/>
  <c r="D4510" i="166"/>
  <c r="A4510" i="166"/>
  <c r="E4509" i="166"/>
  <c r="D4509" i="166"/>
  <c r="B4509" i="166"/>
  <c r="B4510" i="166" s="1"/>
  <c r="H4507" i="166"/>
  <c r="G4507" i="166"/>
  <c r="E4507" i="166" s="1"/>
  <c r="D4507" i="166"/>
  <c r="A4507" i="166"/>
  <c r="E4506" i="166"/>
  <c r="D4506" i="166"/>
  <c r="B4506" i="166"/>
  <c r="B4507" i="166" s="1"/>
  <c r="H4504" i="166"/>
  <c r="G4504" i="166"/>
  <c r="E4504" i="166" s="1"/>
  <c r="D4504" i="166"/>
  <c r="A4504" i="166"/>
  <c r="E4503" i="166"/>
  <c r="D4503" i="166"/>
  <c r="B4503" i="166"/>
  <c r="B4504" i="166" s="1"/>
  <c r="H4501" i="166"/>
  <c r="G4501" i="166"/>
  <c r="E4501" i="166" s="1"/>
  <c r="D4501" i="166"/>
  <c r="A4501" i="166"/>
  <c r="E4500" i="166"/>
  <c r="D4500" i="166"/>
  <c r="B4500" i="166"/>
  <c r="B4501" i="166" s="1"/>
  <c r="H4498" i="166"/>
  <c r="G4498" i="166"/>
  <c r="E4498" i="166" s="1"/>
  <c r="D4498" i="166"/>
  <c r="A4498" i="166"/>
  <c r="E4497" i="166"/>
  <c r="D4497" i="166"/>
  <c r="B4497" i="166"/>
  <c r="B4498" i="166" s="1"/>
  <c r="H4495" i="166"/>
  <c r="G4495" i="166"/>
  <c r="E4495" i="166" s="1"/>
  <c r="D4495" i="166"/>
  <c r="A4495" i="166"/>
  <c r="E4494" i="166"/>
  <c r="D4494" i="166"/>
  <c r="B4494" i="166"/>
  <c r="B4495" i="166" s="1"/>
  <c r="H4492" i="166"/>
  <c r="G4492" i="166"/>
  <c r="E4492" i="166" s="1"/>
  <c r="D4492" i="166"/>
  <c r="A4492" i="166"/>
  <c r="E4491" i="166"/>
  <c r="D4491" i="166"/>
  <c r="B4491" i="166"/>
  <c r="B4492" i="166" s="1"/>
  <c r="H4489" i="166"/>
  <c r="G4489" i="166"/>
  <c r="E4489" i="166" s="1"/>
  <c r="D4489" i="166"/>
  <c r="A4489" i="166"/>
  <c r="E4488" i="166"/>
  <c r="D4488" i="166"/>
  <c r="B4488" i="166"/>
  <c r="B4489" i="166" s="1"/>
  <c r="H4486" i="166"/>
  <c r="G4486" i="166"/>
  <c r="E4486" i="166" s="1"/>
  <c r="D4486" i="166"/>
  <c r="A4486" i="166"/>
  <c r="E4485" i="166"/>
  <c r="D4485" i="166"/>
  <c r="B4485" i="166"/>
  <c r="B4486" i="166" s="1"/>
  <c r="H4483" i="166"/>
  <c r="G4483" i="166"/>
  <c r="E4483" i="166" s="1"/>
  <c r="D4483" i="166"/>
  <c r="A4483" i="166"/>
  <c r="E4482" i="166"/>
  <c r="D4482" i="166"/>
  <c r="B4482" i="166"/>
  <c r="B4483" i="166" s="1"/>
  <c r="E4480" i="166"/>
  <c r="D4480" i="166"/>
  <c r="H4479" i="166"/>
  <c r="H4480" i="166" s="1"/>
  <c r="E4479" i="166"/>
  <c r="D4479" i="166"/>
  <c r="A4479" i="166"/>
  <c r="A4480" i="166" s="1"/>
  <c r="F4478" i="166"/>
  <c r="E4478" i="166" s="1"/>
  <c r="D4478" i="166"/>
  <c r="B4478" i="166"/>
  <c r="B4479" i="166" s="1"/>
  <c r="B4480" i="166" s="1"/>
  <c r="E4476" i="166"/>
  <c r="D4476" i="166"/>
  <c r="H4475" i="166"/>
  <c r="H4476" i="166" s="1"/>
  <c r="E4475" i="166"/>
  <c r="D4475" i="166"/>
  <c r="A4475" i="166"/>
  <c r="A4476" i="166" s="1"/>
  <c r="F4474" i="166"/>
  <c r="E4474" i="166" s="1"/>
  <c r="D4474" i="166"/>
  <c r="B4474" i="166"/>
  <c r="B4475" i="166" s="1"/>
  <c r="B4476" i="166" s="1"/>
  <c r="B3666" i="167" l="1"/>
  <c r="A3669" i="167"/>
  <c r="D4472" i="166"/>
  <c r="D4471" i="166"/>
  <c r="D4470" i="166"/>
  <c r="D4468" i="166"/>
  <c r="D4467" i="166"/>
  <c r="D4466" i="166"/>
  <c r="D4464" i="166"/>
  <c r="D4463" i="166"/>
  <c r="D4461" i="166"/>
  <c r="D4460" i="166"/>
  <c r="D4458" i="166"/>
  <c r="D4457" i="166"/>
  <c r="D4455" i="166"/>
  <c r="D4454" i="166"/>
  <c r="D4452" i="166"/>
  <c r="D4451" i="166"/>
  <c r="D4449" i="166"/>
  <c r="D4448" i="166"/>
  <c r="D4446" i="166"/>
  <c r="D4445" i="166"/>
  <c r="D4443" i="166"/>
  <c r="D4442" i="166"/>
  <c r="D4440" i="166"/>
  <c r="D4439" i="166"/>
  <c r="D4437" i="166"/>
  <c r="D4436" i="166"/>
  <c r="D4434" i="166"/>
  <c r="D4433" i="166"/>
  <c r="D4431" i="166"/>
  <c r="D4430" i="166"/>
  <c r="D4428" i="166"/>
  <c r="D4427" i="166"/>
  <c r="D4425" i="166"/>
  <c r="D4424" i="166"/>
  <c r="D4422" i="166"/>
  <c r="D4421" i="166"/>
  <c r="D4419" i="166"/>
  <c r="D4418" i="166"/>
  <c r="D4416" i="166"/>
  <c r="D4415" i="166"/>
  <c r="D4413" i="166"/>
  <c r="D4412" i="166"/>
  <c r="D4410" i="166"/>
  <c r="D4409" i="166"/>
  <c r="D4407" i="166"/>
  <c r="D4406" i="166"/>
  <c r="D4404" i="166"/>
  <c r="D4403" i="166"/>
  <c r="D4401" i="166"/>
  <c r="D4400" i="166"/>
  <c r="D4398" i="166"/>
  <c r="D4397" i="166"/>
  <c r="D4395" i="166"/>
  <c r="D4394" i="166"/>
  <c r="D4392" i="166"/>
  <c r="D4391" i="166"/>
  <c r="D4389" i="166"/>
  <c r="D4388" i="166"/>
  <c r="D4386" i="166"/>
  <c r="D4385" i="166"/>
  <c r="D4383" i="166"/>
  <c r="D4382" i="166"/>
  <c r="D4380" i="166"/>
  <c r="D4379" i="166"/>
  <c r="D4377" i="166"/>
  <c r="D4376" i="166"/>
  <c r="D4374" i="166"/>
  <c r="D4373" i="166"/>
  <c r="D4371" i="166"/>
  <c r="D4370" i="166"/>
  <c r="D4368" i="166"/>
  <c r="D4367" i="166"/>
  <c r="D4365" i="166"/>
  <c r="D4364" i="166"/>
  <c r="D4362" i="166"/>
  <c r="D4361" i="166"/>
  <c r="D4359" i="166"/>
  <c r="D4358" i="166"/>
  <c r="D4356" i="166"/>
  <c r="D4355" i="166"/>
  <c r="D4353" i="166"/>
  <c r="D4352" i="166"/>
  <c r="D4350" i="166"/>
  <c r="D4349" i="166"/>
  <c r="D4347" i="166"/>
  <c r="D4346" i="166"/>
  <c r="D4344" i="166"/>
  <c r="D4343" i="166"/>
  <c r="D4341" i="166"/>
  <c r="D4340" i="166"/>
  <c r="D4338" i="166"/>
  <c r="D4337" i="166"/>
  <c r="D4335" i="166"/>
  <c r="D4334" i="166"/>
  <c r="D4332" i="166"/>
  <c r="D4331" i="166"/>
  <c r="D4329" i="166"/>
  <c r="D4328" i="166"/>
  <c r="D4326" i="166"/>
  <c r="D4325" i="166"/>
  <c r="D4323" i="166"/>
  <c r="D4322" i="166"/>
  <c r="D4320" i="166"/>
  <c r="D4319" i="166"/>
  <c r="D4317" i="166"/>
  <c r="D4316" i="166"/>
  <c r="D4314" i="166"/>
  <c r="D4313" i="166"/>
  <c r="D4311" i="166"/>
  <c r="D4310" i="166"/>
  <c r="D4308" i="166"/>
  <c r="D4307" i="166"/>
  <c r="D4305" i="166"/>
  <c r="D4304" i="166"/>
  <c r="D4302" i="166"/>
  <c r="D4301" i="166"/>
  <c r="D4299" i="166"/>
  <c r="D4298" i="166"/>
  <c r="D4296" i="166"/>
  <c r="D4295" i="166"/>
  <c r="D4294" i="166"/>
  <c r="D4292" i="166"/>
  <c r="D4291" i="166"/>
  <c r="D4289" i="166"/>
  <c r="D4288" i="166"/>
  <c r="D4286" i="166"/>
  <c r="D4285" i="166"/>
  <c r="D4283" i="166"/>
  <c r="D4282" i="166"/>
  <c r="D4280" i="166"/>
  <c r="D4279" i="166"/>
  <c r="D4277" i="166"/>
  <c r="D4276" i="166"/>
  <c r="D4274" i="166"/>
  <c r="D4273" i="166"/>
  <c r="D4271" i="166"/>
  <c r="D4270" i="166"/>
  <c r="D4268" i="166"/>
  <c r="D4267" i="166"/>
  <c r="D4265" i="166"/>
  <c r="D4264" i="166"/>
  <c r="D4262" i="166"/>
  <c r="D4261" i="166"/>
  <c r="D4259" i="166"/>
  <c r="D4258" i="166"/>
  <c r="D4256" i="166"/>
  <c r="D4255" i="166"/>
  <c r="D4253" i="166"/>
  <c r="D4252" i="166"/>
  <c r="D4250" i="166"/>
  <c r="D4249" i="166"/>
  <c r="D4247" i="166"/>
  <c r="D4246" i="166"/>
  <c r="D4244" i="166"/>
  <c r="D4243" i="166"/>
  <c r="D4241" i="166"/>
  <c r="D4240" i="166"/>
  <c r="D4238" i="166"/>
  <c r="D4237" i="166"/>
  <c r="D4235" i="166"/>
  <c r="D4234" i="166"/>
  <c r="D4232" i="166"/>
  <c r="D4231" i="166"/>
  <c r="D4229" i="166"/>
  <c r="D4228" i="166"/>
  <c r="D4226" i="166"/>
  <c r="D4225" i="166"/>
  <c r="D4223" i="166"/>
  <c r="D4222" i="166"/>
  <c r="D4220" i="166"/>
  <c r="D4219" i="166"/>
  <c r="D4217" i="166"/>
  <c r="D4216" i="166"/>
  <c r="D4214" i="166"/>
  <c r="D4213" i="166"/>
  <c r="D4211" i="166"/>
  <c r="D4210" i="166"/>
  <c r="D4208" i="166"/>
  <c r="D4207" i="166"/>
  <c r="D4205" i="166"/>
  <c r="D4204" i="166"/>
  <c r="D4202" i="166"/>
  <c r="D4201" i="166"/>
  <c r="D4199" i="166"/>
  <c r="D4198" i="166"/>
  <c r="D4196" i="166"/>
  <c r="D4195" i="166"/>
  <c r="D4193" i="166"/>
  <c r="D4192" i="166"/>
  <c r="D4190" i="166"/>
  <c r="D4189" i="166"/>
  <c r="D4187" i="166"/>
  <c r="D4186" i="166"/>
  <c r="D4184" i="166"/>
  <c r="D4183" i="166"/>
  <c r="D4181" i="166"/>
  <c r="D4180" i="166"/>
  <c r="D4178" i="166"/>
  <c r="D4177" i="166"/>
  <c r="D4175" i="166"/>
  <c r="D4174" i="166"/>
  <c r="D4172" i="166"/>
  <c r="D4171" i="166"/>
  <c r="D4169" i="166"/>
  <c r="D4168" i="166"/>
  <c r="D4166" i="166"/>
  <c r="D4165" i="166"/>
  <c r="D4163" i="166"/>
  <c r="D4162" i="166"/>
  <c r="D4160" i="166"/>
  <c r="D4159" i="166"/>
  <c r="D4157" i="166"/>
  <c r="D4156" i="166"/>
  <c r="D4154" i="166"/>
  <c r="D4153" i="166"/>
  <c r="D4151" i="166"/>
  <c r="D4150" i="166"/>
  <c r="D4148" i="166"/>
  <c r="D4147" i="166"/>
  <c r="D4145" i="166"/>
  <c r="D4144" i="166"/>
  <c r="D4142" i="166"/>
  <c r="D4141" i="166"/>
  <c r="D4139" i="166"/>
  <c r="D4138" i="166"/>
  <c r="D4136" i="166"/>
  <c r="D4135" i="166"/>
  <c r="D4133" i="166"/>
  <c r="D4132" i="166"/>
  <c r="D4130" i="166"/>
  <c r="D4129" i="166"/>
  <c r="D4127" i="166"/>
  <c r="D4126" i="166"/>
  <c r="D4124" i="166"/>
  <c r="D4123" i="166"/>
  <c r="D4121" i="166"/>
  <c r="D4120" i="166"/>
  <c r="D4118" i="166"/>
  <c r="D4117" i="166"/>
  <c r="E4472" i="166"/>
  <c r="H4471" i="166"/>
  <c r="H4472" i="166" s="1"/>
  <c r="E4471" i="166"/>
  <c r="A4471" i="166"/>
  <c r="A4472" i="166" s="1"/>
  <c r="F4470" i="166"/>
  <c r="E4470" i="166" s="1"/>
  <c r="B4470" i="166"/>
  <c r="B4471" i="166" s="1"/>
  <c r="B4472" i="166" s="1"/>
  <c r="F4466" i="166"/>
  <c r="E4466" i="166" s="1"/>
  <c r="E4467" i="166"/>
  <c r="E4468" i="166"/>
  <c r="H4467" i="166"/>
  <c r="H4468" i="166" s="1"/>
  <c r="A4467" i="166"/>
  <c r="A4468" i="166" s="1"/>
  <c r="B4466" i="166"/>
  <c r="B4467" i="166" s="1"/>
  <c r="B4468" i="166" s="1"/>
  <c r="B3669" i="167" l="1"/>
  <c r="A3681" i="167"/>
  <c r="H4464" i="166"/>
  <c r="G4464" i="166"/>
  <c r="E4464" i="166" s="1"/>
  <c r="A4464" i="166"/>
  <c r="E4463" i="166"/>
  <c r="B4463" i="166"/>
  <c r="B4464" i="166" s="1"/>
  <c r="H4461" i="166"/>
  <c r="G4461" i="166"/>
  <c r="E4461" i="166" s="1"/>
  <c r="A4461" i="166"/>
  <c r="E4460" i="166"/>
  <c r="B4460" i="166"/>
  <c r="B4461" i="166" s="1"/>
  <c r="H4458" i="166"/>
  <c r="G4458" i="166"/>
  <c r="E4458" i="166" s="1"/>
  <c r="A4458" i="166"/>
  <c r="E4457" i="166"/>
  <c r="B4457" i="166"/>
  <c r="B4458" i="166" s="1"/>
  <c r="H4455" i="166"/>
  <c r="G4455" i="166"/>
  <c r="E4455" i="166" s="1"/>
  <c r="A4455" i="166"/>
  <c r="E4454" i="166"/>
  <c r="B4454" i="166"/>
  <c r="B4455" i="166" s="1"/>
  <c r="H4452" i="166"/>
  <c r="G4452" i="166"/>
  <c r="E4452" i="166" s="1"/>
  <c r="A4452" i="166"/>
  <c r="E4451" i="166"/>
  <c r="B4451" i="166"/>
  <c r="B4452" i="166" s="1"/>
  <c r="H4449" i="166"/>
  <c r="G4449" i="166"/>
  <c r="E4449" i="166" s="1"/>
  <c r="A4449" i="166"/>
  <c r="E4448" i="166"/>
  <c r="B4448" i="166"/>
  <c r="B4449" i="166" s="1"/>
  <c r="H4446" i="166"/>
  <c r="G4446" i="166"/>
  <c r="E4446" i="166" s="1"/>
  <c r="A4446" i="166"/>
  <c r="E4445" i="166"/>
  <c r="B4445" i="166"/>
  <c r="B4446" i="166" s="1"/>
  <c r="H4443" i="166"/>
  <c r="G4443" i="166"/>
  <c r="E4443" i="166" s="1"/>
  <c r="A4443" i="166"/>
  <c r="E4442" i="166"/>
  <c r="B4442" i="166"/>
  <c r="B4443" i="166" s="1"/>
  <c r="H4440" i="166"/>
  <c r="G4440" i="166"/>
  <c r="E4440" i="166" s="1"/>
  <c r="A4440" i="166"/>
  <c r="E4439" i="166"/>
  <c r="B4439" i="166"/>
  <c r="B4440" i="166" s="1"/>
  <c r="H4437" i="166"/>
  <c r="G4437" i="166"/>
  <c r="E4437" i="166" s="1"/>
  <c r="A4437" i="166"/>
  <c r="E4436" i="166"/>
  <c r="B4436" i="166"/>
  <c r="B4437" i="166" s="1"/>
  <c r="H4434" i="166"/>
  <c r="G4434" i="166"/>
  <c r="E4434" i="166" s="1"/>
  <c r="A4434" i="166"/>
  <c r="E4433" i="166"/>
  <c r="B4433" i="166"/>
  <c r="B4434" i="166" s="1"/>
  <c r="H4431" i="166"/>
  <c r="G4431" i="166"/>
  <c r="E4431" i="166" s="1"/>
  <c r="A4431" i="166"/>
  <c r="E4430" i="166"/>
  <c r="B4430" i="166"/>
  <c r="B4431" i="166" s="1"/>
  <c r="H4428" i="166"/>
  <c r="G4428" i="166"/>
  <c r="E4428" i="166" s="1"/>
  <c r="A4428" i="166"/>
  <c r="E4427" i="166"/>
  <c r="B4427" i="166"/>
  <c r="B4428" i="166" s="1"/>
  <c r="H4425" i="166"/>
  <c r="G4425" i="166"/>
  <c r="E4425" i="166" s="1"/>
  <c r="A4425" i="166"/>
  <c r="E4424" i="166"/>
  <c r="B4424" i="166"/>
  <c r="B4425" i="166" s="1"/>
  <c r="H4422" i="166"/>
  <c r="G4422" i="166"/>
  <c r="E4422" i="166" s="1"/>
  <c r="A4422" i="166"/>
  <c r="E4421" i="166"/>
  <c r="B4421" i="166"/>
  <c r="B4422" i="166" s="1"/>
  <c r="H4419" i="166"/>
  <c r="G4419" i="166"/>
  <c r="E4419" i="166" s="1"/>
  <c r="A4419" i="166"/>
  <c r="E4418" i="166"/>
  <c r="B4418" i="166"/>
  <c r="B4419" i="166" s="1"/>
  <c r="H4416" i="166"/>
  <c r="G4416" i="166"/>
  <c r="E4416" i="166" s="1"/>
  <c r="A4416" i="166"/>
  <c r="E4415" i="166"/>
  <c r="B4415" i="166"/>
  <c r="B4416" i="166" s="1"/>
  <c r="H4413" i="166"/>
  <c r="G4413" i="166"/>
  <c r="E4413" i="166" s="1"/>
  <c r="A4413" i="166"/>
  <c r="E4412" i="166"/>
  <c r="B4412" i="166"/>
  <c r="B4413" i="166" s="1"/>
  <c r="H4410" i="166"/>
  <c r="G4410" i="166"/>
  <c r="E4410" i="166" s="1"/>
  <c r="A4410" i="166"/>
  <c r="E4409" i="166"/>
  <c r="B4409" i="166"/>
  <c r="B4410" i="166" s="1"/>
  <c r="H4407" i="166"/>
  <c r="G4407" i="166"/>
  <c r="E4407" i="166" s="1"/>
  <c r="A4407" i="166"/>
  <c r="E4406" i="166"/>
  <c r="B4406" i="166"/>
  <c r="B4407" i="166" s="1"/>
  <c r="H4404" i="166"/>
  <c r="G4404" i="166"/>
  <c r="E4404" i="166" s="1"/>
  <c r="A4404" i="166"/>
  <c r="E4403" i="166"/>
  <c r="B4403" i="166"/>
  <c r="B4404" i="166" s="1"/>
  <c r="H4401" i="166"/>
  <c r="G4401" i="166"/>
  <c r="E4401" i="166" s="1"/>
  <c r="A4401" i="166"/>
  <c r="E4400" i="166"/>
  <c r="B4400" i="166"/>
  <c r="B4401" i="166" s="1"/>
  <c r="H4398" i="166"/>
  <c r="G4398" i="166"/>
  <c r="E4398" i="166" s="1"/>
  <c r="A4398" i="166"/>
  <c r="E4397" i="166"/>
  <c r="B4397" i="166"/>
  <c r="B4398" i="166" s="1"/>
  <c r="H4395" i="166"/>
  <c r="G4395" i="166"/>
  <c r="E4395" i="166" s="1"/>
  <c r="A4395" i="166"/>
  <c r="E4394" i="166"/>
  <c r="B4394" i="166"/>
  <c r="B4395" i="166" s="1"/>
  <c r="H4392" i="166"/>
  <c r="G4392" i="166"/>
  <c r="E4392" i="166" s="1"/>
  <c r="A4392" i="166"/>
  <c r="E4391" i="166"/>
  <c r="B4391" i="166"/>
  <c r="B4392" i="166" s="1"/>
  <c r="H4389" i="166"/>
  <c r="G4389" i="166"/>
  <c r="E4389" i="166" s="1"/>
  <c r="A4389" i="166"/>
  <c r="E4388" i="166"/>
  <c r="B4388" i="166"/>
  <c r="B4389" i="166" s="1"/>
  <c r="H4386" i="166"/>
  <c r="G4386" i="166"/>
  <c r="E4386" i="166" s="1"/>
  <c r="A4386" i="166"/>
  <c r="E4385" i="166"/>
  <c r="B4385" i="166"/>
  <c r="B4386" i="166" s="1"/>
  <c r="H4383" i="166"/>
  <c r="G4383" i="166"/>
  <c r="E4383" i="166" s="1"/>
  <c r="A4383" i="166"/>
  <c r="E4382" i="166"/>
  <c r="B4382" i="166"/>
  <c r="B4383" i="166" s="1"/>
  <c r="H4380" i="166"/>
  <c r="G4380" i="166"/>
  <c r="E4380" i="166" s="1"/>
  <c r="A4380" i="166"/>
  <c r="E4379" i="166"/>
  <c r="B4379" i="166"/>
  <c r="B4380" i="166" s="1"/>
  <c r="H4377" i="166"/>
  <c r="G4377" i="166"/>
  <c r="E4377" i="166" s="1"/>
  <c r="A4377" i="166"/>
  <c r="E4376" i="166"/>
  <c r="B4376" i="166"/>
  <c r="B4377" i="166" s="1"/>
  <c r="H4374" i="166"/>
  <c r="G4374" i="166"/>
  <c r="E4374" i="166" s="1"/>
  <c r="A4374" i="166"/>
  <c r="E4373" i="166"/>
  <c r="B4373" i="166"/>
  <c r="B4374" i="166" s="1"/>
  <c r="H4371" i="166"/>
  <c r="G4371" i="166"/>
  <c r="E4371" i="166" s="1"/>
  <c r="A4371" i="166"/>
  <c r="E4370" i="166"/>
  <c r="B4370" i="166"/>
  <c r="B4371" i="166" s="1"/>
  <c r="H4368" i="166"/>
  <c r="G4368" i="166"/>
  <c r="E4368" i="166" s="1"/>
  <c r="A4368" i="166"/>
  <c r="E4367" i="166"/>
  <c r="B4367" i="166"/>
  <c r="B4368" i="166" s="1"/>
  <c r="H4365" i="166"/>
  <c r="G4365" i="166"/>
  <c r="E4365" i="166" s="1"/>
  <c r="A4365" i="166"/>
  <c r="E4364" i="166"/>
  <c r="B4364" i="166"/>
  <c r="B4365" i="166" s="1"/>
  <c r="H4362" i="166"/>
  <c r="G4362" i="166"/>
  <c r="E4362" i="166" s="1"/>
  <c r="A4362" i="166"/>
  <c r="E4361" i="166"/>
  <c r="B4361" i="166"/>
  <c r="B4362" i="166" s="1"/>
  <c r="H4359" i="166"/>
  <c r="G4359" i="166"/>
  <c r="E4359" i="166" s="1"/>
  <c r="A4359" i="166"/>
  <c r="E4358" i="166"/>
  <c r="B4358" i="166"/>
  <c r="B4359" i="166" s="1"/>
  <c r="H4356" i="166"/>
  <c r="G4356" i="166"/>
  <c r="E4356" i="166" s="1"/>
  <c r="A4356" i="166"/>
  <c r="E4355" i="166"/>
  <c r="B4355" i="166"/>
  <c r="B4356" i="166" s="1"/>
  <c r="H4353" i="166"/>
  <c r="G4353" i="166"/>
  <c r="E4353" i="166" s="1"/>
  <c r="A4353" i="166"/>
  <c r="E4352" i="166"/>
  <c r="B4352" i="166"/>
  <c r="B4353" i="166" s="1"/>
  <c r="H4350" i="166"/>
  <c r="G4350" i="166"/>
  <c r="E4350" i="166" s="1"/>
  <c r="A4350" i="166"/>
  <c r="E4349" i="166"/>
  <c r="B4349" i="166"/>
  <c r="B4350" i="166" s="1"/>
  <c r="H4347" i="166"/>
  <c r="G4347" i="166"/>
  <c r="E4347" i="166" s="1"/>
  <c r="A4347" i="166"/>
  <c r="E4346" i="166"/>
  <c r="B4346" i="166"/>
  <c r="B4347" i="166" s="1"/>
  <c r="H4344" i="166"/>
  <c r="G4344" i="166"/>
  <c r="E4344" i="166" s="1"/>
  <c r="A4344" i="166"/>
  <c r="E4343" i="166"/>
  <c r="B4343" i="166"/>
  <c r="B4344" i="166" s="1"/>
  <c r="H4341" i="166"/>
  <c r="G4341" i="166"/>
  <c r="E4341" i="166" s="1"/>
  <c r="A4341" i="166"/>
  <c r="E4340" i="166"/>
  <c r="B4340" i="166"/>
  <c r="B4341" i="166" s="1"/>
  <c r="G4338" i="166"/>
  <c r="E4338" i="166" s="1"/>
  <c r="A4338" i="166"/>
  <c r="E4337" i="166"/>
  <c r="B4337" i="166"/>
  <c r="B4338" i="166" s="1"/>
  <c r="H4335" i="166"/>
  <c r="G4335" i="166"/>
  <c r="E4335" i="166" s="1"/>
  <c r="A4335" i="166"/>
  <c r="E4334" i="166"/>
  <c r="B4334" i="166"/>
  <c r="B4335" i="166" s="1"/>
  <c r="H4332" i="166"/>
  <c r="G4332" i="166"/>
  <c r="E4332" i="166" s="1"/>
  <c r="A4332" i="166"/>
  <c r="E4331" i="166"/>
  <c r="B4331" i="166"/>
  <c r="B4332" i="166" s="1"/>
  <c r="H4329" i="166"/>
  <c r="G4329" i="166"/>
  <c r="E4329" i="166" s="1"/>
  <c r="A4329" i="166"/>
  <c r="E4328" i="166"/>
  <c r="B4328" i="166"/>
  <c r="B4329" i="166" s="1"/>
  <c r="H4326" i="166"/>
  <c r="G4326" i="166"/>
  <c r="E4326" i="166" s="1"/>
  <c r="A4326" i="166"/>
  <c r="E4325" i="166"/>
  <c r="B4325" i="166"/>
  <c r="B4326" i="166" s="1"/>
  <c r="H4323" i="166"/>
  <c r="G4323" i="166"/>
  <c r="E4323" i="166" s="1"/>
  <c r="A4323" i="166"/>
  <c r="E4322" i="166"/>
  <c r="B4322" i="166"/>
  <c r="B4323" i="166" s="1"/>
  <c r="H4320" i="166"/>
  <c r="G4320" i="166"/>
  <c r="E4320" i="166" s="1"/>
  <c r="A4320" i="166"/>
  <c r="E4319" i="166"/>
  <c r="B4319" i="166"/>
  <c r="B4320" i="166" s="1"/>
  <c r="H4317" i="166"/>
  <c r="G4317" i="166"/>
  <c r="E4317" i="166" s="1"/>
  <c r="A4317" i="166"/>
  <c r="E4316" i="166"/>
  <c r="B4316" i="166"/>
  <c r="B4317" i="166" s="1"/>
  <c r="H4314" i="166"/>
  <c r="G4314" i="166"/>
  <c r="E4314" i="166" s="1"/>
  <c r="A4314" i="166"/>
  <c r="E4313" i="166"/>
  <c r="B4313" i="166"/>
  <c r="B4314" i="166" s="1"/>
  <c r="H4311" i="166"/>
  <c r="G4311" i="166"/>
  <c r="E4311" i="166" s="1"/>
  <c r="A4311" i="166"/>
  <c r="E4310" i="166"/>
  <c r="B4310" i="166"/>
  <c r="B4311" i="166" s="1"/>
  <c r="H4308" i="166"/>
  <c r="G4308" i="166"/>
  <c r="E4308" i="166" s="1"/>
  <c r="A4308" i="166"/>
  <c r="E4307" i="166"/>
  <c r="B4307" i="166"/>
  <c r="B4308" i="166" s="1"/>
  <c r="H4305" i="166"/>
  <c r="G4305" i="166"/>
  <c r="E4305" i="166" s="1"/>
  <c r="A4305" i="166"/>
  <c r="E4304" i="166"/>
  <c r="B4304" i="166"/>
  <c r="B4305" i="166" s="1"/>
  <c r="H4302" i="166"/>
  <c r="G4302" i="166"/>
  <c r="E4302" i="166" s="1"/>
  <c r="A4302" i="166"/>
  <c r="E4301" i="166"/>
  <c r="B4301" i="166"/>
  <c r="B4302" i="166" s="1"/>
  <c r="H4299" i="166"/>
  <c r="G4299" i="166"/>
  <c r="E4299" i="166" s="1"/>
  <c r="A4299" i="166"/>
  <c r="E4298" i="166"/>
  <c r="B4298" i="166"/>
  <c r="B4299" i="166" s="1"/>
  <c r="H4296" i="166"/>
  <c r="E4296" i="166"/>
  <c r="A4296" i="166"/>
  <c r="E4295" i="166"/>
  <c r="B4295" i="166"/>
  <c r="B4296" i="166" s="1"/>
  <c r="E4294" i="166"/>
  <c r="B4294" i="166"/>
  <c r="H4292" i="166"/>
  <c r="G4292" i="166"/>
  <c r="E4292" i="166" s="1"/>
  <c r="A4292" i="166"/>
  <c r="E4291" i="166"/>
  <c r="B4291" i="166"/>
  <c r="B4292" i="166" s="1"/>
  <c r="H4289" i="166"/>
  <c r="G4289" i="166"/>
  <c r="E4289" i="166" s="1"/>
  <c r="A4289" i="166"/>
  <c r="E4288" i="166"/>
  <c r="B4288" i="166"/>
  <c r="B4289" i="166" s="1"/>
  <c r="H4286" i="166"/>
  <c r="G4286" i="166"/>
  <c r="E4286" i="166" s="1"/>
  <c r="A4286" i="166"/>
  <c r="E4285" i="166"/>
  <c r="B4285" i="166"/>
  <c r="B4286" i="166" s="1"/>
  <c r="H4283" i="166"/>
  <c r="G4283" i="166"/>
  <c r="E4283" i="166" s="1"/>
  <c r="A4283" i="166"/>
  <c r="E4282" i="166"/>
  <c r="B4282" i="166"/>
  <c r="B4283" i="166" s="1"/>
  <c r="H4280" i="166"/>
  <c r="G4280" i="166"/>
  <c r="E4280" i="166" s="1"/>
  <c r="A4280" i="166"/>
  <c r="E4279" i="166"/>
  <c r="B4279" i="166"/>
  <c r="B4280" i="166" s="1"/>
  <c r="H4277" i="166"/>
  <c r="G4277" i="166"/>
  <c r="E4277" i="166" s="1"/>
  <c r="A4277" i="166"/>
  <c r="E4276" i="166"/>
  <c r="B4276" i="166"/>
  <c r="B4277" i="166" s="1"/>
  <c r="H4274" i="166"/>
  <c r="G4274" i="166"/>
  <c r="E4274" i="166" s="1"/>
  <c r="A4274" i="166"/>
  <c r="E4273" i="166"/>
  <c r="B4273" i="166"/>
  <c r="B4274" i="166" s="1"/>
  <c r="H4271" i="166"/>
  <c r="G4271" i="166"/>
  <c r="E4271" i="166" s="1"/>
  <c r="A4271" i="166"/>
  <c r="E4270" i="166"/>
  <c r="B4270" i="166"/>
  <c r="B4271" i="166" s="1"/>
  <c r="H4268" i="166"/>
  <c r="G4268" i="166"/>
  <c r="E4268" i="166" s="1"/>
  <c r="A4268" i="166"/>
  <c r="E4267" i="166"/>
  <c r="B4267" i="166"/>
  <c r="B4268" i="166" s="1"/>
  <c r="H4265" i="166"/>
  <c r="G4265" i="166"/>
  <c r="E4265" i="166" s="1"/>
  <c r="A4265" i="166"/>
  <c r="E4264" i="166"/>
  <c r="B4264" i="166"/>
  <c r="B4265" i="166" s="1"/>
  <c r="H4262" i="166"/>
  <c r="G4262" i="166"/>
  <c r="E4262" i="166" s="1"/>
  <c r="A4262" i="166"/>
  <c r="E4261" i="166"/>
  <c r="B4261" i="166"/>
  <c r="B4262" i="166" s="1"/>
  <c r="H4259" i="166"/>
  <c r="G4259" i="166"/>
  <c r="E4259" i="166" s="1"/>
  <c r="A4259" i="166"/>
  <c r="E4258" i="166"/>
  <c r="B4258" i="166"/>
  <c r="B4259" i="166" s="1"/>
  <c r="H4256" i="166"/>
  <c r="G4256" i="166"/>
  <c r="E4256" i="166" s="1"/>
  <c r="A4256" i="166"/>
  <c r="E4255" i="166"/>
  <c r="B4255" i="166"/>
  <c r="B4256" i="166" s="1"/>
  <c r="H4253" i="166"/>
  <c r="G4253" i="166"/>
  <c r="E4253" i="166" s="1"/>
  <c r="A4253" i="166"/>
  <c r="E4252" i="166"/>
  <c r="B4252" i="166"/>
  <c r="B4253" i="166" s="1"/>
  <c r="H4250" i="166"/>
  <c r="G4250" i="166"/>
  <c r="E4250" i="166" s="1"/>
  <c r="A4250" i="166"/>
  <c r="E4249" i="166"/>
  <c r="B4249" i="166"/>
  <c r="B4250" i="166" s="1"/>
  <c r="H4247" i="166"/>
  <c r="G4247" i="166"/>
  <c r="E4247" i="166" s="1"/>
  <c r="A4247" i="166"/>
  <c r="E4246" i="166"/>
  <c r="B4246" i="166"/>
  <c r="B4247" i="166" s="1"/>
  <c r="H4244" i="166"/>
  <c r="G4244" i="166"/>
  <c r="E4244" i="166" s="1"/>
  <c r="A4244" i="166"/>
  <c r="E4243" i="166"/>
  <c r="B4243" i="166"/>
  <c r="B4244" i="166" s="1"/>
  <c r="H4241" i="166"/>
  <c r="G4241" i="166"/>
  <c r="E4241" i="166" s="1"/>
  <c r="A4241" i="166"/>
  <c r="E4240" i="166"/>
  <c r="B4240" i="166"/>
  <c r="B4241" i="166" s="1"/>
  <c r="H4238" i="166"/>
  <c r="G4238" i="166"/>
  <c r="E4238" i="166" s="1"/>
  <c r="A4238" i="166"/>
  <c r="E4237" i="166"/>
  <c r="B4237" i="166"/>
  <c r="B4238" i="166" s="1"/>
  <c r="H4235" i="166"/>
  <c r="G4235" i="166"/>
  <c r="E4235" i="166" s="1"/>
  <c r="A4235" i="166"/>
  <c r="E4234" i="166"/>
  <c r="B4234" i="166"/>
  <c r="B4235" i="166" s="1"/>
  <c r="H4232" i="166"/>
  <c r="G4232" i="166"/>
  <c r="E4232" i="166" s="1"/>
  <c r="A4232" i="166"/>
  <c r="E4231" i="166"/>
  <c r="B4231" i="166"/>
  <c r="B4232" i="166" s="1"/>
  <c r="H4229" i="166"/>
  <c r="G4229" i="166"/>
  <c r="E4229" i="166" s="1"/>
  <c r="A4229" i="166"/>
  <c r="E4228" i="166"/>
  <c r="B4228" i="166"/>
  <c r="B4229" i="166" s="1"/>
  <c r="H4226" i="166"/>
  <c r="G4226" i="166"/>
  <c r="E4226" i="166" s="1"/>
  <c r="A4226" i="166"/>
  <c r="E4225" i="166"/>
  <c r="B4225" i="166"/>
  <c r="B4226" i="166" s="1"/>
  <c r="H4223" i="166"/>
  <c r="G4223" i="166"/>
  <c r="E4223" i="166" s="1"/>
  <c r="A4223" i="166"/>
  <c r="E4222" i="166"/>
  <c r="B4222" i="166"/>
  <c r="B4223" i="166" s="1"/>
  <c r="H4220" i="166"/>
  <c r="G4220" i="166"/>
  <c r="E4220" i="166" s="1"/>
  <c r="A4220" i="166"/>
  <c r="E4219" i="166"/>
  <c r="B4219" i="166"/>
  <c r="B4220" i="166" s="1"/>
  <c r="H4217" i="166"/>
  <c r="G4217" i="166"/>
  <c r="E4217" i="166" s="1"/>
  <c r="A4217" i="166"/>
  <c r="E4216" i="166"/>
  <c r="B4216" i="166"/>
  <c r="B4217" i="166" s="1"/>
  <c r="H4214" i="166"/>
  <c r="G4214" i="166"/>
  <c r="E4214" i="166" s="1"/>
  <c r="A4214" i="166"/>
  <c r="E4213" i="166"/>
  <c r="B4213" i="166"/>
  <c r="B4214" i="166" s="1"/>
  <c r="H4211" i="166"/>
  <c r="G4211" i="166"/>
  <c r="E4211" i="166" s="1"/>
  <c r="A4211" i="166"/>
  <c r="E4210" i="166"/>
  <c r="B4210" i="166"/>
  <c r="B4211" i="166" s="1"/>
  <c r="H4208" i="166"/>
  <c r="G4208" i="166"/>
  <c r="E4208" i="166" s="1"/>
  <c r="A4208" i="166"/>
  <c r="E4207" i="166"/>
  <c r="B4207" i="166"/>
  <c r="B4208" i="166" s="1"/>
  <c r="H4205" i="166"/>
  <c r="G4205" i="166"/>
  <c r="E4205" i="166" s="1"/>
  <c r="A4205" i="166"/>
  <c r="E4204" i="166"/>
  <c r="B4204" i="166"/>
  <c r="B4205" i="166" s="1"/>
  <c r="H4202" i="166"/>
  <c r="G4202" i="166"/>
  <c r="E4202" i="166" s="1"/>
  <c r="A4202" i="166"/>
  <c r="E4201" i="166"/>
  <c r="B4201" i="166"/>
  <c r="B4202" i="166" s="1"/>
  <c r="H4199" i="166"/>
  <c r="G4199" i="166"/>
  <c r="E4199" i="166" s="1"/>
  <c r="A4199" i="166"/>
  <c r="E4198" i="166"/>
  <c r="B4198" i="166"/>
  <c r="B4199" i="166" s="1"/>
  <c r="H4196" i="166"/>
  <c r="G4196" i="166"/>
  <c r="E4196" i="166" s="1"/>
  <c r="A4196" i="166"/>
  <c r="E4195" i="166"/>
  <c r="B4195" i="166"/>
  <c r="B4196" i="166" s="1"/>
  <c r="H4193" i="166"/>
  <c r="G4193" i="166"/>
  <c r="E4193" i="166" s="1"/>
  <c r="A4193" i="166"/>
  <c r="E4192" i="166"/>
  <c r="B4192" i="166"/>
  <c r="B4193" i="166" s="1"/>
  <c r="H4190" i="166"/>
  <c r="G4190" i="166"/>
  <c r="E4190" i="166" s="1"/>
  <c r="A4190" i="166"/>
  <c r="E4189" i="166"/>
  <c r="B4189" i="166"/>
  <c r="B4190" i="166" s="1"/>
  <c r="H4187" i="166"/>
  <c r="G4187" i="166"/>
  <c r="E4187" i="166" s="1"/>
  <c r="A4187" i="166"/>
  <c r="E4186" i="166"/>
  <c r="B4186" i="166"/>
  <c r="B4187" i="166" s="1"/>
  <c r="H4184" i="166"/>
  <c r="G4184" i="166"/>
  <c r="E4184" i="166" s="1"/>
  <c r="A4184" i="166"/>
  <c r="E4183" i="166"/>
  <c r="B4183" i="166"/>
  <c r="B4184" i="166" s="1"/>
  <c r="H4181" i="166"/>
  <c r="G4181" i="166"/>
  <c r="E4181" i="166" s="1"/>
  <c r="A4181" i="166"/>
  <c r="E4180" i="166"/>
  <c r="B4180" i="166"/>
  <c r="B4181" i="166" s="1"/>
  <c r="H4178" i="166"/>
  <c r="G4178" i="166"/>
  <c r="E4178" i="166" s="1"/>
  <c r="A4178" i="166"/>
  <c r="E4177" i="166"/>
  <c r="B4177" i="166"/>
  <c r="B4178" i="166" s="1"/>
  <c r="H4175" i="166"/>
  <c r="G4175" i="166"/>
  <c r="E4175" i="166" s="1"/>
  <c r="A4175" i="166"/>
  <c r="E4174" i="166"/>
  <c r="B4174" i="166"/>
  <c r="B4175" i="166" s="1"/>
  <c r="H4172" i="166"/>
  <c r="G4172" i="166"/>
  <c r="E4172" i="166" s="1"/>
  <c r="A4172" i="166"/>
  <c r="E4171" i="166"/>
  <c r="B4171" i="166"/>
  <c r="B4172" i="166" s="1"/>
  <c r="H4169" i="166"/>
  <c r="G4169" i="166"/>
  <c r="E4169" i="166" s="1"/>
  <c r="A4169" i="166"/>
  <c r="E4168" i="166"/>
  <c r="B4168" i="166"/>
  <c r="B4169" i="166" s="1"/>
  <c r="H4166" i="166"/>
  <c r="G4166" i="166"/>
  <c r="E4166" i="166" s="1"/>
  <c r="A4166" i="166"/>
  <c r="E4165" i="166"/>
  <c r="B4165" i="166"/>
  <c r="B4166" i="166" s="1"/>
  <c r="H4163" i="166"/>
  <c r="G4163" i="166"/>
  <c r="E4163" i="166" s="1"/>
  <c r="A4163" i="166"/>
  <c r="E4162" i="166"/>
  <c r="B4162" i="166"/>
  <c r="B4163" i="166" s="1"/>
  <c r="H4160" i="166"/>
  <c r="G4160" i="166"/>
  <c r="E4160" i="166" s="1"/>
  <c r="A4160" i="166"/>
  <c r="E4159" i="166"/>
  <c r="B4159" i="166"/>
  <c r="B4160" i="166" s="1"/>
  <c r="H4157" i="166"/>
  <c r="G4157" i="166"/>
  <c r="E4157" i="166" s="1"/>
  <c r="A4157" i="166"/>
  <c r="E4156" i="166"/>
  <c r="B4156" i="166"/>
  <c r="B4157" i="166" s="1"/>
  <c r="H4154" i="166"/>
  <c r="G4154" i="166"/>
  <c r="E4154" i="166" s="1"/>
  <c r="A4154" i="166"/>
  <c r="E4153" i="166"/>
  <c r="B4153" i="166"/>
  <c r="B4154" i="166" s="1"/>
  <c r="H4151" i="166"/>
  <c r="G4151" i="166"/>
  <c r="E4151" i="166" s="1"/>
  <c r="A4151" i="166"/>
  <c r="E4150" i="166"/>
  <c r="B4150" i="166"/>
  <c r="B4151" i="166" s="1"/>
  <c r="H4148" i="166"/>
  <c r="G4148" i="166"/>
  <c r="E4148" i="166" s="1"/>
  <c r="A4148" i="166"/>
  <c r="E4147" i="166"/>
  <c r="B4147" i="166"/>
  <c r="B4148" i="166" s="1"/>
  <c r="H4145" i="166"/>
  <c r="G4145" i="166"/>
  <c r="E4145" i="166" s="1"/>
  <c r="A4145" i="166"/>
  <c r="E4144" i="166"/>
  <c r="B4144" i="166"/>
  <c r="B4145" i="166" s="1"/>
  <c r="H4142" i="166"/>
  <c r="G4142" i="166"/>
  <c r="E4142" i="166" s="1"/>
  <c r="A4142" i="166"/>
  <c r="E4141" i="166"/>
  <c r="B4141" i="166"/>
  <c r="B4142" i="166" s="1"/>
  <c r="H4139" i="166"/>
  <c r="G4139" i="166"/>
  <c r="E4139" i="166" s="1"/>
  <c r="A4139" i="166"/>
  <c r="E4138" i="166"/>
  <c r="B4138" i="166"/>
  <c r="B4139" i="166" s="1"/>
  <c r="H4136" i="166"/>
  <c r="G4136" i="166"/>
  <c r="E4136" i="166" s="1"/>
  <c r="A4136" i="166"/>
  <c r="E4135" i="166"/>
  <c r="B4135" i="166"/>
  <c r="B4136" i="166" s="1"/>
  <c r="H4133" i="166"/>
  <c r="G4133" i="166"/>
  <c r="E4133" i="166" s="1"/>
  <c r="A4133" i="166"/>
  <c r="E4132" i="166"/>
  <c r="B4132" i="166"/>
  <c r="B4133" i="166" s="1"/>
  <c r="H4130" i="166"/>
  <c r="G4130" i="166"/>
  <c r="E4130" i="166" s="1"/>
  <c r="A4130" i="166"/>
  <c r="E4129" i="166"/>
  <c r="B4129" i="166"/>
  <c r="B4130" i="166" s="1"/>
  <c r="H4127" i="166"/>
  <c r="G4127" i="166"/>
  <c r="E4127" i="166" s="1"/>
  <c r="A4127" i="166"/>
  <c r="E4126" i="166"/>
  <c r="B4126" i="166"/>
  <c r="B4127" i="166" s="1"/>
  <c r="H4124" i="166"/>
  <c r="G4124" i="166"/>
  <c r="E4124" i="166" s="1"/>
  <c r="A4124" i="166"/>
  <c r="E4123" i="166"/>
  <c r="B4123" i="166"/>
  <c r="B4124" i="166" s="1"/>
  <c r="H4121" i="166"/>
  <c r="G4121" i="166"/>
  <c r="E4121" i="166" s="1"/>
  <c r="A4121" i="166"/>
  <c r="E4120" i="166"/>
  <c r="B4120" i="166"/>
  <c r="B4121" i="166" s="1"/>
  <c r="H4118" i="166"/>
  <c r="G4118" i="166"/>
  <c r="E4118" i="166" s="1"/>
  <c r="A4118" i="166"/>
  <c r="E4117" i="166"/>
  <c r="B4117" i="166"/>
  <c r="B4118" i="166" s="1"/>
  <c r="B3681" i="167" l="1"/>
  <c r="A3693" i="167"/>
  <c r="G3330" i="167"/>
  <c r="E3330" i="167" s="1"/>
  <c r="D3330" i="167"/>
  <c r="B3693" i="167" l="1"/>
  <c r="A3723" i="167"/>
  <c r="F3591" i="167"/>
  <c r="E3591" i="167" s="1"/>
  <c r="B3723" i="167" l="1"/>
  <c r="A3732" i="167"/>
  <c r="B3732" i="167" l="1"/>
  <c r="A3735" i="167"/>
  <c r="G3121" i="167"/>
  <c r="E3121" i="167" s="1"/>
  <c r="D3121" i="167"/>
  <c r="B3121" i="167"/>
  <c r="G3327" i="167"/>
  <c r="E3327" i="167" s="1"/>
  <c r="D3327" i="167"/>
  <c r="D3606" i="167"/>
  <c r="D3605" i="167"/>
  <c r="B3735" i="167" l="1"/>
  <c r="A3747" i="167"/>
  <c r="E4055" i="166"/>
  <c r="E4054" i="166"/>
  <c r="E4053" i="166"/>
  <c r="E4052" i="166"/>
  <c r="E4051" i="166"/>
  <c r="E4050" i="166"/>
  <c r="E4049" i="166"/>
  <c r="E4048" i="166"/>
  <c r="E4047" i="166"/>
  <c r="B3747" i="167" l="1"/>
  <c r="A3805" i="167"/>
  <c r="A5242" i="167"/>
  <c r="A5278" i="167" s="1"/>
  <c r="A5290" i="167" s="1"/>
  <c r="A5326" i="167" s="1"/>
  <c r="A5329" i="167" s="1"/>
  <c r="A5344" i="167" s="1"/>
  <c r="A5410" i="167" s="1"/>
  <c r="A5416" i="167" s="1"/>
  <c r="A5432" i="167" s="1"/>
  <c r="A5435" i="167" s="1"/>
  <c r="A5460" i="167" s="1"/>
  <c r="A5466" i="167" s="1"/>
  <c r="A5512" i="167" s="1"/>
  <c r="A5539" i="167" s="1"/>
  <c r="A5584" i="167" s="1"/>
  <c r="A5596" i="167" s="1"/>
  <c r="A5605" i="167" s="1"/>
  <c r="A5648" i="167" s="1"/>
  <c r="B3565" i="167"/>
  <c r="D3591" i="167"/>
  <c r="D3590" i="167"/>
  <c r="D3589" i="167"/>
  <c r="D3588" i="167"/>
  <c r="F3587" i="167"/>
  <c r="D3587" i="167"/>
  <c r="F3586" i="167"/>
  <c r="E3586" i="167" s="1"/>
  <c r="D3586" i="167"/>
  <c r="D3585" i="167"/>
  <c r="D3584" i="167"/>
  <c r="D3583" i="167"/>
  <c r="D3582" i="167"/>
  <c r="D3581" i="167"/>
  <c r="D3580" i="167"/>
  <c r="D3579" i="167"/>
  <c r="D3578" i="167"/>
  <c r="D3577" i="167"/>
  <c r="D3576" i="167"/>
  <c r="D3575" i="167"/>
  <c r="D3574" i="167"/>
  <c r="F3573" i="167"/>
  <c r="D3573" i="167"/>
  <c r="D3572" i="167"/>
  <c r="D3571" i="167"/>
  <c r="D3570" i="167"/>
  <c r="D3569" i="167"/>
  <c r="D3568" i="167"/>
  <c r="D3567" i="167"/>
  <c r="D3566" i="167"/>
  <c r="D3565" i="167"/>
  <c r="D3563" i="167"/>
  <c r="B3563" i="167"/>
  <c r="D3562" i="167"/>
  <c r="B3562" i="167"/>
  <c r="D3561" i="167"/>
  <c r="B3561" i="167"/>
  <c r="D3560" i="167"/>
  <c r="B3560" i="167"/>
  <c r="D3559" i="167"/>
  <c r="B3559" i="167"/>
  <c r="D3558" i="167"/>
  <c r="B3558" i="167"/>
  <c r="D3557" i="167"/>
  <c r="B3557" i="167"/>
  <c r="D3556" i="167"/>
  <c r="B3556" i="167"/>
  <c r="D3555" i="167"/>
  <c r="B3555" i="167"/>
  <c r="D3554" i="167"/>
  <c r="B3554" i="167"/>
  <c r="D3553" i="167"/>
  <c r="B3553" i="167"/>
  <c r="D3552" i="167"/>
  <c r="B3552" i="167"/>
  <c r="D3551" i="167"/>
  <c r="B3551" i="167"/>
  <c r="D3550" i="167"/>
  <c r="B3550" i="167"/>
  <c r="D3549" i="167"/>
  <c r="B3549" i="167"/>
  <c r="D3548" i="167"/>
  <c r="B3548" i="167"/>
  <c r="D3547" i="167"/>
  <c r="B3547" i="167"/>
  <c r="D3546" i="167"/>
  <c r="B3546" i="167"/>
  <c r="D3545" i="167"/>
  <c r="D3544" i="167"/>
  <c r="B3544" i="167"/>
  <c r="B3545" i="167" s="1"/>
  <c r="D3543" i="167"/>
  <c r="B3543" i="167"/>
  <c r="D3542" i="167"/>
  <c r="B3542" i="167"/>
  <c r="D3541" i="167"/>
  <c r="B3541" i="167"/>
  <c r="D3540" i="167"/>
  <c r="B3540" i="167"/>
  <c r="D3539" i="167"/>
  <c r="B3539" i="167"/>
  <c r="D3538" i="167"/>
  <c r="B3538" i="167"/>
  <c r="D3537" i="167"/>
  <c r="B3537" i="167"/>
  <c r="D3536" i="167"/>
  <c r="B3536" i="167"/>
  <c r="D3535" i="167"/>
  <c r="B3535" i="167"/>
  <c r="D3534" i="167"/>
  <c r="B3534" i="167"/>
  <c r="D3533" i="167"/>
  <c r="D3532" i="167"/>
  <c r="B3532" i="167"/>
  <c r="B3533" i="167" s="1"/>
  <c r="G4115" i="166"/>
  <c r="E4115" i="166" s="1"/>
  <c r="D4115" i="166"/>
  <c r="A4115" i="166"/>
  <c r="E4114" i="166"/>
  <c r="D4114" i="166"/>
  <c r="B4114" i="166"/>
  <c r="B4115" i="166" s="1"/>
  <c r="E4112" i="166"/>
  <c r="D4112" i="166"/>
  <c r="E4111" i="166"/>
  <c r="D4111" i="166"/>
  <c r="E4109" i="166"/>
  <c r="E4108" i="166"/>
  <c r="E4107" i="166"/>
  <c r="E4106" i="166"/>
  <c r="E4105" i="166"/>
  <c r="E4104" i="166"/>
  <c r="E4110" i="166"/>
  <c r="D4110" i="166"/>
  <c r="A4110" i="166"/>
  <c r="A4111" i="166" s="1"/>
  <c r="A4112" i="166" s="1"/>
  <c r="D4109" i="166"/>
  <c r="B4109" i="166"/>
  <c r="B4110" i="166" s="1"/>
  <c r="B4111" i="166" s="1"/>
  <c r="B4112" i="166" s="1"/>
  <c r="D4108" i="166"/>
  <c r="A4108" i="166"/>
  <c r="D4107" i="166"/>
  <c r="B4107" i="166"/>
  <c r="B4108" i="166" s="1"/>
  <c r="D4106" i="166"/>
  <c r="A4106" i="166"/>
  <c r="D4105" i="166"/>
  <c r="B4105" i="166"/>
  <c r="B4106" i="166" s="1"/>
  <c r="D4104" i="166"/>
  <c r="A4104" i="166"/>
  <c r="E4103" i="166"/>
  <c r="D4103" i="166"/>
  <c r="B4103" i="166"/>
  <c r="B4104" i="166" s="1"/>
  <c r="A5709" i="167" l="1"/>
  <c r="E3573" i="167"/>
  <c r="G3612" i="167"/>
  <c r="E3612" i="167" s="1"/>
  <c r="B3805" i="167"/>
  <c r="A3820" i="167"/>
  <c r="E3587" i="167"/>
  <c r="G3590" i="167"/>
  <c r="H3775" i="167" l="1"/>
  <c r="H3778" i="167" s="1"/>
  <c r="H3781" i="167" s="1"/>
  <c r="H3784" i="167" s="1"/>
  <c r="H3790" i="167" s="1"/>
  <c r="H3771" i="167"/>
  <c r="B3820" i="167"/>
  <c r="A3832" i="167"/>
  <c r="B5709" i="167"/>
  <c r="F4643" i="167"/>
  <c r="F4096" i="167"/>
  <c r="E4096" i="167" s="1"/>
  <c r="A3612" i="167" l="1"/>
  <c r="G4754" i="167"/>
  <c r="E4754" i="167" s="1"/>
  <c r="E4643" i="167"/>
  <c r="B3832" i="167"/>
  <c r="A3841" i="167"/>
  <c r="A4125" i="167" l="1"/>
  <c r="B3841" i="167"/>
  <c r="A3844" i="167"/>
  <c r="B3612" i="167"/>
  <c r="A3630" i="167"/>
  <c r="B3844" i="167" l="1"/>
  <c r="A3850" i="167"/>
  <c r="B3630" i="167"/>
  <c r="A3633" i="167"/>
  <c r="A4587" i="167"/>
  <c r="A5019" i="167"/>
  <c r="B4125" i="167"/>
  <c r="A4139" i="167"/>
  <c r="B4139" i="167" s="1"/>
  <c r="B3633" i="167" l="1"/>
  <c r="A3636" i="167"/>
  <c r="B3850" i="167"/>
  <c r="A3887" i="167"/>
  <c r="B3636" i="167" l="1"/>
  <c r="A3642" i="167"/>
  <c r="B3887" i="167"/>
  <c r="A3890" i="167"/>
  <c r="B3890" i="167" l="1"/>
  <c r="A3911" i="167"/>
  <c r="B3642" i="167"/>
  <c r="A3648" i="167"/>
  <c r="B3648" i="167" l="1"/>
  <c r="A3651" i="167"/>
  <c r="B3911" i="167"/>
  <c r="A3929" i="167"/>
  <c r="A5438" i="167"/>
  <c r="A5463" i="167" s="1"/>
  <c r="A5506" i="167" s="1"/>
  <c r="A5518" i="167" s="1"/>
  <c r="A5521" i="167" s="1"/>
  <c r="A5524" i="167" s="1"/>
  <c r="A5639" i="167" s="1"/>
  <c r="A5642" i="167" s="1"/>
  <c r="A5101" i="167"/>
  <c r="B3651" i="167" l="1"/>
  <c r="A3654" i="167"/>
  <c r="A5645" i="167"/>
  <c r="B3929" i="167"/>
  <c r="A3935" i="167"/>
  <c r="B3654" i="167" l="1"/>
  <c r="A3657" i="167"/>
  <c r="B3935" i="167"/>
  <c r="A3947" i="167"/>
  <c r="A5710" i="167"/>
  <c r="A5713" i="167" l="1"/>
  <c r="B5713" i="167" s="1"/>
  <c r="A5712" i="167"/>
  <c r="B5712" i="167" s="1"/>
  <c r="B3657" i="167"/>
  <c r="A3663" i="167"/>
  <c r="B5710" i="167"/>
  <c r="A5224" i="167"/>
  <c r="A5230" i="167" s="1"/>
  <c r="A5245" i="167" s="1"/>
  <c r="A5248" i="167" s="1"/>
  <c r="A5251" i="167" s="1"/>
  <c r="A5260" i="167" s="1"/>
  <c r="A5269" i="167" s="1"/>
  <c r="A5272" i="167" s="1"/>
  <c r="A5284" i="167" s="1"/>
  <c r="A5293" i="167" s="1"/>
  <c r="A5296" i="167" s="1"/>
  <c r="A5299" i="167" s="1"/>
  <c r="A5317" i="167" s="1"/>
  <c r="A5320" i="167" s="1"/>
  <c r="A5332" i="167" s="1"/>
  <c r="A5335" i="167" s="1"/>
  <c r="A5341" i="167" s="1"/>
  <c r="A5347" i="167" s="1"/>
  <c r="A5350" i="167" s="1"/>
  <c r="A5353" i="167" s="1"/>
  <c r="A5356" i="167" s="1"/>
  <c r="A5362" i="167" s="1"/>
  <c r="A5365" i="167" s="1"/>
  <c r="A5368" i="167" s="1"/>
  <c r="A5374" i="167" s="1"/>
  <c r="A5383" i="167" s="1"/>
  <c r="A5386" i="167" s="1"/>
  <c r="A5389" i="167" s="1"/>
  <c r="A5392" i="167" s="1"/>
  <c r="A5395" i="167" s="1"/>
  <c r="A5398" i="167" s="1"/>
  <c r="A5401" i="167" s="1"/>
  <c r="A5407" i="167" s="1"/>
  <c r="A5419" i="167" s="1"/>
  <c r="A5422" i="167" s="1"/>
  <c r="A5428" i="167" s="1"/>
  <c r="B3947" i="167"/>
  <c r="A3959" i="167"/>
  <c r="A5493" i="167"/>
  <c r="A5548" i="167" s="1"/>
  <c r="A5551" i="167" s="1"/>
  <c r="A5566" i="167" s="1"/>
  <c r="A5441" i="167" l="1"/>
  <c r="A5447" i="167" s="1"/>
  <c r="A5429" i="167"/>
  <c r="B3959" i="167"/>
  <c r="A3962" i="167"/>
  <c r="B3663" i="167"/>
  <c r="A3675" i="167"/>
  <c r="A5711" i="167"/>
  <c r="A5451" i="167" l="1"/>
  <c r="A5454" i="167" s="1"/>
  <c r="A5469" i="167" s="1"/>
  <c r="A5472" i="167" s="1"/>
  <c r="A5481" i="167" s="1"/>
  <c r="A5484" i="167" s="1"/>
  <c r="A5490" i="167" s="1"/>
  <c r="A5509" i="167" s="1"/>
  <c r="A5515" i="167" s="1"/>
  <c r="A5527" i="167" s="1"/>
  <c r="A5530" i="167" s="1"/>
  <c r="A5545" i="167" s="1"/>
  <c r="A5563" i="167" s="1"/>
  <c r="A5569" i="167" s="1"/>
  <c r="A5572" i="167" s="1"/>
  <c r="A5575" i="167" s="1"/>
  <c r="A5608" i="167" s="1"/>
  <c r="A5611" i="167" s="1"/>
  <c r="A5614" i="167" s="1"/>
  <c r="A5617" i="167" s="1"/>
  <c r="A5620" i="167" s="1"/>
  <c r="A5629" i="167" s="1"/>
  <c r="A5632" i="167" s="1"/>
  <c r="A5448" i="167"/>
  <c r="A5714" i="167"/>
  <c r="B3675" i="167"/>
  <c r="A3678" i="167"/>
  <c r="B3962" i="167"/>
  <c r="A3968" i="167"/>
  <c r="B5711" i="167"/>
  <c r="A5715" i="167"/>
  <c r="G3530" i="167"/>
  <c r="E3530" i="167" s="1"/>
  <c r="D3530" i="167"/>
  <c r="D3529" i="167"/>
  <c r="B3529" i="167"/>
  <c r="G3527" i="167"/>
  <c r="E3527" i="167" s="1"/>
  <c r="D3527" i="167"/>
  <c r="D3526" i="167"/>
  <c r="B3526" i="167"/>
  <c r="G3524" i="167"/>
  <c r="E3524" i="167" s="1"/>
  <c r="D3524" i="167"/>
  <c r="D3523" i="167"/>
  <c r="B3523" i="167"/>
  <c r="H3521" i="167"/>
  <c r="G3521" i="167"/>
  <c r="E3521" i="167" s="1"/>
  <c r="D3521" i="167"/>
  <c r="A3521" i="167"/>
  <c r="D3520" i="167"/>
  <c r="B3520" i="167"/>
  <c r="A5636" i="167" l="1"/>
  <c r="A5651" i="167" s="1"/>
  <c r="A5654" i="167" s="1"/>
  <c r="A5633" i="167"/>
  <c r="B5714" i="167"/>
  <c r="A5716" i="167"/>
  <c r="B5715" i="167"/>
  <c r="B3678" i="167"/>
  <c r="A3690" i="167"/>
  <c r="A3756" i="167"/>
  <c r="B3968" i="167"/>
  <c r="A3995" i="167"/>
  <c r="G3518" i="167"/>
  <c r="E3518" i="167" s="1"/>
  <c r="D3518" i="167"/>
  <c r="D3517" i="167"/>
  <c r="B3517" i="167"/>
  <c r="G3515" i="167"/>
  <c r="E3515" i="167" s="1"/>
  <c r="D3515" i="167"/>
  <c r="N4592" i="167"/>
  <c r="D3514" i="167"/>
  <c r="B3514" i="167"/>
  <c r="L3461" i="167"/>
  <c r="K3461" i="167"/>
  <c r="J3461" i="167"/>
  <c r="H3512" i="167"/>
  <c r="H3515" i="167" s="1"/>
  <c r="H3518" i="167" s="1"/>
  <c r="G3512" i="167"/>
  <c r="E3512" i="167" s="1"/>
  <c r="D3512" i="167"/>
  <c r="A3512" i="167"/>
  <c r="A3515" i="167" s="1"/>
  <c r="A3518" i="167" s="1"/>
  <c r="D3511" i="167"/>
  <c r="B3511" i="167"/>
  <c r="K3458" i="167"/>
  <c r="D3509" i="167"/>
  <c r="K3457" i="167"/>
  <c r="D3508" i="167"/>
  <c r="L3456" i="167"/>
  <c r="L3457" i="167" s="1"/>
  <c r="L3458" i="167" s="1"/>
  <c r="K3456" i="167"/>
  <c r="D3507" i="167"/>
  <c r="K3455" i="167"/>
  <c r="D3506" i="167"/>
  <c r="B3506" i="167"/>
  <c r="H3504" i="167"/>
  <c r="G3504" i="167"/>
  <c r="E3504" i="167" s="1"/>
  <c r="D3504" i="167"/>
  <c r="D3503" i="167"/>
  <c r="B3503" i="167"/>
  <c r="G3501" i="167"/>
  <c r="E3501" i="167" s="1"/>
  <c r="D3501" i="167"/>
  <c r="D3500" i="167"/>
  <c r="B3500" i="167"/>
  <c r="A5718" i="167" l="1"/>
  <c r="B5716" i="167"/>
  <c r="A5717" i="167"/>
  <c r="A5719" i="167" s="1"/>
  <c r="B5719" i="167" s="1"/>
  <c r="B3512" i="167"/>
  <c r="B3995" i="167"/>
  <c r="A4007" i="167"/>
  <c r="B3515" i="167"/>
  <c r="B3518" i="167" s="1"/>
  <c r="B3756" i="167"/>
  <c r="A3838" i="167"/>
  <c r="B3690" i="167"/>
  <c r="A3699" i="167"/>
  <c r="H3498" i="167"/>
  <c r="H3501" i="167" s="1"/>
  <c r="G3498" i="167"/>
  <c r="E3498" i="167" s="1"/>
  <c r="D3498" i="167"/>
  <c r="A3498" i="167"/>
  <c r="D3497" i="167"/>
  <c r="B3497" i="167"/>
  <c r="G3495" i="167"/>
  <c r="E3495" i="167" s="1"/>
  <c r="D3495" i="167"/>
  <c r="D3494" i="167"/>
  <c r="B3494" i="167"/>
  <c r="G3477" i="167"/>
  <c r="E3477" i="167" s="1"/>
  <c r="G3480" i="167"/>
  <c r="E3480" i="167" s="1"/>
  <c r="G3483" i="167"/>
  <c r="E3483" i="167" s="1"/>
  <c r="G3486" i="167"/>
  <c r="E3486" i="167" s="1"/>
  <c r="G3489" i="167"/>
  <c r="E3489" i="167" s="1"/>
  <c r="G3492" i="167"/>
  <c r="E3492" i="167" s="1"/>
  <c r="D3492" i="167"/>
  <c r="D3491" i="167"/>
  <c r="B3491" i="167"/>
  <c r="D3489" i="167"/>
  <c r="D3488" i="167"/>
  <c r="B3488" i="167"/>
  <c r="D3486" i="167"/>
  <c r="D3485" i="167"/>
  <c r="B3485" i="167"/>
  <c r="D3483" i="167"/>
  <c r="D3482" i="167"/>
  <c r="B3482" i="167"/>
  <c r="D3480" i="167"/>
  <c r="D3479" i="167"/>
  <c r="B3479" i="167"/>
  <c r="A3477" i="167"/>
  <c r="B3477" i="167" s="1"/>
  <c r="D3477" i="167"/>
  <c r="D3476" i="167"/>
  <c r="B3476" i="167"/>
  <c r="D3474" i="167"/>
  <c r="H3473" i="167"/>
  <c r="D3473" i="167"/>
  <c r="A3473" i="167"/>
  <c r="B3473" i="167" s="1"/>
  <c r="D3472" i="167"/>
  <c r="B3472" i="167"/>
  <c r="G3470" i="167"/>
  <c r="E3470" i="167" s="1"/>
  <c r="D3470" i="167"/>
  <c r="D3469" i="167"/>
  <c r="B3469" i="167"/>
  <c r="G3467" i="167"/>
  <c r="E3467" i="167" s="1"/>
  <c r="D3467" i="167"/>
  <c r="D3466" i="167"/>
  <c r="B3466" i="167"/>
  <c r="G3464" i="167"/>
  <c r="E3464" i="167" s="1"/>
  <c r="D3464" i="167"/>
  <c r="D3463" i="167"/>
  <c r="B3463" i="167"/>
  <c r="G3461" i="167"/>
  <c r="E3461" i="167" s="1"/>
  <c r="D3461" i="167"/>
  <c r="D3460" i="167"/>
  <c r="B3460" i="167"/>
  <c r="G3458" i="167"/>
  <c r="E3458" i="167" s="1"/>
  <c r="D3458" i="167"/>
  <c r="D3457" i="167"/>
  <c r="B3457" i="167"/>
  <c r="G3455" i="167"/>
  <c r="E3455" i="167" s="1"/>
  <c r="D3455" i="167"/>
  <c r="D3454" i="167"/>
  <c r="B3454" i="167"/>
  <c r="G3452" i="167"/>
  <c r="E3452" i="167" s="1"/>
  <c r="D3452" i="167"/>
  <c r="D3451" i="167"/>
  <c r="B3451" i="167"/>
  <c r="G3449" i="167"/>
  <c r="E3449" i="167" s="1"/>
  <c r="D3449" i="167"/>
  <c r="D3448" i="167"/>
  <c r="B3448" i="167"/>
  <c r="G3446" i="167"/>
  <c r="E3446" i="167" s="1"/>
  <c r="D3446" i="167"/>
  <c r="D3445" i="167"/>
  <c r="B3445" i="167"/>
  <c r="G3443" i="167"/>
  <c r="E3443" i="167" s="1"/>
  <c r="D3443" i="167"/>
  <c r="D3442" i="167"/>
  <c r="B3442" i="167"/>
  <c r="G3440" i="167"/>
  <c r="E3440" i="167" s="1"/>
  <c r="D3440" i="167"/>
  <c r="D3439" i="167"/>
  <c r="B3439" i="167"/>
  <c r="G3437" i="167"/>
  <c r="E3437" i="167" s="1"/>
  <c r="D3437" i="167"/>
  <c r="D3436" i="167"/>
  <c r="B3436" i="167"/>
  <c r="G3434" i="167"/>
  <c r="E3434" i="167" s="1"/>
  <c r="D3434" i="167"/>
  <c r="D3433" i="167"/>
  <c r="B3433" i="167"/>
  <c r="D3431" i="167"/>
  <c r="D3430" i="167"/>
  <c r="B3430" i="167"/>
  <c r="D3428" i="167"/>
  <c r="D3427" i="167"/>
  <c r="B3427" i="167"/>
  <c r="D3425" i="167"/>
  <c r="D3424" i="167"/>
  <c r="B3424" i="167"/>
  <c r="G3422" i="167"/>
  <c r="E3422" i="167" s="1"/>
  <c r="D3422" i="167"/>
  <c r="D3421" i="167"/>
  <c r="B3421" i="167"/>
  <c r="G3419" i="167"/>
  <c r="E3419" i="167" s="1"/>
  <c r="D3419" i="167"/>
  <c r="D3418" i="167"/>
  <c r="B3418" i="167"/>
  <c r="G3416" i="167"/>
  <c r="E3416" i="167" s="1"/>
  <c r="D3416" i="167"/>
  <c r="D3415" i="167"/>
  <c r="B3415" i="167"/>
  <c r="G3413" i="167"/>
  <c r="E3413" i="167" s="1"/>
  <c r="D3413" i="167"/>
  <c r="D3412" i="167"/>
  <c r="B3412" i="167"/>
  <c r="G3410" i="167"/>
  <c r="E3410" i="167" s="1"/>
  <c r="D3410" i="167"/>
  <c r="D3409" i="167"/>
  <c r="B3409" i="167"/>
  <c r="G3407" i="167"/>
  <c r="E3407" i="167" s="1"/>
  <c r="D3407" i="167"/>
  <c r="D3406" i="167"/>
  <c r="B3406" i="167"/>
  <c r="H3404" i="167"/>
  <c r="H3407" i="167" s="1"/>
  <c r="G3404" i="167"/>
  <c r="E3404" i="167" s="1"/>
  <c r="D3404" i="167"/>
  <c r="A3404" i="167"/>
  <c r="B3404" i="167" s="1"/>
  <c r="D3403" i="167"/>
  <c r="B3403" i="167"/>
  <c r="G3401" i="167"/>
  <c r="E3401" i="167" s="1"/>
  <c r="D3401" i="167"/>
  <c r="D3400" i="167"/>
  <c r="B3400" i="167"/>
  <c r="G3398" i="167"/>
  <c r="E3398" i="167" s="1"/>
  <c r="D3398" i="167"/>
  <c r="D3397" i="167"/>
  <c r="B3397" i="167"/>
  <c r="G3395" i="167"/>
  <c r="E3395" i="167" s="1"/>
  <c r="D3395" i="167"/>
  <c r="D3394" i="167"/>
  <c r="B3394" i="167"/>
  <c r="G3392" i="167"/>
  <c r="E3392" i="167" s="1"/>
  <c r="D3392" i="167"/>
  <c r="D3391" i="167"/>
  <c r="B3391" i="167"/>
  <c r="G3389" i="167"/>
  <c r="E3389" i="167" s="1"/>
  <c r="D3389" i="167"/>
  <c r="D3388" i="167"/>
  <c r="B3388" i="167"/>
  <c r="G3386" i="167"/>
  <c r="E3386" i="167" s="1"/>
  <c r="D3386" i="167"/>
  <c r="D3385" i="167"/>
  <c r="B3385" i="167"/>
  <c r="G3383" i="167"/>
  <c r="E3383" i="167" s="1"/>
  <c r="D3383" i="167"/>
  <c r="D3382" i="167"/>
  <c r="B3382" i="167"/>
  <c r="G3380" i="167"/>
  <c r="E3380" i="167" s="1"/>
  <c r="D3380" i="167"/>
  <c r="D3379" i="167"/>
  <c r="B3379" i="167"/>
  <c r="G3377" i="167"/>
  <c r="E3377" i="167" s="1"/>
  <c r="D3377" i="167"/>
  <c r="D3376" i="167"/>
  <c r="B3376" i="167"/>
  <c r="G3374" i="167"/>
  <c r="E3374" i="167" s="1"/>
  <c r="D3374" i="167"/>
  <c r="D3373" i="167"/>
  <c r="B3373" i="167"/>
  <c r="G3371" i="167"/>
  <c r="E3371" i="167" s="1"/>
  <c r="D3371" i="167"/>
  <c r="D3370" i="167"/>
  <c r="B3370" i="167"/>
  <c r="G3368" i="167"/>
  <c r="E3368" i="167" s="1"/>
  <c r="D3368" i="167"/>
  <c r="D3367" i="167"/>
  <c r="B3367" i="167"/>
  <c r="G3365" i="167"/>
  <c r="E3365" i="167" s="1"/>
  <c r="D3365" i="167"/>
  <c r="D3364" i="167"/>
  <c r="B3364" i="167"/>
  <c r="H3362" i="167"/>
  <c r="G3362" i="167"/>
  <c r="E3362" i="167" s="1"/>
  <c r="D3362" i="167"/>
  <c r="D3361" i="167"/>
  <c r="B3361" i="167"/>
  <c r="G3359" i="167"/>
  <c r="E3359" i="167" s="1"/>
  <c r="D3359" i="167"/>
  <c r="D3358" i="167"/>
  <c r="B3358" i="167"/>
  <c r="G3356" i="167"/>
  <c r="E3356" i="167" s="1"/>
  <c r="D3356" i="167"/>
  <c r="D3355" i="167"/>
  <c r="B3355" i="167"/>
  <c r="H3353" i="167"/>
  <c r="G3353" i="167"/>
  <c r="E3353" i="167" s="1"/>
  <c r="D3353" i="167"/>
  <c r="A3353" i="167"/>
  <c r="B3353" i="167" s="1"/>
  <c r="D3352" i="167"/>
  <c r="B3352" i="167"/>
  <c r="H3350" i="167"/>
  <c r="G3350" i="167"/>
  <c r="E3350" i="167" s="1"/>
  <c r="D3350" i="167"/>
  <c r="A3350" i="167"/>
  <c r="B3350" i="167" s="1"/>
  <c r="D3349" i="167"/>
  <c r="B3349" i="167"/>
  <c r="G3347" i="167"/>
  <c r="E3347" i="167" s="1"/>
  <c r="D3347" i="167"/>
  <c r="D3346" i="167"/>
  <c r="B3346" i="167"/>
  <c r="G3344" i="167"/>
  <c r="E3344" i="167" s="1"/>
  <c r="D3344" i="167"/>
  <c r="D3343" i="167"/>
  <c r="B3343" i="167"/>
  <c r="G3341" i="167"/>
  <c r="E3341" i="167" s="1"/>
  <c r="D3341" i="167"/>
  <c r="D3340" i="167"/>
  <c r="B3340" i="167"/>
  <c r="G3338" i="167"/>
  <c r="E3338" i="167" s="1"/>
  <c r="D3338" i="167"/>
  <c r="D3337" i="167"/>
  <c r="B3337" i="167"/>
  <c r="F3333" i="167"/>
  <c r="E3333" i="167" s="1"/>
  <c r="D3335" i="167"/>
  <c r="H3334" i="167"/>
  <c r="H3335" i="167" s="1"/>
  <c r="D3334" i="167"/>
  <c r="A3334" i="167"/>
  <c r="B3334" i="167" s="1"/>
  <c r="D3333" i="167"/>
  <c r="B3333" i="167"/>
  <c r="H3331" i="167"/>
  <c r="D3331" i="167"/>
  <c r="A3331" i="167"/>
  <c r="B3331" i="167" s="1"/>
  <c r="D3329" i="167"/>
  <c r="B3329" i="167"/>
  <c r="D3326" i="167"/>
  <c r="D3325" i="167"/>
  <c r="B3325" i="167"/>
  <c r="G3323" i="167"/>
  <c r="E3323" i="167" s="1"/>
  <c r="D3323" i="167"/>
  <c r="D3322" i="167"/>
  <c r="B3322" i="167"/>
  <c r="G3320" i="167"/>
  <c r="E3320" i="167" s="1"/>
  <c r="D3320" i="167"/>
  <c r="A3320" i="167"/>
  <c r="B3320" i="167" s="1"/>
  <c r="D3319" i="167"/>
  <c r="B3319" i="167"/>
  <c r="H3317" i="167"/>
  <c r="H3320" i="167" s="1"/>
  <c r="G3317" i="167"/>
  <c r="E3317" i="167" s="1"/>
  <c r="D3317" i="167"/>
  <c r="A3317" i="167"/>
  <c r="B3317" i="167" s="1"/>
  <c r="D3316" i="167"/>
  <c r="B3316" i="167"/>
  <c r="H3314" i="167"/>
  <c r="G3314" i="167"/>
  <c r="D3314" i="167"/>
  <c r="D3313" i="167"/>
  <c r="B3313" i="167"/>
  <c r="G3311" i="167"/>
  <c r="E3311" i="167" s="1"/>
  <c r="D3311" i="167"/>
  <c r="D3310" i="167"/>
  <c r="B3310" i="167"/>
  <c r="G3308" i="167"/>
  <c r="E3308" i="167" s="1"/>
  <c r="D3308" i="167"/>
  <c r="D3307" i="167"/>
  <c r="B3307" i="167"/>
  <c r="G3305" i="167"/>
  <c r="E3305" i="167" s="1"/>
  <c r="D3305" i="167"/>
  <c r="D3304" i="167"/>
  <c r="B3304" i="167"/>
  <c r="G3302" i="167"/>
  <c r="E3302" i="167" s="1"/>
  <c r="D3302" i="167"/>
  <c r="D3301" i="167"/>
  <c r="B3301" i="167"/>
  <c r="G3299" i="167"/>
  <c r="E3299" i="167" s="1"/>
  <c r="D3299" i="167"/>
  <c r="D3298" i="167"/>
  <c r="B3298" i="167"/>
  <c r="G3296" i="167"/>
  <c r="E3296" i="167" s="1"/>
  <c r="D3296" i="167"/>
  <c r="D3295" i="167"/>
  <c r="B3295" i="167"/>
  <c r="G3293" i="167"/>
  <c r="E3293" i="167" s="1"/>
  <c r="D3293" i="167"/>
  <c r="D3292" i="167"/>
  <c r="B3292" i="167"/>
  <c r="G3290" i="167"/>
  <c r="E3290" i="167" s="1"/>
  <c r="D3290" i="167"/>
  <c r="D3289" i="167"/>
  <c r="B3289" i="167"/>
  <c r="H3287" i="167"/>
  <c r="H3293" i="167" s="1"/>
  <c r="H3296" i="167" s="1"/>
  <c r="H3323" i="167" s="1"/>
  <c r="H3326" i="167" s="1"/>
  <c r="G3287" i="167"/>
  <c r="E3287" i="167" s="1"/>
  <c r="D3287" i="167"/>
  <c r="D3286" i="167"/>
  <c r="B3286" i="167"/>
  <c r="G3284" i="167"/>
  <c r="E3284" i="167" s="1"/>
  <c r="D3284" i="167"/>
  <c r="D3283" i="167"/>
  <c r="B3283" i="167"/>
  <c r="G3281" i="167"/>
  <c r="E3281" i="167" s="1"/>
  <c r="D3281" i="167"/>
  <c r="D3280" i="167"/>
  <c r="B3280" i="167"/>
  <c r="G3278" i="167"/>
  <c r="E3278" i="167" s="1"/>
  <c r="D3278" i="167"/>
  <c r="D3277" i="167"/>
  <c r="B3277" i="167"/>
  <c r="G3275" i="167"/>
  <c r="E3275" i="167" s="1"/>
  <c r="D3275" i="167"/>
  <c r="D3274" i="167"/>
  <c r="B3274" i="167"/>
  <c r="G3272" i="167"/>
  <c r="E3272" i="167" s="1"/>
  <c r="D3272" i="167"/>
  <c r="D3271" i="167"/>
  <c r="B3271" i="167"/>
  <c r="G3269" i="167"/>
  <c r="E3269" i="167" s="1"/>
  <c r="D3269" i="167"/>
  <c r="D3268" i="167"/>
  <c r="B3268" i="167"/>
  <c r="G3266" i="167"/>
  <c r="D3266" i="167"/>
  <c r="D3265" i="167"/>
  <c r="B3265" i="167"/>
  <c r="G3263" i="167"/>
  <c r="E3263" i="167" s="1"/>
  <c r="D3263" i="167"/>
  <c r="D3262" i="167"/>
  <c r="B3262" i="167"/>
  <c r="G3260" i="167"/>
  <c r="E3260" i="167" s="1"/>
  <c r="D3260" i="167"/>
  <c r="D3259" i="167"/>
  <c r="B3259" i="167"/>
  <c r="A5721" i="167" l="1"/>
  <c r="A5724" i="167" s="1"/>
  <c r="B5724" i="167" s="1"/>
  <c r="B5717" i="167"/>
  <c r="B5718" i="167"/>
  <c r="A5720" i="167"/>
  <c r="A5722" i="167" s="1"/>
  <c r="B5722" i="167" s="1"/>
  <c r="H3327" i="167"/>
  <c r="H3344" i="167"/>
  <c r="H3359" i="167" s="1"/>
  <c r="H3365" i="167" s="1"/>
  <c r="H3371" i="167" s="1"/>
  <c r="H3374" i="167" s="1"/>
  <c r="H3380" i="167" s="1"/>
  <c r="H3386" i="167" s="1"/>
  <c r="H3392" i="167" s="1"/>
  <c r="H3401" i="167" s="1"/>
  <c r="H3437" i="167" s="1"/>
  <c r="H3461" i="167" s="1"/>
  <c r="H3467" i="167" s="1"/>
  <c r="H3470" i="167" s="1"/>
  <c r="H3480" i="167" s="1"/>
  <c r="H3483" i="167" s="1"/>
  <c r="H3489" i="167" s="1"/>
  <c r="H3524" i="167" s="1"/>
  <c r="H3527" i="167" s="1"/>
  <c r="H3530" i="167" s="1"/>
  <c r="A3407" i="167"/>
  <c r="B3407" i="167" s="1"/>
  <c r="H3474" i="167"/>
  <c r="B3838" i="167"/>
  <c r="A3893" i="167"/>
  <c r="H3338" i="167"/>
  <c r="A3338" i="167"/>
  <c r="B3338" i="167" s="1"/>
  <c r="H3477" i="167"/>
  <c r="B3498" i="167"/>
  <c r="A3501" i="167"/>
  <c r="B3501" i="167" s="1"/>
  <c r="B3699" i="167"/>
  <c r="A3705" i="167"/>
  <c r="E3266" i="167"/>
  <c r="F3572" i="167"/>
  <c r="E3314" i="167"/>
  <c r="F3571" i="167"/>
  <c r="B4007" i="167"/>
  <c r="A4010" i="167"/>
  <c r="A3474" i="167"/>
  <c r="B3474" i="167" s="1"/>
  <c r="A3335" i="167"/>
  <c r="B3335" i="167" s="1"/>
  <c r="B5721" i="167" l="1"/>
  <c r="A5723" i="167"/>
  <c r="B5720" i="167"/>
  <c r="E3571" i="167"/>
  <c r="G3577" i="167"/>
  <c r="B3893" i="167"/>
  <c r="A3896" i="167"/>
  <c r="B4010" i="167"/>
  <c r="A4016" i="167"/>
  <c r="E3572" i="167"/>
  <c r="G3609" i="167"/>
  <c r="E3609" i="167" s="1"/>
  <c r="B3705" i="167"/>
  <c r="A3711" i="167"/>
  <c r="G3257" i="167"/>
  <c r="E3257" i="167" s="1"/>
  <c r="D3257" i="167"/>
  <c r="D3256" i="167"/>
  <c r="B3256" i="167"/>
  <c r="G3254" i="167"/>
  <c r="E3254" i="167" s="1"/>
  <c r="D3254" i="167"/>
  <c r="D3253" i="167"/>
  <c r="B3253" i="167"/>
  <c r="G3251" i="167"/>
  <c r="E3251" i="167" s="1"/>
  <c r="D3251" i="167"/>
  <c r="D3250" i="167"/>
  <c r="B3250" i="167"/>
  <c r="G3248" i="167"/>
  <c r="E3248" i="167" s="1"/>
  <c r="D3248" i="167"/>
  <c r="D3247" i="167"/>
  <c r="B3247" i="167"/>
  <c r="G3245" i="167"/>
  <c r="E3245" i="167" s="1"/>
  <c r="D3245" i="167"/>
  <c r="D3244" i="167"/>
  <c r="B3244" i="167"/>
  <c r="G3242" i="167"/>
  <c r="E3242" i="167" s="1"/>
  <c r="D3242" i="167"/>
  <c r="D3241" i="167"/>
  <c r="B3241" i="167"/>
  <c r="G3239" i="167"/>
  <c r="E3239" i="167" s="1"/>
  <c r="D3239" i="167"/>
  <c r="D3238" i="167"/>
  <c r="B3238" i="167"/>
  <c r="G3236" i="167"/>
  <c r="E3236" i="167" s="1"/>
  <c r="D3236" i="167"/>
  <c r="D3235" i="167"/>
  <c r="B3235" i="167"/>
  <c r="G3233" i="167"/>
  <c r="E3233" i="167" s="1"/>
  <c r="D3233" i="167"/>
  <c r="D3232" i="167"/>
  <c r="B3232" i="167"/>
  <c r="G3230" i="167"/>
  <c r="E3230" i="167" s="1"/>
  <c r="D3230" i="167"/>
  <c r="D3229" i="167"/>
  <c r="B3229" i="167"/>
  <c r="G3227" i="167"/>
  <c r="E3227" i="167" s="1"/>
  <c r="D3227" i="167"/>
  <c r="D3226" i="167"/>
  <c r="B3226" i="167"/>
  <c r="G3224" i="167"/>
  <c r="E3224" i="167" s="1"/>
  <c r="D3224" i="167"/>
  <c r="D3223" i="167"/>
  <c r="B3223" i="167"/>
  <c r="G3221" i="167"/>
  <c r="E3221" i="167" s="1"/>
  <c r="D3221" i="167"/>
  <c r="D3220" i="167"/>
  <c r="B3220" i="167"/>
  <c r="G3218" i="167"/>
  <c r="E3218" i="167" s="1"/>
  <c r="D3218" i="167"/>
  <c r="D3217" i="167"/>
  <c r="B3217" i="167"/>
  <c r="H3215" i="167"/>
  <c r="G3215" i="167"/>
  <c r="E3215" i="167" s="1"/>
  <c r="D3215" i="167"/>
  <c r="A3215" i="167"/>
  <c r="B3215" i="167" s="1"/>
  <c r="D3214" i="167"/>
  <c r="B3214" i="167"/>
  <c r="G3212" i="167"/>
  <c r="E3212" i="167" s="1"/>
  <c r="D3212" i="167"/>
  <c r="D3211" i="167"/>
  <c r="B3211" i="167"/>
  <c r="G3209" i="167"/>
  <c r="E3209" i="167" s="1"/>
  <c r="D3209" i="167"/>
  <c r="D3208" i="167"/>
  <c r="B3208" i="167"/>
  <c r="H3206" i="167"/>
  <c r="G3206" i="167"/>
  <c r="E3206" i="167" s="1"/>
  <c r="D3206" i="167"/>
  <c r="A3206" i="167"/>
  <c r="B3206" i="167" s="1"/>
  <c r="D3205" i="167"/>
  <c r="B3205" i="167"/>
  <c r="H3067" i="167"/>
  <c r="H3233" i="167" s="1"/>
  <c r="G3067" i="167"/>
  <c r="E3067" i="167" s="1"/>
  <c r="D3067" i="167"/>
  <c r="A3067" i="167"/>
  <c r="B3067" i="167" s="1"/>
  <c r="D3066" i="167"/>
  <c r="B3066" i="167"/>
  <c r="B5723" i="167" l="1"/>
  <c r="A5725" i="167"/>
  <c r="E3577" i="167"/>
  <c r="F3579" i="167"/>
  <c r="E3579" i="167" s="1"/>
  <c r="A3233" i="167"/>
  <c r="B3711" i="167"/>
  <c r="A3717" i="167"/>
  <c r="B4016" i="167"/>
  <c r="A4022" i="167"/>
  <c r="B3896" i="167"/>
  <c r="A3899" i="167"/>
  <c r="H3203" i="167"/>
  <c r="G3203" i="167"/>
  <c r="E3203" i="167" s="1"/>
  <c r="D3203" i="167"/>
  <c r="A3203" i="167"/>
  <c r="B3203" i="167" s="1"/>
  <c r="D3202" i="167"/>
  <c r="B3202" i="167"/>
  <c r="G3200" i="167"/>
  <c r="E3200" i="167" s="1"/>
  <c r="D3200" i="167"/>
  <c r="D3199" i="167"/>
  <c r="B3199" i="167"/>
  <c r="G3197" i="167"/>
  <c r="E3197" i="167" s="1"/>
  <c r="D3197" i="167"/>
  <c r="D3196" i="167"/>
  <c r="B3196" i="167"/>
  <c r="G3194" i="167"/>
  <c r="E3194" i="167" s="1"/>
  <c r="D3194" i="167"/>
  <c r="D3193" i="167"/>
  <c r="B3193" i="167"/>
  <c r="G3191" i="167"/>
  <c r="E3191" i="167" s="1"/>
  <c r="D3191" i="167"/>
  <c r="D3190" i="167"/>
  <c r="B3190" i="167"/>
  <c r="G3188" i="167"/>
  <c r="E3188" i="167" s="1"/>
  <c r="D3188" i="167"/>
  <c r="D3187" i="167"/>
  <c r="B3187" i="167"/>
  <c r="G3185" i="167"/>
  <c r="E3185" i="167" s="1"/>
  <c r="D3185" i="167"/>
  <c r="D3184" i="167"/>
  <c r="B3184" i="167"/>
  <c r="G3182" i="167"/>
  <c r="E3182" i="167" s="1"/>
  <c r="D3182" i="167"/>
  <c r="D3181" i="167"/>
  <c r="B3181" i="167"/>
  <c r="G3179" i="167"/>
  <c r="E3179" i="167" s="1"/>
  <c r="D3179" i="167"/>
  <c r="D3178" i="167"/>
  <c r="B3178" i="167"/>
  <c r="G3176" i="167"/>
  <c r="E3176" i="167" s="1"/>
  <c r="D3176" i="167"/>
  <c r="D3175" i="167"/>
  <c r="B3175" i="167"/>
  <c r="G3173" i="167"/>
  <c r="E3173" i="167" s="1"/>
  <c r="D3173" i="167"/>
  <c r="D3172" i="167"/>
  <c r="B3172" i="167"/>
  <c r="G3170" i="167"/>
  <c r="E3170" i="167" s="1"/>
  <c r="D3170" i="167"/>
  <c r="D3169" i="167"/>
  <c r="B3169" i="167"/>
  <c r="G3167" i="167"/>
  <c r="E3167" i="167" s="1"/>
  <c r="D3167" i="167"/>
  <c r="D3166" i="167"/>
  <c r="B3166" i="167"/>
  <c r="G3164" i="167"/>
  <c r="E3164" i="167" s="1"/>
  <c r="D3164" i="167"/>
  <c r="D3163" i="167"/>
  <c r="B3163" i="167"/>
  <c r="G3161" i="167"/>
  <c r="E3161" i="167" s="1"/>
  <c r="D3161" i="167"/>
  <c r="D3160" i="167"/>
  <c r="B3160" i="167"/>
  <c r="G3158" i="167"/>
  <c r="E3158" i="167" s="1"/>
  <c r="D3158" i="167"/>
  <c r="D3157" i="167"/>
  <c r="B3157" i="167"/>
  <c r="G3155" i="167"/>
  <c r="E3155" i="167" s="1"/>
  <c r="D3155" i="167"/>
  <c r="D3154" i="167"/>
  <c r="B3154" i="167"/>
  <c r="G3152" i="167"/>
  <c r="E3152" i="167" s="1"/>
  <c r="D3152" i="167"/>
  <c r="D3151" i="167"/>
  <c r="B3151" i="167"/>
  <c r="G3149" i="167"/>
  <c r="E3149" i="167" s="1"/>
  <c r="D3149" i="167"/>
  <c r="D3148" i="167"/>
  <c r="B3148" i="167"/>
  <c r="G3146" i="167"/>
  <c r="E3146" i="167" s="1"/>
  <c r="D3146" i="167"/>
  <c r="D3145" i="167"/>
  <c r="B3145" i="167"/>
  <c r="G3143" i="167"/>
  <c r="E3143" i="167" s="1"/>
  <c r="D3143" i="167"/>
  <c r="D3142" i="167"/>
  <c r="B3142" i="167"/>
  <c r="G3140" i="167"/>
  <c r="E3140" i="167" s="1"/>
  <c r="D3140" i="167"/>
  <c r="D3139" i="167"/>
  <c r="B3139" i="167"/>
  <c r="G3137" i="167"/>
  <c r="E3137" i="167" s="1"/>
  <c r="D3137" i="167"/>
  <c r="D3136" i="167"/>
  <c r="B3136" i="167"/>
  <c r="G3134" i="167"/>
  <c r="E3134" i="167" s="1"/>
  <c r="D3134" i="167"/>
  <c r="D3133" i="167"/>
  <c r="B3133" i="167"/>
  <c r="G3131" i="167"/>
  <c r="E3131" i="167" s="1"/>
  <c r="D3131" i="167"/>
  <c r="D3130" i="167"/>
  <c r="B3130" i="167"/>
  <c r="G3128" i="167"/>
  <c r="E3128" i="167" s="1"/>
  <c r="D3128" i="167"/>
  <c r="D3127" i="167"/>
  <c r="B3127" i="167"/>
  <c r="G3125" i="167"/>
  <c r="E3125" i="167" s="1"/>
  <c r="D3125" i="167"/>
  <c r="D3124" i="167"/>
  <c r="B3124" i="167"/>
  <c r="D3122" i="167"/>
  <c r="D3120" i="167"/>
  <c r="B3120" i="167"/>
  <c r="G3118" i="167"/>
  <c r="E3118" i="167" s="1"/>
  <c r="D3118" i="167"/>
  <c r="D3117" i="167"/>
  <c r="B3117" i="167"/>
  <c r="G3115" i="167"/>
  <c r="E3115" i="167" s="1"/>
  <c r="D3115" i="167"/>
  <c r="D3114" i="167"/>
  <c r="B3114" i="167"/>
  <c r="G3112" i="167"/>
  <c r="E3112" i="167" s="1"/>
  <c r="D3112" i="167"/>
  <c r="D3111" i="167"/>
  <c r="B3111" i="167"/>
  <c r="G3109" i="167"/>
  <c r="E3109" i="167" s="1"/>
  <c r="D3109" i="167"/>
  <c r="D3108" i="167"/>
  <c r="B3108" i="167"/>
  <c r="G3106" i="167"/>
  <c r="E3106" i="167" s="1"/>
  <c r="D3106" i="167"/>
  <c r="D3105" i="167"/>
  <c r="B3105" i="167"/>
  <c r="G3103" i="167"/>
  <c r="E3103" i="167" s="1"/>
  <c r="D3103" i="167"/>
  <c r="D3102" i="167"/>
  <c r="B3102" i="167"/>
  <c r="G3100" i="167"/>
  <c r="E3100" i="167" s="1"/>
  <c r="D3100" i="167"/>
  <c r="D3099" i="167"/>
  <c r="B3099" i="167"/>
  <c r="G3097" i="167"/>
  <c r="E3097" i="167" s="1"/>
  <c r="D3097" i="167"/>
  <c r="D3096" i="167"/>
  <c r="B3096" i="167"/>
  <c r="G3094" i="167"/>
  <c r="E3094" i="167" s="1"/>
  <c r="D3094" i="167"/>
  <c r="D3093" i="167"/>
  <c r="B3093" i="167"/>
  <c r="G3091" i="167"/>
  <c r="E3091" i="167" s="1"/>
  <c r="D3091" i="167"/>
  <c r="D3090" i="167"/>
  <c r="B3090" i="167"/>
  <c r="H3088" i="167"/>
  <c r="H3103" i="167" s="1"/>
  <c r="H3106" i="167" s="1"/>
  <c r="H3115" i="167" s="1"/>
  <c r="H3128" i="167" s="1"/>
  <c r="H3134" i="167" s="1"/>
  <c r="H3149" i="167" s="1"/>
  <c r="H3152" i="167" s="1"/>
  <c r="H3155" i="167" s="1"/>
  <c r="H3158" i="167" s="1"/>
  <c r="H3161" i="167" s="1"/>
  <c r="H3167" i="167" s="1"/>
  <c r="H3173" i="167" s="1"/>
  <c r="H3176" i="167" s="1"/>
  <c r="H3218" i="167" s="1"/>
  <c r="H3221" i="167" s="1"/>
  <c r="H3227" i="167" s="1"/>
  <c r="H3245" i="167" s="1"/>
  <c r="H3254" i="167" s="1"/>
  <c r="H3290" i="167" s="1"/>
  <c r="H3347" i="167" s="1"/>
  <c r="H3368" i="167" s="1"/>
  <c r="H3383" i="167" s="1"/>
  <c r="H3389" i="167" s="1"/>
  <c r="H3398" i="167" s="1"/>
  <c r="H3410" i="167" s="1"/>
  <c r="H3413" i="167" s="1"/>
  <c r="H3416" i="167" s="1"/>
  <c r="H3434" i="167" s="1"/>
  <c r="H3443" i="167" s="1"/>
  <c r="H3446" i="167" s="1"/>
  <c r="H3449" i="167" s="1"/>
  <c r="H3452" i="167" s="1"/>
  <c r="H3455" i="167" s="1"/>
  <c r="H3458" i="167" s="1"/>
  <c r="H3464" i="167" s="1"/>
  <c r="H3486" i="167" s="1"/>
  <c r="H3492" i="167" s="1"/>
  <c r="G3088" i="167"/>
  <c r="E3088" i="167" s="1"/>
  <c r="D3088" i="167"/>
  <c r="A3088" i="167"/>
  <c r="B3088" i="167" s="1"/>
  <c r="D3087" i="167"/>
  <c r="B3087" i="167"/>
  <c r="G3085" i="167"/>
  <c r="E3085" i="167" s="1"/>
  <c r="D3085" i="167"/>
  <c r="D3084" i="167"/>
  <c r="B3084" i="167"/>
  <c r="G3082" i="167"/>
  <c r="E3082" i="167" s="1"/>
  <c r="D3082" i="167"/>
  <c r="D3081" i="167"/>
  <c r="B3081" i="167"/>
  <c r="G3079" i="167"/>
  <c r="E3079" i="167" s="1"/>
  <c r="D3079" i="167"/>
  <c r="D3078" i="167"/>
  <c r="B3078" i="167"/>
  <c r="G3076" i="167"/>
  <c r="E3076" i="167" s="1"/>
  <c r="D3076" i="167"/>
  <c r="D3075" i="167"/>
  <c r="B3075" i="167"/>
  <c r="H3073" i="167"/>
  <c r="H3091" i="167" s="1"/>
  <c r="H3125" i="167" s="1"/>
  <c r="H3137" i="167" s="1"/>
  <c r="H3140" i="167" s="1"/>
  <c r="H3188" i="167" s="1"/>
  <c r="H3200" i="167" s="1"/>
  <c r="H3224" i="167" s="1"/>
  <c r="H3242" i="167" s="1"/>
  <c r="H3248" i="167" s="1"/>
  <c r="H3251" i="167" s="1"/>
  <c r="H3257" i="167" s="1"/>
  <c r="H3260" i="167" s="1"/>
  <c r="H3266" i="167" s="1"/>
  <c r="H3395" i="167" s="1"/>
  <c r="H3495" i="167" s="1"/>
  <c r="G3073" i="167"/>
  <c r="E3073" i="167" s="1"/>
  <c r="D3073" i="167"/>
  <c r="A3073" i="167"/>
  <c r="B3073" i="167" s="1"/>
  <c r="D3072" i="167"/>
  <c r="B3072" i="167"/>
  <c r="H3070" i="167"/>
  <c r="H3076" i="167" s="1"/>
  <c r="H3079" i="167" s="1"/>
  <c r="H3082" i="167" s="1"/>
  <c r="H3085" i="167" s="1"/>
  <c r="H3094" i="167" s="1"/>
  <c r="H3097" i="167" s="1"/>
  <c r="H3100" i="167" s="1"/>
  <c r="H3109" i="167" s="1"/>
  <c r="H3112" i="167" s="1"/>
  <c r="G3070" i="167"/>
  <c r="E3070" i="167" s="1"/>
  <c r="D3070" i="167"/>
  <c r="A3070" i="167"/>
  <c r="B3070" i="167" s="1"/>
  <c r="D3069" i="167"/>
  <c r="B3069" i="167"/>
  <c r="A5726" i="167" l="1"/>
  <c r="B5725" i="167"/>
  <c r="A5728" i="167"/>
  <c r="H3122" i="167"/>
  <c r="H3131" i="167" s="1"/>
  <c r="H3143" i="167" s="1"/>
  <c r="H3146" i="167" s="1"/>
  <c r="H3164" i="167" s="1"/>
  <c r="H3170" i="167" s="1"/>
  <c r="H3179" i="167" s="1"/>
  <c r="H3182" i="167" s="1"/>
  <c r="H3191" i="167" s="1"/>
  <c r="H3194" i="167" s="1"/>
  <c r="H3197" i="167" s="1"/>
  <c r="H3209" i="167" s="1"/>
  <c r="H3212" i="167" s="1"/>
  <c r="H3230" i="167" s="1"/>
  <c r="H3236" i="167" s="1"/>
  <c r="H3239" i="167" s="1"/>
  <c r="H3263" i="167" s="1"/>
  <c r="H3272" i="167" s="1"/>
  <c r="H3275" i="167" s="1"/>
  <c r="H3118" i="167"/>
  <c r="A3076" i="167"/>
  <c r="A3103" i="167"/>
  <c r="A3091" i="167"/>
  <c r="B3899" i="167"/>
  <c r="A3908" i="167"/>
  <c r="B3717" i="167"/>
  <c r="A3720" i="167"/>
  <c r="B4022" i="167"/>
  <c r="A4031" i="167"/>
  <c r="B3233" i="167"/>
  <c r="A3299" i="167"/>
  <c r="H4101" i="166"/>
  <c r="G4101" i="166"/>
  <c r="E4101" i="166" s="1"/>
  <c r="D4101" i="166"/>
  <c r="A4101" i="166"/>
  <c r="E4100" i="166"/>
  <c r="D4100" i="166"/>
  <c r="B4100" i="166"/>
  <c r="B4101" i="166" s="1"/>
  <c r="H4098" i="166"/>
  <c r="G4098" i="166"/>
  <c r="E4098" i="166" s="1"/>
  <c r="D4098" i="166"/>
  <c r="A4098" i="166"/>
  <c r="E4097" i="166"/>
  <c r="D4097" i="166"/>
  <c r="B4097" i="166"/>
  <c r="B4098" i="166" s="1"/>
  <c r="H4095" i="166"/>
  <c r="G4095" i="166"/>
  <c r="E4095" i="166" s="1"/>
  <c r="D4095" i="166"/>
  <c r="A4095" i="166"/>
  <c r="E4094" i="166"/>
  <c r="D4094" i="166"/>
  <c r="B4094" i="166"/>
  <c r="B4095" i="166" s="1"/>
  <c r="G4092" i="166"/>
  <c r="E4092" i="166" s="1"/>
  <c r="D4092" i="166"/>
  <c r="E4091" i="166"/>
  <c r="D4091" i="166"/>
  <c r="B4091" i="166"/>
  <c r="H4089" i="166"/>
  <c r="G4089" i="166"/>
  <c r="E4089" i="166" s="1"/>
  <c r="D4089" i="166"/>
  <c r="A4089" i="166"/>
  <c r="E4088" i="166"/>
  <c r="D4088" i="166"/>
  <c r="B4088" i="166"/>
  <c r="B4089" i="166" s="1"/>
  <c r="G4086" i="166"/>
  <c r="E4086" i="166" s="1"/>
  <c r="D4086" i="166"/>
  <c r="A4086" i="166"/>
  <c r="E4085" i="166"/>
  <c r="D4085" i="166"/>
  <c r="B4085" i="166"/>
  <c r="G4083" i="166"/>
  <c r="E4083" i="166" s="1"/>
  <c r="D4083" i="166"/>
  <c r="E4082" i="166"/>
  <c r="D4082" i="166"/>
  <c r="B4082" i="166"/>
  <c r="H4080" i="166"/>
  <c r="H4092" i="166" s="1"/>
  <c r="G4080" i="166"/>
  <c r="E4080" i="166" s="1"/>
  <c r="D4080" i="166"/>
  <c r="A4080" i="166"/>
  <c r="A4092" i="166" s="1"/>
  <c r="E4079" i="166"/>
  <c r="D4079" i="166"/>
  <c r="B4079" i="166"/>
  <c r="B4080" i="166" s="1"/>
  <c r="G4077" i="166"/>
  <c r="E4077" i="166" s="1"/>
  <c r="D4077" i="166"/>
  <c r="E4076" i="166"/>
  <c r="D4076" i="166"/>
  <c r="B4076" i="166"/>
  <c r="G4074" i="166"/>
  <c r="E4074" i="166" s="1"/>
  <c r="D4074" i="166"/>
  <c r="E4073" i="166"/>
  <c r="D4073" i="166"/>
  <c r="B4073" i="166"/>
  <c r="G4071" i="166"/>
  <c r="E4071" i="166" s="1"/>
  <c r="D4071" i="166"/>
  <c r="E4070" i="166"/>
  <c r="D4070" i="166"/>
  <c r="B4070" i="166"/>
  <c r="G4068" i="166"/>
  <c r="E4068" i="166" s="1"/>
  <c r="D4068" i="166"/>
  <c r="E4067" i="166"/>
  <c r="D4067" i="166"/>
  <c r="B4067" i="166"/>
  <c r="H4065" i="166"/>
  <c r="H4086" i="166" s="1"/>
  <c r="G4065" i="166"/>
  <c r="E4065" i="166" s="1"/>
  <c r="D4065" i="166"/>
  <c r="A4065" i="166"/>
  <c r="E4064" i="166"/>
  <c r="D4064" i="166"/>
  <c r="B4064" i="166"/>
  <c r="B4065" i="166" s="1"/>
  <c r="D4055" i="166"/>
  <c r="D4054" i="166"/>
  <c r="E4058" i="166"/>
  <c r="E4059" i="166"/>
  <c r="E4060" i="166"/>
  <c r="E4061" i="166"/>
  <c r="E4062" i="166"/>
  <c r="A5727" i="167" l="1"/>
  <c r="A5729" i="167"/>
  <c r="A5730" i="167"/>
  <c r="B5726" i="167"/>
  <c r="A5732" i="167"/>
  <c r="B5728" i="167"/>
  <c r="B3299" i="167"/>
  <c r="A3302" i="167"/>
  <c r="B3091" i="167"/>
  <c r="A3125" i="167"/>
  <c r="B3103" i="167"/>
  <c r="A3106" i="167"/>
  <c r="B4031" i="167"/>
  <c r="A4034" i="167"/>
  <c r="B3720" i="167"/>
  <c r="A3729" i="167"/>
  <c r="B3908" i="167"/>
  <c r="A3923" i="167"/>
  <c r="B3076" i="167"/>
  <c r="A3079" i="167"/>
  <c r="B4092" i="166"/>
  <c r="B4086" i="166"/>
  <c r="D4062" i="166"/>
  <c r="D4061" i="166"/>
  <c r="D4060" i="166"/>
  <c r="D4059" i="166"/>
  <c r="D4058" i="166"/>
  <c r="E4057" i="166"/>
  <c r="D4057" i="166"/>
  <c r="B4057" i="166"/>
  <c r="D4053" i="166"/>
  <c r="D4052" i="166"/>
  <c r="D4051" i="166"/>
  <c r="D4050" i="166"/>
  <c r="D4049" i="166"/>
  <c r="D4048" i="166"/>
  <c r="A4048" i="166"/>
  <c r="A4049" i="166" s="1"/>
  <c r="A4050" i="166" s="1"/>
  <c r="A4051" i="166" s="1"/>
  <c r="A4052" i="166" s="1"/>
  <c r="A4053" i="166" s="1"/>
  <c r="D4047" i="166"/>
  <c r="B4047" i="166"/>
  <c r="F4029" i="166"/>
  <c r="E4029" i="166" s="1"/>
  <c r="F4039" i="166"/>
  <c r="E4039" i="166" s="1"/>
  <c r="E4031" i="166"/>
  <c r="D4031" i="166"/>
  <c r="E4041" i="166"/>
  <c r="D4041" i="166"/>
  <c r="E4045" i="166"/>
  <c r="D4045" i="166"/>
  <c r="H4044" i="166"/>
  <c r="E4044" i="166"/>
  <c r="D4044" i="166"/>
  <c r="A4044" i="166"/>
  <c r="D4043" i="166"/>
  <c r="B4043" i="166"/>
  <c r="B4044" i="166" s="1"/>
  <c r="E4040" i="166"/>
  <c r="D4040" i="166"/>
  <c r="D4039" i="166"/>
  <c r="B4039" i="166"/>
  <c r="H4037" i="166"/>
  <c r="H4040" i="166" s="1"/>
  <c r="H4041" i="166" s="1"/>
  <c r="G4037" i="166"/>
  <c r="E4037" i="166" s="1"/>
  <c r="D4037" i="166"/>
  <c r="A4037" i="166"/>
  <c r="A4040" i="166" s="1"/>
  <c r="A4041" i="166" s="1"/>
  <c r="E4036" i="166"/>
  <c r="D4036" i="166"/>
  <c r="B4036" i="166"/>
  <c r="B4037" i="166" s="1"/>
  <c r="G4034" i="166"/>
  <c r="E4034" i="166" s="1"/>
  <c r="D4034" i="166"/>
  <c r="A4034" i="166"/>
  <c r="E4033" i="166"/>
  <c r="D4033" i="166"/>
  <c r="B4033" i="166"/>
  <c r="B4034" i="166" s="1"/>
  <c r="H4030" i="166"/>
  <c r="E4030" i="166"/>
  <c r="D4030" i="166"/>
  <c r="A4030" i="166"/>
  <c r="D4029" i="166"/>
  <c r="B4029" i="166"/>
  <c r="B4030" i="166" s="1"/>
  <c r="H4027" i="166"/>
  <c r="G4027" i="166"/>
  <c r="E4027" i="166" s="1"/>
  <c r="D4027" i="166"/>
  <c r="E4026" i="166"/>
  <c r="D4026" i="166"/>
  <c r="B4026" i="166"/>
  <c r="B4027" i="166" s="1"/>
  <c r="H4024" i="166"/>
  <c r="G4024" i="166"/>
  <c r="E4024" i="166" s="1"/>
  <c r="D4024" i="166"/>
  <c r="A4024" i="166"/>
  <c r="A4027" i="166" s="1"/>
  <c r="E4023" i="166"/>
  <c r="D4023" i="166"/>
  <c r="B4023" i="166"/>
  <c r="B4024" i="166" s="1"/>
  <c r="B5729" i="167" l="1"/>
  <c r="A5733" i="167"/>
  <c r="B5727" i="167"/>
  <c r="A5731" i="167"/>
  <c r="B5731" i="167" s="1"/>
  <c r="B5732" i="167"/>
  <c r="A5735" i="167"/>
  <c r="B5730" i="167"/>
  <c r="A5734" i="167"/>
  <c r="B3923" i="167"/>
  <c r="A4043" i="167"/>
  <c r="B4034" i="167"/>
  <c r="A4040" i="167"/>
  <c r="B4040" i="167" s="1"/>
  <c r="B3125" i="167"/>
  <c r="A3137" i="167"/>
  <c r="B3079" i="167"/>
  <c r="A3082" i="167"/>
  <c r="B3729" i="167"/>
  <c r="A3738" i="167"/>
  <c r="B3106" i="167"/>
  <c r="A3115" i="167"/>
  <c r="B3302" i="167"/>
  <c r="A3305" i="167"/>
  <c r="B4058" i="166"/>
  <c r="B4059" i="166" s="1"/>
  <c r="B4060" i="166" s="1"/>
  <c r="B4061" i="166" s="1"/>
  <c r="B4062" i="166" s="1"/>
  <c r="H4045" i="166"/>
  <c r="H4034" i="166"/>
  <c r="B4040" i="166"/>
  <c r="B4041" i="166" s="1"/>
  <c r="B4045" i="166" s="1"/>
  <c r="A4045" i="166"/>
  <c r="A4058" i="166"/>
  <c r="A4059" i="166" s="1"/>
  <c r="A4060" i="166" s="1"/>
  <c r="A4061" i="166" s="1"/>
  <c r="A4062" i="166" s="1"/>
  <c r="G4021" i="166"/>
  <c r="E4021" i="166" s="1"/>
  <c r="D4021" i="166"/>
  <c r="E4020" i="166"/>
  <c r="D4020" i="166"/>
  <c r="B4020" i="166"/>
  <c r="H4018" i="166"/>
  <c r="G4018" i="166"/>
  <c r="E4018" i="166" s="1"/>
  <c r="D4018" i="166"/>
  <c r="E4017" i="166"/>
  <c r="D4017" i="166"/>
  <c r="B4017" i="166"/>
  <c r="B4018" i="166" s="1"/>
  <c r="H4015" i="166"/>
  <c r="H4021" i="166" s="1"/>
  <c r="G4015" i="166"/>
  <c r="E4015" i="166" s="1"/>
  <c r="D4015" i="166"/>
  <c r="A4015" i="166"/>
  <c r="A4021" i="166" s="1"/>
  <c r="E4014" i="166"/>
  <c r="D4014" i="166"/>
  <c r="B4014" i="166"/>
  <c r="B4015" i="166" s="1"/>
  <c r="H4012" i="166"/>
  <c r="G4012" i="166"/>
  <c r="E4012" i="166" s="1"/>
  <c r="D4012" i="166"/>
  <c r="E4011" i="166"/>
  <c r="D4011" i="166"/>
  <c r="B4011" i="166"/>
  <c r="B4012" i="166" s="1"/>
  <c r="H4009" i="166"/>
  <c r="G4009" i="166"/>
  <c r="E4009" i="166" s="1"/>
  <c r="D4009" i="166"/>
  <c r="A4009" i="166"/>
  <c r="A4018" i="166" s="1"/>
  <c r="E4008" i="166"/>
  <c r="D4008" i="166"/>
  <c r="B4008" i="166"/>
  <c r="B4009" i="166" s="1"/>
  <c r="G4006" i="166"/>
  <c r="E4006" i="166" s="1"/>
  <c r="D4006" i="166"/>
  <c r="E4005" i="166"/>
  <c r="D4005" i="166"/>
  <c r="B4005" i="166"/>
  <c r="G4003" i="166"/>
  <c r="E4003" i="166" s="1"/>
  <c r="D4003" i="166"/>
  <c r="A4003" i="166"/>
  <c r="E4002" i="166"/>
  <c r="D4002" i="166"/>
  <c r="B4002" i="166"/>
  <c r="H4000" i="166"/>
  <c r="H4003" i="166" s="1"/>
  <c r="G4000" i="166"/>
  <c r="E4000" i="166" s="1"/>
  <c r="D4000" i="166"/>
  <c r="A4000" i="166"/>
  <c r="E3999" i="166"/>
  <c r="D3999" i="166"/>
  <c r="B3999" i="166"/>
  <c r="B4000" i="166" s="1"/>
  <c r="G3997" i="166"/>
  <c r="E3997" i="166" s="1"/>
  <c r="D3997" i="166"/>
  <c r="A3997" i="166"/>
  <c r="E3996" i="166"/>
  <c r="D3996" i="166"/>
  <c r="B3996" i="166"/>
  <c r="H3994" i="166"/>
  <c r="H3997" i="166" s="1"/>
  <c r="G3994" i="166"/>
  <c r="E3994" i="166" s="1"/>
  <c r="D3994" i="166"/>
  <c r="A3994" i="166"/>
  <c r="E3993" i="166"/>
  <c r="D3993" i="166"/>
  <c r="B3993" i="166"/>
  <c r="B3994" i="166" s="1"/>
  <c r="G3991" i="166"/>
  <c r="E3991" i="166" s="1"/>
  <c r="D3991" i="166"/>
  <c r="A3991" i="166"/>
  <c r="E3990" i="166"/>
  <c r="D3990" i="166"/>
  <c r="B3990" i="166"/>
  <c r="H3988" i="166"/>
  <c r="H3991" i="166" s="1"/>
  <c r="G3988" i="166"/>
  <c r="E3988" i="166" s="1"/>
  <c r="D3988" i="166"/>
  <c r="A3988" i="166"/>
  <c r="E3987" i="166"/>
  <c r="D3987" i="166"/>
  <c r="B3987" i="166"/>
  <c r="B3988" i="166" s="1"/>
  <c r="G3985" i="166"/>
  <c r="E3985" i="166" s="1"/>
  <c r="D3985" i="166"/>
  <c r="A3985" i="166"/>
  <c r="E3984" i="166"/>
  <c r="D3984" i="166"/>
  <c r="B3984" i="166"/>
  <c r="H3982" i="166"/>
  <c r="H3985" i="166" s="1"/>
  <c r="G3982" i="166"/>
  <c r="E3982" i="166" s="1"/>
  <c r="D3982" i="166"/>
  <c r="A3982" i="166"/>
  <c r="E3981" i="166"/>
  <c r="D3981" i="166"/>
  <c r="B3981" i="166"/>
  <c r="B3982" i="166" s="1"/>
  <c r="G3979" i="166"/>
  <c r="E3979" i="166" s="1"/>
  <c r="D3979" i="166"/>
  <c r="A3979" i="166"/>
  <c r="E3978" i="166"/>
  <c r="D3978" i="166"/>
  <c r="B3978" i="166"/>
  <c r="H3976" i="166"/>
  <c r="H3979" i="166" s="1"/>
  <c r="G3976" i="166"/>
  <c r="E3976" i="166" s="1"/>
  <c r="D3976" i="166"/>
  <c r="A3976" i="166"/>
  <c r="E3975" i="166"/>
  <c r="D3975" i="166"/>
  <c r="B3975" i="166"/>
  <c r="B3976" i="166" s="1"/>
  <c r="G3973" i="166"/>
  <c r="E3973" i="166" s="1"/>
  <c r="D3973" i="166"/>
  <c r="A3973" i="166"/>
  <c r="E3972" i="166"/>
  <c r="D3972" i="166"/>
  <c r="B3972" i="166"/>
  <c r="H3970" i="166"/>
  <c r="H3973" i="166" s="1"/>
  <c r="G3970" i="166"/>
  <c r="E3970" i="166" s="1"/>
  <c r="D3970" i="166"/>
  <c r="A3970" i="166"/>
  <c r="E3969" i="166"/>
  <c r="D3969" i="166"/>
  <c r="B3969" i="166"/>
  <c r="B3970" i="166" s="1"/>
  <c r="G3967" i="166"/>
  <c r="E3967" i="166" s="1"/>
  <c r="D3967" i="166"/>
  <c r="A3967" i="166"/>
  <c r="E3966" i="166"/>
  <c r="D3966" i="166"/>
  <c r="B3966" i="166"/>
  <c r="H3964" i="166"/>
  <c r="H3967" i="166" s="1"/>
  <c r="G3964" i="166"/>
  <c r="E3964" i="166" s="1"/>
  <c r="D3964" i="166"/>
  <c r="A3964" i="166"/>
  <c r="E3963" i="166"/>
  <c r="D3963" i="166"/>
  <c r="B3963" i="166"/>
  <c r="B3964" i="166" s="1"/>
  <c r="G3961" i="166"/>
  <c r="E3961" i="166" s="1"/>
  <c r="D3961" i="166"/>
  <c r="A3961" i="166"/>
  <c r="E3960" i="166"/>
  <c r="D3960" i="166"/>
  <c r="B3960" i="166"/>
  <c r="H3958" i="166"/>
  <c r="H3961" i="166" s="1"/>
  <c r="G3958" i="166"/>
  <c r="E3958" i="166" s="1"/>
  <c r="D3958" i="166"/>
  <c r="A3958" i="166"/>
  <c r="E3957" i="166"/>
  <c r="D3957" i="166"/>
  <c r="B3957" i="166"/>
  <c r="B3958" i="166" s="1"/>
  <c r="H3955" i="166"/>
  <c r="G3955" i="166"/>
  <c r="E3955" i="166" s="1"/>
  <c r="D3955" i="166"/>
  <c r="A3955" i="166"/>
  <c r="E3954" i="166"/>
  <c r="D3954" i="166"/>
  <c r="B3954" i="166"/>
  <c r="B3955" i="166" s="1"/>
  <c r="H3952" i="166"/>
  <c r="G3952" i="166"/>
  <c r="E3952" i="166" s="1"/>
  <c r="D3952" i="166"/>
  <c r="E3951" i="166"/>
  <c r="D3951" i="166"/>
  <c r="B3951" i="166"/>
  <c r="B3952" i="166" s="1"/>
  <c r="H3949" i="166"/>
  <c r="G3949" i="166"/>
  <c r="E3949" i="166" s="1"/>
  <c r="D3949" i="166"/>
  <c r="A3949" i="166"/>
  <c r="A3952" i="166" s="1"/>
  <c r="E3948" i="166"/>
  <c r="D3948" i="166"/>
  <c r="B3948" i="166"/>
  <c r="B3949" i="166" s="1"/>
  <c r="H3946" i="166"/>
  <c r="H4006" i="166" s="1"/>
  <c r="G3946" i="166"/>
  <c r="E3946" i="166" s="1"/>
  <c r="D3946" i="166"/>
  <c r="A3946" i="166"/>
  <c r="A4006" i="166" s="1"/>
  <c r="E3945" i="166"/>
  <c r="D3945" i="166"/>
  <c r="B3945" i="166"/>
  <c r="B3946" i="166" s="1"/>
  <c r="H3943" i="166"/>
  <c r="G3943" i="166"/>
  <c r="E3943" i="166" s="1"/>
  <c r="D3943" i="166"/>
  <c r="A3943" i="166"/>
  <c r="A4012" i="166" s="1"/>
  <c r="E3942" i="166"/>
  <c r="D3942" i="166"/>
  <c r="B3942" i="166"/>
  <c r="B3943" i="166" s="1"/>
  <c r="G3940" i="166"/>
  <c r="E3940" i="166" s="1"/>
  <c r="D3940" i="166"/>
  <c r="E3939" i="166"/>
  <c r="D3939" i="166"/>
  <c r="B3939" i="166"/>
  <c r="G3937" i="166"/>
  <c r="E3937" i="166" s="1"/>
  <c r="D3937" i="166"/>
  <c r="E3936" i="166"/>
  <c r="D3936" i="166"/>
  <c r="B3936" i="166"/>
  <c r="B5733" i="167" l="1"/>
  <c r="A5736" i="167"/>
  <c r="B5734" i="167"/>
  <c r="A5737" i="167"/>
  <c r="A5740" i="167" s="1"/>
  <c r="B5740" i="167" s="1"/>
  <c r="A5738" i="167"/>
  <c r="B5735" i="167"/>
  <c r="A5425" i="167"/>
  <c r="A5221" i="167" s="1"/>
  <c r="A5227" i="167" s="1"/>
  <c r="A5233" i="167" s="1"/>
  <c r="A5239" i="167" s="1"/>
  <c r="A5254" i="167" s="1"/>
  <c r="A5257" i="167" s="1"/>
  <c r="A5263" i="167" s="1"/>
  <c r="A5266" i="167" s="1"/>
  <c r="A5275" i="167" s="1"/>
  <c r="A5281" i="167" s="1"/>
  <c r="A5287" i="167" s="1"/>
  <c r="A5302" i="167" s="1"/>
  <c r="A5305" i="167" s="1"/>
  <c r="A5323" i="167" s="1"/>
  <c r="A5338" i="167" s="1"/>
  <c r="A5371" i="167" s="1"/>
  <c r="A5404" i="167" s="1"/>
  <c r="A5444" i="167" s="1"/>
  <c r="A5457" i="167" s="1"/>
  <c r="A5478" i="167" s="1"/>
  <c r="A5536" i="167" s="1"/>
  <c r="A5542" i="167" s="1"/>
  <c r="A5554" i="167" s="1"/>
  <c r="A5578" i="167" s="1"/>
  <c r="A5581" i="167" s="1"/>
  <c r="A5623" i="167" s="1"/>
  <c r="A5626" i="167" s="1"/>
  <c r="B3115" i="167"/>
  <c r="A3128" i="167"/>
  <c r="B3305" i="167"/>
  <c r="A3308" i="167"/>
  <c r="B3082" i="167"/>
  <c r="A3085" i="167"/>
  <c r="B3137" i="167"/>
  <c r="A3140" i="167"/>
  <c r="B4043" i="167"/>
  <c r="A4046" i="167"/>
  <c r="B4046" i="167" s="1"/>
  <c r="B3738" i="167"/>
  <c r="A3741" i="167"/>
  <c r="B3967" i="166"/>
  <c r="B3979" i="166"/>
  <c r="B3991" i="166"/>
  <c r="B4003" i="166"/>
  <c r="B3961" i="166"/>
  <c r="B3973" i="166"/>
  <c r="B3985" i="166"/>
  <c r="B3997" i="166"/>
  <c r="B4021" i="166"/>
  <c r="B4006" i="166"/>
  <c r="B5736" i="167" l="1"/>
  <c r="A5739" i="167"/>
  <c r="B5739" i="167" s="1"/>
  <c r="B5737" i="167"/>
  <c r="B5738" i="167"/>
  <c r="A5741" i="167"/>
  <c r="B5741" i="167" s="1"/>
  <c r="B5425" i="167" s="1"/>
  <c r="B5221" i="167" s="1"/>
  <c r="B5227" i="167" s="1"/>
  <c r="B5233" i="167" s="1"/>
  <c r="B5239" i="167" s="1"/>
  <c r="B5254" i="167" s="1"/>
  <c r="B5257" i="167" s="1"/>
  <c r="B5263" i="167" s="1"/>
  <c r="B5266" i="167" s="1"/>
  <c r="B5275" i="167" s="1"/>
  <c r="B5281" i="167" s="1"/>
  <c r="B5287" i="167" s="1"/>
  <c r="B5302" i="167" s="1"/>
  <c r="B5305" i="167" s="1"/>
  <c r="B5323" i="167" s="1"/>
  <c r="B5338" i="167" s="1"/>
  <c r="B5371" i="167" s="1"/>
  <c r="B5404" i="167" s="1"/>
  <c r="B5444" i="167" s="1"/>
  <c r="B5457" i="167" s="1"/>
  <c r="B5478" i="167" s="1"/>
  <c r="B5536" i="167" s="1"/>
  <c r="B5542" i="167" s="1"/>
  <c r="B5554" i="167" s="1"/>
  <c r="B5578" i="167" s="1"/>
  <c r="B5581" i="167" s="1"/>
  <c r="B5623" i="167" s="1"/>
  <c r="B5626" i="167" s="1"/>
  <c r="B3741" i="167"/>
  <c r="A3744" i="167"/>
  <c r="B3140" i="167"/>
  <c r="A3188" i="167"/>
  <c r="B3308" i="167"/>
  <c r="A3311" i="167"/>
  <c r="B3085" i="167"/>
  <c r="A3094" i="167"/>
  <c r="B3128" i="167"/>
  <c r="A3134" i="167"/>
  <c r="D3049" i="167"/>
  <c r="B3049" i="167"/>
  <c r="D3048" i="167"/>
  <c r="B3048" i="167"/>
  <c r="E2835" i="166"/>
  <c r="D2835" i="166"/>
  <c r="B2835" i="166"/>
  <c r="E2834" i="166"/>
  <c r="D2834" i="166"/>
  <c r="B2834" i="166"/>
  <c r="B3094" i="167" l="1"/>
  <c r="A3097" i="167"/>
  <c r="B3188" i="167"/>
  <c r="A3200" i="167"/>
  <c r="B3134" i="167"/>
  <c r="A3149" i="167"/>
  <c r="B3311" i="167"/>
  <c r="A3314" i="167"/>
  <c r="B3744" i="167"/>
  <c r="A3750" i="167"/>
  <c r="E3516" i="166"/>
  <c r="D3516" i="166"/>
  <c r="B3516" i="166"/>
  <c r="E3515" i="166"/>
  <c r="D3515" i="166"/>
  <c r="B3515" i="166"/>
  <c r="E3514" i="166"/>
  <c r="D3514" i="166"/>
  <c r="B3514" i="166"/>
  <c r="E3513" i="166"/>
  <c r="D3513" i="166"/>
  <c r="B3513" i="166"/>
  <c r="E3512" i="166"/>
  <c r="D3512" i="166"/>
  <c r="B3512" i="166"/>
  <c r="E3511" i="166"/>
  <c r="D3511" i="166"/>
  <c r="B3511" i="166"/>
  <c r="E3509" i="166"/>
  <c r="D3509" i="166"/>
  <c r="B3509" i="166"/>
  <c r="E3508" i="166"/>
  <c r="D3508" i="166"/>
  <c r="B3508" i="166"/>
  <c r="E3507" i="166"/>
  <c r="D3507" i="166"/>
  <c r="B3507" i="166"/>
  <c r="E3506" i="166"/>
  <c r="D3506" i="166"/>
  <c r="B3506" i="166"/>
  <c r="E3505" i="166"/>
  <c r="D3505" i="166"/>
  <c r="B3505" i="166"/>
  <c r="E3504" i="166"/>
  <c r="D3504" i="166"/>
  <c r="B3504" i="166"/>
  <c r="E3503" i="166"/>
  <c r="D3503" i="166"/>
  <c r="B3503" i="166"/>
  <c r="E3502" i="166"/>
  <c r="D3502" i="166"/>
  <c r="B3502" i="166"/>
  <c r="E2840" i="166"/>
  <c r="D2840" i="166"/>
  <c r="B2840" i="166"/>
  <c r="E2839" i="166"/>
  <c r="D2839" i="166"/>
  <c r="B2839" i="166"/>
  <c r="E2838" i="166"/>
  <c r="D2838" i="166"/>
  <c r="B2838" i="166"/>
  <c r="E2837" i="166"/>
  <c r="D2837" i="166"/>
  <c r="B2837" i="166"/>
  <c r="E2833" i="166"/>
  <c r="D2833" i="166"/>
  <c r="B2833" i="166"/>
  <c r="E2832" i="166"/>
  <c r="D2832" i="166"/>
  <c r="B2832" i="166"/>
  <c r="E2831" i="166"/>
  <c r="D2831" i="166"/>
  <c r="B2831" i="166"/>
  <c r="E2830" i="166"/>
  <c r="D2830" i="166"/>
  <c r="B2830" i="166"/>
  <c r="E2829" i="166"/>
  <c r="D2829" i="166"/>
  <c r="B2829" i="166"/>
  <c r="E2828" i="166"/>
  <c r="D2828" i="166"/>
  <c r="B2828" i="166"/>
  <c r="E2827" i="166"/>
  <c r="D2827" i="166"/>
  <c r="B2827" i="166"/>
  <c r="E2826" i="166"/>
  <c r="D2826" i="166"/>
  <c r="B2826" i="166"/>
  <c r="E2825" i="166"/>
  <c r="D2825" i="166"/>
  <c r="B2825" i="166"/>
  <c r="E2824" i="166"/>
  <c r="D2824" i="166"/>
  <c r="B2824" i="166"/>
  <c r="E2823" i="166"/>
  <c r="D2823" i="166"/>
  <c r="B2823" i="166"/>
  <c r="E2822" i="166"/>
  <c r="D2822" i="166"/>
  <c r="B2822" i="166"/>
  <c r="E2821" i="166"/>
  <c r="D2821" i="166"/>
  <c r="B2821" i="166"/>
  <c r="E2820" i="166"/>
  <c r="D2820" i="166"/>
  <c r="B2820" i="166"/>
  <c r="E2819" i="166"/>
  <c r="D2819" i="166"/>
  <c r="B2819" i="166"/>
  <c r="E2818" i="166"/>
  <c r="D2818" i="166"/>
  <c r="B2818" i="166"/>
  <c r="E2817" i="166"/>
  <c r="D2817" i="166"/>
  <c r="B2817" i="166"/>
  <c r="E2816" i="166"/>
  <c r="D2816" i="166"/>
  <c r="B2816" i="166"/>
  <c r="E2815" i="166"/>
  <c r="D2815" i="166"/>
  <c r="B2815" i="166"/>
  <c r="E2814" i="166"/>
  <c r="D2814" i="166"/>
  <c r="B2814" i="166"/>
  <c r="G2037" i="166"/>
  <c r="E2037" i="166" s="1"/>
  <c r="D2037" i="166"/>
  <c r="B2037" i="166"/>
  <c r="E2036" i="166"/>
  <c r="D2036" i="166"/>
  <c r="B2036" i="166"/>
  <c r="E2034" i="166"/>
  <c r="D2034" i="166"/>
  <c r="B2034" i="166"/>
  <c r="E2033" i="166"/>
  <c r="D2033" i="166"/>
  <c r="B2033" i="166"/>
  <c r="E2032" i="166"/>
  <c r="D2032" i="166"/>
  <c r="B2032" i="166"/>
  <c r="E2031" i="166"/>
  <c r="D2031" i="166"/>
  <c r="B2031" i="166"/>
  <c r="E2030" i="166"/>
  <c r="D2030" i="166"/>
  <c r="B2030" i="166"/>
  <c r="E2029" i="166"/>
  <c r="D2029" i="166"/>
  <c r="B2029" i="166"/>
  <c r="E2028" i="166"/>
  <c r="D2028" i="166"/>
  <c r="B2028" i="166"/>
  <c r="E2027" i="166"/>
  <c r="D2027" i="166"/>
  <c r="B2027" i="166"/>
  <c r="E2026" i="166"/>
  <c r="D2026" i="166"/>
  <c r="B2026" i="166"/>
  <c r="E2025" i="166"/>
  <c r="D2025" i="166"/>
  <c r="B2025" i="166"/>
  <c r="E2024" i="166"/>
  <c r="D2024" i="166"/>
  <c r="B2024" i="166"/>
  <c r="E2023" i="166"/>
  <c r="D2023" i="166"/>
  <c r="B2023" i="166"/>
  <c r="E2022" i="166"/>
  <c r="D2022" i="166"/>
  <c r="B2022" i="166"/>
  <c r="E2021" i="166"/>
  <c r="D2021" i="166"/>
  <c r="B2021" i="166"/>
  <c r="E2020" i="166"/>
  <c r="D2020" i="166"/>
  <c r="B2020" i="166"/>
  <c r="E2019" i="166"/>
  <c r="D2019" i="166"/>
  <c r="B2019" i="166"/>
  <c r="E2018" i="166"/>
  <c r="D2018" i="166"/>
  <c r="B2018" i="166"/>
  <c r="E2017" i="166"/>
  <c r="D2017" i="166"/>
  <c r="B2017" i="166"/>
  <c r="D1043" i="167"/>
  <c r="B1043" i="167"/>
  <c r="F604" i="167"/>
  <c r="E604" i="167" s="1"/>
  <c r="D604" i="167"/>
  <c r="F680" i="167"/>
  <c r="E680" i="167" s="1"/>
  <c r="D680" i="167"/>
  <c r="D2839" i="167"/>
  <c r="B2839" i="167"/>
  <c r="F2772" i="167"/>
  <c r="E2772" i="167" s="1"/>
  <c r="D2772" i="167"/>
  <c r="B2772" i="167"/>
  <c r="F2627" i="167"/>
  <c r="E2627" i="167" s="1"/>
  <c r="D2627" i="167"/>
  <c r="B2627" i="167"/>
  <c r="F2211" i="167"/>
  <c r="E2211" i="167" s="1"/>
  <c r="D2211" i="167"/>
  <c r="B2211" i="167"/>
  <c r="F2129" i="167"/>
  <c r="E2129" i="167" s="1"/>
  <c r="D2129" i="167"/>
  <c r="B2129" i="167"/>
  <c r="D1653" i="167"/>
  <c r="B1653" i="167"/>
  <c r="F3012" i="167"/>
  <c r="E3012" i="167" s="1"/>
  <c r="F2470" i="167"/>
  <c r="E2470" i="167" s="1"/>
  <c r="D3047" i="167"/>
  <c r="B3047" i="167"/>
  <c r="D3046" i="167"/>
  <c r="B3046" i="167"/>
  <c r="D3045" i="167"/>
  <c r="B3045" i="167"/>
  <c r="D3044" i="167"/>
  <c r="B3044" i="167"/>
  <c r="D3043" i="167"/>
  <c r="B3043" i="167"/>
  <c r="D3042" i="167"/>
  <c r="B3042" i="167"/>
  <c r="D3041" i="167"/>
  <c r="B3041" i="167"/>
  <c r="D3040" i="167"/>
  <c r="B3040" i="167"/>
  <c r="D3039" i="167"/>
  <c r="B3039" i="167"/>
  <c r="D3038" i="167"/>
  <c r="B3038" i="167"/>
  <c r="D3037" i="167"/>
  <c r="D3036" i="167"/>
  <c r="B3036" i="167"/>
  <c r="D3035" i="167"/>
  <c r="B3035" i="167"/>
  <c r="D3034" i="167"/>
  <c r="B3034" i="167"/>
  <c r="D3033" i="167"/>
  <c r="B3033" i="167"/>
  <c r="D3032" i="167"/>
  <c r="B3032" i="167"/>
  <c r="D3031" i="167"/>
  <c r="B3031" i="167"/>
  <c r="D3030" i="167"/>
  <c r="B3030" i="167"/>
  <c r="D3029" i="167"/>
  <c r="B3029" i="167"/>
  <c r="D3028" i="167"/>
  <c r="B3028" i="167"/>
  <c r="D3027" i="167"/>
  <c r="B3027" i="167"/>
  <c r="D3026" i="167"/>
  <c r="B3026" i="167"/>
  <c r="D3025" i="167"/>
  <c r="A3025" i="167"/>
  <c r="D3024" i="167"/>
  <c r="B3024" i="167"/>
  <c r="B3025" i="167" s="1"/>
  <c r="B2503" i="167"/>
  <c r="B2502" i="167"/>
  <c r="B2501" i="167"/>
  <c r="B2500" i="167"/>
  <c r="B2499" i="167"/>
  <c r="B2498" i="167"/>
  <c r="B2497" i="167"/>
  <c r="B2496" i="167"/>
  <c r="B2495" i="167"/>
  <c r="B2494" i="167"/>
  <c r="B2493" i="167"/>
  <c r="B2492" i="167"/>
  <c r="B2491" i="167"/>
  <c r="B2490" i="167"/>
  <c r="B2489" i="167"/>
  <c r="B2488" i="167"/>
  <c r="B2487" i="167"/>
  <c r="B2486" i="167"/>
  <c r="B2485" i="167"/>
  <c r="B2484" i="167"/>
  <c r="B2483" i="167"/>
  <c r="B2482" i="167"/>
  <c r="B2481" i="167"/>
  <c r="B2480" i="167"/>
  <c r="B2479" i="167"/>
  <c r="B2478" i="167"/>
  <c r="B2477" i="167"/>
  <c r="B2476" i="167"/>
  <c r="B2475" i="167"/>
  <c r="B2474" i="167"/>
  <c r="B2473" i="167"/>
  <c r="B2472" i="167"/>
  <c r="D2503" i="167"/>
  <c r="D2502" i="167"/>
  <c r="D2501" i="167"/>
  <c r="D2500" i="167"/>
  <c r="D2499" i="167"/>
  <c r="D2498" i="167"/>
  <c r="D2497" i="167"/>
  <c r="D2496" i="167"/>
  <c r="D2495" i="167"/>
  <c r="D2494" i="167"/>
  <c r="D2493" i="167"/>
  <c r="D2492" i="167"/>
  <c r="D2491" i="167"/>
  <c r="D2490" i="167"/>
  <c r="D2489" i="167"/>
  <c r="D2488" i="167"/>
  <c r="D2487" i="167"/>
  <c r="D2486" i="167"/>
  <c r="D2485" i="167"/>
  <c r="D2484" i="167"/>
  <c r="D2483" i="167"/>
  <c r="D2482" i="167"/>
  <c r="D2481" i="167"/>
  <c r="D2480" i="167"/>
  <c r="D2479" i="167"/>
  <c r="D2478" i="167"/>
  <c r="D2477" i="167"/>
  <c r="D2476" i="167"/>
  <c r="D2475" i="167"/>
  <c r="D2474" i="167"/>
  <c r="D2473" i="167"/>
  <c r="D2472" i="167"/>
  <c r="D1985" i="167"/>
  <c r="D1984" i="167"/>
  <c r="D1983" i="167"/>
  <c r="D1982" i="167"/>
  <c r="D1981" i="167"/>
  <c r="D1980" i="167"/>
  <c r="D1979" i="167"/>
  <c r="D1978" i="167"/>
  <c r="D1977" i="167"/>
  <c r="D1976" i="167"/>
  <c r="D1975" i="167"/>
  <c r="D1974" i="167"/>
  <c r="D1973" i="167"/>
  <c r="D1972" i="167"/>
  <c r="D1971" i="167"/>
  <c r="D1970" i="167"/>
  <c r="D1969" i="167"/>
  <c r="D1968" i="167"/>
  <c r="D1967" i="167"/>
  <c r="D1966" i="167"/>
  <c r="D1965" i="167"/>
  <c r="D1964" i="167"/>
  <c r="D1963" i="167"/>
  <c r="D1962" i="167"/>
  <c r="G3064" i="167"/>
  <c r="E3064" i="167" s="1"/>
  <c r="D3064" i="167"/>
  <c r="D3063" i="167"/>
  <c r="B3063" i="167"/>
  <c r="G3022" i="167"/>
  <c r="E3022" i="167" s="1"/>
  <c r="D3022" i="167"/>
  <c r="D3021" i="167"/>
  <c r="B3021" i="167"/>
  <c r="H3019" i="167"/>
  <c r="H3022" i="167" s="1"/>
  <c r="G3019" i="167"/>
  <c r="E3019" i="167" s="1"/>
  <c r="D3019" i="167"/>
  <c r="D3018" i="167"/>
  <c r="B3018" i="167"/>
  <c r="H3016" i="167"/>
  <c r="G3016" i="167"/>
  <c r="E3016" i="167" s="1"/>
  <c r="D3016" i="167"/>
  <c r="A3016" i="167"/>
  <c r="A3019" i="167" s="1"/>
  <c r="A3022" i="167" s="1"/>
  <c r="D3015" i="167"/>
  <c r="B3015" i="167"/>
  <c r="B3016" i="167" s="1"/>
  <c r="D2785" i="167"/>
  <c r="B2785" i="167"/>
  <c r="D1354" i="167"/>
  <c r="B1354" i="167"/>
  <c r="D2241" i="167"/>
  <c r="B2241" i="167"/>
  <c r="D1749" i="167"/>
  <c r="B1749" i="167"/>
  <c r="F1960" i="167"/>
  <c r="E1960" i="167" s="1"/>
  <c r="D3012" i="167"/>
  <c r="D3011" i="167"/>
  <c r="D3010" i="167"/>
  <c r="D3009" i="167"/>
  <c r="F3008" i="167"/>
  <c r="D3008" i="167"/>
  <c r="F3007" i="167"/>
  <c r="E3007" i="167" s="1"/>
  <c r="D3007" i="167"/>
  <c r="D3006" i="167"/>
  <c r="D3005" i="167"/>
  <c r="D3004" i="167"/>
  <c r="D3003" i="167"/>
  <c r="D3002" i="167"/>
  <c r="D3001" i="167"/>
  <c r="D3000" i="167"/>
  <c r="D2999" i="167"/>
  <c r="D2998" i="167"/>
  <c r="D2997" i="167"/>
  <c r="D2996" i="167"/>
  <c r="D2995" i="167"/>
  <c r="D2994" i="167"/>
  <c r="D2993" i="167"/>
  <c r="D2992" i="167"/>
  <c r="D2991" i="167"/>
  <c r="D2990" i="167"/>
  <c r="D2989" i="167"/>
  <c r="D2988" i="167"/>
  <c r="D2987" i="167"/>
  <c r="D2986" i="167"/>
  <c r="D2470" i="167"/>
  <c r="D2469" i="167"/>
  <c r="D2468" i="167"/>
  <c r="D2467" i="167"/>
  <c r="F2466" i="167"/>
  <c r="D2466" i="167"/>
  <c r="F2465" i="167"/>
  <c r="E2465" i="167" s="1"/>
  <c r="D2465" i="167"/>
  <c r="D2464" i="167"/>
  <c r="D2463" i="167"/>
  <c r="D2462" i="167"/>
  <c r="D2461" i="167"/>
  <c r="D2460" i="167"/>
  <c r="D2459" i="167"/>
  <c r="D2458" i="167"/>
  <c r="D2457" i="167"/>
  <c r="D2456" i="167"/>
  <c r="D2455" i="167"/>
  <c r="D2454" i="167"/>
  <c r="D2453" i="167"/>
  <c r="D2452" i="167"/>
  <c r="D2451" i="167"/>
  <c r="D2450" i="167"/>
  <c r="D2449" i="167"/>
  <c r="D2448" i="167"/>
  <c r="D2447" i="167"/>
  <c r="D2446" i="167"/>
  <c r="D2445" i="167"/>
  <c r="D2444" i="167"/>
  <c r="D1960" i="167"/>
  <c r="D1959" i="167"/>
  <c r="D1958" i="167"/>
  <c r="D1957" i="167"/>
  <c r="F1956" i="167"/>
  <c r="D1956" i="167"/>
  <c r="F1955" i="167"/>
  <c r="E1955" i="167" s="1"/>
  <c r="D1955" i="167"/>
  <c r="D1954" i="167"/>
  <c r="D1953" i="167"/>
  <c r="D1952" i="167"/>
  <c r="D1951" i="167"/>
  <c r="D1950" i="167"/>
  <c r="D1949" i="167"/>
  <c r="D1948" i="167"/>
  <c r="G1947" i="167"/>
  <c r="D1947" i="167"/>
  <c r="D1946" i="167"/>
  <c r="D1945" i="167"/>
  <c r="D1944" i="167"/>
  <c r="D1943" i="167"/>
  <c r="D1942" i="167"/>
  <c r="D1941" i="167"/>
  <c r="D1940" i="167"/>
  <c r="D1939" i="167"/>
  <c r="D1938" i="167"/>
  <c r="D1937" i="167"/>
  <c r="D1936" i="167"/>
  <c r="D1935" i="167"/>
  <c r="D1934" i="167"/>
  <c r="C48" i="22"/>
  <c r="E2" i="167"/>
  <c r="E24" i="167"/>
  <c r="G30" i="167"/>
  <c r="E30" i="167" s="1"/>
  <c r="G34" i="167"/>
  <c r="E34" i="167" s="1"/>
  <c r="G37" i="167"/>
  <c r="E37" i="167" s="1"/>
  <c r="G40" i="167"/>
  <c r="E40" i="167" s="1"/>
  <c r="G43" i="167"/>
  <c r="E43" i="167" s="1"/>
  <c r="G46" i="167"/>
  <c r="E46" i="167" s="1"/>
  <c r="G49" i="167"/>
  <c r="E49" i="167" s="1"/>
  <c r="G52" i="167"/>
  <c r="E52" i="167" s="1"/>
  <c r="G55" i="167"/>
  <c r="E55" i="167" s="1"/>
  <c r="G58" i="167"/>
  <c r="E58" i="167" s="1"/>
  <c r="G61" i="167"/>
  <c r="E61" i="167" s="1"/>
  <c r="G64" i="167"/>
  <c r="E64" i="167" s="1"/>
  <c r="G67" i="167"/>
  <c r="E67" i="167" s="1"/>
  <c r="G70" i="167"/>
  <c r="E70" i="167" s="1"/>
  <c r="G73" i="167"/>
  <c r="E73" i="167" s="1"/>
  <c r="G76" i="167"/>
  <c r="E76" i="167" s="1"/>
  <c r="G79" i="167"/>
  <c r="E79" i="167" s="1"/>
  <c r="G82" i="167"/>
  <c r="E82" i="167" s="1"/>
  <c r="G85" i="167"/>
  <c r="E85" i="167" s="1"/>
  <c r="G88" i="167"/>
  <c r="E88" i="167" s="1"/>
  <c r="G91" i="167"/>
  <c r="E91" i="167" s="1"/>
  <c r="G94" i="167"/>
  <c r="E94" i="167" s="1"/>
  <c r="G97" i="167"/>
  <c r="E97" i="167" s="1"/>
  <c r="G100" i="167"/>
  <c r="E100" i="167" s="1"/>
  <c r="G103" i="167"/>
  <c r="E103" i="167" s="1"/>
  <c r="G106" i="167"/>
  <c r="E106" i="167" s="1"/>
  <c r="G109" i="167"/>
  <c r="E109" i="167" s="1"/>
  <c r="G112" i="167"/>
  <c r="E112" i="167" s="1"/>
  <c r="G115" i="167"/>
  <c r="E115" i="167" s="1"/>
  <c r="G118" i="167"/>
  <c r="E118" i="167" s="1"/>
  <c r="G121" i="167"/>
  <c r="E121" i="167" s="1"/>
  <c r="G124" i="167"/>
  <c r="E124" i="167" s="1"/>
  <c r="G127" i="167"/>
  <c r="E127" i="167" s="1"/>
  <c r="G130" i="167"/>
  <c r="E130" i="167" s="1"/>
  <c r="G133" i="167"/>
  <c r="E133" i="167" s="1"/>
  <c r="G136" i="167"/>
  <c r="E136" i="167" s="1"/>
  <c r="G139" i="167"/>
  <c r="E139" i="167" s="1"/>
  <c r="G142" i="167"/>
  <c r="E142" i="167" s="1"/>
  <c r="G145" i="167"/>
  <c r="E145" i="167" s="1"/>
  <c r="G148" i="167"/>
  <c r="E148" i="167" s="1"/>
  <c r="G151" i="167"/>
  <c r="E151" i="167" s="1"/>
  <c r="G154" i="167"/>
  <c r="E154" i="167" s="1"/>
  <c r="G157" i="167"/>
  <c r="E157" i="167" s="1"/>
  <c r="G161" i="167"/>
  <c r="E161" i="167" s="1"/>
  <c r="G164" i="167"/>
  <c r="E164" i="167" s="1"/>
  <c r="G167" i="167"/>
  <c r="E167" i="167" s="1"/>
  <c r="G170" i="167"/>
  <c r="E170" i="167" s="1"/>
  <c r="G173" i="167"/>
  <c r="E173" i="167" s="1"/>
  <c r="G176" i="167"/>
  <c r="E176" i="167" s="1"/>
  <c r="G179" i="167"/>
  <c r="E179" i="167" s="1"/>
  <c r="G182" i="167"/>
  <c r="E182" i="167" s="1"/>
  <c r="G185" i="167"/>
  <c r="E185" i="167" s="1"/>
  <c r="G188" i="167"/>
  <c r="E188" i="167" s="1"/>
  <c r="G191" i="167"/>
  <c r="E191" i="167" s="1"/>
  <c r="G194" i="167"/>
  <c r="E194" i="167" s="1"/>
  <c r="G197" i="167"/>
  <c r="E197" i="167" s="1"/>
  <c r="G200" i="167"/>
  <c r="E200" i="167" s="1"/>
  <c r="G203" i="167"/>
  <c r="E203" i="167" s="1"/>
  <c r="G206" i="167"/>
  <c r="E206" i="167" s="1"/>
  <c r="G209" i="167"/>
  <c r="E209" i="167" s="1"/>
  <c r="G212" i="167"/>
  <c r="E212" i="167" s="1"/>
  <c r="G215" i="167"/>
  <c r="E215" i="167" s="1"/>
  <c r="G218" i="167"/>
  <c r="E218" i="167" s="1"/>
  <c r="G221" i="167"/>
  <c r="E221" i="167" s="1"/>
  <c r="G224" i="167"/>
  <c r="E224" i="167" s="1"/>
  <c r="G227" i="167"/>
  <c r="E227" i="167" s="1"/>
  <c r="G230" i="167"/>
  <c r="E230" i="167" s="1"/>
  <c r="G233" i="167"/>
  <c r="E233" i="167" s="1"/>
  <c r="G236" i="167"/>
  <c r="E236" i="167" s="1"/>
  <c r="G239" i="167"/>
  <c r="E239" i="167" s="1"/>
  <c r="G242" i="167"/>
  <c r="E242" i="167" s="1"/>
  <c r="G245" i="167"/>
  <c r="E245" i="167" s="1"/>
  <c r="G248" i="167"/>
  <c r="E248" i="167" s="1"/>
  <c r="G251" i="167"/>
  <c r="E251" i="167" s="1"/>
  <c r="G254" i="167"/>
  <c r="E254" i="167" s="1"/>
  <c r="G257" i="167"/>
  <c r="E257" i="167" s="1"/>
  <c r="G260" i="167"/>
  <c r="E260" i="167" s="1"/>
  <c r="G263" i="167"/>
  <c r="E263" i="167" s="1"/>
  <c r="G266" i="167"/>
  <c r="E266" i="167" s="1"/>
  <c r="G269" i="167"/>
  <c r="E269" i="167" s="1"/>
  <c r="G272" i="167"/>
  <c r="E272" i="167" s="1"/>
  <c r="G275" i="167"/>
  <c r="E275" i="167" s="1"/>
  <c r="G278" i="167"/>
  <c r="E278" i="167" s="1"/>
  <c r="G281" i="167"/>
  <c r="E281" i="167" s="1"/>
  <c r="G296" i="167"/>
  <c r="E296" i="167" s="1"/>
  <c r="G299" i="167"/>
  <c r="E299" i="167" s="1"/>
  <c r="G302" i="167"/>
  <c r="E302" i="167" s="1"/>
  <c r="G305" i="167"/>
  <c r="E305" i="167" s="1"/>
  <c r="G308" i="167"/>
  <c r="E308" i="167" s="1"/>
  <c r="G311" i="167"/>
  <c r="E311" i="167" s="1"/>
  <c r="G318" i="167"/>
  <c r="E318" i="167" s="1"/>
  <c r="G321" i="167"/>
  <c r="E321" i="167" s="1"/>
  <c r="G325" i="167"/>
  <c r="E325" i="167" s="1"/>
  <c r="G328" i="167"/>
  <c r="E328" i="167" s="1"/>
  <c r="G332" i="167"/>
  <c r="E332" i="167" s="1"/>
  <c r="G335" i="167"/>
  <c r="E335" i="167" s="1"/>
  <c r="G338" i="167"/>
  <c r="E338" i="167" s="1"/>
  <c r="G341" i="167"/>
  <c r="E341" i="167" s="1"/>
  <c r="G344" i="167"/>
  <c r="E344" i="167" s="1"/>
  <c r="G351" i="167"/>
  <c r="E351" i="167" s="1"/>
  <c r="G354" i="167"/>
  <c r="E354" i="167" s="1"/>
  <c r="G357" i="167"/>
  <c r="E357" i="167" s="1"/>
  <c r="G360" i="167"/>
  <c r="E360" i="167" s="1"/>
  <c r="G363" i="167"/>
  <c r="E363" i="167" s="1"/>
  <c r="G366" i="167"/>
  <c r="E366" i="167" s="1"/>
  <c r="F369" i="167"/>
  <c r="E369" i="167" s="1"/>
  <c r="G373" i="167"/>
  <c r="E373" i="167" s="1"/>
  <c r="G376" i="167"/>
  <c r="E376" i="167" s="1"/>
  <c r="G379" i="167"/>
  <c r="E379" i="167" s="1"/>
  <c r="G382" i="167"/>
  <c r="E382" i="167" s="1"/>
  <c r="G385" i="167"/>
  <c r="E385" i="167" s="1"/>
  <c r="G388" i="167"/>
  <c r="E388" i="167" s="1"/>
  <c r="G391" i="167"/>
  <c r="E391" i="167" s="1"/>
  <c r="G394" i="167"/>
  <c r="E394" i="167" s="1"/>
  <c r="G397" i="167"/>
  <c r="E397" i="167" s="1"/>
  <c r="G400" i="167"/>
  <c r="E400" i="167" s="1"/>
  <c r="G403" i="167"/>
  <c r="E403" i="167" s="1"/>
  <c r="G406" i="167"/>
  <c r="E406" i="167" s="1"/>
  <c r="G409" i="167"/>
  <c r="E409" i="167" s="1"/>
  <c r="G412" i="167"/>
  <c r="E412" i="167" s="1"/>
  <c r="G415" i="167"/>
  <c r="E415" i="167" s="1"/>
  <c r="G418" i="167"/>
  <c r="E418" i="167" s="1"/>
  <c r="G421" i="167"/>
  <c r="E421" i="167" s="1"/>
  <c r="F429" i="167"/>
  <c r="E429" i="167" s="1"/>
  <c r="F430" i="167"/>
  <c r="E430" i="167" s="1"/>
  <c r="F431" i="167"/>
  <c r="F432" i="167"/>
  <c r="E432" i="167" s="1"/>
  <c r="G433" i="167"/>
  <c r="E433" i="167" s="1"/>
  <c r="G436" i="167"/>
  <c r="G2999" i="167" s="1"/>
  <c r="F444" i="167"/>
  <c r="E444" i="167" s="1"/>
  <c r="F445" i="167"/>
  <c r="E445" i="167" s="1"/>
  <c r="F448" i="167"/>
  <c r="F449" i="167"/>
  <c r="G452" i="167"/>
  <c r="E452" i="167" s="1"/>
  <c r="G455" i="167"/>
  <c r="E455" i="167" s="1"/>
  <c r="G458" i="167"/>
  <c r="E458" i="167" s="1"/>
  <c r="G461" i="167"/>
  <c r="E461" i="167" s="1"/>
  <c r="G464" i="167"/>
  <c r="E464" i="167" s="1"/>
  <c r="G467" i="167"/>
  <c r="E467" i="167" s="1"/>
  <c r="G470" i="167"/>
  <c r="E470" i="167" s="1"/>
  <c r="G473" i="167"/>
  <c r="E473" i="167" s="1"/>
  <c r="G476" i="167"/>
  <c r="E476" i="167" s="1"/>
  <c r="G479" i="167"/>
  <c r="E479" i="167" s="1"/>
  <c r="G482" i="167"/>
  <c r="E482" i="167" s="1"/>
  <c r="G485" i="167"/>
  <c r="E485" i="167" s="1"/>
  <c r="G488" i="167"/>
  <c r="E488" i="167" s="1"/>
  <c r="G491" i="167"/>
  <c r="E491" i="167" s="1"/>
  <c r="G505" i="167"/>
  <c r="E505" i="167" s="1"/>
  <c r="G508" i="167"/>
  <c r="E508" i="167" s="1"/>
  <c r="G511" i="167"/>
  <c r="E511" i="167" s="1"/>
  <c r="G514" i="167"/>
  <c r="E514" i="167" s="1"/>
  <c r="G517" i="167"/>
  <c r="E517" i="167" s="1"/>
  <c r="G520" i="167"/>
  <c r="E520" i="167" s="1"/>
  <c r="G523" i="167"/>
  <c r="E523" i="167" s="1"/>
  <c r="G526" i="167"/>
  <c r="E526" i="167" s="1"/>
  <c r="G529" i="167"/>
  <c r="E529" i="167" s="1"/>
  <c r="G532" i="167"/>
  <c r="E532" i="167" s="1"/>
  <c r="G535" i="167"/>
  <c r="E535" i="167" s="1"/>
  <c r="G538" i="167"/>
  <c r="E538" i="167" s="1"/>
  <c r="G541" i="167"/>
  <c r="E541" i="167" s="1"/>
  <c r="G544" i="167"/>
  <c r="E544" i="167" s="1"/>
  <c r="G547" i="167"/>
  <c r="E547" i="167" s="1"/>
  <c r="G550" i="167"/>
  <c r="E550" i="167" s="1"/>
  <c r="G553" i="167"/>
  <c r="E553" i="167" s="1"/>
  <c r="G556" i="167"/>
  <c r="E556" i="167" s="1"/>
  <c r="G559" i="167"/>
  <c r="E559" i="167" s="1"/>
  <c r="G562" i="167"/>
  <c r="E562" i="167" s="1"/>
  <c r="G565" i="167"/>
  <c r="E565" i="167" s="1"/>
  <c r="G568" i="167"/>
  <c r="E568" i="167" s="1"/>
  <c r="G571" i="167"/>
  <c r="E571" i="167" s="1"/>
  <c r="G574" i="167"/>
  <c r="E574" i="167" s="1"/>
  <c r="G577" i="167"/>
  <c r="E577" i="167" s="1"/>
  <c r="G580" i="167"/>
  <c r="E580" i="167" s="1"/>
  <c r="G589" i="167"/>
  <c r="E589" i="167" s="1"/>
  <c r="G592" i="167"/>
  <c r="E592" i="167" s="1"/>
  <c r="G595" i="167"/>
  <c r="E595" i="167" s="1"/>
  <c r="G598" i="167"/>
  <c r="E598" i="167" s="1"/>
  <c r="G601" i="167"/>
  <c r="E601" i="167" s="1"/>
  <c r="G608" i="167"/>
  <c r="E608" i="167" s="1"/>
  <c r="G611" i="167"/>
  <c r="E611" i="167" s="1"/>
  <c r="G614" i="167"/>
  <c r="E614" i="167" s="1"/>
  <c r="G617" i="167"/>
  <c r="E617" i="167" s="1"/>
  <c r="G620" i="167"/>
  <c r="E620" i="167" s="1"/>
  <c r="G623" i="167"/>
  <c r="E623" i="167" s="1"/>
  <c r="G626" i="167"/>
  <c r="E626" i="167" s="1"/>
  <c r="G629" i="167"/>
  <c r="E629" i="167" s="1"/>
  <c r="G632" i="167"/>
  <c r="E632" i="167" s="1"/>
  <c r="G635" i="167"/>
  <c r="E635" i="167" s="1"/>
  <c r="G638" i="167"/>
  <c r="E638" i="167" s="1"/>
  <c r="G641" i="167"/>
  <c r="E641" i="167" s="1"/>
  <c r="G644" i="167"/>
  <c r="E644" i="167" s="1"/>
  <c r="G647" i="167"/>
  <c r="E647" i="167" s="1"/>
  <c r="G650" i="167"/>
  <c r="E650" i="167" s="1"/>
  <c r="G653" i="167"/>
  <c r="E653" i="167" s="1"/>
  <c r="G656" i="167"/>
  <c r="E656" i="167" s="1"/>
  <c r="G659" i="167"/>
  <c r="E659" i="167" s="1"/>
  <c r="G662" i="167"/>
  <c r="E662" i="167" s="1"/>
  <c r="G665" i="167"/>
  <c r="E665" i="167" s="1"/>
  <c r="G668" i="167"/>
  <c r="E668" i="167" s="1"/>
  <c r="G671" i="167"/>
  <c r="E671" i="167" s="1"/>
  <c r="G674" i="167"/>
  <c r="E674" i="167" s="1"/>
  <c r="G677" i="167"/>
  <c r="E677" i="167" s="1"/>
  <c r="G684" i="167"/>
  <c r="E684" i="167" s="1"/>
  <c r="G687" i="167"/>
  <c r="E687" i="167" s="1"/>
  <c r="G690" i="167"/>
  <c r="E690" i="167" s="1"/>
  <c r="G693" i="167"/>
  <c r="E693" i="167" s="1"/>
  <c r="G696" i="167"/>
  <c r="E696" i="167" s="1"/>
  <c r="G699" i="167"/>
  <c r="E699" i="167" s="1"/>
  <c r="G702" i="167"/>
  <c r="E702" i="167" s="1"/>
  <c r="G705" i="167"/>
  <c r="E705" i="167" s="1"/>
  <c r="G708" i="167"/>
  <c r="E708" i="167" s="1"/>
  <c r="G711" i="167"/>
  <c r="E711" i="167" s="1"/>
  <c r="G714" i="167"/>
  <c r="E714" i="167" s="1"/>
  <c r="G717" i="167"/>
  <c r="E717" i="167" s="1"/>
  <c r="G720" i="167"/>
  <c r="E720" i="167" s="1"/>
  <c r="G731" i="167"/>
  <c r="E731" i="167" s="1"/>
  <c r="G734" i="167"/>
  <c r="E734" i="167" s="1"/>
  <c r="G737" i="167"/>
  <c r="E737" i="167" s="1"/>
  <c r="G740" i="167"/>
  <c r="E740" i="167" s="1"/>
  <c r="G743" i="167"/>
  <c r="E743" i="167" s="1"/>
  <c r="G746" i="167"/>
  <c r="E746" i="167" s="1"/>
  <c r="G749" i="167"/>
  <c r="E749" i="167" s="1"/>
  <c r="G752" i="167"/>
  <c r="E752" i="167" s="1"/>
  <c r="G755" i="167"/>
  <c r="E755" i="167" s="1"/>
  <c r="G758" i="167"/>
  <c r="E758" i="167" s="1"/>
  <c r="G761" i="167"/>
  <c r="E761" i="167" s="1"/>
  <c r="G764" i="167"/>
  <c r="E764" i="167" s="1"/>
  <c r="G767" i="167"/>
  <c r="E767" i="167" s="1"/>
  <c r="G770" i="167"/>
  <c r="E770" i="167" s="1"/>
  <c r="G773" i="167"/>
  <c r="E773" i="167" s="1"/>
  <c r="G776" i="167"/>
  <c r="E776" i="167" s="1"/>
  <c r="G779" i="167"/>
  <c r="E779" i="167" s="1"/>
  <c r="G782" i="167"/>
  <c r="E782" i="167" s="1"/>
  <c r="G785" i="167"/>
  <c r="E785" i="167" s="1"/>
  <c r="G788" i="167"/>
  <c r="E788" i="167" s="1"/>
  <c r="G791" i="167"/>
  <c r="E791" i="167" s="1"/>
  <c r="G794" i="167"/>
  <c r="E794" i="167" s="1"/>
  <c r="G797" i="167"/>
  <c r="E797" i="167" s="1"/>
  <c r="G800" i="167"/>
  <c r="E800" i="167" s="1"/>
  <c r="F802" i="167"/>
  <c r="E802" i="167" s="1"/>
  <c r="G807" i="167"/>
  <c r="E807" i="167" s="1"/>
  <c r="G815" i="167"/>
  <c r="E815" i="167" s="1"/>
  <c r="G818" i="167"/>
  <c r="E818" i="167" s="1"/>
  <c r="G821" i="167"/>
  <c r="E821" i="167" s="1"/>
  <c r="G824" i="167"/>
  <c r="E824" i="167" s="1"/>
  <c r="G827" i="167"/>
  <c r="E827" i="167" s="1"/>
  <c r="G830" i="167"/>
  <c r="E830" i="167" s="1"/>
  <c r="G833" i="167"/>
  <c r="E833" i="167" s="1"/>
  <c r="G836" i="167"/>
  <c r="E836" i="167" s="1"/>
  <c r="G856" i="167"/>
  <c r="E856" i="167" s="1"/>
  <c r="G859" i="167"/>
  <c r="E859" i="167" s="1"/>
  <c r="G867" i="167"/>
  <c r="E867" i="167" s="1"/>
  <c r="G870" i="167"/>
  <c r="E870" i="167" s="1"/>
  <c r="G873" i="167"/>
  <c r="E873" i="167" s="1"/>
  <c r="G876" i="167"/>
  <c r="E876" i="167" s="1"/>
  <c r="F884" i="167"/>
  <c r="E884" i="167" s="1"/>
  <c r="F886" i="167"/>
  <c r="E886" i="167" s="1"/>
  <c r="F887" i="167"/>
  <c r="E887" i="167" s="1"/>
  <c r="G888" i="167"/>
  <c r="G891" i="167"/>
  <c r="F899" i="167"/>
  <c r="F900" i="167"/>
  <c r="E900" i="167" s="1"/>
  <c r="F903" i="167"/>
  <c r="G1141" i="167" s="1"/>
  <c r="F904" i="167"/>
  <c r="G923" i="167"/>
  <c r="E923" i="167" s="1"/>
  <c r="G929" i="167"/>
  <c r="E929" i="167" s="1"/>
  <c r="G932" i="167"/>
  <c r="E932" i="167" s="1"/>
  <c r="G935" i="167"/>
  <c r="E935" i="167" s="1"/>
  <c r="G938" i="167"/>
  <c r="E938" i="167" s="1"/>
  <c r="G941" i="167"/>
  <c r="E941" i="167" s="1"/>
  <c r="G947" i="167"/>
  <c r="E947" i="167" s="1"/>
  <c r="G950" i="167"/>
  <c r="E950" i="167" s="1"/>
  <c r="G953" i="167"/>
  <c r="E953" i="167" s="1"/>
  <c r="G956" i="167"/>
  <c r="E956" i="167" s="1"/>
  <c r="G959" i="167"/>
  <c r="E959" i="167" s="1"/>
  <c r="G962" i="167"/>
  <c r="E962" i="167" s="1"/>
  <c r="G965" i="167"/>
  <c r="E965" i="167" s="1"/>
  <c r="G968" i="167"/>
  <c r="E968" i="167" s="1"/>
  <c r="G971" i="167"/>
  <c r="E971" i="167" s="1"/>
  <c r="G974" i="167"/>
  <c r="E974" i="167" s="1"/>
  <c r="G977" i="167"/>
  <c r="E977" i="167" s="1"/>
  <c r="G980" i="167"/>
  <c r="E980" i="167" s="1"/>
  <c r="G983" i="167"/>
  <c r="E983" i="167" s="1"/>
  <c r="G986" i="167"/>
  <c r="E986" i="167" s="1"/>
  <c r="G989" i="167"/>
  <c r="E989" i="167" s="1"/>
  <c r="G992" i="167"/>
  <c r="E992" i="167" s="1"/>
  <c r="G995" i="167"/>
  <c r="E995" i="167" s="1"/>
  <c r="G998" i="167"/>
  <c r="E998" i="167" s="1"/>
  <c r="G1001" i="167"/>
  <c r="E1001" i="167" s="1"/>
  <c r="G1004" i="167"/>
  <c r="E1004" i="167" s="1"/>
  <c r="G1007" i="167"/>
  <c r="E1007" i="167" s="1"/>
  <c r="G1010" i="167"/>
  <c r="E1010" i="167" s="1"/>
  <c r="G1013" i="167"/>
  <c r="E1013" i="167" s="1"/>
  <c r="G1016" i="167"/>
  <c r="E1016" i="167" s="1"/>
  <c r="G1019" i="167"/>
  <c r="E1019" i="167" s="1"/>
  <c r="G1022" i="167"/>
  <c r="E1022" i="167" s="1"/>
  <c r="G1025" i="167"/>
  <c r="E1025" i="167" s="1"/>
  <c r="G1028" i="167"/>
  <c r="E1028" i="167" s="1"/>
  <c r="G1031" i="167"/>
  <c r="E1031" i="167" s="1"/>
  <c r="G1034" i="167"/>
  <c r="E1034" i="167" s="1"/>
  <c r="G1037" i="167"/>
  <c r="E1037" i="167" s="1"/>
  <c r="G1040" i="167"/>
  <c r="E1040" i="167" s="1"/>
  <c r="G1047" i="167"/>
  <c r="E1047" i="167" s="1"/>
  <c r="G1050" i="167"/>
  <c r="E1050" i="167" s="1"/>
  <c r="G1053" i="167"/>
  <c r="E1053" i="167" s="1"/>
  <c r="G1056" i="167"/>
  <c r="E1056" i="167" s="1"/>
  <c r="G1059" i="167"/>
  <c r="E1059" i="167" s="1"/>
  <c r="G1062" i="167"/>
  <c r="E1062" i="167" s="1"/>
  <c r="G1065" i="167"/>
  <c r="E1065" i="167" s="1"/>
  <c r="G1071" i="167"/>
  <c r="E1071" i="167" s="1"/>
  <c r="G1075" i="167"/>
  <c r="E1075" i="167" s="1"/>
  <c r="G1078" i="167"/>
  <c r="E1078" i="167" s="1"/>
  <c r="G1081" i="167"/>
  <c r="E1081" i="167" s="1"/>
  <c r="G1084" i="167"/>
  <c r="E1084" i="167" s="1"/>
  <c r="G1087" i="167"/>
  <c r="E1087" i="167" s="1"/>
  <c r="G1090" i="167"/>
  <c r="E1090" i="167" s="1"/>
  <c r="G1093" i="167"/>
  <c r="E1093" i="167" s="1"/>
  <c r="G1096" i="167"/>
  <c r="E1096" i="167" s="1"/>
  <c r="G1099" i="167"/>
  <c r="E1099" i="167" s="1"/>
  <c r="G1102" i="167"/>
  <c r="E1102" i="167" s="1"/>
  <c r="G1105" i="167"/>
  <c r="E1105" i="167" s="1"/>
  <c r="G1108" i="167"/>
  <c r="E1108" i="167" s="1"/>
  <c r="G1111" i="167"/>
  <c r="E1111" i="167" s="1"/>
  <c r="G1114" i="167"/>
  <c r="E1114" i="167" s="1"/>
  <c r="G1117" i="167"/>
  <c r="E1117" i="167" s="1"/>
  <c r="G1120" i="167"/>
  <c r="E1120" i="167" s="1"/>
  <c r="G1123" i="167"/>
  <c r="E1123" i="167" s="1"/>
  <c r="G1126" i="167"/>
  <c r="E1126" i="167" s="1"/>
  <c r="G1129" i="167"/>
  <c r="E1129" i="167" s="1"/>
  <c r="G1132" i="167"/>
  <c r="E1132" i="167" s="1"/>
  <c r="G1135" i="167"/>
  <c r="E1135" i="167" s="1"/>
  <c r="G1138" i="167"/>
  <c r="E1138" i="167" s="1"/>
  <c r="G1144" i="167"/>
  <c r="E1144" i="167" s="1"/>
  <c r="G1147" i="167"/>
  <c r="E1147" i="167" s="1"/>
  <c r="G1153" i="167"/>
  <c r="E1153" i="167" s="1"/>
  <c r="G1156" i="167"/>
  <c r="E1156" i="167" s="1"/>
  <c r="G1159" i="167"/>
  <c r="E1159" i="167" s="1"/>
  <c r="G1162" i="167"/>
  <c r="E1162" i="167" s="1"/>
  <c r="G1165" i="167"/>
  <c r="E1165" i="167" s="1"/>
  <c r="G1168" i="167"/>
  <c r="E1168" i="167" s="1"/>
  <c r="G1171" i="167"/>
  <c r="E1171" i="167" s="1"/>
  <c r="G1174" i="167"/>
  <c r="E1174" i="167" s="1"/>
  <c r="G1177" i="167"/>
  <c r="E1177" i="167" s="1"/>
  <c r="G1180" i="167"/>
  <c r="E1180" i="167" s="1"/>
  <c r="G1183" i="167"/>
  <c r="E1183" i="167" s="1"/>
  <c r="G1186" i="167"/>
  <c r="E1186" i="167" s="1"/>
  <c r="G1189" i="167"/>
  <c r="E1189" i="167" s="1"/>
  <c r="G1192" i="167"/>
  <c r="E1192" i="167" s="1"/>
  <c r="G1195" i="167"/>
  <c r="E1195" i="167" s="1"/>
  <c r="G1198" i="167"/>
  <c r="E1198" i="167" s="1"/>
  <c r="G1201" i="167"/>
  <c r="E1201" i="167" s="1"/>
  <c r="G1204" i="167"/>
  <c r="E1204" i="167" s="1"/>
  <c r="G1207" i="167"/>
  <c r="E1207" i="167" s="1"/>
  <c r="G1210" i="167"/>
  <c r="E1210" i="167" s="1"/>
  <c r="G1213" i="167"/>
  <c r="E1213" i="167" s="1"/>
  <c r="G1222" i="167"/>
  <c r="E1222" i="167" s="1"/>
  <c r="G1225" i="167"/>
  <c r="E1225" i="167" s="1"/>
  <c r="G1228" i="167"/>
  <c r="E1228" i="167" s="1"/>
  <c r="G1231" i="167"/>
  <c r="E1231" i="167" s="1"/>
  <c r="G1234" i="167"/>
  <c r="E1234" i="167" s="1"/>
  <c r="G1237" i="167"/>
  <c r="E1237" i="167" s="1"/>
  <c r="G1240" i="167"/>
  <c r="E1240" i="167" s="1"/>
  <c r="G1243" i="167"/>
  <c r="E1243" i="167" s="1"/>
  <c r="G1246" i="167"/>
  <c r="E1246" i="167" s="1"/>
  <c r="G1249" i="167"/>
  <c r="E1249" i="167" s="1"/>
  <c r="G1252" i="167"/>
  <c r="E1252" i="167" s="1"/>
  <c r="G1255" i="167"/>
  <c r="E1255" i="167" s="1"/>
  <c r="G1258" i="167"/>
  <c r="E1258" i="167" s="1"/>
  <c r="G1261" i="167"/>
  <c r="E1261" i="167" s="1"/>
  <c r="G1264" i="167"/>
  <c r="E1264" i="167" s="1"/>
  <c r="G1267" i="167"/>
  <c r="E1267" i="167" s="1"/>
  <c r="G1270" i="167"/>
  <c r="E1270" i="167" s="1"/>
  <c r="G1273" i="167"/>
  <c r="E1273" i="167" s="1"/>
  <c r="G1276" i="167"/>
  <c r="E1276" i="167" s="1"/>
  <c r="G1279" i="167"/>
  <c r="E1279" i="167" s="1"/>
  <c r="G1282" i="167"/>
  <c r="E1282" i="167" s="1"/>
  <c r="G1285" i="167"/>
  <c r="E1285" i="167" s="1"/>
  <c r="G1288" i="167"/>
  <c r="E1288" i="167" s="1"/>
  <c r="G1291" i="167"/>
  <c r="E1291" i="167" s="1"/>
  <c r="G1294" i="167"/>
  <c r="E1294" i="167" s="1"/>
  <c r="G1297" i="167"/>
  <c r="E1297" i="167" s="1"/>
  <c r="G1300" i="167"/>
  <c r="E1300" i="167" s="1"/>
  <c r="G1303" i="167"/>
  <c r="E1303" i="167" s="1"/>
  <c r="G1306" i="167"/>
  <c r="E1306" i="167" s="1"/>
  <c r="G1309" i="167"/>
  <c r="E1309" i="167" s="1"/>
  <c r="G1312" i="167"/>
  <c r="E1312" i="167" s="1"/>
  <c r="G1315" i="167"/>
  <c r="E1315" i="167" s="1"/>
  <c r="G1318" i="167"/>
  <c r="E1318" i="167" s="1"/>
  <c r="G1321" i="167"/>
  <c r="E1321" i="167" s="1"/>
  <c r="G1324" i="167"/>
  <c r="E1324" i="167" s="1"/>
  <c r="G1327" i="167"/>
  <c r="E1327" i="167" s="1"/>
  <c r="G1330" i="167"/>
  <c r="E1330" i="167" s="1"/>
  <c r="G1333" i="167"/>
  <c r="E1333" i="167" s="1"/>
  <c r="G1336" i="167"/>
  <c r="E1336" i="167" s="1"/>
  <c r="G1339" i="167"/>
  <c r="E1339" i="167" s="1"/>
  <c r="G1342" i="167"/>
  <c r="E1342" i="167" s="1"/>
  <c r="G1345" i="167"/>
  <c r="E1345" i="167" s="1"/>
  <c r="G1348" i="167"/>
  <c r="E1348" i="167" s="1"/>
  <c r="G1351" i="167"/>
  <c r="E1351" i="167" s="1"/>
  <c r="G1370" i="167"/>
  <c r="E1370" i="167" s="1"/>
  <c r="G1373" i="167"/>
  <c r="E1373" i="167" s="1"/>
  <c r="G1376" i="167"/>
  <c r="E1376" i="167" s="1"/>
  <c r="G1379" i="167"/>
  <c r="E1379" i="167" s="1"/>
  <c r="G1382" i="167"/>
  <c r="E1382" i="167" s="1"/>
  <c r="G1385" i="167"/>
  <c r="E1385" i="167" s="1"/>
  <c r="G1388" i="167"/>
  <c r="E1388" i="167" s="1"/>
  <c r="G1391" i="167"/>
  <c r="E1391" i="167" s="1"/>
  <c r="G1394" i="167"/>
  <c r="E1394" i="167" s="1"/>
  <c r="G1397" i="167"/>
  <c r="E1397" i="167" s="1"/>
  <c r="G1400" i="167"/>
  <c r="E1400" i="167" s="1"/>
  <c r="G1403" i="167"/>
  <c r="E1403" i="167" s="1"/>
  <c r="G1406" i="167"/>
  <c r="E1406" i="167" s="1"/>
  <c r="G1409" i="167"/>
  <c r="G1412" i="167"/>
  <c r="E1412" i="167" s="1"/>
  <c r="G1415" i="167"/>
  <c r="E1415" i="167" s="1"/>
  <c r="G1418" i="167"/>
  <c r="E1418" i="167" s="1"/>
  <c r="G1426" i="167"/>
  <c r="E1426" i="167" s="1"/>
  <c r="G1429" i="167"/>
  <c r="E1429" i="167" s="1"/>
  <c r="G1432" i="167"/>
  <c r="E1432" i="167" s="1"/>
  <c r="G1435" i="167"/>
  <c r="E1435" i="167" s="1"/>
  <c r="F1443" i="167"/>
  <c r="F1444" i="167"/>
  <c r="E1444" i="167" s="1"/>
  <c r="F1445" i="167"/>
  <c r="E1445" i="167" s="1"/>
  <c r="G1447" i="167"/>
  <c r="G1450" i="167"/>
  <c r="F1458" i="167"/>
  <c r="E1458" i="167" s="1"/>
  <c r="F1459" i="167"/>
  <c r="F1462" i="167"/>
  <c r="F1463" i="167"/>
  <c r="G1482" i="167"/>
  <c r="E1482" i="167" s="1"/>
  <c r="G1497" i="167"/>
  <c r="E1497" i="167" s="1"/>
  <c r="G1500" i="167"/>
  <c r="E1500" i="167" s="1"/>
  <c r="G1503" i="167"/>
  <c r="E1503" i="167" s="1"/>
  <c r="G1506" i="167"/>
  <c r="E1506" i="167" s="1"/>
  <c r="G1509" i="167"/>
  <c r="E1509" i="167" s="1"/>
  <c r="G1512" i="167"/>
  <c r="E1512" i="167" s="1"/>
  <c r="G1515" i="167"/>
  <c r="E1515" i="167" s="1"/>
  <c r="G1518" i="167"/>
  <c r="E1518" i="167" s="1"/>
  <c r="G1521" i="167"/>
  <c r="E1521" i="167" s="1"/>
  <c r="G1524" i="167"/>
  <c r="E1524" i="167" s="1"/>
  <c r="G1527" i="167"/>
  <c r="E1527" i="167" s="1"/>
  <c r="G1530" i="167"/>
  <c r="E1530" i="167" s="1"/>
  <c r="G1533" i="167"/>
  <c r="E1533" i="167" s="1"/>
  <c r="G1536" i="167"/>
  <c r="E1536" i="167" s="1"/>
  <c r="G1539" i="167"/>
  <c r="E1539" i="167" s="1"/>
  <c r="G1542" i="167"/>
  <c r="E1542" i="167" s="1"/>
  <c r="G1545" i="167"/>
  <c r="E1545" i="167" s="1"/>
  <c r="G1548" i="167"/>
  <c r="E1548" i="167" s="1"/>
  <c r="G1551" i="167"/>
  <c r="E1551" i="167" s="1"/>
  <c r="G1554" i="167"/>
  <c r="E1554" i="167" s="1"/>
  <c r="G1557" i="167"/>
  <c r="E1557" i="167" s="1"/>
  <c r="G1560" i="167"/>
  <c r="E1560" i="167" s="1"/>
  <c r="G1563" i="167"/>
  <c r="E1563" i="167" s="1"/>
  <c r="G1566" i="167"/>
  <c r="E1566" i="167" s="1"/>
  <c r="G1569" i="167"/>
  <c r="E1569" i="167" s="1"/>
  <c r="G1572" i="167"/>
  <c r="E1572" i="167" s="1"/>
  <c r="G1575" i="167"/>
  <c r="E1575" i="167" s="1"/>
  <c r="G1578" i="167"/>
  <c r="E1578" i="167" s="1"/>
  <c r="G1581" i="167"/>
  <c r="E1581" i="167" s="1"/>
  <c r="G1584" i="167"/>
  <c r="E1584" i="167" s="1"/>
  <c r="G1587" i="167"/>
  <c r="E1587" i="167" s="1"/>
  <c r="G1590" i="167"/>
  <c r="E1590" i="167" s="1"/>
  <c r="G1593" i="167"/>
  <c r="E1593" i="167" s="1"/>
  <c r="G1596" i="167"/>
  <c r="E1596" i="167" s="1"/>
  <c r="G1599" i="167"/>
  <c r="E1599" i="167" s="1"/>
  <c r="G1602" i="167"/>
  <c r="E1602" i="167" s="1"/>
  <c r="G1605" i="167"/>
  <c r="E1605" i="167" s="1"/>
  <c r="G1608" i="167"/>
  <c r="E1608" i="167" s="1"/>
  <c r="G1611" i="167"/>
  <c r="E1611" i="167" s="1"/>
  <c r="G1614" i="167"/>
  <c r="E1614" i="167" s="1"/>
  <c r="G1617" i="167"/>
  <c r="E1617" i="167" s="1"/>
  <c r="G1620" i="167"/>
  <c r="E1620" i="167" s="1"/>
  <c r="G1623" i="167"/>
  <c r="E1623" i="167" s="1"/>
  <c r="G1626" i="167"/>
  <c r="E1626" i="167" s="1"/>
  <c r="G1629" i="167"/>
  <c r="E1629" i="167" s="1"/>
  <c r="G1632" i="167"/>
  <c r="E1632" i="167" s="1"/>
  <c r="G1635" i="167"/>
  <c r="E1635" i="167" s="1"/>
  <c r="G1638" i="167"/>
  <c r="E1638" i="167" s="1"/>
  <c r="G1644" i="167"/>
  <c r="E1644" i="167" s="1"/>
  <c r="G1647" i="167"/>
  <c r="E1647" i="167" s="1"/>
  <c r="G1650" i="167"/>
  <c r="E1650" i="167" s="1"/>
  <c r="G1657" i="167"/>
  <c r="E1657" i="167" s="1"/>
  <c r="G1660" i="167"/>
  <c r="E1660" i="167" s="1"/>
  <c r="G1663" i="167"/>
  <c r="E1663" i="167" s="1"/>
  <c r="G1666" i="167"/>
  <c r="E1666" i="167" s="1"/>
  <c r="G1669" i="167"/>
  <c r="E1669" i="167" s="1"/>
  <c r="G1672" i="167"/>
  <c r="E1672" i="167" s="1"/>
  <c r="G1675" i="167"/>
  <c r="E1675" i="167" s="1"/>
  <c r="G1678" i="167"/>
  <c r="E1678" i="167" s="1"/>
  <c r="G1681" i="167"/>
  <c r="E1681" i="167" s="1"/>
  <c r="G1684" i="167"/>
  <c r="E1684" i="167" s="1"/>
  <c r="G1687" i="167"/>
  <c r="E1687" i="167" s="1"/>
  <c r="G1690" i="167"/>
  <c r="E1690" i="167" s="1"/>
  <c r="G1693" i="167"/>
  <c r="E1693" i="167" s="1"/>
  <c r="G1696" i="167"/>
  <c r="E1696" i="167" s="1"/>
  <c r="G1699" i="167"/>
  <c r="E1699" i="167" s="1"/>
  <c r="G1702" i="167"/>
  <c r="E1702" i="167" s="1"/>
  <c r="G1705" i="167"/>
  <c r="E1705" i="167" s="1"/>
  <c r="G1708" i="167"/>
  <c r="E1708" i="167" s="1"/>
  <c r="G1711" i="167"/>
  <c r="E1711" i="167" s="1"/>
  <c r="G1714" i="167"/>
  <c r="E1714" i="167" s="1"/>
  <c r="G1717" i="167"/>
  <c r="E1717" i="167" s="1"/>
  <c r="G1720" i="167"/>
  <c r="E1720" i="167" s="1"/>
  <c r="G1723" i="167"/>
  <c r="E1723" i="167" s="1"/>
  <c r="G1726" i="167"/>
  <c r="E1726" i="167" s="1"/>
  <c r="G1729" i="167"/>
  <c r="E1729" i="167" s="1"/>
  <c r="G1732" i="167"/>
  <c r="E1732" i="167" s="1"/>
  <c r="G1735" i="167"/>
  <c r="E1735" i="167" s="1"/>
  <c r="G1738" i="167"/>
  <c r="E1738" i="167" s="1"/>
  <c r="G1741" i="167"/>
  <c r="E1741" i="167" s="1"/>
  <c r="G1744" i="167"/>
  <c r="G1747" i="167"/>
  <c r="E1747" i="167" s="1"/>
  <c r="G1754" i="167"/>
  <c r="E1754" i="167" s="1"/>
  <c r="G1761" i="167"/>
  <c r="E1761" i="167" s="1"/>
  <c r="G1764" i="167"/>
  <c r="E1764" i="167" s="1"/>
  <c r="G1767" i="167"/>
  <c r="E1767" i="167" s="1"/>
  <c r="G1770" i="167"/>
  <c r="E1770" i="167" s="1"/>
  <c r="G1773" i="167"/>
  <c r="E1773" i="167" s="1"/>
  <c r="G1776" i="167"/>
  <c r="E1776" i="167" s="1"/>
  <c r="G1779" i="167"/>
  <c r="E1779" i="167" s="1"/>
  <c r="G1782" i="167"/>
  <c r="E1782" i="167" s="1"/>
  <c r="G1785" i="167"/>
  <c r="E1785" i="167" s="1"/>
  <c r="G1788" i="167"/>
  <c r="E1788" i="167" s="1"/>
  <c r="G1791" i="167"/>
  <c r="E1791" i="167" s="1"/>
  <c r="G1794" i="167"/>
  <c r="E1794" i="167" s="1"/>
  <c r="G1797" i="167"/>
  <c r="E1797" i="167" s="1"/>
  <c r="G1800" i="167"/>
  <c r="E1800" i="167" s="1"/>
  <c r="G1803" i="167"/>
  <c r="E1803" i="167" s="1"/>
  <c r="G1806" i="167"/>
  <c r="E1806" i="167" s="1"/>
  <c r="G1809" i="167"/>
  <c r="E1809" i="167" s="1"/>
  <c r="G1812" i="167"/>
  <c r="E1812" i="167" s="1"/>
  <c r="G1815" i="167"/>
  <c r="E1815" i="167" s="1"/>
  <c r="G1818" i="167"/>
  <c r="E1818" i="167" s="1"/>
  <c r="G1821" i="167"/>
  <c r="E1821" i="167" s="1"/>
  <c r="G1830" i="167"/>
  <c r="E1830" i="167" s="1"/>
  <c r="G1833" i="167"/>
  <c r="E1833" i="167" s="1"/>
  <c r="G1836" i="167"/>
  <c r="E1836" i="167" s="1"/>
  <c r="G1839" i="167"/>
  <c r="E1839" i="167" s="1"/>
  <c r="G1842" i="167"/>
  <c r="E1842" i="167" s="1"/>
  <c r="G1845" i="167"/>
  <c r="E1845" i="167" s="1"/>
  <c r="G1848" i="167"/>
  <c r="E1848" i="167" s="1"/>
  <c r="G1851" i="167"/>
  <c r="E1851" i="167" s="1"/>
  <c r="G1854" i="167"/>
  <c r="E1854" i="167" s="1"/>
  <c r="G1857" i="167"/>
  <c r="E1857" i="167" s="1"/>
  <c r="G1860" i="167"/>
  <c r="G1863" i="167"/>
  <c r="E1863" i="167" s="1"/>
  <c r="G1866" i="167"/>
  <c r="E1866" i="167" s="1"/>
  <c r="G1869" i="167"/>
  <c r="E1869" i="167" s="1"/>
  <c r="G1872" i="167"/>
  <c r="G1875" i="167"/>
  <c r="E1875" i="167" s="1"/>
  <c r="G1878" i="167"/>
  <c r="E1878" i="167" s="1"/>
  <c r="G1881" i="167"/>
  <c r="E1881" i="167" s="1"/>
  <c r="G1884" i="167"/>
  <c r="E1884" i="167" s="1"/>
  <c r="G1887" i="167"/>
  <c r="E1887" i="167" s="1"/>
  <c r="G1890" i="167"/>
  <c r="E1890" i="167" s="1"/>
  <c r="G1893" i="167"/>
  <c r="E1893" i="167" s="1"/>
  <c r="G1896" i="167"/>
  <c r="E1896" i="167" s="1"/>
  <c r="G1899" i="167"/>
  <c r="E1899" i="167" s="1"/>
  <c r="G1902" i="167"/>
  <c r="E1902" i="167" s="1"/>
  <c r="G1905" i="167"/>
  <c r="E1905" i="167" s="1"/>
  <c r="G1908" i="167"/>
  <c r="E1908" i="167" s="1"/>
  <c r="G1911" i="167"/>
  <c r="E1911" i="167" s="1"/>
  <c r="G1914" i="167"/>
  <c r="E1914" i="167" s="1"/>
  <c r="G1922" i="167"/>
  <c r="E1922" i="167" s="1"/>
  <c r="G1925" i="167"/>
  <c r="E1925" i="167" s="1"/>
  <c r="G1932" i="167"/>
  <c r="E1932" i="167" s="1"/>
  <c r="G2000" i="167"/>
  <c r="E2000" i="167" s="1"/>
  <c r="G2006" i="167"/>
  <c r="E2006" i="167" s="1"/>
  <c r="G2009" i="167"/>
  <c r="E2009" i="167" s="1"/>
  <c r="G2012" i="167"/>
  <c r="E2012" i="167" s="1"/>
  <c r="G2015" i="167"/>
  <c r="E2015" i="167" s="1"/>
  <c r="G2018" i="167"/>
  <c r="E2018" i="167" s="1"/>
  <c r="G2021" i="167"/>
  <c r="E2021" i="167" s="1"/>
  <c r="G2024" i="167"/>
  <c r="E2024" i="167" s="1"/>
  <c r="G2027" i="167"/>
  <c r="E2027" i="167" s="1"/>
  <c r="G2030" i="167"/>
  <c r="E2030" i="167" s="1"/>
  <c r="G2033" i="167"/>
  <c r="E2033" i="167" s="1"/>
  <c r="G2036" i="167"/>
  <c r="E2036" i="167" s="1"/>
  <c r="G2039" i="167"/>
  <c r="E2039" i="167" s="1"/>
  <c r="G2042" i="167"/>
  <c r="E2042" i="167" s="1"/>
  <c r="G2045" i="167"/>
  <c r="E2045" i="167" s="1"/>
  <c r="G2048" i="167"/>
  <c r="E2048" i="167" s="1"/>
  <c r="G2051" i="167"/>
  <c r="E2051" i="167" s="1"/>
  <c r="G2054" i="167"/>
  <c r="E2054" i="167" s="1"/>
  <c r="G2057" i="167"/>
  <c r="E2057" i="167" s="1"/>
  <c r="G2060" i="167"/>
  <c r="E2060" i="167" s="1"/>
  <c r="G2063" i="167"/>
  <c r="E2063" i="167" s="1"/>
  <c r="G2066" i="167"/>
  <c r="E2066" i="167" s="1"/>
  <c r="G2069" i="167"/>
  <c r="E2069" i="167" s="1"/>
  <c r="G2072" i="167"/>
  <c r="E2072" i="167" s="1"/>
  <c r="G2075" i="167"/>
  <c r="E2075" i="167" s="1"/>
  <c r="G2078" i="167"/>
  <c r="E2078" i="167" s="1"/>
  <c r="G2081" i="167"/>
  <c r="E2081" i="167" s="1"/>
  <c r="G2084" i="167"/>
  <c r="E2084" i="167" s="1"/>
  <c r="G2087" i="167"/>
  <c r="E2087" i="167" s="1"/>
  <c r="G2090" i="167"/>
  <c r="E2090" i="167" s="1"/>
  <c r="G2093" i="167"/>
  <c r="E2093" i="167" s="1"/>
  <c r="G2096" i="167"/>
  <c r="E2096" i="167" s="1"/>
  <c r="G2099" i="167"/>
  <c r="E2099" i="167" s="1"/>
  <c r="G2102" i="167"/>
  <c r="E2102" i="167" s="1"/>
  <c r="G2105" i="167"/>
  <c r="E2105" i="167" s="1"/>
  <c r="G2108" i="167"/>
  <c r="E2108" i="167" s="1"/>
  <c r="G2111" i="167"/>
  <c r="E2111" i="167" s="1"/>
  <c r="G2114" i="167"/>
  <c r="E2114" i="167" s="1"/>
  <c r="G2117" i="167"/>
  <c r="E2117" i="167" s="1"/>
  <c r="G2120" i="167"/>
  <c r="E2120" i="167" s="1"/>
  <c r="G2123" i="167"/>
  <c r="E2123" i="167" s="1"/>
  <c r="G2126" i="167"/>
  <c r="E2126" i="167" s="1"/>
  <c r="G2133" i="167"/>
  <c r="E2133" i="167" s="1"/>
  <c r="G2136" i="167"/>
  <c r="E2136" i="167" s="1"/>
  <c r="G2139" i="167"/>
  <c r="E2139" i="167" s="1"/>
  <c r="G2142" i="167"/>
  <c r="E2142" i="167" s="1"/>
  <c r="G2145" i="167"/>
  <c r="E2145" i="167" s="1"/>
  <c r="G2148" i="167"/>
  <c r="E2148" i="167" s="1"/>
  <c r="G2151" i="167"/>
  <c r="E2151" i="167" s="1"/>
  <c r="G2154" i="167"/>
  <c r="E2154" i="167" s="1"/>
  <c r="G2157" i="167"/>
  <c r="E2157" i="167" s="1"/>
  <c r="G2160" i="167"/>
  <c r="E2160" i="167" s="1"/>
  <c r="G2163" i="167"/>
  <c r="E2163" i="167" s="1"/>
  <c r="G2166" i="167"/>
  <c r="E2166" i="167" s="1"/>
  <c r="G2169" i="167"/>
  <c r="E2169" i="167" s="1"/>
  <c r="G2172" i="167"/>
  <c r="E2172" i="167" s="1"/>
  <c r="G2175" i="167"/>
  <c r="E2175" i="167" s="1"/>
  <c r="G2178" i="167"/>
  <c r="E2178" i="167" s="1"/>
  <c r="G2181" i="167"/>
  <c r="E2181" i="167" s="1"/>
  <c r="G2184" i="167"/>
  <c r="E2184" i="167" s="1"/>
  <c r="G2187" i="167"/>
  <c r="E2187" i="167" s="1"/>
  <c r="G2190" i="167"/>
  <c r="E2190" i="167" s="1"/>
  <c r="G2193" i="167"/>
  <c r="E2193" i="167" s="1"/>
  <c r="G2196" i="167"/>
  <c r="E2196" i="167" s="1"/>
  <c r="G2199" i="167"/>
  <c r="E2199" i="167" s="1"/>
  <c r="G2202" i="167"/>
  <c r="E2202" i="167" s="1"/>
  <c r="G2205" i="167"/>
  <c r="E2205" i="167" s="1"/>
  <c r="G2208" i="167"/>
  <c r="E2208" i="167" s="1"/>
  <c r="G2215" i="167"/>
  <c r="E2215" i="167" s="1"/>
  <c r="G2218" i="167"/>
  <c r="E2218" i="167" s="1"/>
  <c r="G2221" i="167"/>
  <c r="E2221" i="167" s="1"/>
  <c r="G2224" i="167"/>
  <c r="E2224" i="167" s="1"/>
  <c r="G2227" i="167"/>
  <c r="E2227" i="167" s="1"/>
  <c r="G2230" i="167"/>
  <c r="E2230" i="167" s="1"/>
  <c r="G2233" i="167"/>
  <c r="E2233" i="167" s="1"/>
  <c r="G2236" i="167"/>
  <c r="E2236" i="167" s="1"/>
  <c r="G2239" i="167"/>
  <c r="E2239" i="167" s="1"/>
  <c r="G2246" i="167"/>
  <c r="E2246" i="167" s="1"/>
  <c r="G2253" i="167"/>
  <c r="E2253" i="167" s="1"/>
  <c r="G2256" i="167"/>
  <c r="E2256" i="167" s="1"/>
  <c r="G2259" i="167"/>
  <c r="E2259" i="167" s="1"/>
  <c r="G2262" i="167"/>
  <c r="E2262" i="167" s="1"/>
  <c r="G2265" i="167"/>
  <c r="E2265" i="167" s="1"/>
  <c r="G2268" i="167"/>
  <c r="E2268" i="167" s="1"/>
  <c r="G2271" i="167"/>
  <c r="E2271" i="167" s="1"/>
  <c r="G2274" i="167"/>
  <c r="E2274" i="167" s="1"/>
  <c r="G2277" i="167"/>
  <c r="E2277" i="167" s="1"/>
  <c r="G2280" i="167"/>
  <c r="E2280" i="167" s="1"/>
  <c r="G2283" i="167"/>
  <c r="E2283" i="167" s="1"/>
  <c r="G2286" i="167"/>
  <c r="E2286" i="167" s="1"/>
  <c r="G2289" i="167"/>
  <c r="E2289" i="167" s="1"/>
  <c r="G2292" i="167"/>
  <c r="E2292" i="167" s="1"/>
  <c r="G2295" i="167"/>
  <c r="E2295" i="167" s="1"/>
  <c r="G2298" i="167"/>
  <c r="E2298" i="167" s="1"/>
  <c r="G2301" i="167"/>
  <c r="E2301" i="167" s="1"/>
  <c r="G2304" i="167"/>
  <c r="E2304" i="167" s="1"/>
  <c r="G2307" i="167"/>
  <c r="E2307" i="167" s="1"/>
  <c r="G2310" i="167"/>
  <c r="E2310" i="167" s="1"/>
  <c r="G2313" i="167"/>
  <c r="E2313" i="167" s="1"/>
  <c r="G2316" i="167"/>
  <c r="E2316" i="167" s="1"/>
  <c r="G2322" i="167"/>
  <c r="E2322" i="167" s="1"/>
  <c r="G2325" i="167"/>
  <c r="E2325" i="167" s="1"/>
  <c r="G2328" i="167"/>
  <c r="E2328" i="167" s="1"/>
  <c r="G2331" i="167"/>
  <c r="E2331" i="167" s="1"/>
  <c r="G2334" i="167"/>
  <c r="E2334" i="167" s="1"/>
  <c r="G2337" i="167"/>
  <c r="E2337" i="167" s="1"/>
  <c r="G2350" i="167"/>
  <c r="E2350" i="167" s="1"/>
  <c r="G2353" i="167"/>
  <c r="E2353" i="167" s="1"/>
  <c r="G2356" i="167"/>
  <c r="E2356" i="167" s="1"/>
  <c r="G2359" i="167"/>
  <c r="E2359" i="167" s="1"/>
  <c r="G2362" i="167"/>
  <c r="E2362" i="167" s="1"/>
  <c r="G2365" i="167"/>
  <c r="E2365" i="167" s="1"/>
  <c r="G2368" i="167"/>
  <c r="E2368" i="167" s="1"/>
  <c r="G2371" i="167"/>
  <c r="E2371" i="167" s="1"/>
  <c r="G2374" i="167"/>
  <c r="E2374" i="167" s="1"/>
  <c r="G2377" i="167"/>
  <c r="E2377" i="167" s="1"/>
  <c r="G2380" i="167"/>
  <c r="E2380" i="167" s="1"/>
  <c r="G2383" i="167"/>
  <c r="E2383" i="167" s="1"/>
  <c r="G2386" i="167"/>
  <c r="E2386" i="167" s="1"/>
  <c r="G2389" i="167"/>
  <c r="E2389" i="167" s="1"/>
  <c r="G2392" i="167"/>
  <c r="E2392" i="167" s="1"/>
  <c r="G2395" i="167"/>
  <c r="E2395" i="167" s="1"/>
  <c r="G2398" i="167"/>
  <c r="E2398" i="167" s="1"/>
  <c r="G2401" i="167"/>
  <c r="E2401" i="167" s="1"/>
  <c r="G2404" i="167"/>
  <c r="E2404" i="167" s="1"/>
  <c r="G2407" i="167"/>
  <c r="E2407" i="167" s="1"/>
  <c r="G2410" i="167"/>
  <c r="E2410" i="167" s="1"/>
  <c r="G2413" i="167"/>
  <c r="E2413" i="167" s="1"/>
  <c r="G2416" i="167"/>
  <c r="E2416" i="167" s="1"/>
  <c r="G2419" i="167"/>
  <c r="E2419" i="167" s="1"/>
  <c r="G2422" i="167"/>
  <c r="E2422" i="167" s="1"/>
  <c r="G2425" i="167"/>
  <c r="E2425" i="167" s="1"/>
  <c r="G2428" i="167"/>
  <c r="E2428" i="167" s="1"/>
  <c r="G2436" i="167"/>
  <c r="E2436" i="167" s="1"/>
  <c r="G2439" i="167"/>
  <c r="E2439" i="167" s="1"/>
  <c r="G2442" i="167"/>
  <c r="E2442" i="167" s="1"/>
  <c r="G2522" i="167"/>
  <c r="E2522" i="167" s="1"/>
  <c r="G2525" i="167"/>
  <c r="E2525" i="167" s="1"/>
  <c r="G2528" i="167"/>
  <c r="E2528" i="167" s="1"/>
  <c r="G2531" i="167"/>
  <c r="E2531" i="167" s="1"/>
  <c r="G2534" i="167"/>
  <c r="E2534" i="167" s="1"/>
  <c r="G2537" i="167"/>
  <c r="E2537" i="167" s="1"/>
  <c r="G2540" i="167"/>
  <c r="E2540" i="167" s="1"/>
  <c r="G2543" i="167"/>
  <c r="E2543" i="167" s="1"/>
  <c r="G2546" i="167"/>
  <c r="E2546" i="167" s="1"/>
  <c r="G2549" i="167"/>
  <c r="E2549" i="167" s="1"/>
  <c r="G2552" i="167"/>
  <c r="E2552" i="167" s="1"/>
  <c r="G2555" i="167"/>
  <c r="E2555" i="167" s="1"/>
  <c r="G2558" i="167"/>
  <c r="E2558" i="167" s="1"/>
  <c r="G2561" i="167"/>
  <c r="E2561" i="167" s="1"/>
  <c r="G2564" i="167"/>
  <c r="E2564" i="167" s="1"/>
  <c r="G2567" i="167"/>
  <c r="E2567" i="167" s="1"/>
  <c r="G2573" i="167"/>
  <c r="E2573" i="167" s="1"/>
  <c r="G2576" i="167"/>
  <c r="E2576" i="167" s="1"/>
  <c r="G2579" i="167"/>
  <c r="E2579" i="167" s="1"/>
  <c r="G2582" i="167"/>
  <c r="E2582" i="167" s="1"/>
  <c r="G2585" i="167"/>
  <c r="E2585" i="167" s="1"/>
  <c r="G2588" i="167"/>
  <c r="E2588" i="167" s="1"/>
  <c r="G2591" i="167"/>
  <c r="E2591" i="167" s="1"/>
  <c r="G2594" i="167"/>
  <c r="E2594" i="167" s="1"/>
  <c r="G2597" i="167"/>
  <c r="E2597" i="167" s="1"/>
  <c r="G2600" i="167"/>
  <c r="E2600" i="167" s="1"/>
  <c r="G2603" i="167"/>
  <c r="E2603" i="167" s="1"/>
  <c r="G2606" i="167"/>
  <c r="E2606" i="167" s="1"/>
  <c r="G2609" i="167"/>
  <c r="E2609" i="167" s="1"/>
  <c r="G2612" i="167"/>
  <c r="E2612" i="167" s="1"/>
  <c r="G2615" i="167"/>
  <c r="E2615" i="167" s="1"/>
  <c r="G2618" i="167"/>
  <c r="E2618" i="167" s="1"/>
  <c r="G2621" i="167"/>
  <c r="E2621" i="167" s="1"/>
  <c r="G2624" i="167"/>
  <c r="E2624" i="167" s="1"/>
  <c r="G2631" i="167"/>
  <c r="E2631" i="167" s="1"/>
  <c r="G2634" i="167"/>
  <c r="E2634" i="167" s="1"/>
  <c r="G2637" i="167"/>
  <c r="E2637" i="167" s="1"/>
  <c r="G2640" i="167"/>
  <c r="E2640" i="167" s="1"/>
  <c r="G2643" i="167"/>
  <c r="E2643" i="167" s="1"/>
  <c r="G2646" i="167"/>
  <c r="E2646" i="167" s="1"/>
  <c r="G2649" i="167"/>
  <c r="E2649" i="167" s="1"/>
  <c r="G2652" i="167"/>
  <c r="E2652" i="167" s="1"/>
  <c r="G2655" i="167"/>
  <c r="E2655" i="167" s="1"/>
  <c r="G2658" i="167"/>
  <c r="E2658" i="167" s="1"/>
  <c r="G2661" i="167"/>
  <c r="E2661" i="167" s="1"/>
  <c r="G2664" i="167"/>
  <c r="E2664" i="167" s="1"/>
  <c r="G2667" i="167"/>
  <c r="E2667" i="167" s="1"/>
  <c r="G2670" i="167"/>
  <c r="E2670" i="167" s="1"/>
  <c r="G2673" i="167"/>
  <c r="E2673" i="167" s="1"/>
  <c r="G2676" i="167"/>
  <c r="E2676" i="167" s="1"/>
  <c r="G2679" i="167"/>
  <c r="E2679" i="167" s="1"/>
  <c r="G2682" i="167"/>
  <c r="E2682" i="167" s="1"/>
  <c r="G2685" i="167"/>
  <c r="E2685" i="167" s="1"/>
  <c r="G2688" i="167"/>
  <c r="E2688" i="167" s="1"/>
  <c r="G2691" i="167"/>
  <c r="E2691" i="167" s="1"/>
  <c r="G2694" i="167"/>
  <c r="E2694" i="167" s="1"/>
  <c r="G2697" i="167"/>
  <c r="E2697" i="167" s="1"/>
  <c r="G2700" i="167"/>
  <c r="E2700" i="167" s="1"/>
  <c r="G2703" i="167"/>
  <c r="E2703" i="167" s="1"/>
  <c r="G2706" i="167"/>
  <c r="E2706" i="167" s="1"/>
  <c r="G2709" i="167"/>
  <c r="E2709" i="167" s="1"/>
  <c r="G2712" i="167"/>
  <c r="E2712" i="167" s="1"/>
  <c r="G2715" i="167"/>
  <c r="E2715" i="167" s="1"/>
  <c r="G2718" i="167"/>
  <c r="E2718" i="167" s="1"/>
  <c r="G2721" i="167"/>
  <c r="E2721" i="167" s="1"/>
  <c r="G2724" i="167"/>
  <c r="E2724" i="167" s="1"/>
  <c r="G2727" i="167"/>
  <c r="E2727" i="167" s="1"/>
  <c r="G2730" i="167"/>
  <c r="E2730" i="167" s="1"/>
  <c r="G2733" i="167"/>
  <c r="E2733" i="167" s="1"/>
  <c r="G2736" i="167"/>
  <c r="E2736" i="167" s="1"/>
  <c r="G2739" i="167"/>
  <c r="E2739" i="167" s="1"/>
  <c r="G2742" i="167"/>
  <c r="E2742" i="167" s="1"/>
  <c r="G2745" i="167"/>
  <c r="E2745" i="167" s="1"/>
  <c r="G2748" i="167"/>
  <c r="E2748" i="167" s="1"/>
  <c r="G2751" i="167"/>
  <c r="E2751" i="167" s="1"/>
  <c r="G2754" i="167"/>
  <c r="E2754" i="167" s="1"/>
  <c r="G2757" i="167"/>
  <c r="E2757" i="167" s="1"/>
  <c r="G2760" i="167"/>
  <c r="E2760" i="167" s="1"/>
  <c r="G2763" i="167"/>
  <c r="E2763" i="167" s="1"/>
  <c r="G2766" i="167"/>
  <c r="E2766" i="167" s="1"/>
  <c r="G2769" i="167"/>
  <c r="E2769" i="167" s="1"/>
  <c r="G2776" i="167"/>
  <c r="E2776" i="167" s="1"/>
  <c r="G2779" i="167"/>
  <c r="E2779" i="167" s="1"/>
  <c r="G2782" i="167"/>
  <c r="E2782" i="167" s="1"/>
  <c r="F2788" i="167"/>
  <c r="E2788" i="167" s="1"/>
  <c r="G2797" i="167"/>
  <c r="E2797" i="167" s="1"/>
  <c r="G2800" i="167"/>
  <c r="E2800" i="167" s="1"/>
  <c r="G2803" i="167"/>
  <c r="E2803" i="167" s="1"/>
  <c r="G2806" i="167"/>
  <c r="E2806" i="167" s="1"/>
  <c r="G2809" i="167"/>
  <c r="E2809" i="167" s="1"/>
  <c r="G2812" i="167"/>
  <c r="E2812" i="167" s="1"/>
  <c r="G2815" i="167"/>
  <c r="E2815" i="167" s="1"/>
  <c r="G2818" i="167"/>
  <c r="E2818" i="167" s="1"/>
  <c r="G2821" i="167"/>
  <c r="E2821" i="167" s="1"/>
  <c r="G2824" i="167"/>
  <c r="E2824" i="167" s="1"/>
  <c r="G2827" i="167"/>
  <c r="E2827" i="167" s="1"/>
  <c r="G2830" i="167"/>
  <c r="E2830" i="167" s="1"/>
  <c r="G2833" i="167"/>
  <c r="E2833" i="167" s="1"/>
  <c r="G2836" i="167"/>
  <c r="E2836" i="167" s="1"/>
  <c r="G2843" i="167"/>
  <c r="E2843" i="167" s="1"/>
  <c r="G2846" i="167"/>
  <c r="E2846" i="167" s="1"/>
  <c r="G2849" i="167"/>
  <c r="E2849" i="167" s="1"/>
  <c r="G2852" i="167"/>
  <c r="E2852" i="167" s="1"/>
  <c r="G2855" i="167"/>
  <c r="E2855" i="167" s="1"/>
  <c r="G2858" i="167"/>
  <c r="E2858" i="167" s="1"/>
  <c r="G2861" i="167"/>
  <c r="E2861" i="167" s="1"/>
  <c r="G2864" i="167"/>
  <c r="E2864" i="167" s="1"/>
  <c r="G2867" i="167"/>
  <c r="E2867" i="167" s="1"/>
  <c r="G2870" i="167"/>
  <c r="E2870" i="167" s="1"/>
  <c r="G2873" i="167"/>
  <c r="E2873" i="167" s="1"/>
  <c r="G2882" i="167"/>
  <c r="E2882" i="167" s="1"/>
  <c r="G2885" i="167"/>
  <c r="E2885" i="167" s="1"/>
  <c r="G2888" i="167"/>
  <c r="E2888" i="167" s="1"/>
  <c r="G2891" i="167"/>
  <c r="E2891" i="167" s="1"/>
  <c r="G2894" i="167"/>
  <c r="E2894" i="167" s="1"/>
  <c r="G2897" i="167"/>
  <c r="E2897" i="167" s="1"/>
  <c r="G2900" i="167"/>
  <c r="E2900" i="167" s="1"/>
  <c r="G2903" i="167"/>
  <c r="E2903" i="167" s="1"/>
  <c r="G2906" i="167"/>
  <c r="E2906" i="167" s="1"/>
  <c r="G2909" i="167"/>
  <c r="E2909" i="167" s="1"/>
  <c r="G2912" i="167"/>
  <c r="E2912" i="167" s="1"/>
  <c r="G2915" i="167"/>
  <c r="E2915" i="167" s="1"/>
  <c r="G2918" i="167"/>
  <c r="E2918" i="167" s="1"/>
  <c r="G2924" i="167"/>
  <c r="E2924" i="167" s="1"/>
  <c r="G2927" i="167"/>
  <c r="E2927" i="167" s="1"/>
  <c r="G2930" i="167"/>
  <c r="E2930" i="167" s="1"/>
  <c r="G2933" i="167"/>
  <c r="E2933" i="167" s="1"/>
  <c r="G2936" i="167"/>
  <c r="E2936" i="167" s="1"/>
  <c r="G2939" i="167"/>
  <c r="E2939" i="167" s="1"/>
  <c r="G2942" i="167"/>
  <c r="E2942" i="167" s="1"/>
  <c r="G2945" i="167"/>
  <c r="E2945" i="167" s="1"/>
  <c r="G2948" i="167"/>
  <c r="E2948" i="167" s="1"/>
  <c r="G2951" i="167"/>
  <c r="E2951" i="167" s="1"/>
  <c r="G2955" i="167"/>
  <c r="E2955" i="167" s="1"/>
  <c r="F2958" i="167"/>
  <c r="E2958" i="167" s="1"/>
  <c r="G2963" i="167"/>
  <c r="E2963" i="167" s="1"/>
  <c r="G2966" i="167"/>
  <c r="E2966" i="167" s="1"/>
  <c r="G2969" i="167"/>
  <c r="E2969" i="167" s="1"/>
  <c r="G2972" i="167"/>
  <c r="E2972" i="167" s="1"/>
  <c r="G2975" i="167"/>
  <c r="E2975" i="167" s="1"/>
  <c r="G2978" i="167"/>
  <c r="E2978" i="167" s="1"/>
  <c r="G2981" i="167"/>
  <c r="E2981" i="167" s="1"/>
  <c r="G2984" i="167"/>
  <c r="E2984" i="167" s="1"/>
  <c r="N2927" i="167"/>
  <c r="N2412" i="167"/>
  <c r="D2969" i="167"/>
  <c r="D2968" i="167"/>
  <c r="B2968" i="167"/>
  <c r="H2439" i="167"/>
  <c r="D2439" i="167"/>
  <c r="A2439" i="167"/>
  <c r="D2438" i="167"/>
  <c r="B2438" i="167"/>
  <c r="D810" i="167"/>
  <c r="D722" i="167"/>
  <c r="E23" i="166"/>
  <c r="E26" i="166"/>
  <c r="E29" i="166"/>
  <c r="E32" i="166"/>
  <c r="E35" i="166"/>
  <c r="E38" i="166"/>
  <c r="E41" i="166"/>
  <c r="E44" i="166"/>
  <c r="E47" i="166"/>
  <c r="E50" i="166"/>
  <c r="E53" i="166"/>
  <c r="E56" i="166"/>
  <c r="E59" i="166"/>
  <c r="E62" i="166"/>
  <c r="E65" i="166"/>
  <c r="E68" i="166"/>
  <c r="E71" i="166"/>
  <c r="E74" i="166"/>
  <c r="E77" i="166"/>
  <c r="E80" i="166"/>
  <c r="E83" i="166"/>
  <c r="E86" i="166"/>
  <c r="E89" i="166"/>
  <c r="E92" i="166"/>
  <c r="E95" i="166"/>
  <c r="E98" i="166"/>
  <c r="E99" i="166"/>
  <c r="E100" i="166"/>
  <c r="E102" i="166"/>
  <c r="E105" i="166"/>
  <c r="E108" i="166"/>
  <c r="E111" i="166"/>
  <c r="E114" i="166"/>
  <c r="E117" i="166"/>
  <c r="E120" i="166"/>
  <c r="E123" i="166"/>
  <c r="E126" i="166"/>
  <c r="E129" i="166"/>
  <c r="E132" i="166"/>
  <c r="E135" i="166"/>
  <c r="E138" i="166"/>
  <c r="E139" i="166"/>
  <c r="E140" i="166"/>
  <c r="E142" i="166"/>
  <c r="E143" i="166"/>
  <c r="E144" i="166"/>
  <c r="E146" i="166"/>
  <c r="E149" i="166"/>
  <c r="E152" i="166"/>
  <c r="E155" i="166"/>
  <c r="E158" i="166"/>
  <c r="E161" i="166"/>
  <c r="E164" i="166"/>
  <c r="E167" i="166"/>
  <c r="E170" i="166"/>
  <c r="E173" i="166"/>
  <c r="E176" i="166"/>
  <c r="E179" i="166"/>
  <c r="E182" i="166"/>
  <c r="E185" i="166"/>
  <c r="E188" i="166"/>
  <c r="E191" i="166"/>
  <c r="E194" i="166"/>
  <c r="E197" i="166"/>
  <c r="E200" i="166"/>
  <c r="E203" i="166"/>
  <c r="E206" i="166"/>
  <c r="E209" i="166"/>
  <c r="E212" i="166"/>
  <c r="E215" i="166"/>
  <c r="E218" i="166"/>
  <c r="E221" i="166"/>
  <c r="E224" i="166"/>
  <c r="E227" i="166"/>
  <c r="E230" i="166"/>
  <c r="E233" i="166"/>
  <c r="E236" i="166"/>
  <c r="E239" i="166"/>
  <c r="E242" i="166"/>
  <c r="E245" i="166"/>
  <c r="E248" i="166"/>
  <c r="E249" i="166"/>
  <c r="E250" i="166"/>
  <c r="E251" i="166"/>
  <c r="E252" i="166"/>
  <c r="E253" i="166"/>
  <c r="E255" i="166"/>
  <c r="E256" i="166"/>
  <c r="E257" i="166"/>
  <c r="E258" i="166"/>
  <c r="E259" i="166"/>
  <c r="E260" i="166"/>
  <c r="E262" i="166"/>
  <c r="E264" i="166"/>
  <c r="E265" i="166"/>
  <c r="E266" i="166"/>
  <c r="E267" i="166"/>
  <c r="E269" i="166"/>
  <c r="E270" i="166"/>
  <c r="E271" i="166"/>
  <c r="E272" i="166"/>
  <c r="E273" i="166"/>
  <c r="E274" i="166"/>
  <c r="E275" i="166"/>
  <c r="E278" i="166"/>
  <c r="E280" i="166"/>
  <c r="E281" i="166"/>
  <c r="E283" i="166"/>
  <c r="E284" i="166"/>
  <c r="E286" i="166"/>
  <c r="E287" i="166"/>
  <c r="E289" i="166"/>
  <c r="E290" i="166"/>
  <c r="E292" i="166"/>
  <c r="E293" i="166"/>
  <c r="E295" i="166"/>
  <c r="E296" i="166"/>
  <c r="E298" i="166"/>
  <c r="E299" i="166"/>
  <c r="E301" i="166"/>
  <c r="E302" i="166"/>
  <c r="E304" i="166"/>
  <c r="E305" i="166"/>
  <c r="E307" i="166"/>
  <c r="E308" i="166"/>
  <c r="E310" i="166"/>
  <c r="E311" i="166"/>
  <c r="E313" i="166"/>
  <c r="E314" i="166"/>
  <c r="E316" i="166"/>
  <c r="E317" i="166"/>
  <c r="E319" i="166"/>
  <c r="E320" i="166"/>
  <c r="E322" i="166"/>
  <c r="E323" i="166"/>
  <c r="E325" i="166"/>
  <c r="E326" i="166"/>
  <c r="E328" i="166"/>
  <c r="E329" i="166"/>
  <c r="E331" i="166"/>
  <c r="E332" i="166"/>
  <c r="E334" i="166"/>
  <c r="E335" i="166"/>
  <c r="E337" i="166"/>
  <c r="E338" i="166"/>
  <c r="E340" i="166"/>
  <c r="E341" i="166"/>
  <c r="E343" i="166"/>
  <c r="E344" i="166"/>
  <c r="E346" i="166"/>
  <c r="E347" i="166"/>
  <c r="E349" i="166"/>
  <c r="E350" i="166"/>
  <c r="E352" i="166"/>
  <c r="E353" i="166"/>
  <c r="E355" i="166"/>
  <c r="E356" i="166"/>
  <c r="E358" i="166"/>
  <c r="E359" i="166"/>
  <c r="E361" i="166"/>
  <c r="E362" i="166"/>
  <c r="E364" i="166"/>
  <c r="E365" i="166"/>
  <c r="E367" i="166"/>
  <c r="E368" i="166"/>
  <c r="E370" i="166"/>
  <c r="E371" i="166"/>
  <c r="E373" i="166"/>
  <c r="E374" i="166"/>
  <c r="E376" i="166"/>
  <c r="E377" i="166"/>
  <c r="E379" i="166"/>
  <c r="E380" i="166"/>
  <c r="E382" i="166"/>
  <c r="E383" i="166"/>
  <c r="E385" i="166"/>
  <c r="E388" i="166"/>
  <c r="E389" i="166"/>
  <c r="E391" i="166"/>
  <c r="E392" i="166"/>
  <c r="E394" i="166"/>
  <c r="E395" i="166"/>
  <c r="E397" i="166"/>
  <c r="E398" i="166"/>
  <c r="E400" i="166"/>
  <c r="E401" i="166"/>
  <c r="E404" i="166"/>
  <c r="E405" i="166"/>
  <c r="E406" i="166"/>
  <c r="E408" i="166"/>
  <c r="E411" i="166"/>
  <c r="E414" i="166"/>
  <c r="E415" i="166"/>
  <c r="E417" i="166"/>
  <c r="E418" i="166"/>
  <c r="E420" i="166"/>
  <c r="E421" i="166"/>
  <c r="E423" i="166"/>
  <c r="E424" i="166"/>
  <c r="E426" i="166"/>
  <c r="E429" i="166"/>
  <c r="E432" i="166"/>
  <c r="E435" i="166"/>
  <c r="E438" i="166"/>
  <c r="E441" i="166"/>
  <c r="E444" i="166"/>
  <c r="E447" i="166"/>
  <c r="E450" i="166"/>
  <c r="E453" i="166"/>
  <c r="E456" i="166"/>
  <c r="E457" i="166"/>
  <c r="E459" i="166"/>
  <c r="E462" i="166"/>
  <c r="E463" i="166"/>
  <c r="E465" i="166"/>
  <c r="E468" i="166"/>
  <c r="E471" i="166"/>
  <c r="E474" i="166"/>
  <c r="E477" i="166"/>
  <c r="E480" i="166"/>
  <c r="E481" i="166"/>
  <c r="E483" i="166"/>
  <c r="E486" i="166"/>
  <c r="E489" i="166"/>
  <c r="E490" i="166"/>
  <c r="E492" i="166"/>
  <c r="E495" i="166"/>
  <c r="E498" i="166"/>
  <c r="E501" i="166"/>
  <c r="E504" i="166"/>
  <c r="E505" i="166"/>
  <c r="E507" i="166"/>
  <c r="E510" i="166"/>
  <c r="E511" i="166"/>
  <c r="E513" i="166"/>
  <c r="E516" i="166"/>
  <c r="E519" i="166"/>
  <c r="E522" i="166"/>
  <c r="E525" i="166"/>
  <c r="E528" i="166"/>
  <c r="E531" i="166"/>
  <c r="E534" i="166"/>
  <c r="E537" i="166"/>
  <c r="E540" i="166"/>
  <c r="E543" i="166"/>
  <c r="E546" i="166"/>
  <c r="E549" i="166"/>
  <c r="E552" i="166"/>
  <c r="E555" i="166"/>
  <c r="E558" i="166"/>
  <c r="E559" i="166"/>
  <c r="E561" i="166"/>
  <c r="E562" i="166"/>
  <c r="E564" i="166"/>
  <c r="E565" i="166"/>
  <c r="E567" i="166"/>
  <c r="E568" i="166"/>
  <c r="E570" i="166"/>
  <c r="E573" i="166"/>
  <c r="E576" i="166"/>
  <c r="E579" i="166"/>
  <c r="E582" i="166"/>
  <c r="E585" i="166"/>
  <c r="E588" i="166"/>
  <c r="E591" i="166"/>
  <c r="E592" i="166"/>
  <c r="E594" i="166"/>
  <c r="E597" i="166"/>
  <c r="E600" i="166"/>
  <c r="E603" i="166"/>
  <c r="E606" i="166"/>
  <c r="E609" i="166"/>
  <c r="E612" i="166"/>
  <c r="E615" i="166"/>
  <c r="E618" i="166"/>
  <c r="E621" i="166"/>
  <c r="E624" i="166"/>
  <c r="E627" i="166"/>
  <c r="E630" i="166"/>
  <c r="E633" i="166"/>
  <c r="E636" i="166"/>
  <c r="E639" i="166"/>
  <c r="E642" i="166"/>
  <c r="E644" i="166"/>
  <c r="E645" i="166"/>
  <c r="E646" i="166"/>
  <c r="E647" i="166"/>
  <c r="E648" i="166"/>
  <c r="E650" i="166"/>
  <c r="E651" i="166"/>
  <c r="E652" i="166"/>
  <c r="E654" i="166"/>
  <c r="E655" i="166"/>
  <c r="E656" i="166"/>
  <c r="E657" i="166"/>
  <c r="E659" i="166"/>
  <c r="E660" i="166"/>
  <c r="E661" i="166"/>
  <c r="E662" i="166"/>
  <c r="E664" i="166"/>
  <c r="E667" i="166"/>
  <c r="E670" i="166"/>
  <c r="E673" i="166"/>
  <c r="E676" i="166"/>
  <c r="E679" i="166"/>
  <c r="E680" i="166"/>
  <c r="E682" i="166"/>
  <c r="E685" i="166"/>
  <c r="E688" i="166"/>
  <c r="E691" i="166"/>
  <c r="E694" i="166"/>
  <c r="E697" i="166"/>
  <c r="E700" i="166"/>
  <c r="E703" i="166"/>
  <c r="E706" i="166"/>
  <c r="E709" i="166"/>
  <c r="E712" i="166"/>
  <c r="E715" i="166"/>
  <c r="E718" i="166"/>
  <c r="E721" i="166"/>
  <c r="E724" i="166"/>
  <c r="E727" i="166"/>
  <c r="E730" i="166"/>
  <c r="E733" i="166"/>
  <c r="E736" i="166"/>
  <c r="E739" i="166"/>
  <c r="E742" i="166"/>
  <c r="E745" i="166"/>
  <c r="E748" i="166"/>
  <c r="E751" i="166"/>
  <c r="E754" i="166"/>
  <c r="E757" i="166"/>
  <c r="E760" i="166"/>
  <c r="E763" i="166"/>
  <c r="E766" i="166"/>
  <c r="E769" i="166"/>
  <c r="E772" i="166"/>
  <c r="E775" i="166"/>
  <c r="E778" i="166"/>
  <c r="E781" i="166"/>
  <c r="E784" i="166"/>
  <c r="E787" i="166"/>
  <c r="E791" i="166"/>
  <c r="E792" i="166"/>
  <c r="E794" i="166"/>
  <c r="E797" i="166"/>
  <c r="E800" i="166"/>
  <c r="E803" i="166"/>
  <c r="E806" i="166"/>
  <c r="E809" i="166"/>
  <c r="E812" i="166"/>
  <c r="E815" i="166"/>
  <c r="E818" i="166"/>
  <c r="E821" i="166"/>
  <c r="E824" i="166"/>
  <c r="E827" i="166"/>
  <c r="E830" i="166"/>
  <c r="E833" i="166"/>
  <c r="E836" i="166"/>
  <c r="E839" i="166"/>
  <c r="E842" i="166"/>
  <c r="E845" i="166"/>
  <c r="E848" i="166"/>
  <c r="E851" i="166"/>
  <c r="E854" i="166"/>
  <c r="E857" i="166"/>
  <c r="E860" i="166"/>
  <c r="E863" i="166"/>
  <c r="E866" i="166"/>
  <c r="E869" i="166"/>
  <c r="E872" i="166"/>
  <c r="E875" i="166"/>
  <c r="E878" i="166"/>
  <c r="E881" i="166"/>
  <c r="E884" i="166"/>
  <c r="E887" i="166"/>
  <c r="E890" i="166"/>
  <c r="E893" i="166"/>
  <c r="E896" i="166"/>
  <c r="E899" i="166"/>
  <c r="E902" i="166"/>
  <c r="E905" i="166"/>
  <c r="E908" i="166"/>
  <c r="E911" i="166"/>
  <c r="E914" i="166"/>
  <c r="E918" i="166"/>
  <c r="E919" i="166"/>
  <c r="E921" i="166"/>
  <c r="E923" i="166"/>
  <c r="E924" i="166"/>
  <c r="E926" i="166"/>
  <c r="E927" i="166"/>
  <c r="E928" i="166"/>
  <c r="E930" i="166"/>
  <c r="E933" i="166"/>
  <c r="E936" i="166"/>
  <c r="E939" i="166"/>
  <c r="E942" i="166"/>
  <c r="E945" i="166"/>
  <c r="E948" i="166"/>
  <c r="E951" i="166"/>
  <c r="E954" i="166"/>
  <c r="E957" i="166"/>
  <c r="E960" i="166"/>
  <c r="E963" i="166"/>
  <c r="E966" i="166"/>
  <c r="E969" i="166"/>
  <c r="E972" i="166"/>
  <c r="E975" i="166"/>
  <c r="E978" i="166"/>
  <c r="E981" i="166"/>
  <c r="E984" i="166"/>
  <c r="E987" i="166"/>
  <c r="E990" i="166"/>
  <c r="E993" i="166"/>
  <c r="E996" i="166"/>
  <c r="E999" i="166"/>
  <c r="E1002" i="166"/>
  <c r="E1005" i="166"/>
  <c r="E1008" i="166"/>
  <c r="E1011" i="166"/>
  <c r="E1014" i="166"/>
  <c r="E1017" i="166"/>
  <c r="E1020" i="166"/>
  <c r="E1023" i="166"/>
  <c r="E1026" i="166"/>
  <c r="E1029" i="166"/>
  <c r="E1032" i="166"/>
  <c r="E1035" i="166"/>
  <c r="E1038" i="166"/>
  <c r="E1041" i="166"/>
  <c r="E1044" i="166"/>
  <c r="E1047" i="166"/>
  <c r="E1050" i="166"/>
  <c r="E1053" i="166"/>
  <c r="E1056" i="166"/>
  <c r="E1059" i="166"/>
  <c r="E1062" i="166"/>
  <c r="E1065" i="166"/>
  <c r="E1068" i="166"/>
  <c r="E1071" i="166"/>
  <c r="E1074" i="166"/>
  <c r="E1077" i="166"/>
  <c r="E1080" i="166"/>
  <c r="E1083" i="166"/>
  <c r="E1086" i="166"/>
  <c r="E1089" i="166"/>
  <c r="E1092" i="166"/>
  <c r="E1095" i="166"/>
  <c r="E1098" i="166"/>
  <c r="E1101" i="166"/>
  <c r="E1104" i="166"/>
  <c r="E1107" i="166"/>
  <c r="E1110" i="166"/>
  <c r="E1113" i="166"/>
  <c r="E1116" i="166"/>
  <c r="E1119" i="166"/>
  <c r="E1122" i="166"/>
  <c r="E1125" i="166"/>
  <c r="E1128" i="166"/>
  <c r="E1131" i="166"/>
  <c r="E1134" i="166"/>
  <c r="E1137" i="166"/>
  <c r="E1140" i="166"/>
  <c r="E1143" i="166"/>
  <c r="E1146" i="166"/>
  <c r="E1149" i="166"/>
  <c r="E1152" i="166"/>
  <c r="E1155" i="166"/>
  <c r="E1158" i="166"/>
  <c r="E1161" i="166"/>
  <c r="E1164" i="166"/>
  <c r="E1167" i="166"/>
  <c r="E1170" i="166"/>
  <c r="E1173" i="166"/>
  <c r="E1176" i="166"/>
  <c r="E1179" i="166"/>
  <c r="E1182" i="166"/>
  <c r="E1185" i="166"/>
  <c r="E1188" i="166"/>
  <c r="E1191" i="166"/>
  <c r="E1194" i="166"/>
  <c r="E1197" i="166"/>
  <c r="E1200" i="166"/>
  <c r="E1203" i="166"/>
  <c r="E1206" i="166"/>
  <c r="E1209" i="166"/>
  <c r="E1212" i="166"/>
  <c r="E1215" i="166"/>
  <c r="E1218" i="166"/>
  <c r="E1221" i="166"/>
  <c r="E1224" i="166"/>
  <c r="E1225" i="166"/>
  <c r="E1226" i="166"/>
  <c r="E1227" i="166"/>
  <c r="E1229" i="166"/>
  <c r="E1230" i="166"/>
  <c r="E1231" i="166"/>
  <c r="E1233" i="166"/>
  <c r="E1234" i="166"/>
  <c r="E1235" i="166"/>
  <c r="E1236" i="166"/>
  <c r="E1237" i="166"/>
  <c r="E1238" i="166"/>
  <c r="E1240" i="166"/>
  <c r="E1243" i="166"/>
  <c r="E1246" i="166"/>
  <c r="E1247" i="166"/>
  <c r="E1248" i="166"/>
  <c r="E1250" i="166"/>
  <c r="E1253" i="166"/>
  <c r="E1256" i="166"/>
  <c r="E1259" i="166"/>
  <c r="E1262" i="166"/>
  <c r="E1265" i="166"/>
  <c r="E1268" i="166"/>
  <c r="E1271" i="166"/>
  <c r="E1274" i="166"/>
  <c r="E1277" i="166"/>
  <c r="E1280" i="166"/>
  <c r="E1283" i="166"/>
  <c r="E1286" i="166"/>
  <c r="E1289" i="166"/>
  <c r="E1292" i="166"/>
  <c r="E1294" i="166"/>
  <c r="E1296" i="166"/>
  <c r="E1297" i="166"/>
  <c r="E1298" i="166"/>
  <c r="E1299" i="166"/>
  <c r="E1300" i="166"/>
  <c r="E1301" i="166"/>
  <c r="E1302" i="166"/>
  <c r="E1304" i="166"/>
  <c r="E1307" i="166"/>
  <c r="E1310" i="166"/>
  <c r="E1313" i="166"/>
  <c r="E1316" i="166"/>
  <c r="E1319" i="166"/>
  <c r="E1322" i="166"/>
  <c r="E1325" i="166"/>
  <c r="E1328" i="166"/>
  <c r="E1331" i="166"/>
  <c r="E1334" i="166"/>
  <c r="E1337" i="166"/>
  <c r="E1340" i="166"/>
  <c r="E1343" i="166"/>
  <c r="E1346" i="166"/>
  <c r="E1349" i="166"/>
  <c r="E1352" i="166"/>
  <c r="E1355" i="166"/>
  <c r="E1358" i="166"/>
  <c r="E1361" i="166"/>
  <c r="E1364" i="166"/>
  <c r="E1367" i="166"/>
  <c r="E1370" i="166"/>
  <c r="E1373" i="166"/>
  <c r="E1376" i="166"/>
  <c r="E1379" i="166"/>
  <c r="E1382" i="166"/>
  <c r="E1385" i="166"/>
  <c r="E1388" i="166"/>
  <c r="E1391" i="166"/>
  <c r="E1394" i="166"/>
  <c r="E1397" i="166"/>
  <c r="E1400" i="166"/>
  <c r="E1403" i="166"/>
  <c r="E1406" i="166"/>
  <c r="E1409" i="166"/>
  <c r="E1412" i="166"/>
  <c r="E1415" i="166"/>
  <c r="E1418" i="166"/>
  <c r="E1421" i="166"/>
  <c r="E1424" i="166"/>
  <c r="E1427" i="166"/>
  <c r="E1430" i="166"/>
  <c r="E1433" i="166"/>
  <c r="E1436" i="166"/>
  <c r="E1439" i="166"/>
  <c r="E1442" i="166"/>
  <c r="E1445" i="166"/>
  <c r="E1448" i="166"/>
  <c r="E1451" i="166"/>
  <c r="E1454" i="166"/>
  <c r="E1456" i="166"/>
  <c r="E1458" i="166"/>
  <c r="E1461" i="166"/>
  <c r="E1464" i="166"/>
  <c r="E1467" i="166"/>
  <c r="E1470" i="166"/>
  <c r="E1473" i="166"/>
  <c r="E1476" i="166"/>
  <c r="E1479" i="166"/>
  <c r="E1482" i="166"/>
  <c r="E1485" i="166"/>
  <c r="E1488" i="166"/>
  <c r="E1491" i="166"/>
  <c r="E1494" i="166"/>
  <c r="E1497" i="166"/>
  <c r="E1500" i="166"/>
  <c r="E1503" i="166"/>
  <c r="E1506" i="166"/>
  <c r="E1509" i="166"/>
  <c r="E1512" i="166"/>
  <c r="E1515" i="166"/>
  <c r="E1518" i="166"/>
  <c r="E1521" i="166"/>
  <c r="E1524" i="166"/>
  <c r="E1527" i="166"/>
  <c r="E1530" i="166"/>
  <c r="E1533" i="166"/>
  <c r="E1536" i="166"/>
  <c r="E1539" i="166"/>
  <c r="E1542" i="166"/>
  <c r="E1545" i="166"/>
  <c r="E1548" i="166"/>
  <c r="E1551" i="166"/>
  <c r="E1554" i="166"/>
  <c r="E1557" i="166"/>
  <c r="E1560" i="166"/>
  <c r="E1563" i="166"/>
  <c r="E1566" i="166"/>
  <c r="E1569" i="166"/>
  <c r="E1572" i="166"/>
  <c r="E1575" i="166"/>
  <c r="E1578" i="166"/>
  <c r="E1581" i="166"/>
  <c r="E1584" i="166"/>
  <c r="E1587" i="166"/>
  <c r="E1590" i="166"/>
  <c r="E1593" i="166"/>
  <c r="E1596" i="166"/>
  <c r="E1599" i="166"/>
  <c r="E1602" i="166"/>
  <c r="E1605" i="166"/>
  <c r="E1608" i="166"/>
  <c r="E1611" i="166"/>
  <c r="E1614" i="166"/>
  <c r="E1617" i="166"/>
  <c r="E1620" i="166"/>
  <c r="E1623" i="166"/>
  <c r="E1626" i="166"/>
  <c r="E1629" i="166"/>
  <c r="E1632" i="166"/>
  <c r="E1635" i="166"/>
  <c r="E1638" i="166"/>
  <c r="E1641" i="166"/>
  <c r="E1644" i="166"/>
  <c r="E1647" i="166"/>
  <c r="E1650" i="166"/>
  <c r="E1653" i="166"/>
  <c r="E1656" i="166"/>
  <c r="E1659" i="166"/>
  <c r="E1662" i="166"/>
  <c r="E1665" i="166"/>
  <c r="E1666" i="166"/>
  <c r="E1667" i="166"/>
  <c r="E1669" i="166"/>
  <c r="E1672" i="166"/>
  <c r="E1675" i="166"/>
  <c r="E1678" i="166"/>
  <c r="E1681" i="166"/>
  <c r="E1684" i="166"/>
  <c r="E1687" i="166"/>
  <c r="E1690" i="166"/>
  <c r="E1693" i="166"/>
  <c r="E1696" i="166"/>
  <c r="E1699" i="166"/>
  <c r="E1702" i="166"/>
  <c r="E1705" i="166"/>
  <c r="E1708" i="166"/>
  <c r="E1711" i="166"/>
  <c r="E1714" i="166"/>
  <c r="E1717" i="166"/>
  <c r="E1720" i="166"/>
  <c r="E1723" i="166"/>
  <c r="E1726" i="166"/>
  <c r="E1729" i="166"/>
  <c r="E1732" i="166"/>
  <c r="E1735" i="166"/>
  <c r="E1738" i="166"/>
  <c r="E1741" i="166"/>
  <c r="E1744" i="166"/>
  <c r="E1747" i="166"/>
  <c r="E1750" i="166"/>
  <c r="E1753" i="166"/>
  <c r="E1756" i="166"/>
  <c r="E1759" i="166"/>
  <c r="E1762" i="166"/>
  <c r="E1765" i="166"/>
  <c r="E1768" i="166"/>
  <c r="E1771" i="166"/>
  <c r="E1774" i="166"/>
  <c r="E1777" i="166"/>
  <c r="E1780" i="166"/>
  <c r="E1783" i="166"/>
  <c r="E1786" i="166"/>
  <c r="E1789" i="166"/>
  <c r="E1792" i="166"/>
  <c r="E1795" i="166"/>
  <c r="E1798" i="166"/>
  <c r="E1801" i="166"/>
  <c r="E1804" i="166"/>
  <c r="E1807" i="166"/>
  <c r="E1810" i="166"/>
  <c r="E1813" i="166"/>
  <c r="E1816" i="166"/>
  <c r="E1819" i="166"/>
  <c r="E1822" i="166"/>
  <c r="E1825" i="166"/>
  <c r="E1828" i="166"/>
  <c r="E1831" i="166"/>
  <c r="E1834" i="166"/>
  <c r="E1837" i="166"/>
  <c r="E1840" i="166"/>
  <c r="E1843" i="166"/>
  <c r="E1846" i="166"/>
  <c r="E1849" i="166"/>
  <c r="E1852" i="166"/>
  <c r="E1855" i="166"/>
  <c r="E1858" i="166"/>
  <c r="E1861" i="166"/>
  <c r="E1864" i="166"/>
  <c r="E1867" i="166"/>
  <c r="E1870" i="166"/>
  <c r="E1873" i="166"/>
  <c r="E1876" i="166"/>
  <c r="E1879" i="166"/>
  <c r="E1882" i="166"/>
  <c r="E1885" i="166"/>
  <c r="E1888" i="166"/>
  <c r="E1891" i="166"/>
  <c r="E1894" i="166"/>
  <c r="E1897" i="166"/>
  <c r="E1900" i="166"/>
  <c r="E1903" i="166"/>
  <c r="E1906" i="166"/>
  <c r="E1909" i="166"/>
  <c r="E1912" i="166"/>
  <c r="E1915" i="166"/>
  <c r="E1918" i="166"/>
  <c r="E1921" i="166"/>
  <c r="E1924" i="166"/>
  <c r="E1927" i="166"/>
  <c r="E1930" i="166"/>
  <c r="E1933" i="166"/>
  <c r="E1936" i="166"/>
  <c r="E1939" i="166"/>
  <c r="E1942" i="166"/>
  <c r="E1945" i="166"/>
  <c r="E1948" i="166"/>
  <c r="E1951" i="166"/>
  <c r="E1954" i="166"/>
  <c r="E1957" i="166"/>
  <c r="E1960" i="166"/>
  <c r="E1963" i="166"/>
  <c r="E1966" i="166"/>
  <c r="E1969" i="166"/>
  <c r="E1972" i="166"/>
  <c r="E1975" i="166"/>
  <c r="E1978" i="166"/>
  <c r="E1981" i="166"/>
  <c r="E1982" i="166"/>
  <c r="E1983" i="166"/>
  <c r="E1984" i="166"/>
  <c r="E1985" i="166"/>
  <c r="E1986" i="166"/>
  <c r="E1998" i="166"/>
  <c r="E2001" i="166"/>
  <c r="E2004" i="166"/>
  <c r="E2007" i="166"/>
  <c r="E2010" i="166"/>
  <c r="E2014" i="166"/>
  <c r="E2015" i="166"/>
  <c r="E2039" i="166"/>
  <c r="E2042" i="166"/>
  <c r="E2045" i="166"/>
  <c r="E2048" i="166"/>
  <c r="E2051" i="166"/>
  <c r="E2054" i="166"/>
  <c r="E2057" i="166"/>
  <c r="E2060" i="166"/>
  <c r="E2063" i="166"/>
  <c r="E2066" i="166"/>
  <c r="E2069" i="166"/>
  <c r="E2072" i="166"/>
  <c r="E2075" i="166"/>
  <c r="E2078" i="166"/>
  <c r="E2081" i="166"/>
  <c r="E2084" i="166"/>
  <c r="E2087" i="166"/>
  <c r="E2090" i="166"/>
  <c r="E2093" i="166"/>
  <c r="E2096" i="166"/>
  <c r="E2099" i="166"/>
  <c r="E2102" i="166"/>
  <c r="E2105" i="166"/>
  <c r="E2108" i="166"/>
  <c r="E2111" i="166"/>
  <c r="E2114" i="166"/>
  <c r="E2117" i="166"/>
  <c r="E2120" i="166"/>
  <c r="E2123" i="166"/>
  <c r="E2126" i="166"/>
  <c r="E2129" i="166"/>
  <c r="E2132" i="166"/>
  <c r="E2135" i="166"/>
  <c r="E2138" i="166"/>
  <c r="E2141" i="166"/>
  <c r="E2144" i="166"/>
  <c r="E2147" i="166"/>
  <c r="E2150" i="166"/>
  <c r="E2153" i="166"/>
  <c r="E2156" i="166"/>
  <c r="E2159" i="166"/>
  <c r="E2162" i="166"/>
  <c r="E2165" i="166"/>
  <c r="E2168" i="166"/>
  <c r="E2171" i="166"/>
  <c r="E2174" i="166"/>
  <c r="E2177" i="166"/>
  <c r="E2180" i="166"/>
  <c r="E2183" i="166"/>
  <c r="E2186" i="166"/>
  <c r="E2189" i="166"/>
  <c r="E2192" i="166"/>
  <c r="E2195" i="166"/>
  <c r="E2198" i="166"/>
  <c r="E2201" i="166"/>
  <c r="E2204" i="166"/>
  <c r="E2207" i="166"/>
  <c r="E2210" i="166"/>
  <c r="E2213" i="166"/>
  <c r="E2216" i="166"/>
  <c r="E2219" i="166"/>
  <c r="E2222" i="166"/>
  <c r="E2223" i="166"/>
  <c r="E2225" i="166"/>
  <c r="E2228" i="166"/>
  <c r="E2231" i="166"/>
  <c r="E2234" i="166"/>
  <c r="E2237" i="166"/>
  <c r="E2240" i="166"/>
  <c r="E2243" i="166"/>
  <c r="E2246" i="166"/>
  <c r="E2249" i="166"/>
  <c r="E2252" i="166"/>
  <c r="E2255" i="166"/>
  <c r="E2258" i="166"/>
  <c r="E2261" i="166"/>
  <c r="E2264" i="166"/>
  <c r="E2267" i="166"/>
  <c r="E2270" i="166"/>
  <c r="E2273" i="166"/>
  <c r="E2276" i="166"/>
  <c r="E2279" i="166"/>
  <c r="E2282" i="166"/>
  <c r="E2285" i="166"/>
  <c r="E2288" i="166"/>
  <c r="E2291" i="166"/>
  <c r="E2294" i="166"/>
  <c r="E2297" i="166"/>
  <c r="E2300" i="166"/>
  <c r="E2303" i="166"/>
  <c r="E2306" i="166"/>
  <c r="E2309" i="166"/>
  <c r="E2312" i="166"/>
  <c r="E2315" i="166"/>
  <c r="E2318" i="166"/>
  <c r="E2321" i="166"/>
  <c r="E2324" i="166"/>
  <c r="E2327" i="166"/>
  <c r="E2330" i="166"/>
  <c r="E2333" i="166"/>
  <c r="E2336" i="166"/>
  <c r="E2339" i="166"/>
  <c r="E2342" i="166"/>
  <c r="E2345" i="166"/>
  <c r="E2350" i="166"/>
  <c r="E2351" i="166"/>
  <c r="E2353" i="166"/>
  <c r="E2356" i="166"/>
  <c r="E2359" i="166"/>
  <c r="E2362" i="166"/>
  <c r="E2365" i="166"/>
  <c r="E2368" i="166"/>
  <c r="E2371" i="166"/>
  <c r="E2374" i="166"/>
  <c r="E2377" i="166"/>
  <c r="E2380" i="166"/>
  <c r="E2383" i="166"/>
  <c r="E2386" i="166"/>
  <c r="E2389" i="166"/>
  <c r="E2392" i="166"/>
  <c r="E2395" i="166"/>
  <c r="E2398" i="166"/>
  <c r="E2401" i="166"/>
  <c r="E2404" i="166"/>
  <c r="E2407" i="166"/>
  <c r="E2410" i="166"/>
  <c r="E2413" i="166"/>
  <c r="E2416" i="166"/>
  <c r="E2419" i="166"/>
  <c r="E2422" i="166"/>
  <c r="E2425" i="166"/>
  <c r="E2428" i="166"/>
  <c r="E2431" i="166"/>
  <c r="E2434" i="166"/>
  <c r="E2437" i="166"/>
  <c r="E2440" i="166"/>
  <c r="E2443" i="166"/>
  <c r="E2446" i="166"/>
  <c r="E2449" i="166"/>
  <c r="E2452" i="166"/>
  <c r="E2455" i="166"/>
  <c r="E2458" i="166"/>
  <c r="E2461" i="166"/>
  <c r="E2464" i="166"/>
  <c r="E2467" i="166"/>
  <c r="E2470" i="166"/>
  <c r="E2473" i="166"/>
  <c r="E2476" i="166"/>
  <c r="E2479" i="166"/>
  <c r="E2482" i="166"/>
  <c r="E2485" i="166"/>
  <c r="E2486" i="166"/>
  <c r="E2487" i="166"/>
  <c r="E2489" i="166"/>
  <c r="E2492" i="166"/>
  <c r="E2495" i="166"/>
  <c r="E2498" i="166"/>
  <c r="E2501" i="166"/>
  <c r="E2504" i="166"/>
  <c r="E2507" i="166"/>
  <c r="E2510" i="166"/>
  <c r="E2513" i="166"/>
  <c r="E2516" i="166"/>
  <c r="E2519" i="166"/>
  <c r="E2522" i="166"/>
  <c r="E2525" i="166"/>
  <c r="E2528" i="166"/>
  <c r="E2531" i="166"/>
  <c r="E2534" i="166"/>
  <c r="E2537" i="166"/>
  <c r="E2540" i="166"/>
  <c r="E2543" i="166"/>
  <c r="E2546" i="166"/>
  <c r="E2549" i="166"/>
  <c r="E2552" i="166"/>
  <c r="E2555" i="166"/>
  <c r="E2558" i="166"/>
  <c r="E2561" i="166"/>
  <c r="E2564" i="166"/>
  <c r="E2567" i="166"/>
  <c r="E2570" i="166"/>
  <c r="E2573" i="166"/>
  <c r="E2576" i="166"/>
  <c r="E2579" i="166"/>
  <c r="E2582" i="166"/>
  <c r="E2585" i="166"/>
  <c r="E2588" i="166"/>
  <c r="E2591" i="166"/>
  <c r="E2594" i="166"/>
  <c r="E2597" i="166"/>
  <c r="E2600" i="166"/>
  <c r="E2603" i="166"/>
  <c r="E2606" i="166"/>
  <c r="E2609" i="166"/>
  <c r="E2612" i="166"/>
  <c r="E2615" i="166"/>
  <c r="E2618" i="166"/>
  <c r="E2621" i="166"/>
  <c r="E2624" i="166"/>
  <c r="E2627" i="166"/>
  <c r="E2630" i="166"/>
  <c r="E2633" i="166"/>
  <c r="E2636" i="166"/>
  <c r="E2639" i="166"/>
  <c r="E2642" i="166"/>
  <c r="E2645" i="166"/>
  <c r="E2648" i="166"/>
  <c r="E2651" i="166"/>
  <c r="E2654" i="166"/>
  <c r="E2657" i="166"/>
  <c r="E2660" i="166"/>
  <c r="E2663" i="166"/>
  <c r="E2666" i="166"/>
  <c r="E2669" i="166"/>
  <c r="E2672" i="166"/>
  <c r="E2675" i="166"/>
  <c r="E2678" i="166"/>
  <c r="E2681" i="166"/>
  <c r="E2684" i="166"/>
  <c r="E2687" i="166"/>
  <c r="E2690" i="166"/>
  <c r="E2693" i="166"/>
  <c r="E2696" i="166"/>
  <c r="E2699" i="166"/>
  <c r="E2702" i="166"/>
  <c r="E2705" i="166"/>
  <c r="E2708" i="166"/>
  <c r="E2711" i="166"/>
  <c r="E2714" i="166"/>
  <c r="E2717" i="166"/>
  <c r="E2720" i="166"/>
  <c r="E2721" i="166"/>
  <c r="E2722" i="166"/>
  <c r="E2724" i="166"/>
  <c r="E2725" i="166"/>
  <c r="E2726" i="166"/>
  <c r="E2728" i="166"/>
  <c r="E2729" i="166"/>
  <c r="E2730" i="166"/>
  <c r="E2732" i="166"/>
  <c r="E2733" i="166"/>
  <c r="E2734" i="166"/>
  <c r="E2735" i="166"/>
  <c r="E2736" i="166"/>
  <c r="E2737" i="166"/>
  <c r="E2738" i="166"/>
  <c r="E2741" i="166"/>
  <c r="E2742" i="166"/>
  <c r="E2743" i="166"/>
  <c r="E2744" i="166"/>
  <c r="E2745" i="166"/>
  <c r="E2747" i="166"/>
  <c r="E2750" i="166"/>
  <c r="E2753" i="166"/>
  <c r="E2756" i="166"/>
  <c r="E2759" i="166"/>
  <c r="E2762" i="166"/>
  <c r="E2765" i="166"/>
  <c r="E2768" i="166"/>
  <c r="E2771" i="166"/>
  <c r="E2774" i="166"/>
  <c r="E2777" i="166"/>
  <c r="E2780" i="166"/>
  <c r="E2783" i="166"/>
  <c r="E2786" i="166"/>
  <c r="E2789" i="166"/>
  <c r="E2792" i="166"/>
  <c r="E2795" i="166"/>
  <c r="E2798" i="166"/>
  <c r="E2801" i="166"/>
  <c r="E2804" i="166"/>
  <c r="E2807" i="166"/>
  <c r="E2810" i="166"/>
  <c r="E2842" i="166"/>
  <c r="E2845" i="166"/>
  <c r="E2848" i="166"/>
  <c r="E2851" i="166"/>
  <c r="E2854" i="166"/>
  <c r="E2857" i="166"/>
  <c r="E2860" i="166"/>
  <c r="E2863" i="166"/>
  <c r="E2866" i="166"/>
  <c r="E2869" i="166"/>
  <c r="E2872" i="166"/>
  <c r="E2875" i="166"/>
  <c r="E2878" i="166"/>
  <c r="E2881" i="166"/>
  <c r="E2884" i="166"/>
  <c r="E2887" i="166"/>
  <c r="E2890" i="166"/>
  <c r="E2893" i="166"/>
  <c r="E2896" i="166"/>
  <c r="E2899" i="166"/>
  <c r="E2902" i="166"/>
  <c r="E2905" i="166"/>
  <c r="E2908" i="166"/>
  <c r="E2911" i="166"/>
  <c r="E2914" i="166"/>
  <c r="E2917" i="166"/>
  <c r="E2920" i="166"/>
  <c r="E2923" i="166"/>
  <c r="E2926" i="166"/>
  <c r="E2929" i="166"/>
  <c r="E2932" i="166"/>
  <c r="E2936" i="166"/>
  <c r="E2937" i="166"/>
  <c r="E2939" i="166"/>
  <c r="E2942" i="166"/>
  <c r="E2945" i="166"/>
  <c r="E2948" i="166"/>
  <c r="E2951" i="166"/>
  <c r="E2954" i="166"/>
  <c r="E2957" i="166"/>
  <c r="E2960" i="166"/>
  <c r="E2963" i="166"/>
  <c r="E2966" i="166"/>
  <c r="E2969" i="166"/>
  <c r="E2972" i="166"/>
  <c r="E2975" i="166"/>
  <c r="E2978" i="166"/>
  <c r="E2981" i="166"/>
  <c r="E2984" i="166"/>
  <c r="E2987" i="166"/>
  <c r="E2990" i="166"/>
  <c r="E2993" i="166"/>
  <c r="E2996" i="166"/>
  <c r="E2999" i="166"/>
  <c r="E3002" i="166"/>
  <c r="E3005" i="166"/>
  <c r="E3008" i="166"/>
  <c r="E3011" i="166"/>
  <c r="E3014" i="166"/>
  <c r="E3017" i="166"/>
  <c r="E3020" i="166"/>
  <c r="E3023" i="166"/>
  <c r="E3026" i="166"/>
  <c r="E3029" i="166"/>
  <c r="E3032" i="166"/>
  <c r="E3035" i="166"/>
  <c r="E3038" i="166"/>
  <c r="E3041" i="166"/>
  <c r="E3044" i="166"/>
  <c r="E3047" i="166"/>
  <c r="E3050" i="166"/>
  <c r="E3053" i="166"/>
  <c r="E3056" i="166"/>
  <c r="E3059" i="166"/>
  <c r="E3062" i="166"/>
  <c r="E3065" i="166"/>
  <c r="E3068" i="166"/>
  <c r="E3071" i="166"/>
  <c r="E3074" i="166"/>
  <c r="E3077" i="166"/>
  <c r="E3080" i="166"/>
  <c r="E3083" i="166"/>
  <c r="E3086" i="166"/>
  <c r="E3089" i="166"/>
  <c r="E3092" i="166"/>
  <c r="E3095" i="166"/>
  <c r="E3098" i="166"/>
  <c r="E3101" i="166"/>
  <c r="E3104" i="166"/>
  <c r="E3107" i="166"/>
  <c r="E3110" i="166"/>
  <c r="E3113" i="166"/>
  <c r="E3116" i="166"/>
  <c r="E3119" i="166"/>
  <c r="E3122" i="166"/>
  <c r="E3125" i="166"/>
  <c r="E3128" i="166"/>
  <c r="E3131" i="166"/>
  <c r="E3134" i="166"/>
  <c r="E3137" i="166"/>
  <c r="E3140" i="166"/>
  <c r="E3143" i="166"/>
  <c r="E3146" i="166"/>
  <c r="E3149" i="166"/>
  <c r="E3152" i="166"/>
  <c r="E3155" i="166"/>
  <c r="E3158" i="166"/>
  <c r="E3161" i="166"/>
  <c r="E3164" i="166"/>
  <c r="E3167" i="166"/>
  <c r="E3170" i="166"/>
  <c r="E3173" i="166"/>
  <c r="E3176" i="166"/>
  <c r="E3179" i="166"/>
  <c r="E3182" i="166"/>
  <c r="E3185" i="166"/>
  <c r="E3188" i="166"/>
  <c r="E3191" i="166"/>
  <c r="E3194" i="166"/>
  <c r="E3198" i="166"/>
  <c r="E3199" i="166"/>
  <c r="E3201" i="166"/>
  <c r="E3204" i="166"/>
  <c r="E3208" i="166"/>
  <c r="E3209" i="166"/>
  <c r="E3211" i="166"/>
  <c r="E3214" i="166"/>
  <c r="E3217" i="166"/>
  <c r="E3220" i="166"/>
  <c r="E3223" i="166"/>
  <c r="E3226" i="166"/>
  <c r="E3229" i="166"/>
  <c r="E3232" i="166"/>
  <c r="E3235" i="166"/>
  <c r="E3238" i="166"/>
  <c r="E3241" i="166"/>
  <c r="E3244" i="166"/>
  <c r="E3247" i="166"/>
  <c r="E3250" i="166"/>
  <c r="E3253" i="166"/>
  <c r="E3256" i="166"/>
  <c r="E3259" i="166"/>
  <c r="E3262" i="166"/>
  <c r="E3265" i="166"/>
  <c r="E3268" i="166"/>
  <c r="E3271" i="166"/>
  <c r="E3274" i="166"/>
  <c r="E3277" i="166"/>
  <c r="E3280" i="166"/>
  <c r="E3283" i="166"/>
  <c r="E3286" i="166"/>
  <c r="E3289" i="166"/>
  <c r="E3292" i="166"/>
  <c r="E3295" i="166"/>
  <c r="E3298" i="166"/>
  <c r="E3301" i="166"/>
  <c r="E3304" i="166"/>
  <c r="E3307" i="166"/>
  <c r="E3310" i="166"/>
  <c r="E3313" i="166"/>
  <c r="E3316" i="166"/>
  <c r="E3319" i="166"/>
  <c r="E3322" i="166"/>
  <c r="E3325" i="166"/>
  <c r="E3328" i="166"/>
  <c r="E3331" i="166"/>
  <c r="E3334" i="166"/>
  <c r="E3337" i="166"/>
  <c r="E3340" i="166"/>
  <c r="E3343" i="166"/>
  <c r="E3346" i="166"/>
  <c r="E3349" i="166"/>
  <c r="E3352" i="166"/>
  <c r="E3355" i="166"/>
  <c r="E3358" i="166"/>
  <c r="E3361" i="166"/>
  <c r="E3364" i="166"/>
  <c r="E3367" i="166"/>
  <c r="E3370" i="166"/>
  <c r="E3373" i="166"/>
  <c r="E3376" i="166"/>
  <c r="E3379" i="166"/>
  <c r="E3382" i="166"/>
  <c r="E3385" i="166"/>
  <c r="E3388" i="166"/>
  <c r="E3391" i="166"/>
  <c r="E3394" i="166"/>
  <c r="E3397" i="166"/>
  <c r="E3400" i="166"/>
  <c r="E3403" i="166"/>
  <c r="E3406" i="166"/>
  <c r="E3409" i="166"/>
  <c r="E3412" i="166"/>
  <c r="E3415" i="166"/>
  <c r="E3418" i="166"/>
  <c r="E3421" i="166"/>
  <c r="E3424" i="166"/>
  <c r="E3427" i="166"/>
  <c r="E3430" i="166"/>
  <c r="E3433" i="166"/>
  <c r="E3436" i="166"/>
  <c r="E3439" i="166"/>
  <c r="E3442" i="166"/>
  <c r="E3445" i="166"/>
  <c r="E3448" i="166"/>
  <c r="E3451" i="166"/>
  <c r="E3452" i="166"/>
  <c r="E3453" i="166"/>
  <c r="E3454" i="166"/>
  <c r="E3455" i="166"/>
  <c r="E3456" i="166"/>
  <c r="E3457" i="166"/>
  <c r="E3459" i="166"/>
  <c r="E3460" i="166"/>
  <c r="E3461" i="166"/>
  <c r="E3462" i="166"/>
  <c r="E3463" i="166"/>
  <c r="E3464" i="166"/>
  <c r="E3466" i="166"/>
  <c r="E3469" i="166"/>
  <c r="E3472" i="166"/>
  <c r="E3475" i="166"/>
  <c r="E3478" i="166"/>
  <c r="E3481" i="166"/>
  <c r="E3484" i="166"/>
  <c r="E3487" i="166"/>
  <c r="E3490" i="166"/>
  <c r="E3493" i="166"/>
  <c r="E3496" i="166"/>
  <c r="E3499" i="166"/>
  <c r="E3518" i="166"/>
  <c r="E3521" i="166"/>
  <c r="E3524" i="166"/>
  <c r="E3527" i="166"/>
  <c r="E3530" i="166"/>
  <c r="E3533" i="166"/>
  <c r="E3536" i="166"/>
  <c r="E3539" i="166"/>
  <c r="E3542" i="166"/>
  <c r="E3545" i="166"/>
  <c r="E3548" i="166"/>
  <c r="E3551" i="166"/>
  <c r="E3554" i="166"/>
  <c r="E3557" i="166"/>
  <c r="E3560" i="166"/>
  <c r="E3563" i="166"/>
  <c r="E3566" i="166"/>
  <c r="E3569" i="166"/>
  <c r="E3572" i="166"/>
  <c r="E3575" i="166"/>
  <c r="E3578" i="166"/>
  <c r="E3581" i="166"/>
  <c r="E3584" i="166"/>
  <c r="E3587" i="166"/>
  <c r="E3590" i="166"/>
  <c r="E3593" i="166"/>
  <c r="E3596" i="166"/>
  <c r="E3599" i="166"/>
  <c r="E3602" i="166"/>
  <c r="E3605" i="166"/>
  <c r="E3608" i="166"/>
  <c r="E3611" i="166"/>
  <c r="E3614" i="166"/>
  <c r="E3617" i="166"/>
  <c r="E3620" i="166"/>
  <c r="E3623" i="166"/>
  <c r="E3626" i="166"/>
  <c r="E3629" i="166"/>
  <c r="E3632" i="166"/>
  <c r="E3635" i="166"/>
  <c r="E3638" i="166"/>
  <c r="E3641" i="166"/>
  <c r="E3644" i="166"/>
  <c r="E3647" i="166"/>
  <c r="E3650" i="166"/>
  <c r="E3653" i="166"/>
  <c r="E3656" i="166"/>
  <c r="E3659" i="166"/>
  <c r="E3662" i="166"/>
  <c r="E3665" i="166"/>
  <c r="E3668" i="166"/>
  <c r="E3671" i="166"/>
  <c r="E3674" i="166"/>
  <c r="E3677" i="166"/>
  <c r="E3680" i="166"/>
  <c r="E3683" i="166"/>
  <c r="E3686" i="166"/>
  <c r="E3689" i="166"/>
  <c r="E3692" i="166"/>
  <c r="E3695" i="166"/>
  <c r="E3698" i="166"/>
  <c r="E3701" i="166"/>
  <c r="E3704" i="166"/>
  <c r="E3707" i="166"/>
  <c r="E3710" i="166"/>
  <c r="E3713" i="166"/>
  <c r="E3716" i="166"/>
  <c r="E3719" i="166"/>
  <c r="E3722" i="166"/>
  <c r="E3725" i="166"/>
  <c r="E3728" i="166"/>
  <c r="E3731" i="166"/>
  <c r="E3734" i="166"/>
  <c r="E3738" i="166"/>
  <c r="E3739" i="166"/>
  <c r="E3741" i="166"/>
  <c r="E3744" i="166"/>
  <c r="E3747" i="166"/>
  <c r="E3750" i="166"/>
  <c r="E3753" i="166"/>
  <c r="E3756" i="166"/>
  <c r="E3759" i="166"/>
  <c r="E3762" i="166"/>
  <c r="E3765" i="166"/>
  <c r="E3768" i="166"/>
  <c r="E3771" i="166"/>
  <c r="E3774" i="166"/>
  <c r="E3777" i="166"/>
  <c r="E3780" i="166"/>
  <c r="E3783" i="166"/>
  <c r="E3786" i="166"/>
  <c r="E3789" i="166"/>
  <c r="E3792" i="166"/>
  <c r="E3795" i="166"/>
  <c r="E3798" i="166"/>
  <c r="E3801" i="166"/>
  <c r="E3804" i="166"/>
  <c r="E3807" i="166"/>
  <c r="E3810" i="166"/>
  <c r="E3813" i="166"/>
  <c r="E3816" i="166"/>
  <c r="E3819" i="166"/>
  <c r="E3822" i="166"/>
  <c r="E3825" i="166"/>
  <c r="E3828" i="166"/>
  <c r="E3831" i="166"/>
  <c r="E3834" i="166"/>
  <c r="E3837" i="166"/>
  <c r="E3840" i="166"/>
  <c r="E3843" i="166"/>
  <c r="E3846" i="166"/>
  <c r="E3850" i="166"/>
  <c r="E3851" i="166"/>
  <c r="E3854" i="166"/>
  <c r="E3855" i="166"/>
  <c r="E3858" i="166"/>
  <c r="E3859" i="166"/>
  <c r="E3861" i="166"/>
  <c r="E3864" i="166"/>
  <c r="E3867" i="166"/>
  <c r="E3870" i="166"/>
  <c r="E3873" i="166"/>
  <c r="E3876" i="166"/>
  <c r="E3879" i="166"/>
  <c r="E3882" i="166"/>
  <c r="E3885" i="166"/>
  <c r="E3888" i="166"/>
  <c r="E3891" i="166"/>
  <c r="E3894" i="166"/>
  <c r="E3897" i="166"/>
  <c r="E3900" i="166"/>
  <c r="E3903" i="166"/>
  <c r="E3906" i="166"/>
  <c r="E3909" i="166"/>
  <c r="E3912" i="166"/>
  <c r="E3915" i="166"/>
  <c r="E3918" i="166"/>
  <c r="E3921" i="166"/>
  <c r="E3924" i="166"/>
  <c r="E3927" i="166"/>
  <c r="E3930" i="166"/>
  <c r="E3933" i="166"/>
  <c r="H2428" i="167"/>
  <c r="D2428" i="167"/>
  <c r="A2428" i="167"/>
  <c r="B2428" i="167" s="1"/>
  <c r="D2427" i="167"/>
  <c r="B2427" i="167"/>
  <c r="D3738" i="166"/>
  <c r="B3738" i="166"/>
  <c r="F2935" i="166"/>
  <c r="E2935" i="166" s="1"/>
  <c r="D2936" i="166"/>
  <c r="B2936" i="166"/>
  <c r="D2729" i="166"/>
  <c r="B2729" i="166"/>
  <c r="F2349" i="166"/>
  <c r="F2348" i="166" s="1"/>
  <c r="E2348" i="166" s="1"/>
  <c r="A2014" i="166"/>
  <c r="B2014" i="166" s="1"/>
  <c r="H2015" i="166"/>
  <c r="D2015" i="166"/>
  <c r="A2015" i="166"/>
  <c r="H2014" i="166"/>
  <c r="D2014" i="166"/>
  <c r="F2013" i="166"/>
  <c r="E2013" i="166" s="1"/>
  <c r="D2013" i="166"/>
  <c r="B2013" i="166"/>
  <c r="B2015" i="166" s="1"/>
  <c r="D2721" i="166"/>
  <c r="B2721" i="166"/>
  <c r="D2725" i="166"/>
  <c r="B2725" i="166"/>
  <c r="D2486" i="166"/>
  <c r="B2486" i="166"/>
  <c r="D2349" i="166"/>
  <c r="B2349" i="166"/>
  <c r="A1666" i="166"/>
  <c r="H1666" i="166"/>
  <c r="D1666" i="166"/>
  <c r="A1455" i="166"/>
  <c r="F1455" i="166"/>
  <c r="H1455" i="166"/>
  <c r="G1455" i="166"/>
  <c r="D1455" i="166"/>
  <c r="B22" i="10"/>
  <c r="B43" i="11"/>
  <c r="D2984" i="167"/>
  <c r="D2983" i="167"/>
  <c r="D2981" i="167"/>
  <c r="D2980" i="167"/>
  <c r="D2978" i="167"/>
  <c r="D2977" i="167"/>
  <c r="D2975" i="167"/>
  <c r="D2974" i="167"/>
  <c r="D2972" i="167"/>
  <c r="D2971" i="167"/>
  <c r="D2966" i="167"/>
  <c r="D2965" i="167"/>
  <c r="D2960" i="167"/>
  <c r="D2959" i="167"/>
  <c r="K2922" i="167"/>
  <c r="D2958" i="167"/>
  <c r="K2921" i="167"/>
  <c r="D2957" i="167"/>
  <c r="K2920" i="167"/>
  <c r="K2919" i="167"/>
  <c r="D2955" i="167"/>
  <c r="D2954" i="167"/>
  <c r="D2951" i="167"/>
  <c r="D2950" i="167"/>
  <c r="D2948" i="167"/>
  <c r="D2947" i="167"/>
  <c r="D2945" i="167"/>
  <c r="D2944" i="167"/>
  <c r="D2942" i="167"/>
  <c r="D2941" i="167"/>
  <c r="D2939" i="167"/>
  <c r="D2938" i="167"/>
  <c r="D2936" i="167"/>
  <c r="D2935" i="167"/>
  <c r="D2933" i="167"/>
  <c r="D2932" i="167"/>
  <c r="D2930" i="167"/>
  <c r="D2929" i="167"/>
  <c r="D2927" i="167"/>
  <c r="D2926" i="167"/>
  <c r="D2924" i="167"/>
  <c r="D2923" i="167"/>
  <c r="D2921" i="167"/>
  <c r="D2920" i="167"/>
  <c r="D2918" i="167"/>
  <c r="D2917" i="167"/>
  <c r="D2915" i="167"/>
  <c r="D2914" i="167"/>
  <c r="D2912" i="167"/>
  <c r="D2911" i="167"/>
  <c r="D2909" i="167"/>
  <c r="D2908" i="167"/>
  <c r="D2906" i="167"/>
  <c r="D2905" i="167"/>
  <c r="D2903" i="167"/>
  <c r="D2902" i="167"/>
  <c r="D2900" i="167"/>
  <c r="D2899" i="167"/>
  <c r="D2897" i="167"/>
  <c r="D2896" i="167"/>
  <c r="D2894" i="167"/>
  <c r="D2893" i="167"/>
  <c r="D2891" i="167"/>
  <c r="D2890" i="167"/>
  <c r="D2888" i="167"/>
  <c r="D2887" i="167"/>
  <c r="D2885" i="167"/>
  <c r="D2884" i="167"/>
  <c r="D2882" i="167"/>
  <c r="D2881" i="167"/>
  <c r="D2879" i="167"/>
  <c r="D2878" i="167"/>
  <c r="D2876" i="167"/>
  <c r="D2875" i="167"/>
  <c r="D2873" i="167"/>
  <c r="D2872" i="167"/>
  <c r="D2870" i="167"/>
  <c r="D2869" i="167"/>
  <c r="D2867" i="167"/>
  <c r="D2866" i="167"/>
  <c r="D2864" i="167"/>
  <c r="D2863" i="167"/>
  <c r="D2861" i="167"/>
  <c r="D2860" i="167"/>
  <c r="D2858" i="167"/>
  <c r="D2857" i="167"/>
  <c r="D2855" i="167"/>
  <c r="D2854" i="167"/>
  <c r="D2852" i="167"/>
  <c r="D2851" i="167"/>
  <c r="D2849" i="167"/>
  <c r="D2848" i="167"/>
  <c r="D2846" i="167"/>
  <c r="D2845" i="167"/>
  <c r="D2843" i="167"/>
  <c r="D2842" i="167"/>
  <c r="D2840" i="167"/>
  <c r="D2838" i="167"/>
  <c r="D2836" i="167"/>
  <c r="D2835" i="167"/>
  <c r="D2833" i="167"/>
  <c r="D2832" i="167"/>
  <c r="D2830" i="167"/>
  <c r="D2829" i="167"/>
  <c r="D2827" i="167"/>
  <c r="D2826" i="167"/>
  <c r="D2824" i="167"/>
  <c r="D2823" i="167"/>
  <c r="D2821" i="167"/>
  <c r="D2820" i="167"/>
  <c r="D2818" i="167"/>
  <c r="D2817" i="167"/>
  <c r="D2815" i="167"/>
  <c r="D2814" i="167"/>
  <c r="D2812" i="167"/>
  <c r="D2811" i="167"/>
  <c r="D2809" i="167"/>
  <c r="D2808" i="167"/>
  <c r="D2806" i="167"/>
  <c r="D2805" i="167"/>
  <c r="D2803" i="167"/>
  <c r="D2802" i="167"/>
  <c r="D2800" i="167"/>
  <c r="D2799" i="167"/>
  <c r="D2797" i="167"/>
  <c r="D2796" i="167"/>
  <c r="D2794" i="167"/>
  <c r="D2793" i="167"/>
  <c r="D2792" i="167"/>
  <c r="D2790" i="167"/>
  <c r="D2789" i="167"/>
  <c r="D2788" i="167"/>
  <c r="D2786" i="167"/>
  <c r="D2784" i="167"/>
  <c r="D2782" i="167"/>
  <c r="D2781" i="167"/>
  <c r="D2779" i="167"/>
  <c r="D2778" i="167"/>
  <c r="D2776" i="167"/>
  <c r="D2775" i="167"/>
  <c r="D2773" i="167"/>
  <c r="D2771" i="167"/>
  <c r="D2769" i="167"/>
  <c r="D2768" i="167"/>
  <c r="D2766" i="167"/>
  <c r="D2765" i="167"/>
  <c r="D2763" i="167"/>
  <c r="D2762" i="167"/>
  <c r="D2760" i="167"/>
  <c r="D2759" i="167"/>
  <c r="D2757" i="167"/>
  <c r="D2756" i="167"/>
  <c r="D2754" i="167"/>
  <c r="D2753" i="167"/>
  <c r="D2751" i="167"/>
  <c r="D2750" i="167"/>
  <c r="D2748" i="167"/>
  <c r="D2747" i="167"/>
  <c r="D2745" i="167"/>
  <c r="D2744" i="167"/>
  <c r="D2742" i="167"/>
  <c r="D2741" i="167"/>
  <c r="D2739" i="167"/>
  <c r="D2738" i="167"/>
  <c r="D2736" i="167"/>
  <c r="D2735" i="167"/>
  <c r="D2733" i="167"/>
  <c r="D2732" i="167"/>
  <c r="D2730" i="167"/>
  <c r="D2729" i="167"/>
  <c r="D2727" i="167"/>
  <c r="D2726" i="167"/>
  <c r="D2724" i="167"/>
  <c r="D2723" i="167"/>
  <c r="D2721" i="167"/>
  <c r="D2720" i="167"/>
  <c r="D2718" i="167"/>
  <c r="D2717" i="167"/>
  <c r="D2715" i="167"/>
  <c r="D2714" i="167"/>
  <c r="D2712" i="167"/>
  <c r="D2711" i="167"/>
  <c r="D2709" i="167"/>
  <c r="D2708" i="167"/>
  <c r="D2706" i="167"/>
  <c r="D2705" i="167"/>
  <c r="D2703" i="167"/>
  <c r="D2702" i="167"/>
  <c r="D2700" i="167"/>
  <c r="D2699" i="167"/>
  <c r="D2697" i="167"/>
  <c r="D2696" i="167"/>
  <c r="D2694" i="167"/>
  <c r="D2693" i="167"/>
  <c r="D2691" i="167"/>
  <c r="D2690" i="167"/>
  <c r="D2688" i="167"/>
  <c r="D2687" i="167"/>
  <c r="D2685" i="167"/>
  <c r="D2684" i="167"/>
  <c r="D2682" i="167"/>
  <c r="D2681" i="167"/>
  <c r="D2679" i="167"/>
  <c r="D2678" i="167"/>
  <c r="D2676" i="167"/>
  <c r="D2675" i="167"/>
  <c r="D2673" i="167"/>
  <c r="D2672" i="167"/>
  <c r="D2670" i="167"/>
  <c r="D2669" i="167"/>
  <c r="D2667" i="167"/>
  <c r="D2666" i="167"/>
  <c r="D2664" i="167"/>
  <c r="D2663" i="167"/>
  <c r="D2661" i="167"/>
  <c r="D2660" i="167"/>
  <c r="D2658" i="167"/>
  <c r="D2657" i="167"/>
  <c r="D2655" i="167"/>
  <c r="D2654" i="167"/>
  <c r="D2652" i="167"/>
  <c r="D2651" i="167"/>
  <c r="D2649" i="167"/>
  <c r="D2648" i="167"/>
  <c r="D2646" i="167"/>
  <c r="D2645" i="167"/>
  <c r="D2643" i="167"/>
  <c r="D2642" i="167"/>
  <c r="D2640" i="167"/>
  <c r="D2639" i="167"/>
  <c r="D2637" i="167"/>
  <c r="D2636" i="167"/>
  <c r="D2634" i="167"/>
  <c r="D2633" i="167"/>
  <c r="D2631" i="167"/>
  <c r="D2630" i="167"/>
  <c r="D2628" i="167"/>
  <c r="D2626" i="167"/>
  <c r="D2624" i="167"/>
  <c r="D2623" i="167"/>
  <c r="D2621" i="167"/>
  <c r="D2620" i="167"/>
  <c r="D2618" i="167"/>
  <c r="D2617" i="167"/>
  <c r="D2615" i="167"/>
  <c r="D2614" i="167"/>
  <c r="D2612" i="167"/>
  <c r="D2611" i="167"/>
  <c r="D2609" i="167"/>
  <c r="D2608" i="167"/>
  <c r="D2606" i="167"/>
  <c r="D2605" i="167"/>
  <c r="D2603" i="167"/>
  <c r="D2602" i="167"/>
  <c r="D2600" i="167"/>
  <c r="D2599" i="167"/>
  <c r="D2597" i="167"/>
  <c r="D2596" i="167"/>
  <c r="D2594" i="167"/>
  <c r="D2593" i="167"/>
  <c r="D2591" i="167"/>
  <c r="D2590" i="167"/>
  <c r="D2588" i="167"/>
  <c r="D2587" i="167"/>
  <c r="D2585" i="167"/>
  <c r="D2584" i="167"/>
  <c r="D2582" i="167"/>
  <c r="D2581" i="167"/>
  <c r="D2579" i="167"/>
  <c r="D2578" i="167"/>
  <c r="D2576" i="167"/>
  <c r="D2575" i="167"/>
  <c r="D2573" i="167"/>
  <c r="D2572" i="167"/>
  <c r="D2570" i="167"/>
  <c r="D2569" i="167"/>
  <c r="D2567" i="167"/>
  <c r="D2566" i="167"/>
  <c r="D2564" i="167"/>
  <c r="D2563" i="167"/>
  <c r="D2561" i="167"/>
  <c r="D2560" i="167"/>
  <c r="D2558" i="167"/>
  <c r="D2557" i="167"/>
  <c r="D2555" i="167"/>
  <c r="D2554" i="167"/>
  <c r="D2552" i="167"/>
  <c r="D2551" i="167"/>
  <c r="D2549" i="167"/>
  <c r="D2548" i="167"/>
  <c r="D2546" i="167"/>
  <c r="D2545" i="167"/>
  <c r="D2543" i="167"/>
  <c r="D2542" i="167"/>
  <c r="D2540" i="167"/>
  <c r="D2539" i="167"/>
  <c r="D2537" i="167"/>
  <c r="D2536" i="167"/>
  <c r="D2534" i="167"/>
  <c r="D2533" i="167"/>
  <c r="D2531" i="167"/>
  <c r="D2530" i="167"/>
  <c r="D2528" i="167"/>
  <c r="D2527" i="167"/>
  <c r="D2525" i="167"/>
  <c r="D2524" i="167"/>
  <c r="D2522" i="167"/>
  <c r="D2521" i="167"/>
  <c r="D2442" i="167"/>
  <c r="D2441" i="167"/>
  <c r="D2433" i="167"/>
  <c r="D2432" i="167"/>
  <c r="K2407" i="167"/>
  <c r="D2431" i="167"/>
  <c r="K2406" i="167"/>
  <c r="D2430" i="167"/>
  <c r="K2405" i="167"/>
  <c r="K2404" i="167"/>
  <c r="D2425" i="167"/>
  <c r="D2424" i="167"/>
  <c r="D2422" i="167"/>
  <c r="D2421" i="167"/>
  <c r="D2419" i="167"/>
  <c r="D2418" i="167"/>
  <c r="D2416" i="167"/>
  <c r="D2415" i="167"/>
  <c r="D2413" i="167"/>
  <c r="D2412" i="167"/>
  <c r="D2410" i="167"/>
  <c r="D2409" i="167"/>
  <c r="D2407" i="167"/>
  <c r="D2406" i="167"/>
  <c r="D2404" i="167"/>
  <c r="D2403" i="167"/>
  <c r="D2401" i="167"/>
  <c r="D2400" i="167"/>
  <c r="D2398" i="167"/>
  <c r="D2397" i="167"/>
  <c r="D2395" i="167"/>
  <c r="D2394" i="167"/>
  <c r="D2392" i="167"/>
  <c r="D2391" i="167"/>
  <c r="D2389" i="167"/>
  <c r="D2388" i="167"/>
  <c r="D2386" i="167"/>
  <c r="D2385" i="167"/>
  <c r="D2383" i="167"/>
  <c r="D2382" i="167"/>
  <c r="D2380" i="167"/>
  <c r="D2379" i="167"/>
  <c r="D2377" i="167"/>
  <c r="D2376" i="167"/>
  <c r="D2374" i="167"/>
  <c r="D2373" i="167"/>
  <c r="D2371" i="167"/>
  <c r="D2370" i="167"/>
  <c r="D2368" i="167"/>
  <c r="D2367" i="167"/>
  <c r="D2365" i="167"/>
  <c r="D2364" i="167"/>
  <c r="D2362" i="167"/>
  <c r="D2361" i="167"/>
  <c r="D2359" i="167"/>
  <c r="D2358" i="167"/>
  <c r="D2356" i="167"/>
  <c r="D2355" i="167"/>
  <c r="D2353" i="167"/>
  <c r="D2352" i="167"/>
  <c r="D2350" i="167"/>
  <c r="D2349" i="167"/>
  <c r="D2343" i="167"/>
  <c r="D2342" i="167"/>
  <c r="D2340" i="167"/>
  <c r="D2339" i="167"/>
  <c r="D2337" i="167"/>
  <c r="D2336" i="167"/>
  <c r="D2334" i="167"/>
  <c r="D2333" i="167"/>
  <c r="D2331" i="167"/>
  <c r="D2330" i="167"/>
  <c r="D2328" i="167"/>
  <c r="D2327" i="167"/>
  <c r="D2325" i="167"/>
  <c r="D2324" i="167"/>
  <c r="D2322" i="167"/>
  <c r="D2321" i="167"/>
  <c r="D2319" i="167"/>
  <c r="D2318" i="167"/>
  <c r="D2316" i="167"/>
  <c r="D2315" i="167"/>
  <c r="D2313" i="167"/>
  <c r="D2312" i="167"/>
  <c r="D2310" i="167"/>
  <c r="D2309" i="167"/>
  <c r="D2307" i="167"/>
  <c r="D2306" i="167"/>
  <c r="D2304" i="167"/>
  <c r="D2303" i="167"/>
  <c r="D2301" i="167"/>
  <c r="D2300" i="167"/>
  <c r="D2298" i="167"/>
  <c r="D2297" i="167"/>
  <c r="D2295" i="167"/>
  <c r="D2294" i="167"/>
  <c r="D2292" i="167"/>
  <c r="D2291" i="167"/>
  <c r="D2289" i="167"/>
  <c r="D2288" i="167"/>
  <c r="D2286" i="167"/>
  <c r="D2285" i="167"/>
  <c r="D2283" i="167"/>
  <c r="D2282" i="167"/>
  <c r="D2280" i="167"/>
  <c r="D2279" i="167"/>
  <c r="D2277" i="167"/>
  <c r="D2276" i="167"/>
  <c r="D2274" i="167"/>
  <c r="D2273" i="167"/>
  <c r="D2271" i="167"/>
  <c r="D2270" i="167"/>
  <c r="D2268" i="167"/>
  <c r="D2267" i="167"/>
  <c r="D2265" i="167"/>
  <c r="D2264" i="167"/>
  <c r="D2262" i="167"/>
  <c r="D2261" i="167"/>
  <c r="D2259" i="167"/>
  <c r="D2258" i="167"/>
  <c r="D2256" i="167"/>
  <c r="D2255" i="167"/>
  <c r="D2253" i="167"/>
  <c r="D2252" i="167"/>
  <c r="D2250" i="167"/>
  <c r="D2249" i="167"/>
  <c r="D2248" i="167"/>
  <c r="D2246" i="167"/>
  <c r="D2245" i="167"/>
  <c r="D2243" i="167"/>
  <c r="D2242" i="167"/>
  <c r="D2239" i="167"/>
  <c r="D2238" i="167"/>
  <c r="D2236" i="167"/>
  <c r="D2235" i="167"/>
  <c r="D2233" i="167"/>
  <c r="D2232" i="167"/>
  <c r="D2230" i="167"/>
  <c r="D2229" i="167"/>
  <c r="D2227" i="167"/>
  <c r="D2226" i="167"/>
  <c r="D2224" i="167"/>
  <c r="D2223" i="167"/>
  <c r="D2221" i="167"/>
  <c r="D2220" i="167"/>
  <c r="D2218" i="167"/>
  <c r="D2217" i="167"/>
  <c r="D2215" i="167"/>
  <c r="D2214" i="167"/>
  <c r="D2212" i="167"/>
  <c r="D2210" i="167"/>
  <c r="D2208" i="167"/>
  <c r="D2207" i="167"/>
  <c r="D2205" i="167"/>
  <c r="D2204" i="167"/>
  <c r="D2202" i="167"/>
  <c r="D2201" i="167"/>
  <c r="D2199" i="167"/>
  <c r="D2198" i="167"/>
  <c r="D2196" i="167"/>
  <c r="D2195" i="167"/>
  <c r="D2193" i="167"/>
  <c r="D2192" i="167"/>
  <c r="D2190" i="167"/>
  <c r="D2189" i="167"/>
  <c r="D2187" i="167"/>
  <c r="D2186" i="167"/>
  <c r="D2184" i="167"/>
  <c r="D2183" i="167"/>
  <c r="D2181" i="167"/>
  <c r="D2180" i="167"/>
  <c r="D2178" i="167"/>
  <c r="D2177" i="167"/>
  <c r="D2175" i="167"/>
  <c r="D2174" i="167"/>
  <c r="D2172" i="167"/>
  <c r="D2171" i="167"/>
  <c r="D2169" i="167"/>
  <c r="D2168" i="167"/>
  <c r="D2166" i="167"/>
  <c r="D2165" i="167"/>
  <c r="D2163" i="167"/>
  <c r="D2162" i="167"/>
  <c r="D2160" i="167"/>
  <c r="D2159" i="167"/>
  <c r="D2157" i="167"/>
  <c r="D2156" i="167"/>
  <c r="D2154" i="167"/>
  <c r="D2153" i="167"/>
  <c r="D2151" i="167"/>
  <c r="D2150" i="167"/>
  <c r="D2148" i="167"/>
  <c r="D2147" i="167"/>
  <c r="D2145" i="167"/>
  <c r="D2144" i="167"/>
  <c r="D2142" i="167"/>
  <c r="D2141" i="167"/>
  <c r="D2139" i="167"/>
  <c r="D2138" i="167"/>
  <c r="D2136" i="167"/>
  <c r="D2135" i="167"/>
  <c r="D2133" i="167"/>
  <c r="D2132" i="167"/>
  <c r="D2130" i="167"/>
  <c r="D2128" i="167"/>
  <c r="D2126" i="167"/>
  <c r="D2125" i="167"/>
  <c r="D2123" i="167"/>
  <c r="D2122" i="167"/>
  <c r="D2120" i="167"/>
  <c r="D2119" i="167"/>
  <c r="D2117" i="167"/>
  <c r="D2116" i="167"/>
  <c r="D2114" i="167"/>
  <c r="D2113" i="167"/>
  <c r="D2111" i="167"/>
  <c r="D2110" i="167"/>
  <c r="D2108" i="167"/>
  <c r="D2107" i="167"/>
  <c r="D2105" i="167"/>
  <c r="D2104" i="167"/>
  <c r="D2102" i="167"/>
  <c r="D2101" i="167"/>
  <c r="D2099" i="167"/>
  <c r="D2098" i="167"/>
  <c r="D2096" i="167"/>
  <c r="D2095" i="167"/>
  <c r="D2093" i="167"/>
  <c r="D2092" i="167"/>
  <c r="D2090" i="167"/>
  <c r="D2089" i="167"/>
  <c r="D2087" i="167"/>
  <c r="D2086" i="167"/>
  <c r="D2084" i="167"/>
  <c r="D2083" i="167"/>
  <c r="D2081" i="167"/>
  <c r="D2080" i="167"/>
  <c r="D2078" i="167"/>
  <c r="D2077" i="167"/>
  <c r="D2075" i="167"/>
  <c r="D2074" i="167"/>
  <c r="D2072" i="167"/>
  <c r="D2071" i="167"/>
  <c r="D2069" i="167"/>
  <c r="D2068" i="167"/>
  <c r="D2066" i="167"/>
  <c r="D2065" i="167"/>
  <c r="D2063" i="167"/>
  <c r="D2062" i="167"/>
  <c r="D2060" i="167"/>
  <c r="D2059" i="167"/>
  <c r="D2057" i="167"/>
  <c r="D2056" i="167"/>
  <c r="D2054" i="167"/>
  <c r="D2053" i="167"/>
  <c r="D2051" i="167"/>
  <c r="D2050" i="167"/>
  <c r="D2048" i="167"/>
  <c r="D2047" i="167"/>
  <c r="D2045" i="167"/>
  <c r="D2044" i="167"/>
  <c r="D2042" i="167"/>
  <c r="D2041" i="167"/>
  <c r="D2039" i="167"/>
  <c r="D2038" i="167"/>
  <c r="D2036" i="167"/>
  <c r="D2035" i="167"/>
  <c r="D2033" i="167"/>
  <c r="D2032" i="167"/>
  <c r="D2030" i="167"/>
  <c r="D2029" i="167"/>
  <c r="D2027" i="167"/>
  <c r="D2026" i="167"/>
  <c r="D2024" i="167"/>
  <c r="D2023" i="167"/>
  <c r="D2021" i="167"/>
  <c r="D2020" i="167"/>
  <c r="D2018" i="167"/>
  <c r="D2017" i="167"/>
  <c r="D2015" i="167"/>
  <c r="D2014" i="167"/>
  <c r="D2012" i="167"/>
  <c r="D2011" i="167"/>
  <c r="D2009" i="167"/>
  <c r="D2008" i="167"/>
  <c r="D2006" i="167"/>
  <c r="D2005" i="167"/>
  <c r="D2003" i="167"/>
  <c r="D2002" i="167"/>
  <c r="D2000" i="167"/>
  <c r="D1999" i="167"/>
  <c r="D1932" i="167"/>
  <c r="D1931" i="167"/>
  <c r="D1929" i="167"/>
  <c r="D1928" i="167"/>
  <c r="D1927" i="167"/>
  <c r="D1925" i="167"/>
  <c r="D1924" i="167"/>
  <c r="D1919" i="167"/>
  <c r="D1918" i="167"/>
  <c r="K1901" i="167"/>
  <c r="D1917" i="167"/>
  <c r="K1900" i="167"/>
  <c r="D1916" i="167"/>
  <c r="K1899" i="167"/>
  <c r="K1898" i="167"/>
  <c r="D1914" i="167"/>
  <c r="D1913" i="167"/>
  <c r="D1911" i="167"/>
  <c r="D1910" i="167"/>
  <c r="D1908" i="167"/>
  <c r="D1907" i="167"/>
  <c r="D1905" i="167"/>
  <c r="D1904" i="167"/>
  <c r="D1902" i="167"/>
  <c r="D1901" i="167"/>
  <c r="D1899" i="167"/>
  <c r="D1898" i="167"/>
  <c r="D1896" i="167"/>
  <c r="D1895" i="167"/>
  <c r="D1893" i="167"/>
  <c r="D1892" i="167"/>
  <c r="D1890" i="167"/>
  <c r="D1889" i="167"/>
  <c r="D1887" i="167"/>
  <c r="D1886" i="167"/>
  <c r="D1884" i="167"/>
  <c r="D1883" i="167"/>
  <c r="D1881" i="167"/>
  <c r="D1880" i="167"/>
  <c r="D1878" i="167"/>
  <c r="D1877" i="167"/>
  <c r="D1875" i="167"/>
  <c r="D1874" i="167"/>
  <c r="D1872" i="167"/>
  <c r="D1871" i="167"/>
  <c r="D1869" i="167"/>
  <c r="D1868" i="167"/>
  <c r="D1866" i="167"/>
  <c r="D1865" i="167"/>
  <c r="D1863" i="167"/>
  <c r="D1862" i="167"/>
  <c r="D1860" i="167"/>
  <c r="D1859" i="167"/>
  <c r="D1857" i="167"/>
  <c r="D1856" i="167"/>
  <c r="D1854" i="167"/>
  <c r="D1853" i="167"/>
  <c r="D1851" i="167"/>
  <c r="D1850" i="167"/>
  <c r="D1848" i="167"/>
  <c r="D1847" i="167"/>
  <c r="D1845" i="167"/>
  <c r="D1844" i="167"/>
  <c r="D1842" i="167"/>
  <c r="D1841" i="167"/>
  <c r="D1839" i="167"/>
  <c r="D1838" i="167"/>
  <c r="D1836" i="167"/>
  <c r="D1835" i="167"/>
  <c r="D1833" i="167"/>
  <c r="D1832" i="167"/>
  <c r="D1830" i="167"/>
  <c r="D1829" i="167"/>
  <c r="D1827" i="167"/>
  <c r="D1826" i="167"/>
  <c r="D1824" i="167"/>
  <c r="D1823" i="167"/>
  <c r="D1821" i="167"/>
  <c r="D1820" i="167"/>
  <c r="D1818" i="167"/>
  <c r="D1817" i="167"/>
  <c r="D1815" i="167"/>
  <c r="D1814" i="167"/>
  <c r="D1812" i="167"/>
  <c r="D1811" i="167"/>
  <c r="D1809" i="167"/>
  <c r="D1808" i="167"/>
  <c r="D1806" i="167"/>
  <c r="D1805" i="167"/>
  <c r="D1803" i="167"/>
  <c r="D1802" i="167"/>
  <c r="D1800" i="167"/>
  <c r="D1799" i="167"/>
  <c r="D1797" i="167"/>
  <c r="D1796" i="167"/>
  <c r="D1794" i="167"/>
  <c r="D1793" i="167"/>
  <c r="D1791" i="167"/>
  <c r="D1790" i="167"/>
  <c r="D1788" i="167"/>
  <c r="D1787" i="167"/>
  <c r="D1785" i="167"/>
  <c r="D1784" i="167"/>
  <c r="D1782" i="167"/>
  <c r="D1781" i="167"/>
  <c r="D1779" i="167"/>
  <c r="D1778" i="167"/>
  <c r="D1776" i="167"/>
  <c r="D1775" i="167"/>
  <c r="D1773" i="167"/>
  <c r="D1772" i="167"/>
  <c r="D1770" i="167"/>
  <c r="D1769" i="167"/>
  <c r="D1767" i="167"/>
  <c r="D1766" i="167"/>
  <c r="D1764" i="167"/>
  <c r="D1763" i="167"/>
  <c r="D1761" i="167"/>
  <c r="D1760" i="167"/>
  <c r="D1758" i="167"/>
  <c r="D1757" i="167"/>
  <c r="D1756" i="167"/>
  <c r="D1754" i="167"/>
  <c r="D1753" i="167"/>
  <c r="D1751" i="167"/>
  <c r="D1750" i="167"/>
  <c r="D1747" i="167"/>
  <c r="D1746" i="167"/>
  <c r="D1744" i="167"/>
  <c r="D1743" i="167"/>
  <c r="D1741" i="167"/>
  <c r="D1740" i="167"/>
  <c r="D1738" i="167"/>
  <c r="D1737" i="167"/>
  <c r="D1735" i="167"/>
  <c r="D1734" i="167"/>
  <c r="D1732" i="167"/>
  <c r="D1731" i="167"/>
  <c r="D1729" i="167"/>
  <c r="D1728" i="167"/>
  <c r="D1726" i="167"/>
  <c r="D1725" i="167"/>
  <c r="D1723" i="167"/>
  <c r="D1722" i="167"/>
  <c r="D1720" i="167"/>
  <c r="D1719" i="167"/>
  <c r="D1717" i="167"/>
  <c r="D1716" i="167"/>
  <c r="D1714" i="167"/>
  <c r="D1713" i="167"/>
  <c r="D1711" i="167"/>
  <c r="D1710" i="167"/>
  <c r="D1708" i="167"/>
  <c r="D1707" i="167"/>
  <c r="D1705" i="167"/>
  <c r="D1704" i="167"/>
  <c r="D1702" i="167"/>
  <c r="D1701" i="167"/>
  <c r="D1699" i="167"/>
  <c r="D1698" i="167"/>
  <c r="D1696" i="167"/>
  <c r="D1695" i="167"/>
  <c r="D1693" i="167"/>
  <c r="D1692" i="167"/>
  <c r="D1690" i="167"/>
  <c r="D1689" i="167"/>
  <c r="D1687" i="167"/>
  <c r="D1686" i="167"/>
  <c r="D1684" i="167"/>
  <c r="D1683" i="167"/>
  <c r="D1681" i="167"/>
  <c r="D1680" i="167"/>
  <c r="D1678" i="167"/>
  <c r="D1677" i="167"/>
  <c r="D1675" i="167"/>
  <c r="D1674" i="167"/>
  <c r="D1672" i="167"/>
  <c r="D1671" i="167"/>
  <c r="D1669" i="167"/>
  <c r="D1668" i="167"/>
  <c r="D1666" i="167"/>
  <c r="D1665" i="167"/>
  <c r="D1663" i="167"/>
  <c r="D1662" i="167"/>
  <c r="D1660" i="167"/>
  <c r="D1659" i="167"/>
  <c r="D1657" i="167"/>
  <c r="D1656" i="167"/>
  <c r="D1654" i="167"/>
  <c r="D1652" i="167"/>
  <c r="D1650" i="167"/>
  <c r="D1649" i="167"/>
  <c r="D1647" i="167"/>
  <c r="D1646" i="167"/>
  <c r="D1644" i="167"/>
  <c r="D1643" i="167"/>
  <c r="D1641" i="167"/>
  <c r="D1640" i="167"/>
  <c r="D1638" i="167"/>
  <c r="D1637" i="167"/>
  <c r="D1635" i="167"/>
  <c r="D1634" i="167"/>
  <c r="D1632" i="167"/>
  <c r="D1631" i="167"/>
  <c r="D1629" i="167"/>
  <c r="D1628" i="167"/>
  <c r="D1626" i="167"/>
  <c r="D1625" i="167"/>
  <c r="D1623" i="167"/>
  <c r="D1622" i="167"/>
  <c r="D1620" i="167"/>
  <c r="D1619" i="167"/>
  <c r="D1617" i="167"/>
  <c r="D1616" i="167"/>
  <c r="D1614" i="167"/>
  <c r="D1613" i="167"/>
  <c r="D1611" i="167"/>
  <c r="D1610" i="167"/>
  <c r="D1608" i="167"/>
  <c r="D1607" i="167"/>
  <c r="D1605" i="167"/>
  <c r="D1604" i="167"/>
  <c r="D1602" i="167"/>
  <c r="D1601" i="167"/>
  <c r="D1599" i="167"/>
  <c r="D1598" i="167"/>
  <c r="D1596" i="167"/>
  <c r="D1595" i="167"/>
  <c r="D1593" i="167"/>
  <c r="D1592" i="167"/>
  <c r="D1590" i="167"/>
  <c r="D1589" i="167"/>
  <c r="D1587" i="167"/>
  <c r="D1586" i="167"/>
  <c r="D1584" i="167"/>
  <c r="D1583" i="167"/>
  <c r="D1581" i="167"/>
  <c r="D1580" i="167"/>
  <c r="D1578" i="167"/>
  <c r="D1577" i="167"/>
  <c r="D1575" i="167"/>
  <c r="D1574" i="167"/>
  <c r="D1572" i="167"/>
  <c r="D1571" i="167"/>
  <c r="D1569" i="167"/>
  <c r="D1568" i="167"/>
  <c r="D1566" i="167"/>
  <c r="D1565" i="167"/>
  <c r="D1563" i="167"/>
  <c r="D1562" i="167"/>
  <c r="D1560" i="167"/>
  <c r="D1559" i="167"/>
  <c r="D1557" i="167"/>
  <c r="D1556" i="167"/>
  <c r="D1554" i="167"/>
  <c r="D1553" i="167"/>
  <c r="D1551" i="167"/>
  <c r="D1550" i="167"/>
  <c r="D1548" i="167"/>
  <c r="D1547" i="167"/>
  <c r="D1545" i="167"/>
  <c r="D1544" i="167"/>
  <c r="D1542" i="167"/>
  <c r="D1541" i="167"/>
  <c r="D1539" i="167"/>
  <c r="D1538" i="167"/>
  <c r="D1536" i="167"/>
  <c r="D1535" i="167"/>
  <c r="D1533" i="167"/>
  <c r="D1532" i="167"/>
  <c r="D1530" i="167"/>
  <c r="D1529" i="167"/>
  <c r="D1527" i="167"/>
  <c r="D1526" i="167"/>
  <c r="D1524" i="167"/>
  <c r="D1523" i="167"/>
  <c r="D1521" i="167"/>
  <c r="D1520" i="167"/>
  <c r="D1518" i="167"/>
  <c r="D1517" i="167"/>
  <c r="D1515" i="167"/>
  <c r="D1514" i="167"/>
  <c r="D1512" i="167"/>
  <c r="D1511" i="167"/>
  <c r="D1509" i="167"/>
  <c r="D1508" i="167"/>
  <c r="D1506" i="167"/>
  <c r="D1505" i="167"/>
  <c r="D1503" i="167"/>
  <c r="D1502" i="167"/>
  <c r="D1500" i="167"/>
  <c r="D1499" i="167"/>
  <c r="D1497" i="167"/>
  <c r="D1496" i="167"/>
  <c r="B2983" i="167"/>
  <c r="B2980" i="167"/>
  <c r="B2977" i="167"/>
  <c r="H2975" i="167"/>
  <c r="A2975" i="167"/>
  <c r="B2974" i="167"/>
  <c r="H2972" i="167"/>
  <c r="B2971" i="167"/>
  <c r="H2966" i="167"/>
  <c r="A2966" i="167"/>
  <c r="B2965" i="167"/>
  <c r="H2963" i="167"/>
  <c r="H2969" i="167" s="1"/>
  <c r="D2963" i="167"/>
  <c r="D2962" i="167"/>
  <c r="B2962" i="167"/>
  <c r="K2925" i="167"/>
  <c r="J2925" i="167"/>
  <c r="B2957" i="167"/>
  <c r="L2920" i="167"/>
  <c r="L2921" i="167" s="1"/>
  <c r="L2922" i="167" s="1"/>
  <c r="L2925" i="167" s="1"/>
  <c r="H2955" i="167"/>
  <c r="A2955" i="167"/>
  <c r="B2954" i="167"/>
  <c r="H2951" i="167"/>
  <c r="B2950" i="167"/>
  <c r="A2948" i="167"/>
  <c r="B2948" i="167" s="1"/>
  <c r="B2947" i="167"/>
  <c r="H2945" i="167"/>
  <c r="H2948" i="167" s="1"/>
  <c r="A2945" i="167"/>
  <c r="B2945" i="167" s="1"/>
  <c r="B2944" i="167"/>
  <c r="B2941" i="167"/>
  <c r="B2938" i="167"/>
  <c r="B2935" i="167"/>
  <c r="B2932" i="167"/>
  <c r="B2929" i="167"/>
  <c r="B2926" i="167"/>
  <c r="B2923" i="167"/>
  <c r="B2920" i="167"/>
  <c r="B2917" i="167"/>
  <c r="B2914" i="167"/>
  <c r="B2911" i="167"/>
  <c r="B2908" i="167"/>
  <c r="B2905" i="167"/>
  <c r="B2902" i="167"/>
  <c r="B2899" i="167"/>
  <c r="B2896" i="167"/>
  <c r="B2893" i="167"/>
  <c r="B2890" i="167"/>
  <c r="B2887" i="167"/>
  <c r="B2884" i="167"/>
  <c r="B2881" i="167"/>
  <c r="B2878" i="167"/>
  <c r="B2875" i="167"/>
  <c r="B2872" i="167"/>
  <c r="B2869" i="167"/>
  <c r="B2866" i="167"/>
  <c r="B2863" i="167"/>
  <c r="B2860" i="167"/>
  <c r="B2857" i="167"/>
  <c r="B2854" i="167"/>
  <c r="B2851" i="167"/>
  <c r="B2848" i="167"/>
  <c r="B2845" i="167"/>
  <c r="B2842" i="167"/>
  <c r="B2838" i="167"/>
  <c r="B2835" i="167"/>
  <c r="B2832" i="167"/>
  <c r="B2829" i="167"/>
  <c r="B2826" i="167"/>
  <c r="B2823" i="167"/>
  <c r="B2820" i="167"/>
  <c r="B2817" i="167"/>
  <c r="B2814" i="167"/>
  <c r="B2811" i="167"/>
  <c r="B2808" i="167"/>
  <c r="B2805" i="167"/>
  <c r="B2802" i="167"/>
  <c r="B2799" i="167"/>
  <c r="B2796" i="167"/>
  <c r="B2792" i="167"/>
  <c r="A2789" i="167"/>
  <c r="B2788" i="167"/>
  <c r="H2786" i="167"/>
  <c r="H2789" i="167" s="1"/>
  <c r="A2786" i="167"/>
  <c r="B2786" i="167" s="1"/>
  <c r="B2784" i="167"/>
  <c r="B2781" i="167"/>
  <c r="B2778" i="167"/>
  <c r="B2775" i="167"/>
  <c r="B2771" i="167"/>
  <c r="B2768" i="167"/>
  <c r="B2765" i="167"/>
  <c r="B2762" i="167"/>
  <c r="B2759" i="167"/>
  <c r="B2756" i="167"/>
  <c r="B2753" i="167"/>
  <c r="B2750" i="167"/>
  <c r="B2747" i="167"/>
  <c r="B2744" i="167"/>
  <c r="B2741" i="167"/>
  <c r="B2738" i="167"/>
  <c r="B2735" i="167"/>
  <c r="B2732" i="167"/>
  <c r="B2729" i="167"/>
  <c r="B2726" i="167"/>
  <c r="H2724" i="167"/>
  <c r="H2739" i="167" s="1"/>
  <c r="H2742" i="167" s="1"/>
  <c r="H2748" i="167" s="1"/>
  <c r="H2760" i="167" s="1"/>
  <c r="H2763" i="167" s="1"/>
  <c r="B2723" i="167"/>
  <c r="B2720" i="167"/>
  <c r="H2718" i="167"/>
  <c r="H2721" i="167" s="1"/>
  <c r="B2717" i="167"/>
  <c r="B2714" i="167"/>
  <c r="B2711" i="167"/>
  <c r="B2708" i="167"/>
  <c r="B2705" i="167"/>
  <c r="H2703" i="167"/>
  <c r="H2715" i="167" s="1"/>
  <c r="A2703" i="167"/>
  <c r="B2702" i="167"/>
  <c r="B2699" i="167"/>
  <c r="B2696" i="167"/>
  <c r="B2693" i="167"/>
  <c r="B2690" i="167"/>
  <c r="B2687" i="167"/>
  <c r="H2685" i="167"/>
  <c r="A2685" i="167"/>
  <c r="B2685" i="167" s="1"/>
  <c r="B2684" i="167"/>
  <c r="B2681" i="167"/>
  <c r="B2678" i="167"/>
  <c r="B2675" i="167"/>
  <c r="B2672" i="167"/>
  <c r="A2670" i="167"/>
  <c r="B2670" i="167" s="1"/>
  <c r="B2669" i="167"/>
  <c r="H2667" i="167"/>
  <c r="A2667" i="167"/>
  <c r="B2667" i="167" s="1"/>
  <c r="B2666" i="167"/>
  <c r="B2663" i="167"/>
  <c r="B2660" i="167"/>
  <c r="B2657" i="167"/>
  <c r="H2655" i="167"/>
  <c r="A2655" i="167"/>
  <c r="B2655" i="167" s="1"/>
  <c r="B2654" i="167"/>
  <c r="B2651" i="167"/>
  <c r="H2649" i="167"/>
  <c r="A2649" i="167"/>
  <c r="B2649" i="167" s="1"/>
  <c r="B2648" i="167"/>
  <c r="B2645" i="167"/>
  <c r="B2642" i="167"/>
  <c r="B2639" i="167"/>
  <c r="B2636" i="167"/>
  <c r="B2633" i="167"/>
  <c r="B2630" i="167"/>
  <c r="B2626" i="167"/>
  <c r="B2623" i="167"/>
  <c r="B2620" i="167"/>
  <c r="B2617" i="167"/>
  <c r="B2614" i="167"/>
  <c r="H2612" i="167"/>
  <c r="A2612" i="167"/>
  <c r="B2612" i="167" s="1"/>
  <c r="B2611" i="167"/>
  <c r="B2608" i="167"/>
  <c r="B2605" i="167"/>
  <c r="B2602" i="167"/>
  <c r="B2599" i="167"/>
  <c r="B2596" i="167"/>
  <c r="B2593" i="167"/>
  <c r="B2590" i="167"/>
  <c r="B2587" i="167"/>
  <c r="B2584" i="167"/>
  <c r="B2581" i="167"/>
  <c r="B2578" i="167"/>
  <c r="B2575" i="167"/>
  <c r="B2572" i="167"/>
  <c r="B2569" i="167"/>
  <c r="B2566" i="167"/>
  <c r="H2564" i="167"/>
  <c r="H2573" i="167" s="1"/>
  <c r="H2585" i="167" s="1"/>
  <c r="H2640" i="167" s="1"/>
  <c r="H2679" i="167" s="1"/>
  <c r="H2682" i="167" s="1"/>
  <c r="H2691" i="167" s="1"/>
  <c r="H2697" i="167" s="1"/>
  <c r="H2706" i="167" s="1"/>
  <c r="H2709" i="167" s="1"/>
  <c r="H2727" i="167" s="1"/>
  <c r="H2736" i="167" s="1"/>
  <c r="H2754" i="167" s="1"/>
  <c r="H2757" i="167" s="1"/>
  <c r="H2779" i="167" s="1"/>
  <c r="H2843" i="167" s="1"/>
  <c r="H2846" i="167" s="1"/>
  <c r="H2927" i="167" s="1"/>
  <c r="H2930" i="167" s="1"/>
  <c r="A2564" i="167"/>
  <c r="B2563" i="167"/>
  <c r="A2561" i="167"/>
  <c r="B2561" i="167" s="1"/>
  <c r="B2560" i="167"/>
  <c r="B2557" i="167"/>
  <c r="B2554" i="167"/>
  <c r="B2551" i="167"/>
  <c r="B2548" i="167"/>
  <c r="B2545" i="167"/>
  <c r="B2542" i="167"/>
  <c r="H2540" i="167"/>
  <c r="H2543" i="167" s="1"/>
  <c r="H2549" i="167" s="1"/>
  <c r="H2591" i="167" s="1"/>
  <c r="H2594" i="167" s="1"/>
  <c r="H2603" i="167" s="1"/>
  <c r="H2609" i="167" s="1"/>
  <c r="H2624" i="167" s="1"/>
  <c r="H2652" i="167" s="1"/>
  <c r="H2658" i="167" s="1"/>
  <c r="H2661" i="167" s="1"/>
  <c r="H2688" i="167" s="1"/>
  <c r="H2700" i="167" s="1"/>
  <c r="H2712" i="167" s="1"/>
  <c r="H2730" i="167" s="1"/>
  <c r="H2733" i="167" s="1"/>
  <c r="H2745" i="167" s="1"/>
  <c r="H2776" i="167" s="1"/>
  <c r="H2800" i="167" s="1"/>
  <c r="H2833" i="167" s="1"/>
  <c r="H2849" i="167" s="1"/>
  <c r="H2855" i="167" s="1"/>
  <c r="H2861" i="167" s="1"/>
  <c r="H2870" i="167" s="1"/>
  <c r="H2873" i="167" s="1"/>
  <c r="H2885" i="167" s="1"/>
  <c r="H2894" i="167" s="1"/>
  <c r="H2903" i="167" s="1"/>
  <c r="H2906" i="167" s="1"/>
  <c r="H2912" i="167" s="1"/>
  <c r="H2915" i="167" s="1"/>
  <c r="H2933" i="167" s="1"/>
  <c r="H2936" i="167" s="1"/>
  <c r="H2984" i="167" s="1"/>
  <c r="A2540" i="167"/>
  <c r="B2539" i="167"/>
  <c r="B2536" i="167"/>
  <c r="H2534" i="167"/>
  <c r="H2561" i="167" s="1"/>
  <c r="A2534" i="167"/>
  <c r="B2534" i="167" s="1"/>
  <c r="B2533" i="167"/>
  <c r="H2531" i="167"/>
  <c r="H2537" i="167" s="1"/>
  <c r="H2546" i="167" s="1"/>
  <c r="H2552" i="167" s="1"/>
  <c r="H2555" i="167" s="1"/>
  <c r="H2558" i="167" s="1"/>
  <c r="H2567" i="167" s="1"/>
  <c r="H2576" i="167" s="1"/>
  <c r="H2579" i="167" s="1"/>
  <c r="H2582" i="167" s="1"/>
  <c r="H2588" i="167" s="1"/>
  <c r="H2597" i="167" s="1"/>
  <c r="H2600" i="167" s="1"/>
  <c r="H2606" i="167" s="1"/>
  <c r="H2615" i="167" s="1"/>
  <c r="H2618" i="167" s="1"/>
  <c r="B2530" i="167"/>
  <c r="H2528" i="167"/>
  <c r="A2528" i="167"/>
  <c r="B2527" i="167"/>
  <c r="H2525" i="167"/>
  <c r="A2525" i="167"/>
  <c r="B2525" i="167" s="1"/>
  <c r="B2524" i="167"/>
  <c r="H2522" i="167"/>
  <c r="A2522" i="167"/>
  <c r="B2522" i="167" s="1"/>
  <c r="B2521" i="167"/>
  <c r="B2441" i="167"/>
  <c r="H2436" i="167"/>
  <c r="H2442" i="167" s="1"/>
  <c r="D2436" i="167"/>
  <c r="D2435" i="167"/>
  <c r="B2435" i="167"/>
  <c r="L2410" i="167"/>
  <c r="K2410" i="167"/>
  <c r="J2410" i="167"/>
  <c r="B2430" i="167"/>
  <c r="L2405" i="167"/>
  <c r="L2406" i="167" s="1"/>
  <c r="L2407" i="167" s="1"/>
  <c r="H2425" i="167"/>
  <c r="A2425" i="167"/>
  <c r="B2424" i="167"/>
  <c r="H2422" i="167"/>
  <c r="B2421" i="167"/>
  <c r="H2419" i="167"/>
  <c r="B2418" i="167"/>
  <c r="H2416" i="167"/>
  <c r="A2416" i="167"/>
  <c r="B2416" i="167" s="1"/>
  <c r="B2415" i="167"/>
  <c r="H2413" i="167"/>
  <c r="A2413" i="167"/>
  <c r="B2413" i="167" s="1"/>
  <c r="B2412" i="167"/>
  <c r="B2409" i="167"/>
  <c r="B2406" i="167"/>
  <c r="B2403" i="167"/>
  <c r="B2400" i="167"/>
  <c r="B2397" i="167"/>
  <c r="B2394" i="167"/>
  <c r="B2391" i="167"/>
  <c r="B2388" i="167"/>
  <c r="B2385" i="167"/>
  <c r="B2382" i="167"/>
  <c r="B2379" i="167"/>
  <c r="B2376" i="167"/>
  <c r="B2373" i="167"/>
  <c r="B2370" i="167"/>
  <c r="B2367" i="167"/>
  <c r="B2364" i="167"/>
  <c r="B2361" i="167"/>
  <c r="B2358" i="167"/>
  <c r="B2355" i="167"/>
  <c r="B2352" i="167"/>
  <c r="B2349" i="167"/>
  <c r="I2347" i="167"/>
  <c r="H2347" i="167"/>
  <c r="H2350" i="167" s="1"/>
  <c r="D2347" i="167"/>
  <c r="A2347" i="167"/>
  <c r="A2350" i="167" s="1"/>
  <c r="B2350" i="167" s="1"/>
  <c r="I2346" i="167"/>
  <c r="D2346" i="167"/>
  <c r="D2345" i="167"/>
  <c r="B2345" i="167"/>
  <c r="B2342" i="167"/>
  <c r="B2339" i="167"/>
  <c r="B2336" i="167"/>
  <c r="B2333" i="167"/>
  <c r="H2331" i="167"/>
  <c r="B2330" i="167"/>
  <c r="B2327" i="167"/>
  <c r="B2324" i="167"/>
  <c r="B2321" i="167"/>
  <c r="B2318" i="167"/>
  <c r="B2315" i="167"/>
  <c r="B2312" i="167"/>
  <c r="B2309" i="167"/>
  <c r="B2306" i="167"/>
  <c r="B2303" i="167"/>
  <c r="B2300" i="167"/>
  <c r="B2297" i="167"/>
  <c r="H2295" i="167"/>
  <c r="B2294" i="167"/>
  <c r="B2291" i="167"/>
  <c r="B2288" i="167"/>
  <c r="B2285" i="167"/>
  <c r="H2283" i="167"/>
  <c r="A2283" i="167"/>
  <c r="B2283" i="167" s="1"/>
  <c r="B2282" i="167"/>
  <c r="B2279" i="167"/>
  <c r="B2276" i="167"/>
  <c r="B2273" i="167"/>
  <c r="B2270" i="167"/>
  <c r="B2267" i="167"/>
  <c r="B2264" i="167"/>
  <c r="B2261" i="167"/>
  <c r="B2258" i="167"/>
  <c r="B2255" i="167"/>
  <c r="B2252" i="167"/>
  <c r="B2248" i="167"/>
  <c r="H2246" i="167"/>
  <c r="B2245" i="167"/>
  <c r="H2243" i="167"/>
  <c r="A2243" i="167"/>
  <c r="B2242" i="167"/>
  <c r="B2238" i="167"/>
  <c r="B2235" i="167"/>
  <c r="B2232" i="167"/>
  <c r="B2229" i="167"/>
  <c r="B2226" i="167"/>
  <c r="B2223" i="167"/>
  <c r="B2220" i="167"/>
  <c r="H2218" i="167"/>
  <c r="A2218" i="167"/>
  <c r="B2218" i="167" s="1"/>
  <c r="B2217" i="167"/>
  <c r="B2214" i="167"/>
  <c r="B2210" i="167"/>
  <c r="H2208" i="167"/>
  <c r="A2208" i="167"/>
  <c r="B2208" i="167" s="1"/>
  <c r="B2207" i="167"/>
  <c r="B2204" i="167"/>
  <c r="B2201" i="167"/>
  <c r="B2198" i="167"/>
  <c r="B2195" i="167"/>
  <c r="B2192" i="167"/>
  <c r="B2189" i="167"/>
  <c r="B2186" i="167"/>
  <c r="B2183" i="167"/>
  <c r="B2180" i="167"/>
  <c r="B2177" i="167"/>
  <c r="B2174" i="167"/>
  <c r="B2171" i="167"/>
  <c r="B2168" i="167"/>
  <c r="B2165" i="167"/>
  <c r="B2162" i="167"/>
  <c r="B2159" i="167"/>
  <c r="B2156" i="167"/>
  <c r="B2153" i="167"/>
  <c r="B2150" i="167"/>
  <c r="B2147" i="167"/>
  <c r="B2144" i="167"/>
  <c r="B2141" i="167"/>
  <c r="B2138" i="167"/>
  <c r="B2135" i="167"/>
  <c r="B2132" i="167"/>
  <c r="B2128" i="167"/>
  <c r="B2125" i="167"/>
  <c r="B2122" i="167"/>
  <c r="B2119" i="167"/>
  <c r="B2116" i="167"/>
  <c r="B2113" i="167"/>
  <c r="B2110" i="167"/>
  <c r="B2107" i="167"/>
  <c r="B2104" i="167"/>
  <c r="B2101" i="167"/>
  <c r="B2098" i="167"/>
  <c r="B2095" i="167"/>
  <c r="B2092" i="167"/>
  <c r="B2089" i="167"/>
  <c r="B2086" i="167"/>
  <c r="B2083" i="167"/>
  <c r="B2080" i="167"/>
  <c r="B2077" i="167"/>
  <c r="B2074" i="167"/>
  <c r="B2071" i="167"/>
  <c r="B2068" i="167"/>
  <c r="B2065" i="167"/>
  <c r="B2062" i="167"/>
  <c r="B2059" i="167"/>
  <c r="B2056" i="167"/>
  <c r="B2053" i="167"/>
  <c r="B2050" i="167"/>
  <c r="B2047" i="167"/>
  <c r="H2045" i="167"/>
  <c r="H2051" i="167" s="1"/>
  <c r="H2060" i="167" s="1"/>
  <c r="H2066" i="167" s="1"/>
  <c r="H2078" i="167" s="1"/>
  <c r="H2084" i="167" s="1"/>
  <c r="H2087" i="167" s="1"/>
  <c r="H2093" i="167" s="1"/>
  <c r="H2099" i="167" s="1"/>
  <c r="H2105" i="167" s="1"/>
  <c r="H2111" i="167" s="1"/>
  <c r="H2123" i="167" s="1"/>
  <c r="B2044" i="167"/>
  <c r="B2041" i="167"/>
  <c r="B2038" i="167"/>
  <c r="B2035" i="167"/>
  <c r="B2032" i="167"/>
  <c r="B2029" i="167"/>
  <c r="B2026" i="167"/>
  <c r="B2023" i="167"/>
  <c r="B2020" i="167"/>
  <c r="B2017" i="167"/>
  <c r="B2014" i="167"/>
  <c r="H2012" i="167"/>
  <c r="H2054" i="167" s="1"/>
  <c r="H2069" i="167" s="1"/>
  <c r="H2072" i="167" s="1"/>
  <c r="H2102" i="167" s="1"/>
  <c r="H2108" i="167" s="1"/>
  <c r="H2114" i="167" s="1"/>
  <c r="H2163" i="167" s="1"/>
  <c r="H2172" i="167" s="1"/>
  <c r="H2178" i="167" s="1"/>
  <c r="H2181" i="167" s="1"/>
  <c r="H2184" i="167" s="1"/>
  <c r="H2268" i="167" s="1"/>
  <c r="H2289" i="167" s="1"/>
  <c r="H2301" i="167" s="1"/>
  <c r="H2365" i="167" s="1"/>
  <c r="H2371" i="167" s="1"/>
  <c r="B2011" i="167"/>
  <c r="H2009" i="167"/>
  <c r="H2015" i="167" s="1"/>
  <c r="H2018" i="167" s="1"/>
  <c r="H2021" i="167" s="1"/>
  <c r="H2024" i="167" s="1"/>
  <c r="H2033" i="167" s="1"/>
  <c r="B2008" i="167"/>
  <c r="H2006" i="167"/>
  <c r="B2005" i="167"/>
  <c r="B2002" i="167"/>
  <c r="H2000" i="167"/>
  <c r="H2027" i="167" s="1"/>
  <c r="H2030" i="167" s="1"/>
  <c r="H2081" i="167" s="1"/>
  <c r="H2090" i="167" s="1"/>
  <c r="H2096" i="167" s="1"/>
  <c r="H2117" i="167" s="1"/>
  <c r="H2120" i="167" s="1"/>
  <c r="H2136" i="167" s="1"/>
  <c r="H2148" i="167" s="1"/>
  <c r="H2154" i="167" s="1"/>
  <c r="H2157" i="167" s="1"/>
  <c r="H2160" i="167" s="1"/>
  <c r="H2169" i="167" s="1"/>
  <c r="H2215" i="167" s="1"/>
  <c r="H2230" i="167" s="1"/>
  <c r="H2233" i="167" s="1"/>
  <c r="H2304" i="167" s="1"/>
  <c r="H2316" i="167" s="1"/>
  <c r="H2325" i="167" s="1"/>
  <c r="H2334" i="167" s="1"/>
  <c r="H2353" i="167" s="1"/>
  <c r="H2362" i="167" s="1"/>
  <c r="H2377" i="167" s="1"/>
  <c r="H2383" i="167" s="1"/>
  <c r="H2392" i="167" s="1"/>
  <c r="H2395" i="167" s="1"/>
  <c r="H2401" i="167" s="1"/>
  <c r="H2407" i="167" s="1"/>
  <c r="H2410" i="167" s="1"/>
  <c r="B1999" i="167"/>
  <c r="B1931" i="167"/>
  <c r="I1929" i="167"/>
  <c r="I1932" i="167" s="1"/>
  <c r="A1929" i="167"/>
  <c r="I1928" i="167"/>
  <c r="I1931" i="167" s="1"/>
  <c r="B1927" i="167"/>
  <c r="B1924" i="167"/>
  <c r="H1922" i="167"/>
  <c r="H1925" i="167" s="1"/>
  <c r="D1922" i="167"/>
  <c r="A1922" i="167"/>
  <c r="A1925" i="167" s="1"/>
  <c r="D1921" i="167"/>
  <c r="B1921" i="167"/>
  <c r="B1922" i="167" s="1"/>
  <c r="L1904" i="167"/>
  <c r="K1904" i="167"/>
  <c r="J1904" i="167"/>
  <c r="B1916" i="167"/>
  <c r="L1899" i="167"/>
  <c r="L1900" i="167" s="1"/>
  <c r="L1901" i="167" s="1"/>
  <c r="H1914" i="167"/>
  <c r="B1913" i="167"/>
  <c r="B1910" i="167"/>
  <c r="H1908" i="167"/>
  <c r="H1911" i="167" s="1"/>
  <c r="A1908" i="167"/>
  <c r="B1908" i="167" s="1"/>
  <c r="B1907" i="167"/>
  <c r="B1904" i="167"/>
  <c r="B1901" i="167"/>
  <c r="B1898" i="167"/>
  <c r="B1895" i="167"/>
  <c r="B1892" i="167"/>
  <c r="B1889" i="167"/>
  <c r="B1886" i="167"/>
  <c r="B1883" i="167"/>
  <c r="B1880" i="167"/>
  <c r="B1877" i="167"/>
  <c r="B1874" i="167"/>
  <c r="B1871" i="167"/>
  <c r="B1868" i="167"/>
  <c r="B1865" i="167"/>
  <c r="B1862" i="167"/>
  <c r="B1859" i="167"/>
  <c r="B1856" i="167"/>
  <c r="B1853" i="167"/>
  <c r="B1850" i="167"/>
  <c r="B1847" i="167"/>
  <c r="B1844" i="167"/>
  <c r="H1842" i="167"/>
  <c r="B1841" i="167"/>
  <c r="H1839" i="167"/>
  <c r="A1839" i="167"/>
  <c r="B1839" i="167" s="1"/>
  <c r="B1838" i="167"/>
  <c r="B1835" i="167"/>
  <c r="B1832" i="167"/>
  <c r="B1829" i="167"/>
  <c r="B1826" i="167"/>
  <c r="B1823" i="167"/>
  <c r="B1820" i="167"/>
  <c r="B1817" i="167"/>
  <c r="B1814" i="167"/>
  <c r="B1811" i="167"/>
  <c r="B1808" i="167"/>
  <c r="B1805" i="167"/>
  <c r="B1802" i="167"/>
  <c r="B1799" i="167"/>
  <c r="B1796" i="167"/>
  <c r="B1793" i="167"/>
  <c r="B1790" i="167"/>
  <c r="B1787" i="167"/>
  <c r="H1785" i="167"/>
  <c r="A1785" i="167"/>
  <c r="B1785" i="167" s="1"/>
  <c r="B1784" i="167"/>
  <c r="B1781" i="167"/>
  <c r="B1778" i="167"/>
  <c r="B1775" i="167"/>
  <c r="B1772" i="167"/>
  <c r="B1769" i="167"/>
  <c r="B1766" i="167"/>
  <c r="B1763" i="167"/>
  <c r="B1760" i="167"/>
  <c r="B1756" i="167"/>
  <c r="A1754" i="167"/>
  <c r="B1754" i="167" s="1"/>
  <c r="B1753" i="167"/>
  <c r="B4422" i="167" s="1"/>
  <c r="B4423" i="167" s="1"/>
  <c r="B4430" i="167" s="1"/>
  <c r="H1751" i="167"/>
  <c r="H1754" i="167" s="1"/>
  <c r="A1751" i="167"/>
  <c r="B1751" i="167" s="1"/>
  <c r="B1750" i="167"/>
  <c r="B1746" i="167"/>
  <c r="B1743" i="167"/>
  <c r="B1740" i="167"/>
  <c r="B1737" i="167"/>
  <c r="B1734" i="167"/>
  <c r="B1731" i="167"/>
  <c r="B1728" i="167"/>
  <c r="B1725" i="167"/>
  <c r="B1722" i="167"/>
  <c r="B1719" i="167"/>
  <c r="B1716" i="167"/>
  <c r="H1714" i="167"/>
  <c r="H2042" i="167" s="1"/>
  <c r="H2265" i="167" s="1"/>
  <c r="H2676" i="167" s="1"/>
  <c r="H2867" i="167" s="1"/>
  <c r="H2909" i="167" s="1"/>
  <c r="H3284" i="167" s="1"/>
  <c r="A1714" i="167"/>
  <c r="B1713" i="167"/>
  <c r="B1710" i="167"/>
  <c r="B1707" i="167"/>
  <c r="B1704" i="167"/>
  <c r="B1701" i="167"/>
  <c r="B1698" i="167"/>
  <c r="B1695" i="167"/>
  <c r="B1692" i="167"/>
  <c r="B1689" i="167"/>
  <c r="B1686" i="167"/>
  <c r="H1684" i="167"/>
  <c r="H1687" i="167" s="1"/>
  <c r="H1747" i="167" s="1"/>
  <c r="H1773" i="167" s="1"/>
  <c r="H1779" i="167" s="1"/>
  <c r="H1788" i="167" s="1"/>
  <c r="H1812" i="167" s="1"/>
  <c r="H1821" i="167" s="1"/>
  <c r="H1848" i="167" s="1"/>
  <c r="H1887" i="167" s="1"/>
  <c r="H2039" i="167" s="1"/>
  <c r="H2048" i="167" s="1"/>
  <c r="H2057" i="167" s="1"/>
  <c r="H2063" i="167" s="1"/>
  <c r="H2075" i="167" s="1"/>
  <c r="H2187" i="167" s="1"/>
  <c r="H2190" i="167" s="1"/>
  <c r="H2193" i="167" s="1"/>
  <c r="H2196" i="167" s="1"/>
  <c r="H2199" i="167" s="1"/>
  <c r="H2259" i="167" s="1"/>
  <c r="H2271" i="167" s="1"/>
  <c r="H2274" i="167" s="1"/>
  <c r="H2298" i="167" s="1"/>
  <c r="H2313" i="167" s="1"/>
  <c r="H2359" i="167" s="1"/>
  <c r="H2374" i="167" s="1"/>
  <c r="H2386" i="167" s="1"/>
  <c r="H2398" i="167" s="1"/>
  <c r="H2664" i="167" s="1"/>
  <c r="H2673" i="167" s="1"/>
  <c r="H2751" i="167" s="1"/>
  <c r="H2766" i="167" s="1"/>
  <c r="H2830" i="167" s="1"/>
  <c r="H2888" i="167" s="1"/>
  <c r="H2897" i="167" s="1"/>
  <c r="H3185" i="167" s="1"/>
  <c r="H3269" i="167" s="1"/>
  <c r="H3281" i="167" s="1"/>
  <c r="H3341" i="167" s="1"/>
  <c r="H3356" i="167" s="1"/>
  <c r="H3377" i="167" s="1"/>
  <c r="H3440" i="167" s="1"/>
  <c r="H3672" i="167" s="1"/>
  <c r="H3687" i="167" s="1"/>
  <c r="H3802" i="167" s="1"/>
  <c r="H3811" i="167" s="1"/>
  <c r="H3835" i="167" s="1"/>
  <c r="H3881" i="167" s="1"/>
  <c r="H3926" i="167" s="1"/>
  <c r="H3989" i="167" s="1"/>
  <c r="H4001" i="167" s="1"/>
  <c r="H4221" i="167" s="1"/>
  <c r="H4272" i="167" s="1"/>
  <c r="H4290" i="167" s="1"/>
  <c r="H4350" i="167" s="1"/>
  <c r="H4377" i="167" s="1"/>
  <c r="H4412" i="167" s="1"/>
  <c r="H4439" i="167" s="1"/>
  <c r="H4481" i="167" s="1"/>
  <c r="H4769" i="167" s="1"/>
  <c r="H4796" i="167" s="1"/>
  <c r="H4940" i="167" s="1"/>
  <c r="H4967" i="167" s="1"/>
  <c r="H4986" i="167" s="1"/>
  <c r="H5037" i="167" s="1"/>
  <c r="H5236" i="167" s="1"/>
  <c r="H5359" i="167" s="1"/>
  <c r="H5413" i="167" s="1"/>
  <c r="H5475" i="167" s="1"/>
  <c r="H5487" i="167" s="1"/>
  <c r="B1683" i="167"/>
  <c r="H1681" i="167"/>
  <c r="B1680" i="167"/>
  <c r="B1677" i="167"/>
  <c r="B1674" i="167"/>
  <c r="B1671" i="167"/>
  <c r="B1668" i="167"/>
  <c r="B1665" i="167"/>
  <c r="B1662" i="167"/>
  <c r="B1659" i="167"/>
  <c r="B1656" i="167"/>
  <c r="B1652" i="167"/>
  <c r="B1649" i="167"/>
  <c r="B1646" i="167"/>
  <c r="B1643" i="167"/>
  <c r="B1640" i="167"/>
  <c r="B1637" i="167"/>
  <c r="B1634" i="167"/>
  <c r="B1631" i="167"/>
  <c r="B1628" i="167"/>
  <c r="B1625" i="167"/>
  <c r="B1622" i="167"/>
  <c r="B1619" i="167"/>
  <c r="B1616" i="167"/>
  <c r="B1613" i="167"/>
  <c r="B1610" i="167"/>
  <c r="B1607" i="167"/>
  <c r="B1604" i="167"/>
  <c r="H1602" i="167"/>
  <c r="H3064" i="167" s="1"/>
  <c r="A1602" i="167"/>
  <c r="B1601" i="167"/>
  <c r="B1598" i="167"/>
  <c r="B1595" i="167"/>
  <c r="B1592" i="167"/>
  <c r="B1589" i="167"/>
  <c r="B1586" i="167"/>
  <c r="B1583" i="167"/>
  <c r="B1580" i="167"/>
  <c r="B1577" i="167"/>
  <c r="B1574" i="167"/>
  <c r="H1572" i="167"/>
  <c r="H1578" i="167" s="1"/>
  <c r="H1587" i="167" s="1"/>
  <c r="H1593" i="167" s="1"/>
  <c r="H1605" i="167" s="1"/>
  <c r="H1617" i="167" s="1"/>
  <c r="H1620" i="167" s="1"/>
  <c r="H1626" i="167" s="1"/>
  <c r="H1632" i="167" s="1"/>
  <c r="B1571" i="167"/>
  <c r="H1569" i="167"/>
  <c r="B1568" i="167"/>
  <c r="B1565" i="167"/>
  <c r="B1562" i="167"/>
  <c r="B1559" i="167"/>
  <c r="B1556" i="167"/>
  <c r="B1553" i="167"/>
  <c r="B1550" i="167"/>
  <c r="B1547" i="167"/>
  <c r="B1544" i="167"/>
  <c r="B1541" i="167"/>
  <c r="B1538" i="167"/>
  <c r="B1535" i="167"/>
  <c r="B1532" i="167"/>
  <c r="B1529" i="167"/>
  <c r="B1526" i="167"/>
  <c r="B1523" i="167"/>
  <c r="B1520" i="167"/>
  <c r="H1518" i="167"/>
  <c r="H1521" i="167" s="1"/>
  <c r="H1527" i="167" s="1"/>
  <c r="H1533" i="167" s="1"/>
  <c r="H1539" i="167" s="1"/>
  <c r="H1545" i="167" s="1"/>
  <c r="H1551" i="167" s="1"/>
  <c r="H1554" i="167" s="1"/>
  <c r="H1557" i="167" s="1"/>
  <c r="B1517" i="167"/>
  <c r="H1515" i="167"/>
  <c r="H1524" i="167" s="1"/>
  <c r="H1530" i="167" s="1"/>
  <c r="H1548" i="167" s="1"/>
  <c r="H1560" i="167" s="1"/>
  <c r="H1563" i="167" s="1"/>
  <c r="H1575" i="167" s="1"/>
  <c r="H1581" i="167" s="1"/>
  <c r="H1584" i="167" s="1"/>
  <c r="H1596" i="167" s="1"/>
  <c r="H1608" i="167" s="1"/>
  <c r="H1611" i="167" s="1"/>
  <c r="H1614" i="167" s="1"/>
  <c r="H1629" i="167" s="1"/>
  <c r="H1635" i="167" s="1"/>
  <c r="H1638" i="167" s="1"/>
  <c r="H1644" i="167" s="1"/>
  <c r="H1650" i="167" s="1"/>
  <c r="H1657" i="167" s="1"/>
  <c r="H1678" i="167" s="1"/>
  <c r="H1717" i="167" s="1"/>
  <c r="H1776" i="167" s="1"/>
  <c r="H1791" i="167" s="1"/>
  <c r="H1797" i="167" s="1"/>
  <c r="H1809" i="167" s="1"/>
  <c r="H1815" i="167" s="1"/>
  <c r="H1818" i="167" s="1"/>
  <c r="H1830" i="167" s="1"/>
  <c r="H1845" i="167" s="1"/>
  <c r="H1854" i="167" s="1"/>
  <c r="H1863" i="167" s="1"/>
  <c r="H1878" i="167" s="1"/>
  <c r="H1890" i="167" s="1"/>
  <c r="H1893" i="167" s="1"/>
  <c r="H1899" i="167" s="1"/>
  <c r="H1902" i="167" s="1"/>
  <c r="B1514" i="167"/>
  <c r="B1511" i="167"/>
  <c r="B1508" i="167"/>
  <c r="H1506" i="167"/>
  <c r="H1512" i="167" s="1"/>
  <c r="B1505" i="167"/>
  <c r="H1503" i="167"/>
  <c r="B1502" i="167"/>
  <c r="H1500" i="167"/>
  <c r="B1499" i="167"/>
  <c r="B1496" i="167"/>
  <c r="D3934" i="166"/>
  <c r="D3933" i="166"/>
  <c r="D3931" i="166"/>
  <c r="D3930" i="166"/>
  <c r="D3928" i="166"/>
  <c r="D3927" i="166"/>
  <c r="D3925" i="166"/>
  <c r="D3924" i="166"/>
  <c r="D3922" i="166"/>
  <c r="D3921" i="166"/>
  <c r="D3919" i="166"/>
  <c r="D3918" i="166"/>
  <c r="D3916" i="166"/>
  <c r="D3915" i="166"/>
  <c r="D3913" i="166"/>
  <c r="D3912" i="166"/>
  <c r="D3910" i="166"/>
  <c r="D3909" i="166"/>
  <c r="D3907" i="166"/>
  <c r="D3906" i="166"/>
  <c r="D3904" i="166"/>
  <c r="D3903" i="166"/>
  <c r="D3901" i="166"/>
  <c r="D3900" i="166"/>
  <c r="D3898" i="166"/>
  <c r="D3897" i="166"/>
  <c r="D3895" i="166"/>
  <c r="D3894" i="166"/>
  <c r="D3892" i="166"/>
  <c r="D3891" i="166"/>
  <c r="D3889" i="166"/>
  <c r="D3888" i="166"/>
  <c r="D3886" i="166"/>
  <c r="D3885" i="166"/>
  <c r="D3883" i="166"/>
  <c r="D3882" i="166"/>
  <c r="D3880" i="166"/>
  <c r="D3879" i="166"/>
  <c r="D3877" i="166"/>
  <c r="D3876" i="166"/>
  <c r="D3874" i="166"/>
  <c r="D3873" i="166"/>
  <c r="D3871" i="166"/>
  <c r="D3870" i="166"/>
  <c r="D3868" i="166"/>
  <c r="D3867" i="166"/>
  <c r="D3865" i="166"/>
  <c r="D3864" i="166"/>
  <c r="D3862" i="166"/>
  <c r="D3861" i="166"/>
  <c r="D3859" i="166"/>
  <c r="D3858" i="166"/>
  <c r="D3857" i="166"/>
  <c r="D3855" i="166"/>
  <c r="D3854" i="166"/>
  <c r="D3853" i="166"/>
  <c r="D3851" i="166"/>
  <c r="D3850" i="166"/>
  <c r="D3849" i="166"/>
  <c r="D3847" i="166"/>
  <c r="D3846" i="166"/>
  <c r="D3844" i="166"/>
  <c r="D3843" i="166"/>
  <c r="D3841" i="166"/>
  <c r="D3840" i="166"/>
  <c r="D3838" i="166"/>
  <c r="D3837" i="166"/>
  <c r="D3835" i="166"/>
  <c r="D3834" i="166"/>
  <c r="D3832" i="166"/>
  <c r="D3831" i="166"/>
  <c r="D3829" i="166"/>
  <c r="D3828" i="166"/>
  <c r="D3826" i="166"/>
  <c r="D3825" i="166"/>
  <c r="D3823" i="166"/>
  <c r="D3822" i="166"/>
  <c r="D3820" i="166"/>
  <c r="D3819" i="166"/>
  <c r="D3817" i="166"/>
  <c r="D3816" i="166"/>
  <c r="D3814" i="166"/>
  <c r="D3813" i="166"/>
  <c r="D3811" i="166"/>
  <c r="D3810" i="166"/>
  <c r="D3808" i="166"/>
  <c r="D3807" i="166"/>
  <c r="D3805" i="166"/>
  <c r="D3804" i="166"/>
  <c r="D3802" i="166"/>
  <c r="D3801" i="166"/>
  <c r="D3799" i="166"/>
  <c r="D3798" i="166"/>
  <c r="D3796" i="166"/>
  <c r="D3795" i="166"/>
  <c r="D3793" i="166"/>
  <c r="D3792" i="166"/>
  <c r="D3790" i="166"/>
  <c r="D3789" i="166"/>
  <c r="D3787" i="166"/>
  <c r="D3786" i="166"/>
  <c r="D3784" i="166"/>
  <c r="D3783" i="166"/>
  <c r="D3781" i="166"/>
  <c r="D3780" i="166"/>
  <c r="D3778" i="166"/>
  <c r="D3777" i="166"/>
  <c r="D3775" i="166"/>
  <c r="D3774" i="166"/>
  <c r="D3772" i="166"/>
  <c r="D3771" i="166"/>
  <c r="D3769" i="166"/>
  <c r="D3768" i="166"/>
  <c r="D3766" i="166"/>
  <c r="D3765" i="166"/>
  <c r="D3763" i="166"/>
  <c r="D3762" i="166"/>
  <c r="D3760" i="166"/>
  <c r="D3759" i="166"/>
  <c r="D3757" i="166"/>
  <c r="D3756" i="166"/>
  <c r="D3754" i="166"/>
  <c r="D3753" i="166"/>
  <c r="D3751" i="166"/>
  <c r="D3750" i="166"/>
  <c r="D3748" i="166"/>
  <c r="D3747" i="166"/>
  <c r="D3745" i="166"/>
  <c r="D3744" i="166"/>
  <c r="D3742" i="166"/>
  <c r="D3741" i="166"/>
  <c r="D3739" i="166"/>
  <c r="D3737" i="166"/>
  <c r="D3735" i="166"/>
  <c r="D3734" i="166"/>
  <c r="D3732" i="166"/>
  <c r="D3731" i="166"/>
  <c r="D3729" i="166"/>
  <c r="D3728" i="166"/>
  <c r="D3726" i="166"/>
  <c r="D3725" i="166"/>
  <c r="D3723" i="166"/>
  <c r="D3722" i="166"/>
  <c r="D3720" i="166"/>
  <c r="D3719" i="166"/>
  <c r="D3717" i="166"/>
  <c r="D3716" i="166"/>
  <c r="D3714" i="166"/>
  <c r="D3713" i="166"/>
  <c r="D3711" i="166"/>
  <c r="D3710" i="166"/>
  <c r="D3708" i="166"/>
  <c r="D3707" i="166"/>
  <c r="D3705" i="166"/>
  <c r="D3704" i="166"/>
  <c r="D3702" i="166"/>
  <c r="D3701" i="166"/>
  <c r="D3699" i="166"/>
  <c r="D3698" i="166"/>
  <c r="D3696" i="166"/>
  <c r="D3695" i="166"/>
  <c r="D3693" i="166"/>
  <c r="D3692" i="166"/>
  <c r="D3690" i="166"/>
  <c r="D3689" i="166"/>
  <c r="D3687" i="166"/>
  <c r="D3686" i="166"/>
  <c r="D3684" i="166"/>
  <c r="D3683" i="166"/>
  <c r="D3681" i="166"/>
  <c r="D3680" i="166"/>
  <c r="D3678" i="166"/>
  <c r="D3677" i="166"/>
  <c r="D3675" i="166"/>
  <c r="D3674" i="166"/>
  <c r="D3672" i="166"/>
  <c r="D3671" i="166"/>
  <c r="D3669" i="166"/>
  <c r="D3668" i="166"/>
  <c r="D3666" i="166"/>
  <c r="D3665" i="166"/>
  <c r="D3663" i="166"/>
  <c r="D3662" i="166"/>
  <c r="D3660" i="166"/>
  <c r="D3659" i="166"/>
  <c r="D3657" i="166"/>
  <c r="D3656" i="166"/>
  <c r="D3654" i="166"/>
  <c r="D3653" i="166"/>
  <c r="D3651" i="166"/>
  <c r="D3650" i="166"/>
  <c r="D3648" i="166"/>
  <c r="D3647" i="166"/>
  <c r="D3645" i="166"/>
  <c r="D3644" i="166"/>
  <c r="D3642" i="166"/>
  <c r="D3641" i="166"/>
  <c r="D3639" i="166"/>
  <c r="D3638" i="166"/>
  <c r="D3636" i="166"/>
  <c r="D3635" i="166"/>
  <c r="D3633" i="166"/>
  <c r="D3632" i="166"/>
  <c r="D3630" i="166"/>
  <c r="D3629" i="166"/>
  <c r="D3627" i="166"/>
  <c r="D3626" i="166"/>
  <c r="D3624" i="166"/>
  <c r="D3623" i="166"/>
  <c r="D3621" i="166"/>
  <c r="D3620" i="166"/>
  <c r="D3618" i="166"/>
  <c r="D3617" i="166"/>
  <c r="D3615" i="166"/>
  <c r="D3614" i="166"/>
  <c r="D3612" i="166"/>
  <c r="D3611" i="166"/>
  <c r="D3609" i="166"/>
  <c r="D3608" i="166"/>
  <c r="D3606" i="166"/>
  <c r="D3605" i="166"/>
  <c r="D3603" i="166"/>
  <c r="D3602" i="166"/>
  <c r="D3600" i="166"/>
  <c r="D3599" i="166"/>
  <c r="D3597" i="166"/>
  <c r="D3596" i="166"/>
  <c r="D3594" i="166"/>
  <c r="D3593" i="166"/>
  <c r="D3591" i="166"/>
  <c r="D3590" i="166"/>
  <c r="D3588" i="166"/>
  <c r="D3587" i="166"/>
  <c r="D3585" i="166"/>
  <c r="D3584" i="166"/>
  <c r="D3582" i="166"/>
  <c r="D3581" i="166"/>
  <c r="D3579" i="166"/>
  <c r="D3578" i="166"/>
  <c r="D3576" i="166"/>
  <c r="D3575" i="166"/>
  <c r="D3573" i="166"/>
  <c r="D3572" i="166"/>
  <c r="D3570" i="166"/>
  <c r="D3569" i="166"/>
  <c r="D3567" i="166"/>
  <c r="D3566" i="166"/>
  <c r="D3564" i="166"/>
  <c r="D3563" i="166"/>
  <c r="D3561" i="166"/>
  <c r="D3560" i="166"/>
  <c r="D3558" i="166"/>
  <c r="D3557" i="166"/>
  <c r="D3555" i="166"/>
  <c r="D3554" i="166"/>
  <c r="D3552" i="166"/>
  <c r="D3551" i="166"/>
  <c r="D3549" i="166"/>
  <c r="D3548" i="166"/>
  <c r="D3546" i="166"/>
  <c r="D3545" i="166"/>
  <c r="D3543" i="166"/>
  <c r="D3542" i="166"/>
  <c r="D3540" i="166"/>
  <c r="D3539" i="166"/>
  <c r="D3537" i="166"/>
  <c r="D3536" i="166"/>
  <c r="D3534" i="166"/>
  <c r="D3533" i="166"/>
  <c r="D3531" i="166"/>
  <c r="D3530" i="166"/>
  <c r="D3528" i="166"/>
  <c r="D3527" i="166"/>
  <c r="D3525" i="166"/>
  <c r="D3524" i="166"/>
  <c r="D3522" i="166"/>
  <c r="D3521" i="166"/>
  <c r="D3519" i="166"/>
  <c r="D3518" i="166"/>
  <c r="D3500" i="166"/>
  <c r="D3499" i="166"/>
  <c r="D3497" i="166"/>
  <c r="D3496" i="166"/>
  <c r="D3494" i="166"/>
  <c r="D3493" i="166"/>
  <c r="D3491" i="166"/>
  <c r="D3490" i="166"/>
  <c r="D3488" i="166"/>
  <c r="D3487" i="166"/>
  <c r="D3485" i="166"/>
  <c r="D3484" i="166"/>
  <c r="D3482" i="166"/>
  <c r="D3481" i="166"/>
  <c r="D3479" i="166"/>
  <c r="D3478" i="166"/>
  <c r="D3476" i="166"/>
  <c r="D3475" i="166"/>
  <c r="D3473" i="166"/>
  <c r="D3472" i="166"/>
  <c r="D3470" i="166"/>
  <c r="D3469" i="166"/>
  <c r="D3467" i="166"/>
  <c r="D3466" i="166"/>
  <c r="D3464" i="166"/>
  <c r="D3463" i="166"/>
  <c r="D3462" i="166"/>
  <c r="D3461" i="166"/>
  <c r="D3460" i="166"/>
  <c r="D3459" i="166"/>
  <c r="D3457" i="166"/>
  <c r="D3456" i="166"/>
  <c r="D3455" i="166"/>
  <c r="D3454" i="166"/>
  <c r="D3453" i="166"/>
  <c r="D3452" i="166"/>
  <c r="D3451" i="166"/>
  <c r="D3449" i="166"/>
  <c r="D3448" i="166"/>
  <c r="D3446" i="166"/>
  <c r="D3445" i="166"/>
  <c r="D3443" i="166"/>
  <c r="D3442" i="166"/>
  <c r="D3440" i="166"/>
  <c r="D3439" i="166"/>
  <c r="D3437" i="166"/>
  <c r="D3436" i="166"/>
  <c r="D3434" i="166"/>
  <c r="D3433" i="166"/>
  <c r="D3431" i="166"/>
  <c r="D3430" i="166"/>
  <c r="D3428" i="166"/>
  <c r="D3427" i="166"/>
  <c r="D3425" i="166"/>
  <c r="D3424" i="166"/>
  <c r="D3422" i="166"/>
  <c r="D3421" i="166"/>
  <c r="D3419" i="166"/>
  <c r="D3418" i="166"/>
  <c r="D3416" i="166"/>
  <c r="D3415" i="166"/>
  <c r="D3413" i="166"/>
  <c r="D3412" i="166"/>
  <c r="D3410" i="166"/>
  <c r="D3409" i="166"/>
  <c r="D3407" i="166"/>
  <c r="D3406" i="166"/>
  <c r="D3404" i="166"/>
  <c r="D3403" i="166"/>
  <c r="D3401" i="166"/>
  <c r="D3400" i="166"/>
  <c r="D3398" i="166"/>
  <c r="D3397" i="166"/>
  <c r="D3395" i="166"/>
  <c r="D3394" i="166"/>
  <c r="D3392" i="166"/>
  <c r="D3391" i="166"/>
  <c r="D3389" i="166"/>
  <c r="D3388" i="166"/>
  <c r="D3386" i="166"/>
  <c r="D3385" i="166"/>
  <c r="D3383" i="166"/>
  <c r="D3382" i="166"/>
  <c r="D3380" i="166"/>
  <c r="D3379" i="166"/>
  <c r="D3377" i="166"/>
  <c r="D3376" i="166"/>
  <c r="D3374" i="166"/>
  <c r="D3373" i="166"/>
  <c r="D3371" i="166"/>
  <c r="D3370" i="166"/>
  <c r="D3368" i="166"/>
  <c r="D3367" i="166"/>
  <c r="D3365" i="166"/>
  <c r="D3364" i="166"/>
  <c r="D3362" i="166"/>
  <c r="D3361" i="166"/>
  <c r="D3359" i="166"/>
  <c r="D3358" i="166"/>
  <c r="D3356" i="166"/>
  <c r="D3355" i="166"/>
  <c r="D3353" i="166"/>
  <c r="D3352" i="166"/>
  <c r="D3350" i="166"/>
  <c r="D3349" i="166"/>
  <c r="D3347" i="166"/>
  <c r="D3346" i="166"/>
  <c r="D3344" i="166"/>
  <c r="D3343" i="166"/>
  <c r="D3341" i="166"/>
  <c r="D3340" i="166"/>
  <c r="D3338" i="166"/>
  <c r="D3337" i="166"/>
  <c r="D3335" i="166"/>
  <c r="D3334" i="166"/>
  <c r="D3332" i="166"/>
  <c r="D3331" i="166"/>
  <c r="D3329" i="166"/>
  <c r="D3328" i="166"/>
  <c r="D3326" i="166"/>
  <c r="D3325" i="166"/>
  <c r="D3323" i="166"/>
  <c r="D3322" i="166"/>
  <c r="D3320" i="166"/>
  <c r="D3319" i="166"/>
  <c r="D3317" i="166"/>
  <c r="D3316" i="166"/>
  <c r="D3314" i="166"/>
  <c r="D3313" i="166"/>
  <c r="D3311" i="166"/>
  <c r="D3310" i="166"/>
  <c r="D3308" i="166"/>
  <c r="D3307" i="166"/>
  <c r="D3305" i="166"/>
  <c r="D3304" i="166"/>
  <c r="D3302" i="166"/>
  <c r="D3301" i="166"/>
  <c r="D3299" i="166"/>
  <c r="D3298" i="166"/>
  <c r="D3296" i="166"/>
  <c r="D3295" i="166"/>
  <c r="D3293" i="166"/>
  <c r="D3292" i="166"/>
  <c r="D3290" i="166"/>
  <c r="D3289" i="166"/>
  <c r="D3287" i="166"/>
  <c r="D3286" i="166"/>
  <c r="D3284" i="166"/>
  <c r="D3283" i="166"/>
  <c r="D3281" i="166"/>
  <c r="D3280" i="166"/>
  <c r="D3278" i="166"/>
  <c r="D3277" i="166"/>
  <c r="D3275" i="166"/>
  <c r="D3274" i="166"/>
  <c r="D3272" i="166"/>
  <c r="D3271" i="166"/>
  <c r="D3269" i="166"/>
  <c r="D3268" i="166"/>
  <c r="D3266" i="166"/>
  <c r="D3265" i="166"/>
  <c r="D3263" i="166"/>
  <c r="D3262" i="166"/>
  <c r="D3260" i="166"/>
  <c r="D3259" i="166"/>
  <c r="D3257" i="166"/>
  <c r="D3256" i="166"/>
  <c r="D3254" i="166"/>
  <c r="D3253" i="166"/>
  <c r="D3251" i="166"/>
  <c r="D3250" i="166"/>
  <c r="D3248" i="166"/>
  <c r="D3247" i="166"/>
  <c r="D3245" i="166"/>
  <c r="D3244" i="166"/>
  <c r="D3242" i="166"/>
  <c r="D3241" i="166"/>
  <c r="D3239" i="166"/>
  <c r="D3238" i="166"/>
  <c r="D3236" i="166"/>
  <c r="D3235" i="166"/>
  <c r="D3233" i="166"/>
  <c r="D3232" i="166"/>
  <c r="D3230" i="166"/>
  <c r="D3229" i="166"/>
  <c r="D3227" i="166"/>
  <c r="D3226" i="166"/>
  <c r="D3224" i="166"/>
  <c r="D3223" i="166"/>
  <c r="D3221" i="166"/>
  <c r="D3220" i="166"/>
  <c r="D3218" i="166"/>
  <c r="D3217" i="166"/>
  <c r="D3215" i="166"/>
  <c r="D3214" i="166"/>
  <c r="D3212" i="166"/>
  <c r="D3211" i="166"/>
  <c r="D3209" i="166"/>
  <c r="D3208" i="166"/>
  <c r="D3207" i="166"/>
  <c r="D3205" i="166"/>
  <c r="D3204" i="166"/>
  <c r="D3202" i="166"/>
  <c r="D3201" i="166"/>
  <c r="D3199" i="166"/>
  <c r="D3198" i="166"/>
  <c r="D3197" i="166"/>
  <c r="D3195" i="166"/>
  <c r="D3194" i="166"/>
  <c r="D3192" i="166"/>
  <c r="D3191" i="166"/>
  <c r="D3189" i="166"/>
  <c r="D3188" i="166"/>
  <c r="D3186" i="166"/>
  <c r="D3185" i="166"/>
  <c r="D3183" i="166"/>
  <c r="D3182" i="166"/>
  <c r="D3180" i="166"/>
  <c r="D3179" i="166"/>
  <c r="D3177" i="166"/>
  <c r="D3176" i="166"/>
  <c r="D3174" i="166"/>
  <c r="D3173" i="166"/>
  <c r="D3171" i="166"/>
  <c r="D3170" i="166"/>
  <c r="D3168" i="166"/>
  <c r="D3167" i="166"/>
  <c r="D3165" i="166"/>
  <c r="D3164" i="166"/>
  <c r="D3162" i="166"/>
  <c r="D3161" i="166"/>
  <c r="D3159" i="166"/>
  <c r="D3158" i="166"/>
  <c r="D3156" i="166"/>
  <c r="D3155" i="166"/>
  <c r="D3153" i="166"/>
  <c r="D3152" i="166"/>
  <c r="D3150" i="166"/>
  <c r="D3149" i="166"/>
  <c r="D3147" i="166"/>
  <c r="D3146" i="166"/>
  <c r="D3144" i="166"/>
  <c r="D3143" i="166"/>
  <c r="D3141" i="166"/>
  <c r="D3140" i="166"/>
  <c r="D3138" i="166"/>
  <c r="D3137" i="166"/>
  <c r="D3135" i="166"/>
  <c r="D3134" i="166"/>
  <c r="D3132" i="166"/>
  <c r="D3131" i="166"/>
  <c r="D3129" i="166"/>
  <c r="D3128" i="166"/>
  <c r="D3126" i="166"/>
  <c r="D3125" i="166"/>
  <c r="D3123" i="166"/>
  <c r="D3122" i="166"/>
  <c r="D3120" i="166"/>
  <c r="D3119" i="166"/>
  <c r="D3117" i="166"/>
  <c r="D3116" i="166"/>
  <c r="D3114" i="166"/>
  <c r="D3113" i="166"/>
  <c r="D3111" i="166"/>
  <c r="D3110" i="166"/>
  <c r="D3108" i="166"/>
  <c r="D3107" i="166"/>
  <c r="D3105" i="166"/>
  <c r="D3104" i="166"/>
  <c r="D3102" i="166"/>
  <c r="D3101" i="166"/>
  <c r="D3099" i="166"/>
  <c r="D3098" i="166"/>
  <c r="D3096" i="166"/>
  <c r="D3095" i="166"/>
  <c r="D3093" i="166"/>
  <c r="D3092" i="166"/>
  <c r="D3090" i="166"/>
  <c r="D3089" i="166"/>
  <c r="D3087" i="166"/>
  <c r="D3086" i="166"/>
  <c r="D3084" i="166"/>
  <c r="D3083" i="166"/>
  <c r="D3081" i="166"/>
  <c r="D3080" i="166"/>
  <c r="D3078" i="166"/>
  <c r="D3077" i="166"/>
  <c r="D3075" i="166"/>
  <c r="D3074" i="166"/>
  <c r="D3072" i="166"/>
  <c r="D3071" i="166"/>
  <c r="D3069" i="166"/>
  <c r="D3068" i="166"/>
  <c r="D3066" i="166"/>
  <c r="D3065" i="166"/>
  <c r="D3063" i="166"/>
  <c r="D3062" i="166"/>
  <c r="D3060" i="166"/>
  <c r="D3059" i="166"/>
  <c r="D3057" i="166"/>
  <c r="D3056" i="166"/>
  <c r="D3054" i="166"/>
  <c r="D3053" i="166"/>
  <c r="D3051" i="166"/>
  <c r="D3050" i="166"/>
  <c r="D3048" i="166"/>
  <c r="D3047" i="166"/>
  <c r="D3045" i="166"/>
  <c r="D3044" i="166"/>
  <c r="D3042" i="166"/>
  <c r="D3041" i="166"/>
  <c r="D3039" i="166"/>
  <c r="D3038" i="166"/>
  <c r="D3036" i="166"/>
  <c r="D3035" i="166"/>
  <c r="D3033" i="166"/>
  <c r="D3032" i="166"/>
  <c r="D3030" i="166"/>
  <c r="D3029" i="166"/>
  <c r="D3027" i="166"/>
  <c r="D3026" i="166"/>
  <c r="D3024" i="166"/>
  <c r="D3023" i="166"/>
  <c r="D3021" i="166"/>
  <c r="D3020" i="166"/>
  <c r="D3018" i="166"/>
  <c r="D3017" i="166"/>
  <c r="D3015" i="166"/>
  <c r="D3014" i="166"/>
  <c r="D3012" i="166"/>
  <c r="D3011" i="166"/>
  <c r="D3009" i="166"/>
  <c r="D3008" i="166"/>
  <c r="D3006" i="166"/>
  <c r="D3005" i="166"/>
  <c r="D3003" i="166"/>
  <c r="D3002" i="166"/>
  <c r="D3000" i="166"/>
  <c r="D2999" i="166"/>
  <c r="D2997" i="166"/>
  <c r="D2996" i="166"/>
  <c r="D2994" i="166"/>
  <c r="D2993" i="166"/>
  <c r="D2991" i="166"/>
  <c r="D2990" i="166"/>
  <c r="D2988" i="166"/>
  <c r="D2987" i="166"/>
  <c r="D2985" i="166"/>
  <c r="D2984" i="166"/>
  <c r="D2982" i="166"/>
  <c r="D2981" i="166"/>
  <c r="D2979" i="166"/>
  <c r="D2978" i="166"/>
  <c r="D2976" i="166"/>
  <c r="D2975" i="166"/>
  <c r="D2973" i="166"/>
  <c r="D2972" i="166"/>
  <c r="D2970" i="166"/>
  <c r="D2969" i="166"/>
  <c r="D2967" i="166"/>
  <c r="D2966" i="166"/>
  <c r="D2964" i="166"/>
  <c r="D2963" i="166"/>
  <c r="D2961" i="166"/>
  <c r="D2960" i="166"/>
  <c r="D2958" i="166"/>
  <c r="D2957" i="166"/>
  <c r="D2955" i="166"/>
  <c r="D2954" i="166"/>
  <c r="D2952" i="166"/>
  <c r="D2951" i="166"/>
  <c r="D2949" i="166"/>
  <c r="D2948" i="166"/>
  <c r="D2946" i="166"/>
  <c r="D2945" i="166"/>
  <c r="D2943" i="166"/>
  <c r="D2942" i="166"/>
  <c r="D2940" i="166"/>
  <c r="D2939" i="166"/>
  <c r="D2937" i="166"/>
  <c r="D2935" i="166"/>
  <c r="D2933" i="166"/>
  <c r="D2932" i="166"/>
  <c r="D2930" i="166"/>
  <c r="D2929" i="166"/>
  <c r="D2927" i="166"/>
  <c r="D2926" i="166"/>
  <c r="D2924" i="166"/>
  <c r="D2923" i="166"/>
  <c r="D2921" i="166"/>
  <c r="D2920" i="166"/>
  <c r="D2918" i="166"/>
  <c r="D2917" i="166"/>
  <c r="D2915" i="166"/>
  <c r="D2914" i="166"/>
  <c r="D2912" i="166"/>
  <c r="D2911" i="166"/>
  <c r="D2909" i="166"/>
  <c r="D2908" i="166"/>
  <c r="D2906" i="166"/>
  <c r="D2905" i="166"/>
  <c r="D2903" i="166"/>
  <c r="D2902" i="166"/>
  <c r="D2900" i="166"/>
  <c r="D2899" i="166"/>
  <c r="D2897" i="166"/>
  <c r="D2896" i="166"/>
  <c r="D2894" i="166"/>
  <c r="D2893" i="166"/>
  <c r="D2891" i="166"/>
  <c r="D2890" i="166"/>
  <c r="D2888" i="166"/>
  <c r="D2887" i="166"/>
  <c r="D2885" i="166"/>
  <c r="D2884" i="166"/>
  <c r="D2882" i="166"/>
  <c r="D2881" i="166"/>
  <c r="D2879" i="166"/>
  <c r="D2878" i="166"/>
  <c r="D2876" i="166"/>
  <c r="D2875" i="166"/>
  <c r="D2873" i="166"/>
  <c r="D2872" i="166"/>
  <c r="D2870" i="166"/>
  <c r="D2869" i="166"/>
  <c r="D2867" i="166"/>
  <c r="D2866" i="166"/>
  <c r="D2864" i="166"/>
  <c r="D2863" i="166"/>
  <c r="D2861" i="166"/>
  <c r="D2860" i="166"/>
  <c r="D2858" i="166"/>
  <c r="D2857" i="166"/>
  <c r="D2855" i="166"/>
  <c r="D2854" i="166"/>
  <c r="D2852" i="166"/>
  <c r="D2851" i="166"/>
  <c r="D2849" i="166"/>
  <c r="D2848" i="166"/>
  <c r="D2846" i="166"/>
  <c r="D2845" i="166"/>
  <c r="D2843" i="166"/>
  <c r="D2842" i="166"/>
  <c r="D2811" i="166"/>
  <c r="D2810" i="166"/>
  <c r="D2808" i="166"/>
  <c r="D2807" i="166"/>
  <c r="D2805" i="166"/>
  <c r="D2804" i="166"/>
  <c r="D2802" i="166"/>
  <c r="D2801" i="166"/>
  <c r="D2799" i="166"/>
  <c r="D2798" i="166"/>
  <c r="D2796" i="166"/>
  <c r="D2795" i="166"/>
  <c r="D2793" i="166"/>
  <c r="D2792" i="166"/>
  <c r="D2790" i="166"/>
  <c r="D2789" i="166"/>
  <c r="D2787" i="166"/>
  <c r="D2786" i="166"/>
  <c r="D2784" i="166"/>
  <c r="D2783" i="166"/>
  <c r="D2781" i="166"/>
  <c r="D2780" i="166"/>
  <c r="D2778" i="166"/>
  <c r="D2777" i="166"/>
  <c r="D2775" i="166"/>
  <c r="D2774" i="166"/>
  <c r="D2772" i="166"/>
  <c r="D2771" i="166"/>
  <c r="D2769" i="166"/>
  <c r="D2768" i="166"/>
  <c r="D2766" i="166"/>
  <c r="D2765" i="166"/>
  <c r="D2763" i="166"/>
  <c r="D2762" i="166"/>
  <c r="D2760" i="166"/>
  <c r="D2759" i="166"/>
  <c r="D2757" i="166"/>
  <c r="D2756" i="166"/>
  <c r="D2754" i="166"/>
  <c r="D2753" i="166"/>
  <c r="D2751" i="166"/>
  <c r="D2750" i="166"/>
  <c r="D2748" i="166"/>
  <c r="D2747" i="166"/>
  <c r="D2745" i="166"/>
  <c r="D2744" i="166"/>
  <c r="D2743" i="166"/>
  <c r="D2742" i="166"/>
  <c r="D2741" i="166"/>
  <c r="D2740" i="166"/>
  <c r="D2738" i="166"/>
  <c r="D2737" i="166"/>
  <c r="D2736" i="166"/>
  <c r="D2735" i="166"/>
  <c r="D2734" i="166"/>
  <c r="D2733" i="166"/>
  <c r="D2732" i="166"/>
  <c r="D2730" i="166"/>
  <c r="D2728" i="166"/>
  <c r="D2726" i="166"/>
  <c r="D2724" i="166"/>
  <c r="D2722" i="166"/>
  <c r="D2720" i="166"/>
  <c r="D2718" i="166"/>
  <c r="D2717" i="166"/>
  <c r="D2715" i="166"/>
  <c r="D2714" i="166"/>
  <c r="D2712" i="166"/>
  <c r="D2711" i="166"/>
  <c r="D2709" i="166"/>
  <c r="D2708" i="166"/>
  <c r="D2706" i="166"/>
  <c r="D2705" i="166"/>
  <c r="D2703" i="166"/>
  <c r="D2702" i="166"/>
  <c r="D2700" i="166"/>
  <c r="D2699" i="166"/>
  <c r="D2697" i="166"/>
  <c r="D2696" i="166"/>
  <c r="D2694" i="166"/>
  <c r="D2693" i="166"/>
  <c r="D2691" i="166"/>
  <c r="D2690" i="166"/>
  <c r="D2688" i="166"/>
  <c r="D2687" i="166"/>
  <c r="D2685" i="166"/>
  <c r="D2684" i="166"/>
  <c r="D2682" i="166"/>
  <c r="D2681" i="166"/>
  <c r="D2679" i="166"/>
  <c r="D2678" i="166"/>
  <c r="D2676" i="166"/>
  <c r="D2675" i="166"/>
  <c r="D2673" i="166"/>
  <c r="D2672" i="166"/>
  <c r="D2670" i="166"/>
  <c r="D2669" i="166"/>
  <c r="D2667" i="166"/>
  <c r="D2666" i="166"/>
  <c r="D2664" i="166"/>
  <c r="D2663" i="166"/>
  <c r="D2661" i="166"/>
  <c r="D2660" i="166"/>
  <c r="D2658" i="166"/>
  <c r="D2657" i="166"/>
  <c r="D2655" i="166"/>
  <c r="D2654" i="166"/>
  <c r="D2652" i="166"/>
  <c r="D2651" i="166"/>
  <c r="D2649" i="166"/>
  <c r="D2648" i="166"/>
  <c r="D2646" i="166"/>
  <c r="D2645" i="166"/>
  <c r="D2643" i="166"/>
  <c r="D2642" i="166"/>
  <c r="D2640" i="166"/>
  <c r="D2639" i="166"/>
  <c r="D2637" i="166"/>
  <c r="D2636" i="166"/>
  <c r="D2634" i="166"/>
  <c r="D2633" i="166"/>
  <c r="D2631" i="166"/>
  <c r="D2630" i="166"/>
  <c r="D2628" i="166"/>
  <c r="D2627" i="166"/>
  <c r="D2625" i="166"/>
  <c r="D2624" i="166"/>
  <c r="D2622" i="166"/>
  <c r="D2621" i="166"/>
  <c r="D2619" i="166"/>
  <c r="D2618" i="166"/>
  <c r="D2616" i="166"/>
  <c r="D2615" i="166"/>
  <c r="D2613" i="166"/>
  <c r="D2612" i="166"/>
  <c r="D2610" i="166"/>
  <c r="D2609" i="166"/>
  <c r="D2607" i="166"/>
  <c r="D2606" i="166"/>
  <c r="D2604" i="166"/>
  <c r="D2603" i="166"/>
  <c r="D2601" i="166"/>
  <c r="D2600" i="166"/>
  <c r="D2598" i="166"/>
  <c r="D2597" i="166"/>
  <c r="D2595" i="166"/>
  <c r="D2594" i="166"/>
  <c r="D2592" i="166"/>
  <c r="D2591" i="166"/>
  <c r="D2589" i="166"/>
  <c r="D2588" i="166"/>
  <c r="D2586" i="166"/>
  <c r="D2585" i="166"/>
  <c r="D2583" i="166"/>
  <c r="D2582" i="166"/>
  <c r="D2580" i="166"/>
  <c r="D2579" i="166"/>
  <c r="D2577" i="166"/>
  <c r="D2576" i="166"/>
  <c r="D2574" i="166"/>
  <c r="D2573" i="166"/>
  <c r="D2571" i="166"/>
  <c r="D2570" i="166"/>
  <c r="D2568" i="166"/>
  <c r="D2567" i="166"/>
  <c r="D2565" i="166"/>
  <c r="D2564" i="166"/>
  <c r="D2562" i="166"/>
  <c r="D2561" i="166"/>
  <c r="D2559" i="166"/>
  <c r="D2558" i="166"/>
  <c r="D2556" i="166"/>
  <c r="D2555" i="166"/>
  <c r="D2553" i="166"/>
  <c r="D2552" i="166"/>
  <c r="D2550" i="166"/>
  <c r="D2549" i="166"/>
  <c r="D2547" i="166"/>
  <c r="D2546" i="166"/>
  <c r="D2544" i="166"/>
  <c r="D2543" i="166"/>
  <c r="D2541" i="166"/>
  <c r="D2540" i="166"/>
  <c r="D2538" i="166"/>
  <c r="D2537" i="166"/>
  <c r="D2535" i="166"/>
  <c r="D2534" i="166"/>
  <c r="D2532" i="166"/>
  <c r="D2531" i="166"/>
  <c r="D2529" i="166"/>
  <c r="D2528" i="166"/>
  <c r="D2526" i="166"/>
  <c r="D2525" i="166"/>
  <c r="D2523" i="166"/>
  <c r="D2522" i="166"/>
  <c r="D2520" i="166"/>
  <c r="D2519" i="166"/>
  <c r="D2517" i="166"/>
  <c r="D2516" i="166"/>
  <c r="D2514" i="166"/>
  <c r="D2513" i="166"/>
  <c r="D2511" i="166"/>
  <c r="D2510" i="166"/>
  <c r="D2508" i="166"/>
  <c r="D2507" i="166"/>
  <c r="D2505" i="166"/>
  <c r="D2504" i="166"/>
  <c r="D2502" i="166"/>
  <c r="D2501" i="166"/>
  <c r="D2499" i="166"/>
  <c r="D2498" i="166"/>
  <c r="D2496" i="166"/>
  <c r="D2495" i="166"/>
  <c r="D2493" i="166"/>
  <c r="D2492" i="166"/>
  <c r="D2490" i="166"/>
  <c r="D2489" i="166"/>
  <c r="D2487" i="166"/>
  <c r="D2485" i="166"/>
  <c r="D2483" i="166"/>
  <c r="D2482" i="166"/>
  <c r="D2480" i="166"/>
  <c r="D2479" i="166"/>
  <c r="D2477" i="166"/>
  <c r="D2476" i="166"/>
  <c r="D2474" i="166"/>
  <c r="D2473" i="166"/>
  <c r="D2471" i="166"/>
  <c r="D2470" i="166"/>
  <c r="D2468" i="166"/>
  <c r="D2467" i="166"/>
  <c r="D2465" i="166"/>
  <c r="D2464" i="166"/>
  <c r="D2462" i="166"/>
  <c r="D2461" i="166"/>
  <c r="D2459" i="166"/>
  <c r="D2458" i="166"/>
  <c r="D2456" i="166"/>
  <c r="D2455" i="166"/>
  <c r="D2453" i="166"/>
  <c r="D2452" i="166"/>
  <c r="D2450" i="166"/>
  <c r="D2449" i="166"/>
  <c r="D2447" i="166"/>
  <c r="D2446" i="166"/>
  <c r="D2444" i="166"/>
  <c r="D2443" i="166"/>
  <c r="D2441" i="166"/>
  <c r="D2440" i="166"/>
  <c r="D2438" i="166"/>
  <c r="D2437" i="166"/>
  <c r="D2435" i="166"/>
  <c r="D2434" i="166"/>
  <c r="D2432" i="166"/>
  <c r="D2431" i="166"/>
  <c r="D2429" i="166"/>
  <c r="D2428" i="166"/>
  <c r="D2426" i="166"/>
  <c r="D2425" i="166"/>
  <c r="D2423" i="166"/>
  <c r="D2422" i="166"/>
  <c r="D2420" i="166"/>
  <c r="D2419" i="166"/>
  <c r="D2417" i="166"/>
  <c r="D2416" i="166"/>
  <c r="D2414" i="166"/>
  <c r="D2413" i="166"/>
  <c r="D2411" i="166"/>
  <c r="D2410" i="166"/>
  <c r="D2408" i="166"/>
  <c r="D2407" i="166"/>
  <c r="D2405" i="166"/>
  <c r="D2404" i="166"/>
  <c r="D2402" i="166"/>
  <c r="D2401" i="166"/>
  <c r="D2399" i="166"/>
  <c r="D2398" i="166"/>
  <c r="D2396" i="166"/>
  <c r="D2395" i="166"/>
  <c r="D2393" i="166"/>
  <c r="D2392" i="166"/>
  <c r="D2390" i="166"/>
  <c r="D2389" i="166"/>
  <c r="D2387" i="166"/>
  <c r="D2386" i="166"/>
  <c r="D2384" i="166"/>
  <c r="D2383" i="166"/>
  <c r="D2381" i="166"/>
  <c r="D2380" i="166"/>
  <c r="D2378" i="166"/>
  <c r="D2377" i="166"/>
  <c r="D2375" i="166"/>
  <c r="D2374" i="166"/>
  <c r="D2372" i="166"/>
  <c r="D2371" i="166"/>
  <c r="D2369" i="166"/>
  <c r="D2368" i="166"/>
  <c r="D2366" i="166"/>
  <c r="D2365" i="166"/>
  <c r="D2363" i="166"/>
  <c r="D2362" i="166"/>
  <c r="D2360" i="166"/>
  <c r="D2359" i="166"/>
  <c r="D2357" i="166"/>
  <c r="D2356" i="166"/>
  <c r="D2354" i="166"/>
  <c r="D2353" i="166"/>
  <c r="D2351" i="166"/>
  <c r="D2350" i="166"/>
  <c r="D2348" i="166"/>
  <c r="D2346" i="166"/>
  <c r="D2345" i="166"/>
  <c r="D2343" i="166"/>
  <c r="D2342" i="166"/>
  <c r="D2340" i="166"/>
  <c r="D2339" i="166"/>
  <c r="D2337" i="166"/>
  <c r="D2336" i="166"/>
  <c r="D2334" i="166"/>
  <c r="D2333" i="166"/>
  <c r="D2331" i="166"/>
  <c r="D2330" i="166"/>
  <c r="D2328" i="166"/>
  <c r="D2327" i="166"/>
  <c r="D2325" i="166"/>
  <c r="D2324" i="166"/>
  <c r="D2322" i="166"/>
  <c r="D2321" i="166"/>
  <c r="D2319" i="166"/>
  <c r="D2318" i="166"/>
  <c r="D2316" i="166"/>
  <c r="D2315" i="166"/>
  <c r="D2313" i="166"/>
  <c r="D2312" i="166"/>
  <c r="D2310" i="166"/>
  <c r="D2309" i="166"/>
  <c r="D2307" i="166"/>
  <c r="D2306" i="166"/>
  <c r="D2304" i="166"/>
  <c r="D2303" i="166"/>
  <c r="D2301" i="166"/>
  <c r="D2300" i="166"/>
  <c r="D2298" i="166"/>
  <c r="D2297" i="166"/>
  <c r="D2295" i="166"/>
  <c r="D2294" i="166"/>
  <c r="D2292" i="166"/>
  <c r="D2291" i="166"/>
  <c r="D2289" i="166"/>
  <c r="D2288" i="166"/>
  <c r="D2286" i="166"/>
  <c r="D2285" i="166"/>
  <c r="D2283" i="166"/>
  <c r="D2282" i="166"/>
  <c r="D2280" i="166"/>
  <c r="D2279" i="166"/>
  <c r="D2277" i="166"/>
  <c r="D2276" i="166"/>
  <c r="D2274" i="166"/>
  <c r="D2273" i="166"/>
  <c r="D2271" i="166"/>
  <c r="D2270" i="166"/>
  <c r="D2268" i="166"/>
  <c r="D2267" i="166"/>
  <c r="D2265" i="166"/>
  <c r="D2264" i="166"/>
  <c r="D2262" i="166"/>
  <c r="D2261" i="166"/>
  <c r="D2259" i="166"/>
  <c r="D2258" i="166"/>
  <c r="D2256" i="166"/>
  <c r="D2255" i="166"/>
  <c r="D2253" i="166"/>
  <c r="D2252" i="166"/>
  <c r="D2250" i="166"/>
  <c r="D2249" i="166"/>
  <c r="D2247" i="166"/>
  <c r="D2246" i="166"/>
  <c r="D2244" i="166"/>
  <c r="D2243" i="166"/>
  <c r="D2241" i="166"/>
  <c r="D2240" i="166"/>
  <c r="D2238" i="166"/>
  <c r="D2237" i="166"/>
  <c r="D2235" i="166"/>
  <c r="D2234" i="166"/>
  <c r="D2232" i="166"/>
  <c r="D2231" i="166"/>
  <c r="D2229" i="166"/>
  <c r="D2228" i="166"/>
  <c r="D2226" i="166"/>
  <c r="D2225" i="166"/>
  <c r="D2223" i="166"/>
  <c r="D2222" i="166"/>
  <c r="D2220" i="166"/>
  <c r="D2219" i="166"/>
  <c r="D2217" i="166"/>
  <c r="D2216" i="166"/>
  <c r="D2214" i="166"/>
  <c r="D2213" i="166"/>
  <c r="D2211" i="166"/>
  <c r="D2210" i="166"/>
  <c r="D2208" i="166"/>
  <c r="D2207" i="166"/>
  <c r="D2205" i="166"/>
  <c r="D2204" i="166"/>
  <c r="D2202" i="166"/>
  <c r="D2201" i="166"/>
  <c r="D2199" i="166"/>
  <c r="D2198" i="166"/>
  <c r="D2196" i="166"/>
  <c r="D2195" i="166"/>
  <c r="D2193" i="166"/>
  <c r="D2192" i="166"/>
  <c r="D2190" i="166"/>
  <c r="D2189" i="166"/>
  <c r="D2187" i="166"/>
  <c r="D2186" i="166"/>
  <c r="D2184" i="166"/>
  <c r="D2183" i="166"/>
  <c r="D2181" i="166"/>
  <c r="D2180" i="166"/>
  <c r="D2178" i="166"/>
  <c r="D2177" i="166"/>
  <c r="D2175" i="166"/>
  <c r="D2174" i="166"/>
  <c r="D2172" i="166"/>
  <c r="D2171" i="166"/>
  <c r="D2169" i="166"/>
  <c r="D2168" i="166"/>
  <c r="D2166" i="166"/>
  <c r="D2165" i="166"/>
  <c r="D2163" i="166"/>
  <c r="D2162" i="166"/>
  <c r="D2160" i="166"/>
  <c r="D2159" i="166"/>
  <c r="D2157" i="166"/>
  <c r="D2156" i="166"/>
  <c r="D2154" i="166"/>
  <c r="D2153" i="166"/>
  <c r="D2151" i="166"/>
  <c r="D2150" i="166"/>
  <c r="D2148" i="166"/>
  <c r="D2147" i="166"/>
  <c r="D2145" i="166"/>
  <c r="D2144" i="166"/>
  <c r="D2142" i="166"/>
  <c r="D2141" i="166"/>
  <c r="D2139" i="166"/>
  <c r="D2138" i="166"/>
  <c r="D2136" i="166"/>
  <c r="D2135" i="166"/>
  <c r="D2133" i="166"/>
  <c r="D2132" i="166"/>
  <c r="D2130" i="166"/>
  <c r="D2129" i="166"/>
  <c r="D2127" i="166"/>
  <c r="D2126" i="166"/>
  <c r="D2124" i="166"/>
  <c r="D2123" i="166"/>
  <c r="D2121" i="166"/>
  <c r="D2120" i="166"/>
  <c r="D2118" i="166"/>
  <c r="D2117" i="166"/>
  <c r="D2115" i="166"/>
  <c r="D2114" i="166"/>
  <c r="D2112" i="166"/>
  <c r="D2111" i="166"/>
  <c r="D2109" i="166"/>
  <c r="D2108" i="166"/>
  <c r="D2106" i="166"/>
  <c r="D2105" i="166"/>
  <c r="D2103" i="166"/>
  <c r="D2102" i="166"/>
  <c r="D2100" i="166"/>
  <c r="D2099" i="166"/>
  <c r="D2097" i="166"/>
  <c r="D2096" i="166"/>
  <c r="D2094" i="166"/>
  <c r="D2093" i="166"/>
  <c r="D2091" i="166"/>
  <c r="D2090" i="166"/>
  <c r="D2088" i="166"/>
  <c r="D2087" i="166"/>
  <c r="D2085" i="166"/>
  <c r="D2084" i="166"/>
  <c r="D2082" i="166"/>
  <c r="D2081" i="166"/>
  <c r="D2079" i="166"/>
  <c r="D2078" i="166"/>
  <c r="D2076" i="166"/>
  <c r="D2075" i="166"/>
  <c r="D2073" i="166"/>
  <c r="D2072" i="166"/>
  <c r="D2070" i="166"/>
  <c r="D2069" i="166"/>
  <c r="D2067" i="166"/>
  <c r="D2066" i="166"/>
  <c r="D2064" i="166"/>
  <c r="D2063" i="166"/>
  <c r="D2061" i="166"/>
  <c r="D2060" i="166"/>
  <c r="D2058" i="166"/>
  <c r="D2057" i="166"/>
  <c r="D2055" i="166"/>
  <c r="D2054" i="166"/>
  <c r="D2052" i="166"/>
  <c r="D2051" i="166"/>
  <c r="D2049" i="166"/>
  <c r="D2048" i="166"/>
  <c r="D2046" i="166"/>
  <c r="D2045" i="166"/>
  <c r="D2043" i="166"/>
  <c r="D2042" i="166"/>
  <c r="D2040" i="166"/>
  <c r="D2039" i="166"/>
  <c r="D2011" i="166"/>
  <c r="D2010" i="166"/>
  <c r="D2008" i="166"/>
  <c r="D2007" i="166"/>
  <c r="D2005" i="166"/>
  <c r="D2004" i="166"/>
  <c r="D2002" i="166"/>
  <c r="D2001" i="166"/>
  <c r="D1999" i="166"/>
  <c r="D1998" i="166"/>
  <c r="D1994" i="166"/>
  <c r="D1993" i="166"/>
  <c r="D1992" i="166"/>
  <c r="D1991" i="166"/>
  <c r="D1990" i="166"/>
  <c r="D1989" i="166"/>
  <c r="D1988" i="166"/>
  <c r="D1986" i="166"/>
  <c r="D1985" i="166"/>
  <c r="D1984" i="166"/>
  <c r="D1983" i="166"/>
  <c r="D1982" i="166"/>
  <c r="D1981" i="166"/>
  <c r="D1979" i="166"/>
  <c r="D1978" i="166"/>
  <c r="D1976" i="166"/>
  <c r="D1975" i="166"/>
  <c r="D1973" i="166"/>
  <c r="D1972" i="166"/>
  <c r="D1970" i="166"/>
  <c r="D1969" i="166"/>
  <c r="D1967" i="166"/>
  <c r="D1966" i="166"/>
  <c r="D1964" i="166"/>
  <c r="D1963" i="166"/>
  <c r="D1961" i="166"/>
  <c r="D1960" i="166"/>
  <c r="D1958" i="166"/>
  <c r="D1957" i="166"/>
  <c r="D1955" i="166"/>
  <c r="D1954" i="166"/>
  <c r="D1952" i="166"/>
  <c r="D1951" i="166"/>
  <c r="D1949" i="166"/>
  <c r="D1948" i="166"/>
  <c r="D1946" i="166"/>
  <c r="D1945" i="166"/>
  <c r="D1943" i="166"/>
  <c r="D1942" i="166"/>
  <c r="D1940" i="166"/>
  <c r="D1939" i="166"/>
  <c r="D1937" i="166"/>
  <c r="D1936" i="166"/>
  <c r="D1934" i="166"/>
  <c r="D1933" i="166"/>
  <c r="D1931" i="166"/>
  <c r="D1930" i="166"/>
  <c r="D1928" i="166"/>
  <c r="D1927" i="166"/>
  <c r="D1925" i="166"/>
  <c r="D1924" i="166"/>
  <c r="D1922" i="166"/>
  <c r="D1921" i="166"/>
  <c r="D1919" i="166"/>
  <c r="D1918" i="166"/>
  <c r="D1916" i="166"/>
  <c r="D1915" i="166"/>
  <c r="D1913" i="166"/>
  <c r="D1912" i="166"/>
  <c r="D1910" i="166"/>
  <c r="D1909" i="166"/>
  <c r="D1907" i="166"/>
  <c r="D1906" i="166"/>
  <c r="D1904" i="166"/>
  <c r="D1903" i="166"/>
  <c r="D1901" i="166"/>
  <c r="D1900" i="166"/>
  <c r="D1898" i="166"/>
  <c r="D1897" i="166"/>
  <c r="D1895" i="166"/>
  <c r="D1894" i="166"/>
  <c r="D1892" i="166"/>
  <c r="D1891" i="166"/>
  <c r="D1889" i="166"/>
  <c r="D1888" i="166"/>
  <c r="D1886" i="166"/>
  <c r="D1885" i="166"/>
  <c r="D1883" i="166"/>
  <c r="D1882" i="166"/>
  <c r="D1880" i="166"/>
  <c r="D1879" i="166"/>
  <c r="D1877" i="166"/>
  <c r="D1876" i="166"/>
  <c r="D1874" i="166"/>
  <c r="D1873" i="166"/>
  <c r="D1871" i="166"/>
  <c r="D1870" i="166"/>
  <c r="D1868" i="166"/>
  <c r="D1867" i="166"/>
  <c r="D1865" i="166"/>
  <c r="D1864" i="166"/>
  <c r="D1862" i="166"/>
  <c r="D1861" i="166"/>
  <c r="D1859" i="166"/>
  <c r="D1858" i="166"/>
  <c r="D1856" i="166"/>
  <c r="D1855" i="166"/>
  <c r="D1853" i="166"/>
  <c r="D1852" i="166"/>
  <c r="D1850" i="166"/>
  <c r="D1849" i="166"/>
  <c r="D1847" i="166"/>
  <c r="D1846" i="166"/>
  <c r="D1844" i="166"/>
  <c r="D1843" i="166"/>
  <c r="D1841" i="166"/>
  <c r="D1840" i="166"/>
  <c r="D1838" i="166"/>
  <c r="D1837" i="166"/>
  <c r="D1835" i="166"/>
  <c r="D1834" i="166"/>
  <c r="D1832" i="166"/>
  <c r="D1831" i="166"/>
  <c r="D1829" i="166"/>
  <c r="D1828" i="166"/>
  <c r="D1826" i="166"/>
  <c r="D1825" i="166"/>
  <c r="D1823" i="166"/>
  <c r="D1822" i="166"/>
  <c r="D1820" i="166"/>
  <c r="D1819" i="166"/>
  <c r="D1817" i="166"/>
  <c r="D1816" i="166"/>
  <c r="D1814" i="166"/>
  <c r="D1813" i="166"/>
  <c r="D1811" i="166"/>
  <c r="D1810" i="166"/>
  <c r="D1808" i="166"/>
  <c r="D1807" i="166"/>
  <c r="D1805" i="166"/>
  <c r="D1804" i="166"/>
  <c r="D1802" i="166"/>
  <c r="D1801" i="166"/>
  <c r="D1799" i="166"/>
  <c r="D1798" i="166"/>
  <c r="D1796" i="166"/>
  <c r="D1795" i="166"/>
  <c r="D1793" i="166"/>
  <c r="D1792" i="166"/>
  <c r="D1790" i="166"/>
  <c r="D1789" i="166"/>
  <c r="D1787" i="166"/>
  <c r="D1786" i="166"/>
  <c r="D1784" i="166"/>
  <c r="D1783" i="166"/>
  <c r="D1781" i="166"/>
  <c r="D1780" i="166"/>
  <c r="D1778" i="166"/>
  <c r="D1777" i="166"/>
  <c r="D1775" i="166"/>
  <c r="D1774" i="166"/>
  <c r="D1772" i="166"/>
  <c r="D1771" i="166"/>
  <c r="D1769" i="166"/>
  <c r="D1768" i="166"/>
  <c r="D1766" i="166"/>
  <c r="D1765" i="166"/>
  <c r="D1763" i="166"/>
  <c r="D1762" i="166"/>
  <c r="D1760" i="166"/>
  <c r="D1759" i="166"/>
  <c r="D1757" i="166"/>
  <c r="D1756" i="166"/>
  <c r="D1754" i="166"/>
  <c r="D1753" i="166"/>
  <c r="D1751" i="166"/>
  <c r="D1750" i="166"/>
  <c r="D1748" i="166"/>
  <c r="D1747" i="166"/>
  <c r="D1745" i="166"/>
  <c r="D1744" i="166"/>
  <c r="D1742" i="166"/>
  <c r="D1741" i="166"/>
  <c r="D1739" i="166"/>
  <c r="D1738" i="166"/>
  <c r="D1736" i="166"/>
  <c r="D1735" i="166"/>
  <c r="D1733" i="166"/>
  <c r="D1732" i="166"/>
  <c r="D1730" i="166"/>
  <c r="D1729" i="166"/>
  <c r="D1727" i="166"/>
  <c r="D1726" i="166"/>
  <c r="D1724" i="166"/>
  <c r="D1723" i="166"/>
  <c r="D1721" i="166"/>
  <c r="D1720" i="166"/>
  <c r="D1718" i="166"/>
  <c r="D1717" i="166"/>
  <c r="D1715" i="166"/>
  <c r="D1714" i="166"/>
  <c r="D1712" i="166"/>
  <c r="D1711" i="166"/>
  <c r="D1709" i="166"/>
  <c r="D1708" i="166"/>
  <c r="D1706" i="166"/>
  <c r="D1705" i="166"/>
  <c r="D1703" i="166"/>
  <c r="D1702" i="166"/>
  <c r="D1700" i="166"/>
  <c r="D1699" i="166"/>
  <c r="D1697" i="166"/>
  <c r="D1696" i="166"/>
  <c r="D1694" i="166"/>
  <c r="D1693" i="166"/>
  <c r="D1691" i="166"/>
  <c r="D1690" i="166"/>
  <c r="D1688" i="166"/>
  <c r="D1687" i="166"/>
  <c r="D1685" i="166"/>
  <c r="D1684" i="166"/>
  <c r="D1682" i="166"/>
  <c r="D1681" i="166"/>
  <c r="D1679" i="166"/>
  <c r="D1678" i="166"/>
  <c r="D1676" i="166"/>
  <c r="D1675" i="166"/>
  <c r="D1673" i="166"/>
  <c r="D1672" i="166"/>
  <c r="D1670" i="166"/>
  <c r="D1669" i="166"/>
  <c r="D1667" i="166"/>
  <c r="D1665" i="166"/>
  <c r="D1663" i="166"/>
  <c r="D1662" i="166"/>
  <c r="D1660" i="166"/>
  <c r="D1659" i="166"/>
  <c r="D1657" i="166"/>
  <c r="D1656" i="166"/>
  <c r="D1654" i="166"/>
  <c r="D1653" i="166"/>
  <c r="D1651" i="166"/>
  <c r="D1650" i="166"/>
  <c r="D1648" i="166"/>
  <c r="D1647" i="166"/>
  <c r="D1645" i="166"/>
  <c r="D1644" i="166"/>
  <c r="D1642" i="166"/>
  <c r="D1641" i="166"/>
  <c r="D1639" i="166"/>
  <c r="D1638" i="166"/>
  <c r="D1636" i="166"/>
  <c r="D1635" i="166"/>
  <c r="D1633" i="166"/>
  <c r="D1632" i="166"/>
  <c r="D1630" i="166"/>
  <c r="D1629" i="166"/>
  <c r="D1627" i="166"/>
  <c r="D1626" i="166"/>
  <c r="D1624" i="166"/>
  <c r="D1623" i="166"/>
  <c r="D1621" i="166"/>
  <c r="D1620" i="166"/>
  <c r="D1618" i="166"/>
  <c r="D1617" i="166"/>
  <c r="D1615" i="166"/>
  <c r="D1614" i="166"/>
  <c r="D1612" i="166"/>
  <c r="D1611" i="166"/>
  <c r="D1609" i="166"/>
  <c r="D1608" i="166"/>
  <c r="D1606" i="166"/>
  <c r="D1605" i="166"/>
  <c r="D1603" i="166"/>
  <c r="D1602" i="166"/>
  <c r="D1600" i="166"/>
  <c r="D1599" i="166"/>
  <c r="D1597" i="166"/>
  <c r="D1596" i="166"/>
  <c r="D1594" i="166"/>
  <c r="D1593" i="166"/>
  <c r="D1591" i="166"/>
  <c r="D1590" i="166"/>
  <c r="D1588" i="166"/>
  <c r="D1587" i="166"/>
  <c r="D1585" i="166"/>
  <c r="D1584" i="166"/>
  <c r="D1582" i="166"/>
  <c r="D1581" i="166"/>
  <c r="D1579" i="166"/>
  <c r="D1578" i="166"/>
  <c r="D1576" i="166"/>
  <c r="D1575" i="166"/>
  <c r="D1573" i="166"/>
  <c r="D1572" i="166"/>
  <c r="D1570" i="166"/>
  <c r="D1569" i="166"/>
  <c r="D1567" i="166"/>
  <c r="D1566" i="166"/>
  <c r="D1564" i="166"/>
  <c r="D1563" i="166"/>
  <c r="D1561" i="166"/>
  <c r="D1560" i="166"/>
  <c r="D1558" i="166"/>
  <c r="D1557" i="166"/>
  <c r="D1555" i="166"/>
  <c r="D1554" i="166"/>
  <c r="D1552" i="166"/>
  <c r="D1551" i="166"/>
  <c r="D1549" i="166"/>
  <c r="D1548" i="166"/>
  <c r="D1546" i="166"/>
  <c r="D1545" i="166"/>
  <c r="D1543" i="166"/>
  <c r="D1542" i="166"/>
  <c r="D1540" i="166"/>
  <c r="D1539" i="166"/>
  <c r="D1537" i="166"/>
  <c r="D1536" i="166"/>
  <c r="D1534" i="166"/>
  <c r="D1533" i="166"/>
  <c r="D1531" i="166"/>
  <c r="D1530" i="166"/>
  <c r="D1528" i="166"/>
  <c r="D1527" i="166"/>
  <c r="D1525" i="166"/>
  <c r="D1524" i="166"/>
  <c r="D1522" i="166"/>
  <c r="D1521" i="166"/>
  <c r="D1519" i="166"/>
  <c r="D1518" i="166"/>
  <c r="D1516" i="166"/>
  <c r="D1515" i="166"/>
  <c r="D1513" i="166"/>
  <c r="D1512" i="166"/>
  <c r="D1510" i="166"/>
  <c r="D1509" i="166"/>
  <c r="D1507" i="166"/>
  <c r="D1506" i="166"/>
  <c r="D1504" i="166"/>
  <c r="D1503" i="166"/>
  <c r="D1501" i="166"/>
  <c r="D1500" i="166"/>
  <c r="D1498" i="166"/>
  <c r="D1497" i="166"/>
  <c r="D1495" i="166"/>
  <c r="D1494" i="166"/>
  <c r="D1492" i="166"/>
  <c r="D1491" i="166"/>
  <c r="D1489" i="166"/>
  <c r="D1488" i="166"/>
  <c r="D1486" i="166"/>
  <c r="D1485" i="166"/>
  <c r="D1483" i="166"/>
  <c r="D1482" i="166"/>
  <c r="D1480" i="166"/>
  <c r="D1479" i="166"/>
  <c r="D1477" i="166"/>
  <c r="D1476" i="166"/>
  <c r="D1474" i="166"/>
  <c r="D1473" i="166"/>
  <c r="D1471" i="166"/>
  <c r="D1470" i="166"/>
  <c r="D1468" i="166"/>
  <c r="D1467" i="166"/>
  <c r="D1465" i="166"/>
  <c r="D1464" i="166"/>
  <c r="D1462" i="166"/>
  <c r="D1461" i="166"/>
  <c r="D1459" i="166"/>
  <c r="D1458" i="166"/>
  <c r="D1456" i="166"/>
  <c r="D1454" i="166"/>
  <c r="D1452" i="166"/>
  <c r="D1451" i="166"/>
  <c r="D1449" i="166"/>
  <c r="D1448" i="166"/>
  <c r="D1446" i="166"/>
  <c r="D1445" i="166"/>
  <c r="D1443" i="166"/>
  <c r="D1442" i="166"/>
  <c r="D1440" i="166"/>
  <c r="D1439" i="166"/>
  <c r="D1437" i="166"/>
  <c r="D1436" i="166"/>
  <c r="D1434" i="166"/>
  <c r="D1433" i="166"/>
  <c r="D1431" i="166"/>
  <c r="D1430" i="166"/>
  <c r="D1428" i="166"/>
  <c r="D1427" i="166"/>
  <c r="D1425" i="166"/>
  <c r="D1424" i="166"/>
  <c r="D1422" i="166"/>
  <c r="D1421" i="166"/>
  <c r="D1419" i="166"/>
  <c r="D1418" i="166"/>
  <c r="D1416" i="166"/>
  <c r="D1415" i="166"/>
  <c r="D1413" i="166"/>
  <c r="D1412" i="166"/>
  <c r="D1410" i="166"/>
  <c r="D1409" i="166"/>
  <c r="D1407" i="166"/>
  <c r="D1406" i="166"/>
  <c r="D1404" i="166"/>
  <c r="D1403" i="166"/>
  <c r="D1401" i="166"/>
  <c r="D1400" i="166"/>
  <c r="D1398" i="166"/>
  <c r="D1397" i="166"/>
  <c r="D1395" i="166"/>
  <c r="D1394" i="166"/>
  <c r="D1392" i="166"/>
  <c r="D1391" i="166"/>
  <c r="D1389" i="166"/>
  <c r="D1388" i="166"/>
  <c r="D1386" i="166"/>
  <c r="D1385" i="166"/>
  <c r="D1383" i="166"/>
  <c r="D1382" i="166"/>
  <c r="D1380" i="166"/>
  <c r="D1379" i="166"/>
  <c r="D1377" i="166"/>
  <c r="D1376" i="166"/>
  <c r="D1374" i="166"/>
  <c r="D1373" i="166"/>
  <c r="D1371" i="166"/>
  <c r="D1370" i="166"/>
  <c r="D1368" i="166"/>
  <c r="D1367" i="166"/>
  <c r="D1365" i="166"/>
  <c r="D1364" i="166"/>
  <c r="D1362" i="166"/>
  <c r="D1361" i="166"/>
  <c r="D1359" i="166"/>
  <c r="D1358" i="166"/>
  <c r="D1356" i="166"/>
  <c r="D1355" i="166"/>
  <c r="D1353" i="166"/>
  <c r="D1352" i="166"/>
  <c r="D1350" i="166"/>
  <c r="D1349" i="166"/>
  <c r="D1347" i="166"/>
  <c r="D1346" i="166"/>
  <c r="D1344" i="166"/>
  <c r="D1343" i="166"/>
  <c r="D1341" i="166"/>
  <c r="D1340" i="166"/>
  <c r="D1338" i="166"/>
  <c r="D1337" i="166"/>
  <c r="D1335" i="166"/>
  <c r="D1334" i="166"/>
  <c r="D1332" i="166"/>
  <c r="D1331" i="166"/>
  <c r="D1329" i="166"/>
  <c r="D1328" i="166"/>
  <c r="D1326" i="166"/>
  <c r="D1325" i="166"/>
  <c r="D1323" i="166"/>
  <c r="D1322" i="166"/>
  <c r="D1320" i="166"/>
  <c r="D1319" i="166"/>
  <c r="D1317" i="166"/>
  <c r="D1316" i="166"/>
  <c r="D1314" i="166"/>
  <c r="D1313" i="166"/>
  <c r="D1311" i="166"/>
  <c r="D1310" i="166"/>
  <c r="D1308" i="166"/>
  <c r="D1307" i="166"/>
  <c r="G3934" i="166"/>
  <c r="E3934" i="166" s="1"/>
  <c r="B3933" i="166"/>
  <c r="B3934" i="166" s="1"/>
  <c r="H3931" i="166"/>
  <c r="H3940" i="166" s="1"/>
  <c r="G3931" i="166"/>
  <c r="E3931" i="166" s="1"/>
  <c r="A3931" i="166"/>
  <c r="A3940" i="166" s="1"/>
  <c r="B3930" i="166"/>
  <c r="B3931" i="166" s="1"/>
  <c r="B3940" i="166" s="1"/>
  <c r="G3928" i="166"/>
  <c r="E3928" i="166" s="1"/>
  <c r="B3927" i="166"/>
  <c r="G3925" i="166"/>
  <c r="E3925" i="166" s="1"/>
  <c r="B3924" i="166"/>
  <c r="H3922" i="166"/>
  <c r="H3925" i="166" s="1"/>
  <c r="G3922" i="166"/>
  <c r="E3922" i="166" s="1"/>
  <c r="A3922" i="166"/>
  <c r="A3925" i="166" s="1"/>
  <c r="B3921" i="166"/>
  <c r="B3922" i="166" s="1"/>
  <c r="H3919" i="166"/>
  <c r="G3919" i="166"/>
  <c r="E3919" i="166" s="1"/>
  <c r="A3919" i="166"/>
  <c r="B3918" i="166"/>
  <c r="B3919" i="166" s="1"/>
  <c r="G3916" i="166"/>
  <c r="E3916" i="166" s="1"/>
  <c r="B3915" i="166"/>
  <c r="H3913" i="166"/>
  <c r="H3916" i="166" s="1"/>
  <c r="G3913" i="166"/>
  <c r="E3913" i="166" s="1"/>
  <c r="A3913" i="166"/>
  <c r="A3916" i="166" s="1"/>
  <c r="B3912" i="166"/>
  <c r="B3913" i="166" s="1"/>
  <c r="G3910" i="166"/>
  <c r="E3910" i="166" s="1"/>
  <c r="B3909" i="166"/>
  <c r="H3907" i="166"/>
  <c r="H3910" i="166" s="1"/>
  <c r="G3907" i="166"/>
  <c r="E3907" i="166" s="1"/>
  <c r="A3907" i="166"/>
  <c r="A3910" i="166" s="1"/>
  <c r="B3906" i="166"/>
  <c r="B3907" i="166" s="1"/>
  <c r="G3904" i="166"/>
  <c r="E3904" i="166" s="1"/>
  <c r="B3903" i="166"/>
  <c r="H3901" i="166"/>
  <c r="H3904" i="166" s="1"/>
  <c r="G3901" i="166"/>
  <c r="E3901" i="166" s="1"/>
  <c r="A3901" i="166"/>
  <c r="A3904" i="166" s="1"/>
  <c r="B3900" i="166"/>
  <c r="B3901" i="166" s="1"/>
  <c r="G3898" i="166"/>
  <c r="E3898" i="166" s="1"/>
  <c r="B3897" i="166"/>
  <c r="H3895" i="166"/>
  <c r="H4083" i="166" s="1"/>
  <c r="G3895" i="166"/>
  <c r="E3895" i="166" s="1"/>
  <c r="A3895" i="166"/>
  <c r="A4083" i="166" s="1"/>
  <c r="B3894" i="166"/>
  <c r="B3895" i="166" s="1"/>
  <c r="B4083" i="166" s="1"/>
  <c r="G3892" i="166"/>
  <c r="E3892" i="166" s="1"/>
  <c r="B3891" i="166"/>
  <c r="B3892" i="166" s="1"/>
  <c r="H3889" i="166"/>
  <c r="H3928" i="166" s="1"/>
  <c r="H4068" i="166" s="1"/>
  <c r="H4071" i="166" s="1"/>
  <c r="H4074" i="166" s="1"/>
  <c r="H4077" i="166" s="1"/>
  <c r="G3889" i="166"/>
  <c r="E3889" i="166" s="1"/>
  <c r="A3889" i="166"/>
  <c r="A3928" i="166" s="1"/>
  <c r="A4068" i="166" s="1"/>
  <c r="A4071" i="166" s="1"/>
  <c r="A4074" i="166" s="1"/>
  <c r="A4077" i="166" s="1"/>
  <c r="B3888" i="166"/>
  <c r="B3889" i="166" s="1"/>
  <c r="H3886" i="166"/>
  <c r="H3898" i="166" s="1"/>
  <c r="G3886" i="166"/>
  <c r="E3886" i="166" s="1"/>
  <c r="A3886" i="166"/>
  <c r="A3898" i="166" s="1"/>
  <c r="B3885" i="166"/>
  <c r="B3886" i="166" s="1"/>
  <c r="H3883" i="166"/>
  <c r="H3937" i="166" s="1"/>
  <c r="G3883" i="166"/>
  <c r="E3883" i="166" s="1"/>
  <c r="A3883" i="166"/>
  <c r="A3937" i="166" s="1"/>
  <c r="B3882" i="166"/>
  <c r="B3883" i="166" s="1"/>
  <c r="B3937" i="166" s="1"/>
  <c r="G3880" i="166"/>
  <c r="E3880" i="166" s="1"/>
  <c r="B3879" i="166"/>
  <c r="B3880" i="166" s="1"/>
  <c r="H3877" i="166"/>
  <c r="G3877" i="166"/>
  <c r="E3877" i="166" s="1"/>
  <c r="A3877" i="166"/>
  <c r="B3876" i="166"/>
  <c r="B3877" i="166" s="1"/>
  <c r="H3874" i="166"/>
  <c r="G3874" i="166"/>
  <c r="E3874" i="166" s="1"/>
  <c r="A3874" i="166"/>
  <c r="B3873" i="166"/>
  <c r="G3871" i="166"/>
  <c r="E3871" i="166" s="1"/>
  <c r="B3870" i="166"/>
  <c r="G3868" i="166"/>
  <c r="E3868" i="166" s="1"/>
  <c r="B3867" i="166"/>
  <c r="H3865" i="166"/>
  <c r="H3868" i="166" s="1"/>
  <c r="G3865" i="166"/>
  <c r="E3865" i="166" s="1"/>
  <c r="A3865" i="166"/>
  <c r="A3868" i="166" s="1"/>
  <c r="B3864" i="166"/>
  <c r="B3865" i="166" s="1"/>
  <c r="G3862" i="166"/>
  <c r="E3862" i="166" s="1"/>
  <c r="B3861" i="166"/>
  <c r="H3859" i="166"/>
  <c r="H3862" i="166" s="1"/>
  <c r="H3858" i="166"/>
  <c r="H4031" i="166" s="1"/>
  <c r="A3858" i="166"/>
  <c r="A4031" i="166" s="1"/>
  <c r="F3857" i="166"/>
  <c r="E3857" i="166" s="1"/>
  <c r="B3857" i="166"/>
  <c r="H3855" i="166"/>
  <c r="A3855" i="166"/>
  <c r="A3859" i="166" s="1"/>
  <c r="A3862" i="166" s="1"/>
  <c r="H3854" i="166"/>
  <c r="A3854" i="166"/>
  <c r="F3853" i="166"/>
  <c r="E3853" i="166" s="1"/>
  <c r="B3853" i="166"/>
  <c r="B3855" i="166" s="1"/>
  <c r="H3851" i="166"/>
  <c r="A3851" i="166"/>
  <c r="B3850" i="166"/>
  <c r="F3849" i="166"/>
  <c r="E3849" i="166" s="1"/>
  <c r="B3849" i="166"/>
  <c r="G3847" i="166"/>
  <c r="E3847" i="166" s="1"/>
  <c r="B3846" i="166"/>
  <c r="G3844" i="166"/>
  <c r="E3844" i="166" s="1"/>
  <c r="B3843" i="166"/>
  <c r="H3841" i="166"/>
  <c r="H3934" i="166" s="1"/>
  <c r="G3841" i="166"/>
  <c r="E3841" i="166" s="1"/>
  <c r="A3841" i="166"/>
  <c r="A3934" i="166" s="1"/>
  <c r="B3840" i="166"/>
  <c r="B3841" i="166" s="1"/>
  <c r="H3838" i="166"/>
  <c r="H3880" i="166" s="1"/>
  <c r="G3838" i="166"/>
  <c r="E3838" i="166" s="1"/>
  <c r="A3838" i="166"/>
  <c r="A3880" i="166" s="1"/>
  <c r="B3837" i="166"/>
  <c r="B3838" i="166" s="1"/>
  <c r="G3835" i="166"/>
  <c r="E3835" i="166" s="1"/>
  <c r="B3834" i="166"/>
  <c r="H3832" i="166"/>
  <c r="H3835" i="166" s="1"/>
  <c r="G3832" i="166"/>
  <c r="E3832" i="166" s="1"/>
  <c r="A3832" i="166"/>
  <c r="A3835" i="166" s="1"/>
  <c r="B3831" i="166"/>
  <c r="B3832" i="166" s="1"/>
  <c r="G3829" i="166"/>
  <c r="E3829" i="166" s="1"/>
  <c r="B3828" i="166"/>
  <c r="G3826" i="166"/>
  <c r="E3826" i="166" s="1"/>
  <c r="B3825" i="166"/>
  <c r="H3823" i="166"/>
  <c r="H3826" i="166" s="1"/>
  <c r="G3823" i="166"/>
  <c r="E3823" i="166" s="1"/>
  <c r="A3823" i="166"/>
  <c r="A3826" i="166" s="1"/>
  <c r="B3822" i="166"/>
  <c r="B3823" i="166" s="1"/>
  <c r="G3820" i="166"/>
  <c r="E3820" i="166" s="1"/>
  <c r="A3820" i="166"/>
  <c r="B3819" i="166"/>
  <c r="H3817" i="166"/>
  <c r="H3820" i="166" s="1"/>
  <c r="G3817" i="166"/>
  <c r="E3817" i="166" s="1"/>
  <c r="A3817" i="166"/>
  <c r="B3816" i="166"/>
  <c r="B3817" i="166" s="1"/>
  <c r="G3814" i="166"/>
  <c r="E3814" i="166" s="1"/>
  <c r="A3814" i="166"/>
  <c r="B3813" i="166"/>
  <c r="H3811" i="166"/>
  <c r="H3814" i="166" s="1"/>
  <c r="G3811" i="166"/>
  <c r="E3811" i="166" s="1"/>
  <c r="A3811" i="166"/>
  <c r="B3810" i="166"/>
  <c r="B3811" i="166" s="1"/>
  <c r="G3808" i="166"/>
  <c r="E3808" i="166" s="1"/>
  <c r="B3807" i="166"/>
  <c r="G3805" i="166"/>
  <c r="E3805" i="166" s="1"/>
  <c r="B3804" i="166"/>
  <c r="H3802" i="166"/>
  <c r="H3805" i="166" s="1"/>
  <c r="G3802" i="166"/>
  <c r="E3802" i="166" s="1"/>
  <c r="A3802" i="166"/>
  <c r="A3805" i="166" s="1"/>
  <c r="B3801" i="166"/>
  <c r="B3802" i="166" s="1"/>
  <c r="G3799" i="166"/>
  <c r="E3799" i="166" s="1"/>
  <c r="B3798" i="166"/>
  <c r="G3796" i="166"/>
  <c r="E3796" i="166" s="1"/>
  <c r="B3795" i="166"/>
  <c r="G3793" i="166"/>
  <c r="E3793" i="166" s="1"/>
  <c r="B3792" i="166"/>
  <c r="G3790" i="166"/>
  <c r="E3790" i="166" s="1"/>
  <c r="B3789" i="166"/>
  <c r="H3787" i="166"/>
  <c r="H3793" i="166" s="1"/>
  <c r="G3787" i="166"/>
  <c r="E3787" i="166" s="1"/>
  <c r="A3787" i="166"/>
  <c r="A3793" i="166" s="1"/>
  <c r="B3786" i="166"/>
  <c r="B3787" i="166" s="1"/>
  <c r="H3784" i="166"/>
  <c r="H3892" i="166" s="1"/>
  <c r="G3784" i="166"/>
  <c r="E3784" i="166" s="1"/>
  <c r="A3784" i="166"/>
  <c r="A3892" i="166" s="1"/>
  <c r="B3783" i="166"/>
  <c r="B3784" i="166" s="1"/>
  <c r="H3781" i="166"/>
  <c r="H3799" i="166" s="1"/>
  <c r="G3781" i="166"/>
  <c r="E3781" i="166" s="1"/>
  <c r="A3781" i="166"/>
  <c r="A3799" i="166" s="1"/>
  <c r="B3780" i="166"/>
  <c r="B3781" i="166" s="1"/>
  <c r="H3778" i="166"/>
  <c r="G3778" i="166"/>
  <c r="E3778" i="166" s="1"/>
  <c r="A3778" i="166"/>
  <c r="B3777" i="166"/>
  <c r="B3778" i="166" s="1"/>
  <c r="H3775" i="166"/>
  <c r="G3775" i="166"/>
  <c r="E3775" i="166" s="1"/>
  <c r="A3775" i="166"/>
  <c r="B3774" i="166"/>
  <c r="G3772" i="166"/>
  <c r="E3772" i="166" s="1"/>
  <c r="B3771" i="166"/>
  <c r="G3769" i="166"/>
  <c r="E3769" i="166" s="1"/>
  <c r="A3769" i="166"/>
  <c r="B3768" i="166"/>
  <c r="G3766" i="166"/>
  <c r="E3766" i="166" s="1"/>
  <c r="B3765" i="166"/>
  <c r="H3763" i="166"/>
  <c r="G3763" i="166"/>
  <c r="E3763" i="166" s="1"/>
  <c r="A3763" i="166"/>
  <c r="B3762" i="166"/>
  <c r="B3763" i="166" s="1"/>
  <c r="H3760" i="166"/>
  <c r="H3772" i="166" s="1"/>
  <c r="H3790" i="166" s="1"/>
  <c r="H3796" i="166" s="1"/>
  <c r="H3808" i="166" s="1"/>
  <c r="H3829" i="166" s="1"/>
  <c r="H3844" i="166" s="1"/>
  <c r="H3847" i="166" s="1"/>
  <c r="H3871" i="166" s="1"/>
  <c r="G3760" i="166"/>
  <c r="E3760" i="166" s="1"/>
  <c r="A3760" i="166"/>
  <c r="A3772" i="166" s="1"/>
  <c r="A3790" i="166" s="1"/>
  <c r="A3796" i="166" s="1"/>
  <c r="A3808" i="166" s="1"/>
  <c r="A3829" i="166" s="1"/>
  <c r="A3844" i="166" s="1"/>
  <c r="A3847" i="166" s="1"/>
  <c r="A3871" i="166" s="1"/>
  <c r="B3759" i="166"/>
  <c r="B3760" i="166" s="1"/>
  <c r="H3757" i="166"/>
  <c r="H3766" i="166" s="1"/>
  <c r="G3757" i="166"/>
  <c r="E3757" i="166" s="1"/>
  <c r="A3757" i="166"/>
  <c r="A3766" i="166" s="1"/>
  <c r="B3756" i="166"/>
  <c r="B3757" i="166" s="1"/>
  <c r="G3754" i="166"/>
  <c r="E3754" i="166" s="1"/>
  <c r="A3754" i="166"/>
  <c r="B3753" i="166"/>
  <c r="G3751" i="166"/>
  <c r="E3751" i="166" s="1"/>
  <c r="B3750" i="166"/>
  <c r="G3748" i="166"/>
  <c r="E3748" i="166" s="1"/>
  <c r="A3748" i="166"/>
  <c r="A3751" i="166" s="1"/>
  <c r="B3747" i="166"/>
  <c r="G3745" i="166"/>
  <c r="E3745" i="166" s="1"/>
  <c r="B3744" i="166"/>
  <c r="H3742" i="166"/>
  <c r="H3745" i="166" s="1"/>
  <c r="G3742" i="166"/>
  <c r="E3742" i="166" s="1"/>
  <c r="A3742" i="166"/>
  <c r="A3745" i="166" s="1"/>
  <c r="B3741" i="166"/>
  <c r="B3742" i="166" s="1"/>
  <c r="H3739" i="166"/>
  <c r="A3739" i="166"/>
  <c r="B3737" i="166"/>
  <c r="B3739" i="166" s="1"/>
  <c r="H3735" i="166"/>
  <c r="G3735" i="166"/>
  <c r="E3735" i="166" s="1"/>
  <c r="A3735" i="166"/>
  <c r="B3734" i="166"/>
  <c r="B3735" i="166" s="1"/>
  <c r="H3732" i="166"/>
  <c r="H3754" i="166" s="1"/>
  <c r="G3732" i="166"/>
  <c r="E3732" i="166" s="1"/>
  <c r="A3732" i="166"/>
  <c r="B3731" i="166"/>
  <c r="B3732" i="166" s="1"/>
  <c r="G3729" i="166"/>
  <c r="E3729" i="166" s="1"/>
  <c r="B3728" i="166"/>
  <c r="B3729" i="166" s="1"/>
  <c r="H3726" i="166"/>
  <c r="H3748" i="166" s="1"/>
  <c r="H3751" i="166" s="1"/>
  <c r="G3726" i="166"/>
  <c r="E3726" i="166" s="1"/>
  <c r="A3726" i="166"/>
  <c r="B3725" i="166"/>
  <c r="B3726" i="166" s="1"/>
  <c r="G3723" i="166"/>
  <c r="E3723" i="166" s="1"/>
  <c r="B3722" i="166"/>
  <c r="H3720" i="166"/>
  <c r="G3720" i="166"/>
  <c r="E3720" i="166" s="1"/>
  <c r="A3720" i="166"/>
  <c r="B3719" i="166"/>
  <c r="B3720" i="166" s="1"/>
  <c r="G3717" i="166"/>
  <c r="E3717" i="166" s="1"/>
  <c r="B3716" i="166"/>
  <c r="H3714" i="166"/>
  <c r="H3717" i="166" s="1"/>
  <c r="G3714" i="166"/>
  <c r="E3714" i="166" s="1"/>
  <c r="A3714" i="166"/>
  <c r="A3717" i="166" s="1"/>
  <c r="B3713" i="166"/>
  <c r="B3714" i="166" s="1"/>
  <c r="H3711" i="166"/>
  <c r="H3723" i="166" s="1"/>
  <c r="G3711" i="166"/>
  <c r="E3711" i="166" s="1"/>
  <c r="A3711" i="166"/>
  <c r="A3723" i="166" s="1"/>
  <c r="B3710" i="166"/>
  <c r="B3711" i="166" s="1"/>
  <c r="G3708" i="166"/>
  <c r="E3708" i="166" s="1"/>
  <c r="B3707" i="166"/>
  <c r="H3705" i="166"/>
  <c r="H3708" i="166" s="1"/>
  <c r="G3705" i="166"/>
  <c r="E3705" i="166" s="1"/>
  <c r="A3705" i="166"/>
  <c r="A3708" i="166" s="1"/>
  <c r="B3704" i="166"/>
  <c r="B3705" i="166" s="1"/>
  <c r="G3702" i="166"/>
  <c r="E3702" i="166" s="1"/>
  <c r="B3701" i="166"/>
  <c r="G3699" i="166"/>
  <c r="E3699" i="166" s="1"/>
  <c r="B3698" i="166"/>
  <c r="H3696" i="166"/>
  <c r="H3702" i="166" s="1"/>
  <c r="G3696" i="166"/>
  <c r="E3696" i="166" s="1"/>
  <c r="A3696" i="166"/>
  <c r="A3702" i="166" s="1"/>
  <c r="B3695" i="166"/>
  <c r="B3696" i="166" s="1"/>
  <c r="H3693" i="166"/>
  <c r="G3693" i="166"/>
  <c r="E3693" i="166" s="1"/>
  <c r="A3693" i="166"/>
  <c r="B3692" i="166"/>
  <c r="H3690" i="166"/>
  <c r="G3690" i="166"/>
  <c r="E3690" i="166" s="1"/>
  <c r="A3690" i="166"/>
  <c r="B3689" i="166"/>
  <c r="G3687" i="166"/>
  <c r="E3687" i="166" s="1"/>
  <c r="B3686" i="166"/>
  <c r="G3684" i="166"/>
  <c r="E3684" i="166" s="1"/>
  <c r="B3683" i="166"/>
  <c r="H3681" i="166"/>
  <c r="H3687" i="166" s="1"/>
  <c r="G3681" i="166"/>
  <c r="E3681" i="166" s="1"/>
  <c r="A3681" i="166"/>
  <c r="A3687" i="166" s="1"/>
  <c r="B3680" i="166"/>
  <c r="B3681" i="166" s="1"/>
  <c r="G3678" i="166"/>
  <c r="E3678" i="166" s="1"/>
  <c r="B3677" i="166"/>
  <c r="H3675" i="166"/>
  <c r="H3678" i="166" s="1"/>
  <c r="G3675" i="166"/>
  <c r="E3675" i="166" s="1"/>
  <c r="A3675" i="166"/>
  <c r="A3678" i="166" s="1"/>
  <c r="B3674" i="166"/>
  <c r="B3675" i="166" s="1"/>
  <c r="G3672" i="166"/>
  <c r="E3672" i="166" s="1"/>
  <c r="B3671" i="166"/>
  <c r="G3669" i="166"/>
  <c r="E3669" i="166" s="1"/>
  <c r="B3668" i="166"/>
  <c r="H3666" i="166"/>
  <c r="H3669" i="166" s="1"/>
  <c r="G3666" i="166"/>
  <c r="E3666" i="166" s="1"/>
  <c r="A3666" i="166"/>
  <c r="A3669" i="166" s="1"/>
  <c r="B3665" i="166"/>
  <c r="B3666" i="166" s="1"/>
  <c r="G3663" i="166"/>
  <c r="E3663" i="166" s="1"/>
  <c r="B3662" i="166"/>
  <c r="H3660" i="166"/>
  <c r="H3672" i="166" s="1"/>
  <c r="G3660" i="166"/>
  <c r="E3660" i="166" s="1"/>
  <c r="A3660" i="166"/>
  <c r="A3672" i="166" s="1"/>
  <c r="B3659" i="166"/>
  <c r="B3660" i="166" s="1"/>
  <c r="H3657" i="166"/>
  <c r="H3663" i="166" s="1"/>
  <c r="G3657" i="166"/>
  <c r="E3657" i="166" s="1"/>
  <c r="A3657" i="166"/>
  <c r="A3663" i="166" s="1"/>
  <c r="B3656" i="166"/>
  <c r="B3657" i="166" s="1"/>
  <c r="G3654" i="166"/>
  <c r="E3654" i="166" s="1"/>
  <c r="B3653" i="166"/>
  <c r="H3651" i="166"/>
  <c r="H3699" i="166" s="1"/>
  <c r="G3651" i="166"/>
  <c r="E3651" i="166" s="1"/>
  <c r="A3651" i="166"/>
  <c r="A3699" i="166" s="1"/>
  <c r="B3650" i="166"/>
  <c r="B3651" i="166" s="1"/>
  <c r="H3648" i="166"/>
  <c r="H3654" i="166" s="1"/>
  <c r="G3648" i="166"/>
  <c r="E3648" i="166" s="1"/>
  <c r="A3648" i="166"/>
  <c r="A3654" i="166" s="1"/>
  <c r="B3647" i="166"/>
  <c r="B3648" i="166" s="1"/>
  <c r="H3645" i="166"/>
  <c r="G3645" i="166"/>
  <c r="E3645" i="166" s="1"/>
  <c r="A3645" i="166"/>
  <c r="B3644" i="166"/>
  <c r="B3645" i="166" s="1"/>
  <c r="G3642" i="166"/>
  <c r="E3642" i="166" s="1"/>
  <c r="B3641" i="166"/>
  <c r="H3639" i="166"/>
  <c r="H3642" i="166" s="1"/>
  <c r="G3639" i="166"/>
  <c r="E3639" i="166" s="1"/>
  <c r="A3639" i="166"/>
  <c r="A3642" i="166" s="1"/>
  <c r="B3638" i="166"/>
  <c r="B3639" i="166" s="1"/>
  <c r="G3636" i="166"/>
  <c r="E3636" i="166" s="1"/>
  <c r="B3635" i="166"/>
  <c r="H3633" i="166"/>
  <c r="G3633" i="166"/>
  <c r="E3633" i="166" s="1"/>
  <c r="B3632" i="166"/>
  <c r="H3630" i="166"/>
  <c r="G3630" i="166"/>
  <c r="E3630" i="166" s="1"/>
  <c r="A3630" i="166"/>
  <c r="A3633" i="166" s="1"/>
  <c r="B3629" i="166"/>
  <c r="B3630" i="166" s="1"/>
  <c r="H3627" i="166"/>
  <c r="G3627" i="166"/>
  <c r="E3627" i="166" s="1"/>
  <c r="B3626" i="166"/>
  <c r="B3627" i="166" s="1"/>
  <c r="G3624" i="166"/>
  <c r="E3624" i="166" s="1"/>
  <c r="B3623" i="166"/>
  <c r="H3621" i="166"/>
  <c r="H3624" i="166" s="1"/>
  <c r="G3621" i="166"/>
  <c r="E3621" i="166" s="1"/>
  <c r="A3621" i="166"/>
  <c r="A3624" i="166" s="1"/>
  <c r="B3620" i="166"/>
  <c r="B3621" i="166" s="1"/>
  <c r="H3618" i="166"/>
  <c r="H3636" i="166" s="1"/>
  <c r="H3684" i="166" s="1"/>
  <c r="G3618" i="166"/>
  <c r="E3618" i="166" s="1"/>
  <c r="A3618" i="166"/>
  <c r="A3636" i="166" s="1"/>
  <c r="A3684" i="166" s="1"/>
  <c r="B3617" i="166"/>
  <c r="B3618" i="166" s="1"/>
  <c r="G3615" i="166"/>
  <c r="E3615" i="166" s="1"/>
  <c r="B3614" i="166"/>
  <c r="H3612" i="166"/>
  <c r="G3612" i="166"/>
  <c r="E3612" i="166" s="1"/>
  <c r="A3612" i="166"/>
  <c r="A3615" i="166" s="1"/>
  <c r="B3611" i="166"/>
  <c r="B3612" i="166" s="1"/>
  <c r="H3609" i="166"/>
  <c r="G3609" i="166"/>
  <c r="E3609" i="166" s="1"/>
  <c r="A3609" i="166"/>
  <c r="A3627" i="166" s="1"/>
  <c r="B3608" i="166"/>
  <c r="B3609" i="166" s="1"/>
  <c r="H3606" i="166"/>
  <c r="G3606" i="166"/>
  <c r="E3606" i="166" s="1"/>
  <c r="A3606" i="166"/>
  <c r="B3605" i="166"/>
  <c r="G3603" i="166"/>
  <c r="E3603" i="166" s="1"/>
  <c r="B3602" i="166"/>
  <c r="G3600" i="166"/>
  <c r="E3600" i="166" s="1"/>
  <c r="B3599" i="166"/>
  <c r="G3597" i="166"/>
  <c r="E3597" i="166" s="1"/>
  <c r="B3596" i="166"/>
  <c r="H3594" i="166"/>
  <c r="H3603" i="166" s="1"/>
  <c r="G3594" i="166"/>
  <c r="E3594" i="166" s="1"/>
  <c r="A3594" i="166"/>
  <c r="A3603" i="166" s="1"/>
  <c r="B3593" i="166"/>
  <c r="B3594" i="166" s="1"/>
  <c r="H3591" i="166"/>
  <c r="H3600" i="166" s="1"/>
  <c r="G3591" i="166"/>
  <c r="E3591" i="166" s="1"/>
  <c r="A3591" i="166"/>
  <c r="A3600" i="166" s="1"/>
  <c r="B3590" i="166"/>
  <c r="B3591" i="166" s="1"/>
  <c r="H3588" i="166"/>
  <c r="H3597" i="166" s="1"/>
  <c r="G3588" i="166"/>
  <c r="E3588" i="166" s="1"/>
  <c r="A3588" i="166"/>
  <c r="A3597" i="166" s="1"/>
  <c r="B3587" i="166"/>
  <c r="B3588" i="166" s="1"/>
  <c r="G3585" i="166"/>
  <c r="E3585" i="166" s="1"/>
  <c r="B3584" i="166"/>
  <c r="G3582" i="166"/>
  <c r="E3582" i="166" s="1"/>
  <c r="B3581" i="166"/>
  <c r="H3579" i="166"/>
  <c r="H3585" i="166" s="1"/>
  <c r="G3579" i="166"/>
  <c r="E3579" i="166" s="1"/>
  <c r="A3579" i="166"/>
  <c r="A3585" i="166" s="1"/>
  <c r="B3578" i="166"/>
  <c r="B3579" i="166" s="1"/>
  <c r="G3576" i="166"/>
  <c r="E3576" i="166" s="1"/>
  <c r="B3575" i="166"/>
  <c r="H3573" i="166"/>
  <c r="H3582" i="166" s="1"/>
  <c r="G3573" i="166"/>
  <c r="E3573" i="166" s="1"/>
  <c r="A3573" i="166"/>
  <c r="A3582" i="166" s="1"/>
  <c r="B3572" i="166"/>
  <c r="B3573" i="166" s="1"/>
  <c r="H3570" i="166"/>
  <c r="A3570" i="166"/>
  <c r="B3569" i="166"/>
  <c r="B3570" i="166" s="1"/>
  <c r="H3567" i="166"/>
  <c r="H3576" i="166" s="1"/>
  <c r="G3567" i="166"/>
  <c r="E3567" i="166" s="1"/>
  <c r="A3567" i="166"/>
  <c r="A3576" i="166" s="1"/>
  <c r="B3566" i="166"/>
  <c r="B3567" i="166" s="1"/>
  <c r="G3564" i="166"/>
  <c r="E3564" i="166" s="1"/>
  <c r="B3563" i="166"/>
  <c r="H3561" i="166"/>
  <c r="H3769" i="166" s="1"/>
  <c r="G3561" i="166"/>
  <c r="E3561" i="166" s="1"/>
  <c r="A3561" i="166"/>
  <c r="B3560" i="166"/>
  <c r="B3561" i="166" s="1"/>
  <c r="G3558" i="166"/>
  <c r="E3558" i="166" s="1"/>
  <c r="B3557" i="166"/>
  <c r="H3555" i="166"/>
  <c r="H3729" i="166" s="1"/>
  <c r="G3555" i="166"/>
  <c r="E3555" i="166" s="1"/>
  <c r="A3555" i="166"/>
  <c r="A3729" i="166" s="1"/>
  <c r="B3554" i="166"/>
  <c r="B3555" i="166" s="1"/>
  <c r="H3552" i="166"/>
  <c r="G3552" i="166"/>
  <c r="E3552" i="166" s="1"/>
  <c r="A3552" i="166"/>
  <c r="B3551" i="166"/>
  <c r="B3552" i="166" s="1"/>
  <c r="H3549" i="166"/>
  <c r="H3558" i="166" s="1"/>
  <c r="G3549" i="166"/>
  <c r="E3549" i="166" s="1"/>
  <c r="A3549" i="166"/>
  <c r="A3558" i="166" s="1"/>
  <c r="B3548" i="166"/>
  <c r="B3549" i="166" s="1"/>
  <c r="G3546" i="166"/>
  <c r="E3546" i="166" s="1"/>
  <c r="B3545" i="166"/>
  <c r="G3543" i="166"/>
  <c r="E3543" i="166" s="1"/>
  <c r="B3542" i="166"/>
  <c r="H3540" i="166"/>
  <c r="H3546" i="166" s="1"/>
  <c r="G3540" i="166"/>
  <c r="E3540" i="166" s="1"/>
  <c r="A3540" i="166"/>
  <c r="A3546" i="166" s="1"/>
  <c r="B3539" i="166"/>
  <c r="B3540" i="166" s="1"/>
  <c r="G3537" i="166"/>
  <c r="E3537" i="166" s="1"/>
  <c r="B3536" i="166"/>
  <c r="H3534" i="166"/>
  <c r="H3537" i="166" s="1"/>
  <c r="G3534" i="166"/>
  <c r="E3534" i="166" s="1"/>
  <c r="A3534" i="166"/>
  <c r="A3537" i="166" s="1"/>
  <c r="B3533" i="166"/>
  <c r="B3534" i="166" s="1"/>
  <c r="G3531" i="166"/>
  <c r="E3531" i="166" s="1"/>
  <c r="B3530" i="166"/>
  <c r="H3528" i="166"/>
  <c r="H3543" i="166" s="1"/>
  <c r="H3564" i="166" s="1"/>
  <c r="G3528" i="166"/>
  <c r="E3528" i="166" s="1"/>
  <c r="A3528" i="166"/>
  <c r="A3543" i="166" s="1"/>
  <c r="A3564" i="166" s="1"/>
  <c r="B3527" i="166"/>
  <c r="B3528" i="166" s="1"/>
  <c r="H3525" i="166"/>
  <c r="G3525" i="166"/>
  <c r="E3525" i="166" s="1"/>
  <c r="A3525" i="166"/>
  <c r="B3524" i="166"/>
  <c r="B3525" i="166" s="1"/>
  <c r="G3522" i="166"/>
  <c r="E3522" i="166" s="1"/>
  <c r="B3521" i="166"/>
  <c r="H3519" i="166"/>
  <c r="H3522" i="166" s="1"/>
  <c r="H3531" i="166" s="1"/>
  <c r="G3519" i="166"/>
  <c r="E3519" i="166" s="1"/>
  <c r="A3519" i="166"/>
  <c r="A3522" i="166" s="1"/>
  <c r="A3531" i="166" s="1"/>
  <c r="B3518" i="166"/>
  <c r="B3519" i="166" s="1"/>
  <c r="H3500" i="166"/>
  <c r="G3500" i="166"/>
  <c r="E3500" i="166" s="1"/>
  <c r="A3500" i="166"/>
  <c r="B3499" i="166"/>
  <c r="B3500" i="166" s="1"/>
  <c r="H3497" i="166"/>
  <c r="G3497" i="166"/>
  <c r="E3497" i="166" s="1"/>
  <c r="A3497" i="166"/>
  <c r="B3496" i="166"/>
  <c r="B3497" i="166" s="1"/>
  <c r="H3494" i="166"/>
  <c r="G3494" i="166"/>
  <c r="E3494" i="166" s="1"/>
  <c r="A3494" i="166"/>
  <c r="B3493" i="166"/>
  <c r="B3494" i="166" s="1"/>
  <c r="H3491" i="166"/>
  <c r="G3491" i="166"/>
  <c r="E3491" i="166" s="1"/>
  <c r="A3491" i="166"/>
  <c r="B3490" i="166"/>
  <c r="B3491" i="166" s="1"/>
  <c r="H3488" i="166"/>
  <c r="G3488" i="166"/>
  <c r="E3488" i="166" s="1"/>
  <c r="A3488" i="166"/>
  <c r="B3487" i="166"/>
  <c r="B3488" i="166" s="1"/>
  <c r="H3485" i="166"/>
  <c r="G3485" i="166"/>
  <c r="E3485" i="166" s="1"/>
  <c r="A3485" i="166"/>
  <c r="B3484" i="166"/>
  <c r="B3485" i="166" s="1"/>
  <c r="H3482" i="166"/>
  <c r="G3482" i="166"/>
  <c r="E3482" i="166" s="1"/>
  <c r="A3482" i="166"/>
  <c r="B3481" i="166"/>
  <c r="B3482" i="166" s="1"/>
  <c r="H3479" i="166"/>
  <c r="G3479" i="166"/>
  <c r="E3479" i="166" s="1"/>
  <c r="A3479" i="166"/>
  <c r="B3478" i="166"/>
  <c r="B3479" i="166" s="1"/>
  <c r="H3476" i="166"/>
  <c r="G3476" i="166"/>
  <c r="E3476" i="166" s="1"/>
  <c r="A3476" i="166"/>
  <c r="B3475" i="166"/>
  <c r="B3476" i="166" s="1"/>
  <c r="H3473" i="166"/>
  <c r="G3473" i="166"/>
  <c r="E3473" i="166" s="1"/>
  <c r="A3473" i="166"/>
  <c r="B3472" i="166"/>
  <c r="B3473" i="166" s="1"/>
  <c r="H3470" i="166"/>
  <c r="G3470" i="166"/>
  <c r="E3470" i="166" s="1"/>
  <c r="A3470" i="166"/>
  <c r="B3469" i="166"/>
  <c r="B3470" i="166" s="1"/>
  <c r="H3467" i="166"/>
  <c r="G3467" i="166"/>
  <c r="E3467" i="166" s="1"/>
  <c r="A3467" i="166"/>
  <c r="B3466" i="166"/>
  <c r="B3467" i="166" s="1"/>
  <c r="A3460" i="166"/>
  <c r="A3461" i="166" s="1"/>
  <c r="A3462" i="166" s="1"/>
  <c r="A3463" i="166" s="1"/>
  <c r="A3464" i="166" s="1"/>
  <c r="B3459" i="166"/>
  <c r="B3460" i="166" s="1"/>
  <c r="B3461" i="166" s="1"/>
  <c r="B3462" i="166" s="1"/>
  <c r="B3463" i="166" s="1"/>
  <c r="B3464" i="166" s="1"/>
  <c r="A3452" i="166"/>
  <c r="A3453" i="166" s="1"/>
  <c r="A3454" i="166" s="1"/>
  <c r="A3455" i="166" s="1"/>
  <c r="A3456" i="166" s="1"/>
  <c r="A3457" i="166" s="1"/>
  <c r="B3451" i="166"/>
  <c r="B3452" i="166" s="1"/>
  <c r="B3453" i="166" s="1"/>
  <c r="B3454" i="166" s="1"/>
  <c r="B3455" i="166" s="1"/>
  <c r="B3456" i="166" s="1"/>
  <c r="B3457" i="166" s="1"/>
  <c r="H3449" i="166"/>
  <c r="G3449" i="166"/>
  <c r="E3449" i="166" s="1"/>
  <c r="A3449" i="166"/>
  <c r="B3448" i="166"/>
  <c r="B3449" i="166" s="1"/>
  <c r="H3446" i="166"/>
  <c r="G3446" i="166"/>
  <c r="E3446" i="166" s="1"/>
  <c r="A3446" i="166"/>
  <c r="B3445" i="166"/>
  <c r="B3446" i="166" s="1"/>
  <c r="H3443" i="166"/>
  <c r="G3443" i="166"/>
  <c r="E3443" i="166" s="1"/>
  <c r="A3443" i="166"/>
  <c r="B3442" i="166"/>
  <c r="B3443" i="166" s="1"/>
  <c r="H3440" i="166"/>
  <c r="G3440" i="166"/>
  <c r="E3440" i="166" s="1"/>
  <c r="A3440" i="166"/>
  <c r="B3439" i="166"/>
  <c r="B3440" i="166" s="1"/>
  <c r="H3437" i="166"/>
  <c r="G3437" i="166"/>
  <c r="E3437" i="166" s="1"/>
  <c r="A3437" i="166"/>
  <c r="B3436" i="166"/>
  <c r="B3437" i="166" s="1"/>
  <c r="H3434" i="166"/>
  <c r="G3434" i="166"/>
  <c r="E3434" i="166" s="1"/>
  <c r="A3434" i="166"/>
  <c r="B3433" i="166"/>
  <c r="B3434" i="166" s="1"/>
  <c r="H3431" i="166"/>
  <c r="G3431" i="166"/>
  <c r="E3431" i="166" s="1"/>
  <c r="A3431" i="166"/>
  <c r="B3430" i="166"/>
  <c r="B3431" i="166" s="1"/>
  <c r="H3428" i="166"/>
  <c r="G3428" i="166"/>
  <c r="E3428" i="166" s="1"/>
  <c r="A3428" i="166"/>
  <c r="B3427" i="166"/>
  <c r="B3428" i="166" s="1"/>
  <c r="H3425" i="166"/>
  <c r="G3425" i="166"/>
  <c r="E3425" i="166" s="1"/>
  <c r="A3425" i="166"/>
  <c r="B3424" i="166"/>
  <c r="B3425" i="166" s="1"/>
  <c r="H3422" i="166"/>
  <c r="G3422" i="166"/>
  <c r="E3422" i="166" s="1"/>
  <c r="A3422" i="166"/>
  <c r="B3421" i="166"/>
  <c r="B3422" i="166" s="1"/>
  <c r="H3419" i="166"/>
  <c r="G3419" i="166"/>
  <c r="E3419" i="166" s="1"/>
  <c r="A3419" i="166"/>
  <c r="B3418" i="166"/>
  <c r="B3419" i="166" s="1"/>
  <c r="H3416" i="166"/>
  <c r="G3416" i="166"/>
  <c r="E3416" i="166" s="1"/>
  <c r="A3416" i="166"/>
  <c r="B3415" i="166"/>
  <c r="B3416" i="166" s="1"/>
  <c r="H3413" i="166"/>
  <c r="G3413" i="166"/>
  <c r="E3413" i="166" s="1"/>
  <c r="A3413" i="166"/>
  <c r="B3412" i="166"/>
  <c r="B3413" i="166" s="1"/>
  <c r="H3410" i="166"/>
  <c r="G3410" i="166"/>
  <c r="E3410" i="166" s="1"/>
  <c r="A3410" i="166"/>
  <c r="B3409" i="166"/>
  <c r="B3410" i="166" s="1"/>
  <c r="H3407" i="166"/>
  <c r="G3407" i="166"/>
  <c r="E3407" i="166" s="1"/>
  <c r="A3407" i="166"/>
  <c r="B3406" i="166"/>
  <c r="B3407" i="166" s="1"/>
  <c r="H3404" i="166"/>
  <c r="G3404" i="166"/>
  <c r="E3404" i="166" s="1"/>
  <c r="A3404" i="166"/>
  <c r="B3403" i="166"/>
  <c r="B3404" i="166" s="1"/>
  <c r="H3401" i="166"/>
  <c r="G3401" i="166"/>
  <c r="E3401" i="166" s="1"/>
  <c r="A3401" i="166"/>
  <c r="B3400" i="166"/>
  <c r="B3401" i="166" s="1"/>
  <c r="H3398" i="166"/>
  <c r="G3398" i="166"/>
  <c r="E3398" i="166" s="1"/>
  <c r="A3398" i="166"/>
  <c r="B3397" i="166"/>
  <c r="B3398" i="166" s="1"/>
  <c r="H3395" i="166"/>
  <c r="G3395" i="166"/>
  <c r="E3395" i="166" s="1"/>
  <c r="A3395" i="166"/>
  <c r="B3394" i="166"/>
  <c r="B3395" i="166" s="1"/>
  <c r="H3392" i="166"/>
  <c r="G3392" i="166"/>
  <c r="E3392" i="166" s="1"/>
  <c r="A3392" i="166"/>
  <c r="B3391" i="166"/>
  <c r="B3392" i="166" s="1"/>
  <c r="H3389" i="166"/>
  <c r="G3389" i="166"/>
  <c r="E3389" i="166" s="1"/>
  <c r="A3389" i="166"/>
  <c r="B3388" i="166"/>
  <c r="B3389" i="166" s="1"/>
  <c r="H3386" i="166"/>
  <c r="G3386" i="166"/>
  <c r="E3386" i="166" s="1"/>
  <c r="A3386" i="166"/>
  <c r="B3385" i="166"/>
  <c r="B3386" i="166" s="1"/>
  <c r="H3383" i="166"/>
  <c r="G3383" i="166"/>
  <c r="E3383" i="166" s="1"/>
  <c r="A3383" i="166"/>
  <c r="B3382" i="166"/>
  <c r="B3383" i="166" s="1"/>
  <c r="H3380" i="166"/>
  <c r="G3380" i="166"/>
  <c r="E3380" i="166" s="1"/>
  <c r="A3380" i="166"/>
  <c r="B3379" i="166"/>
  <c r="B3380" i="166" s="1"/>
  <c r="H3377" i="166"/>
  <c r="G3377" i="166"/>
  <c r="E3377" i="166" s="1"/>
  <c r="A3377" i="166"/>
  <c r="B3376" i="166"/>
  <c r="B3377" i="166" s="1"/>
  <c r="H3374" i="166"/>
  <c r="G3374" i="166"/>
  <c r="E3374" i="166" s="1"/>
  <c r="A3374" i="166"/>
  <c r="B3373" i="166"/>
  <c r="B3374" i="166" s="1"/>
  <c r="H3371" i="166"/>
  <c r="G3371" i="166"/>
  <c r="E3371" i="166" s="1"/>
  <c r="A3371" i="166"/>
  <c r="B3370" i="166"/>
  <c r="B3371" i="166" s="1"/>
  <c r="H3368" i="166"/>
  <c r="G3368" i="166"/>
  <c r="E3368" i="166" s="1"/>
  <c r="A3368" i="166"/>
  <c r="B3367" i="166"/>
  <c r="B3368" i="166" s="1"/>
  <c r="H3365" i="166"/>
  <c r="G3365" i="166"/>
  <c r="E3365" i="166" s="1"/>
  <c r="A3365" i="166"/>
  <c r="B3364" i="166"/>
  <c r="B3365" i="166" s="1"/>
  <c r="H3362" i="166"/>
  <c r="G3362" i="166"/>
  <c r="E3362" i="166" s="1"/>
  <c r="A3362" i="166"/>
  <c r="B3361" i="166"/>
  <c r="B3362" i="166" s="1"/>
  <c r="H3359" i="166"/>
  <c r="G3359" i="166"/>
  <c r="E3359" i="166" s="1"/>
  <c r="A3359" i="166"/>
  <c r="B3358" i="166"/>
  <c r="B3359" i="166" s="1"/>
  <c r="H3356" i="166"/>
  <c r="G3356" i="166"/>
  <c r="E3356" i="166" s="1"/>
  <c r="A3356" i="166"/>
  <c r="B3355" i="166"/>
  <c r="B3356" i="166" s="1"/>
  <c r="H3353" i="166"/>
  <c r="G3353" i="166"/>
  <c r="E3353" i="166" s="1"/>
  <c r="A3353" i="166"/>
  <c r="B3352" i="166"/>
  <c r="B3353" i="166" s="1"/>
  <c r="H3350" i="166"/>
  <c r="G3350" i="166"/>
  <c r="E3350" i="166" s="1"/>
  <c r="A3350" i="166"/>
  <c r="B3349" i="166"/>
  <c r="B3350" i="166" s="1"/>
  <c r="H3347" i="166"/>
  <c r="G3347" i="166"/>
  <c r="E3347" i="166" s="1"/>
  <c r="A3347" i="166"/>
  <c r="B3346" i="166"/>
  <c r="B3347" i="166" s="1"/>
  <c r="H3344" i="166"/>
  <c r="G3344" i="166"/>
  <c r="E3344" i="166" s="1"/>
  <c r="A3344" i="166"/>
  <c r="B3343" i="166"/>
  <c r="B3344" i="166" s="1"/>
  <c r="H3341" i="166"/>
  <c r="G3341" i="166"/>
  <c r="E3341" i="166" s="1"/>
  <c r="A3341" i="166"/>
  <c r="B3340" i="166"/>
  <c r="B3341" i="166" s="1"/>
  <c r="H3338" i="166"/>
  <c r="G3338" i="166"/>
  <c r="E3338" i="166" s="1"/>
  <c r="A3338" i="166"/>
  <c r="B3337" i="166"/>
  <c r="B3338" i="166" s="1"/>
  <c r="H3335" i="166"/>
  <c r="G3335" i="166"/>
  <c r="E3335" i="166" s="1"/>
  <c r="A3335" i="166"/>
  <c r="B3334" i="166"/>
  <c r="B3335" i="166" s="1"/>
  <c r="H3332" i="166"/>
  <c r="G3332" i="166"/>
  <c r="E3332" i="166" s="1"/>
  <c r="A3332" i="166"/>
  <c r="B3331" i="166"/>
  <c r="B3332" i="166" s="1"/>
  <c r="H3329" i="166"/>
  <c r="G3329" i="166"/>
  <c r="E3329" i="166" s="1"/>
  <c r="A3329" i="166"/>
  <c r="B3328" i="166"/>
  <c r="B3329" i="166" s="1"/>
  <c r="H3326" i="166"/>
  <c r="G3326" i="166"/>
  <c r="E3326" i="166" s="1"/>
  <c r="A3326" i="166"/>
  <c r="B3325" i="166"/>
  <c r="B3326" i="166" s="1"/>
  <c r="H3323" i="166"/>
  <c r="G3323" i="166"/>
  <c r="E3323" i="166" s="1"/>
  <c r="A3323" i="166"/>
  <c r="B3322" i="166"/>
  <c r="B3323" i="166" s="1"/>
  <c r="H3320" i="166"/>
  <c r="G3320" i="166"/>
  <c r="E3320" i="166" s="1"/>
  <c r="A3320" i="166"/>
  <c r="B3319" i="166"/>
  <c r="B3320" i="166" s="1"/>
  <c r="H3317" i="166"/>
  <c r="G3317" i="166"/>
  <c r="E3317" i="166" s="1"/>
  <c r="A3317" i="166"/>
  <c r="B3316" i="166"/>
  <c r="B3317" i="166" s="1"/>
  <c r="H3314" i="166"/>
  <c r="G3314" i="166"/>
  <c r="E3314" i="166" s="1"/>
  <c r="A3314" i="166"/>
  <c r="B3313" i="166"/>
  <c r="B3314" i="166" s="1"/>
  <c r="H3311" i="166"/>
  <c r="G3311" i="166"/>
  <c r="E3311" i="166" s="1"/>
  <c r="A3311" i="166"/>
  <c r="B3310" i="166"/>
  <c r="B3311" i="166" s="1"/>
  <c r="H3308" i="166"/>
  <c r="G3308" i="166"/>
  <c r="E3308" i="166" s="1"/>
  <c r="A3308" i="166"/>
  <c r="B3307" i="166"/>
  <c r="B3308" i="166" s="1"/>
  <c r="H3305" i="166"/>
  <c r="G3305" i="166"/>
  <c r="E3305" i="166" s="1"/>
  <c r="A3305" i="166"/>
  <c r="B3304" i="166"/>
  <c r="B3305" i="166" s="1"/>
  <c r="H3302" i="166"/>
  <c r="G3302" i="166"/>
  <c r="E3302" i="166" s="1"/>
  <c r="A3302" i="166"/>
  <c r="B3301" i="166"/>
  <c r="B3302" i="166" s="1"/>
  <c r="H3299" i="166"/>
  <c r="G3299" i="166"/>
  <c r="E3299" i="166" s="1"/>
  <c r="A3299" i="166"/>
  <c r="B3298" i="166"/>
  <c r="B3299" i="166" s="1"/>
  <c r="H3296" i="166"/>
  <c r="G3296" i="166"/>
  <c r="E3296" i="166" s="1"/>
  <c r="A3296" i="166"/>
  <c r="B3295" i="166"/>
  <c r="B3296" i="166" s="1"/>
  <c r="H3293" i="166"/>
  <c r="G3293" i="166"/>
  <c r="E3293" i="166" s="1"/>
  <c r="A3293" i="166"/>
  <c r="B3292" i="166"/>
  <c r="B3293" i="166" s="1"/>
  <c r="H3290" i="166"/>
  <c r="G3290" i="166"/>
  <c r="E3290" i="166" s="1"/>
  <c r="A3290" i="166"/>
  <c r="B3289" i="166"/>
  <c r="B3290" i="166" s="1"/>
  <c r="H3287" i="166"/>
  <c r="G3287" i="166"/>
  <c r="E3287" i="166" s="1"/>
  <c r="A3287" i="166"/>
  <c r="B3286" i="166"/>
  <c r="B3287" i="166" s="1"/>
  <c r="H3284" i="166"/>
  <c r="G3284" i="166"/>
  <c r="E3284" i="166" s="1"/>
  <c r="A3284" i="166"/>
  <c r="B3283" i="166"/>
  <c r="B3284" i="166" s="1"/>
  <c r="H3281" i="166"/>
  <c r="G3281" i="166"/>
  <c r="E3281" i="166" s="1"/>
  <c r="A3281" i="166"/>
  <c r="B3280" i="166"/>
  <c r="B3281" i="166" s="1"/>
  <c r="H3278" i="166"/>
  <c r="G3278" i="166"/>
  <c r="E3278" i="166" s="1"/>
  <c r="A3278" i="166"/>
  <c r="B3277" i="166"/>
  <c r="B3278" i="166" s="1"/>
  <c r="H3275" i="166"/>
  <c r="G3275" i="166"/>
  <c r="E3275" i="166" s="1"/>
  <c r="A3275" i="166"/>
  <c r="B3274" i="166"/>
  <c r="B3275" i="166" s="1"/>
  <c r="H3272" i="166"/>
  <c r="G3272" i="166"/>
  <c r="E3272" i="166" s="1"/>
  <c r="A3272" i="166"/>
  <c r="B3271" i="166"/>
  <c r="B3272" i="166" s="1"/>
  <c r="H3269" i="166"/>
  <c r="G3269" i="166"/>
  <c r="E3269" i="166" s="1"/>
  <c r="A3269" i="166"/>
  <c r="B3268" i="166"/>
  <c r="B3269" i="166" s="1"/>
  <c r="H3266" i="166"/>
  <c r="G3266" i="166"/>
  <c r="E3266" i="166" s="1"/>
  <c r="A3266" i="166"/>
  <c r="B3265" i="166"/>
  <c r="B3266" i="166" s="1"/>
  <c r="H3263" i="166"/>
  <c r="G3263" i="166"/>
  <c r="E3263" i="166" s="1"/>
  <c r="A3263" i="166"/>
  <c r="B3262" i="166"/>
  <c r="B3263" i="166" s="1"/>
  <c r="H3260" i="166"/>
  <c r="G3260" i="166"/>
  <c r="E3260" i="166" s="1"/>
  <c r="A3260" i="166"/>
  <c r="B3259" i="166"/>
  <c r="B3260" i="166" s="1"/>
  <c r="H3257" i="166"/>
  <c r="G3257" i="166"/>
  <c r="E3257" i="166" s="1"/>
  <c r="A3257" i="166"/>
  <c r="B3256" i="166"/>
  <c r="B3257" i="166" s="1"/>
  <c r="H3254" i="166"/>
  <c r="G3254" i="166"/>
  <c r="E3254" i="166" s="1"/>
  <c r="A3254" i="166"/>
  <c r="B3253" i="166"/>
  <c r="B3254" i="166" s="1"/>
  <c r="H3251" i="166"/>
  <c r="G3251" i="166"/>
  <c r="E3251" i="166" s="1"/>
  <c r="A3251" i="166"/>
  <c r="B3250" i="166"/>
  <c r="B3251" i="166" s="1"/>
  <c r="H3248" i="166"/>
  <c r="G3248" i="166"/>
  <c r="E3248" i="166" s="1"/>
  <c r="A3248" i="166"/>
  <c r="B3247" i="166"/>
  <c r="B3248" i="166" s="1"/>
  <c r="H3245" i="166"/>
  <c r="G3245" i="166"/>
  <c r="E3245" i="166" s="1"/>
  <c r="A3245" i="166"/>
  <c r="B3244" i="166"/>
  <c r="B3245" i="166" s="1"/>
  <c r="H3242" i="166"/>
  <c r="G3242" i="166"/>
  <c r="E3242" i="166" s="1"/>
  <c r="A3242" i="166"/>
  <c r="B3241" i="166"/>
  <c r="B3242" i="166" s="1"/>
  <c r="H3239" i="166"/>
  <c r="G3239" i="166"/>
  <c r="E3239" i="166" s="1"/>
  <c r="A3239" i="166"/>
  <c r="B3238" i="166"/>
  <c r="B3239" i="166" s="1"/>
  <c r="H3236" i="166"/>
  <c r="G3236" i="166"/>
  <c r="E3236" i="166" s="1"/>
  <c r="A3236" i="166"/>
  <c r="B3235" i="166"/>
  <c r="B3236" i="166" s="1"/>
  <c r="H3233" i="166"/>
  <c r="G3233" i="166"/>
  <c r="E3233" i="166" s="1"/>
  <c r="A3233" i="166"/>
  <c r="B3232" i="166"/>
  <c r="B3233" i="166" s="1"/>
  <c r="H3230" i="166"/>
  <c r="G3230" i="166"/>
  <c r="E3230" i="166" s="1"/>
  <c r="A3230" i="166"/>
  <c r="B3229" i="166"/>
  <c r="B3230" i="166" s="1"/>
  <c r="H3227" i="166"/>
  <c r="G3227" i="166"/>
  <c r="E3227" i="166" s="1"/>
  <c r="A3227" i="166"/>
  <c r="B3226" i="166"/>
  <c r="B3227" i="166" s="1"/>
  <c r="H3224" i="166"/>
  <c r="G3224" i="166"/>
  <c r="E3224" i="166" s="1"/>
  <c r="A3224" i="166"/>
  <c r="B3223" i="166"/>
  <c r="B3224" i="166" s="1"/>
  <c r="H3221" i="166"/>
  <c r="G3221" i="166"/>
  <c r="E3221" i="166" s="1"/>
  <c r="A3221" i="166"/>
  <c r="B3220" i="166"/>
  <c r="B3221" i="166" s="1"/>
  <c r="H3218" i="166"/>
  <c r="G3218" i="166"/>
  <c r="E3218" i="166" s="1"/>
  <c r="A3218" i="166"/>
  <c r="B3217" i="166"/>
  <c r="B3218" i="166" s="1"/>
  <c r="H3215" i="166"/>
  <c r="G3215" i="166"/>
  <c r="E3215" i="166" s="1"/>
  <c r="A3215" i="166"/>
  <c r="B3214" i="166"/>
  <c r="B3215" i="166" s="1"/>
  <c r="H3212" i="166"/>
  <c r="G3212" i="166"/>
  <c r="E3212" i="166" s="1"/>
  <c r="A3212" i="166"/>
  <c r="B3211" i="166"/>
  <c r="B3212" i="166" s="1"/>
  <c r="B3209" i="166"/>
  <c r="H3208" i="166"/>
  <c r="A3208" i="166"/>
  <c r="F3207" i="166"/>
  <c r="E3207" i="166" s="1"/>
  <c r="B3207" i="166"/>
  <c r="B3208" i="166" s="1"/>
  <c r="H3205" i="166"/>
  <c r="G3205" i="166"/>
  <c r="E3205" i="166" s="1"/>
  <c r="A3205" i="166"/>
  <c r="B3204" i="166"/>
  <c r="B3205" i="166" s="1"/>
  <c r="H3202" i="166"/>
  <c r="G3202" i="166"/>
  <c r="E3202" i="166" s="1"/>
  <c r="A3202" i="166"/>
  <c r="B3201" i="166"/>
  <c r="B3202" i="166" s="1"/>
  <c r="H3198" i="166"/>
  <c r="H3199" i="166" s="1"/>
  <c r="A3198" i="166"/>
  <c r="A3199" i="166" s="1"/>
  <c r="F3197" i="166"/>
  <c r="E3197" i="166" s="1"/>
  <c r="B3197" i="166"/>
  <c r="B3198" i="166" s="1"/>
  <c r="B3199" i="166" s="1"/>
  <c r="H3195" i="166"/>
  <c r="G3195" i="166"/>
  <c r="E3195" i="166" s="1"/>
  <c r="A3195" i="166"/>
  <c r="B3194" i="166"/>
  <c r="B3195" i="166" s="1"/>
  <c r="H3192" i="166"/>
  <c r="G3192" i="166"/>
  <c r="E3192" i="166" s="1"/>
  <c r="A3192" i="166"/>
  <c r="B3191" i="166"/>
  <c r="B3192" i="166" s="1"/>
  <c r="H3189" i="166"/>
  <c r="G3189" i="166"/>
  <c r="E3189" i="166" s="1"/>
  <c r="A3189" i="166"/>
  <c r="B3188" i="166"/>
  <c r="B3189" i="166" s="1"/>
  <c r="H3186" i="166"/>
  <c r="G3186" i="166"/>
  <c r="E3186" i="166" s="1"/>
  <c r="A3186" i="166"/>
  <c r="B3185" i="166"/>
  <c r="B3186" i="166" s="1"/>
  <c r="H3183" i="166"/>
  <c r="G3183" i="166"/>
  <c r="E3183" i="166" s="1"/>
  <c r="A3183" i="166"/>
  <c r="B3182" i="166"/>
  <c r="B3183" i="166" s="1"/>
  <c r="H3180" i="166"/>
  <c r="G3180" i="166"/>
  <c r="E3180" i="166" s="1"/>
  <c r="A3180" i="166"/>
  <c r="B3179" i="166"/>
  <c r="B3180" i="166" s="1"/>
  <c r="H3177" i="166"/>
  <c r="G3177" i="166"/>
  <c r="E3177" i="166" s="1"/>
  <c r="A3177" i="166"/>
  <c r="B3176" i="166"/>
  <c r="B3177" i="166" s="1"/>
  <c r="H3174" i="166"/>
  <c r="G3174" i="166"/>
  <c r="E3174" i="166" s="1"/>
  <c r="A3174" i="166"/>
  <c r="B3173" i="166"/>
  <c r="B3174" i="166" s="1"/>
  <c r="H3171" i="166"/>
  <c r="G3171" i="166"/>
  <c r="E3171" i="166" s="1"/>
  <c r="A3171" i="166"/>
  <c r="B3170" i="166"/>
  <c r="B3171" i="166" s="1"/>
  <c r="H3168" i="166"/>
  <c r="G3168" i="166"/>
  <c r="E3168" i="166" s="1"/>
  <c r="A3168" i="166"/>
  <c r="B3167" i="166"/>
  <c r="B3168" i="166" s="1"/>
  <c r="H3165" i="166"/>
  <c r="G3165" i="166"/>
  <c r="E3165" i="166" s="1"/>
  <c r="A3165" i="166"/>
  <c r="B3164" i="166"/>
  <c r="B3165" i="166" s="1"/>
  <c r="H3162" i="166"/>
  <c r="G3162" i="166"/>
  <c r="E3162" i="166" s="1"/>
  <c r="A3162" i="166"/>
  <c r="B3161" i="166"/>
  <c r="B3162" i="166" s="1"/>
  <c r="H3159" i="166"/>
  <c r="G3159" i="166"/>
  <c r="E3159" i="166" s="1"/>
  <c r="A3159" i="166"/>
  <c r="B3158" i="166"/>
  <c r="B3159" i="166" s="1"/>
  <c r="H3156" i="166"/>
  <c r="G3156" i="166"/>
  <c r="E3156" i="166" s="1"/>
  <c r="A3156" i="166"/>
  <c r="B3155" i="166"/>
  <c r="B3156" i="166" s="1"/>
  <c r="H3153" i="166"/>
  <c r="G3153" i="166"/>
  <c r="E3153" i="166" s="1"/>
  <c r="A3153" i="166"/>
  <c r="B3152" i="166"/>
  <c r="B3153" i="166" s="1"/>
  <c r="H3150" i="166"/>
  <c r="G3150" i="166"/>
  <c r="E3150" i="166" s="1"/>
  <c r="A3150" i="166"/>
  <c r="B3149" i="166"/>
  <c r="B3150" i="166" s="1"/>
  <c r="H3147" i="166"/>
  <c r="G3147" i="166"/>
  <c r="E3147" i="166" s="1"/>
  <c r="A3147" i="166"/>
  <c r="B3146" i="166"/>
  <c r="B3147" i="166" s="1"/>
  <c r="H3144" i="166"/>
  <c r="G3144" i="166"/>
  <c r="E3144" i="166" s="1"/>
  <c r="A3144" i="166"/>
  <c r="B3143" i="166"/>
  <c r="B3144" i="166" s="1"/>
  <c r="H3141" i="166"/>
  <c r="G3141" i="166"/>
  <c r="E3141" i="166" s="1"/>
  <c r="A3141" i="166"/>
  <c r="B3140" i="166"/>
  <c r="B3141" i="166" s="1"/>
  <c r="H3138" i="166"/>
  <c r="G3138" i="166"/>
  <c r="E3138" i="166" s="1"/>
  <c r="A3138" i="166"/>
  <c r="B3137" i="166"/>
  <c r="B3138" i="166" s="1"/>
  <c r="H3135" i="166"/>
  <c r="G3135" i="166"/>
  <c r="E3135" i="166" s="1"/>
  <c r="A3135" i="166"/>
  <c r="B3134" i="166"/>
  <c r="B3135" i="166" s="1"/>
  <c r="H3132" i="166"/>
  <c r="G3132" i="166"/>
  <c r="E3132" i="166" s="1"/>
  <c r="A3132" i="166"/>
  <c r="B3131" i="166"/>
  <c r="B3132" i="166" s="1"/>
  <c r="H3129" i="166"/>
  <c r="G3129" i="166"/>
  <c r="E3129" i="166" s="1"/>
  <c r="A3129" i="166"/>
  <c r="B3128" i="166"/>
  <c r="B3129" i="166" s="1"/>
  <c r="H3126" i="166"/>
  <c r="G3126" i="166"/>
  <c r="E3126" i="166" s="1"/>
  <c r="A3126" i="166"/>
  <c r="B3125" i="166"/>
  <c r="B3126" i="166" s="1"/>
  <c r="H3123" i="166"/>
  <c r="G3123" i="166"/>
  <c r="E3123" i="166" s="1"/>
  <c r="A3123" i="166"/>
  <c r="B3122" i="166"/>
  <c r="B3123" i="166" s="1"/>
  <c r="H3120" i="166"/>
  <c r="G3120" i="166"/>
  <c r="E3120" i="166" s="1"/>
  <c r="A3120" i="166"/>
  <c r="B3119" i="166"/>
  <c r="B3120" i="166" s="1"/>
  <c r="H3117" i="166"/>
  <c r="G3117" i="166"/>
  <c r="E3117" i="166" s="1"/>
  <c r="A3117" i="166"/>
  <c r="B3116" i="166"/>
  <c r="B3117" i="166" s="1"/>
  <c r="H3114" i="166"/>
  <c r="G3114" i="166"/>
  <c r="E3114" i="166" s="1"/>
  <c r="A3114" i="166"/>
  <c r="B3113" i="166"/>
  <c r="B3114" i="166" s="1"/>
  <c r="H3111" i="166"/>
  <c r="G3111" i="166"/>
  <c r="E3111" i="166" s="1"/>
  <c r="A3111" i="166"/>
  <c r="B3110" i="166"/>
  <c r="B3111" i="166" s="1"/>
  <c r="H3108" i="166"/>
  <c r="G3108" i="166"/>
  <c r="E3108" i="166" s="1"/>
  <c r="A3108" i="166"/>
  <c r="B3107" i="166"/>
  <c r="B3108" i="166" s="1"/>
  <c r="H3105" i="166"/>
  <c r="G3105" i="166"/>
  <c r="E3105" i="166" s="1"/>
  <c r="A3105" i="166"/>
  <c r="B3104" i="166"/>
  <c r="B3105" i="166" s="1"/>
  <c r="H3102" i="166"/>
  <c r="G3102" i="166"/>
  <c r="E3102" i="166" s="1"/>
  <c r="A3102" i="166"/>
  <c r="B3101" i="166"/>
  <c r="B3102" i="166" s="1"/>
  <c r="H3099" i="166"/>
  <c r="G3099" i="166"/>
  <c r="E3099" i="166" s="1"/>
  <c r="A3099" i="166"/>
  <c r="B3098" i="166"/>
  <c r="B3099" i="166" s="1"/>
  <c r="H3096" i="166"/>
  <c r="G3096" i="166"/>
  <c r="E3096" i="166" s="1"/>
  <c r="A3096" i="166"/>
  <c r="B3095" i="166"/>
  <c r="B3096" i="166" s="1"/>
  <c r="H3093" i="166"/>
  <c r="G3093" i="166"/>
  <c r="E3093" i="166" s="1"/>
  <c r="A3093" i="166"/>
  <c r="B3092" i="166"/>
  <c r="B3093" i="166" s="1"/>
  <c r="H3090" i="166"/>
  <c r="G3090" i="166"/>
  <c r="E3090" i="166" s="1"/>
  <c r="A3090" i="166"/>
  <c r="B3089" i="166"/>
  <c r="B3090" i="166" s="1"/>
  <c r="H3087" i="166"/>
  <c r="G3087" i="166"/>
  <c r="E3087" i="166" s="1"/>
  <c r="A3087" i="166"/>
  <c r="B3086" i="166"/>
  <c r="B3087" i="166" s="1"/>
  <c r="H3084" i="166"/>
  <c r="G3084" i="166"/>
  <c r="E3084" i="166" s="1"/>
  <c r="A3084" i="166"/>
  <c r="B3083" i="166"/>
  <c r="B3084" i="166" s="1"/>
  <c r="H3081" i="166"/>
  <c r="G3081" i="166"/>
  <c r="E3081" i="166" s="1"/>
  <c r="A3081" i="166"/>
  <c r="B3080" i="166"/>
  <c r="B3081" i="166" s="1"/>
  <c r="H3078" i="166"/>
  <c r="G3078" i="166"/>
  <c r="E3078" i="166" s="1"/>
  <c r="A3078" i="166"/>
  <c r="B3077" i="166"/>
  <c r="B3078" i="166" s="1"/>
  <c r="H3075" i="166"/>
  <c r="G3075" i="166"/>
  <c r="E3075" i="166" s="1"/>
  <c r="A3075" i="166"/>
  <c r="B3074" i="166"/>
  <c r="B3075" i="166" s="1"/>
  <c r="H3072" i="166"/>
  <c r="G3072" i="166"/>
  <c r="E3072" i="166" s="1"/>
  <c r="A3072" i="166"/>
  <c r="B3071" i="166"/>
  <c r="B3072" i="166" s="1"/>
  <c r="H3069" i="166"/>
  <c r="G3069" i="166"/>
  <c r="E3069" i="166" s="1"/>
  <c r="A3069" i="166"/>
  <c r="B3068" i="166"/>
  <c r="B3069" i="166" s="1"/>
  <c r="H3066" i="166"/>
  <c r="G3066" i="166"/>
  <c r="E3066" i="166" s="1"/>
  <c r="A3066" i="166"/>
  <c r="B3065" i="166"/>
  <c r="B3066" i="166" s="1"/>
  <c r="H3063" i="166"/>
  <c r="G3063" i="166"/>
  <c r="E3063" i="166" s="1"/>
  <c r="A3063" i="166"/>
  <c r="B3062" i="166"/>
  <c r="B3063" i="166" s="1"/>
  <c r="H3060" i="166"/>
  <c r="G3060" i="166"/>
  <c r="E3060" i="166" s="1"/>
  <c r="A3060" i="166"/>
  <c r="B3059" i="166"/>
  <c r="B3060" i="166" s="1"/>
  <c r="H3057" i="166"/>
  <c r="G3057" i="166"/>
  <c r="E3057" i="166" s="1"/>
  <c r="A3057" i="166"/>
  <c r="B3056" i="166"/>
  <c r="B3057" i="166" s="1"/>
  <c r="H3054" i="166"/>
  <c r="G3054" i="166"/>
  <c r="E3054" i="166" s="1"/>
  <c r="A3054" i="166"/>
  <c r="B3053" i="166"/>
  <c r="B3054" i="166" s="1"/>
  <c r="H3051" i="166"/>
  <c r="G3051" i="166"/>
  <c r="E3051" i="166" s="1"/>
  <c r="A3051" i="166"/>
  <c r="B3050" i="166"/>
  <c r="B3051" i="166" s="1"/>
  <c r="H3048" i="166"/>
  <c r="G3048" i="166"/>
  <c r="E3048" i="166" s="1"/>
  <c r="A3048" i="166"/>
  <c r="B3047" i="166"/>
  <c r="B3048" i="166" s="1"/>
  <c r="H3045" i="166"/>
  <c r="G3045" i="166"/>
  <c r="E3045" i="166" s="1"/>
  <c r="A3045" i="166"/>
  <c r="B3044" i="166"/>
  <c r="B3045" i="166" s="1"/>
  <c r="H3042" i="166"/>
  <c r="G3042" i="166"/>
  <c r="E3042" i="166" s="1"/>
  <c r="A3042" i="166"/>
  <c r="B3041" i="166"/>
  <c r="B3042" i="166" s="1"/>
  <c r="H3039" i="166"/>
  <c r="G3039" i="166"/>
  <c r="E3039" i="166" s="1"/>
  <c r="A3039" i="166"/>
  <c r="B3038" i="166"/>
  <c r="B3039" i="166" s="1"/>
  <c r="H3036" i="166"/>
  <c r="G3036" i="166"/>
  <c r="E3036" i="166" s="1"/>
  <c r="A3036" i="166"/>
  <c r="B3035" i="166"/>
  <c r="B3036" i="166" s="1"/>
  <c r="H3033" i="166"/>
  <c r="G3033" i="166"/>
  <c r="E3033" i="166" s="1"/>
  <c r="A3033" i="166"/>
  <c r="B3032" i="166"/>
  <c r="B3033" i="166" s="1"/>
  <c r="H3030" i="166"/>
  <c r="G3030" i="166"/>
  <c r="E3030" i="166" s="1"/>
  <c r="A3030" i="166"/>
  <c r="B3029" i="166"/>
  <c r="B3030" i="166" s="1"/>
  <c r="H3027" i="166"/>
  <c r="G3027" i="166"/>
  <c r="E3027" i="166" s="1"/>
  <c r="A3027" i="166"/>
  <c r="B3026" i="166"/>
  <c r="B3027" i="166" s="1"/>
  <c r="H3024" i="166"/>
  <c r="G3024" i="166"/>
  <c r="E3024" i="166" s="1"/>
  <c r="A3024" i="166"/>
  <c r="B3023" i="166"/>
  <c r="B3024" i="166" s="1"/>
  <c r="H3021" i="166"/>
  <c r="G3021" i="166"/>
  <c r="E3021" i="166" s="1"/>
  <c r="A3021" i="166"/>
  <c r="B3020" i="166"/>
  <c r="B3021" i="166" s="1"/>
  <c r="H3018" i="166"/>
  <c r="G3018" i="166"/>
  <c r="E3018" i="166" s="1"/>
  <c r="A3018" i="166"/>
  <c r="B3017" i="166"/>
  <c r="B3018" i="166" s="1"/>
  <c r="H3015" i="166"/>
  <c r="G3015" i="166"/>
  <c r="E3015" i="166" s="1"/>
  <c r="A3015" i="166"/>
  <c r="B3014" i="166"/>
  <c r="B3015" i="166" s="1"/>
  <c r="H3012" i="166"/>
  <c r="G3012" i="166"/>
  <c r="E3012" i="166" s="1"/>
  <c r="A3012" i="166"/>
  <c r="B3011" i="166"/>
  <c r="B3012" i="166" s="1"/>
  <c r="H3009" i="166"/>
  <c r="G3009" i="166"/>
  <c r="E3009" i="166" s="1"/>
  <c r="A3009" i="166"/>
  <c r="B3008" i="166"/>
  <c r="B3009" i="166" s="1"/>
  <c r="H3006" i="166"/>
  <c r="G3006" i="166"/>
  <c r="E3006" i="166" s="1"/>
  <c r="A3006" i="166"/>
  <c r="B3005" i="166"/>
  <c r="B3006" i="166" s="1"/>
  <c r="H3003" i="166"/>
  <c r="G3003" i="166"/>
  <c r="E3003" i="166" s="1"/>
  <c r="A3003" i="166"/>
  <c r="B3002" i="166"/>
  <c r="B3003" i="166" s="1"/>
  <c r="H3000" i="166"/>
  <c r="G3000" i="166"/>
  <c r="E3000" i="166" s="1"/>
  <c r="A3000" i="166"/>
  <c r="B2999" i="166"/>
  <c r="B3000" i="166" s="1"/>
  <c r="H2997" i="166"/>
  <c r="G2997" i="166"/>
  <c r="E2997" i="166" s="1"/>
  <c r="A2997" i="166"/>
  <c r="B2996" i="166"/>
  <c r="B2997" i="166" s="1"/>
  <c r="H2994" i="166"/>
  <c r="G2994" i="166"/>
  <c r="E2994" i="166" s="1"/>
  <c r="A2994" i="166"/>
  <c r="B2993" i="166"/>
  <c r="B2994" i="166" s="1"/>
  <c r="H2991" i="166"/>
  <c r="G2991" i="166"/>
  <c r="E2991" i="166" s="1"/>
  <c r="A2991" i="166"/>
  <c r="B2990" i="166"/>
  <c r="B2991" i="166" s="1"/>
  <c r="H2988" i="166"/>
  <c r="G2988" i="166"/>
  <c r="E2988" i="166" s="1"/>
  <c r="A2988" i="166"/>
  <c r="B2987" i="166"/>
  <c r="B2988" i="166" s="1"/>
  <c r="H2985" i="166"/>
  <c r="G2985" i="166"/>
  <c r="E2985" i="166" s="1"/>
  <c r="A2985" i="166"/>
  <c r="B2984" i="166"/>
  <c r="B2985" i="166" s="1"/>
  <c r="H2982" i="166"/>
  <c r="G2982" i="166"/>
  <c r="E2982" i="166" s="1"/>
  <c r="A2982" i="166"/>
  <c r="B2981" i="166"/>
  <c r="B2982" i="166" s="1"/>
  <c r="H2979" i="166"/>
  <c r="G2979" i="166"/>
  <c r="E2979" i="166" s="1"/>
  <c r="A2979" i="166"/>
  <c r="B2978" i="166"/>
  <c r="B2979" i="166" s="1"/>
  <c r="H2976" i="166"/>
  <c r="G2976" i="166"/>
  <c r="E2976" i="166" s="1"/>
  <c r="A2976" i="166"/>
  <c r="B2975" i="166"/>
  <c r="B2976" i="166" s="1"/>
  <c r="H2973" i="166"/>
  <c r="G2973" i="166"/>
  <c r="E2973" i="166" s="1"/>
  <c r="A2973" i="166"/>
  <c r="B2972" i="166"/>
  <c r="B2973" i="166" s="1"/>
  <c r="H2970" i="166"/>
  <c r="G2970" i="166"/>
  <c r="E2970" i="166" s="1"/>
  <c r="A2970" i="166"/>
  <c r="B2969" i="166"/>
  <c r="B2970" i="166" s="1"/>
  <c r="H2967" i="166"/>
  <c r="G2967" i="166"/>
  <c r="E2967" i="166" s="1"/>
  <c r="A2967" i="166"/>
  <c r="B2966" i="166"/>
  <c r="B2967" i="166" s="1"/>
  <c r="H2964" i="166"/>
  <c r="G2964" i="166"/>
  <c r="E2964" i="166" s="1"/>
  <c r="A2964" i="166"/>
  <c r="B2963" i="166"/>
  <c r="B2964" i="166" s="1"/>
  <c r="H2961" i="166"/>
  <c r="G2961" i="166"/>
  <c r="E2961" i="166" s="1"/>
  <c r="A2961" i="166"/>
  <c r="B2960" i="166"/>
  <c r="B2961" i="166" s="1"/>
  <c r="H2958" i="166"/>
  <c r="G2958" i="166"/>
  <c r="E2958" i="166" s="1"/>
  <c r="A2958" i="166"/>
  <c r="B2957" i="166"/>
  <c r="B2958" i="166" s="1"/>
  <c r="H2955" i="166"/>
  <c r="G2955" i="166"/>
  <c r="E2955" i="166" s="1"/>
  <c r="A2955" i="166"/>
  <c r="B2954" i="166"/>
  <c r="B2955" i="166" s="1"/>
  <c r="H2952" i="166"/>
  <c r="G2952" i="166"/>
  <c r="E2952" i="166" s="1"/>
  <c r="A2952" i="166"/>
  <c r="B2951" i="166"/>
  <c r="B2952" i="166" s="1"/>
  <c r="H2949" i="166"/>
  <c r="G2949" i="166"/>
  <c r="E2949" i="166" s="1"/>
  <c r="A2949" i="166"/>
  <c r="B2948" i="166"/>
  <c r="B2949" i="166" s="1"/>
  <c r="H2946" i="166"/>
  <c r="G2946" i="166"/>
  <c r="E2946" i="166" s="1"/>
  <c r="A2946" i="166"/>
  <c r="B2945" i="166"/>
  <c r="B2946" i="166" s="1"/>
  <c r="H2943" i="166"/>
  <c r="G2943" i="166"/>
  <c r="E2943" i="166" s="1"/>
  <c r="A2943" i="166"/>
  <c r="B2942" i="166"/>
  <c r="B2943" i="166" s="1"/>
  <c r="H2940" i="166"/>
  <c r="G2940" i="166"/>
  <c r="E2940" i="166" s="1"/>
  <c r="A2940" i="166"/>
  <c r="B2939" i="166"/>
  <c r="B2940" i="166" s="1"/>
  <c r="H2937" i="166"/>
  <c r="A2937" i="166"/>
  <c r="B2935" i="166"/>
  <c r="B2937" i="166" s="1"/>
  <c r="H2933" i="166"/>
  <c r="G2933" i="166"/>
  <c r="E2933" i="166" s="1"/>
  <c r="A2933" i="166"/>
  <c r="B2932" i="166"/>
  <c r="B2933" i="166" s="1"/>
  <c r="H2930" i="166"/>
  <c r="G2930" i="166"/>
  <c r="E2930" i="166" s="1"/>
  <c r="A2930" i="166"/>
  <c r="B2929" i="166"/>
  <c r="B2930" i="166" s="1"/>
  <c r="H2927" i="166"/>
  <c r="G2927" i="166"/>
  <c r="E2927" i="166" s="1"/>
  <c r="A2927" i="166"/>
  <c r="B2926" i="166"/>
  <c r="B2927" i="166" s="1"/>
  <c r="H2924" i="166"/>
  <c r="G2924" i="166"/>
  <c r="E2924" i="166" s="1"/>
  <c r="A2924" i="166"/>
  <c r="B2923" i="166"/>
  <c r="B2924" i="166" s="1"/>
  <c r="H2921" i="166"/>
  <c r="G2921" i="166"/>
  <c r="E2921" i="166" s="1"/>
  <c r="A2921" i="166"/>
  <c r="B2920" i="166"/>
  <c r="B2921" i="166" s="1"/>
  <c r="H2918" i="166"/>
  <c r="G2918" i="166"/>
  <c r="E2918" i="166" s="1"/>
  <c r="A2918" i="166"/>
  <c r="B2917" i="166"/>
  <c r="B2918" i="166" s="1"/>
  <c r="H2915" i="166"/>
  <c r="G2915" i="166"/>
  <c r="E2915" i="166" s="1"/>
  <c r="A2915" i="166"/>
  <c r="B2914" i="166"/>
  <c r="B2915" i="166" s="1"/>
  <c r="H2912" i="166"/>
  <c r="G2912" i="166"/>
  <c r="E2912" i="166" s="1"/>
  <c r="A2912" i="166"/>
  <c r="B2911" i="166"/>
  <c r="B2912" i="166" s="1"/>
  <c r="H2909" i="166"/>
  <c r="G2909" i="166"/>
  <c r="E2909" i="166" s="1"/>
  <c r="A2909" i="166"/>
  <c r="B2908" i="166"/>
  <c r="B2909" i="166" s="1"/>
  <c r="H2906" i="166"/>
  <c r="G2906" i="166"/>
  <c r="E2906" i="166" s="1"/>
  <c r="A2906" i="166"/>
  <c r="B2905" i="166"/>
  <c r="B2906" i="166" s="1"/>
  <c r="H2903" i="166"/>
  <c r="G2903" i="166"/>
  <c r="E2903" i="166" s="1"/>
  <c r="A2903" i="166"/>
  <c r="B2902" i="166"/>
  <c r="B2903" i="166" s="1"/>
  <c r="H2900" i="166"/>
  <c r="G2900" i="166"/>
  <c r="E2900" i="166" s="1"/>
  <c r="A2900" i="166"/>
  <c r="B2899" i="166"/>
  <c r="B2900" i="166" s="1"/>
  <c r="H2897" i="166"/>
  <c r="G2897" i="166"/>
  <c r="E2897" i="166" s="1"/>
  <c r="A2897" i="166"/>
  <c r="B2896" i="166"/>
  <c r="B2897" i="166" s="1"/>
  <c r="H2894" i="166"/>
  <c r="G2894" i="166"/>
  <c r="E2894" i="166" s="1"/>
  <c r="A2894" i="166"/>
  <c r="B2893" i="166"/>
  <c r="B2894" i="166" s="1"/>
  <c r="H2891" i="166"/>
  <c r="G2891" i="166"/>
  <c r="E2891" i="166" s="1"/>
  <c r="A2891" i="166"/>
  <c r="B2890" i="166"/>
  <c r="B2891" i="166" s="1"/>
  <c r="H2888" i="166"/>
  <c r="G2888" i="166"/>
  <c r="E2888" i="166" s="1"/>
  <c r="A2888" i="166"/>
  <c r="B2887" i="166"/>
  <c r="B2888" i="166" s="1"/>
  <c r="H2885" i="166"/>
  <c r="G2885" i="166"/>
  <c r="E2885" i="166" s="1"/>
  <c r="A2885" i="166"/>
  <c r="B2884" i="166"/>
  <c r="B2885" i="166" s="1"/>
  <c r="H2882" i="166"/>
  <c r="G2882" i="166"/>
  <c r="E2882" i="166" s="1"/>
  <c r="A2882" i="166"/>
  <c r="B2881" i="166"/>
  <c r="B2882" i="166" s="1"/>
  <c r="H2879" i="166"/>
  <c r="G2879" i="166"/>
  <c r="E2879" i="166" s="1"/>
  <c r="A2879" i="166"/>
  <c r="B2878" i="166"/>
  <c r="B2879" i="166" s="1"/>
  <c r="H2876" i="166"/>
  <c r="G2876" i="166"/>
  <c r="E2876" i="166" s="1"/>
  <c r="A2876" i="166"/>
  <c r="B2875" i="166"/>
  <c r="B2876" i="166" s="1"/>
  <c r="H2873" i="166"/>
  <c r="G2873" i="166"/>
  <c r="E2873" i="166" s="1"/>
  <c r="A2873" i="166"/>
  <c r="B2872" i="166"/>
  <c r="B2873" i="166" s="1"/>
  <c r="H2870" i="166"/>
  <c r="G2870" i="166"/>
  <c r="E2870" i="166" s="1"/>
  <c r="A2870" i="166"/>
  <c r="B2869" i="166"/>
  <c r="B2870" i="166" s="1"/>
  <c r="H2867" i="166"/>
  <c r="G2867" i="166"/>
  <c r="E2867" i="166" s="1"/>
  <c r="A2867" i="166"/>
  <c r="B2866" i="166"/>
  <c r="B2867" i="166" s="1"/>
  <c r="H2864" i="166"/>
  <c r="G2864" i="166"/>
  <c r="E2864" i="166" s="1"/>
  <c r="A2864" i="166"/>
  <c r="B2863" i="166"/>
  <c r="B2864" i="166" s="1"/>
  <c r="H2861" i="166"/>
  <c r="G2861" i="166"/>
  <c r="E2861" i="166" s="1"/>
  <c r="A2861" i="166"/>
  <c r="B2860" i="166"/>
  <c r="B2861" i="166" s="1"/>
  <c r="H2858" i="166"/>
  <c r="G2858" i="166"/>
  <c r="E2858" i="166" s="1"/>
  <c r="A2858" i="166"/>
  <c r="B2857" i="166"/>
  <c r="B2858" i="166" s="1"/>
  <c r="H2855" i="166"/>
  <c r="G2855" i="166"/>
  <c r="E2855" i="166" s="1"/>
  <c r="A2855" i="166"/>
  <c r="B2854" i="166"/>
  <c r="B2855" i="166" s="1"/>
  <c r="H2852" i="166"/>
  <c r="G2852" i="166"/>
  <c r="E2852" i="166" s="1"/>
  <c r="A2852" i="166"/>
  <c r="B2851" i="166"/>
  <c r="B2852" i="166" s="1"/>
  <c r="H2849" i="166"/>
  <c r="G2849" i="166"/>
  <c r="E2849" i="166" s="1"/>
  <c r="A2849" i="166"/>
  <c r="B2848" i="166"/>
  <c r="B2849" i="166" s="1"/>
  <c r="H2846" i="166"/>
  <c r="G2846" i="166"/>
  <c r="E2846" i="166" s="1"/>
  <c r="A2846" i="166"/>
  <c r="B2845" i="166"/>
  <c r="B2846" i="166" s="1"/>
  <c r="H2843" i="166"/>
  <c r="G2843" i="166"/>
  <c r="E2843" i="166" s="1"/>
  <c r="A2843" i="166"/>
  <c r="B2842" i="166"/>
  <c r="B2843" i="166" s="1"/>
  <c r="H2811" i="166"/>
  <c r="G2811" i="166"/>
  <c r="E2811" i="166" s="1"/>
  <c r="A2811" i="166"/>
  <c r="B2810" i="166"/>
  <c r="B2811" i="166" s="1"/>
  <c r="H2808" i="166"/>
  <c r="G2808" i="166"/>
  <c r="E2808" i="166" s="1"/>
  <c r="A2808" i="166"/>
  <c r="B2807" i="166"/>
  <c r="B2808" i="166" s="1"/>
  <c r="H2805" i="166"/>
  <c r="G2805" i="166"/>
  <c r="E2805" i="166" s="1"/>
  <c r="A2805" i="166"/>
  <c r="B2804" i="166"/>
  <c r="B2805" i="166" s="1"/>
  <c r="H2802" i="166"/>
  <c r="G2802" i="166"/>
  <c r="E2802" i="166" s="1"/>
  <c r="A2802" i="166"/>
  <c r="B2801" i="166"/>
  <c r="B2802" i="166" s="1"/>
  <c r="H2799" i="166"/>
  <c r="G2799" i="166"/>
  <c r="E2799" i="166" s="1"/>
  <c r="A2799" i="166"/>
  <c r="B2798" i="166"/>
  <c r="B2799" i="166" s="1"/>
  <c r="H2796" i="166"/>
  <c r="G2796" i="166"/>
  <c r="E2796" i="166" s="1"/>
  <c r="A2796" i="166"/>
  <c r="B2795" i="166"/>
  <c r="B2796" i="166" s="1"/>
  <c r="H2793" i="166"/>
  <c r="G2793" i="166"/>
  <c r="E2793" i="166" s="1"/>
  <c r="A2793" i="166"/>
  <c r="B2792" i="166"/>
  <c r="B2793" i="166" s="1"/>
  <c r="H2790" i="166"/>
  <c r="G2790" i="166"/>
  <c r="E2790" i="166" s="1"/>
  <c r="A2790" i="166"/>
  <c r="B2789" i="166"/>
  <c r="B2790" i="166" s="1"/>
  <c r="H2787" i="166"/>
  <c r="G2787" i="166"/>
  <c r="E2787" i="166" s="1"/>
  <c r="A2787" i="166"/>
  <c r="B2786" i="166"/>
  <c r="B2787" i="166" s="1"/>
  <c r="H2784" i="166"/>
  <c r="G2784" i="166"/>
  <c r="E2784" i="166" s="1"/>
  <c r="A2784" i="166"/>
  <c r="B2783" i="166"/>
  <c r="B2784" i="166" s="1"/>
  <c r="H2781" i="166"/>
  <c r="G2781" i="166"/>
  <c r="E2781" i="166" s="1"/>
  <c r="A2781" i="166"/>
  <c r="B2780" i="166"/>
  <c r="B2781" i="166" s="1"/>
  <c r="H2778" i="166"/>
  <c r="G2778" i="166"/>
  <c r="E2778" i="166" s="1"/>
  <c r="A2778" i="166"/>
  <c r="B2777" i="166"/>
  <c r="B2778" i="166" s="1"/>
  <c r="H2775" i="166"/>
  <c r="G2775" i="166"/>
  <c r="E2775" i="166" s="1"/>
  <c r="A2775" i="166"/>
  <c r="B2774" i="166"/>
  <c r="B2775" i="166" s="1"/>
  <c r="H2772" i="166"/>
  <c r="G2772" i="166"/>
  <c r="E2772" i="166" s="1"/>
  <c r="A2772" i="166"/>
  <c r="B2771" i="166"/>
  <c r="B2772" i="166" s="1"/>
  <c r="H2769" i="166"/>
  <c r="G2769" i="166"/>
  <c r="E2769" i="166" s="1"/>
  <c r="A2769" i="166"/>
  <c r="B2768" i="166"/>
  <c r="B2769" i="166" s="1"/>
  <c r="H2766" i="166"/>
  <c r="G2766" i="166"/>
  <c r="E2766" i="166" s="1"/>
  <c r="A2766" i="166"/>
  <c r="B2765" i="166"/>
  <c r="B2766" i="166" s="1"/>
  <c r="H2763" i="166"/>
  <c r="G2763" i="166"/>
  <c r="E2763" i="166" s="1"/>
  <c r="A2763" i="166"/>
  <c r="B2762" i="166"/>
  <c r="B2763" i="166" s="1"/>
  <c r="H2760" i="166"/>
  <c r="G2760" i="166"/>
  <c r="E2760" i="166" s="1"/>
  <c r="A2760" i="166"/>
  <c r="B2759" i="166"/>
  <c r="B2760" i="166" s="1"/>
  <c r="H2757" i="166"/>
  <c r="G2757" i="166"/>
  <c r="E2757" i="166" s="1"/>
  <c r="A2757" i="166"/>
  <c r="B2756" i="166"/>
  <c r="B2757" i="166" s="1"/>
  <c r="H2754" i="166"/>
  <c r="G2754" i="166"/>
  <c r="E2754" i="166" s="1"/>
  <c r="A2754" i="166"/>
  <c r="B2753" i="166"/>
  <c r="B2754" i="166" s="1"/>
  <c r="H2751" i="166"/>
  <c r="G2751" i="166"/>
  <c r="E2751" i="166" s="1"/>
  <c r="A2751" i="166"/>
  <c r="B2750" i="166"/>
  <c r="B2751" i="166" s="1"/>
  <c r="H2748" i="166"/>
  <c r="G2748" i="166"/>
  <c r="E2748" i="166" s="1"/>
  <c r="A2748" i="166"/>
  <c r="B2747" i="166"/>
  <c r="B2748" i="166" s="1"/>
  <c r="A2741" i="166"/>
  <c r="A2742" i="166" s="1"/>
  <c r="A2743" i="166" s="1"/>
  <c r="A2744" i="166" s="1"/>
  <c r="A2745" i="166" s="1"/>
  <c r="F2740" i="166"/>
  <c r="E2740" i="166" s="1"/>
  <c r="B2740" i="166"/>
  <c r="B2741" i="166" s="1"/>
  <c r="B2742" i="166" s="1"/>
  <c r="B2743" i="166" s="1"/>
  <c r="B2744" i="166" s="1"/>
  <c r="B2745" i="166" s="1"/>
  <c r="A2733" i="166"/>
  <c r="A2734" i="166" s="1"/>
  <c r="A2735" i="166" s="1"/>
  <c r="A2736" i="166" s="1"/>
  <c r="A2737" i="166" s="1"/>
  <c r="A2738" i="166" s="1"/>
  <c r="B2732" i="166"/>
  <c r="B2733" i="166" s="1"/>
  <c r="B2734" i="166" s="1"/>
  <c r="B2735" i="166" s="1"/>
  <c r="B2736" i="166" s="1"/>
  <c r="B2737" i="166" s="1"/>
  <c r="B2738" i="166" s="1"/>
  <c r="H2730" i="166"/>
  <c r="A2730" i="166"/>
  <c r="B2728" i="166"/>
  <c r="B2730" i="166" s="1"/>
  <c r="H2726" i="166"/>
  <c r="A2726" i="166"/>
  <c r="B2724" i="166"/>
  <c r="B2726" i="166" s="1"/>
  <c r="H2722" i="166"/>
  <c r="A2722" i="166"/>
  <c r="B2720" i="166"/>
  <c r="B2722" i="166" s="1"/>
  <c r="H2718" i="166"/>
  <c r="G2718" i="166"/>
  <c r="E2718" i="166" s="1"/>
  <c r="A2718" i="166"/>
  <c r="B2717" i="166"/>
  <c r="B2718" i="166" s="1"/>
  <c r="H2715" i="166"/>
  <c r="G2715" i="166"/>
  <c r="E2715" i="166" s="1"/>
  <c r="A2715" i="166"/>
  <c r="B2714" i="166"/>
  <c r="B2715" i="166" s="1"/>
  <c r="H2712" i="166"/>
  <c r="G2712" i="166"/>
  <c r="E2712" i="166" s="1"/>
  <c r="A2712" i="166"/>
  <c r="B2711" i="166"/>
  <c r="B2712" i="166" s="1"/>
  <c r="H2709" i="166"/>
  <c r="G2709" i="166"/>
  <c r="E2709" i="166" s="1"/>
  <c r="A2709" i="166"/>
  <c r="B2708" i="166"/>
  <c r="B2709" i="166" s="1"/>
  <c r="H2706" i="166"/>
  <c r="G2706" i="166"/>
  <c r="E2706" i="166" s="1"/>
  <c r="A2706" i="166"/>
  <c r="B2705" i="166"/>
  <c r="B2706" i="166" s="1"/>
  <c r="H2703" i="166"/>
  <c r="G2703" i="166"/>
  <c r="E2703" i="166" s="1"/>
  <c r="A2703" i="166"/>
  <c r="B2702" i="166"/>
  <c r="B2703" i="166" s="1"/>
  <c r="H2700" i="166"/>
  <c r="G2700" i="166"/>
  <c r="E2700" i="166" s="1"/>
  <c r="A2700" i="166"/>
  <c r="B2699" i="166"/>
  <c r="B2700" i="166" s="1"/>
  <c r="H2697" i="166"/>
  <c r="G2697" i="166"/>
  <c r="E2697" i="166" s="1"/>
  <c r="A2697" i="166"/>
  <c r="B2696" i="166"/>
  <c r="B2697" i="166" s="1"/>
  <c r="H2694" i="166"/>
  <c r="G2694" i="166"/>
  <c r="E2694" i="166" s="1"/>
  <c r="A2694" i="166"/>
  <c r="B2693" i="166"/>
  <c r="B2694" i="166" s="1"/>
  <c r="H2691" i="166"/>
  <c r="G2691" i="166"/>
  <c r="E2691" i="166" s="1"/>
  <c r="A2691" i="166"/>
  <c r="B2690" i="166"/>
  <c r="B2691" i="166" s="1"/>
  <c r="H2688" i="166"/>
  <c r="G2688" i="166"/>
  <c r="E2688" i="166" s="1"/>
  <c r="A2688" i="166"/>
  <c r="B2687" i="166"/>
  <c r="B2688" i="166" s="1"/>
  <c r="H2685" i="166"/>
  <c r="G2685" i="166"/>
  <c r="E2685" i="166" s="1"/>
  <c r="A2685" i="166"/>
  <c r="B2684" i="166"/>
  <c r="B2685" i="166" s="1"/>
  <c r="H2682" i="166"/>
  <c r="G2682" i="166"/>
  <c r="E2682" i="166" s="1"/>
  <c r="A2682" i="166"/>
  <c r="B2681" i="166"/>
  <c r="B2682" i="166" s="1"/>
  <c r="H2679" i="166"/>
  <c r="G2679" i="166"/>
  <c r="E2679" i="166" s="1"/>
  <c r="A2679" i="166"/>
  <c r="B2678" i="166"/>
  <c r="B2679" i="166" s="1"/>
  <c r="H2676" i="166"/>
  <c r="G2676" i="166"/>
  <c r="E2676" i="166" s="1"/>
  <c r="A2676" i="166"/>
  <c r="B2675" i="166"/>
  <c r="B2676" i="166" s="1"/>
  <c r="H2673" i="166"/>
  <c r="G2673" i="166"/>
  <c r="E2673" i="166" s="1"/>
  <c r="A2673" i="166"/>
  <c r="B2672" i="166"/>
  <c r="B2673" i="166" s="1"/>
  <c r="H2670" i="166"/>
  <c r="G2670" i="166"/>
  <c r="E2670" i="166" s="1"/>
  <c r="A2670" i="166"/>
  <c r="B2669" i="166"/>
  <c r="B2670" i="166" s="1"/>
  <c r="H2667" i="166"/>
  <c r="G2667" i="166"/>
  <c r="E2667" i="166" s="1"/>
  <c r="A2667" i="166"/>
  <c r="B2666" i="166"/>
  <c r="B2667" i="166" s="1"/>
  <c r="H2664" i="166"/>
  <c r="G2664" i="166"/>
  <c r="E2664" i="166" s="1"/>
  <c r="A2664" i="166"/>
  <c r="B2663" i="166"/>
  <c r="B2664" i="166" s="1"/>
  <c r="H2661" i="166"/>
  <c r="G2661" i="166"/>
  <c r="E2661" i="166" s="1"/>
  <c r="A2661" i="166"/>
  <c r="B2660" i="166"/>
  <c r="B2661" i="166" s="1"/>
  <c r="H2658" i="166"/>
  <c r="G2658" i="166"/>
  <c r="E2658" i="166" s="1"/>
  <c r="A2658" i="166"/>
  <c r="B2657" i="166"/>
  <c r="B2658" i="166" s="1"/>
  <c r="H2655" i="166"/>
  <c r="G2655" i="166"/>
  <c r="E2655" i="166" s="1"/>
  <c r="A2655" i="166"/>
  <c r="B2654" i="166"/>
  <c r="B2655" i="166" s="1"/>
  <c r="H2652" i="166"/>
  <c r="G2652" i="166"/>
  <c r="E2652" i="166" s="1"/>
  <c r="A2652" i="166"/>
  <c r="B2651" i="166"/>
  <c r="B2652" i="166" s="1"/>
  <c r="H2649" i="166"/>
  <c r="G2649" i="166"/>
  <c r="E2649" i="166" s="1"/>
  <c r="A2649" i="166"/>
  <c r="B2648" i="166"/>
  <c r="B2649" i="166" s="1"/>
  <c r="H2646" i="166"/>
  <c r="G2646" i="166"/>
  <c r="E2646" i="166" s="1"/>
  <c r="A2646" i="166"/>
  <c r="B2645" i="166"/>
  <c r="B2646" i="166" s="1"/>
  <c r="H2643" i="166"/>
  <c r="G2643" i="166"/>
  <c r="E2643" i="166" s="1"/>
  <c r="A2643" i="166"/>
  <c r="B2642" i="166"/>
  <c r="B2643" i="166" s="1"/>
  <c r="H2640" i="166"/>
  <c r="G2640" i="166"/>
  <c r="E2640" i="166" s="1"/>
  <c r="A2640" i="166"/>
  <c r="B2639" i="166"/>
  <c r="B2640" i="166" s="1"/>
  <c r="H2637" i="166"/>
  <c r="G2637" i="166"/>
  <c r="E2637" i="166" s="1"/>
  <c r="A2637" i="166"/>
  <c r="B2636" i="166"/>
  <c r="B2637" i="166" s="1"/>
  <c r="H2634" i="166"/>
  <c r="G2634" i="166"/>
  <c r="E2634" i="166" s="1"/>
  <c r="A2634" i="166"/>
  <c r="B2633" i="166"/>
  <c r="B2634" i="166" s="1"/>
  <c r="H2631" i="166"/>
  <c r="G2631" i="166"/>
  <c r="E2631" i="166" s="1"/>
  <c r="A2631" i="166"/>
  <c r="B2630" i="166"/>
  <c r="B2631" i="166" s="1"/>
  <c r="H2628" i="166"/>
  <c r="G2628" i="166"/>
  <c r="E2628" i="166" s="1"/>
  <c r="A2628" i="166"/>
  <c r="B2627" i="166"/>
  <c r="B2628" i="166" s="1"/>
  <c r="H2625" i="166"/>
  <c r="G2625" i="166"/>
  <c r="E2625" i="166" s="1"/>
  <c r="A2625" i="166"/>
  <c r="B2624" i="166"/>
  <c r="B2625" i="166" s="1"/>
  <c r="H2622" i="166"/>
  <c r="G2622" i="166"/>
  <c r="E2622" i="166" s="1"/>
  <c r="A2622" i="166"/>
  <c r="B2621" i="166"/>
  <c r="B2622" i="166" s="1"/>
  <c r="H2619" i="166"/>
  <c r="G2619" i="166"/>
  <c r="E2619" i="166" s="1"/>
  <c r="A2619" i="166"/>
  <c r="B2618" i="166"/>
  <c r="B2619" i="166" s="1"/>
  <c r="H2616" i="166"/>
  <c r="G2616" i="166"/>
  <c r="E2616" i="166" s="1"/>
  <c r="A2616" i="166"/>
  <c r="B2615" i="166"/>
  <c r="B2616" i="166" s="1"/>
  <c r="H2613" i="166"/>
  <c r="G2613" i="166"/>
  <c r="E2613" i="166" s="1"/>
  <c r="A2613" i="166"/>
  <c r="B2612" i="166"/>
  <c r="B2613" i="166" s="1"/>
  <c r="H2610" i="166"/>
  <c r="G2610" i="166"/>
  <c r="E2610" i="166" s="1"/>
  <c r="A2610" i="166"/>
  <c r="B2609" i="166"/>
  <c r="B2610" i="166" s="1"/>
  <c r="H2607" i="166"/>
  <c r="G2607" i="166"/>
  <c r="E2607" i="166" s="1"/>
  <c r="A2607" i="166"/>
  <c r="B2606" i="166"/>
  <c r="B2607" i="166" s="1"/>
  <c r="H2604" i="166"/>
  <c r="G2604" i="166"/>
  <c r="E2604" i="166" s="1"/>
  <c r="A2604" i="166"/>
  <c r="B2603" i="166"/>
  <c r="B2604" i="166" s="1"/>
  <c r="H2601" i="166"/>
  <c r="G2601" i="166"/>
  <c r="E2601" i="166" s="1"/>
  <c r="A2601" i="166"/>
  <c r="B2600" i="166"/>
  <c r="B2601" i="166" s="1"/>
  <c r="H2598" i="166"/>
  <c r="G2598" i="166"/>
  <c r="E2598" i="166" s="1"/>
  <c r="A2598" i="166"/>
  <c r="B2597" i="166"/>
  <c r="B2598" i="166" s="1"/>
  <c r="H2595" i="166"/>
  <c r="G2595" i="166"/>
  <c r="E2595" i="166" s="1"/>
  <c r="A2595" i="166"/>
  <c r="B2594" i="166"/>
  <c r="B2595" i="166" s="1"/>
  <c r="H2592" i="166"/>
  <c r="G2592" i="166"/>
  <c r="E2592" i="166" s="1"/>
  <c r="A2592" i="166"/>
  <c r="B2591" i="166"/>
  <c r="B2592" i="166" s="1"/>
  <c r="H2589" i="166"/>
  <c r="G2589" i="166"/>
  <c r="E2589" i="166" s="1"/>
  <c r="A2589" i="166"/>
  <c r="B2588" i="166"/>
  <c r="B2589" i="166" s="1"/>
  <c r="H2586" i="166"/>
  <c r="G2586" i="166"/>
  <c r="E2586" i="166" s="1"/>
  <c r="A2586" i="166"/>
  <c r="B2585" i="166"/>
  <c r="B2586" i="166" s="1"/>
  <c r="H2583" i="166"/>
  <c r="G2583" i="166"/>
  <c r="E2583" i="166" s="1"/>
  <c r="A2583" i="166"/>
  <c r="B2582" i="166"/>
  <c r="B2583" i="166" s="1"/>
  <c r="H2580" i="166"/>
  <c r="G2580" i="166"/>
  <c r="E2580" i="166" s="1"/>
  <c r="A2580" i="166"/>
  <c r="B2579" i="166"/>
  <c r="B2580" i="166" s="1"/>
  <c r="H2577" i="166"/>
  <c r="G2577" i="166"/>
  <c r="E2577" i="166" s="1"/>
  <c r="A2577" i="166"/>
  <c r="B2576" i="166"/>
  <c r="B2577" i="166" s="1"/>
  <c r="H2574" i="166"/>
  <c r="G2574" i="166"/>
  <c r="E2574" i="166" s="1"/>
  <c r="A2574" i="166"/>
  <c r="B2573" i="166"/>
  <c r="B2574" i="166" s="1"/>
  <c r="H2571" i="166"/>
  <c r="G2571" i="166"/>
  <c r="E2571" i="166" s="1"/>
  <c r="A2571" i="166"/>
  <c r="B2570" i="166"/>
  <c r="B2571" i="166" s="1"/>
  <c r="H2568" i="166"/>
  <c r="G2568" i="166"/>
  <c r="E2568" i="166" s="1"/>
  <c r="A2568" i="166"/>
  <c r="B2567" i="166"/>
  <c r="B2568" i="166" s="1"/>
  <c r="H2565" i="166"/>
  <c r="G2565" i="166"/>
  <c r="E2565" i="166" s="1"/>
  <c r="A2565" i="166"/>
  <c r="B2564" i="166"/>
  <c r="B2565" i="166" s="1"/>
  <c r="H2562" i="166"/>
  <c r="G2562" i="166"/>
  <c r="E2562" i="166" s="1"/>
  <c r="A2562" i="166"/>
  <c r="B2561" i="166"/>
  <c r="B2562" i="166" s="1"/>
  <c r="H2559" i="166"/>
  <c r="G2559" i="166"/>
  <c r="E2559" i="166" s="1"/>
  <c r="A2559" i="166"/>
  <c r="B2558" i="166"/>
  <c r="B2559" i="166" s="1"/>
  <c r="H2556" i="166"/>
  <c r="G2556" i="166"/>
  <c r="E2556" i="166" s="1"/>
  <c r="A2556" i="166"/>
  <c r="B2555" i="166"/>
  <c r="B2556" i="166" s="1"/>
  <c r="H2553" i="166"/>
  <c r="G2553" i="166"/>
  <c r="E2553" i="166" s="1"/>
  <c r="A2553" i="166"/>
  <c r="B2552" i="166"/>
  <c r="B2553" i="166" s="1"/>
  <c r="H2550" i="166"/>
  <c r="G2550" i="166"/>
  <c r="E2550" i="166" s="1"/>
  <c r="A2550" i="166"/>
  <c r="B2549" i="166"/>
  <c r="B2550" i="166" s="1"/>
  <c r="H2547" i="166"/>
  <c r="G2547" i="166"/>
  <c r="E2547" i="166" s="1"/>
  <c r="A2547" i="166"/>
  <c r="B2546" i="166"/>
  <c r="B2547" i="166" s="1"/>
  <c r="H2544" i="166"/>
  <c r="G2544" i="166"/>
  <c r="E2544" i="166" s="1"/>
  <c r="A2544" i="166"/>
  <c r="B2543" i="166"/>
  <c r="B2544" i="166" s="1"/>
  <c r="H2541" i="166"/>
  <c r="G2541" i="166"/>
  <c r="E2541" i="166" s="1"/>
  <c r="A2541" i="166"/>
  <c r="B2540" i="166"/>
  <c r="B2541" i="166" s="1"/>
  <c r="H2538" i="166"/>
  <c r="G2538" i="166"/>
  <c r="E2538" i="166" s="1"/>
  <c r="A2538" i="166"/>
  <c r="B2537" i="166"/>
  <c r="B2538" i="166" s="1"/>
  <c r="H2535" i="166"/>
  <c r="G2535" i="166"/>
  <c r="E2535" i="166" s="1"/>
  <c r="A2535" i="166"/>
  <c r="B2534" i="166"/>
  <c r="B2535" i="166" s="1"/>
  <c r="H2532" i="166"/>
  <c r="G2532" i="166"/>
  <c r="E2532" i="166" s="1"/>
  <c r="A2532" i="166"/>
  <c r="B2531" i="166"/>
  <c r="B2532" i="166" s="1"/>
  <c r="H2529" i="166"/>
  <c r="G2529" i="166"/>
  <c r="E2529" i="166" s="1"/>
  <c r="A2529" i="166"/>
  <c r="B2528" i="166"/>
  <c r="B2529" i="166" s="1"/>
  <c r="H2526" i="166"/>
  <c r="G2526" i="166"/>
  <c r="E2526" i="166" s="1"/>
  <c r="A2526" i="166"/>
  <c r="B2525" i="166"/>
  <c r="B2526" i="166" s="1"/>
  <c r="H2523" i="166"/>
  <c r="G2523" i="166"/>
  <c r="E2523" i="166" s="1"/>
  <c r="A2523" i="166"/>
  <c r="B2522" i="166"/>
  <c r="B2523" i="166" s="1"/>
  <c r="H2520" i="166"/>
  <c r="G2520" i="166"/>
  <c r="E2520" i="166" s="1"/>
  <c r="A2520" i="166"/>
  <c r="B2519" i="166"/>
  <c r="B2520" i="166" s="1"/>
  <c r="H2517" i="166"/>
  <c r="G2517" i="166"/>
  <c r="E2517" i="166" s="1"/>
  <c r="A2517" i="166"/>
  <c r="B2516" i="166"/>
  <c r="B2517" i="166" s="1"/>
  <c r="H2514" i="166"/>
  <c r="G2514" i="166"/>
  <c r="E2514" i="166" s="1"/>
  <c r="A2514" i="166"/>
  <c r="B2513" i="166"/>
  <c r="B2514" i="166" s="1"/>
  <c r="H2511" i="166"/>
  <c r="G2511" i="166"/>
  <c r="E2511" i="166" s="1"/>
  <c r="A2511" i="166"/>
  <c r="B2510" i="166"/>
  <c r="B2511" i="166" s="1"/>
  <c r="H2508" i="166"/>
  <c r="G2508" i="166"/>
  <c r="E2508" i="166" s="1"/>
  <c r="A2508" i="166"/>
  <c r="B2507" i="166"/>
  <c r="B2508" i="166" s="1"/>
  <c r="H2505" i="166"/>
  <c r="G2505" i="166"/>
  <c r="E2505" i="166" s="1"/>
  <c r="A2505" i="166"/>
  <c r="B2504" i="166"/>
  <c r="B2505" i="166" s="1"/>
  <c r="H2502" i="166"/>
  <c r="G2502" i="166"/>
  <c r="E2502" i="166" s="1"/>
  <c r="A2502" i="166"/>
  <c r="B2501" i="166"/>
  <c r="B2502" i="166" s="1"/>
  <c r="H2499" i="166"/>
  <c r="G2499" i="166"/>
  <c r="E2499" i="166" s="1"/>
  <c r="A2499" i="166"/>
  <c r="B2498" i="166"/>
  <c r="B2499" i="166" s="1"/>
  <c r="H2496" i="166"/>
  <c r="G2496" i="166"/>
  <c r="E2496" i="166" s="1"/>
  <c r="A2496" i="166"/>
  <c r="B2495" i="166"/>
  <c r="B2496" i="166" s="1"/>
  <c r="H2493" i="166"/>
  <c r="G2493" i="166"/>
  <c r="E2493" i="166" s="1"/>
  <c r="A2493" i="166"/>
  <c r="B2492" i="166"/>
  <c r="B2493" i="166" s="1"/>
  <c r="H2490" i="166"/>
  <c r="G2490" i="166"/>
  <c r="E2490" i="166" s="1"/>
  <c r="A2490" i="166"/>
  <c r="B2489" i="166"/>
  <c r="B2490" i="166" s="1"/>
  <c r="H2487" i="166"/>
  <c r="A2487" i="166"/>
  <c r="B2485" i="166"/>
  <c r="B2487" i="166" s="1"/>
  <c r="H2483" i="166"/>
  <c r="G2483" i="166"/>
  <c r="E2483" i="166" s="1"/>
  <c r="A2483" i="166"/>
  <c r="B2482" i="166"/>
  <c r="B2483" i="166" s="1"/>
  <c r="H2480" i="166"/>
  <c r="G2480" i="166"/>
  <c r="E2480" i="166" s="1"/>
  <c r="A2480" i="166"/>
  <c r="B2479" i="166"/>
  <c r="B2480" i="166" s="1"/>
  <c r="H2477" i="166"/>
  <c r="G2477" i="166"/>
  <c r="E2477" i="166" s="1"/>
  <c r="A2477" i="166"/>
  <c r="B2476" i="166"/>
  <c r="B2477" i="166" s="1"/>
  <c r="H2474" i="166"/>
  <c r="G2474" i="166"/>
  <c r="E2474" i="166" s="1"/>
  <c r="A2474" i="166"/>
  <c r="B2473" i="166"/>
  <c r="B2474" i="166" s="1"/>
  <c r="H2471" i="166"/>
  <c r="G2471" i="166"/>
  <c r="E2471" i="166" s="1"/>
  <c r="A2471" i="166"/>
  <c r="B2470" i="166"/>
  <c r="B2471" i="166" s="1"/>
  <c r="H2468" i="166"/>
  <c r="G2468" i="166"/>
  <c r="E2468" i="166" s="1"/>
  <c r="A2468" i="166"/>
  <c r="B2467" i="166"/>
  <c r="B2468" i="166" s="1"/>
  <c r="H2465" i="166"/>
  <c r="G2465" i="166"/>
  <c r="E2465" i="166" s="1"/>
  <c r="A2465" i="166"/>
  <c r="B2464" i="166"/>
  <c r="B2465" i="166" s="1"/>
  <c r="H2462" i="166"/>
  <c r="G2462" i="166"/>
  <c r="E2462" i="166" s="1"/>
  <c r="A2462" i="166"/>
  <c r="B2461" i="166"/>
  <c r="B2462" i="166" s="1"/>
  <c r="H2459" i="166"/>
  <c r="G2459" i="166"/>
  <c r="E2459" i="166" s="1"/>
  <c r="A2459" i="166"/>
  <c r="B2458" i="166"/>
  <c r="B2459" i="166" s="1"/>
  <c r="H2456" i="166"/>
  <c r="G2456" i="166"/>
  <c r="E2456" i="166" s="1"/>
  <c r="A2456" i="166"/>
  <c r="B2455" i="166"/>
  <c r="B2456" i="166" s="1"/>
  <c r="H2453" i="166"/>
  <c r="G2453" i="166"/>
  <c r="E2453" i="166" s="1"/>
  <c r="A2453" i="166"/>
  <c r="B2452" i="166"/>
  <c r="B2453" i="166" s="1"/>
  <c r="H2450" i="166"/>
  <c r="G2450" i="166"/>
  <c r="E2450" i="166" s="1"/>
  <c r="A2450" i="166"/>
  <c r="B2449" i="166"/>
  <c r="B2450" i="166" s="1"/>
  <c r="H2447" i="166"/>
  <c r="G2447" i="166"/>
  <c r="E2447" i="166" s="1"/>
  <c r="A2447" i="166"/>
  <c r="B2446" i="166"/>
  <c r="B2447" i="166" s="1"/>
  <c r="H2444" i="166"/>
  <c r="G2444" i="166"/>
  <c r="E2444" i="166" s="1"/>
  <c r="A2444" i="166"/>
  <c r="B2443" i="166"/>
  <c r="B2444" i="166" s="1"/>
  <c r="H2441" i="166"/>
  <c r="G2441" i="166"/>
  <c r="E2441" i="166" s="1"/>
  <c r="A2441" i="166"/>
  <c r="B2440" i="166"/>
  <c r="B2441" i="166" s="1"/>
  <c r="H2438" i="166"/>
  <c r="G2438" i="166"/>
  <c r="E2438" i="166" s="1"/>
  <c r="A2438" i="166"/>
  <c r="B2437" i="166"/>
  <c r="B2438" i="166" s="1"/>
  <c r="H2435" i="166"/>
  <c r="G2435" i="166"/>
  <c r="E2435" i="166" s="1"/>
  <c r="A2435" i="166"/>
  <c r="B2434" i="166"/>
  <c r="B2435" i="166" s="1"/>
  <c r="H2432" i="166"/>
  <c r="G2432" i="166"/>
  <c r="E2432" i="166" s="1"/>
  <c r="A2432" i="166"/>
  <c r="B2431" i="166"/>
  <c r="B2432" i="166" s="1"/>
  <c r="H2429" i="166"/>
  <c r="G2429" i="166"/>
  <c r="E2429" i="166" s="1"/>
  <c r="A2429" i="166"/>
  <c r="B2428" i="166"/>
  <c r="B2429" i="166" s="1"/>
  <c r="H2426" i="166"/>
  <c r="G2426" i="166"/>
  <c r="E2426" i="166" s="1"/>
  <c r="A2426" i="166"/>
  <c r="B2425" i="166"/>
  <c r="B2426" i="166" s="1"/>
  <c r="H2423" i="166"/>
  <c r="G2423" i="166"/>
  <c r="E2423" i="166" s="1"/>
  <c r="A2423" i="166"/>
  <c r="B2422" i="166"/>
  <c r="B2423" i="166" s="1"/>
  <c r="H2420" i="166"/>
  <c r="G2420" i="166"/>
  <c r="E2420" i="166" s="1"/>
  <c r="A2420" i="166"/>
  <c r="B2419" i="166"/>
  <c r="B2420" i="166" s="1"/>
  <c r="H2417" i="166"/>
  <c r="G2417" i="166"/>
  <c r="E2417" i="166" s="1"/>
  <c r="A2417" i="166"/>
  <c r="B2416" i="166"/>
  <c r="B2417" i="166" s="1"/>
  <c r="H2414" i="166"/>
  <c r="G2414" i="166"/>
  <c r="E2414" i="166" s="1"/>
  <c r="A2414" i="166"/>
  <c r="B2413" i="166"/>
  <c r="B2414" i="166" s="1"/>
  <c r="H2411" i="166"/>
  <c r="G2411" i="166"/>
  <c r="E2411" i="166" s="1"/>
  <c r="A2411" i="166"/>
  <c r="B2410" i="166"/>
  <c r="B2411" i="166" s="1"/>
  <c r="H2408" i="166"/>
  <c r="G2408" i="166"/>
  <c r="E2408" i="166" s="1"/>
  <c r="A2408" i="166"/>
  <c r="B2407" i="166"/>
  <c r="B2408" i="166" s="1"/>
  <c r="H2405" i="166"/>
  <c r="G2405" i="166"/>
  <c r="E2405" i="166" s="1"/>
  <c r="A2405" i="166"/>
  <c r="B2404" i="166"/>
  <c r="B2405" i="166" s="1"/>
  <c r="H2402" i="166"/>
  <c r="G2402" i="166"/>
  <c r="E2402" i="166" s="1"/>
  <c r="A2402" i="166"/>
  <c r="B2401" i="166"/>
  <c r="B2402" i="166" s="1"/>
  <c r="H2399" i="166"/>
  <c r="G2399" i="166"/>
  <c r="E2399" i="166" s="1"/>
  <c r="A2399" i="166"/>
  <c r="B2398" i="166"/>
  <c r="B2399" i="166" s="1"/>
  <c r="H2396" i="166"/>
  <c r="G2396" i="166"/>
  <c r="E2396" i="166" s="1"/>
  <c r="A2396" i="166"/>
  <c r="B2395" i="166"/>
  <c r="B2396" i="166" s="1"/>
  <c r="H2393" i="166"/>
  <c r="G2393" i="166"/>
  <c r="E2393" i="166" s="1"/>
  <c r="A2393" i="166"/>
  <c r="B2392" i="166"/>
  <c r="B2393" i="166" s="1"/>
  <c r="H2390" i="166"/>
  <c r="G2390" i="166"/>
  <c r="E2390" i="166" s="1"/>
  <c r="A2390" i="166"/>
  <c r="B2389" i="166"/>
  <c r="B2390" i="166" s="1"/>
  <c r="H2387" i="166"/>
  <c r="G2387" i="166"/>
  <c r="E2387" i="166" s="1"/>
  <c r="A2387" i="166"/>
  <c r="B2386" i="166"/>
  <c r="B2387" i="166" s="1"/>
  <c r="H2384" i="166"/>
  <c r="G2384" i="166"/>
  <c r="E2384" i="166" s="1"/>
  <c r="A2384" i="166"/>
  <c r="B2383" i="166"/>
  <c r="B2384" i="166" s="1"/>
  <c r="H2381" i="166"/>
  <c r="G2381" i="166"/>
  <c r="E2381" i="166" s="1"/>
  <c r="A2381" i="166"/>
  <c r="B2380" i="166"/>
  <c r="B2381" i="166" s="1"/>
  <c r="H2378" i="166"/>
  <c r="G2378" i="166"/>
  <c r="E2378" i="166" s="1"/>
  <c r="A2378" i="166"/>
  <c r="B2377" i="166"/>
  <c r="B2378" i="166" s="1"/>
  <c r="H2375" i="166"/>
  <c r="G2375" i="166"/>
  <c r="E2375" i="166" s="1"/>
  <c r="A2375" i="166"/>
  <c r="B2374" i="166"/>
  <c r="B2375" i="166" s="1"/>
  <c r="H2372" i="166"/>
  <c r="G2372" i="166"/>
  <c r="E2372" i="166" s="1"/>
  <c r="A2372" i="166"/>
  <c r="B2371" i="166"/>
  <c r="B2372" i="166" s="1"/>
  <c r="H2369" i="166"/>
  <c r="G2369" i="166"/>
  <c r="E2369" i="166" s="1"/>
  <c r="A2369" i="166"/>
  <c r="B2368" i="166"/>
  <c r="B2369" i="166" s="1"/>
  <c r="H2366" i="166"/>
  <c r="G2366" i="166"/>
  <c r="E2366" i="166" s="1"/>
  <c r="A2366" i="166"/>
  <c r="B2365" i="166"/>
  <c r="B2366" i="166" s="1"/>
  <c r="H2363" i="166"/>
  <c r="G2363" i="166"/>
  <c r="E2363" i="166" s="1"/>
  <c r="A2363" i="166"/>
  <c r="B2362" i="166"/>
  <c r="B2363" i="166" s="1"/>
  <c r="H2360" i="166"/>
  <c r="G2360" i="166"/>
  <c r="E2360" i="166" s="1"/>
  <c r="A2360" i="166"/>
  <c r="B2359" i="166"/>
  <c r="B2360" i="166" s="1"/>
  <c r="H2357" i="166"/>
  <c r="G2357" i="166"/>
  <c r="E2357" i="166" s="1"/>
  <c r="A2357" i="166"/>
  <c r="B2356" i="166"/>
  <c r="B2357" i="166" s="1"/>
  <c r="H2354" i="166"/>
  <c r="G2354" i="166"/>
  <c r="E2354" i="166" s="1"/>
  <c r="A2354" i="166"/>
  <c r="B2353" i="166"/>
  <c r="B2354" i="166" s="1"/>
  <c r="B2351" i="166"/>
  <c r="A2350" i="166"/>
  <c r="B2348" i="166"/>
  <c r="B2350" i="166" s="1"/>
  <c r="H2346" i="166"/>
  <c r="G2346" i="166"/>
  <c r="E2346" i="166" s="1"/>
  <c r="A2346" i="166"/>
  <c r="B2345" i="166"/>
  <c r="B2346" i="166" s="1"/>
  <c r="H2343" i="166"/>
  <c r="G2343" i="166"/>
  <c r="E2343" i="166" s="1"/>
  <c r="A2343" i="166"/>
  <c r="B2342" i="166"/>
  <c r="B2343" i="166" s="1"/>
  <c r="H2340" i="166"/>
  <c r="G2340" i="166"/>
  <c r="E2340" i="166" s="1"/>
  <c r="A2340" i="166"/>
  <c r="B2339" i="166"/>
  <c r="B2340" i="166" s="1"/>
  <c r="H2337" i="166"/>
  <c r="G2337" i="166"/>
  <c r="E2337" i="166" s="1"/>
  <c r="A2337" i="166"/>
  <c r="B2336" i="166"/>
  <c r="B2337" i="166" s="1"/>
  <c r="H2334" i="166"/>
  <c r="G2334" i="166"/>
  <c r="E2334" i="166" s="1"/>
  <c r="A2334" i="166"/>
  <c r="B2333" i="166"/>
  <c r="B2334" i="166" s="1"/>
  <c r="H2331" i="166"/>
  <c r="G2331" i="166"/>
  <c r="E2331" i="166" s="1"/>
  <c r="A2331" i="166"/>
  <c r="B2330" i="166"/>
  <c r="B2331" i="166" s="1"/>
  <c r="H2328" i="166"/>
  <c r="G2328" i="166"/>
  <c r="E2328" i="166" s="1"/>
  <c r="A2328" i="166"/>
  <c r="B2327" i="166"/>
  <c r="B2328" i="166" s="1"/>
  <c r="H2325" i="166"/>
  <c r="G2325" i="166"/>
  <c r="E2325" i="166" s="1"/>
  <c r="A2325" i="166"/>
  <c r="B2324" i="166"/>
  <c r="B2325" i="166" s="1"/>
  <c r="H2322" i="166"/>
  <c r="G2322" i="166"/>
  <c r="E2322" i="166" s="1"/>
  <c r="A2322" i="166"/>
  <c r="B2321" i="166"/>
  <c r="B2322" i="166" s="1"/>
  <c r="H2319" i="166"/>
  <c r="G2319" i="166"/>
  <c r="E2319" i="166" s="1"/>
  <c r="A2319" i="166"/>
  <c r="B2318" i="166"/>
  <c r="B2319" i="166" s="1"/>
  <c r="H2316" i="166"/>
  <c r="G2316" i="166"/>
  <c r="E2316" i="166" s="1"/>
  <c r="A2316" i="166"/>
  <c r="B2315" i="166"/>
  <c r="B2316" i="166" s="1"/>
  <c r="H2313" i="166"/>
  <c r="G2313" i="166"/>
  <c r="E2313" i="166" s="1"/>
  <c r="A2313" i="166"/>
  <c r="B2312" i="166"/>
  <c r="B2313" i="166" s="1"/>
  <c r="H2310" i="166"/>
  <c r="G2310" i="166"/>
  <c r="E2310" i="166" s="1"/>
  <c r="A2310" i="166"/>
  <c r="B2309" i="166"/>
  <c r="B2310" i="166" s="1"/>
  <c r="H2307" i="166"/>
  <c r="G2307" i="166"/>
  <c r="E2307" i="166" s="1"/>
  <c r="A2307" i="166"/>
  <c r="B2306" i="166"/>
  <c r="B2307" i="166" s="1"/>
  <c r="H2304" i="166"/>
  <c r="G2304" i="166"/>
  <c r="E2304" i="166" s="1"/>
  <c r="A2304" i="166"/>
  <c r="B2303" i="166"/>
  <c r="B2304" i="166" s="1"/>
  <c r="H2301" i="166"/>
  <c r="G2301" i="166"/>
  <c r="E2301" i="166" s="1"/>
  <c r="A2301" i="166"/>
  <c r="B2300" i="166"/>
  <c r="B2301" i="166" s="1"/>
  <c r="H2298" i="166"/>
  <c r="G2298" i="166"/>
  <c r="E2298" i="166" s="1"/>
  <c r="A2298" i="166"/>
  <c r="B2297" i="166"/>
  <c r="B2298" i="166" s="1"/>
  <c r="H2295" i="166"/>
  <c r="G2295" i="166"/>
  <c r="E2295" i="166" s="1"/>
  <c r="A2295" i="166"/>
  <c r="B2294" i="166"/>
  <c r="B2295" i="166" s="1"/>
  <c r="H2292" i="166"/>
  <c r="G2292" i="166"/>
  <c r="E2292" i="166" s="1"/>
  <c r="A2292" i="166"/>
  <c r="B2291" i="166"/>
  <c r="B2292" i="166" s="1"/>
  <c r="H2289" i="166"/>
  <c r="G2289" i="166"/>
  <c r="E2289" i="166" s="1"/>
  <c r="A2289" i="166"/>
  <c r="B2288" i="166"/>
  <c r="B2289" i="166" s="1"/>
  <c r="H2286" i="166"/>
  <c r="G2286" i="166"/>
  <c r="E2286" i="166" s="1"/>
  <c r="A2286" i="166"/>
  <c r="B2285" i="166"/>
  <c r="B2286" i="166" s="1"/>
  <c r="H2283" i="166"/>
  <c r="G2283" i="166"/>
  <c r="E2283" i="166" s="1"/>
  <c r="A2283" i="166"/>
  <c r="B2282" i="166"/>
  <c r="B2283" i="166" s="1"/>
  <c r="H2280" i="166"/>
  <c r="G2280" i="166"/>
  <c r="E2280" i="166" s="1"/>
  <c r="A2280" i="166"/>
  <c r="B2279" i="166"/>
  <c r="B2280" i="166" s="1"/>
  <c r="H2277" i="166"/>
  <c r="G2277" i="166"/>
  <c r="E2277" i="166" s="1"/>
  <c r="A2277" i="166"/>
  <c r="B2276" i="166"/>
  <c r="B2277" i="166" s="1"/>
  <c r="H2274" i="166"/>
  <c r="G2274" i="166"/>
  <c r="E2274" i="166" s="1"/>
  <c r="A2274" i="166"/>
  <c r="B2273" i="166"/>
  <c r="B2274" i="166" s="1"/>
  <c r="H2271" i="166"/>
  <c r="G2271" i="166"/>
  <c r="E2271" i="166" s="1"/>
  <c r="A2271" i="166"/>
  <c r="B2270" i="166"/>
  <c r="B2271" i="166" s="1"/>
  <c r="H2268" i="166"/>
  <c r="G2268" i="166"/>
  <c r="E2268" i="166" s="1"/>
  <c r="A2268" i="166"/>
  <c r="B2267" i="166"/>
  <c r="B2268" i="166" s="1"/>
  <c r="H2265" i="166"/>
  <c r="G2265" i="166"/>
  <c r="E2265" i="166" s="1"/>
  <c r="A2265" i="166"/>
  <c r="B2264" i="166"/>
  <c r="B2265" i="166" s="1"/>
  <c r="H2262" i="166"/>
  <c r="G2262" i="166"/>
  <c r="E2262" i="166" s="1"/>
  <c r="A2262" i="166"/>
  <c r="B2261" i="166"/>
  <c r="B2262" i="166" s="1"/>
  <c r="H2259" i="166"/>
  <c r="G2259" i="166"/>
  <c r="E2259" i="166" s="1"/>
  <c r="A2259" i="166"/>
  <c r="B2258" i="166"/>
  <c r="B2259" i="166" s="1"/>
  <c r="H2256" i="166"/>
  <c r="G2256" i="166"/>
  <c r="E2256" i="166" s="1"/>
  <c r="A2256" i="166"/>
  <c r="B2255" i="166"/>
  <c r="B2256" i="166" s="1"/>
  <c r="H2253" i="166"/>
  <c r="G2253" i="166"/>
  <c r="E2253" i="166" s="1"/>
  <c r="A2253" i="166"/>
  <c r="B2252" i="166"/>
  <c r="B2253" i="166" s="1"/>
  <c r="H2250" i="166"/>
  <c r="G2250" i="166"/>
  <c r="E2250" i="166" s="1"/>
  <c r="A2250" i="166"/>
  <c r="B2249" i="166"/>
  <c r="B2250" i="166" s="1"/>
  <c r="H2247" i="166"/>
  <c r="G2247" i="166"/>
  <c r="E2247" i="166" s="1"/>
  <c r="A2247" i="166"/>
  <c r="B2246" i="166"/>
  <c r="B2247" i="166" s="1"/>
  <c r="H2244" i="166"/>
  <c r="G2244" i="166"/>
  <c r="E2244" i="166" s="1"/>
  <c r="A2244" i="166"/>
  <c r="B2243" i="166"/>
  <c r="B2244" i="166" s="1"/>
  <c r="H2241" i="166"/>
  <c r="G2241" i="166"/>
  <c r="E2241" i="166" s="1"/>
  <c r="A2241" i="166"/>
  <c r="B2240" i="166"/>
  <c r="B2241" i="166" s="1"/>
  <c r="H2238" i="166"/>
  <c r="G2238" i="166"/>
  <c r="E2238" i="166" s="1"/>
  <c r="A2238" i="166"/>
  <c r="B2237" i="166"/>
  <c r="B2238" i="166" s="1"/>
  <c r="H2235" i="166"/>
  <c r="G2235" i="166"/>
  <c r="E2235" i="166" s="1"/>
  <c r="A2235" i="166"/>
  <c r="B2234" i="166"/>
  <c r="B2235" i="166" s="1"/>
  <c r="H2232" i="166"/>
  <c r="G2232" i="166"/>
  <c r="E2232" i="166" s="1"/>
  <c r="A2232" i="166"/>
  <c r="B2231" i="166"/>
  <c r="B2232" i="166" s="1"/>
  <c r="H2229" i="166"/>
  <c r="G2229" i="166"/>
  <c r="E2229" i="166" s="1"/>
  <c r="A2229" i="166"/>
  <c r="B2228" i="166"/>
  <c r="B2229" i="166" s="1"/>
  <c r="H2226" i="166"/>
  <c r="G2226" i="166"/>
  <c r="E2226" i="166" s="1"/>
  <c r="A2226" i="166"/>
  <c r="B2225" i="166"/>
  <c r="B2226" i="166" s="1"/>
  <c r="H2223" i="166"/>
  <c r="A2223" i="166"/>
  <c r="B2222" i="166"/>
  <c r="B2223" i="166" s="1"/>
  <c r="H2220" i="166"/>
  <c r="G2220" i="166"/>
  <c r="E2220" i="166" s="1"/>
  <c r="A2220" i="166"/>
  <c r="B2219" i="166"/>
  <c r="B2220" i="166" s="1"/>
  <c r="H2217" i="166"/>
  <c r="G2217" i="166"/>
  <c r="E2217" i="166" s="1"/>
  <c r="A2217" i="166"/>
  <c r="B2216" i="166"/>
  <c r="B2217" i="166" s="1"/>
  <c r="H2214" i="166"/>
  <c r="G2214" i="166"/>
  <c r="E2214" i="166" s="1"/>
  <c r="A2214" i="166"/>
  <c r="B2213" i="166"/>
  <c r="B2214" i="166" s="1"/>
  <c r="H2211" i="166"/>
  <c r="G2211" i="166"/>
  <c r="E2211" i="166" s="1"/>
  <c r="A2211" i="166"/>
  <c r="B2210" i="166"/>
  <c r="B2211" i="166" s="1"/>
  <c r="H2208" i="166"/>
  <c r="G2208" i="166"/>
  <c r="E2208" i="166" s="1"/>
  <c r="A2208" i="166"/>
  <c r="B2207" i="166"/>
  <c r="B2208" i="166" s="1"/>
  <c r="H2205" i="166"/>
  <c r="G2205" i="166"/>
  <c r="E2205" i="166" s="1"/>
  <c r="A2205" i="166"/>
  <c r="B2204" i="166"/>
  <c r="B2205" i="166" s="1"/>
  <c r="H2202" i="166"/>
  <c r="G2202" i="166"/>
  <c r="E2202" i="166" s="1"/>
  <c r="A2202" i="166"/>
  <c r="B2201" i="166"/>
  <c r="B2202" i="166" s="1"/>
  <c r="H2199" i="166"/>
  <c r="G2199" i="166"/>
  <c r="E2199" i="166" s="1"/>
  <c r="A2199" i="166"/>
  <c r="B2198" i="166"/>
  <c r="B2199" i="166" s="1"/>
  <c r="H2196" i="166"/>
  <c r="G2196" i="166"/>
  <c r="E2196" i="166" s="1"/>
  <c r="A2196" i="166"/>
  <c r="B2195" i="166"/>
  <c r="B2196" i="166" s="1"/>
  <c r="H2193" i="166"/>
  <c r="G2193" i="166"/>
  <c r="E2193" i="166" s="1"/>
  <c r="A2193" i="166"/>
  <c r="B2192" i="166"/>
  <c r="B2193" i="166" s="1"/>
  <c r="H2190" i="166"/>
  <c r="G2190" i="166"/>
  <c r="E2190" i="166" s="1"/>
  <c r="A2190" i="166"/>
  <c r="B2189" i="166"/>
  <c r="B2190" i="166" s="1"/>
  <c r="H2187" i="166"/>
  <c r="G2187" i="166"/>
  <c r="E2187" i="166" s="1"/>
  <c r="A2187" i="166"/>
  <c r="B2186" i="166"/>
  <c r="B2187" i="166" s="1"/>
  <c r="H2184" i="166"/>
  <c r="G2184" i="166"/>
  <c r="E2184" i="166" s="1"/>
  <c r="A2184" i="166"/>
  <c r="B2183" i="166"/>
  <c r="B2184" i="166" s="1"/>
  <c r="H2181" i="166"/>
  <c r="G2181" i="166"/>
  <c r="E2181" i="166" s="1"/>
  <c r="A2181" i="166"/>
  <c r="B2180" i="166"/>
  <c r="B2181" i="166" s="1"/>
  <c r="H2178" i="166"/>
  <c r="G2178" i="166"/>
  <c r="E2178" i="166" s="1"/>
  <c r="A2178" i="166"/>
  <c r="B2177" i="166"/>
  <c r="B2178" i="166" s="1"/>
  <c r="H2175" i="166"/>
  <c r="G2175" i="166"/>
  <c r="E2175" i="166" s="1"/>
  <c r="A2175" i="166"/>
  <c r="B2174" i="166"/>
  <c r="B2175" i="166" s="1"/>
  <c r="H2172" i="166"/>
  <c r="G2172" i="166"/>
  <c r="E2172" i="166" s="1"/>
  <c r="A2172" i="166"/>
  <c r="B2171" i="166"/>
  <c r="B2172" i="166" s="1"/>
  <c r="H2169" i="166"/>
  <c r="G2169" i="166"/>
  <c r="E2169" i="166" s="1"/>
  <c r="A2169" i="166"/>
  <c r="B2168" i="166"/>
  <c r="B2169" i="166" s="1"/>
  <c r="H2166" i="166"/>
  <c r="G2166" i="166"/>
  <c r="E2166" i="166" s="1"/>
  <c r="A2166" i="166"/>
  <c r="B2165" i="166"/>
  <c r="B2166" i="166" s="1"/>
  <c r="H2163" i="166"/>
  <c r="G2163" i="166"/>
  <c r="E2163" i="166" s="1"/>
  <c r="A2163" i="166"/>
  <c r="B2162" i="166"/>
  <c r="B2163" i="166" s="1"/>
  <c r="H2160" i="166"/>
  <c r="G2160" i="166"/>
  <c r="E2160" i="166" s="1"/>
  <c r="A2160" i="166"/>
  <c r="B2159" i="166"/>
  <c r="B2160" i="166" s="1"/>
  <c r="H2157" i="166"/>
  <c r="G2157" i="166"/>
  <c r="E2157" i="166" s="1"/>
  <c r="A2157" i="166"/>
  <c r="B2156" i="166"/>
  <c r="B2157" i="166" s="1"/>
  <c r="H2154" i="166"/>
  <c r="G2154" i="166"/>
  <c r="E2154" i="166" s="1"/>
  <c r="A2154" i="166"/>
  <c r="B2153" i="166"/>
  <c r="B2154" i="166" s="1"/>
  <c r="H2151" i="166"/>
  <c r="G2151" i="166"/>
  <c r="E2151" i="166" s="1"/>
  <c r="A2151" i="166"/>
  <c r="B2150" i="166"/>
  <c r="B2151" i="166" s="1"/>
  <c r="H2148" i="166"/>
  <c r="G2148" i="166"/>
  <c r="E2148" i="166" s="1"/>
  <c r="A2148" i="166"/>
  <c r="B2147" i="166"/>
  <c r="B2148" i="166" s="1"/>
  <c r="H2145" i="166"/>
  <c r="G2145" i="166"/>
  <c r="E2145" i="166" s="1"/>
  <c r="A2145" i="166"/>
  <c r="B2144" i="166"/>
  <c r="B2145" i="166" s="1"/>
  <c r="H2142" i="166"/>
  <c r="G2142" i="166"/>
  <c r="E2142" i="166" s="1"/>
  <c r="A2142" i="166"/>
  <c r="B2141" i="166"/>
  <c r="B2142" i="166" s="1"/>
  <c r="H2139" i="166"/>
  <c r="G2139" i="166"/>
  <c r="E2139" i="166" s="1"/>
  <c r="A2139" i="166"/>
  <c r="B2138" i="166"/>
  <c r="B2139" i="166" s="1"/>
  <c r="H2136" i="166"/>
  <c r="G2136" i="166"/>
  <c r="E2136" i="166" s="1"/>
  <c r="A2136" i="166"/>
  <c r="B2135" i="166"/>
  <c r="B2136" i="166" s="1"/>
  <c r="H2133" i="166"/>
  <c r="G2133" i="166"/>
  <c r="E2133" i="166" s="1"/>
  <c r="A2133" i="166"/>
  <c r="B2132" i="166"/>
  <c r="B2133" i="166" s="1"/>
  <c r="H2130" i="166"/>
  <c r="G2130" i="166"/>
  <c r="E2130" i="166" s="1"/>
  <c r="A2130" i="166"/>
  <c r="B2129" i="166"/>
  <c r="B2130" i="166" s="1"/>
  <c r="H2127" i="166"/>
  <c r="G2127" i="166"/>
  <c r="E2127" i="166" s="1"/>
  <c r="A2127" i="166"/>
  <c r="B2126" i="166"/>
  <c r="B2127" i="166" s="1"/>
  <c r="H2124" i="166"/>
  <c r="G2124" i="166"/>
  <c r="E2124" i="166" s="1"/>
  <c r="A2124" i="166"/>
  <c r="B2123" i="166"/>
  <c r="B2124" i="166" s="1"/>
  <c r="H2121" i="166"/>
  <c r="G2121" i="166"/>
  <c r="E2121" i="166" s="1"/>
  <c r="A2121" i="166"/>
  <c r="B2120" i="166"/>
  <c r="B2121" i="166" s="1"/>
  <c r="H2118" i="166"/>
  <c r="G2118" i="166"/>
  <c r="E2118" i="166" s="1"/>
  <c r="A2118" i="166"/>
  <c r="B2117" i="166"/>
  <c r="B2118" i="166" s="1"/>
  <c r="H2115" i="166"/>
  <c r="G2115" i="166"/>
  <c r="E2115" i="166" s="1"/>
  <c r="A2115" i="166"/>
  <c r="B2114" i="166"/>
  <c r="B2115" i="166" s="1"/>
  <c r="H2112" i="166"/>
  <c r="G2112" i="166"/>
  <c r="E2112" i="166" s="1"/>
  <c r="A2112" i="166"/>
  <c r="B2111" i="166"/>
  <c r="B2112" i="166" s="1"/>
  <c r="H2109" i="166"/>
  <c r="G2109" i="166"/>
  <c r="E2109" i="166" s="1"/>
  <c r="A2109" i="166"/>
  <c r="B2108" i="166"/>
  <c r="B2109" i="166" s="1"/>
  <c r="H2106" i="166"/>
  <c r="G2106" i="166"/>
  <c r="E2106" i="166" s="1"/>
  <c r="A2106" i="166"/>
  <c r="B2105" i="166"/>
  <c r="B2106" i="166" s="1"/>
  <c r="H2103" i="166"/>
  <c r="G2103" i="166"/>
  <c r="E2103" i="166" s="1"/>
  <c r="A2103" i="166"/>
  <c r="B2102" i="166"/>
  <c r="B2103" i="166" s="1"/>
  <c r="H2100" i="166"/>
  <c r="G2100" i="166"/>
  <c r="E2100" i="166" s="1"/>
  <c r="A2100" i="166"/>
  <c r="B2099" i="166"/>
  <c r="B2100" i="166" s="1"/>
  <c r="H2097" i="166"/>
  <c r="G2097" i="166"/>
  <c r="E2097" i="166" s="1"/>
  <c r="A2097" i="166"/>
  <c r="B2096" i="166"/>
  <c r="B2097" i="166" s="1"/>
  <c r="H2094" i="166"/>
  <c r="G2094" i="166"/>
  <c r="E2094" i="166" s="1"/>
  <c r="A2094" i="166"/>
  <c r="B2093" i="166"/>
  <c r="B2094" i="166" s="1"/>
  <c r="H2091" i="166"/>
  <c r="G2091" i="166"/>
  <c r="E2091" i="166" s="1"/>
  <c r="A2091" i="166"/>
  <c r="B2090" i="166"/>
  <c r="B2091" i="166" s="1"/>
  <c r="H2088" i="166"/>
  <c r="G2088" i="166"/>
  <c r="E2088" i="166" s="1"/>
  <c r="A2088" i="166"/>
  <c r="B2087" i="166"/>
  <c r="B2088" i="166" s="1"/>
  <c r="H2085" i="166"/>
  <c r="G2085" i="166"/>
  <c r="E2085" i="166" s="1"/>
  <c r="A2085" i="166"/>
  <c r="B2084" i="166"/>
  <c r="B2085" i="166" s="1"/>
  <c r="H2082" i="166"/>
  <c r="G2082" i="166"/>
  <c r="E2082" i="166" s="1"/>
  <c r="A2082" i="166"/>
  <c r="B2081" i="166"/>
  <c r="B2082" i="166" s="1"/>
  <c r="H2079" i="166"/>
  <c r="G2079" i="166"/>
  <c r="E2079" i="166" s="1"/>
  <c r="A2079" i="166"/>
  <c r="B2078" i="166"/>
  <c r="B2079" i="166" s="1"/>
  <c r="H2076" i="166"/>
  <c r="G2076" i="166"/>
  <c r="E2076" i="166" s="1"/>
  <c r="A2076" i="166"/>
  <c r="B2075" i="166"/>
  <c r="B2076" i="166" s="1"/>
  <c r="H2073" i="166"/>
  <c r="G2073" i="166"/>
  <c r="E2073" i="166" s="1"/>
  <c r="A2073" i="166"/>
  <c r="B2072" i="166"/>
  <c r="B2073" i="166" s="1"/>
  <c r="G2070" i="166"/>
  <c r="E2070" i="166" s="1"/>
  <c r="A2070" i="166"/>
  <c r="B2069" i="166"/>
  <c r="B2070" i="166" s="1"/>
  <c r="H2067" i="166"/>
  <c r="G2067" i="166"/>
  <c r="E2067" i="166" s="1"/>
  <c r="A2067" i="166"/>
  <c r="B2066" i="166"/>
  <c r="B2067" i="166" s="1"/>
  <c r="H2064" i="166"/>
  <c r="G2064" i="166"/>
  <c r="E2064" i="166" s="1"/>
  <c r="A2064" i="166"/>
  <c r="B2063" i="166"/>
  <c r="B2064" i="166" s="1"/>
  <c r="H2061" i="166"/>
  <c r="G2061" i="166"/>
  <c r="E2061" i="166" s="1"/>
  <c r="A2061" i="166"/>
  <c r="B2060" i="166"/>
  <c r="B2061" i="166" s="1"/>
  <c r="H2058" i="166"/>
  <c r="G2058" i="166"/>
  <c r="E2058" i="166" s="1"/>
  <c r="A2058" i="166"/>
  <c r="B2057" i="166"/>
  <c r="B2058" i="166" s="1"/>
  <c r="H2055" i="166"/>
  <c r="G2055" i="166"/>
  <c r="E2055" i="166" s="1"/>
  <c r="A2055" i="166"/>
  <c r="B2054" i="166"/>
  <c r="B2055" i="166" s="1"/>
  <c r="H2052" i="166"/>
  <c r="G2052" i="166"/>
  <c r="E2052" i="166" s="1"/>
  <c r="A2052" i="166"/>
  <c r="B2051" i="166"/>
  <c r="B2052" i="166" s="1"/>
  <c r="H2049" i="166"/>
  <c r="G2049" i="166"/>
  <c r="E2049" i="166" s="1"/>
  <c r="A2049" i="166"/>
  <c r="B2048" i="166"/>
  <c r="B2049" i="166" s="1"/>
  <c r="H2046" i="166"/>
  <c r="G2046" i="166"/>
  <c r="E2046" i="166" s="1"/>
  <c r="A2046" i="166"/>
  <c r="B2045" i="166"/>
  <c r="B2046" i="166" s="1"/>
  <c r="H2043" i="166"/>
  <c r="G2043" i="166"/>
  <c r="E2043" i="166" s="1"/>
  <c r="A2043" i="166"/>
  <c r="B2042" i="166"/>
  <c r="B2043" i="166" s="1"/>
  <c r="H2040" i="166"/>
  <c r="G2040" i="166"/>
  <c r="E2040" i="166" s="1"/>
  <c r="A2040" i="166"/>
  <c r="B2039" i="166"/>
  <c r="B2040" i="166" s="1"/>
  <c r="H2011" i="166"/>
  <c r="G2011" i="166"/>
  <c r="E2011" i="166" s="1"/>
  <c r="A2011" i="166"/>
  <c r="B2010" i="166"/>
  <c r="B2011" i="166" s="1"/>
  <c r="H2008" i="166"/>
  <c r="G2008" i="166"/>
  <c r="E2008" i="166" s="1"/>
  <c r="A2008" i="166"/>
  <c r="B2007" i="166"/>
  <c r="B2008" i="166" s="1"/>
  <c r="H2005" i="166"/>
  <c r="G2005" i="166"/>
  <c r="E2005" i="166" s="1"/>
  <c r="A2005" i="166"/>
  <c r="B2004" i="166"/>
  <c r="B2005" i="166" s="1"/>
  <c r="H2002" i="166"/>
  <c r="G2002" i="166"/>
  <c r="E2002" i="166" s="1"/>
  <c r="A2002" i="166"/>
  <c r="B2001" i="166"/>
  <c r="B2002" i="166" s="1"/>
  <c r="H1999" i="166"/>
  <c r="G1999" i="166"/>
  <c r="E1999" i="166" s="1"/>
  <c r="A1999" i="166"/>
  <c r="B1998" i="166"/>
  <c r="B1999" i="166" s="1"/>
  <c r="A1989" i="166"/>
  <c r="A1990" i="166" s="1"/>
  <c r="A1991" i="166" s="1"/>
  <c r="A1992" i="166" s="1"/>
  <c r="A1993" i="166" s="1"/>
  <c r="A1994" i="166" s="1"/>
  <c r="B1988" i="166"/>
  <c r="B1989" i="166" s="1"/>
  <c r="B1990" i="166" s="1"/>
  <c r="B1991" i="166" s="1"/>
  <c r="B1992" i="166" s="1"/>
  <c r="B1993" i="166" s="1"/>
  <c r="B1994" i="166" s="1"/>
  <c r="A1982" i="166"/>
  <c r="A1983" i="166" s="1"/>
  <c r="A1984" i="166" s="1"/>
  <c r="A1985" i="166" s="1"/>
  <c r="A1986" i="166" s="1"/>
  <c r="B1981" i="166"/>
  <c r="B1982" i="166" s="1"/>
  <c r="B1983" i="166" s="1"/>
  <c r="B1984" i="166" s="1"/>
  <c r="B1985" i="166" s="1"/>
  <c r="B1986" i="166" s="1"/>
  <c r="H1979" i="166"/>
  <c r="G1979" i="166"/>
  <c r="E1979" i="166" s="1"/>
  <c r="A1979" i="166"/>
  <c r="B1978" i="166"/>
  <c r="B1979" i="166" s="1"/>
  <c r="H1976" i="166"/>
  <c r="G1976" i="166"/>
  <c r="E1976" i="166" s="1"/>
  <c r="A1976" i="166"/>
  <c r="B1975" i="166"/>
  <c r="B1976" i="166" s="1"/>
  <c r="H1973" i="166"/>
  <c r="G1973" i="166"/>
  <c r="E1973" i="166" s="1"/>
  <c r="A1973" i="166"/>
  <c r="B1972" i="166"/>
  <c r="B1973" i="166" s="1"/>
  <c r="H1970" i="166"/>
  <c r="G1970" i="166"/>
  <c r="E1970" i="166" s="1"/>
  <c r="A1970" i="166"/>
  <c r="B1969" i="166"/>
  <c r="B1970" i="166" s="1"/>
  <c r="H1967" i="166"/>
  <c r="G1967" i="166"/>
  <c r="E1967" i="166" s="1"/>
  <c r="A1967" i="166"/>
  <c r="B1966" i="166"/>
  <c r="B1967" i="166" s="1"/>
  <c r="H1964" i="166"/>
  <c r="G1964" i="166"/>
  <c r="E1964" i="166" s="1"/>
  <c r="A1964" i="166"/>
  <c r="B1963" i="166"/>
  <c r="B1964" i="166" s="1"/>
  <c r="H1961" i="166"/>
  <c r="G1961" i="166"/>
  <c r="E1961" i="166" s="1"/>
  <c r="A1961" i="166"/>
  <c r="B1960" i="166"/>
  <c r="B1961" i="166" s="1"/>
  <c r="H1958" i="166"/>
  <c r="G1958" i="166"/>
  <c r="E1958" i="166" s="1"/>
  <c r="A1958" i="166"/>
  <c r="B1957" i="166"/>
  <c r="B1958" i="166" s="1"/>
  <c r="H1955" i="166"/>
  <c r="G1955" i="166"/>
  <c r="E1955" i="166" s="1"/>
  <c r="A1955" i="166"/>
  <c r="B1954" i="166"/>
  <c r="B1955" i="166" s="1"/>
  <c r="H1952" i="166"/>
  <c r="G1952" i="166"/>
  <c r="E1952" i="166" s="1"/>
  <c r="A1952" i="166"/>
  <c r="B1951" i="166"/>
  <c r="B1952" i="166" s="1"/>
  <c r="H1949" i="166"/>
  <c r="G1949" i="166"/>
  <c r="E1949" i="166" s="1"/>
  <c r="A1949" i="166"/>
  <c r="B1948" i="166"/>
  <c r="B1949" i="166" s="1"/>
  <c r="H1946" i="166"/>
  <c r="G1946" i="166"/>
  <c r="E1946" i="166" s="1"/>
  <c r="A1946" i="166"/>
  <c r="B1945" i="166"/>
  <c r="B1946" i="166" s="1"/>
  <c r="H1943" i="166"/>
  <c r="G1943" i="166"/>
  <c r="E1943" i="166" s="1"/>
  <c r="A1943" i="166"/>
  <c r="B1942" i="166"/>
  <c r="B1943" i="166" s="1"/>
  <c r="H1940" i="166"/>
  <c r="G1940" i="166"/>
  <c r="E1940" i="166" s="1"/>
  <c r="A1940" i="166"/>
  <c r="B1939" i="166"/>
  <c r="B1940" i="166" s="1"/>
  <c r="H1937" i="166"/>
  <c r="G1937" i="166"/>
  <c r="E1937" i="166" s="1"/>
  <c r="A1937" i="166"/>
  <c r="B1936" i="166"/>
  <c r="B1937" i="166" s="1"/>
  <c r="H1934" i="166"/>
  <c r="G1934" i="166"/>
  <c r="E1934" i="166" s="1"/>
  <c r="A1934" i="166"/>
  <c r="B1933" i="166"/>
  <c r="B1934" i="166" s="1"/>
  <c r="H1931" i="166"/>
  <c r="G1931" i="166"/>
  <c r="E1931" i="166" s="1"/>
  <c r="A1931" i="166"/>
  <c r="B1930" i="166"/>
  <c r="B1931" i="166" s="1"/>
  <c r="H1928" i="166"/>
  <c r="G1928" i="166"/>
  <c r="E1928" i="166" s="1"/>
  <c r="A1928" i="166"/>
  <c r="B1927" i="166"/>
  <c r="B1928" i="166" s="1"/>
  <c r="H1925" i="166"/>
  <c r="G1925" i="166"/>
  <c r="E1925" i="166" s="1"/>
  <c r="A1925" i="166"/>
  <c r="B1924" i="166"/>
  <c r="B1925" i="166" s="1"/>
  <c r="H1922" i="166"/>
  <c r="G1922" i="166"/>
  <c r="E1922" i="166" s="1"/>
  <c r="A1922" i="166"/>
  <c r="B1921" i="166"/>
  <c r="B1922" i="166" s="1"/>
  <c r="H1919" i="166"/>
  <c r="G1919" i="166"/>
  <c r="E1919" i="166" s="1"/>
  <c r="A1919" i="166"/>
  <c r="B1918" i="166"/>
  <c r="B1919" i="166" s="1"/>
  <c r="H1916" i="166"/>
  <c r="G1916" i="166"/>
  <c r="E1916" i="166" s="1"/>
  <c r="A1916" i="166"/>
  <c r="B1915" i="166"/>
  <c r="B1916" i="166" s="1"/>
  <c r="H1913" i="166"/>
  <c r="G1913" i="166"/>
  <c r="E1913" i="166" s="1"/>
  <c r="A1913" i="166"/>
  <c r="B1912" i="166"/>
  <c r="B1913" i="166" s="1"/>
  <c r="H1910" i="166"/>
  <c r="G1910" i="166"/>
  <c r="E1910" i="166" s="1"/>
  <c r="A1910" i="166"/>
  <c r="B1909" i="166"/>
  <c r="B1910" i="166" s="1"/>
  <c r="H1907" i="166"/>
  <c r="G1907" i="166"/>
  <c r="E1907" i="166" s="1"/>
  <c r="A1907" i="166"/>
  <c r="B1906" i="166"/>
  <c r="B1907" i="166" s="1"/>
  <c r="H1904" i="166"/>
  <c r="G1904" i="166"/>
  <c r="E1904" i="166" s="1"/>
  <c r="A1904" i="166"/>
  <c r="B1903" i="166"/>
  <c r="B1904" i="166" s="1"/>
  <c r="H1901" i="166"/>
  <c r="G1901" i="166"/>
  <c r="E1901" i="166" s="1"/>
  <c r="A1901" i="166"/>
  <c r="B1900" i="166"/>
  <c r="B1901" i="166" s="1"/>
  <c r="H1898" i="166"/>
  <c r="G1898" i="166"/>
  <c r="E1898" i="166" s="1"/>
  <c r="A1898" i="166"/>
  <c r="B1897" i="166"/>
  <c r="B1898" i="166" s="1"/>
  <c r="H1895" i="166"/>
  <c r="G1895" i="166"/>
  <c r="E1895" i="166" s="1"/>
  <c r="A1895" i="166"/>
  <c r="B1894" i="166"/>
  <c r="B1895" i="166" s="1"/>
  <c r="H1892" i="166"/>
  <c r="G1892" i="166"/>
  <c r="E1892" i="166" s="1"/>
  <c r="A1892" i="166"/>
  <c r="B1891" i="166"/>
  <c r="B1892" i="166" s="1"/>
  <c r="H1889" i="166"/>
  <c r="G1889" i="166"/>
  <c r="E1889" i="166" s="1"/>
  <c r="A1889" i="166"/>
  <c r="B1888" i="166"/>
  <c r="B1889" i="166" s="1"/>
  <c r="H1886" i="166"/>
  <c r="G1886" i="166"/>
  <c r="E1886" i="166" s="1"/>
  <c r="A1886" i="166"/>
  <c r="B1885" i="166"/>
  <c r="B1886" i="166" s="1"/>
  <c r="H1883" i="166"/>
  <c r="G1883" i="166"/>
  <c r="E1883" i="166" s="1"/>
  <c r="A1883" i="166"/>
  <c r="B1882" i="166"/>
  <c r="B1883" i="166" s="1"/>
  <c r="H1880" i="166"/>
  <c r="G1880" i="166"/>
  <c r="E1880" i="166" s="1"/>
  <c r="A1880" i="166"/>
  <c r="B1879" i="166"/>
  <c r="B1880" i="166" s="1"/>
  <c r="H1877" i="166"/>
  <c r="G1877" i="166"/>
  <c r="E1877" i="166" s="1"/>
  <c r="A1877" i="166"/>
  <c r="B1876" i="166"/>
  <c r="B1877" i="166" s="1"/>
  <c r="H1874" i="166"/>
  <c r="G1874" i="166"/>
  <c r="E1874" i="166" s="1"/>
  <c r="A1874" i="166"/>
  <c r="B1873" i="166"/>
  <c r="B1874" i="166" s="1"/>
  <c r="H1871" i="166"/>
  <c r="G1871" i="166"/>
  <c r="E1871" i="166" s="1"/>
  <c r="A1871" i="166"/>
  <c r="B1870" i="166"/>
  <c r="B1871" i="166" s="1"/>
  <c r="H1868" i="166"/>
  <c r="G1868" i="166"/>
  <c r="E1868" i="166" s="1"/>
  <c r="A1868" i="166"/>
  <c r="B1867" i="166"/>
  <c r="B1868" i="166" s="1"/>
  <c r="H1865" i="166"/>
  <c r="G1865" i="166"/>
  <c r="E1865" i="166" s="1"/>
  <c r="A1865" i="166"/>
  <c r="B1864" i="166"/>
  <c r="B1865" i="166" s="1"/>
  <c r="H1862" i="166"/>
  <c r="G1862" i="166"/>
  <c r="E1862" i="166" s="1"/>
  <c r="A1862" i="166"/>
  <c r="B1861" i="166"/>
  <c r="B1862" i="166" s="1"/>
  <c r="H1859" i="166"/>
  <c r="G1859" i="166"/>
  <c r="E1859" i="166" s="1"/>
  <c r="A1859" i="166"/>
  <c r="B1858" i="166"/>
  <c r="B1859" i="166" s="1"/>
  <c r="H1856" i="166"/>
  <c r="G1856" i="166"/>
  <c r="E1856" i="166" s="1"/>
  <c r="A1856" i="166"/>
  <c r="B1855" i="166"/>
  <c r="B1856" i="166" s="1"/>
  <c r="H1853" i="166"/>
  <c r="G1853" i="166"/>
  <c r="E1853" i="166" s="1"/>
  <c r="A1853" i="166"/>
  <c r="B1852" i="166"/>
  <c r="B1853" i="166" s="1"/>
  <c r="H1850" i="166"/>
  <c r="G1850" i="166"/>
  <c r="E1850" i="166" s="1"/>
  <c r="A1850" i="166"/>
  <c r="B1849" i="166"/>
  <c r="B1850" i="166" s="1"/>
  <c r="H1847" i="166"/>
  <c r="G1847" i="166"/>
  <c r="E1847" i="166" s="1"/>
  <c r="A1847" i="166"/>
  <c r="B1846" i="166"/>
  <c r="B1847" i="166" s="1"/>
  <c r="H1844" i="166"/>
  <c r="G1844" i="166"/>
  <c r="E1844" i="166" s="1"/>
  <c r="A1844" i="166"/>
  <c r="B1843" i="166"/>
  <c r="B1844" i="166" s="1"/>
  <c r="H1841" i="166"/>
  <c r="G1841" i="166"/>
  <c r="E1841" i="166" s="1"/>
  <c r="A1841" i="166"/>
  <c r="B1840" i="166"/>
  <c r="B1841" i="166" s="1"/>
  <c r="H1838" i="166"/>
  <c r="G1838" i="166"/>
  <c r="E1838" i="166" s="1"/>
  <c r="A1838" i="166"/>
  <c r="B1837" i="166"/>
  <c r="B1838" i="166" s="1"/>
  <c r="H1835" i="166"/>
  <c r="G1835" i="166"/>
  <c r="E1835" i="166" s="1"/>
  <c r="A1835" i="166"/>
  <c r="B1834" i="166"/>
  <c r="B1835" i="166" s="1"/>
  <c r="H1832" i="166"/>
  <c r="G1832" i="166"/>
  <c r="E1832" i="166" s="1"/>
  <c r="A1832" i="166"/>
  <c r="B1831" i="166"/>
  <c r="B1832" i="166" s="1"/>
  <c r="H1829" i="166"/>
  <c r="G1829" i="166"/>
  <c r="E1829" i="166" s="1"/>
  <c r="A1829" i="166"/>
  <c r="B1828" i="166"/>
  <c r="B1829" i="166" s="1"/>
  <c r="H1826" i="166"/>
  <c r="G1826" i="166"/>
  <c r="E1826" i="166" s="1"/>
  <c r="A1826" i="166"/>
  <c r="B1825" i="166"/>
  <c r="B1826" i="166" s="1"/>
  <c r="H1823" i="166"/>
  <c r="G1823" i="166"/>
  <c r="E1823" i="166" s="1"/>
  <c r="A1823" i="166"/>
  <c r="B1822" i="166"/>
  <c r="B1823" i="166" s="1"/>
  <c r="H1820" i="166"/>
  <c r="G1820" i="166"/>
  <c r="E1820" i="166" s="1"/>
  <c r="A1820" i="166"/>
  <c r="B1819" i="166"/>
  <c r="B1820" i="166" s="1"/>
  <c r="H1817" i="166"/>
  <c r="G1817" i="166"/>
  <c r="E1817" i="166" s="1"/>
  <c r="A1817" i="166"/>
  <c r="B1816" i="166"/>
  <c r="B1817" i="166" s="1"/>
  <c r="H1814" i="166"/>
  <c r="G1814" i="166"/>
  <c r="E1814" i="166" s="1"/>
  <c r="A1814" i="166"/>
  <c r="B1813" i="166"/>
  <c r="B1814" i="166" s="1"/>
  <c r="H1811" i="166"/>
  <c r="G1811" i="166"/>
  <c r="E1811" i="166" s="1"/>
  <c r="A1811" i="166"/>
  <c r="B1810" i="166"/>
  <c r="B1811" i="166" s="1"/>
  <c r="H1808" i="166"/>
  <c r="G1808" i="166"/>
  <c r="E1808" i="166" s="1"/>
  <c r="A1808" i="166"/>
  <c r="B1807" i="166"/>
  <c r="B1808" i="166" s="1"/>
  <c r="H1805" i="166"/>
  <c r="G1805" i="166"/>
  <c r="E1805" i="166" s="1"/>
  <c r="A1805" i="166"/>
  <c r="B1804" i="166"/>
  <c r="B1805" i="166" s="1"/>
  <c r="H1802" i="166"/>
  <c r="G1802" i="166"/>
  <c r="E1802" i="166" s="1"/>
  <c r="A1802" i="166"/>
  <c r="B1801" i="166"/>
  <c r="B1802" i="166" s="1"/>
  <c r="H1799" i="166"/>
  <c r="G1799" i="166"/>
  <c r="E1799" i="166" s="1"/>
  <c r="A1799" i="166"/>
  <c r="B1798" i="166"/>
  <c r="B1799" i="166" s="1"/>
  <c r="H1796" i="166"/>
  <c r="G1796" i="166"/>
  <c r="E1796" i="166" s="1"/>
  <c r="A1796" i="166"/>
  <c r="B1795" i="166"/>
  <c r="B1796" i="166" s="1"/>
  <c r="H1793" i="166"/>
  <c r="G1793" i="166"/>
  <c r="E1793" i="166" s="1"/>
  <c r="A1793" i="166"/>
  <c r="B1792" i="166"/>
  <c r="B1793" i="166" s="1"/>
  <c r="H1790" i="166"/>
  <c r="G1790" i="166"/>
  <c r="E1790" i="166" s="1"/>
  <c r="A1790" i="166"/>
  <c r="B1789" i="166"/>
  <c r="B1790" i="166" s="1"/>
  <c r="H1787" i="166"/>
  <c r="G1787" i="166"/>
  <c r="E1787" i="166" s="1"/>
  <c r="A1787" i="166"/>
  <c r="B1786" i="166"/>
  <c r="B1787" i="166" s="1"/>
  <c r="H1784" i="166"/>
  <c r="G1784" i="166"/>
  <c r="E1784" i="166" s="1"/>
  <c r="A1784" i="166"/>
  <c r="B1783" i="166"/>
  <c r="B1784" i="166" s="1"/>
  <c r="H1781" i="166"/>
  <c r="G1781" i="166"/>
  <c r="E1781" i="166" s="1"/>
  <c r="A1781" i="166"/>
  <c r="B1780" i="166"/>
  <c r="B1781" i="166" s="1"/>
  <c r="H1778" i="166"/>
  <c r="G1778" i="166"/>
  <c r="E1778" i="166" s="1"/>
  <c r="A1778" i="166"/>
  <c r="B1777" i="166"/>
  <c r="B1778" i="166" s="1"/>
  <c r="H1775" i="166"/>
  <c r="G1775" i="166"/>
  <c r="E1775" i="166" s="1"/>
  <c r="A1775" i="166"/>
  <c r="B1774" i="166"/>
  <c r="B1775" i="166" s="1"/>
  <c r="H1772" i="166"/>
  <c r="G1772" i="166"/>
  <c r="E1772" i="166" s="1"/>
  <c r="A1772" i="166"/>
  <c r="B1771" i="166"/>
  <c r="B1772" i="166" s="1"/>
  <c r="H1769" i="166"/>
  <c r="G1769" i="166"/>
  <c r="E1769" i="166" s="1"/>
  <c r="A1769" i="166"/>
  <c r="B1768" i="166"/>
  <c r="B1769" i="166" s="1"/>
  <c r="H1766" i="166"/>
  <c r="G1766" i="166"/>
  <c r="E1766" i="166" s="1"/>
  <c r="A1766" i="166"/>
  <c r="B1765" i="166"/>
  <c r="B1766" i="166" s="1"/>
  <c r="H1763" i="166"/>
  <c r="G1763" i="166"/>
  <c r="E1763" i="166" s="1"/>
  <c r="A1763" i="166"/>
  <c r="B1762" i="166"/>
  <c r="B1763" i="166" s="1"/>
  <c r="H1760" i="166"/>
  <c r="G1760" i="166"/>
  <c r="E1760" i="166" s="1"/>
  <c r="A1760" i="166"/>
  <c r="B1759" i="166"/>
  <c r="B1760" i="166" s="1"/>
  <c r="H1757" i="166"/>
  <c r="G1757" i="166"/>
  <c r="E1757" i="166" s="1"/>
  <c r="A1757" i="166"/>
  <c r="B1756" i="166"/>
  <c r="B1757" i="166" s="1"/>
  <c r="H1754" i="166"/>
  <c r="G1754" i="166"/>
  <c r="E1754" i="166" s="1"/>
  <c r="A1754" i="166"/>
  <c r="B1753" i="166"/>
  <c r="B1754" i="166" s="1"/>
  <c r="H1751" i="166"/>
  <c r="G1751" i="166"/>
  <c r="E1751" i="166" s="1"/>
  <c r="A1751" i="166"/>
  <c r="B1750" i="166"/>
  <c r="B1751" i="166" s="1"/>
  <c r="H1748" i="166"/>
  <c r="G1748" i="166"/>
  <c r="E1748" i="166" s="1"/>
  <c r="A1748" i="166"/>
  <c r="B1747" i="166"/>
  <c r="B1748" i="166" s="1"/>
  <c r="H1745" i="166"/>
  <c r="G1745" i="166"/>
  <c r="E1745" i="166" s="1"/>
  <c r="A1745" i="166"/>
  <c r="B1744" i="166"/>
  <c r="B1745" i="166" s="1"/>
  <c r="H1742" i="166"/>
  <c r="G1742" i="166"/>
  <c r="E1742" i="166" s="1"/>
  <c r="A1742" i="166"/>
  <c r="B1741" i="166"/>
  <c r="B1742" i="166" s="1"/>
  <c r="H1739" i="166"/>
  <c r="G1739" i="166"/>
  <c r="E1739" i="166" s="1"/>
  <c r="A1739" i="166"/>
  <c r="B1738" i="166"/>
  <c r="B1739" i="166" s="1"/>
  <c r="H1736" i="166"/>
  <c r="G1736" i="166"/>
  <c r="E1736" i="166" s="1"/>
  <c r="A1736" i="166"/>
  <c r="B1735" i="166"/>
  <c r="B1736" i="166" s="1"/>
  <c r="H1733" i="166"/>
  <c r="G1733" i="166"/>
  <c r="E1733" i="166" s="1"/>
  <c r="A1733" i="166"/>
  <c r="B1732" i="166"/>
  <c r="B1733" i="166" s="1"/>
  <c r="H1730" i="166"/>
  <c r="G1730" i="166"/>
  <c r="E1730" i="166" s="1"/>
  <c r="A1730" i="166"/>
  <c r="B1729" i="166"/>
  <c r="B1730" i="166" s="1"/>
  <c r="H1727" i="166"/>
  <c r="G1727" i="166"/>
  <c r="E1727" i="166" s="1"/>
  <c r="A1727" i="166"/>
  <c r="B1726" i="166"/>
  <c r="B1727" i="166" s="1"/>
  <c r="H1724" i="166"/>
  <c r="G1724" i="166"/>
  <c r="E1724" i="166" s="1"/>
  <c r="A1724" i="166"/>
  <c r="B1723" i="166"/>
  <c r="B1724" i="166" s="1"/>
  <c r="H1721" i="166"/>
  <c r="G1721" i="166"/>
  <c r="E1721" i="166" s="1"/>
  <c r="A1721" i="166"/>
  <c r="B1720" i="166"/>
  <c r="B1721" i="166" s="1"/>
  <c r="H1718" i="166"/>
  <c r="G1718" i="166"/>
  <c r="E1718" i="166" s="1"/>
  <c r="A1718" i="166"/>
  <c r="B1717" i="166"/>
  <c r="B1718" i="166" s="1"/>
  <c r="H1715" i="166"/>
  <c r="G1715" i="166"/>
  <c r="E1715" i="166" s="1"/>
  <c r="A1715" i="166"/>
  <c r="B1714" i="166"/>
  <c r="B1715" i="166" s="1"/>
  <c r="H1712" i="166"/>
  <c r="G1712" i="166"/>
  <c r="E1712" i="166" s="1"/>
  <c r="A1712" i="166"/>
  <c r="B1711" i="166"/>
  <c r="B1712" i="166" s="1"/>
  <c r="H1709" i="166"/>
  <c r="G1709" i="166"/>
  <c r="E1709" i="166" s="1"/>
  <c r="A1709" i="166"/>
  <c r="B1708" i="166"/>
  <c r="B1709" i="166" s="1"/>
  <c r="H1706" i="166"/>
  <c r="G1706" i="166"/>
  <c r="E1706" i="166" s="1"/>
  <c r="A1706" i="166"/>
  <c r="B1705" i="166"/>
  <c r="B1706" i="166" s="1"/>
  <c r="H1703" i="166"/>
  <c r="G1703" i="166"/>
  <c r="E1703" i="166" s="1"/>
  <c r="A1703" i="166"/>
  <c r="B1702" i="166"/>
  <c r="B1703" i="166" s="1"/>
  <c r="H1700" i="166"/>
  <c r="G1700" i="166"/>
  <c r="E1700" i="166" s="1"/>
  <c r="A1700" i="166"/>
  <c r="B1699" i="166"/>
  <c r="B1700" i="166" s="1"/>
  <c r="H1697" i="166"/>
  <c r="G1697" i="166"/>
  <c r="E1697" i="166" s="1"/>
  <c r="A1697" i="166"/>
  <c r="B1696" i="166"/>
  <c r="B1697" i="166" s="1"/>
  <c r="H1694" i="166"/>
  <c r="G1694" i="166"/>
  <c r="E1694" i="166" s="1"/>
  <c r="A1694" i="166"/>
  <c r="B1693" i="166"/>
  <c r="B1694" i="166" s="1"/>
  <c r="H1691" i="166"/>
  <c r="G1691" i="166"/>
  <c r="E1691" i="166" s="1"/>
  <c r="A1691" i="166"/>
  <c r="B1690" i="166"/>
  <c r="B1691" i="166" s="1"/>
  <c r="H1688" i="166"/>
  <c r="G1688" i="166"/>
  <c r="E1688" i="166" s="1"/>
  <c r="A1688" i="166"/>
  <c r="B1687" i="166"/>
  <c r="B1688" i="166" s="1"/>
  <c r="H1685" i="166"/>
  <c r="G1685" i="166"/>
  <c r="E1685" i="166" s="1"/>
  <c r="A1685" i="166"/>
  <c r="B1684" i="166"/>
  <c r="B1685" i="166" s="1"/>
  <c r="H1682" i="166"/>
  <c r="G1682" i="166"/>
  <c r="E1682" i="166" s="1"/>
  <c r="A1682" i="166"/>
  <c r="B1681" i="166"/>
  <c r="B1682" i="166" s="1"/>
  <c r="H1679" i="166"/>
  <c r="G1679" i="166"/>
  <c r="E1679" i="166" s="1"/>
  <c r="A1679" i="166"/>
  <c r="B1678" i="166"/>
  <c r="B1679" i="166" s="1"/>
  <c r="H1676" i="166"/>
  <c r="G1676" i="166"/>
  <c r="E1676" i="166" s="1"/>
  <c r="A1676" i="166"/>
  <c r="B1675" i="166"/>
  <c r="B1676" i="166" s="1"/>
  <c r="H1673" i="166"/>
  <c r="G1673" i="166"/>
  <c r="E1673" i="166" s="1"/>
  <c r="A1673" i="166"/>
  <c r="B1672" i="166"/>
  <c r="B1673" i="166" s="1"/>
  <c r="H1670" i="166"/>
  <c r="G1670" i="166"/>
  <c r="E1670" i="166" s="1"/>
  <c r="A1670" i="166"/>
  <c r="B1669" i="166"/>
  <c r="B1670" i="166" s="1"/>
  <c r="H1667" i="166"/>
  <c r="A1667" i="166"/>
  <c r="B1665" i="166"/>
  <c r="B1667" i="166" s="1"/>
  <c r="H1663" i="166"/>
  <c r="G1663" i="166"/>
  <c r="E1663" i="166" s="1"/>
  <c r="A1663" i="166"/>
  <c r="B1662" i="166"/>
  <c r="B1663" i="166" s="1"/>
  <c r="H1660" i="166"/>
  <c r="G1660" i="166"/>
  <c r="E1660" i="166" s="1"/>
  <c r="A1660" i="166"/>
  <c r="B1659" i="166"/>
  <c r="B1660" i="166" s="1"/>
  <c r="H1657" i="166"/>
  <c r="G1657" i="166"/>
  <c r="E1657" i="166" s="1"/>
  <c r="A1657" i="166"/>
  <c r="B1656" i="166"/>
  <c r="B1657" i="166" s="1"/>
  <c r="H1654" i="166"/>
  <c r="G1654" i="166"/>
  <c r="E1654" i="166" s="1"/>
  <c r="A1654" i="166"/>
  <c r="B1653" i="166"/>
  <c r="B1654" i="166" s="1"/>
  <c r="H1651" i="166"/>
  <c r="G1651" i="166"/>
  <c r="E1651" i="166" s="1"/>
  <c r="A1651" i="166"/>
  <c r="B1650" i="166"/>
  <c r="B1651" i="166" s="1"/>
  <c r="H1648" i="166"/>
  <c r="G1648" i="166"/>
  <c r="E1648" i="166" s="1"/>
  <c r="A1648" i="166"/>
  <c r="B1647" i="166"/>
  <c r="B1648" i="166" s="1"/>
  <c r="H1645" i="166"/>
  <c r="G1645" i="166"/>
  <c r="E1645" i="166" s="1"/>
  <c r="A1645" i="166"/>
  <c r="B1644" i="166"/>
  <c r="B1645" i="166" s="1"/>
  <c r="H1642" i="166"/>
  <c r="G1642" i="166"/>
  <c r="E1642" i="166" s="1"/>
  <c r="A1642" i="166"/>
  <c r="B1641" i="166"/>
  <c r="B1642" i="166" s="1"/>
  <c r="H1639" i="166"/>
  <c r="G1639" i="166"/>
  <c r="E1639" i="166" s="1"/>
  <c r="A1639" i="166"/>
  <c r="B1638" i="166"/>
  <c r="B1639" i="166" s="1"/>
  <c r="H1636" i="166"/>
  <c r="G1636" i="166"/>
  <c r="E1636" i="166" s="1"/>
  <c r="A1636" i="166"/>
  <c r="B1635" i="166"/>
  <c r="B1636" i="166" s="1"/>
  <c r="H1633" i="166"/>
  <c r="G1633" i="166"/>
  <c r="E1633" i="166" s="1"/>
  <c r="A1633" i="166"/>
  <c r="B1632" i="166"/>
  <c r="B1633" i="166" s="1"/>
  <c r="H1630" i="166"/>
  <c r="G1630" i="166"/>
  <c r="E1630" i="166" s="1"/>
  <c r="A1630" i="166"/>
  <c r="B1629" i="166"/>
  <c r="B1630" i="166" s="1"/>
  <c r="H1627" i="166"/>
  <c r="G1627" i="166"/>
  <c r="E1627" i="166" s="1"/>
  <c r="A1627" i="166"/>
  <c r="B1626" i="166"/>
  <c r="B1627" i="166" s="1"/>
  <c r="H1624" i="166"/>
  <c r="G1624" i="166"/>
  <c r="E1624" i="166" s="1"/>
  <c r="A1624" i="166"/>
  <c r="B1623" i="166"/>
  <c r="B1624" i="166" s="1"/>
  <c r="H1621" i="166"/>
  <c r="G1621" i="166"/>
  <c r="E1621" i="166" s="1"/>
  <c r="A1621" i="166"/>
  <c r="B1620" i="166"/>
  <c r="B1621" i="166" s="1"/>
  <c r="H1618" i="166"/>
  <c r="G1618" i="166"/>
  <c r="E1618" i="166" s="1"/>
  <c r="A1618" i="166"/>
  <c r="B1617" i="166"/>
  <c r="B1618" i="166" s="1"/>
  <c r="H1615" i="166"/>
  <c r="G1615" i="166"/>
  <c r="E1615" i="166" s="1"/>
  <c r="A1615" i="166"/>
  <c r="B1614" i="166"/>
  <c r="B1615" i="166" s="1"/>
  <c r="H1612" i="166"/>
  <c r="G1612" i="166"/>
  <c r="E1612" i="166" s="1"/>
  <c r="A1612" i="166"/>
  <c r="B1611" i="166"/>
  <c r="B1612" i="166" s="1"/>
  <c r="H1609" i="166"/>
  <c r="G1609" i="166"/>
  <c r="E1609" i="166" s="1"/>
  <c r="A1609" i="166"/>
  <c r="B1608" i="166"/>
  <c r="B1609" i="166" s="1"/>
  <c r="H1606" i="166"/>
  <c r="G1606" i="166"/>
  <c r="E1606" i="166" s="1"/>
  <c r="A1606" i="166"/>
  <c r="B1605" i="166"/>
  <c r="B1606" i="166" s="1"/>
  <c r="H1603" i="166"/>
  <c r="G1603" i="166"/>
  <c r="E1603" i="166" s="1"/>
  <c r="A1603" i="166"/>
  <c r="B1602" i="166"/>
  <c r="B1603" i="166" s="1"/>
  <c r="H1600" i="166"/>
  <c r="G1600" i="166"/>
  <c r="E1600" i="166" s="1"/>
  <c r="A1600" i="166"/>
  <c r="B1599" i="166"/>
  <c r="B1600" i="166" s="1"/>
  <c r="H1597" i="166"/>
  <c r="G1597" i="166"/>
  <c r="E1597" i="166" s="1"/>
  <c r="A1597" i="166"/>
  <c r="B1596" i="166"/>
  <c r="B1597" i="166" s="1"/>
  <c r="H1594" i="166"/>
  <c r="G1594" i="166"/>
  <c r="E1594" i="166" s="1"/>
  <c r="A1594" i="166"/>
  <c r="B1593" i="166"/>
  <c r="B1594" i="166" s="1"/>
  <c r="H1591" i="166"/>
  <c r="G1591" i="166"/>
  <c r="E1591" i="166" s="1"/>
  <c r="A1591" i="166"/>
  <c r="B1590" i="166"/>
  <c r="B1591" i="166" s="1"/>
  <c r="H1588" i="166"/>
  <c r="G1588" i="166"/>
  <c r="E1588" i="166" s="1"/>
  <c r="A1588" i="166"/>
  <c r="B1587" i="166"/>
  <c r="B1588" i="166" s="1"/>
  <c r="H1585" i="166"/>
  <c r="G1585" i="166"/>
  <c r="E1585" i="166" s="1"/>
  <c r="A1585" i="166"/>
  <c r="B1584" i="166"/>
  <c r="B1585" i="166" s="1"/>
  <c r="H1582" i="166"/>
  <c r="G1582" i="166"/>
  <c r="E1582" i="166" s="1"/>
  <c r="A1582" i="166"/>
  <c r="B1581" i="166"/>
  <c r="B1582" i="166" s="1"/>
  <c r="H1579" i="166"/>
  <c r="G1579" i="166"/>
  <c r="E1579" i="166" s="1"/>
  <c r="A1579" i="166"/>
  <c r="B1578" i="166"/>
  <c r="B1579" i="166" s="1"/>
  <c r="H1576" i="166"/>
  <c r="G1576" i="166"/>
  <c r="E1576" i="166" s="1"/>
  <c r="A1576" i="166"/>
  <c r="B1575" i="166"/>
  <c r="B1576" i="166" s="1"/>
  <c r="H1573" i="166"/>
  <c r="G1573" i="166"/>
  <c r="E1573" i="166" s="1"/>
  <c r="A1573" i="166"/>
  <c r="B1572" i="166"/>
  <c r="B1573" i="166" s="1"/>
  <c r="H1570" i="166"/>
  <c r="G1570" i="166"/>
  <c r="E1570" i="166" s="1"/>
  <c r="A1570" i="166"/>
  <c r="B1569" i="166"/>
  <c r="B1570" i="166" s="1"/>
  <c r="H1567" i="166"/>
  <c r="G1567" i="166"/>
  <c r="E1567" i="166" s="1"/>
  <c r="A1567" i="166"/>
  <c r="B1566" i="166"/>
  <c r="B1567" i="166" s="1"/>
  <c r="H1564" i="166"/>
  <c r="G1564" i="166"/>
  <c r="E1564" i="166" s="1"/>
  <c r="A1564" i="166"/>
  <c r="B1563" i="166"/>
  <c r="B1564" i="166" s="1"/>
  <c r="H1561" i="166"/>
  <c r="G1561" i="166"/>
  <c r="E1561" i="166" s="1"/>
  <c r="A1561" i="166"/>
  <c r="B1560" i="166"/>
  <c r="B1561" i="166" s="1"/>
  <c r="H1558" i="166"/>
  <c r="G1558" i="166"/>
  <c r="E1558" i="166" s="1"/>
  <c r="A1558" i="166"/>
  <c r="B1557" i="166"/>
  <c r="B1558" i="166" s="1"/>
  <c r="H1555" i="166"/>
  <c r="G1555" i="166"/>
  <c r="E1555" i="166" s="1"/>
  <c r="A1555" i="166"/>
  <c r="B1554" i="166"/>
  <c r="B1555" i="166" s="1"/>
  <c r="H1552" i="166"/>
  <c r="G1552" i="166"/>
  <c r="E1552" i="166" s="1"/>
  <c r="A1552" i="166"/>
  <c r="B1551" i="166"/>
  <c r="B1552" i="166" s="1"/>
  <c r="H1549" i="166"/>
  <c r="G1549" i="166"/>
  <c r="E1549" i="166" s="1"/>
  <c r="A1549" i="166"/>
  <c r="B1548" i="166"/>
  <c r="B1549" i="166" s="1"/>
  <c r="H1546" i="166"/>
  <c r="G1546" i="166"/>
  <c r="E1546" i="166" s="1"/>
  <c r="A1546" i="166"/>
  <c r="B1545" i="166"/>
  <c r="B1546" i="166" s="1"/>
  <c r="H1543" i="166"/>
  <c r="G1543" i="166"/>
  <c r="E1543" i="166" s="1"/>
  <c r="A1543" i="166"/>
  <c r="B1542" i="166"/>
  <c r="B1543" i="166" s="1"/>
  <c r="H1540" i="166"/>
  <c r="G1540" i="166"/>
  <c r="E1540" i="166" s="1"/>
  <c r="A1540" i="166"/>
  <c r="B1539" i="166"/>
  <c r="B1540" i="166" s="1"/>
  <c r="H1537" i="166"/>
  <c r="G1537" i="166"/>
  <c r="E1537" i="166" s="1"/>
  <c r="A1537" i="166"/>
  <c r="B1536" i="166"/>
  <c r="B1537" i="166" s="1"/>
  <c r="H1534" i="166"/>
  <c r="G1534" i="166"/>
  <c r="E1534" i="166" s="1"/>
  <c r="A1534" i="166"/>
  <c r="B1533" i="166"/>
  <c r="B1534" i="166" s="1"/>
  <c r="H1531" i="166"/>
  <c r="G1531" i="166"/>
  <c r="E1531" i="166" s="1"/>
  <c r="A1531" i="166"/>
  <c r="B1530" i="166"/>
  <c r="B1531" i="166" s="1"/>
  <c r="H1528" i="166"/>
  <c r="G1528" i="166"/>
  <c r="E1528" i="166" s="1"/>
  <c r="A1528" i="166"/>
  <c r="B1527" i="166"/>
  <c r="B1528" i="166" s="1"/>
  <c r="H1525" i="166"/>
  <c r="G1525" i="166"/>
  <c r="E1525" i="166" s="1"/>
  <c r="A1525" i="166"/>
  <c r="B1524" i="166"/>
  <c r="B1525" i="166" s="1"/>
  <c r="H1522" i="166"/>
  <c r="G1522" i="166"/>
  <c r="E1522" i="166" s="1"/>
  <c r="A1522" i="166"/>
  <c r="B1521" i="166"/>
  <c r="B1522" i="166" s="1"/>
  <c r="H1519" i="166"/>
  <c r="G1519" i="166"/>
  <c r="E1519" i="166" s="1"/>
  <c r="A1519" i="166"/>
  <c r="B1518" i="166"/>
  <c r="B1519" i="166" s="1"/>
  <c r="H1516" i="166"/>
  <c r="G1516" i="166"/>
  <c r="E1516" i="166" s="1"/>
  <c r="A1516" i="166"/>
  <c r="B1515" i="166"/>
  <c r="B1516" i="166" s="1"/>
  <c r="H1513" i="166"/>
  <c r="G1513" i="166"/>
  <c r="E1513" i="166" s="1"/>
  <c r="A1513" i="166"/>
  <c r="B1512" i="166"/>
  <c r="B1513" i="166" s="1"/>
  <c r="H1510" i="166"/>
  <c r="G1510" i="166"/>
  <c r="E1510" i="166" s="1"/>
  <c r="A1510" i="166"/>
  <c r="B1509" i="166"/>
  <c r="B1510" i="166" s="1"/>
  <c r="H1507" i="166"/>
  <c r="G1507" i="166"/>
  <c r="E1507" i="166" s="1"/>
  <c r="A1507" i="166"/>
  <c r="B1506" i="166"/>
  <c r="B1507" i="166" s="1"/>
  <c r="H1504" i="166"/>
  <c r="G1504" i="166"/>
  <c r="E1504" i="166" s="1"/>
  <c r="A1504" i="166"/>
  <c r="B1503" i="166"/>
  <c r="B1504" i="166" s="1"/>
  <c r="H1501" i="166"/>
  <c r="G1501" i="166"/>
  <c r="E1501" i="166" s="1"/>
  <c r="A1501" i="166"/>
  <c r="B1500" i="166"/>
  <c r="B1501" i="166" s="1"/>
  <c r="H1498" i="166"/>
  <c r="G1498" i="166"/>
  <c r="E1498" i="166" s="1"/>
  <c r="A1498" i="166"/>
  <c r="B1497" i="166"/>
  <c r="B1498" i="166" s="1"/>
  <c r="H1495" i="166"/>
  <c r="G1495" i="166"/>
  <c r="E1495" i="166" s="1"/>
  <c r="A1495" i="166"/>
  <c r="B1494" i="166"/>
  <c r="B1495" i="166" s="1"/>
  <c r="H1492" i="166"/>
  <c r="G1492" i="166"/>
  <c r="E1492" i="166" s="1"/>
  <c r="A1492" i="166"/>
  <c r="B1491" i="166"/>
  <c r="B1492" i="166" s="1"/>
  <c r="H1489" i="166"/>
  <c r="G1489" i="166"/>
  <c r="E1489" i="166" s="1"/>
  <c r="A1489" i="166"/>
  <c r="B1488" i="166"/>
  <c r="B1489" i="166" s="1"/>
  <c r="H1486" i="166"/>
  <c r="G1486" i="166"/>
  <c r="E1486" i="166" s="1"/>
  <c r="A1486" i="166"/>
  <c r="B1485" i="166"/>
  <c r="B1486" i="166" s="1"/>
  <c r="H1483" i="166"/>
  <c r="G1483" i="166"/>
  <c r="E1483" i="166" s="1"/>
  <c r="A1483" i="166"/>
  <c r="B1482" i="166"/>
  <c r="B1483" i="166" s="1"/>
  <c r="H1480" i="166"/>
  <c r="G1480" i="166"/>
  <c r="E1480" i="166" s="1"/>
  <c r="A1480" i="166"/>
  <c r="B1479" i="166"/>
  <c r="B1480" i="166" s="1"/>
  <c r="H1477" i="166"/>
  <c r="G1477" i="166"/>
  <c r="E1477" i="166" s="1"/>
  <c r="A1477" i="166"/>
  <c r="B1476" i="166"/>
  <c r="B1477" i="166" s="1"/>
  <c r="H1474" i="166"/>
  <c r="G1474" i="166"/>
  <c r="E1474" i="166" s="1"/>
  <c r="A1474" i="166"/>
  <c r="B1473" i="166"/>
  <c r="B1474" i="166" s="1"/>
  <c r="H1471" i="166"/>
  <c r="G1471" i="166"/>
  <c r="E1471" i="166" s="1"/>
  <c r="A1471" i="166"/>
  <c r="B1470" i="166"/>
  <c r="B1471" i="166" s="1"/>
  <c r="H1468" i="166"/>
  <c r="G1468" i="166"/>
  <c r="E1468" i="166" s="1"/>
  <c r="A1468" i="166"/>
  <c r="B1467" i="166"/>
  <c r="B1468" i="166" s="1"/>
  <c r="H1465" i="166"/>
  <c r="G1465" i="166"/>
  <c r="E1465" i="166" s="1"/>
  <c r="A1465" i="166"/>
  <c r="B1464" i="166"/>
  <c r="B1465" i="166" s="1"/>
  <c r="H1462" i="166"/>
  <c r="G1462" i="166"/>
  <c r="E1462" i="166" s="1"/>
  <c r="A1462" i="166"/>
  <c r="B1461" i="166"/>
  <c r="B1462" i="166" s="1"/>
  <c r="H1459" i="166"/>
  <c r="G1459" i="166"/>
  <c r="E1459" i="166" s="1"/>
  <c r="A1459" i="166"/>
  <c r="B1458" i="166"/>
  <c r="B1459" i="166" s="1"/>
  <c r="H1456" i="166"/>
  <c r="A1456" i="166"/>
  <c r="B1454" i="166"/>
  <c r="B1456" i="166" s="1"/>
  <c r="H1452" i="166"/>
  <c r="G1452" i="166"/>
  <c r="E1452" i="166" s="1"/>
  <c r="A1452" i="166"/>
  <c r="B1451" i="166"/>
  <c r="B1452" i="166" s="1"/>
  <c r="H1449" i="166"/>
  <c r="G1449" i="166"/>
  <c r="E1449" i="166" s="1"/>
  <c r="A1449" i="166"/>
  <c r="B1448" i="166"/>
  <c r="B1449" i="166" s="1"/>
  <c r="H1446" i="166"/>
  <c r="G1446" i="166"/>
  <c r="E1446" i="166" s="1"/>
  <c r="A1446" i="166"/>
  <c r="B1445" i="166"/>
  <c r="B1446" i="166" s="1"/>
  <c r="H1443" i="166"/>
  <c r="G1443" i="166"/>
  <c r="E1443" i="166" s="1"/>
  <c r="A1443" i="166"/>
  <c r="B1442" i="166"/>
  <c r="B1443" i="166" s="1"/>
  <c r="H1440" i="166"/>
  <c r="G1440" i="166"/>
  <c r="E1440" i="166" s="1"/>
  <c r="A1440" i="166"/>
  <c r="B1439" i="166"/>
  <c r="B1440" i="166" s="1"/>
  <c r="H1437" i="166"/>
  <c r="G1437" i="166"/>
  <c r="E1437" i="166" s="1"/>
  <c r="A1437" i="166"/>
  <c r="B1436" i="166"/>
  <c r="B1437" i="166" s="1"/>
  <c r="H1434" i="166"/>
  <c r="G1434" i="166"/>
  <c r="E1434" i="166" s="1"/>
  <c r="A1434" i="166"/>
  <c r="B1433" i="166"/>
  <c r="B1434" i="166" s="1"/>
  <c r="H1431" i="166"/>
  <c r="G1431" i="166"/>
  <c r="E1431" i="166" s="1"/>
  <c r="A1431" i="166"/>
  <c r="B1430" i="166"/>
  <c r="B1431" i="166" s="1"/>
  <c r="H1428" i="166"/>
  <c r="G1428" i="166"/>
  <c r="E1428" i="166" s="1"/>
  <c r="A1428" i="166"/>
  <c r="B1427" i="166"/>
  <c r="B1428" i="166" s="1"/>
  <c r="H1425" i="166"/>
  <c r="G1425" i="166"/>
  <c r="E1425" i="166" s="1"/>
  <c r="A1425" i="166"/>
  <c r="B1424" i="166"/>
  <c r="B1425" i="166" s="1"/>
  <c r="H1422" i="166"/>
  <c r="G1422" i="166"/>
  <c r="E1422" i="166" s="1"/>
  <c r="A1422" i="166"/>
  <c r="B1421" i="166"/>
  <c r="B1422" i="166" s="1"/>
  <c r="H1419" i="166"/>
  <c r="G1419" i="166"/>
  <c r="E1419" i="166" s="1"/>
  <c r="A1419" i="166"/>
  <c r="B1418" i="166"/>
  <c r="B1419" i="166" s="1"/>
  <c r="H1416" i="166"/>
  <c r="G1416" i="166"/>
  <c r="E1416" i="166" s="1"/>
  <c r="A1416" i="166"/>
  <c r="B1415" i="166"/>
  <c r="B1416" i="166" s="1"/>
  <c r="H1413" i="166"/>
  <c r="G1413" i="166"/>
  <c r="E1413" i="166" s="1"/>
  <c r="A1413" i="166"/>
  <c r="B1412" i="166"/>
  <c r="B1413" i="166" s="1"/>
  <c r="H1410" i="166"/>
  <c r="G1410" i="166"/>
  <c r="E1410" i="166" s="1"/>
  <c r="A1410" i="166"/>
  <c r="B1409" i="166"/>
  <c r="B1410" i="166" s="1"/>
  <c r="H1407" i="166"/>
  <c r="G1407" i="166"/>
  <c r="E1407" i="166" s="1"/>
  <c r="A1407" i="166"/>
  <c r="B1406" i="166"/>
  <c r="B1407" i="166" s="1"/>
  <c r="H1404" i="166"/>
  <c r="G1404" i="166"/>
  <c r="E1404" i="166" s="1"/>
  <c r="A1404" i="166"/>
  <c r="B1403" i="166"/>
  <c r="B1404" i="166" s="1"/>
  <c r="H1401" i="166"/>
  <c r="G1401" i="166"/>
  <c r="E1401" i="166" s="1"/>
  <c r="A1401" i="166"/>
  <c r="B1400" i="166"/>
  <c r="B1401" i="166" s="1"/>
  <c r="H1398" i="166"/>
  <c r="G1398" i="166"/>
  <c r="E1398" i="166" s="1"/>
  <c r="A1398" i="166"/>
  <c r="B1397" i="166"/>
  <c r="B1398" i="166" s="1"/>
  <c r="H1395" i="166"/>
  <c r="G1395" i="166"/>
  <c r="E1395" i="166" s="1"/>
  <c r="A1395" i="166"/>
  <c r="B1394" i="166"/>
  <c r="B1395" i="166" s="1"/>
  <c r="H1392" i="166"/>
  <c r="G1392" i="166"/>
  <c r="E1392" i="166" s="1"/>
  <c r="A1392" i="166"/>
  <c r="B1391" i="166"/>
  <c r="B1392" i="166" s="1"/>
  <c r="H1389" i="166"/>
  <c r="G1389" i="166"/>
  <c r="E1389" i="166" s="1"/>
  <c r="A1389" i="166"/>
  <c r="B1388" i="166"/>
  <c r="B1389" i="166" s="1"/>
  <c r="H1386" i="166"/>
  <c r="G1386" i="166"/>
  <c r="E1386" i="166" s="1"/>
  <c r="A1386" i="166"/>
  <c r="B1385" i="166"/>
  <c r="B1386" i="166" s="1"/>
  <c r="H1383" i="166"/>
  <c r="G1383" i="166"/>
  <c r="E1383" i="166" s="1"/>
  <c r="A1383" i="166"/>
  <c r="B1382" i="166"/>
  <c r="B1383" i="166" s="1"/>
  <c r="H1380" i="166"/>
  <c r="G1380" i="166"/>
  <c r="E1380" i="166" s="1"/>
  <c r="A1380" i="166"/>
  <c r="B1379" i="166"/>
  <c r="B1380" i="166" s="1"/>
  <c r="H1377" i="166"/>
  <c r="G1377" i="166"/>
  <c r="E1377" i="166" s="1"/>
  <c r="A1377" i="166"/>
  <c r="B1376" i="166"/>
  <c r="B1377" i="166" s="1"/>
  <c r="H1374" i="166"/>
  <c r="G1374" i="166"/>
  <c r="E1374" i="166" s="1"/>
  <c r="A1374" i="166"/>
  <c r="B1373" i="166"/>
  <c r="B1374" i="166" s="1"/>
  <c r="H1371" i="166"/>
  <c r="G1371" i="166"/>
  <c r="E1371" i="166" s="1"/>
  <c r="A1371" i="166"/>
  <c r="B1370" i="166"/>
  <c r="B1371" i="166" s="1"/>
  <c r="H1368" i="166"/>
  <c r="G1368" i="166"/>
  <c r="E1368" i="166" s="1"/>
  <c r="A1368" i="166"/>
  <c r="B1367" i="166"/>
  <c r="B1368" i="166" s="1"/>
  <c r="H1365" i="166"/>
  <c r="G1365" i="166"/>
  <c r="E1365" i="166" s="1"/>
  <c r="A1365" i="166"/>
  <c r="B1364" i="166"/>
  <c r="B1365" i="166" s="1"/>
  <c r="H1362" i="166"/>
  <c r="G1362" i="166"/>
  <c r="E1362" i="166" s="1"/>
  <c r="A1362" i="166"/>
  <c r="B1361" i="166"/>
  <c r="B1362" i="166" s="1"/>
  <c r="H1359" i="166"/>
  <c r="G1359" i="166"/>
  <c r="E1359" i="166" s="1"/>
  <c r="A1359" i="166"/>
  <c r="B1358" i="166"/>
  <c r="B1359" i="166" s="1"/>
  <c r="H1356" i="166"/>
  <c r="G1356" i="166"/>
  <c r="E1356" i="166" s="1"/>
  <c r="A1356" i="166"/>
  <c r="B1355" i="166"/>
  <c r="B1356" i="166" s="1"/>
  <c r="H1353" i="166"/>
  <c r="G1353" i="166"/>
  <c r="E1353" i="166" s="1"/>
  <c r="A1353" i="166"/>
  <c r="B1352" i="166"/>
  <c r="B1353" i="166" s="1"/>
  <c r="H1350" i="166"/>
  <c r="G1350" i="166"/>
  <c r="E1350" i="166" s="1"/>
  <c r="A1350" i="166"/>
  <c r="B1349" i="166"/>
  <c r="B1350" i="166" s="1"/>
  <c r="H1347" i="166"/>
  <c r="G1347" i="166"/>
  <c r="E1347" i="166" s="1"/>
  <c r="A1347" i="166"/>
  <c r="B1346" i="166"/>
  <c r="B1347" i="166" s="1"/>
  <c r="H1344" i="166"/>
  <c r="G1344" i="166"/>
  <c r="E1344" i="166" s="1"/>
  <c r="A1344" i="166"/>
  <c r="B1343" i="166"/>
  <c r="B1344" i="166" s="1"/>
  <c r="H1341" i="166"/>
  <c r="G1341" i="166"/>
  <c r="E1341" i="166" s="1"/>
  <c r="A1341" i="166"/>
  <c r="B1340" i="166"/>
  <c r="B1341" i="166" s="1"/>
  <c r="H1338" i="166"/>
  <c r="G1338" i="166"/>
  <c r="E1338" i="166" s="1"/>
  <c r="A1338" i="166"/>
  <c r="B1337" i="166"/>
  <c r="B1338" i="166" s="1"/>
  <c r="H1335" i="166"/>
  <c r="G1335" i="166"/>
  <c r="E1335" i="166" s="1"/>
  <c r="A1335" i="166"/>
  <c r="B1334" i="166"/>
  <c r="B1335" i="166" s="1"/>
  <c r="H1332" i="166"/>
  <c r="G1332" i="166"/>
  <c r="E1332" i="166" s="1"/>
  <c r="A1332" i="166"/>
  <c r="B1331" i="166"/>
  <c r="B1332" i="166" s="1"/>
  <c r="H1329" i="166"/>
  <c r="G1329" i="166"/>
  <c r="E1329" i="166" s="1"/>
  <c r="A1329" i="166"/>
  <c r="B1328" i="166"/>
  <c r="B1329" i="166" s="1"/>
  <c r="H1326" i="166"/>
  <c r="G1326" i="166"/>
  <c r="E1326" i="166" s="1"/>
  <c r="A1326" i="166"/>
  <c r="B1325" i="166"/>
  <c r="B1326" i="166" s="1"/>
  <c r="H1323" i="166"/>
  <c r="G1323" i="166"/>
  <c r="E1323" i="166" s="1"/>
  <c r="A1323" i="166"/>
  <c r="B1322" i="166"/>
  <c r="B1323" i="166" s="1"/>
  <c r="H1320" i="166"/>
  <c r="G1320" i="166"/>
  <c r="E1320" i="166" s="1"/>
  <c r="A1320" i="166"/>
  <c r="B1319" i="166"/>
  <c r="B1320" i="166" s="1"/>
  <c r="H1317" i="166"/>
  <c r="G1317" i="166"/>
  <c r="E1317" i="166" s="1"/>
  <c r="A1317" i="166"/>
  <c r="B1316" i="166"/>
  <c r="B1317" i="166" s="1"/>
  <c r="H1314" i="166"/>
  <c r="G1314" i="166"/>
  <c r="E1314" i="166" s="1"/>
  <c r="A1314" i="166"/>
  <c r="B1313" i="166"/>
  <c r="B1314" i="166" s="1"/>
  <c r="H1311" i="166"/>
  <c r="G1311" i="166"/>
  <c r="E1311" i="166" s="1"/>
  <c r="A1311" i="166"/>
  <c r="B1310" i="166"/>
  <c r="B1311" i="166" s="1"/>
  <c r="H1308" i="166"/>
  <c r="G1308" i="166"/>
  <c r="E1308" i="166" s="1"/>
  <c r="A1308" i="166"/>
  <c r="B1307" i="166"/>
  <c r="B1308" i="166" s="1"/>
  <c r="E15" i="22" l="1"/>
  <c r="H1654" i="167"/>
  <c r="H1663" i="167" s="1"/>
  <c r="H1672" i="167" s="1"/>
  <c r="H1675" i="167" s="1"/>
  <c r="H1693" i="167" s="1"/>
  <c r="H1696" i="167" s="1"/>
  <c r="H1699" i="167" s="1"/>
  <c r="H1720" i="167" s="1"/>
  <c r="H1723" i="167" s="1"/>
  <c r="H1726" i="167" s="1"/>
  <c r="H1738" i="167" s="1"/>
  <c r="H1741" i="167" s="1"/>
  <c r="H1767" i="167" s="1"/>
  <c r="H1782" i="167" s="1"/>
  <c r="H1800" i="167" s="1"/>
  <c r="H1803" i="167" s="1"/>
  <c r="H1806" i="167" s="1"/>
  <c r="H1833" i="167" s="1"/>
  <c r="H1851" i="167" s="1"/>
  <c r="H1857" i="167" s="1"/>
  <c r="H1860" i="167" s="1"/>
  <c r="H1881" i="167" s="1"/>
  <c r="H1884" i="167" s="1"/>
  <c r="H1896" i="167" s="1"/>
  <c r="H1905" i="167" s="1"/>
  <c r="H1647" i="167"/>
  <c r="H2769" i="167"/>
  <c r="H2773" i="167"/>
  <c r="H2782" i="167" s="1"/>
  <c r="H2803" i="167" s="1"/>
  <c r="H2806" i="167" s="1"/>
  <c r="H2821" i="167" s="1"/>
  <c r="H2824" i="167" s="1"/>
  <c r="H2827" i="167" s="1"/>
  <c r="H2621" i="167"/>
  <c r="H2628" i="167"/>
  <c r="H2631" i="167" s="1"/>
  <c r="H2634" i="167" s="1"/>
  <c r="H2637" i="167" s="1"/>
  <c r="H2643" i="167" s="1"/>
  <c r="H2646" i="167" s="1"/>
  <c r="H2126" i="167"/>
  <c r="H2130" i="167"/>
  <c r="H2133" i="167" s="1"/>
  <c r="H2139" i="167" s="1"/>
  <c r="H2142" i="167" s="1"/>
  <c r="H2145" i="167" s="1"/>
  <c r="H2151" i="167" s="1"/>
  <c r="H2166" i="167" s="1"/>
  <c r="H2175" i="167" s="1"/>
  <c r="H2202" i="167" s="1"/>
  <c r="B1714" i="167"/>
  <c r="A2042" i="167"/>
  <c r="B3521" i="167"/>
  <c r="B2425" i="167"/>
  <c r="B2436" i="167" s="1"/>
  <c r="B2442" i="167" s="1"/>
  <c r="A2436" i="167"/>
  <c r="A2442" i="167" s="1"/>
  <c r="B1602" i="167"/>
  <c r="A3064" i="167"/>
  <c r="A1758" i="167"/>
  <c r="B2243" i="167"/>
  <c r="A2246" i="167"/>
  <c r="B2246" i="167" s="1"/>
  <c r="B2540" i="167"/>
  <c r="A2543" i="167"/>
  <c r="B2703" i="167"/>
  <c r="A2715" i="167"/>
  <c r="B2564" i="167"/>
  <c r="A2573" i="167"/>
  <c r="B2955" i="167"/>
  <c r="A2963" i="167"/>
  <c r="A2969" i="167" s="1"/>
  <c r="E1872" i="167"/>
  <c r="F2453" i="167"/>
  <c r="E2453" i="167" s="1"/>
  <c r="E1860" i="167"/>
  <c r="F1942" i="167"/>
  <c r="E1942" i="167" s="1"/>
  <c r="A1911" i="167"/>
  <c r="B1911" i="167" s="1"/>
  <c r="B1925" i="167"/>
  <c r="B2528" i="167"/>
  <c r="A2531" i="167"/>
  <c r="H2793" i="167"/>
  <c r="E1443" i="167"/>
  <c r="G1641" i="167"/>
  <c r="E1641" i="167" s="1"/>
  <c r="E1447" i="167"/>
  <c r="F1354" i="167"/>
  <c r="E1354" i="167" s="1"/>
  <c r="A2793" i="167"/>
  <c r="A2797" i="167" s="1"/>
  <c r="B2797" i="167" s="1"/>
  <c r="B2963" i="167"/>
  <c r="E1744" i="167"/>
  <c r="F1941" i="167"/>
  <c r="E1941" i="167" s="1"/>
  <c r="E1141" i="167"/>
  <c r="F1959" i="167"/>
  <c r="G2319" i="167" s="1"/>
  <c r="B2439" i="167"/>
  <c r="F2452" i="167"/>
  <c r="E2452" i="167" s="1"/>
  <c r="G2454" i="167"/>
  <c r="F2455" i="167" s="1"/>
  <c r="E2455" i="167" s="1"/>
  <c r="G2457" i="167"/>
  <c r="G5157" i="167" s="1"/>
  <c r="F2839" i="167"/>
  <c r="E2839" i="167" s="1"/>
  <c r="B3314" i="167"/>
  <c r="A3362" i="167"/>
  <c r="B3200" i="167"/>
  <c r="A3224" i="167"/>
  <c r="B2966" i="167"/>
  <c r="B2969" i="167"/>
  <c r="E1450" i="167"/>
  <c r="G1150" i="167"/>
  <c r="E1150" i="167" s="1"/>
  <c r="G926" i="167"/>
  <c r="E926" i="167" s="1"/>
  <c r="E891" i="167"/>
  <c r="G4100" i="167"/>
  <c r="F885" i="167"/>
  <c r="F1943" i="167"/>
  <c r="E1943" i="167" s="1"/>
  <c r="F2994" i="167"/>
  <c r="E2994" i="167" s="1"/>
  <c r="G2996" i="167"/>
  <c r="F2785" i="167" s="1"/>
  <c r="E2785" i="167" s="1"/>
  <c r="E888" i="167"/>
  <c r="F2451" i="167"/>
  <c r="E2451" i="167" s="1"/>
  <c r="B3750" i="167"/>
  <c r="A3759" i="167"/>
  <c r="B3149" i="167"/>
  <c r="A3152" i="167"/>
  <c r="B3097" i="167"/>
  <c r="A3100" i="167"/>
  <c r="B4587" i="167"/>
  <c r="B2975" i="167"/>
  <c r="E436" i="167"/>
  <c r="G3578" i="167"/>
  <c r="F1940" i="167"/>
  <c r="G2003" i="167" s="1"/>
  <c r="G1944" i="167"/>
  <c r="G4628" i="167" s="1"/>
  <c r="F2993" i="167"/>
  <c r="E2993" i="167" s="1"/>
  <c r="B3019" i="167"/>
  <c r="B3022" i="167" s="1"/>
  <c r="F1043" i="167"/>
  <c r="E1409" i="167"/>
  <c r="E431" i="167"/>
  <c r="E899" i="167"/>
  <c r="G1946" i="167"/>
  <c r="E1946" i="167" s="1"/>
  <c r="F1949" i="167"/>
  <c r="E1949" i="167" s="1"/>
  <c r="E1947" i="167"/>
  <c r="E2466" i="167"/>
  <c r="E1459" i="167"/>
  <c r="G448" i="167"/>
  <c r="E449" i="167"/>
  <c r="E1956" i="167"/>
  <c r="G1462" i="167"/>
  <c r="E1463" i="167"/>
  <c r="G903" i="167"/>
  <c r="E903" i="167" s="1"/>
  <c r="E904" i="167"/>
  <c r="E3008" i="167"/>
  <c r="F3001" i="167"/>
  <c r="E3001" i="167" s="1"/>
  <c r="E2999" i="167"/>
  <c r="B3928" i="166"/>
  <c r="B4068" i="166" s="1"/>
  <c r="B4071" i="166" s="1"/>
  <c r="B4074" i="166" s="1"/>
  <c r="B4077" i="166" s="1"/>
  <c r="B3624" i="166"/>
  <c r="B3633" i="166"/>
  <c r="B3636" i="166"/>
  <c r="B3684" i="166" s="1"/>
  <c r="B3642" i="166"/>
  <c r="B3654" i="166"/>
  <c r="B3663" i="166"/>
  <c r="B3669" i="166"/>
  <c r="B3672" i="166"/>
  <c r="B3678" i="166"/>
  <c r="B3687" i="166"/>
  <c r="B3690" i="166"/>
  <c r="B3693" i="166"/>
  <c r="B4048" i="166"/>
  <c r="B4049" i="166" s="1"/>
  <c r="B4050" i="166" s="1"/>
  <c r="B4051" i="166" s="1"/>
  <c r="B4052" i="166" s="1"/>
  <c r="B4053" i="166" s="1"/>
  <c r="B4054" i="166" s="1"/>
  <c r="B4055" i="166" s="1"/>
  <c r="B3699" i="166"/>
  <c r="B3702" i="166"/>
  <c r="B3708" i="166"/>
  <c r="B3717" i="166"/>
  <c r="B3723" i="166"/>
  <c r="B3868" i="166"/>
  <c r="B3522" i="166"/>
  <c r="B3531" i="166"/>
  <c r="B3537" i="166"/>
  <c r="B3543" i="166"/>
  <c r="B3564" i="166" s="1"/>
  <c r="B3546" i="166"/>
  <c r="B3558" i="166"/>
  <c r="B3576" i="166"/>
  <c r="B3582" i="166"/>
  <c r="B3585" i="166"/>
  <c r="B3597" i="166"/>
  <c r="B3600" i="166"/>
  <c r="B3603" i="166"/>
  <c r="B3606" i="166"/>
  <c r="B3615" i="166"/>
  <c r="F3737" i="166"/>
  <c r="E3737" i="166" s="1"/>
  <c r="B3874" i="166"/>
  <c r="B3898" i="166"/>
  <c r="B3904" i="166"/>
  <c r="B3910" i="166"/>
  <c r="B3916" i="166"/>
  <c r="B3925" i="166"/>
  <c r="B3745" i="166"/>
  <c r="B3748" i="166"/>
  <c r="B3751" i="166" s="1"/>
  <c r="B3754" i="166"/>
  <c r="B3766" i="166"/>
  <c r="B3769" i="166"/>
  <c r="B3772" i="166"/>
  <c r="B3790" i="166" s="1"/>
  <c r="B3796" i="166" s="1"/>
  <c r="B3808" i="166" s="1"/>
  <c r="B3829" i="166" s="1"/>
  <c r="B3844" i="166" s="1"/>
  <c r="B3847" i="166" s="1"/>
  <c r="B3871" i="166" s="1"/>
  <c r="B3775" i="166"/>
  <c r="B3793" i="166"/>
  <c r="B3799" i="166"/>
  <c r="B3805" i="166"/>
  <c r="B3814" i="166"/>
  <c r="B3820" i="166"/>
  <c r="B3826" i="166"/>
  <c r="B3835" i="166"/>
  <c r="B3851" i="166"/>
  <c r="E2349" i="166"/>
  <c r="G3011" i="167"/>
  <c r="G2469" i="167"/>
  <c r="G1959" i="167"/>
  <c r="F438" i="167"/>
  <c r="E438" i="167" s="1"/>
  <c r="G1449" i="167"/>
  <c r="E1449" i="167" s="1"/>
  <c r="F889" i="167"/>
  <c r="E889" i="167" s="1"/>
  <c r="F1452" i="167"/>
  <c r="E1452" i="167" s="1"/>
  <c r="F1448" i="167"/>
  <c r="E1448" i="167" s="1"/>
  <c r="F893" i="167"/>
  <c r="E893" i="167" s="1"/>
  <c r="G890" i="167"/>
  <c r="E890" i="167" s="1"/>
  <c r="G435" i="167"/>
  <c r="E435" i="167" s="1"/>
  <c r="F434" i="167"/>
  <c r="E434" i="167" s="1"/>
  <c r="B2347" i="167"/>
  <c r="B1929" i="167"/>
  <c r="E1455" i="166"/>
  <c r="B3858" i="166"/>
  <c r="B4031" i="166" s="1"/>
  <c r="B3859" i="166"/>
  <c r="B3862" i="166" s="1"/>
  <c r="B3854" i="166"/>
  <c r="B2789" i="167"/>
  <c r="E2996" i="167" l="1"/>
  <c r="D27" i="22"/>
  <c r="E1940" i="167"/>
  <c r="B2793" i="167"/>
  <c r="E1944" i="167"/>
  <c r="E3578" i="167"/>
  <c r="F3580" i="167"/>
  <c r="E3580" i="167" s="1"/>
  <c r="F1945" i="167"/>
  <c r="E1945" i="167" s="1"/>
  <c r="E4628" i="167"/>
  <c r="F4629" i="167"/>
  <c r="E4629" i="167" s="1"/>
  <c r="E5157" i="167"/>
  <c r="F5159" i="167"/>
  <c r="E5159" i="167" s="1"/>
  <c r="F2997" i="167"/>
  <c r="E2997" i="167" s="1"/>
  <c r="F2459" i="167"/>
  <c r="E2459" i="167" s="1"/>
  <c r="H2205" i="167"/>
  <c r="H2212" i="167"/>
  <c r="H2236" i="167" s="1"/>
  <c r="H2239" i="167" s="1"/>
  <c r="H2256" i="167" s="1"/>
  <c r="H2262" i="167" s="1"/>
  <c r="H2277" i="167" s="1"/>
  <c r="H2280" i="167" s="1"/>
  <c r="H2286" i="167" s="1"/>
  <c r="H2307" i="167" s="1"/>
  <c r="H2310" i="167" s="1"/>
  <c r="H2322" i="167" s="1"/>
  <c r="H2328" i="167" s="1"/>
  <c r="H2337" i="167" s="1"/>
  <c r="H2356" i="167" s="1"/>
  <c r="H2368" i="167" s="1"/>
  <c r="H2380" i="167" s="1"/>
  <c r="H2389" i="167" s="1"/>
  <c r="H2404" i="167" s="1"/>
  <c r="F443" i="167"/>
  <c r="F898" i="167" s="1"/>
  <c r="E1959" i="167"/>
  <c r="F3011" i="167"/>
  <c r="G3425" i="167" s="1"/>
  <c r="F2248" i="167"/>
  <c r="E2248" i="167" s="1"/>
  <c r="E1462" i="167"/>
  <c r="F2469" i="167"/>
  <c r="G2921" i="167" s="1"/>
  <c r="E448" i="167"/>
  <c r="F1446" i="167"/>
  <c r="E1446" i="167" s="1"/>
  <c r="E2003" i="167"/>
  <c r="F2450" i="167"/>
  <c r="G2456" i="167" s="1"/>
  <c r="F2458" i="167" s="1"/>
  <c r="E2458" i="167" s="1"/>
  <c r="G3575" i="167"/>
  <c r="E885" i="167"/>
  <c r="G944" i="167"/>
  <c r="E944" i="167" s="1"/>
  <c r="B3362" i="167"/>
  <c r="A3419" i="167"/>
  <c r="E2454" i="167"/>
  <c r="G4097" i="167"/>
  <c r="B2543" i="167"/>
  <c r="A2549" i="167"/>
  <c r="B1758" i="167"/>
  <c r="A1761" i="167"/>
  <c r="B1761" i="167" s="1"/>
  <c r="B3100" i="167"/>
  <c r="A3109" i="167"/>
  <c r="E2319" i="167"/>
  <c r="F2995" i="167"/>
  <c r="E2995" i="167" s="1"/>
  <c r="B2531" i="167"/>
  <c r="A2537" i="167"/>
  <c r="H2840" i="167"/>
  <c r="H2852" i="167" s="1"/>
  <c r="H2858" i="167" s="1"/>
  <c r="H2864" i="167" s="1"/>
  <c r="H2882" i="167" s="1"/>
  <c r="H2891" i="167" s="1"/>
  <c r="H2900" i="167" s="1"/>
  <c r="H2918" i="167" s="1"/>
  <c r="H2924" i="167" s="1"/>
  <c r="H2939" i="167" s="1"/>
  <c r="H2978" i="167" s="1"/>
  <c r="H2981" i="167" s="1"/>
  <c r="H2836" i="167"/>
  <c r="F3590" i="167"/>
  <c r="F2792" i="167"/>
  <c r="E2792" i="167" s="1"/>
  <c r="E2457" i="167"/>
  <c r="B3152" i="167"/>
  <c r="A3155" i="167"/>
  <c r="F4102" i="167"/>
  <c r="E4102" i="167" s="1"/>
  <c r="E4100" i="167"/>
  <c r="G4631" i="167"/>
  <c r="H2797" i="167"/>
  <c r="B2573" i="167"/>
  <c r="A2585" i="167"/>
  <c r="B2042" i="167"/>
  <c r="A2265" i="167"/>
  <c r="E1043" i="167"/>
  <c r="F1653" i="167"/>
  <c r="E1653" i="167" s="1"/>
  <c r="B3759" i="167"/>
  <c r="A3765" i="167"/>
  <c r="B3224" i="167"/>
  <c r="A3242" i="167"/>
  <c r="B2715" i="167"/>
  <c r="A2718" i="167"/>
  <c r="F1948" i="167"/>
  <c r="E1948" i="167" s="1"/>
  <c r="F1451" i="167"/>
  <c r="E1451" i="167" s="1"/>
  <c r="F437" i="167"/>
  <c r="E437" i="167" s="1"/>
  <c r="F892" i="167"/>
  <c r="E892" i="167" s="1"/>
  <c r="F24" i="18"/>
  <c r="B12" i="20"/>
  <c r="C14" i="22"/>
  <c r="H1409" i="167"/>
  <c r="H1932" i="167" s="1"/>
  <c r="D1409" i="167"/>
  <c r="A1409" i="167"/>
  <c r="A1932" i="167" s="1"/>
  <c r="B1932" i="167" s="1"/>
  <c r="D1408" i="167"/>
  <c r="B1408" i="167"/>
  <c r="H1406" i="167"/>
  <c r="D1406" i="167"/>
  <c r="D1405" i="167"/>
  <c r="B1405" i="167"/>
  <c r="H856" i="167"/>
  <c r="D856" i="167"/>
  <c r="A856" i="167"/>
  <c r="D855" i="167"/>
  <c r="B855" i="167"/>
  <c r="E2469" i="167" l="1"/>
  <c r="E2456" i="167"/>
  <c r="E3011" i="167"/>
  <c r="E443" i="167"/>
  <c r="E3575" i="167"/>
  <c r="F3576" i="167"/>
  <c r="E3576" i="167" s="1"/>
  <c r="F446" i="167"/>
  <c r="E446" i="167" s="1"/>
  <c r="F4633" i="167"/>
  <c r="E4633" i="167" s="1"/>
  <c r="E4631" i="167"/>
  <c r="B3109" i="167"/>
  <c r="A3112" i="167"/>
  <c r="B1409" i="167"/>
  <c r="G583" i="167"/>
  <c r="E583" i="167" s="1"/>
  <c r="B3419" i="167"/>
  <c r="A3422" i="167"/>
  <c r="B3422" i="167" s="1"/>
  <c r="E898" i="167"/>
  <c r="F1457" i="167"/>
  <c r="G3684" i="167"/>
  <c r="E3590" i="167"/>
  <c r="B2537" i="167"/>
  <c r="A2546" i="167"/>
  <c r="B2718" i="167"/>
  <c r="A2721" i="167"/>
  <c r="B3765" i="167"/>
  <c r="A3768" i="167"/>
  <c r="B2265" i="167"/>
  <c r="A2676" i="167"/>
  <c r="F4098" i="167"/>
  <c r="E4098" i="167" s="1"/>
  <c r="E4097" i="167"/>
  <c r="G2570" i="167"/>
  <c r="E2450" i="167"/>
  <c r="E2921" i="167"/>
  <c r="F3574" i="167"/>
  <c r="E3574" i="167" s="1"/>
  <c r="B3242" i="167"/>
  <c r="A3248" i="167"/>
  <c r="B2585" i="167"/>
  <c r="A2640" i="167"/>
  <c r="B2549" i="167"/>
  <c r="A2591" i="167"/>
  <c r="B3155" i="167"/>
  <c r="A3158" i="167"/>
  <c r="G5154" i="167"/>
  <c r="E3425" i="167"/>
  <c r="F4112" i="167"/>
  <c r="G14" i="22"/>
  <c r="I14" i="22" s="1"/>
  <c r="F14" i="22"/>
  <c r="H14" i="22" s="1"/>
  <c r="E5154" i="167" l="1"/>
  <c r="F5155" i="167"/>
  <c r="E5155" i="167" s="1"/>
  <c r="B2640" i="167"/>
  <c r="A2679" i="167"/>
  <c r="B3768" i="167"/>
  <c r="A3771" i="167"/>
  <c r="B3771" i="167" s="1"/>
  <c r="A3775" i="167"/>
  <c r="B2546" i="167"/>
  <c r="A2552" i="167"/>
  <c r="B3112" i="167"/>
  <c r="A3118" i="167"/>
  <c r="B3118" i="167" s="1"/>
  <c r="A3122" i="167"/>
  <c r="E1457" i="167"/>
  <c r="F1954" i="167"/>
  <c r="B2591" i="167"/>
  <c r="A2594" i="167"/>
  <c r="B3248" i="167"/>
  <c r="A3251" i="167"/>
  <c r="B2676" i="167"/>
  <c r="A2867" i="167"/>
  <c r="B2721" i="167"/>
  <c r="A2724" i="167"/>
  <c r="B3158" i="167"/>
  <c r="A3161" i="167"/>
  <c r="E2570" i="167"/>
  <c r="F2992" i="167"/>
  <c r="E3684" i="167"/>
  <c r="F4627" i="167"/>
  <c r="AM16" i="197"/>
  <c r="AJ16" i="197"/>
  <c r="AG16" i="197"/>
  <c r="AD16" i="197"/>
  <c r="AA16" i="197"/>
  <c r="X16" i="197"/>
  <c r="U16" i="197"/>
  <c r="R16" i="197"/>
  <c r="O16" i="197"/>
  <c r="L16" i="197"/>
  <c r="I16" i="197"/>
  <c r="F16" i="197"/>
  <c r="C16" i="197"/>
  <c r="C5" i="197"/>
  <c r="C23" i="197" s="1"/>
  <c r="E2992" i="167" l="1"/>
  <c r="G2998" i="167"/>
  <c r="B2724" i="167"/>
  <c r="A2739" i="167"/>
  <c r="B3251" i="167"/>
  <c r="A3257" i="167"/>
  <c r="E4627" i="167"/>
  <c r="G4112" i="167"/>
  <c r="B3161" i="167"/>
  <c r="A3167" i="167"/>
  <c r="B2552" i="167"/>
  <c r="A2555" i="167"/>
  <c r="E1954" i="167"/>
  <c r="F2464" i="167"/>
  <c r="B2867" i="167"/>
  <c r="A2909" i="167"/>
  <c r="B2594" i="167"/>
  <c r="A2603" i="167"/>
  <c r="B3122" i="167"/>
  <c r="A3131" i="167"/>
  <c r="B2679" i="167"/>
  <c r="A2682" i="167"/>
  <c r="B3775" i="167"/>
  <c r="A3778" i="167"/>
  <c r="E2998" i="167" l="1"/>
  <c r="F3000" i="167"/>
  <c r="E3000" i="167" s="1"/>
  <c r="B2682" i="167"/>
  <c r="A2691" i="167"/>
  <c r="B2603" i="167"/>
  <c r="A2609" i="167"/>
  <c r="E2464" i="167"/>
  <c r="F3006" i="167"/>
  <c r="B3167" i="167"/>
  <c r="A3173" i="167"/>
  <c r="B3257" i="167"/>
  <c r="A3260" i="167"/>
  <c r="B3778" i="167"/>
  <c r="A3781" i="167"/>
  <c r="B3131" i="167"/>
  <c r="A3143" i="167"/>
  <c r="B2909" i="167"/>
  <c r="A3284" i="167"/>
  <c r="B3284" i="167" s="1"/>
  <c r="B2555" i="167"/>
  <c r="A2558" i="167"/>
  <c r="E4112" i="167"/>
  <c r="F5153" i="167"/>
  <c r="E5153" i="167" s="1"/>
  <c r="F5169" i="167"/>
  <c r="B2739" i="167"/>
  <c r="A2742" i="167"/>
  <c r="D1482" i="167"/>
  <c r="D1481" i="167"/>
  <c r="B2609" i="167" l="1"/>
  <c r="A2624" i="167"/>
  <c r="B2742" i="167"/>
  <c r="A2748" i="167"/>
  <c r="B3781" i="167"/>
  <c r="A3784" i="167"/>
  <c r="B3173" i="167"/>
  <c r="A3176" i="167"/>
  <c r="B2558" i="167"/>
  <c r="A2567" i="167"/>
  <c r="B3143" i="167"/>
  <c r="A3146" i="167"/>
  <c r="B3260" i="167"/>
  <c r="A3266" i="167"/>
  <c r="E3006" i="167"/>
  <c r="F3585" i="167"/>
  <c r="B2691" i="167"/>
  <c r="A2697" i="167"/>
  <c r="G5377" i="167"/>
  <c r="E5169" i="167"/>
  <c r="H876" i="167"/>
  <c r="D876" i="167"/>
  <c r="D875" i="167"/>
  <c r="F4107" i="167" l="1"/>
  <c r="E3585" i="167"/>
  <c r="B3146" i="167"/>
  <c r="A3164" i="167"/>
  <c r="B3176" i="167"/>
  <c r="A3218" i="167"/>
  <c r="B2748" i="167"/>
  <c r="A2760" i="167"/>
  <c r="E5377" i="167"/>
  <c r="F901" i="167"/>
  <c r="B2697" i="167"/>
  <c r="A2706" i="167"/>
  <c r="B3266" i="167"/>
  <c r="A3395" i="167"/>
  <c r="B2567" i="167"/>
  <c r="A2576" i="167"/>
  <c r="B3784" i="167"/>
  <c r="A3790" i="167"/>
  <c r="B2624" i="167"/>
  <c r="A2652" i="167"/>
  <c r="A1290" i="166"/>
  <c r="B1290" i="166" s="1"/>
  <c r="B1289" i="166"/>
  <c r="D1301" i="166"/>
  <c r="D1300" i="166"/>
  <c r="D1294" i="166"/>
  <c r="G1293" i="166"/>
  <c r="E1293" i="166" s="1"/>
  <c r="D1293" i="166"/>
  <c r="D1302" i="166"/>
  <c r="D1299" i="166"/>
  <c r="D1298" i="166"/>
  <c r="D1297" i="166"/>
  <c r="D1296" i="166"/>
  <c r="G1295" i="166"/>
  <c r="E1295" i="166" s="1"/>
  <c r="D1295" i="166"/>
  <c r="D1292" i="166"/>
  <c r="G1291" i="166"/>
  <c r="E1291" i="166" s="1"/>
  <c r="D1291" i="166"/>
  <c r="G1290" i="166"/>
  <c r="E1290" i="166" s="1"/>
  <c r="D1290" i="166"/>
  <c r="D1289" i="166"/>
  <c r="D1480" i="167"/>
  <c r="D1479" i="167"/>
  <c r="D1478" i="167"/>
  <c r="D1477" i="167"/>
  <c r="D1476" i="167"/>
  <c r="D1475" i="167"/>
  <c r="D1474" i="167"/>
  <c r="D1473" i="167"/>
  <c r="D1472" i="167"/>
  <c r="D1471" i="167"/>
  <c r="D1470" i="167"/>
  <c r="D1469" i="167"/>
  <c r="D1468" i="167"/>
  <c r="D1467" i="167"/>
  <c r="D1466" i="167"/>
  <c r="A1466" i="167"/>
  <c r="B1466" i="167" s="1"/>
  <c r="D1465" i="167"/>
  <c r="B1465" i="167"/>
  <c r="D647" i="166"/>
  <c r="D646" i="166"/>
  <c r="D645" i="166"/>
  <c r="D644" i="166"/>
  <c r="G643" i="166"/>
  <c r="E643" i="166" s="1"/>
  <c r="D643" i="166"/>
  <c r="D642" i="166"/>
  <c r="G641" i="166"/>
  <c r="E641" i="166" s="1"/>
  <c r="D641" i="166"/>
  <c r="G640" i="166"/>
  <c r="E640" i="166" s="1"/>
  <c r="D640" i="166"/>
  <c r="D648" i="166"/>
  <c r="D639" i="166"/>
  <c r="B650" i="166"/>
  <c r="B651" i="166" s="1"/>
  <c r="D650" i="166"/>
  <c r="A651" i="166"/>
  <c r="A652" i="166" s="1"/>
  <c r="B652" i="166" s="1"/>
  <c r="D651" i="166"/>
  <c r="H651" i="166"/>
  <c r="H652" i="166" s="1"/>
  <c r="D652" i="166"/>
  <c r="D654" i="166"/>
  <c r="D655" i="166"/>
  <c r="D656" i="166"/>
  <c r="B657" i="166"/>
  <c r="D657" i="166"/>
  <c r="A839" i="167"/>
  <c r="A840" i="167" s="1"/>
  <c r="A841" i="167" s="1"/>
  <c r="D853" i="167"/>
  <c r="D852" i="167"/>
  <c r="D851" i="167"/>
  <c r="D850" i="167"/>
  <c r="D849" i="167"/>
  <c r="D848" i="167"/>
  <c r="D847" i="167"/>
  <c r="D846" i="167"/>
  <c r="D845" i="167"/>
  <c r="D844" i="167"/>
  <c r="D843" i="167"/>
  <c r="D842" i="167"/>
  <c r="D841" i="167"/>
  <c r="D840" i="167"/>
  <c r="D839" i="167"/>
  <c r="D838" i="167"/>
  <c r="B838" i="167"/>
  <c r="I246" i="166"/>
  <c r="H246" i="166"/>
  <c r="G246" i="166"/>
  <c r="E246" i="166" s="1"/>
  <c r="D246" i="166"/>
  <c r="B246" i="166"/>
  <c r="A246" i="166"/>
  <c r="D245" i="166"/>
  <c r="I243" i="166"/>
  <c r="H243" i="166"/>
  <c r="G243" i="166"/>
  <c r="E243" i="166" s="1"/>
  <c r="D243" i="166"/>
  <c r="B243" i="166"/>
  <c r="A243" i="166"/>
  <c r="D242" i="166"/>
  <c r="I240" i="166"/>
  <c r="H240" i="166"/>
  <c r="G240" i="166"/>
  <c r="E240" i="166" s="1"/>
  <c r="D240" i="166"/>
  <c r="B240" i="166"/>
  <c r="A240" i="166"/>
  <c r="D239" i="166"/>
  <c r="I237" i="166"/>
  <c r="H237" i="166"/>
  <c r="G237" i="166"/>
  <c r="E237" i="166" s="1"/>
  <c r="D237" i="166"/>
  <c r="B237" i="166"/>
  <c r="A237" i="166"/>
  <c r="D236" i="166"/>
  <c r="D495" i="167"/>
  <c r="D494" i="167"/>
  <c r="I496" i="167"/>
  <c r="D496" i="167"/>
  <c r="B496" i="167"/>
  <c r="A496" i="167"/>
  <c r="D493" i="167"/>
  <c r="N1427" i="167"/>
  <c r="H1435" i="167"/>
  <c r="D1435" i="167"/>
  <c r="K1426" i="167"/>
  <c r="D1434" i="167"/>
  <c r="B1434" i="167"/>
  <c r="N1424" i="167"/>
  <c r="K1424" i="167"/>
  <c r="N1423" i="167"/>
  <c r="K1423" i="167"/>
  <c r="H1432" i="167"/>
  <c r="K1420" i="167"/>
  <c r="N873" i="167"/>
  <c r="K873" i="167"/>
  <c r="D873" i="167"/>
  <c r="A873" i="167"/>
  <c r="N872" i="167"/>
  <c r="K872" i="167"/>
  <c r="D872" i="167"/>
  <c r="B2760" i="167" l="1"/>
  <c r="A2763" i="167"/>
  <c r="B3164" i="167"/>
  <c r="A3170" i="167"/>
  <c r="B3790" i="167"/>
  <c r="A3793" i="167"/>
  <c r="B3395" i="167"/>
  <c r="A3495" i="167"/>
  <c r="B3495" i="167" s="1"/>
  <c r="E901" i="167"/>
  <c r="G917" i="167"/>
  <c r="E917" i="167" s="1"/>
  <c r="F1460" i="167"/>
  <c r="F1957" i="167"/>
  <c r="B3218" i="167"/>
  <c r="A3221" i="167"/>
  <c r="B2652" i="167"/>
  <c r="A2658" i="167"/>
  <c r="B2576" i="167"/>
  <c r="A2579" i="167"/>
  <c r="B2706" i="167"/>
  <c r="A2709" i="167"/>
  <c r="F4638" i="167"/>
  <c r="E4107" i="167"/>
  <c r="B839" i="167"/>
  <c r="A1291" i="166"/>
  <c r="B840" i="167"/>
  <c r="A1467" i="167"/>
  <c r="D1445" i="167"/>
  <c r="D886" i="167"/>
  <c r="D431" i="167"/>
  <c r="C27" i="22"/>
  <c r="D1463" i="167"/>
  <c r="D1462" i="167"/>
  <c r="D1461" i="167"/>
  <c r="D1460" i="167"/>
  <c r="D1459" i="167"/>
  <c r="D1458" i="167"/>
  <c r="D1457" i="167"/>
  <c r="D1456" i="167"/>
  <c r="D1455" i="167"/>
  <c r="D1454" i="167"/>
  <c r="D1453" i="167"/>
  <c r="D1452" i="167"/>
  <c r="D1451" i="167"/>
  <c r="D1450" i="167"/>
  <c r="D1449" i="167"/>
  <c r="D1448" i="167"/>
  <c r="D1447" i="167"/>
  <c r="D1446" i="167"/>
  <c r="D1444" i="167"/>
  <c r="D1443" i="167"/>
  <c r="D1442" i="167"/>
  <c r="D1441" i="167"/>
  <c r="D1440" i="167"/>
  <c r="D1439" i="167"/>
  <c r="D1438" i="167"/>
  <c r="D1437" i="167"/>
  <c r="D904" i="167"/>
  <c r="D903" i="167"/>
  <c r="D902" i="167"/>
  <c r="D901" i="167"/>
  <c r="D900" i="167"/>
  <c r="D899" i="167"/>
  <c r="D898" i="167"/>
  <c r="D897" i="167"/>
  <c r="D896" i="167"/>
  <c r="D895" i="167"/>
  <c r="D894" i="167"/>
  <c r="D893" i="167"/>
  <c r="D892" i="167"/>
  <c r="D891" i="167"/>
  <c r="D890" i="167"/>
  <c r="D889" i="167"/>
  <c r="D888" i="167"/>
  <c r="D887" i="167"/>
  <c r="D885" i="167"/>
  <c r="D884" i="167"/>
  <c r="D883" i="167"/>
  <c r="D882" i="167"/>
  <c r="D881" i="167"/>
  <c r="D880" i="167"/>
  <c r="D879" i="167"/>
  <c r="D878" i="167"/>
  <c r="I1363" i="167"/>
  <c r="H1363" i="167"/>
  <c r="D1363" i="167"/>
  <c r="A1363" i="167"/>
  <c r="B1363" i="167" s="1"/>
  <c r="D1362" i="167"/>
  <c r="D1361" i="167"/>
  <c r="B1361" i="167"/>
  <c r="D812" i="167"/>
  <c r="I812" i="167"/>
  <c r="B812" i="167"/>
  <c r="A812" i="167"/>
  <c r="I1156" i="167"/>
  <c r="H1156" i="167"/>
  <c r="D1156" i="167"/>
  <c r="D1155" i="167"/>
  <c r="I699" i="167"/>
  <c r="H699" i="167"/>
  <c r="D699" i="167"/>
  <c r="A699" i="167"/>
  <c r="D698" i="167"/>
  <c r="G1228" i="166"/>
  <c r="E1228" i="166" s="1"/>
  <c r="D1230" i="166"/>
  <c r="G658" i="166"/>
  <c r="E658" i="166" s="1"/>
  <c r="D661" i="166"/>
  <c r="E1957" i="167" l="1"/>
  <c r="G2340" i="167"/>
  <c r="F2467" i="167"/>
  <c r="B3170" i="167"/>
  <c r="A3179" i="167"/>
  <c r="B2579" i="167"/>
  <c r="A2582" i="167"/>
  <c r="B3221" i="167"/>
  <c r="A3227" i="167"/>
  <c r="E1460" i="167"/>
  <c r="G1824" i="167"/>
  <c r="F5164" i="167"/>
  <c r="E5164" i="167" s="1"/>
  <c r="E4638" i="167"/>
  <c r="B3793" i="167"/>
  <c r="A3808" i="167"/>
  <c r="B2763" i="167"/>
  <c r="A2773" i="167"/>
  <c r="A2769" i="167"/>
  <c r="B2769" i="167" s="1"/>
  <c r="B2709" i="167"/>
  <c r="A2727" i="167"/>
  <c r="B2658" i="167"/>
  <c r="A2661" i="167"/>
  <c r="B1291" i="166"/>
  <c r="A1292" i="166"/>
  <c r="B1467" i="167"/>
  <c r="A1468" i="167"/>
  <c r="A842" i="167"/>
  <c r="B841" i="167"/>
  <c r="B3808" i="167" l="1"/>
  <c r="A3826" i="167"/>
  <c r="E1824" i="167"/>
  <c r="F3588" i="167"/>
  <c r="B2582" i="167"/>
  <c r="A2588" i="167"/>
  <c r="E2467" i="167"/>
  <c r="G2876" i="167"/>
  <c r="E2876" i="167" s="1"/>
  <c r="F3009" i="167"/>
  <c r="B2727" i="167"/>
  <c r="A2736" i="167"/>
  <c r="B2661" i="167"/>
  <c r="A2688" i="167"/>
  <c r="E2340" i="167"/>
  <c r="F4110" i="167"/>
  <c r="B2773" i="167"/>
  <c r="A2782" i="167"/>
  <c r="B3227" i="167"/>
  <c r="A3245" i="167"/>
  <c r="B3179" i="167"/>
  <c r="A3182" i="167"/>
  <c r="A1293" i="166"/>
  <c r="B1292" i="166"/>
  <c r="B1468" i="167"/>
  <c r="A1469" i="167"/>
  <c r="A843" i="167"/>
  <c r="B842" i="167"/>
  <c r="B3245" i="167" l="1"/>
  <c r="A3254" i="167"/>
  <c r="B2588" i="167"/>
  <c r="A2597" i="167"/>
  <c r="B3826" i="167"/>
  <c r="A3829" i="167"/>
  <c r="E4110" i="167"/>
  <c r="F5167" i="167"/>
  <c r="B2736" i="167"/>
  <c r="A2754" i="167"/>
  <c r="A1219" i="167"/>
  <c r="B1219" i="167" s="1"/>
  <c r="B3182" i="167"/>
  <c r="A3191" i="167"/>
  <c r="B2782" i="167"/>
  <c r="A2803" i="167"/>
  <c r="B2688" i="167"/>
  <c r="A2700" i="167"/>
  <c r="E3009" i="167"/>
  <c r="G3428" i="167"/>
  <c r="E3428" i="167" s="1"/>
  <c r="E3588" i="167"/>
  <c r="F4641" i="167"/>
  <c r="G3977" i="167"/>
  <c r="E3977" i="167" s="1"/>
  <c r="A1294" i="166"/>
  <c r="B1293" i="166"/>
  <c r="B1469" i="167"/>
  <c r="A1470" i="167"/>
  <c r="B843" i="167"/>
  <c r="A844" i="167"/>
  <c r="B2597" i="167" l="1"/>
  <c r="A2600" i="167"/>
  <c r="E4641" i="167"/>
  <c r="G5064" i="167"/>
  <c r="E5064" i="167" s="1"/>
  <c r="F447" i="167"/>
  <c r="B2700" i="167"/>
  <c r="A2712" i="167"/>
  <c r="B3191" i="167"/>
  <c r="A3194" i="167"/>
  <c r="E5167" i="167"/>
  <c r="G5599" i="167"/>
  <c r="F902" i="167"/>
  <c r="B2754" i="167"/>
  <c r="A2757" i="167"/>
  <c r="B3829" i="167"/>
  <c r="A3847" i="167"/>
  <c r="B3254" i="167"/>
  <c r="A3290" i="167"/>
  <c r="B2803" i="167"/>
  <c r="A2806" i="167"/>
  <c r="B1294" i="166"/>
  <c r="A1295" i="166"/>
  <c r="B1470" i="167"/>
  <c r="A1471" i="167"/>
  <c r="A845" i="167"/>
  <c r="A1156" i="167" s="1"/>
  <c r="B844" i="167"/>
  <c r="F403" i="166"/>
  <c r="E403" i="166" s="1"/>
  <c r="D404" i="166"/>
  <c r="A404" i="166"/>
  <c r="N16" i="166"/>
  <c r="N15" i="166"/>
  <c r="D1247" i="166"/>
  <c r="B1247" i="166"/>
  <c r="F917" i="166"/>
  <c r="E917" i="166" s="1"/>
  <c r="H918" i="166"/>
  <c r="D918" i="166"/>
  <c r="A918" i="166"/>
  <c r="D791" i="166"/>
  <c r="F790" i="166"/>
  <c r="E790" i="166" s="1"/>
  <c r="B791" i="166"/>
  <c r="H919" i="166"/>
  <c r="A139" i="166"/>
  <c r="N14" i="172"/>
  <c r="N13" i="172"/>
  <c r="H143" i="166"/>
  <c r="A143" i="166"/>
  <c r="D143" i="166"/>
  <c r="H139" i="166"/>
  <c r="D139" i="166"/>
  <c r="G261" i="166"/>
  <c r="E261" i="166" s="1"/>
  <c r="D261" i="166"/>
  <c r="D260" i="166"/>
  <c r="D267" i="166"/>
  <c r="D266" i="166"/>
  <c r="D265" i="166"/>
  <c r="B265" i="166"/>
  <c r="B266" i="166" s="1"/>
  <c r="B267" i="166" s="1"/>
  <c r="A265" i="166"/>
  <c r="A266" i="166" s="1"/>
  <c r="A267" i="166" s="1"/>
  <c r="D264" i="166"/>
  <c r="M18" i="174"/>
  <c r="N16" i="172"/>
  <c r="B3847" i="167" l="1"/>
  <c r="A3853" i="167"/>
  <c r="A2951" i="167"/>
  <c r="E5599" i="167"/>
  <c r="F1461" i="167"/>
  <c r="B2712" i="167"/>
  <c r="A2730" i="167"/>
  <c r="B2806" i="167"/>
  <c r="A2821" i="167"/>
  <c r="E902" i="167"/>
  <c r="G920" i="167"/>
  <c r="E920" i="167" s="1"/>
  <c r="F1958" i="167"/>
  <c r="B3290" i="167"/>
  <c r="A3347" i="167"/>
  <c r="B2757" i="167"/>
  <c r="A2779" i="167"/>
  <c r="B2600" i="167"/>
  <c r="A2606" i="167"/>
  <c r="B3194" i="167"/>
  <c r="A3197" i="167"/>
  <c r="E447" i="167"/>
  <c r="G586" i="167"/>
  <c r="E586" i="167" s="1"/>
  <c r="N15" i="172"/>
  <c r="N17" i="172" s="1"/>
  <c r="B1295" i="166"/>
  <c r="A1296" i="166"/>
  <c r="B1471" i="167"/>
  <c r="A1472" i="167"/>
  <c r="B845" i="167"/>
  <c r="B2821" i="167" l="1"/>
  <c r="A2824" i="167"/>
  <c r="E1461" i="167"/>
  <c r="G1827" i="167"/>
  <c r="B3197" i="167"/>
  <c r="A3209" i="167"/>
  <c r="B2779" i="167"/>
  <c r="A2843" i="167"/>
  <c r="B2606" i="167"/>
  <c r="A2615" i="167"/>
  <c r="B3347" i="167"/>
  <c r="A3368" i="167"/>
  <c r="E1958" i="167"/>
  <c r="G2343" i="167"/>
  <c r="F2468" i="167"/>
  <c r="B3853" i="167"/>
  <c r="A3856" i="167"/>
  <c r="B3856" i="167" s="1"/>
  <c r="A3860" i="167"/>
  <c r="B2730" i="167"/>
  <c r="A2733" i="167"/>
  <c r="B2951" i="167"/>
  <c r="B1296" i="166"/>
  <c r="A1297" i="166"/>
  <c r="B1472" i="167"/>
  <c r="B127" i="12"/>
  <c r="B34" i="12"/>
  <c r="B132" i="12"/>
  <c r="B18" i="8"/>
  <c r="B38" i="8"/>
  <c r="H1108" i="166"/>
  <c r="G1108" i="166"/>
  <c r="E1108" i="166" s="1"/>
  <c r="D1108" i="166"/>
  <c r="A1108" i="166"/>
  <c r="D1107" i="166"/>
  <c r="B1107" i="166"/>
  <c r="B1108" i="166" s="1"/>
  <c r="B15" i="20"/>
  <c r="C102" i="22"/>
  <c r="C15" i="22"/>
  <c r="D508" i="167"/>
  <c r="B3860" i="167" l="1"/>
  <c r="A3884" i="167"/>
  <c r="B2824" i="167"/>
  <c r="A2827" i="167"/>
  <c r="B2972" i="167"/>
  <c r="E2343" i="167"/>
  <c r="B2615" i="167"/>
  <c r="A2618" i="167"/>
  <c r="B3209" i="167"/>
  <c r="A3212" i="167"/>
  <c r="B2733" i="167"/>
  <c r="A2745" i="167"/>
  <c r="B3368" i="167"/>
  <c r="A3383" i="167"/>
  <c r="B2843" i="167"/>
  <c r="A2846" i="167"/>
  <c r="E2468" i="167"/>
  <c r="G2879" i="167"/>
  <c r="E2879" i="167" s="1"/>
  <c r="F3010" i="167"/>
  <c r="E1827" i="167"/>
  <c r="A1298" i="166"/>
  <c r="B1297" i="166"/>
  <c r="L18" i="8"/>
  <c r="M38" i="8"/>
  <c r="M127" i="12" s="1"/>
  <c r="I38" i="8"/>
  <c r="I127" i="12" s="1"/>
  <c r="E38" i="8"/>
  <c r="E127" i="12" s="1"/>
  <c r="L38" i="8"/>
  <c r="L127" i="12" s="1"/>
  <c r="H38" i="8"/>
  <c r="H127" i="12" s="1"/>
  <c r="D38" i="8"/>
  <c r="D127" i="12" s="1"/>
  <c r="K38" i="8"/>
  <c r="K127" i="12" s="1"/>
  <c r="G38" i="8"/>
  <c r="G127" i="12" s="1"/>
  <c r="C38" i="8"/>
  <c r="C127" i="12" s="1"/>
  <c r="N38" i="8"/>
  <c r="N127" i="12" s="1"/>
  <c r="J38" i="8"/>
  <c r="J127" i="12" s="1"/>
  <c r="F38" i="8"/>
  <c r="F127" i="12" s="1"/>
  <c r="E18" i="8"/>
  <c r="I18" i="8"/>
  <c r="M18" i="8"/>
  <c r="F18" i="8"/>
  <c r="J18" i="8"/>
  <c r="N18" i="8"/>
  <c r="F102" i="22"/>
  <c r="J102" i="22" s="1"/>
  <c r="C18" i="8"/>
  <c r="G18" i="8"/>
  <c r="K18" i="8"/>
  <c r="D18" i="8"/>
  <c r="H18" i="8"/>
  <c r="F15" i="22"/>
  <c r="H15" i="22" s="1"/>
  <c r="G15" i="22"/>
  <c r="I15" i="22" s="1"/>
  <c r="E3010" i="167" l="1"/>
  <c r="G3431" i="167"/>
  <c r="E3431" i="167" s="1"/>
  <c r="B2846" i="167"/>
  <c r="A2927" i="167"/>
  <c r="B2745" i="167"/>
  <c r="A2776" i="167"/>
  <c r="B2827" i="167"/>
  <c r="A2836" i="167"/>
  <c r="B2836" i="167" s="1"/>
  <c r="A2840" i="167"/>
  <c r="B2618" i="167"/>
  <c r="A2628" i="167"/>
  <c r="A2621" i="167"/>
  <c r="B2621" i="167" s="1"/>
  <c r="B4607" i="167"/>
  <c r="F3589" i="167"/>
  <c r="B3383" i="167"/>
  <c r="A3389" i="167"/>
  <c r="B3884" i="167"/>
  <c r="A3902" i="167"/>
  <c r="A2972" i="167"/>
  <c r="B3212" i="167"/>
  <c r="A3230" i="167"/>
  <c r="B1298" i="166"/>
  <c r="A1299" i="166"/>
  <c r="P127" i="12"/>
  <c r="R127" i="12" s="1"/>
  <c r="G102" i="22"/>
  <c r="K102" i="22" s="1"/>
  <c r="P18" i="8"/>
  <c r="P38" i="8"/>
  <c r="K1418" i="167"/>
  <c r="J1418" i="167"/>
  <c r="L1413" i="167"/>
  <c r="L1414" i="167" s="1"/>
  <c r="L1415" i="167" s="1"/>
  <c r="L1418" i="167" s="1"/>
  <c r="D1432" i="167"/>
  <c r="A1432" i="167"/>
  <c r="D1431" i="167"/>
  <c r="B1431" i="167"/>
  <c r="D1429" i="167"/>
  <c r="D1428" i="167"/>
  <c r="B1428" i="167"/>
  <c r="H1426" i="167"/>
  <c r="D1426" i="167"/>
  <c r="A1426" i="167"/>
  <c r="A1429" i="167" s="1"/>
  <c r="A1435" i="167" s="1"/>
  <c r="D1425" i="167"/>
  <c r="B1425" i="167"/>
  <c r="K1415" i="167"/>
  <c r="D1423" i="167"/>
  <c r="K1414" i="167"/>
  <c r="D1422" i="167"/>
  <c r="K1413" i="167"/>
  <c r="D1421" i="167"/>
  <c r="K1412" i="167"/>
  <c r="D1420" i="167"/>
  <c r="B1420" i="167"/>
  <c r="D1418" i="167"/>
  <c r="A1418" i="167"/>
  <c r="D1417" i="167"/>
  <c r="B1417" i="167"/>
  <c r="D1415" i="167"/>
  <c r="D1414" i="167"/>
  <c r="B1414" i="167"/>
  <c r="D1412" i="167"/>
  <c r="A1412" i="167"/>
  <c r="B1412" i="167" s="1"/>
  <c r="D1411" i="167"/>
  <c r="B1411" i="167"/>
  <c r="A4607" i="167" l="1"/>
  <c r="B2927" i="167"/>
  <c r="A2930" i="167"/>
  <c r="B2930" i="167" s="1"/>
  <c r="A1415" i="167"/>
  <c r="B1415" i="167" s="1"/>
  <c r="B1426" i="167"/>
  <c r="B5133" i="167"/>
  <c r="E3589" i="167"/>
  <c r="F4642" i="167"/>
  <c r="G3980" i="167"/>
  <c r="E3980" i="167" s="1"/>
  <c r="F4111" i="167"/>
  <c r="B2628" i="167"/>
  <c r="A2631" i="167"/>
  <c r="B1429" i="167"/>
  <c r="B1435" i="167" s="1"/>
  <c r="B1432" i="167"/>
  <c r="B3230" i="167"/>
  <c r="A3236" i="167"/>
  <c r="B2776" i="167"/>
  <c r="A2800" i="167"/>
  <c r="B1418" i="167"/>
  <c r="B3902" i="167"/>
  <c r="A3905" i="167"/>
  <c r="B3389" i="167"/>
  <c r="A3398" i="167"/>
  <c r="B2840" i="167"/>
  <c r="A2852" i="167"/>
  <c r="B1299" i="166"/>
  <c r="A1300" i="166"/>
  <c r="B2800" i="167" l="1"/>
  <c r="A2833" i="167"/>
  <c r="A5133" i="167"/>
  <c r="B3398" i="167"/>
  <c r="A3410" i="167"/>
  <c r="E4111" i="167"/>
  <c r="F5168" i="167"/>
  <c r="B2852" i="167"/>
  <c r="A2858" i="167"/>
  <c r="B3905" i="167"/>
  <c r="A3914" i="167"/>
  <c r="B3236" i="167"/>
  <c r="A3239" i="167"/>
  <c r="B2631" i="167"/>
  <c r="A2634" i="167"/>
  <c r="E4642" i="167"/>
  <c r="G5067" i="167"/>
  <c r="E5067" i="167" s="1"/>
  <c r="A1301" i="166"/>
  <c r="B1300" i="166"/>
  <c r="B2634" i="167" l="1"/>
  <c r="A2637" i="167"/>
  <c r="B3914" i="167"/>
  <c r="A3917" i="167"/>
  <c r="A3504" i="167"/>
  <c r="B3504" i="167" s="1"/>
  <c r="B3410" i="167"/>
  <c r="A3413" i="167"/>
  <c r="B3239" i="167"/>
  <c r="A3263" i="167"/>
  <c r="B2858" i="167"/>
  <c r="A2864" i="167"/>
  <c r="B2833" i="167"/>
  <c r="A2849" i="167"/>
  <c r="E5168" i="167"/>
  <c r="G5602" i="167"/>
  <c r="E5602" i="167" s="1"/>
  <c r="A5747" i="167"/>
  <c r="B5747" i="167" s="1"/>
  <c r="A1302" i="166"/>
  <c r="B1302" i="166" s="1"/>
  <c r="B1301" i="166"/>
  <c r="G795" i="166"/>
  <c r="E795" i="166" s="1"/>
  <c r="G788" i="166"/>
  <c r="E788" i="166" s="1"/>
  <c r="H831" i="166"/>
  <c r="G831" i="166"/>
  <c r="E831" i="166" s="1"/>
  <c r="D831" i="166"/>
  <c r="A831" i="166"/>
  <c r="D830" i="166"/>
  <c r="B830" i="166"/>
  <c r="B831" i="166" s="1"/>
  <c r="H915" i="166"/>
  <c r="G915" i="166"/>
  <c r="E915" i="166" s="1"/>
  <c r="D915" i="166"/>
  <c r="A915" i="166"/>
  <c r="D914" i="166"/>
  <c r="B914" i="166"/>
  <c r="B915" i="166" s="1"/>
  <c r="H1147" i="166"/>
  <c r="G1147" i="166"/>
  <c r="E1147" i="166" s="1"/>
  <c r="D1147" i="166"/>
  <c r="A1147" i="166"/>
  <c r="D1146" i="166"/>
  <c r="B1146" i="166"/>
  <c r="B1147" i="166" s="1"/>
  <c r="H1305" i="166"/>
  <c r="G1305" i="166"/>
  <c r="E1305" i="166" s="1"/>
  <c r="D1305" i="166"/>
  <c r="A1305" i="166"/>
  <c r="D1304" i="166"/>
  <c r="B1304" i="166"/>
  <c r="B1305" i="166" s="1"/>
  <c r="H1287" i="166"/>
  <c r="G1287" i="166"/>
  <c r="E1287" i="166" s="1"/>
  <c r="D1287" i="166"/>
  <c r="A1287" i="166"/>
  <c r="D1286" i="166"/>
  <c r="B1286" i="166"/>
  <c r="B1287" i="166" s="1"/>
  <c r="H1284" i="166"/>
  <c r="G1284" i="166"/>
  <c r="E1284" i="166" s="1"/>
  <c r="D1284" i="166"/>
  <c r="A1284" i="166"/>
  <c r="D1283" i="166"/>
  <c r="B1283" i="166"/>
  <c r="B1284" i="166" s="1"/>
  <c r="H1281" i="166"/>
  <c r="G1281" i="166"/>
  <c r="E1281" i="166" s="1"/>
  <c r="D1281" i="166"/>
  <c r="A1281" i="166"/>
  <c r="D1280" i="166"/>
  <c r="B1280" i="166"/>
  <c r="B1281" i="166" s="1"/>
  <c r="H1278" i="166"/>
  <c r="G1278" i="166"/>
  <c r="E1278" i="166" s="1"/>
  <c r="D1278" i="166"/>
  <c r="A1278" i="166"/>
  <c r="D1277" i="166"/>
  <c r="B1277" i="166"/>
  <c r="B1278" i="166" s="1"/>
  <c r="H1275" i="166"/>
  <c r="G1275" i="166"/>
  <c r="E1275" i="166" s="1"/>
  <c r="D1275" i="166"/>
  <c r="A1275" i="166"/>
  <c r="D1274" i="166"/>
  <c r="B1274" i="166"/>
  <c r="B1275" i="166" s="1"/>
  <c r="H1272" i="166"/>
  <c r="G1272" i="166"/>
  <c r="E1272" i="166" s="1"/>
  <c r="D1272" i="166"/>
  <c r="A1272" i="166"/>
  <c r="D1271" i="166"/>
  <c r="B1271" i="166"/>
  <c r="B1272" i="166" s="1"/>
  <c r="H1269" i="166"/>
  <c r="G1269" i="166"/>
  <c r="E1269" i="166" s="1"/>
  <c r="D1269" i="166"/>
  <c r="A1269" i="166"/>
  <c r="D1268" i="166"/>
  <c r="B1268" i="166"/>
  <c r="B1269" i="166" s="1"/>
  <c r="H1266" i="166"/>
  <c r="G1266" i="166"/>
  <c r="E1266" i="166" s="1"/>
  <c r="D1266" i="166"/>
  <c r="A1266" i="166"/>
  <c r="D1265" i="166"/>
  <c r="B1265" i="166"/>
  <c r="B1266" i="166" s="1"/>
  <c r="H1263" i="166"/>
  <c r="G1263" i="166"/>
  <c r="E1263" i="166" s="1"/>
  <c r="D1263" i="166"/>
  <c r="A1263" i="166"/>
  <c r="D1262" i="166"/>
  <c r="B1262" i="166"/>
  <c r="B1263" i="166" s="1"/>
  <c r="H1260" i="166"/>
  <c r="G1260" i="166"/>
  <c r="E1260" i="166" s="1"/>
  <c r="D1260" i="166"/>
  <c r="A1260" i="166"/>
  <c r="D1259" i="166"/>
  <c r="B1259" i="166"/>
  <c r="B1260" i="166" s="1"/>
  <c r="H1257" i="166"/>
  <c r="G1257" i="166"/>
  <c r="E1257" i="166" s="1"/>
  <c r="D1257" i="166"/>
  <c r="A1257" i="166"/>
  <c r="D1256" i="166"/>
  <c r="B1256" i="166"/>
  <c r="B1257" i="166" s="1"/>
  <c r="H1254" i="166"/>
  <c r="G1254" i="166"/>
  <c r="E1254" i="166" s="1"/>
  <c r="D1254" i="166"/>
  <c r="A1254" i="166"/>
  <c r="D1253" i="166"/>
  <c r="B1253" i="166"/>
  <c r="B1254" i="166" s="1"/>
  <c r="H1251" i="166"/>
  <c r="G1251" i="166"/>
  <c r="E1251" i="166" s="1"/>
  <c r="D1251" i="166"/>
  <c r="A1251" i="166"/>
  <c r="D1250" i="166"/>
  <c r="B1250" i="166"/>
  <c r="B1251" i="166" s="1"/>
  <c r="M22" i="172"/>
  <c r="M28" i="172" s="1"/>
  <c r="M34" i="172" s="1"/>
  <c r="M35" i="172" s="1"/>
  <c r="M17" i="172"/>
  <c r="M23" i="172" s="1"/>
  <c r="H1248" i="166"/>
  <c r="D1248" i="166"/>
  <c r="A1248" i="166"/>
  <c r="D1246" i="166"/>
  <c r="B1246" i="166"/>
  <c r="B1248" i="166" s="1"/>
  <c r="H1244" i="166"/>
  <c r="G1244" i="166"/>
  <c r="E1244" i="166" s="1"/>
  <c r="D1244" i="166"/>
  <c r="A1244" i="166"/>
  <c r="D1243" i="166"/>
  <c r="B1243" i="166"/>
  <c r="B1244" i="166" s="1"/>
  <c r="H1241" i="166"/>
  <c r="G1241" i="166"/>
  <c r="E1241" i="166" s="1"/>
  <c r="D1241" i="166"/>
  <c r="A1241" i="166"/>
  <c r="D1240" i="166"/>
  <c r="B1240" i="166"/>
  <c r="B1241" i="166" s="1"/>
  <c r="B1233" i="166"/>
  <c r="B1234" i="166" s="1"/>
  <c r="B1235" i="166" s="1"/>
  <c r="B1236" i="166" s="1"/>
  <c r="B1237" i="166" s="1"/>
  <c r="B1238" i="166" s="1"/>
  <c r="B1224" i="166"/>
  <c r="B1225" i="166" s="1"/>
  <c r="B1226" i="166" s="1"/>
  <c r="B1227" i="166" s="1"/>
  <c r="B1228" i="166" s="1"/>
  <c r="B1229" i="166" s="1"/>
  <c r="D1238" i="166"/>
  <c r="D1237" i="166"/>
  <c r="D1236" i="166"/>
  <c r="D1235" i="166"/>
  <c r="D1234" i="166"/>
  <c r="A1234" i="166"/>
  <c r="A1235" i="166" s="1"/>
  <c r="A1236" i="166" s="1"/>
  <c r="A1237" i="166" s="1"/>
  <c r="A1238" i="166" s="1"/>
  <c r="D1233" i="166"/>
  <c r="D1231" i="166"/>
  <c r="D1229" i="166"/>
  <c r="D1228" i="166"/>
  <c r="D1227" i="166"/>
  <c r="D1226" i="166"/>
  <c r="D1225" i="166"/>
  <c r="A1225" i="166"/>
  <c r="A1226" i="166" s="1"/>
  <c r="A1227" i="166" s="1"/>
  <c r="A1228" i="166" s="1"/>
  <c r="A1229" i="166" s="1"/>
  <c r="D1224" i="166"/>
  <c r="A5749" i="167" l="1"/>
  <c r="B5749" i="167" s="1"/>
  <c r="B2864" i="167"/>
  <c r="A2882" i="167"/>
  <c r="B3413" i="167"/>
  <c r="A3416" i="167"/>
  <c r="B3917" i="167"/>
  <c r="A3920" i="167"/>
  <c r="B2849" i="167"/>
  <c r="A2855" i="167"/>
  <c r="B3263" i="167"/>
  <c r="A3272" i="167"/>
  <c r="B2637" i="167"/>
  <c r="A2643" i="167"/>
  <c r="A1231" i="166"/>
  <c r="A1230" i="166"/>
  <c r="B1231" i="166"/>
  <c r="B1230" i="166"/>
  <c r="H1222" i="166"/>
  <c r="G1222" i="166"/>
  <c r="E1222" i="166" s="1"/>
  <c r="D1222" i="166"/>
  <c r="A1222" i="166"/>
  <c r="D1221" i="166"/>
  <c r="B1221" i="166"/>
  <c r="B1222" i="166" s="1"/>
  <c r="H1219" i="166"/>
  <c r="G1219" i="166"/>
  <c r="E1219" i="166" s="1"/>
  <c r="D1219" i="166"/>
  <c r="A1219" i="166"/>
  <c r="D1218" i="166"/>
  <c r="B1218" i="166"/>
  <c r="B1219" i="166" s="1"/>
  <c r="H1216" i="166"/>
  <c r="G1216" i="166"/>
  <c r="E1216" i="166" s="1"/>
  <c r="D1216" i="166"/>
  <c r="A1216" i="166"/>
  <c r="D1215" i="166"/>
  <c r="B1215" i="166"/>
  <c r="B1216" i="166" s="1"/>
  <c r="H1213" i="166"/>
  <c r="G1213" i="166"/>
  <c r="E1213" i="166" s="1"/>
  <c r="D1213" i="166"/>
  <c r="A1213" i="166"/>
  <c r="D1212" i="166"/>
  <c r="B1212" i="166"/>
  <c r="B1213" i="166" s="1"/>
  <c r="H1210" i="166"/>
  <c r="G1210" i="166"/>
  <c r="E1210" i="166" s="1"/>
  <c r="D1210" i="166"/>
  <c r="A1210" i="166"/>
  <c r="D1209" i="166"/>
  <c r="B1209" i="166"/>
  <c r="B1210" i="166" s="1"/>
  <c r="H1207" i="166"/>
  <c r="G1207" i="166"/>
  <c r="E1207" i="166" s="1"/>
  <c r="D1207" i="166"/>
  <c r="A1207" i="166"/>
  <c r="D1206" i="166"/>
  <c r="B1206" i="166"/>
  <c r="B1207" i="166" s="1"/>
  <c r="H1204" i="166"/>
  <c r="G1204" i="166"/>
  <c r="E1204" i="166" s="1"/>
  <c r="D1204" i="166"/>
  <c r="A1204" i="166"/>
  <c r="D1203" i="166"/>
  <c r="B1203" i="166"/>
  <c r="B1204" i="166" s="1"/>
  <c r="H1201" i="166"/>
  <c r="G1201" i="166"/>
  <c r="E1201" i="166" s="1"/>
  <c r="D1201" i="166"/>
  <c r="A1201" i="166"/>
  <c r="D1200" i="166"/>
  <c r="B1200" i="166"/>
  <c r="B1201" i="166" s="1"/>
  <c r="H1198" i="166"/>
  <c r="G1198" i="166"/>
  <c r="E1198" i="166" s="1"/>
  <c r="D1198" i="166"/>
  <c r="A1198" i="166"/>
  <c r="D1197" i="166"/>
  <c r="B1197" i="166"/>
  <c r="B1198" i="166" s="1"/>
  <c r="H1195" i="166"/>
  <c r="G1195" i="166"/>
  <c r="E1195" i="166" s="1"/>
  <c r="D1195" i="166"/>
  <c r="A1195" i="166"/>
  <c r="D1194" i="166"/>
  <c r="B1194" i="166"/>
  <c r="B1195" i="166" s="1"/>
  <c r="H1192" i="166"/>
  <c r="G1192" i="166"/>
  <c r="E1192" i="166" s="1"/>
  <c r="D1192" i="166"/>
  <c r="A1192" i="166"/>
  <c r="D1191" i="166"/>
  <c r="B1191" i="166"/>
  <c r="B1192" i="166" s="1"/>
  <c r="H1189" i="166"/>
  <c r="G1189" i="166"/>
  <c r="E1189" i="166" s="1"/>
  <c r="D1189" i="166"/>
  <c r="A1189" i="166"/>
  <c r="D1188" i="166"/>
  <c r="B1188" i="166"/>
  <c r="B1189" i="166" s="1"/>
  <c r="H1186" i="166"/>
  <c r="G1186" i="166"/>
  <c r="E1186" i="166" s="1"/>
  <c r="D1186" i="166"/>
  <c r="A1186" i="166"/>
  <c r="D1185" i="166"/>
  <c r="B1185" i="166"/>
  <c r="B1186" i="166" s="1"/>
  <c r="H1183" i="166"/>
  <c r="G1183" i="166"/>
  <c r="E1183" i="166" s="1"/>
  <c r="D1183" i="166"/>
  <c r="A1183" i="166"/>
  <c r="D1182" i="166"/>
  <c r="B1182" i="166"/>
  <c r="B1183" i="166" s="1"/>
  <c r="H1180" i="166"/>
  <c r="G1180" i="166"/>
  <c r="E1180" i="166" s="1"/>
  <c r="D1180" i="166"/>
  <c r="A1180" i="166"/>
  <c r="D1179" i="166"/>
  <c r="B1179" i="166"/>
  <c r="B1180" i="166" s="1"/>
  <c r="H1177" i="166"/>
  <c r="G1177" i="166"/>
  <c r="E1177" i="166" s="1"/>
  <c r="D1177" i="166"/>
  <c r="A1177" i="166"/>
  <c r="D1176" i="166"/>
  <c r="B1176" i="166"/>
  <c r="B1177" i="166" s="1"/>
  <c r="H1174" i="166"/>
  <c r="G1174" i="166"/>
  <c r="E1174" i="166" s="1"/>
  <c r="D1174" i="166"/>
  <c r="A1174" i="166"/>
  <c r="D1173" i="166"/>
  <c r="B1173" i="166"/>
  <c r="B1174" i="166" s="1"/>
  <c r="H1171" i="166"/>
  <c r="G1171" i="166"/>
  <c r="E1171" i="166" s="1"/>
  <c r="D1171" i="166"/>
  <c r="A1171" i="166"/>
  <c r="D1170" i="166"/>
  <c r="B1170" i="166"/>
  <c r="B1171" i="166" s="1"/>
  <c r="H1168" i="166"/>
  <c r="G1168" i="166"/>
  <c r="E1168" i="166" s="1"/>
  <c r="D1168" i="166"/>
  <c r="A1168" i="166"/>
  <c r="D1167" i="166"/>
  <c r="B1167" i="166"/>
  <c r="B1168" i="166" s="1"/>
  <c r="H1165" i="166"/>
  <c r="G1165" i="166"/>
  <c r="E1165" i="166" s="1"/>
  <c r="D1165" i="166"/>
  <c r="A1165" i="166"/>
  <c r="D1164" i="166"/>
  <c r="B1164" i="166"/>
  <c r="B1165" i="166" s="1"/>
  <c r="H1162" i="166"/>
  <c r="G1162" i="166"/>
  <c r="E1162" i="166" s="1"/>
  <c r="D1162" i="166"/>
  <c r="A1162" i="166"/>
  <c r="D1161" i="166"/>
  <c r="B1161" i="166"/>
  <c r="B1162" i="166" s="1"/>
  <c r="H1159" i="166"/>
  <c r="G1159" i="166"/>
  <c r="E1159" i="166" s="1"/>
  <c r="D1159" i="166"/>
  <c r="A1159" i="166"/>
  <c r="D1158" i="166"/>
  <c r="B1158" i="166"/>
  <c r="B1159" i="166" s="1"/>
  <c r="H1156" i="166"/>
  <c r="G1156" i="166"/>
  <c r="E1156" i="166" s="1"/>
  <c r="D1156" i="166"/>
  <c r="A1156" i="166"/>
  <c r="D1155" i="166"/>
  <c r="B1155" i="166"/>
  <c r="B1156" i="166" s="1"/>
  <c r="H1153" i="166"/>
  <c r="G1153" i="166"/>
  <c r="E1153" i="166" s="1"/>
  <c r="D1153" i="166"/>
  <c r="A1153" i="166"/>
  <c r="D1152" i="166"/>
  <c r="B1152" i="166"/>
  <c r="B1153" i="166" s="1"/>
  <c r="H1150" i="166"/>
  <c r="G1150" i="166"/>
  <c r="E1150" i="166" s="1"/>
  <c r="D1150" i="166"/>
  <c r="A1150" i="166"/>
  <c r="D1149" i="166"/>
  <c r="B1149" i="166"/>
  <c r="B1150" i="166" s="1"/>
  <c r="H1144" i="166"/>
  <c r="G1144" i="166"/>
  <c r="E1144" i="166" s="1"/>
  <c r="D1144" i="166"/>
  <c r="A1144" i="166"/>
  <c r="D1143" i="166"/>
  <c r="B1143" i="166"/>
  <c r="B1144" i="166" s="1"/>
  <c r="H1138" i="166"/>
  <c r="G1138" i="166"/>
  <c r="E1138" i="166" s="1"/>
  <c r="D1138" i="166"/>
  <c r="A1138" i="166"/>
  <c r="D1137" i="166"/>
  <c r="B1137" i="166"/>
  <c r="B1138" i="166" s="1"/>
  <c r="H1141" i="166"/>
  <c r="G1141" i="166"/>
  <c r="E1141" i="166" s="1"/>
  <c r="D1141" i="166"/>
  <c r="A1141" i="166"/>
  <c r="D1140" i="166"/>
  <c r="B1140" i="166"/>
  <c r="B1141" i="166" s="1"/>
  <c r="H1135" i="166"/>
  <c r="G1135" i="166"/>
  <c r="E1135" i="166" s="1"/>
  <c r="D1135" i="166"/>
  <c r="A1135" i="166"/>
  <c r="D1134" i="166"/>
  <c r="B1134" i="166"/>
  <c r="B1135" i="166" s="1"/>
  <c r="H1132" i="166"/>
  <c r="G1132" i="166"/>
  <c r="E1132" i="166" s="1"/>
  <c r="D1132" i="166"/>
  <c r="A1132" i="166"/>
  <c r="D1131" i="166"/>
  <c r="B1131" i="166"/>
  <c r="B1132" i="166" s="1"/>
  <c r="H1129" i="166"/>
  <c r="G1129" i="166"/>
  <c r="E1129" i="166" s="1"/>
  <c r="D1129" i="166"/>
  <c r="A1129" i="166"/>
  <c r="D1128" i="166"/>
  <c r="B1128" i="166"/>
  <c r="B1129" i="166" s="1"/>
  <c r="H1126" i="166"/>
  <c r="G1126" i="166"/>
  <c r="E1126" i="166" s="1"/>
  <c r="D1126" i="166"/>
  <c r="A1126" i="166"/>
  <c r="D1125" i="166"/>
  <c r="B1125" i="166"/>
  <c r="B1126" i="166" s="1"/>
  <c r="H1123" i="166"/>
  <c r="G1123" i="166"/>
  <c r="E1123" i="166" s="1"/>
  <c r="D1123" i="166"/>
  <c r="A1123" i="166"/>
  <c r="D1122" i="166"/>
  <c r="B1122" i="166"/>
  <c r="B1123" i="166" s="1"/>
  <c r="H1120" i="166"/>
  <c r="G1120" i="166"/>
  <c r="E1120" i="166" s="1"/>
  <c r="D1120" i="166"/>
  <c r="A1120" i="166"/>
  <c r="D1119" i="166"/>
  <c r="B1119" i="166"/>
  <c r="B1120" i="166" s="1"/>
  <c r="H1117" i="166"/>
  <c r="G1117" i="166"/>
  <c r="E1117" i="166" s="1"/>
  <c r="D1117" i="166"/>
  <c r="A1117" i="166"/>
  <c r="D1116" i="166"/>
  <c r="B1116" i="166"/>
  <c r="B1117" i="166" s="1"/>
  <c r="H1114" i="166"/>
  <c r="G1114" i="166"/>
  <c r="E1114" i="166" s="1"/>
  <c r="D1114" i="166"/>
  <c r="A1114" i="166"/>
  <c r="D1113" i="166"/>
  <c r="B1113" i="166"/>
  <c r="B1114" i="166" s="1"/>
  <c r="H1111" i="166"/>
  <c r="G1111" i="166"/>
  <c r="E1111" i="166" s="1"/>
  <c r="D1111" i="166"/>
  <c r="A1111" i="166"/>
  <c r="D1110" i="166"/>
  <c r="B1110" i="166"/>
  <c r="B1111" i="166" s="1"/>
  <c r="H1105" i="166"/>
  <c r="G1105" i="166"/>
  <c r="E1105" i="166" s="1"/>
  <c r="D1105" i="166"/>
  <c r="A1105" i="166"/>
  <c r="D1104" i="166"/>
  <c r="B1104" i="166"/>
  <c r="B1105" i="166" s="1"/>
  <c r="H1102" i="166"/>
  <c r="G1102" i="166"/>
  <c r="E1102" i="166" s="1"/>
  <c r="D1102" i="166"/>
  <c r="A1102" i="166"/>
  <c r="D1101" i="166"/>
  <c r="B1101" i="166"/>
  <c r="B1102" i="166" s="1"/>
  <c r="H1099" i="166"/>
  <c r="G1099" i="166"/>
  <c r="E1099" i="166" s="1"/>
  <c r="D1099" i="166"/>
  <c r="A1099" i="166"/>
  <c r="D1098" i="166"/>
  <c r="B1098" i="166"/>
  <c r="B1099" i="166" s="1"/>
  <c r="H1096" i="166"/>
  <c r="G1096" i="166"/>
  <c r="E1096" i="166" s="1"/>
  <c r="D1096" i="166"/>
  <c r="A1096" i="166"/>
  <c r="D1095" i="166"/>
  <c r="B1095" i="166"/>
  <c r="B1096" i="166" s="1"/>
  <c r="H1093" i="166"/>
  <c r="G1093" i="166"/>
  <c r="E1093" i="166" s="1"/>
  <c r="D1093" i="166"/>
  <c r="A1093" i="166"/>
  <c r="D1092" i="166"/>
  <c r="B1092" i="166"/>
  <c r="B1093" i="166" s="1"/>
  <c r="H1090" i="166"/>
  <c r="G1090" i="166"/>
  <c r="E1090" i="166" s="1"/>
  <c r="D1090" i="166"/>
  <c r="A1090" i="166"/>
  <c r="D1089" i="166"/>
  <c r="B1089" i="166"/>
  <c r="B1090" i="166" s="1"/>
  <c r="H1087" i="166"/>
  <c r="G1087" i="166"/>
  <c r="E1087" i="166" s="1"/>
  <c r="D1087" i="166"/>
  <c r="A1087" i="166"/>
  <c r="D1086" i="166"/>
  <c r="B1086" i="166"/>
  <c r="B1087" i="166" s="1"/>
  <c r="H1084" i="166"/>
  <c r="G1084" i="166"/>
  <c r="E1084" i="166" s="1"/>
  <c r="D1084" i="166"/>
  <c r="A1084" i="166"/>
  <c r="D1083" i="166"/>
  <c r="B1083" i="166"/>
  <c r="B1084" i="166" s="1"/>
  <c r="H1081" i="166"/>
  <c r="G1081" i="166"/>
  <c r="E1081" i="166" s="1"/>
  <c r="D1081" i="166"/>
  <c r="A1081" i="166"/>
  <c r="D1080" i="166"/>
  <c r="B1080" i="166"/>
  <c r="B1081" i="166" s="1"/>
  <c r="H1078" i="166"/>
  <c r="G1078" i="166"/>
  <c r="E1078" i="166" s="1"/>
  <c r="D1078" i="166"/>
  <c r="A1078" i="166"/>
  <c r="D1077" i="166"/>
  <c r="B1077" i="166"/>
  <c r="B1078" i="166" s="1"/>
  <c r="H1075" i="166"/>
  <c r="G1075" i="166"/>
  <c r="E1075" i="166" s="1"/>
  <c r="D1075" i="166"/>
  <c r="A1075" i="166"/>
  <c r="D1074" i="166"/>
  <c r="B1074" i="166"/>
  <c r="B1075" i="166" s="1"/>
  <c r="H1072" i="166"/>
  <c r="G1072" i="166"/>
  <c r="E1072" i="166" s="1"/>
  <c r="D1072" i="166"/>
  <c r="A1072" i="166"/>
  <c r="D1071" i="166"/>
  <c r="B1071" i="166"/>
  <c r="B1072" i="166" s="1"/>
  <c r="H1069" i="166"/>
  <c r="G1069" i="166"/>
  <c r="E1069" i="166" s="1"/>
  <c r="D1069" i="166"/>
  <c r="A1069" i="166"/>
  <c r="D1068" i="166"/>
  <c r="B1068" i="166"/>
  <c r="B1069" i="166" s="1"/>
  <c r="H1066" i="166"/>
  <c r="G1066" i="166"/>
  <c r="E1066" i="166" s="1"/>
  <c r="D1066" i="166"/>
  <c r="A1066" i="166"/>
  <c r="D1065" i="166"/>
  <c r="B1065" i="166"/>
  <c r="B1066" i="166" s="1"/>
  <c r="H1063" i="166"/>
  <c r="G1063" i="166"/>
  <c r="E1063" i="166" s="1"/>
  <c r="D1063" i="166"/>
  <c r="A1063" i="166"/>
  <c r="D1062" i="166"/>
  <c r="B1062" i="166"/>
  <c r="B1063" i="166" s="1"/>
  <c r="H1060" i="166"/>
  <c r="G1060" i="166"/>
  <c r="E1060" i="166" s="1"/>
  <c r="D1060" i="166"/>
  <c r="A1060" i="166"/>
  <c r="D1059" i="166"/>
  <c r="B1059" i="166"/>
  <c r="B1060" i="166" s="1"/>
  <c r="H1057" i="166"/>
  <c r="G1057" i="166"/>
  <c r="E1057" i="166" s="1"/>
  <c r="D1057" i="166"/>
  <c r="A1057" i="166"/>
  <c r="D1056" i="166"/>
  <c r="B1056" i="166"/>
  <c r="B1057" i="166" s="1"/>
  <c r="H1054" i="166"/>
  <c r="G1054" i="166"/>
  <c r="E1054" i="166" s="1"/>
  <c r="D1054" i="166"/>
  <c r="A1054" i="166"/>
  <c r="D1053" i="166"/>
  <c r="B1053" i="166"/>
  <c r="B1054" i="166" s="1"/>
  <c r="H1051" i="166"/>
  <c r="G1051" i="166"/>
  <c r="E1051" i="166" s="1"/>
  <c r="D1051" i="166"/>
  <c r="A1051" i="166"/>
  <c r="D1050" i="166"/>
  <c r="B1050" i="166"/>
  <c r="B1051" i="166" s="1"/>
  <c r="H1048" i="166"/>
  <c r="G1048" i="166"/>
  <c r="E1048" i="166" s="1"/>
  <c r="D1048" i="166"/>
  <c r="A1048" i="166"/>
  <c r="D1047" i="166"/>
  <c r="B1047" i="166"/>
  <c r="B1048" i="166" s="1"/>
  <c r="H1045" i="166"/>
  <c r="G1045" i="166"/>
  <c r="E1045" i="166" s="1"/>
  <c r="D1045" i="166"/>
  <c r="A1045" i="166"/>
  <c r="D1044" i="166"/>
  <c r="B1044" i="166"/>
  <c r="B1045" i="166" s="1"/>
  <c r="H1042" i="166"/>
  <c r="G1042" i="166"/>
  <c r="E1042" i="166" s="1"/>
  <c r="D1042" i="166"/>
  <c r="A1042" i="166"/>
  <c r="D1041" i="166"/>
  <c r="B1041" i="166"/>
  <c r="B1042" i="166" s="1"/>
  <c r="H1039" i="166"/>
  <c r="G1039" i="166"/>
  <c r="E1039" i="166" s="1"/>
  <c r="D1039" i="166"/>
  <c r="A1039" i="166"/>
  <c r="D1038" i="166"/>
  <c r="B1038" i="166"/>
  <c r="B1039" i="166" s="1"/>
  <c r="H1036" i="166"/>
  <c r="G1036" i="166"/>
  <c r="E1036" i="166" s="1"/>
  <c r="D1036" i="166"/>
  <c r="A1036" i="166"/>
  <c r="D1035" i="166"/>
  <c r="B1035" i="166"/>
  <c r="B1036" i="166" s="1"/>
  <c r="H1033" i="166"/>
  <c r="G1033" i="166"/>
  <c r="E1033" i="166" s="1"/>
  <c r="D1033" i="166"/>
  <c r="A1033" i="166"/>
  <c r="D1032" i="166"/>
  <c r="B1032" i="166"/>
  <c r="B1033" i="166" s="1"/>
  <c r="H1030" i="166"/>
  <c r="G1030" i="166"/>
  <c r="E1030" i="166" s="1"/>
  <c r="D1030" i="166"/>
  <c r="A1030" i="166"/>
  <c r="D1029" i="166"/>
  <c r="B1029" i="166"/>
  <c r="B1030" i="166" s="1"/>
  <c r="H1027" i="166"/>
  <c r="G1027" i="166"/>
  <c r="E1027" i="166" s="1"/>
  <c r="D1027" i="166"/>
  <c r="A1027" i="166"/>
  <c r="D1026" i="166"/>
  <c r="B1026" i="166"/>
  <c r="B1027" i="166" s="1"/>
  <c r="H1024" i="166"/>
  <c r="G1024" i="166"/>
  <c r="E1024" i="166" s="1"/>
  <c r="D1024" i="166"/>
  <c r="A1024" i="166"/>
  <c r="D1023" i="166"/>
  <c r="B1023" i="166"/>
  <c r="B1024" i="166" s="1"/>
  <c r="H1021" i="166"/>
  <c r="G1021" i="166"/>
  <c r="E1021" i="166" s="1"/>
  <c r="D1021" i="166"/>
  <c r="A1021" i="166"/>
  <c r="D1020" i="166"/>
  <c r="B1020" i="166"/>
  <c r="B1021" i="166" s="1"/>
  <c r="H1018" i="166"/>
  <c r="G1018" i="166"/>
  <c r="E1018" i="166" s="1"/>
  <c r="D1018" i="166"/>
  <c r="A1018" i="166"/>
  <c r="D1017" i="166"/>
  <c r="B1017" i="166"/>
  <c r="B1018" i="166" s="1"/>
  <c r="H1015" i="166"/>
  <c r="G1015" i="166"/>
  <c r="E1015" i="166" s="1"/>
  <c r="D1015" i="166"/>
  <c r="A1015" i="166"/>
  <c r="D1014" i="166"/>
  <c r="B1014" i="166"/>
  <c r="B1015" i="166" s="1"/>
  <c r="H1012" i="166"/>
  <c r="G1012" i="166"/>
  <c r="E1012" i="166" s="1"/>
  <c r="D1012" i="166"/>
  <c r="A1012" i="166"/>
  <c r="D1011" i="166"/>
  <c r="B1011" i="166"/>
  <c r="B1012" i="166" s="1"/>
  <c r="H1009" i="166"/>
  <c r="G1009" i="166"/>
  <c r="E1009" i="166" s="1"/>
  <c r="D1009" i="166"/>
  <c r="A1009" i="166"/>
  <c r="D1008" i="166"/>
  <c r="B1008" i="166"/>
  <c r="B1009" i="166" s="1"/>
  <c r="H1006" i="166"/>
  <c r="G1006" i="166"/>
  <c r="E1006" i="166" s="1"/>
  <c r="D1006" i="166"/>
  <c r="A1006" i="166"/>
  <c r="D1005" i="166"/>
  <c r="B1005" i="166"/>
  <c r="B1006" i="166" s="1"/>
  <c r="H1003" i="166"/>
  <c r="G1003" i="166"/>
  <c r="E1003" i="166" s="1"/>
  <c r="D1003" i="166"/>
  <c r="A1003" i="166"/>
  <c r="D1002" i="166"/>
  <c r="B1002" i="166"/>
  <c r="B1003" i="166" s="1"/>
  <c r="H1000" i="166"/>
  <c r="G1000" i="166"/>
  <c r="E1000" i="166" s="1"/>
  <c r="D1000" i="166"/>
  <c r="A1000" i="166"/>
  <c r="D999" i="166"/>
  <c r="B999" i="166"/>
  <c r="B1000" i="166" s="1"/>
  <c r="H997" i="166"/>
  <c r="G997" i="166"/>
  <c r="E997" i="166" s="1"/>
  <c r="D997" i="166"/>
  <c r="A997" i="166"/>
  <c r="D996" i="166"/>
  <c r="B996" i="166"/>
  <c r="B997" i="166" s="1"/>
  <c r="H994" i="166"/>
  <c r="G994" i="166"/>
  <c r="E994" i="166" s="1"/>
  <c r="D994" i="166"/>
  <c r="A994" i="166"/>
  <c r="D993" i="166"/>
  <c r="B993" i="166"/>
  <c r="B994" i="166" s="1"/>
  <c r="H991" i="166"/>
  <c r="G991" i="166"/>
  <c r="E991" i="166" s="1"/>
  <c r="D991" i="166"/>
  <c r="A991" i="166"/>
  <c r="D990" i="166"/>
  <c r="B990" i="166"/>
  <c r="B991" i="166" s="1"/>
  <c r="H988" i="166"/>
  <c r="G988" i="166"/>
  <c r="E988" i="166" s="1"/>
  <c r="D988" i="166"/>
  <c r="A988" i="166"/>
  <c r="D987" i="166"/>
  <c r="B987" i="166"/>
  <c r="B988" i="166" s="1"/>
  <c r="H985" i="166"/>
  <c r="G985" i="166"/>
  <c r="E985" i="166" s="1"/>
  <c r="D985" i="166"/>
  <c r="A985" i="166"/>
  <c r="D984" i="166"/>
  <c r="B984" i="166"/>
  <c r="B985" i="166" s="1"/>
  <c r="H982" i="166"/>
  <c r="G982" i="166"/>
  <c r="E982" i="166" s="1"/>
  <c r="D982" i="166"/>
  <c r="A982" i="166"/>
  <c r="D981" i="166"/>
  <c r="B981" i="166"/>
  <c r="B982" i="166" s="1"/>
  <c r="H979" i="166"/>
  <c r="G979" i="166"/>
  <c r="E979" i="166" s="1"/>
  <c r="D979" i="166"/>
  <c r="A979" i="166"/>
  <c r="D978" i="166"/>
  <c r="B978" i="166"/>
  <c r="B979" i="166" s="1"/>
  <c r="H976" i="166"/>
  <c r="G976" i="166"/>
  <c r="E976" i="166" s="1"/>
  <c r="D976" i="166"/>
  <c r="A976" i="166"/>
  <c r="D975" i="166"/>
  <c r="B975" i="166"/>
  <c r="B976" i="166" s="1"/>
  <c r="H973" i="166"/>
  <c r="G973" i="166"/>
  <c r="E973" i="166" s="1"/>
  <c r="D973" i="166"/>
  <c r="A973" i="166"/>
  <c r="D972" i="166"/>
  <c r="B972" i="166"/>
  <c r="B973" i="166" s="1"/>
  <c r="H970" i="166"/>
  <c r="G970" i="166"/>
  <c r="E970" i="166" s="1"/>
  <c r="D970" i="166"/>
  <c r="A970" i="166"/>
  <c r="D969" i="166"/>
  <c r="B969" i="166"/>
  <c r="B970" i="166" s="1"/>
  <c r="H967" i="166"/>
  <c r="G967" i="166"/>
  <c r="E967" i="166" s="1"/>
  <c r="D967" i="166"/>
  <c r="A967" i="166"/>
  <c r="D966" i="166"/>
  <c r="B966" i="166"/>
  <c r="B967" i="166" s="1"/>
  <c r="H964" i="166"/>
  <c r="G964" i="166"/>
  <c r="E964" i="166" s="1"/>
  <c r="D964" i="166"/>
  <c r="A964" i="166"/>
  <c r="D963" i="166"/>
  <c r="B963" i="166"/>
  <c r="B964" i="166" s="1"/>
  <c r="H961" i="166"/>
  <c r="G961" i="166"/>
  <c r="E961" i="166" s="1"/>
  <c r="D961" i="166"/>
  <c r="A961" i="166"/>
  <c r="D960" i="166"/>
  <c r="B960" i="166"/>
  <c r="B961" i="166" s="1"/>
  <c r="H958" i="166"/>
  <c r="G958" i="166"/>
  <c r="E958" i="166" s="1"/>
  <c r="D958" i="166"/>
  <c r="A958" i="166"/>
  <c r="D957" i="166"/>
  <c r="B957" i="166"/>
  <c r="B958" i="166" s="1"/>
  <c r="H955" i="166"/>
  <c r="G955" i="166"/>
  <c r="E955" i="166" s="1"/>
  <c r="D955" i="166"/>
  <c r="A955" i="166"/>
  <c r="D954" i="166"/>
  <c r="B954" i="166"/>
  <c r="B955" i="166" s="1"/>
  <c r="B797" i="166"/>
  <c r="B798" i="166" s="1"/>
  <c r="B794" i="166"/>
  <c r="B795" i="166" s="1"/>
  <c r="H952" i="166"/>
  <c r="G952" i="166"/>
  <c r="E952" i="166" s="1"/>
  <c r="D952" i="166"/>
  <c r="A952" i="166"/>
  <c r="D951" i="166"/>
  <c r="B951" i="166"/>
  <c r="B952" i="166" s="1"/>
  <c r="H949" i="166"/>
  <c r="G949" i="166"/>
  <c r="E949" i="166" s="1"/>
  <c r="D949" i="166"/>
  <c r="A949" i="166"/>
  <c r="D948" i="166"/>
  <c r="B948" i="166"/>
  <c r="B949" i="166" s="1"/>
  <c r="H946" i="166"/>
  <c r="G946" i="166"/>
  <c r="E946" i="166" s="1"/>
  <c r="D946" i="166"/>
  <c r="A946" i="166"/>
  <c r="D945" i="166"/>
  <c r="B945" i="166"/>
  <c r="B946" i="166" s="1"/>
  <c r="H943" i="166"/>
  <c r="G943" i="166"/>
  <c r="E943" i="166" s="1"/>
  <c r="D943" i="166"/>
  <c r="A943" i="166"/>
  <c r="D942" i="166"/>
  <c r="B942" i="166"/>
  <c r="B943" i="166" s="1"/>
  <c r="H940" i="166"/>
  <c r="G940" i="166"/>
  <c r="E940" i="166" s="1"/>
  <c r="D940" i="166"/>
  <c r="A940" i="166"/>
  <c r="D939" i="166"/>
  <c r="B939" i="166"/>
  <c r="B940" i="166" s="1"/>
  <c r="H937" i="166"/>
  <c r="G937" i="166"/>
  <c r="E937" i="166" s="1"/>
  <c r="D937" i="166"/>
  <c r="A937" i="166"/>
  <c r="D936" i="166"/>
  <c r="B936" i="166"/>
  <c r="B937" i="166" s="1"/>
  <c r="H934" i="166"/>
  <c r="G934" i="166"/>
  <c r="E934" i="166" s="1"/>
  <c r="D934" i="166"/>
  <c r="A934" i="166"/>
  <c r="D933" i="166"/>
  <c r="B933" i="166"/>
  <c r="B934" i="166" s="1"/>
  <c r="G931" i="166"/>
  <c r="E931" i="166" s="1"/>
  <c r="H931" i="166"/>
  <c r="D931" i="166"/>
  <c r="A931" i="166"/>
  <c r="D930" i="166"/>
  <c r="B930" i="166"/>
  <c r="B931" i="166" s="1"/>
  <c r="D928" i="166"/>
  <c r="B928" i="166"/>
  <c r="H927" i="166"/>
  <c r="H928" i="166" s="1"/>
  <c r="D927" i="166"/>
  <c r="A927" i="166"/>
  <c r="D926" i="166"/>
  <c r="B926" i="166"/>
  <c r="B927" i="166" s="1"/>
  <c r="D924" i="166"/>
  <c r="B924" i="166"/>
  <c r="H923" i="166"/>
  <c r="H924" i="166" s="1"/>
  <c r="D923" i="166"/>
  <c r="A923" i="166"/>
  <c r="D921" i="166"/>
  <c r="B921" i="166"/>
  <c r="B923" i="166" s="1"/>
  <c r="D917" i="166"/>
  <c r="B917" i="166"/>
  <c r="B918" i="166" s="1"/>
  <c r="D919" i="166"/>
  <c r="B919" i="166"/>
  <c r="H912" i="166"/>
  <c r="G912" i="166"/>
  <c r="E912" i="166" s="1"/>
  <c r="D912" i="166"/>
  <c r="A912" i="166"/>
  <c r="D911" i="166"/>
  <c r="B911" i="166"/>
  <c r="B912" i="166" s="1"/>
  <c r="H909" i="166"/>
  <c r="G909" i="166"/>
  <c r="E909" i="166" s="1"/>
  <c r="D909" i="166"/>
  <c r="A909" i="166"/>
  <c r="D908" i="166"/>
  <c r="B908" i="166"/>
  <c r="B909" i="166" s="1"/>
  <c r="G906" i="166"/>
  <c r="E906" i="166" s="1"/>
  <c r="D906" i="166"/>
  <c r="A906" i="166"/>
  <c r="D905" i="166"/>
  <c r="B905" i="166"/>
  <c r="B906" i="166" s="1"/>
  <c r="H903" i="166"/>
  <c r="G903" i="166"/>
  <c r="E903" i="166" s="1"/>
  <c r="D903" i="166"/>
  <c r="A903" i="166"/>
  <c r="D902" i="166"/>
  <c r="B902" i="166"/>
  <c r="B903" i="166" s="1"/>
  <c r="H900" i="166"/>
  <c r="G900" i="166"/>
  <c r="E900" i="166" s="1"/>
  <c r="D900" i="166"/>
  <c r="A900" i="166"/>
  <c r="D899" i="166"/>
  <c r="B899" i="166"/>
  <c r="B900" i="166" s="1"/>
  <c r="H897" i="166"/>
  <c r="G897" i="166"/>
  <c r="E897" i="166" s="1"/>
  <c r="D897" i="166"/>
  <c r="A897" i="166"/>
  <c r="D896" i="166"/>
  <c r="B896" i="166"/>
  <c r="B897" i="166" s="1"/>
  <c r="H894" i="166"/>
  <c r="G894" i="166"/>
  <c r="E894" i="166" s="1"/>
  <c r="D894" i="166"/>
  <c r="A894" i="166"/>
  <c r="D893" i="166"/>
  <c r="B893" i="166"/>
  <c r="B894" i="166" s="1"/>
  <c r="H891" i="166"/>
  <c r="G891" i="166"/>
  <c r="E891" i="166" s="1"/>
  <c r="D891" i="166"/>
  <c r="A891" i="166"/>
  <c r="D890" i="166"/>
  <c r="B890" i="166"/>
  <c r="B891" i="166" s="1"/>
  <c r="H888" i="166"/>
  <c r="G888" i="166"/>
  <c r="E888" i="166" s="1"/>
  <c r="D888" i="166"/>
  <c r="A888" i="166"/>
  <c r="D887" i="166"/>
  <c r="B887" i="166"/>
  <c r="B888" i="166" s="1"/>
  <c r="H885" i="166"/>
  <c r="G885" i="166"/>
  <c r="E885" i="166" s="1"/>
  <c r="D885" i="166"/>
  <c r="A885" i="166"/>
  <c r="D884" i="166"/>
  <c r="B884" i="166"/>
  <c r="B885" i="166" s="1"/>
  <c r="H882" i="166"/>
  <c r="G882" i="166"/>
  <c r="E882" i="166" s="1"/>
  <c r="D882" i="166"/>
  <c r="A882" i="166"/>
  <c r="D881" i="166"/>
  <c r="B881" i="166"/>
  <c r="B882" i="166" s="1"/>
  <c r="H879" i="166"/>
  <c r="G879" i="166"/>
  <c r="E879" i="166" s="1"/>
  <c r="D879" i="166"/>
  <c r="A879" i="166"/>
  <c r="D878" i="166"/>
  <c r="B878" i="166"/>
  <c r="B879" i="166" s="1"/>
  <c r="H876" i="166"/>
  <c r="G876" i="166"/>
  <c r="E876" i="166" s="1"/>
  <c r="D876" i="166"/>
  <c r="A876" i="166"/>
  <c r="D875" i="166"/>
  <c r="B875" i="166"/>
  <c r="B876" i="166" s="1"/>
  <c r="H873" i="166"/>
  <c r="G873" i="166"/>
  <c r="E873" i="166" s="1"/>
  <c r="D873" i="166"/>
  <c r="A873" i="166"/>
  <c r="D872" i="166"/>
  <c r="B872" i="166"/>
  <c r="B873" i="166" s="1"/>
  <c r="H870" i="166"/>
  <c r="G870" i="166"/>
  <c r="E870" i="166" s="1"/>
  <c r="D870" i="166"/>
  <c r="A870" i="166"/>
  <c r="D869" i="166"/>
  <c r="B869" i="166"/>
  <c r="B870" i="166" s="1"/>
  <c r="H867" i="166"/>
  <c r="G867" i="166"/>
  <c r="E867" i="166" s="1"/>
  <c r="D867" i="166"/>
  <c r="A867" i="166"/>
  <c r="D866" i="166"/>
  <c r="B866" i="166"/>
  <c r="B867" i="166" s="1"/>
  <c r="H864" i="166"/>
  <c r="G864" i="166"/>
  <c r="E864" i="166" s="1"/>
  <c r="D864" i="166"/>
  <c r="A864" i="166"/>
  <c r="D863" i="166"/>
  <c r="B863" i="166"/>
  <c r="B864" i="166" s="1"/>
  <c r="H861" i="166"/>
  <c r="G861" i="166"/>
  <c r="E861" i="166" s="1"/>
  <c r="D861" i="166"/>
  <c r="A861" i="166"/>
  <c r="D860" i="166"/>
  <c r="B860" i="166"/>
  <c r="B861" i="166" s="1"/>
  <c r="D857" i="166"/>
  <c r="D854" i="166"/>
  <c r="D851" i="166"/>
  <c r="D848" i="166"/>
  <c r="D845" i="166"/>
  <c r="D842" i="166"/>
  <c r="D839" i="166"/>
  <c r="D836" i="166"/>
  <c r="D833" i="166"/>
  <c r="D827" i="166"/>
  <c r="D824" i="166"/>
  <c r="D821" i="166"/>
  <c r="D818" i="166"/>
  <c r="D815" i="166"/>
  <c r="D812" i="166"/>
  <c r="D809" i="166"/>
  <c r="D806" i="166"/>
  <c r="D803" i="166"/>
  <c r="D800" i="166"/>
  <c r="D798" i="166"/>
  <c r="D795" i="166"/>
  <c r="D792" i="166"/>
  <c r="D788" i="166"/>
  <c r="D784" i="166"/>
  <c r="D781" i="166"/>
  <c r="D779" i="166"/>
  <c r="D775" i="166"/>
  <c r="D772" i="166"/>
  <c r="D769" i="166"/>
  <c r="D766" i="166"/>
  <c r="D763" i="166"/>
  <c r="D760" i="166"/>
  <c r="D757" i="166"/>
  <c r="D754" i="166"/>
  <c r="D751" i="166"/>
  <c r="D748" i="166"/>
  <c r="D745" i="166"/>
  <c r="D742" i="166"/>
  <c r="D739" i="166"/>
  <c r="D736" i="166"/>
  <c r="D733" i="166"/>
  <c r="D730" i="166"/>
  <c r="D727" i="166"/>
  <c r="D724" i="166"/>
  <c r="D721" i="166"/>
  <c r="D718" i="166"/>
  <c r="D715" i="166"/>
  <c r="D712" i="166"/>
  <c r="D709" i="166"/>
  <c r="D706" i="166"/>
  <c r="D703" i="166"/>
  <c r="D700" i="166"/>
  <c r="D697" i="166"/>
  <c r="D694" i="166"/>
  <c r="D691" i="166"/>
  <c r="D688" i="166"/>
  <c r="D685" i="166"/>
  <c r="D682" i="166"/>
  <c r="D679" i="166"/>
  <c r="D676" i="166"/>
  <c r="D673" i="166"/>
  <c r="D670" i="166"/>
  <c r="D667" i="166"/>
  <c r="D665" i="166"/>
  <c r="D636" i="166"/>
  <c r="D633" i="166"/>
  <c r="D630" i="166"/>
  <c r="D628" i="166"/>
  <c r="D625" i="166"/>
  <c r="D622" i="166"/>
  <c r="D619" i="166"/>
  <c r="D616" i="166"/>
  <c r="D613" i="166"/>
  <c r="D610" i="166"/>
  <c r="D606" i="166"/>
  <c r="D603" i="166"/>
  <c r="D601" i="166"/>
  <c r="D597" i="166"/>
  <c r="D594" i="166"/>
  <c r="D591" i="166"/>
  <c r="D588" i="166"/>
  <c r="D585" i="166"/>
  <c r="D582" i="166"/>
  <c r="D579" i="166"/>
  <c r="D576" i="166"/>
  <c r="D573" i="166"/>
  <c r="D570" i="166"/>
  <c r="D567" i="166"/>
  <c r="D564" i="166"/>
  <c r="D561" i="166"/>
  <c r="D558" i="166"/>
  <c r="D555" i="166"/>
  <c r="D552" i="166"/>
  <c r="D549" i="166"/>
  <c r="D546" i="166"/>
  <c r="D543" i="166"/>
  <c r="D540" i="166"/>
  <c r="D538" i="166"/>
  <c r="D534" i="166"/>
  <c r="D531" i="166"/>
  <c r="D528" i="166"/>
  <c r="D525" i="166"/>
  <c r="D522" i="166"/>
  <c r="D519" i="166"/>
  <c r="D516" i="166"/>
  <c r="D513" i="166"/>
  <c r="D510" i="166"/>
  <c r="D508" i="166"/>
  <c r="D504" i="166"/>
  <c r="D501" i="166"/>
  <c r="D499" i="166"/>
  <c r="D496" i="166"/>
  <c r="D493" i="166"/>
  <c r="D489" i="166"/>
  <c r="D486" i="166"/>
  <c r="D483" i="166"/>
  <c r="D480" i="166"/>
  <c r="D477" i="166"/>
  <c r="D474" i="166"/>
  <c r="D472" i="166"/>
  <c r="D468" i="166"/>
  <c r="D465" i="166"/>
  <c r="D462" i="166"/>
  <c r="D460" i="166"/>
  <c r="D456" i="166"/>
  <c r="D453" i="166"/>
  <c r="D450" i="166"/>
  <c r="D447" i="166"/>
  <c r="D444" i="166"/>
  <c r="D441" i="166"/>
  <c r="D438" i="166"/>
  <c r="D435" i="166"/>
  <c r="D432" i="166"/>
  <c r="D429" i="166"/>
  <c r="D426" i="166"/>
  <c r="D423" i="166"/>
  <c r="D420" i="166"/>
  <c r="D417" i="166"/>
  <c r="D414" i="166"/>
  <c r="D412" i="166"/>
  <c r="D409" i="166"/>
  <c r="D406" i="166"/>
  <c r="D401" i="166"/>
  <c r="D398" i="166"/>
  <c r="D395" i="166"/>
  <c r="D391" i="166"/>
  <c r="D388" i="166"/>
  <c r="D385" i="166"/>
  <c r="D382" i="166"/>
  <c r="D379" i="166"/>
  <c r="D376" i="166"/>
  <c r="D373" i="166"/>
  <c r="D370" i="166"/>
  <c r="D367" i="166"/>
  <c r="D365" i="166"/>
  <c r="D361" i="166"/>
  <c r="D358" i="166"/>
  <c r="D355" i="166"/>
  <c r="D352" i="166"/>
  <c r="D349" i="166"/>
  <c r="D346" i="166"/>
  <c r="D343" i="166"/>
  <c r="D340" i="166"/>
  <c r="D337" i="166"/>
  <c r="D334" i="166"/>
  <c r="D331" i="166"/>
  <c r="D328" i="166"/>
  <c r="D325" i="166"/>
  <c r="D322" i="166"/>
  <c r="D319" i="166"/>
  <c r="D316" i="166"/>
  <c r="D313" i="166"/>
  <c r="D310" i="166"/>
  <c r="D307" i="166"/>
  <c r="D304" i="166"/>
  <c r="D301" i="166"/>
  <c r="D298" i="166"/>
  <c r="D295" i="166"/>
  <c r="D292" i="166"/>
  <c r="D289" i="166"/>
  <c r="D286" i="166"/>
  <c r="D283" i="166"/>
  <c r="D280" i="166"/>
  <c r="D277" i="166"/>
  <c r="D262" i="166"/>
  <c r="D253" i="166"/>
  <c r="D233" i="166"/>
  <c r="D230" i="166"/>
  <c r="D228" i="166"/>
  <c r="D224" i="166"/>
  <c r="D221" i="166"/>
  <c r="D218" i="166"/>
  <c r="D215" i="166"/>
  <c r="D212" i="166"/>
  <c r="D209" i="166"/>
  <c r="D206" i="166"/>
  <c r="D203" i="166"/>
  <c r="D200" i="166"/>
  <c r="D198" i="166"/>
  <c r="D194" i="166"/>
  <c r="D191" i="166"/>
  <c r="D188" i="166"/>
  <c r="D185" i="166"/>
  <c r="D182" i="166"/>
  <c r="D179" i="166"/>
  <c r="D176" i="166"/>
  <c r="D173" i="166"/>
  <c r="D171" i="166"/>
  <c r="D168" i="166"/>
  <c r="D165" i="166"/>
  <c r="D162" i="166"/>
  <c r="D159" i="166"/>
  <c r="D156" i="166"/>
  <c r="D153" i="166"/>
  <c r="D150" i="166"/>
  <c r="D146" i="166"/>
  <c r="D144" i="166"/>
  <c r="D140" i="166"/>
  <c r="D135" i="166"/>
  <c r="D132" i="166"/>
  <c r="D129" i="166"/>
  <c r="D126" i="166"/>
  <c r="D123" i="166"/>
  <c r="D120" i="166"/>
  <c r="D117" i="166"/>
  <c r="D115" i="166"/>
  <c r="D111" i="166"/>
  <c r="D108" i="166"/>
  <c r="D106" i="166"/>
  <c r="D103" i="166"/>
  <c r="D100" i="166"/>
  <c r="D95" i="166"/>
  <c r="D92" i="166"/>
  <c r="D89" i="166"/>
  <c r="D87" i="166"/>
  <c r="D84" i="166"/>
  <c r="D80" i="166"/>
  <c r="D77" i="166"/>
  <c r="D74" i="166"/>
  <c r="D71" i="166"/>
  <c r="D69" i="166"/>
  <c r="D66" i="166"/>
  <c r="D62" i="166"/>
  <c r="D59" i="166"/>
  <c r="D56" i="166"/>
  <c r="D54" i="166"/>
  <c r="D50" i="166"/>
  <c r="D47" i="166"/>
  <c r="D44" i="166"/>
  <c r="D41" i="166"/>
  <c r="D39" i="166"/>
  <c r="D36" i="166"/>
  <c r="D32" i="166"/>
  <c r="D29" i="166"/>
  <c r="D26" i="166"/>
  <c r="D23" i="166"/>
  <c r="D2" i="166"/>
  <c r="H858" i="166"/>
  <c r="G858" i="166"/>
  <c r="E858" i="166" s="1"/>
  <c r="D858" i="166"/>
  <c r="A858" i="166"/>
  <c r="B857" i="166"/>
  <c r="B858" i="166" s="1"/>
  <c r="H855" i="166"/>
  <c r="G855" i="166"/>
  <c r="E855" i="166" s="1"/>
  <c r="D855" i="166"/>
  <c r="A855" i="166"/>
  <c r="B854" i="166"/>
  <c r="B855" i="166" s="1"/>
  <c r="H846" i="166"/>
  <c r="H849" i="166"/>
  <c r="H852" i="166"/>
  <c r="G852" i="166"/>
  <c r="E852" i="166" s="1"/>
  <c r="D852" i="166"/>
  <c r="A852" i="166"/>
  <c r="B851" i="166"/>
  <c r="B852" i="166" s="1"/>
  <c r="G849" i="166"/>
  <c r="E849" i="166" s="1"/>
  <c r="D849" i="166"/>
  <c r="A849" i="166"/>
  <c r="B848" i="166"/>
  <c r="B849" i="166" s="1"/>
  <c r="G846" i="166"/>
  <c r="E846" i="166" s="1"/>
  <c r="D846" i="166"/>
  <c r="A846" i="166"/>
  <c r="B845" i="166"/>
  <c r="B846" i="166" s="1"/>
  <c r="H843" i="166"/>
  <c r="G843" i="166"/>
  <c r="E843" i="166" s="1"/>
  <c r="D843" i="166"/>
  <c r="A843" i="166"/>
  <c r="B842" i="166"/>
  <c r="B843" i="166" s="1"/>
  <c r="H840" i="166"/>
  <c r="G840" i="166"/>
  <c r="E840" i="166" s="1"/>
  <c r="D840" i="166"/>
  <c r="A840" i="166"/>
  <c r="B839" i="166"/>
  <c r="B840" i="166" s="1"/>
  <c r="H837" i="166"/>
  <c r="G837" i="166"/>
  <c r="E837" i="166" s="1"/>
  <c r="D837" i="166"/>
  <c r="A837" i="166"/>
  <c r="B836" i="166"/>
  <c r="B837" i="166" s="1"/>
  <c r="H834" i="166"/>
  <c r="G834" i="166"/>
  <c r="E834" i="166" s="1"/>
  <c r="D834" i="166"/>
  <c r="A834" i="166"/>
  <c r="B833" i="166"/>
  <c r="B834" i="166" s="1"/>
  <c r="H828" i="166"/>
  <c r="G828" i="166"/>
  <c r="E828" i="166" s="1"/>
  <c r="D828" i="166"/>
  <c r="A828" i="166"/>
  <c r="B827" i="166"/>
  <c r="B828" i="166" s="1"/>
  <c r="H825" i="166"/>
  <c r="G825" i="166"/>
  <c r="E825" i="166" s="1"/>
  <c r="D825" i="166"/>
  <c r="A825" i="166"/>
  <c r="B824" i="166"/>
  <c r="B825" i="166" s="1"/>
  <c r="H822" i="166"/>
  <c r="G822" i="166"/>
  <c r="E822" i="166" s="1"/>
  <c r="D822" i="166"/>
  <c r="A822" i="166"/>
  <c r="B821" i="166"/>
  <c r="B822" i="166" s="1"/>
  <c r="H819" i="166"/>
  <c r="G819" i="166"/>
  <c r="E819" i="166" s="1"/>
  <c r="D819" i="166"/>
  <c r="A819" i="166"/>
  <c r="B818" i="166"/>
  <c r="B819" i="166" s="1"/>
  <c r="H816" i="166"/>
  <c r="G816" i="166"/>
  <c r="E816" i="166" s="1"/>
  <c r="D816" i="166"/>
  <c r="A816" i="166"/>
  <c r="B815" i="166"/>
  <c r="B816" i="166" s="1"/>
  <c r="H813" i="166"/>
  <c r="G813" i="166"/>
  <c r="E813" i="166" s="1"/>
  <c r="D813" i="166"/>
  <c r="A813" i="166"/>
  <c r="B812" i="166"/>
  <c r="B813" i="166" s="1"/>
  <c r="H810" i="166"/>
  <c r="G810" i="166"/>
  <c r="E810" i="166" s="1"/>
  <c r="D810" i="166"/>
  <c r="A810" i="166"/>
  <c r="B809" i="166"/>
  <c r="B810" i="166" s="1"/>
  <c r="H807" i="166"/>
  <c r="G807" i="166"/>
  <c r="E807" i="166" s="1"/>
  <c r="D807" i="166"/>
  <c r="A807" i="166"/>
  <c r="B806" i="166"/>
  <c r="B807" i="166" s="1"/>
  <c r="H804" i="166"/>
  <c r="G804" i="166"/>
  <c r="E804" i="166" s="1"/>
  <c r="D804" i="166"/>
  <c r="A804" i="166"/>
  <c r="B803" i="166"/>
  <c r="B804" i="166" s="1"/>
  <c r="H801" i="166"/>
  <c r="G801" i="166"/>
  <c r="E801" i="166" s="1"/>
  <c r="D801" i="166"/>
  <c r="A801" i="166"/>
  <c r="B800" i="166"/>
  <c r="B801" i="166" s="1"/>
  <c r="D20" i="161"/>
  <c r="B790" i="166"/>
  <c r="B792" i="166" s="1"/>
  <c r="H798" i="166"/>
  <c r="G798" i="166"/>
  <c r="E798" i="166" s="1"/>
  <c r="D797" i="166"/>
  <c r="H795" i="166"/>
  <c r="A795" i="166"/>
  <c r="D794" i="166"/>
  <c r="A792" i="166"/>
  <c r="H788" i="166"/>
  <c r="A788" i="166"/>
  <c r="D787" i="166"/>
  <c r="B787" i="166"/>
  <c r="B788" i="166" s="1"/>
  <c r="H782" i="166"/>
  <c r="H785" i="166"/>
  <c r="G785" i="166"/>
  <c r="E785" i="166" s="1"/>
  <c r="D785" i="166"/>
  <c r="A785" i="166"/>
  <c r="B784" i="166"/>
  <c r="B785" i="166" s="1"/>
  <c r="G782" i="166"/>
  <c r="E782" i="166" s="1"/>
  <c r="D782" i="166"/>
  <c r="A782" i="166"/>
  <c r="B781" i="166"/>
  <c r="B782" i="166" s="1"/>
  <c r="D778" i="166"/>
  <c r="H779" i="166"/>
  <c r="G779" i="166"/>
  <c r="E779" i="166" s="1"/>
  <c r="A779" i="166"/>
  <c r="B778" i="166"/>
  <c r="B779" i="166" s="1"/>
  <c r="H776" i="166"/>
  <c r="G776" i="166"/>
  <c r="E776" i="166" s="1"/>
  <c r="D776" i="166"/>
  <c r="A776" i="166"/>
  <c r="B775" i="166"/>
  <c r="B776" i="166" s="1"/>
  <c r="H773" i="166"/>
  <c r="G773" i="166"/>
  <c r="E773" i="166" s="1"/>
  <c r="D773" i="166"/>
  <c r="A773" i="166"/>
  <c r="B772" i="166"/>
  <c r="B773" i="166" s="1"/>
  <c r="H770" i="166"/>
  <c r="G770" i="166"/>
  <c r="E770" i="166" s="1"/>
  <c r="D770" i="166"/>
  <c r="A770" i="166"/>
  <c r="B769" i="166"/>
  <c r="B770" i="166" s="1"/>
  <c r="H764" i="166"/>
  <c r="H758" i="166"/>
  <c r="H755" i="166"/>
  <c r="H767" i="166"/>
  <c r="G767" i="166"/>
  <c r="E767" i="166" s="1"/>
  <c r="D767" i="166"/>
  <c r="A767" i="166"/>
  <c r="B766" i="166"/>
  <c r="B767" i="166" s="1"/>
  <c r="G764" i="166"/>
  <c r="E764" i="166" s="1"/>
  <c r="D764" i="166"/>
  <c r="A764" i="166"/>
  <c r="B763" i="166"/>
  <c r="B764" i="166" s="1"/>
  <c r="H761" i="166"/>
  <c r="G761" i="166"/>
  <c r="E761" i="166" s="1"/>
  <c r="D761" i="166"/>
  <c r="A761" i="166"/>
  <c r="B760" i="166"/>
  <c r="B761" i="166" s="1"/>
  <c r="G758" i="166"/>
  <c r="E758" i="166" s="1"/>
  <c r="D758" i="166"/>
  <c r="A758" i="166"/>
  <c r="B757" i="166"/>
  <c r="B758" i="166" s="1"/>
  <c r="G755" i="166"/>
  <c r="E755" i="166" s="1"/>
  <c r="D755" i="166"/>
  <c r="A755" i="166"/>
  <c r="B754" i="166"/>
  <c r="B755" i="166" s="1"/>
  <c r="H752" i="166"/>
  <c r="G752" i="166"/>
  <c r="E752" i="166" s="1"/>
  <c r="D752" i="166"/>
  <c r="A752" i="166"/>
  <c r="B751" i="166"/>
  <c r="B752" i="166" s="1"/>
  <c r="H749" i="166"/>
  <c r="G749" i="166"/>
  <c r="E749" i="166" s="1"/>
  <c r="D749" i="166"/>
  <c r="A749" i="166"/>
  <c r="B748" i="166"/>
  <c r="B749" i="166" s="1"/>
  <c r="H746" i="166"/>
  <c r="G746" i="166"/>
  <c r="E746" i="166" s="1"/>
  <c r="D746" i="166"/>
  <c r="A746" i="166"/>
  <c r="B745" i="166"/>
  <c r="B746" i="166" s="1"/>
  <c r="H743" i="166"/>
  <c r="G743" i="166"/>
  <c r="E743" i="166" s="1"/>
  <c r="D743" i="166"/>
  <c r="A743" i="166"/>
  <c r="B742" i="166"/>
  <c r="B743" i="166" s="1"/>
  <c r="H740" i="166"/>
  <c r="G740" i="166"/>
  <c r="E740" i="166" s="1"/>
  <c r="D740" i="166"/>
  <c r="A740" i="166"/>
  <c r="B739" i="166"/>
  <c r="B740" i="166" s="1"/>
  <c r="H737" i="166"/>
  <c r="G737" i="166"/>
  <c r="E737" i="166" s="1"/>
  <c r="D737" i="166"/>
  <c r="A737" i="166"/>
  <c r="B736" i="166"/>
  <c r="B737" i="166" s="1"/>
  <c r="H734" i="166"/>
  <c r="G734" i="166"/>
  <c r="E734" i="166" s="1"/>
  <c r="D734" i="166"/>
  <c r="A734" i="166"/>
  <c r="B733" i="166"/>
  <c r="B734" i="166" s="1"/>
  <c r="H731" i="166"/>
  <c r="G731" i="166"/>
  <c r="E731" i="166" s="1"/>
  <c r="D731" i="166"/>
  <c r="A731" i="166"/>
  <c r="B730" i="166"/>
  <c r="B731" i="166" s="1"/>
  <c r="H728" i="166"/>
  <c r="G728" i="166"/>
  <c r="E728" i="166" s="1"/>
  <c r="D728" i="166"/>
  <c r="A728" i="166"/>
  <c r="B727" i="166"/>
  <c r="B728" i="166" s="1"/>
  <c r="H725" i="166"/>
  <c r="G725" i="166"/>
  <c r="E725" i="166" s="1"/>
  <c r="D725" i="166"/>
  <c r="A725" i="166"/>
  <c r="B724" i="166"/>
  <c r="B725" i="166" s="1"/>
  <c r="H722" i="166"/>
  <c r="G722" i="166"/>
  <c r="E722" i="166" s="1"/>
  <c r="D722" i="166"/>
  <c r="A722" i="166"/>
  <c r="B721" i="166"/>
  <c r="B722" i="166" s="1"/>
  <c r="H713" i="166"/>
  <c r="H716" i="166"/>
  <c r="H719" i="166"/>
  <c r="G719" i="166"/>
  <c r="E719" i="166" s="1"/>
  <c r="D719" i="166"/>
  <c r="A719" i="166"/>
  <c r="B718" i="166"/>
  <c r="B719" i="166" s="1"/>
  <c r="G716" i="166"/>
  <c r="E716" i="166" s="1"/>
  <c r="D716" i="166"/>
  <c r="A716" i="166"/>
  <c r="B715" i="166"/>
  <c r="B716" i="166" s="1"/>
  <c r="G713" i="166"/>
  <c r="E713" i="166" s="1"/>
  <c r="D713" i="166"/>
  <c r="A713" i="166"/>
  <c r="B712" i="166"/>
  <c r="B713" i="166" s="1"/>
  <c r="H710" i="166"/>
  <c r="G710" i="166"/>
  <c r="E710" i="166" s="1"/>
  <c r="D710" i="166"/>
  <c r="A710" i="166"/>
  <c r="B709" i="166"/>
  <c r="B710" i="166" s="1"/>
  <c r="H707" i="166"/>
  <c r="G707" i="166"/>
  <c r="E707" i="166" s="1"/>
  <c r="D707" i="166"/>
  <c r="A707" i="166"/>
  <c r="B706" i="166"/>
  <c r="B707" i="166" s="1"/>
  <c r="H704" i="166"/>
  <c r="G704" i="166"/>
  <c r="E704" i="166" s="1"/>
  <c r="D704" i="166"/>
  <c r="A704" i="166"/>
  <c r="B703" i="166"/>
  <c r="B704" i="166" s="1"/>
  <c r="H701" i="166"/>
  <c r="G701" i="166"/>
  <c r="E701" i="166" s="1"/>
  <c r="D701" i="166"/>
  <c r="A701" i="166"/>
  <c r="B700" i="166"/>
  <c r="B701" i="166" s="1"/>
  <c r="H698" i="166"/>
  <c r="G698" i="166"/>
  <c r="E698" i="166" s="1"/>
  <c r="D698" i="166"/>
  <c r="A698" i="166"/>
  <c r="B697" i="166"/>
  <c r="B698" i="166" s="1"/>
  <c r="H683" i="166"/>
  <c r="H686" i="166"/>
  <c r="H689" i="166"/>
  <c r="H692" i="166"/>
  <c r="G695" i="166"/>
  <c r="E695" i="166" s="1"/>
  <c r="D695" i="166"/>
  <c r="A695" i="166"/>
  <c r="B694" i="166"/>
  <c r="B695" i="166" s="1"/>
  <c r="G692" i="166"/>
  <c r="E692" i="166" s="1"/>
  <c r="D692" i="166"/>
  <c r="A692" i="166"/>
  <c r="B691" i="166"/>
  <c r="B692" i="166" s="1"/>
  <c r="G689" i="166"/>
  <c r="E689" i="166" s="1"/>
  <c r="D689" i="166"/>
  <c r="A689" i="166"/>
  <c r="B688" i="166"/>
  <c r="B689" i="166" s="1"/>
  <c r="G686" i="166"/>
  <c r="E686" i="166" s="1"/>
  <c r="D686" i="166"/>
  <c r="A686" i="166"/>
  <c r="B685" i="166"/>
  <c r="B686" i="166" s="1"/>
  <c r="G683" i="166"/>
  <c r="E683" i="166" s="1"/>
  <c r="D683" i="166"/>
  <c r="A683" i="166"/>
  <c r="B682" i="166"/>
  <c r="B683" i="166" s="1"/>
  <c r="A680" i="166"/>
  <c r="B679" i="166"/>
  <c r="B680" i="166" s="1"/>
  <c r="D680" i="166"/>
  <c r="G677" i="166"/>
  <c r="E677" i="166" s="1"/>
  <c r="D677" i="166"/>
  <c r="A677" i="166"/>
  <c r="B676" i="166"/>
  <c r="B677" i="166" s="1"/>
  <c r="G674" i="166"/>
  <c r="E674" i="166" s="1"/>
  <c r="D674" i="166"/>
  <c r="A674" i="166"/>
  <c r="B673" i="166"/>
  <c r="B674" i="166" s="1"/>
  <c r="H671" i="166"/>
  <c r="G671" i="166"/>
  <c r="E671" i="166" s="1"/>
  <c r="D671" i="166"/>
  <c r="A671" i="166"/>
  <c r="B670" i="166"/>
  <c r="B671" i="166" s="1"/>
  <c r="B667" i="166"/>
  <c r="B668" i="166" s="1"/>
  <c r="A668" i="166"/>
  <c r="H668" i="166"/>
  <c r="G668" i="166"/>
  <c r="E668" i="166" s="1"/>
  <c r="D668" i="166"/>
  <c r="B664" i="166"/>
  <c r="B665" i="166" s="1"/>
  <c r="H665" i="166"/>
  <c r="G665" i="166"/>
  <c r="E665" i="166" s="1"/>
  <c r="A665" i="166"/>
  <c r="D664" i="166"/>
  <c r="A5750" i="167" l="1"/>
  <c r="B5750" i="167" s="1"/>
  <c r="B2643" i="167"/>
  <c r="A2646" i="167"/>
  <c r="B2646" i="167" s="1"/>
  <c r="B2855" i="167"/>
  <c r="A2861" i="167"/>
  <c r="B3416" i="167"/>
  <c r="A3434" i="167"/>
  <c r="B3272" i="167"/>
  <c r="A3275" i="167"/>
  <c r="B3920" i="167"/>
  <c r="A3938" i="167"/>
  <c r="B2882" i="167"/>
  <c r="A2891" i="167"/>
  <c r="D1403" i="167"/>
  <c r="D1402" i="167"/>
  <c r="B1402" i="167"/>
  <c r="D1400" i="167"/>
  <c r="D1399" i="167"/>
  <c r="B1399" i="167"/>
  <c r="D1397" i="167"/>
  <c r="D1396" i="167"/>
  <c r="B1396" i="167"/>
  <c r="D1394" i="167"/>
  <c r="D1393" i="167"/>
  <c r="B1393" i="167"/>
  <c r="D1391" i="167"/>
  <c r="D1390" i="167"/>
  <c r="B1390" i="167"/>
  <c r="D1388" i="167"/>
  <c r="D1387" i="167"/>
  <c r="B1387" i="167"/>
  <c r="D1385" i="167"/>
  <c r="D1384" i="167"/>
  <c r="B1384" i="167"/>
  <c r="D1382" i="167"/>
  <c r="D1381" i="167"/>
  <c r="B1381" i="167"/>
  <c r="D1379" i="167"/>
  <c r="D1378" i="167"/>
  <c r="B1378" i="167"/>
  <c r="D1376" i="167"/>
  <c r="D1375" i="167"/>
  <c r="B1375" i="167"/>
  <c r="D1373" i="167"/>
  <c r="D1372" i="167"/>
  <c r="B1372" i="167"/>
  <c r="D1370" i="167"/>
  <c r="D1369" i="167"/>
  <c r="B1369" i="167"/>
  <c r="I1367" i="167"/>
  <c r="H1367" i="167"/>
  <c r="D1367" i="167"/>
  <c r="I1366" i="167"/>
  <c r="D1366" i="167"/>
  <c r="D1365" i="167"/>
  <c r="B1365" i="167"/>
  <c r="B1357" i="167"/>
  <c r="I1359" i="167"/>
  <c r="H1359" i="167"/>
  <c r="D1359" i="167"/>
  <c r="A1359" i="167"/>
  <c r="B1359" i="167" s="1"/>
  <c r="I1358" i="167"/>
  <c r="I1362" i="167" s="1"/>
  <c r="H1358" i="167"/>
  <c r="H1362" i="167" s="1"/>
  <c r="H1366" i="167" s="1"/>
  <c r="H1757" i="167" s="1"/>
  <c r="D1358" i="167"/>
  <c r="A1358" i="167"/>
  <c r="D1357" i="167"/>
  <c r="D1355" i="167"/>
  <c r="A1355" i="167"/>
  <c r="B1355" i="167" s="1"/>
  <c r="D1353" i="167"/>
  <c r="B1353" i="167"/>
  <c r="D1351" i="167"/>
  <c r="D1350" i="167"/>
  <c r="B1350" i="167"/>
  <c r="D1348" i="167"/>
  <c r="D1347" i="167"/>
  <c r="B1347" i="167"/>
  <c r="D1345" i="167"/>
  <c r="D1344" i="167"/>
  <c r="B1344" i="167"/>
  <c r="D1342" i="167"/>
  <c r="D1341" i="167"/>
  <c r="B1341" i="167"/>
  <c r="D1339" i="167"/>
  <c r="D1338" i="167"/>
  <c r="B1338" i="167"/>
  <c r="D1336" i="167"/>
  <c r="D1335" i="167"/>
  <c r="B1335" i="167"/>
  <c r="D1333" i="167"/>
  <c r="D1332" i="167"/>
  <c r="B1332" i="167"/>
  <c r="D1330" i="167"/>
  <c r="D1329" i="167"/>
  <c r="B1329" i="167"/>
  <c r="D1327" i="167"/>
  <c r="D1326" i="167"/>
  <c r="B1326" i="167"/>
  <c r="D1324" i="167"/>
  <c r="D1323" i="167"/>
  <c r="B1323" i="167"/>
  <c r="D1321" i="167"/>
  <c r="D1320" i="167"/>
  <c r="B1320" i="167"/>
  <c r="D1318" i="167"/>
  <c r="D1317" i="167"/>
  <c r="B1317" i="167"/>
  <c r="D1315" i="167"/>
  <c r="D1314" i="167"/>
  <c r="B1314" i="167"/>
  <c r="D1312" i="167"/>
  <c r="D1311" i="167"/>
  <c r="B1311" i="167"/>
  <c r="D1309" i="167"/>
  <c r="D1308" i="167"/>
  <c r="B1308" i="167"/>
  <c r="D1306" i="167"/>
  <c r="D1305" i="167"/>
  <c r="B1305" i="167"/>
  <c r="D1303" i="167"/>
  <c r="D1302" i="167"/>
  <c r="B1302" i="167"/>
  <c r="D1300" i="167"/>
  <c r="D1299" i="167"/>
  <c r="B1299" i="167"/>
  <c r="D1297" i="167"/>
  <c r="D1296" i="167"/>
  <c r="B1296" i="167"/>
  <c r="D1294" i="167"/>
  <c r="D1293" i="167"/>
  <c r="B1293" i="167"/>
  <c r="D1291" i="167"/>
  <c r="D1290" i="167"/>
  <c r="B1290" i="167"/>
  <c r="D1288" i="167"/>
  <c r="D1287" i="167"/>
  <c r="B1287" i="167"/>
  <c r="D1285" i="167"/>
  <c r="D1284" i="167"/>
  <c r="B1284" i="167"/>
  <c r="D1282" i="167"/>
  <c r="D1281" i="167"/>
  <c r="B1281" i="167"/>
  <c r="D1279" i="167"/>
  <c r="D1278" i="167"/>
  <c r="B1278" i="167"/>
  <c r="D1276" i="167"/>
  <c r="A1276" i="167"/>
  <c r="B1276" i="167" s="1"/>
  <c r="D1275" i="167"/>
  <c r="B1275" i="167"/>
  <c r="D1273" i="167"/>
  <c r="D1272" i="167"/>
  <c r="B1272" i="167"/>
  <c r="D1270" i="167"/>
  <c r="D1269" i="167"/>
  <c r="B1269" i="167"/>
  <c r="D1267" i="167"/>
  <c r="D1266" i="167"/>
  <c r="B1266" i="167"/>
  <c r="D1264" i="167"/>
  <c r="D1263" i="167"/>
  <c r="B1263" i="167"/>
  <c r="D1261" i="167"/>
  <c r="D1260" i="167"/>
  <c r="B1260" i="167"/>
  <c r="D1258" i="167"/>
  <c r="D1257" i="167"/>
  <c r="B1257" i="167"/>
  <c r="D1255" i="167"/>
  <c r="D1254" i="167"/>
  <c r="B1254" i="167"/>
  <c r="D1252" i="167"/>
  <c r="D1251" i="167"/>
  <c r="B1251" i="167"/>
  <c r="D1249" i="167"/>
  <c r="D1248" i="167"/>
  <c r="B1248" i="167"/>
  <c r="D1246" i="167"/>
  <c r="D1245" i="167"/>
  <c r="B1245" i="167"/>
  <c r="D1243" i="167"/>
  <c r="D1242" i="167"/>
  <c r="B1242" i="167"/>
  <c r="D1240" i="167"/>
  <c r="D1239" i="167"/>
  <c r="B1239" i="167"/>
  <c r="D1237" i="167"/>
  <c r="D1236" i="167"/>
  <c r="B1236" i="167"/>
  <c r="D1234" i="167"/>
  <c r="D1233" i="167"/>
  <c r="B1233" i="167"/>
  <c r="D1231" i="167"/>
  <c r="D1230" i="167"/>
  <c r="B1230" i="167"/>
  <c r="D1228" i="167"/>
  <c r="D1227" i="167"/>
  <c r="B1227" i="167"/>
  <c r="D1225" i="167"/>
  <c r="D1224" i="167"/>
  <c r="B1224" i="167"/>
  <c r="D1222" i="167"/>
  <c r="D1221" i="167"/>
  <c r="B1221" i="167"/>
  <c r="D1213" i="167"/>
  <c r="D1212" i="167"/>
  <c r="B1212" i="167"/>
  <c r="D1210" i="167"/>
  <c r="D1209" i="167"/>
  <c r="B1209" i="167"/>
  <c r="D1207" i="167"/>
  <c r="D1206" i="167"/>
  <c r="B1206" i="167"/>
  <c r="D1204" i="167"/>
  <c r="D1203" i="167"/>
  <c r="B1203" i="167"/>
  <c r="D1201" i="167"/>
  <c r="D1200" i="167"/>
  <c r="B1200" i="167"/>
  <c r="D1198" i="167"/>
  <c r="D1197" i="167"/>
  <c r="B1197" i="167"/>
  <c r="D1195" i="167"/>
  <c r="D1194" i="167"/>
  <c r="B1194" i="167"/>
  <c r="D1192" i="167"/>
  <c r="D1191" i="167"/>
  <c r="B1191" i="167"/>
  <c r="D1189" i="167"/>
  <c r="D1188" i="167"/>
  <c r="B1188" i="167"/>
  <c r="D1186" i="167"/>
  <c r="D1185" i="167"/>
  <c r="B1185" i="167"/>
  <c r="D1183" i="167"/>
  <c r="D1182" i="167"/>
  <c r="B1182" i="167"/>
  <c r="D1180" i="167"/>
  <c r="D1179" i="167"/>
  <c r="B1179" i="167"/>
  <c r="D1177" i="167"/>
  <c r="D1176" i="167"/>
  <c r="B1176" i="167"/>
  <c r="D1174" i="167"/>
  <c r="D1173" i="167"/>
  <c r="B1173" i="167"/>
  <c r="D1171" i="167"/>
  <c r="D1170" i="167"/>
  <c r="B1170" i="167"/>
  <c r="D1168" i="167"/>
  <c r="D1167" i="167"/>
  <c r="B1167" i="167"/>
  <c r="D1165" i="167"/>
  <c r="D1164" i="167"/>
  <c r="B1164" i="167"/>
  <c r="D1162" i="167"/>
  <c r="D1161" i="167"/>
  <c r="B1161" i="167"/>
  <c r="D1159" i="167"/>
  <c r="A1159" i="167"/>
  <c r="B1159" i="167" s="1"/>
  <c r="D1158" i="167"/>
  <c r="B1158" i="167"/>
  <c r="A5752" i="167" l="1"/>
  <c r="A5753" i="167" s="1"/>
  <c r="B5753" i="167" s="1"/>
  <c r="H1758" i="167"/>
  <c r="H1761" i="167" s="1"/>
  <c r="H1928" i="167"/>
  <c r="A1367" i="167"/>
  <c r="B1367" i="167" s="1"/>
  <c r="B2891" i="167"/>
  <c r="A2900" i="167"/>
  <c r="B3275" i="167"/>
  <c r="A3278" i="167"/>
  <c r="B2861" i="167"/>
  <c r="A2870" i="167"/>
  <c r="B1358" i="167"/>
  <c r="A1362" i="167"/>
  <c r="A1162" i="167"/>
  <c r="B3938" i="167"/>
  <c r="A3941" i="167"/>
  <c r="B3434" i="167"/>
  <c r="A3443" i="167"/>
  <c r="B869" i="167"/>
  <c r="B866" i="167"/>
  <c r="A867" i="167"/>
  <c r="H867" i="167"/>
  <c r="D867" i="167"/>
  <c r="D866" i="167"/>
  <c r="B5752" i="167" l="1"/>
  <c r="F3" i="197"/>
  <c r="F5" i="197" s="1"/>
  <c r="F23" i="197" s="1"/>
  <c r="F26" i="197" s="1"/>
  <c r="C15" i="20"/>
  <c r="B3443" i="167"/>
  <c r="A3446" i="167"/>
  <c r="B1162" i="167"/>
  <c r="A1165" i="167"/>
  <c r="B3941" i="167"/>
  <c r="A3950" i="167"/>
  <c r="B2870" i="167"/>
  <c r="A2873" i="167"/>
  <c r="B2900" i="167"/>
  <c r="A2918" i="167"/>
  <c r="B1362" i="167"/>
  <c r="A1366" i="167"/>
  <c r="B3278" i="167"/>
  <c r="A3287" i="167"/>
  <c r="H1929" i="167"/>
  <c r="H2249" i="167"/>
  <c r="D870" i="167"/>
  <c r="D869" i="167"/>
  <c r="A870" i="167"/>
  <c r="B861" i="167"/>
  <c r="K864" i="167"/>
  <c r="D864" i="167"/>
  <c r="K863" i="167"/>
  <c r="D863" i="167"/>
  <c r="K862" i="167"/>
  <c r="D862" i="167"/>
  <c r="K861" i="167"/>
  <c r="D861" i="167"/>
  <c r="D859" i="167"/>
  <c r="D858" i="167"/>
  <c r="B858" i="167"/>
  <c r="B867" i="167" s="1"/>
  <c r="B870" i="167" s="1"/>
  <c r="D836" i="167"/>
  <c r="D835" i="167"/>
  <c r="B835" i="167"/>
  <c r="D833" i="167"/>
  <c r="D832" i="167"/>
  <c r="B832" i="167"/>
  <c r="D830" i="167"/>
  <c r="D829" i="167"/>
  <c r="B829" i="167"/>
  <c r="B856" i="167" s="1"/>
  <c r="B3287" i="167" l="1"/>
  <c r="A3293" i="167"/>
  <c r="B2918" i="167"/>
  <c r="A2924" i="167"/>
  <c r="B3950" i="167"/>
  <c r="A3953" i="167"/>
  <c r="B3446" i="167"/>
  <c r="A3449" i="167"/>
  <c r="H2250" i="167"/>
  <c r="H2253" i="167" s="1"/>
  <c r="H2346" i="167"/>
  <c r="H2790" i="167" s="1"/>
  <c r="H2794" i="167" s="1"/>
  <c r="B1366" i="167"/>
  <c r="A1757" i="167"/>
  <c r="B2873" i="167"/>
  <c r="A2885" i="167"/>
  <c r="B1165" i="167"/>
  <c r="A1168" i="167"/>
  <c r="D1153" i="167"/>
  <c r="D1152" i="167"/>
  <c r="B1152" i="167"/>
  <c r="D1150" i="167"/>
  <c r="D1149" i="167"/>
  <c r="B1149" i="167"/>
  <c r="D1147" i="167"/>
  <c r="D1146" i="167"/>
  <c r="B1146" i="167"/>
  <c r="D1144" i="167"/>
  <c r="D1143" i="167"/>
  <c r="B1143" i="167"/>
  <c r="D1141" i="167"/>
  <c r="D1140" i="167"/>
  <c r="B1140" i="167"/>
  <c r="D1138" i="167"/>
  <c r="D1137" i="167"/>
  <c r="B1137" i="167"/>
  <c r="D1135" i="167"/>
  <c r="D1134" i="167"/>
  <c r="B1134" i="167"/>
  <c r="D1132" i="167"/>
  <c r="D1131" i="167"/>
  <c r="B1131" i="167"/>
  <c r="D1129" i="167"/>
  <c r="A1129" i="167"/>
  <c r="B1129" i="167" s="1"/>
  <c r="D1128" i="167"/>
  <c r="B1128" i="167"/>
  <c r="D1126" i="167"/>
  <c r="D1125" i="167"/>
  <c r="B1125" i="167"/>
  <c r="D1123" i="167"/>
  <c r="D1122" i="167"/>
  <c r="B1122" i="167"/>
  <c r="D1120" i="167"/>
  <c r="D1119" i="167"/>
  <c r="B1119" i="167"/>
  <c r="D1117" i="167"/>
  <c r="D1116" i="167"/>
  <c r="B1116" i="167"/>
  <c r="D1114" i="167"/>
  <c r="D1113" i="167"/>
  <c r="B1113" i="167"/>
  <c r="D1111" i="167"/>
  <c r="D1110" i="167"/>
  <c r="B1110" i="167"/>
  <c r="D1108" i="167"/>
  <c r="D1107" i="167"/>
  <c r="B1107" i="167"/>
  <c r="D1105" i="167"/>
  <c r="D1104" i="167"/>
  <c r="B1104" i="167"/>
  <c r="D1102" i="167"/>
  <c r="D1101" i="167"/>
  <c r="B1101" i="167"/>
  <c r="D1099" i="167"/>
  <c r="D1098" i="167"/>
  <c r="B1098" i="167"/>
  <c r="D1096" i="167"/>
  <c r="D1095" i="167"/>
  <c r="B1095" i="167"/>
  <c r="D1093" i="167"/>
  <c r="D1092" i="167"/>
  <c r="B1092" i="167"/>
  <c r="D1090" i="167"/>
  <c r="D1089" i="167"/>
  <c r="B1089" i="167"/>
  <c r="D1087" i="167"/>
  <c r="D1086" i="167"/>
  <c r="B1086" i="167"/>
  <c r="D1084" i="167"/>
  <c r="D1083" i="167"/>
  <c r="B1083" i="167"/>
  <c r="D1081" i="167"/>
  <c r="D1080" i="167"/>
  <c r="B1080" i="167"/>
  <c r="D1078" i="167"/>
  <c r="D1077" i="167"/>
  <c r="B1077" i="167"/>
  <c r="D1075" i="167"/>
  <c r="D1074" i="167"/>
  <c r="B1074" i="167"/>
  <c r="I1072" i="167"/>
  <c r="H1072" i="167"/>
  <c r="D1072" i="167"/>
  <c r="A1072" i="167"/>
  <c r="B1072" i="167" s="1"/>
  <c r="D1071" i="167"/>
  <c r="D1070" i="167"/>
  <c r="B1070" i="167"/>
  <c r="B1067" i="167"/>
  <c r="I1068" i="167"/>
  <c r="H1068" i="167"/>
  <c r="D1068" i="167"/>
  <c r="A1068" i="167"/>
  <c r="B1068" i="167" s="1"/>
  <c r="D1067" i="167"/>
  <c r="D1065" i="167"/>
  <c r="D1064" i="167"/>
  <c r="B1064" i="167"/>
  <c r="D1062" i="167"/>
  <c r="D1061" i="167"/>
  <c r="B1061" i="167"/>
  <c r="D1059" i="167"/>
  <c r="D1058" i="167"/>
  <c r="B1058" i="167"/>
  <c r="D1056" i="167"/>
  <c r="D1055" i="167"/>
  <c r="B1055" i="167"/>
  <c r="D1053" i="167"/>
  <c r="D1052" i="167"/>
  <c r="B1052" i="167"/>
  <c r="D1050" i="167"/>
  <c r="D1049" i="167"/>
  <c r="B1049" i="167"/>
  <c r="D1047" i="167"/>
  <c r="D1046" i="167"/>
  <c r="B1046" i="167"/>
  <c r="D1044" i="167"/>
  <c r="D1042" i="167"/>
  <c r="B1042" i="167"/>
  <c r="D1040" i="167"/>
  <c r="D1039" i="167"/>
  <c r="B1039" i="167"/>
  <c r="D1037" i="167"/>
  <c r="D1036" i="167"/>
  <c r="B1036" i="167"/>
  <c r="D1034" i="167"/>
  <c r="D1033" i="167"/>
  <c r="B1033" i="167"/>
  <c r="D1031" i="167"/>
  <c r="D1030" i="167"/>
  <c r="B1030" i="167"/>
  <c r="D1028" i="167"/>
  <c r="D1027" i="167"/>
  <c r="B1027" i="167"/>
  <c r="D1025" i="167"/>
  <c r="D1024" i="167"/>
  <c r="B1024" i="167"/>
  <c r="D1022" i="167"/>
  <c r="D1021" i="167"/>
  <c r="B1021" i="167"/>
  <c r="D1019" i="167"/>
  <c r="D1018" i="167"/>
  <c r="B1018" i="167"/>
  <c r="D1016" i="167"/>
  <c r="D1015" i="167"/>
  <c r="B1015" i="167"/>
  <c r="C20" i="8"/>
  <c r="D1013" i="167"/>
  <c r="D1012" i="167"/>
  <c r="B1012" i="167"/>
  <c r="D1010" i="167"/>
  <c r="D1009" i="167"/>
  <c r="B1009" i="167"/>
  <c r="D1007" i="167"/>
  <c r="D1006" i="167"/>
  <c r="B1006" i="167"/>
  <c r="D1004" i="167"/>
  <c r="A1004" i="167"/>
  <c r="B1004" i="167" s="1"/>
  <c r="D1003" i="167"/>
  <c r="B1003" i="167"/>
  <c r="D1001" i="167"/>
  <c r="D1000" i="167"/>
  <c r="B1000" i="167"/>
  <c r="D998" i="167"/>
  <c r="D997" i="167"/>
  <c r="B997" i="167"/>
  <c r="D995" i="167"/>
  <c r="D994" i="167"/>
  <c r="B994" i="167"/>
  <c r="D992" i="167"/>
  <c r="D991" i="167"/>
  <c r="B991" i="167"/>
  <c r="D989" i="167"/>
  <c r="D988" i="167"/>
  <c r="B988" i="167"/>
  <c r="D986" i="167"/>
  <c r="D985" i="167"/>
  <c r="B985" i="167"/>
  <c r="D983" i="167"/>
  <c r="D982" i="167"/>
  <c r="B982" i="167"/>
  <c r="D980" i="167"/>
  <c r="D979" i="167"/>
  <c r="B979" i="167"/>
  <c r="D977" i="167"/>
  <c r="D976" i="167"/>
  <c r="B976" i="167"/>
  <c r="D974" i="167"/>
  <c r="D973" i="167"/>
  <c r="B973" i="167"/>
  <c r="D971" i="167"/>
  <c r="D970" i="167"/>
  <c r="B970" i="167"/>
  <c r="D968" i="167"/>
  <c r="D967" i="167"/>
  <c r="B967" i="167"/>
  <c r="D965" i="167"/>
  <c r="D964" i="167"/>
  <c r="B964" i="167"/>
  <c r="D962" i="167"/>
  <c r="D961" i="167"/>
  <c r="B961" i="167"/>
  <c r="D959" i="167"/>
  <c r="D958" i="167"/>
  <c r="B958" i="167"/>
  <c r="D956" i="167"/>
  <c r="D955" i="167"/>
  <c r="B955" i="167"/>
  <c r="D953" i="167"/>
  <c r="D952" i="167"/>
  <c r="B952" i="167"/>
  <c r="D950" i="167"/>
  <c r="D949" i="167"/>
  <c r="B949" i="167"/>
  <c r="D947" i="167"/>
  <c r="D946" i="167"/>
  <c r="B946" i="167"/>
  <c r="D944" i="167"/>
  <c r="D943" i="167"/>
  <c r="B943" i="167"/>
  <c r="D941" i="167"/>
  <c r="D940" i="167"/>
  <c r="B940" i="167"/>
  <c r="D938" i="167"/>
  <c r="D937" i="167"/>
  <c r="B937" i="167"/>
  <c r="D935" i="167"/>
  <c r="D934" i="167"/>
  <c r="B934" i="167"/>
  <c r="D932" i="167"/>
  <c r="D931" i="167"/>
  <c r="B931" i="167"/>
  <c r="D929" i="167"/>
  <c r="D928" i="167"/>
  <c r="B928" i="167"/>
  <c r="D926" i="167"/>
  <c r="D925" i="167"/>
  <c r="B925" i="167"/>
  <c r="D923" i="167"/>
  <c r="D922" i="167"/>
  <c r="B922" i="167"/>
  <c r="D920" i="167"/>
  <c r="A920" i="167"/>
  <c r="D919" i="167"/>
  <c r="B919" i="167"/>
  <c r="D917" i="167"/>
  <c r="D916" i="167"/>
  <c r="B916" i="167"/>
  <c r="D827" i="167"/>
  <c r="D826" i="167"/>
  <c r="D824" i="167"/>
  <c r="D823" i="167"/>
  <c r="D821" i="167"/>
  <c r="D820" i="167"/>
  <c r="D818" i="167"/>
  <c r="D817" i="167"/>
  <c r="D815" i="167"/>
  <c r="D814" i="167"/>
  <c r="I804" i="167"/>
  <c r="D804" i="167"/>
  <c r="B804" i="167"/>
  <c r="A804" i="167"/>
  <c r="D803" i="167"/>
  <c r="D802" i="167"/>
  <c r="I808" i="167"/>
  <c r="I815" i="167" s="1"/>
  <c r="H808" i="167"/>
  <c r="H815" i="167" s="1"/>
  <c r="D808" i="167"/>
  <c r="A808" i="167"/>
  <c r="H807" i="167"/>
  <c r="H811" i="167" s="1"/>
  <c r="H812" i="167" s="1"/>
  <c r="D807" i="167"/>
  <c r="D806" i="167"/>
  <c r="B920" i="167" l="1"/>
  <c r="A1291" i="167"/>
  <c r="B3449" i="167"/>
  <c r="A3452" i="167"/>
  <c r="B2924" i="167"/>
  <c r="A2939" i="167"/>
  <c r="H1071" i="167"/>
  <c r="A1087" i="167"/>
  <c r="B2885" i="167"/>
  <c r="A2894" i="167"/>
  <c r="B3953" i="167"/>
  <c r="A3956" i="167"/>
  <c r="B3293" i="167"/>
  <c r="A3296" i="167"/>
  <c r="B1168" i="167"/>
  <c r="A1171" i="167"/>
  <c r="B1757" i="167"/>
  <c r="B1928" i="167" s="1"/>
  <c r="A1928" i="167"/>
  <c r="A2249" i="167" s="1"/>
  <c r="D15" i="20"/>
  <c r="E15" i="20" s="1"/>
  <c r="F15" i="20" s="1"/>
  <c r="G15" i="20" s="1"/>
  <c r="H15" i="20" s="1"/>
  <c r="I15" i="20" s="1"/>
  <c r="J15" i="20" s="1"/>
  <c r="K15" i="20" s="1"/>
  <c r="L15" i="20" s="1"/>
  <c r="M15" i="20" s="1"/>
  <c r="N15" i="20" s="1"/>
  <c r="I3" i="197"/>
  <c r="D800" i="167"/>
  <c r="D799" i="167"/>
  <c r="D797" i="167"/>
  <c r="D796" i="167"/>
  <c r="D794" i="167"/>
  <c r="D793" i="167"/>
  <c r="D791" i="167"/>
  <c r="D790" i="167"/>
  <c r="D788" i="167"/>
  <c r="D787" i="167"/>
  <c r="D785" i="167"/>
  <c r="D784" i="167"/>
  <c r="D782" i="167"/>
  <c r="D781" i="167"/>
  <c r="D779" i="167"/>
  <c r="D778" i="167"/>
  <c r="D776" i="167"/>
  <c r="D775" i="167"/>
  <c r="D773" i="167"/>
  <c r="D772" i="167"/>
  <c r="D770" i="167"/>
  <c r="D769" i="167"/>
  <c r="D767" i="167"/>
  <c r="D766" i="167"/>
  <c r="D764" i="167"/>
  <c r="D763" i="167"/>
  <c r="D761" i="167"/>
  <c r="D760" i="167"/>
  <c r="D758" i="167"/>
  <c r="D757" i="167"/>
  <c r="D755" i="167"/>
  <c r="D754" i="167"/>
  <c r="D752" i="167"/>
  <c r="D751" i="167"/>
  <c r="D749" i="167"/>
  <c r="D748" i="167"/>
  <c r="D746" i="167"/>
  <c r="A746" i="167"/>
  <c r="A749" i="167" s="1"/>
  <c r="A752" i="167" s="1"/>
  <c r="A755" i="167" s="1"/>
  <c r="A770" i="167" s="1"/>
  <c r="A782" i="167" s="1"/>
  <c r="A797" i="167" s="1"/>
  <c r="D745" i="167"/>
  <c r="D743" i="167"/>
  <c r="D742" i="167"/>
  <c r="D740" i="167"/>
  <c r="D739" i="167"/>
  <c r="D737" i="167"/>
  <c r="D736" i="167"/>
  <c r="D734" i="167"/>
  <c r="A734" i="167"/>
  <c r="A761" i="167" s="1"/>
  <c r="A764" i="167" s="1"/>
  <c r="A773" i="167" s="1"/>
  <c r="A779" i="167" s="1"/>
  <c r="A791" i="167" s="1"/>
  <c r="A824" i="167" s="1"/>
  <c r="A827" i="167" s="1"/>
  <c r="D733" i="167"/>
  <c r="D731" i="167"/>
  <c r="D730" i="167"/>
  <c r="I724" i="167"/>
  <c r="B724" i="167"/>
  <c r="A724" i="167"/>
  <c r="I723" i="167"/>
  <c r="I727" i="167" s="1"/>
  <c r="I807" i="167" s="1"/>
  <c r="I811" i="167" s="1"/>
  <c r="I1071" i="167" s="1"/>
  <c r="B723" i="167"/>
  <c r="A723" i="167"/>
  <c r="I728" i="167"/>
  <c r="B728" i="167"/>
  <c r="A728" i="167"/>
  <c r="B727" i="167"/>
  <c r="B807" i="167" s="1"/>
  <c r="B811" i="167" s="1"/>
  <c r="A727" i="167"/>
  <c r="A807" i="167" s="1"/>
  <c r="A811" i="167" s="1"/>
  <c r="A1071" i="167" s="1"/>
  <c r="B1071" i="167" s="1"/>
  <c r="D720" i="167"/>
  <c r="D719" i="167"/>
  <c r="D717" i="167"/>
  <c r="D716" i="167"/>
  <c r="D714" i="167"/>
  <c r="A714" i="167"/>
  <c r="A717" i="167" s="1"/>
  <c r="A720" i="167" s="1"/>
  <c r="A800" i="167" s="1"/>
  <c r="A821" i="167" s="1"/>
  <c r="A846" i="167" s="1"/>
  <c r="D713" i="167"/>
  <c r="D711" i="167"/>
  <c r="A711" i="167"/>
  <c r="D710" i="167"/>
  <c r="A876" i="167" l="1"/>
  <c r="B846" i="167"/>
  <c r="A944" i="167"/>
  <c r="B1171" i="167"/>
  <c r="A1174" i="167"/>
  <c r="B1174" i="167" s="1"/>
  <c r="B3956" i="167"/>
  <c r="A3974" i="167"/>
  <c r="B1087" i="167"/>
  <c r="A2331" i="167"/>
  <c r="B2331" i="167" s="1"/>
  <c r="B3452" i="167"/>
  <c r="A3455" i="167"/>
  <c r="A2250" i="167"/>
  <c r="A2253" i="167" s="1"/>
  <c r="B2253" i="167" s="1"/>
  <c r="A2346" i="167"/>
  <c r="A2790" i="167" s="1"/>
  <c r="B2249" i="167"/>
  <c r="B3296" i="167"/>
  <c r="A3323" i="167"/>
  <c r="B2894" i="167"/>
  <c r="A2903" i="167"/>
  <c r="B2939" i="167"/>
  <c r="B2978" i="167" s="1"/>
  <c r="B2981" i="167" s="1"/>
  <c r="A2978" i="167"/>
  <c r="A2981" i="167" s="1"/>
  <c r="B1291" i="167"/>
  <c r="L3" i="197"/>
  <c r="I5" i="197"/>
  <c r="I23" i="197" s="1"/>
  <c r="D708" i="167"/>
  <c r="D707" i="167"/>
  <c r="D705" i="167"/>
  <c r="D704" i="167"/>
  <c r="D702" i="167"/>
  <c r="D701" i="167"/>
  <c r="D696" i="167"/>
  <c r="D695" i="167"/>
  <c r="A690" i="167"/>
  <c r="D693" i="167"/>
  <c r="D692" i="167"/>
  <c r="D690" i="167"/>
  <c r="D689" i="167"/>
  <c r="D687" i="167"/>
  <c r="D686" i="167"/>
  <c r="D684" i="167"/>
  <c r="D683" i="167"/>
  <c r="D681" i="167"/>
  <c r="D679" i="167"/>
  <c r="D677" i="167"/>
  <c r="D676" i="167"/>
  <c r="D674" i="167"/>
  <c r="D673" i="167"/>
  <c r="D671" i="167"/>
  <c r="D670" i="167"/>
  <c r="D668" i="167"/>
  <c r="D667" i="167"/>
  <c r="D665" i="167"/>
  <c r="A665" i="167"/>
  <c r="A737" i="167" s="1"/>
  <c r="A740" i="167" s="1"/>
  <c r="A767" i="167" s="1"/>
  <c r="A776" i="167" s="1"/>
  <c r="A935" i="167" s="1"/>
  <c r="D664" i="167"/>
  <c r="D662" i="167"/>
  <c r="A662" i="167"/>
  <c r="A674" i="167" s="1"/>
  <c r="A677" i="167" s="1"/>
  <c r="A684" i="167" s="1"/>
  <c r="A731" i="167" s="1"/>
  <c r="A743" i="167" s="1"/>
  <c r="A758" i="167" s="1"/>
  <c r="A785" i="167" s="1"/>
  <c r="A788" i="167" s="1"/>
  <c r="A794" i="167" s="1"/>
  <c r="A818" i="167" s="1"/>
  <c r="A847" i="167" s="1"/>
  <c r="D661" i="167"/>
  <c r="D659" i="167"/>
  <c r="A659" i="167"/>
  <c r="A668" i="167" s="1"/>
  <c r="D658" i="167"/>
  <c r="D656" i="167"/>
  <c r="A656" i="167"/>
  <c r="D655" i="167"/>
  <c r="A653" i="167"/>
  <c r="D653" i="167"/>
  <c r="D652" i="167"/>
  <c r="D650" i="167"/>
  <c r="D649" i="167"/>
  <c r="D647" i="167"/>
  <c r="D646" i="167"/>
  <c r="D644" i="167"/>
  <c r="D643" i="167"/>
  <c r="D641" i="167"/>
  <c r="D640" i="167"/>
  <c r="D638" i="167"/>
  <c r="D637" i="167"/>
  <c r="D635" i="167"/>
  <c r="D634" i="167"/>
  <c r="D632" i="167"/>
  <c r="D631" i="167"/>
  <c r="D629" i="167"/>
  <c r="D628" i="167"/>
  <c r="D626" i="167"/>
  <c r="D625" i="167"/>
  <c r="D623" i="167"/>
  <c r="D622" i="167"/>
  <c r="D620" i="167"/>
  <c r="D619" i="167"/>
  <c r="A620" i="167"/>
  <c r="D617" i="167"/>
  <c r="D616" i="167"/>
  <c r="D614" i="167"/>
  <c r="D613" i="167"/>
  <c r="D611" i="167"/>
  <c r="D610" i="167"/>
  <c r="D608" i="167"/>
  <c r="D607" i="167"/>
  <c r="D605" i="167"/>
  <c r="D603" i="167"/>
  <c r="D601" i="167"/>
  <c r="D600" i="167"/>
  <c r="D598" i="167"/>
  <c r="D597" i="167"/>
  <c r="D595" i="167"/>
  <c r="D594" i="167"/>
  <c r="D592" i="167"/>
  <c r="D591" i="167"/>
  <c r="D589" i="167"/>
  <c r="D588" i="167"/>
  <c r="D586" i="167"/>
  <c r="D585" i="167"/>
  <c r="D583" i="167"/>
  <c r="D582" i="167"/>
  <c r="D580" i="167"/>
  <c r="D579" i="167"/>
  <c r="D577" i="167"/>
  <c r="D576" i="167"/>
  <c r="D574" i="167"/>
  <c r="D573" i="167"/>
  <c r="D571" i="167"/>
  <c r="D570" i="167"/>
  <c r="D568" i="167"/>
  <c r="D567" i="167"/>
  <c r="D565" i="167"/>
  <c r="D564" i="167"/>
  <c r="D562" i="167"/>
  <c r="D561" i="167"/>
  <c r="D559" i="167"/>
  <c r="D558" i="167"/>
  <c r="D556" i="167"/>
  <c r="D555" i="167"/>
  <c r="D553" i="167"/>
  <c r="D552" i="167"/>
  <c r="D550" i="167"/>
  <c r="D549" i="167"/>
  <c r="D547" i="167"/>
  <c r="D546" i="167"/>
  <c r="D544" i="167"/>
  <c r="D543" i="167"/>
  <c r="D541" i="167"/>
  <c r="D540" i="167"/>
  <c r="D538" i="167"/>
  <c r="D537" i="167"/>
  <c r="H535" i="167"/>
  <c r="D535" i="167"/>
  <c r="D534" i="167"/>
  <c r="D532" i="167"/>
  <c r="A532" i="167"/>
  <c r="A538" i="167" s="1"/>
  <c r="A544" i="167" s="1"/>
  <c r="A547" i="167" s="1"/>
  <c r="A553" i="167" s="1"/>
  <c r="A562" i="167" s="1"/>
  <c r="A565" i="167" s="1"/>
  <c r="A568" i="167" s="1"/>
  <c r="A574" i="167" s="1"/>
  <c r="A580" i="167" s="1"/>
  <c r="D531" i="167"/>
  <c r="D529" i="167"/>
  <c r="D528" i="167"/>
  <c r="D526" i="167"/>
  <c r="D525" i="167"/>
  <c r="D523" i="167"/>
  <c r="D522" i="167"/>
  <c r="D520" i="167"/>
  <c r="A520" i="167"/>
  <c r="A523" i="167" s="1"/>
  <c r="A526" i="167" s="1"/>
  <c r="A556" i="167" s="1"/>
  <c r="A559" i="167" s="1"/>
  <c r="D519" i="167"/>
  <c r="D517" i="167"/>
  <c r="D516" i="167"/>
  <c r="D514" i="167"/>
  <c r="D513" i="167"/>
  <c r="A517" i="167"/>
  <c r="D511" i="167"/>
  <c r="D510" i="167"/>
  <c r="A511" i="167"/>
  <c r="B847" i="167" l="1"/>
  <c r="A848" i="167"/>
  <c r="A681" i="167"/>
  <c r="A693" i="167" s="1"/>
  <c r="A671" i="167"/>
  <c r="B2790" i="167"/>
  <c r="A2794" i="167"/>
  <c r="B2794" i="167" s="1"/>
  <c r="B935" i="167"/>
  <c r="A947" i="167"/>
  <c r="B3323" i="167"/>
  <c r="A3326" i="167"/>
  <c r="A3327" i="167" s="1"/>
  <c r="B3327" i="167" s="1"/>
  <c r="B3455" i="167"/>
  <c r="A3458" i="167"/>
  <c r="B3974" i="167"/>
  <c r="A3986" i="167"/>
  <c r="B944" i="167"/>
  <c r="A977" i="167"/>
  <c r="A1827" i="167"/>
  <c r="B2903" i="167"/>
  <c r="A2906" i="167"/>
  <c r="B2250" i="167"/>
  <c r="B2346" i="167"/>
  <c r="O3" i="197"/>
  <c r="L5" i="197"/>
  <c r="L23" i="197" s="1"/>
  <c r="D662" i="166"/>
  <c r="D660" i="166"/>
  <c r="D659" i="166"/>
  <c r="D658" i="166"/>
  <c r="B658" i="166"/>
  <c r="B659" i="166" s="1"/>
  <c r="B660" i="166" s="1"/>
  <c r="B661" i="166" s="1"/>
  <c r="B977" i="167" l="1"/>
  <c r="A1001" i="167"/>
  <c r="B947" i="167"/>
  <c r="A962" i="167"/>
  <c r="B2906" i="167"/>
  <c r="A2912" i="167"/>
  <c r="B3458" i="167"/>
  <c r="A3464" i="167"/>
  <c r="B1827" i="167"/>
  <c r="B3986" i="167"/>
  <c r="A3992" i="167"/>
  <c r="A3344" i="167"/>
  <c r="B3326" i="167"/>
  <c r="A849" i="167"/>
  <c r="A850" i="167" s="1"/>
  <c r="B848" i="167"/>
  <c r="R3" i="197"/>
  <c r="O5" i="197"/>
  <c r="O23" i="197" s="1"/>
  <c r="G637" i="166"/>
  <c r="E637" i="166" s="1"/>
  <c r="D637" i="166"/>
  <c r="G634" i="166"/>
  <c r="E634" i="166" s="1"/>
  <c r="D634" i="166"/>
  <c r="G631" i="166"/>
  <c r="E631" i="166" s="1"/>
  <c r="D631" i="166"/>
  <c r="G628" i="166"/>
  <c r="E628" i="166" s="1"/>
  <c r="D627" i="166"/>
  <c r="G625" i="166"/>
  <c r="E625" i="166" s="1"/>
  <c r="D624" i="166"/>
  <c r="G622" i="166"/>
  <c r="E622" i="166" s="1"/>
  <c r="D621" i="166"/>
  <c r="G619" i="166"/>
  <c r="E619" i="166" s="1"/>
  <c r="D618" i="166"/>
  <c r="G616" i="166"/>
  <c r="E616" i="166" s="1"/>
  <c r="D615" i="166"/>
  <c r="G613" i="166"/>
  <c r="E613" i="166" s="1"/>
  <c r="D612" i="166"/>
  <c r="G610" i="166"/>
  <c r="E610" i="166" s="1"/>
  <c r="D609" i="166"/>
  <c r="G607" i="166"/>
  <c r="E607" i="166" s="1"/>
  <c r="D607" i="166"/>
  <c r="G604" i="166"/>
  <c r="E604" i="166" s="1"/>
  <c r="G601" i="166"/>
  <c r="E601" i="166" s="1"/>
  <c r="D604" i="166"/>
  <c r="D600" i="166"/>
  <c r="G598" i="166"/>
  <c r="E598" i="166" s="1"/>
  <c r="D598" i="166"/>
  <c r="G595" i="166"/>
  <c r="E595" i="166" s="1"/>
  <c r="D595" i="166"/>
  <c r="D592" i="166"/>
  <c r="G589" i="166"/>
  <c r="E589" i="166" s="1"/>
  <c r="D589" i="166"/>
  <c r="G586" i="166"/>
  <c r="E586" i="166" s="1"/>
  <c r="D586" i="166"/>
  <c r="G583" i="166"/>
  <c r="E583" i="166" s="1"/>
  <c r="D583" i="166"/>
  <c r="G580" i="166"/>
  <c r="E580" i="166" s="1"/>
  <c r="D580" i="166"/>
  <c r="G577" i="166"/>
  <c r="E577" i="166" s="1"/>
  <c r="D577" i="166"/>
  <c r="G574" i="166"/>
  <c r="E574" i="166" s="1"/>
  <c r="D574" i="166"/>
  <c r="G571" i="166"/>
  <c r="E571" i="166" s="1"/>
  <c r="D571" i="166"/>
  <c r="D568" i="166"/>
  <c r="D565" i="166"/>
  <c r="D562" i="166"/>
  <c r="D559" i="166"/>
  <c r="G556" i="166"/>
  <c r="E556" i="166" s="1"/>
  <c r="D556" i="166"/>
  <c r="G553" i="166"/>
  <c r="E553" i="166" s="1"/>
  <c r="D553" i="166"/>
  <c r="G550" i="166"/>
  <c r="E550" i="166" s="1"/>
  <c r="D550" i="166"/>
  <c r="G547" i="166"/>
  <c r="E547" i="166" s="1"/>
  <c r="D547" i="166"/>
  <c r="G544" i="166"/>
  <c r="E544" i="166" s="1"/>
  <c r="D544" i="166"/>
  <c r="G541" i="166"/>
  <c r="E541" i="166" s="1"/>
  <c r="D541" i="166"/>
  <c r="D537" i="166"/>
  <c r="G538" i="166"/>
  <c r="E538" i="166" s="1"/>
  <c r="G535" i="166"/>
  <c r="E535" i="166" s="1"/>
  <c r="D535" i="166"/>
  <c r="D492" i="166"/>
  <c r="D495" i="166"/>
  <c r="D498" i="166"/>
  <c r="G532" i="166"/>
  <c r="E532" i="166" s="1"/>
  <c r="D532" i="166"/>
  <c r="G529" i="166"/>
  <c r="E529" i="166" s="1"/>
  <c r="D529" i="166"/>
  <c r="G526" i="166"/>
  <c r="E526" i="166" s="1"/>
  <c r="D526" i="166"/>
  <c r="G523" i="166"/>
  <c r="E523" i="166" s="1"/>
  <c r="D523" i="166"/>
  <c r="G520" i="166"/>
  <c r="E520" i="166" s="1"/>
  <c r="D520" i="166"/>
  <c r="G517" i="166"/>
  <c r="E517" i="166" s="1"/>
  <c r="D517" i="166"/>
  <c r="G514" i="166"/>
  <c r="E514" i="166" s="1"/>
  <c r="D514" i="166"/>
  <c r="D511" i="166"/>
  <c r="H508" i="166"/>
  <c r="G508" i="166"/>
  <c r="E508" i="166" s="1"/>
  <c r="A508" i="166"/>
  <c r="D507" i="166"/>
  <c r="D505" i="166"/>
  <c r="G502" i="166"/>
  <c r="E502" i="166" s="1"/>
  <c r="D502" i="166"/>
  <c r="D490" i="166"/>
  <c r="G493" i="166"/>
  <c r="E493" i="166" s="1"/>
  <c r="G496" i="166"/>
  <c r="E496" i="166" s="1"/>
  <c r="G499" i="166"/>
  <c r="E499" i="166" s="1"/>
  <c r="B850" i="167" l="1"/>
  <c r="A851" i="167"/>
  <c r="B2912" i="167"/>
  <c r="A2915" i="167"/>
  <c r="B1001" i="167"/>
  <c r="A1007" i="167"/>
  <c r="B3344" i="167"/>
  <c r="A3359" i="167"/>
  <c r="B3992" i="167"/>
  <c r="A3998" i="167"/>
  <c r="B3464" i="167"/>
  <c r="A3486" i="167"/>
  <c r="B962" i="167"/>
  <c r="A1013" i="167"/>
  <c r="B849" i="167"/>
  <c r="A929" i="167"/>
  <c r="U3" i="197"/>
  <c r="R5" i="197"/>
  <c r="R23" i="197" s="1"/>
  <c r="G487" i="166"/>
  <c r="E487" i="166" s="1"/>
  <c r="D487" i="166"/>
  <c r="G484" i="166"/>
  <c r="E484" i="166" s="1"/>
  <c r="D484" i="166"/>
  <c r="D481" i="166"/>
  <c r="G478" i="166"/>
  <c r="E478" i="166" s="1"/>
  <c r="D478" i="166"/>
  <c r="G475" i="166"/>
  <c r="E475" i="166" s="1"/>
  <c r="D475" i="166"/>
  <c r="H472" i="166"/>
  <c r="G472" i="166"/>
  <c r="E472" i="166" s="1"/>
  <c r="A472" i="166"/>
  <c r="D471" i="166"/>
  <c r="G469" i="166"/>
  <c r="E469" i="166" s="1"/>
  <c r="D469" i="166"/>
  <c r="G466" i="166"/>
  <c r="E466" i="166" s="1"/>
  <c r="D466" i="166"/>
  <c r="D463" i="166"/>
  <c r="H460" i="166"/>
  <c r="G460" i="166"/>
  <c r="E460" i="166" s="1"/>
  <c r="A460" i="166"/>
  <c r="D459" i="166"/>
  <c r="D457" i="166"/>
  <c r="G451" i="166"/>
  <c r="E451" i="166" s="1"/>
  <c r="G448" i="166"/>
  <c r="E448" i="166" s="1"/>
  <c r="G445" i="166"/>
  <c r="E445" i="166" s="1"/>
  <c r="G442" i="166"/>
  <c r="E442" i="166" s="1"/>
  <c r="G439" i="166"/>
  <c r="E439" i="166" s="1"/>
  <c r="G436" i="166"/>
  <c r="E436" i="166" s="1"/>
  <c r="G433" i="166"/>
  <c r="E433" i="166" s="1"/>
  <c r="G430" i="166"/>
  <c r="E430" i="166" s="1"/>
  <c r="G427" i="166"/>
  <c r="E427" i="166" s="1"/>
  <c r="G454" i="166"/>
  <c r="E454" i="166" s="1"/>
  <c r="D454" i="166"/>
  <c r="D451" i="166"/>
  <c r="D448" i="166"/>
  <c r="D445" i="166"/>
  <c r="D442" i="166"/>
  <c r="D439" i="166"/>
  <c r="D436" i="166"/>
  <c r="D433" i="166"/>
  <c r="D430" i="166"/>
  <c r="D427" i="166"/>
  <c r="D424" i="166"/>
  <c r="D421" i="166"/>
  <c r="D418" i="166"/>
  <c r="D415" i="166"/>
  <c r="H412" i="166"/>
  <c r="G412" i="166"/>
  <c r="E412" i="166" s="1"/>
  <c r="B412" i="166"/>
  <c r="D411" i="166"/>
  <c r="H409" i="166"/>
  <c r="G409" i="166"/>
  <c r="E409" i="166" s="1"/>
  <c r="B409" i="166"/>
  <c r="A409" i="166"/>
  <c r="D408" i="166"/>
  <c r="B405" i="166"/>
  <c r="A405" i="166"/>
  <c r="A401" i="166"/>
  <c r="D400" i="166"/>
  <c r="H398" i="166"/>
  <c r="D397" i="166"/>
  <c r="H395" i="166"/>
  <c r="D394" i="166"/>
  <c r="D392" i="166"/>
  <c r="D389" i="166"/>
  <c r="H386" i="166"/>
  <c r="G386" i="166"/>
  <c r="E386" i="166" s="1"/>
  <c r="D386" i="166"/>
  <c r="A386" i="166"/>
  <c r="D383" i="166"/>
  <c r="D380" i="166"/>
  <c r="D377" i="166"/>
  <c r="D374" i="166"/>
  <c r="D371" i="166"/>
  <c r="D368" i="166"/>
  <c r="D362" i="166"/>
  <c r="D359" i="166"/>
  <c r="D356" i="166"/>
  <c r="D353" i="166"/>
  <c r="D350" i="166"/>
  <c r="D347" i="166"/>
  <c r="D344" i="166"/>
  <c r="D341" i="166"/>
  <c r="D338" i="166"/>
  <c r="D335" i="166"/>
  <c r="D332" i="166"/>
  <c r="D329" i="166"/>
  <c r="D326" i="166"/>
  <c r="D320" i="166"/>
  <c r="D323" i="166"/>
  <c r="D317" i="166"/>
  <c r="D314" i="166"/>
  <c r="D311" i="166"/>
  <c r="D308" i="166"/>
  <c r="D305" i="166"/>
  <c r="D302" i="166"/>
  <c r="D299" i="166"/>
  <c r="D290" i="166"/>
  <c r="D296" i="166"/>
  <c r="D293" i="166"/>
  <c r="D287" i="166"/>
  <c r="D284" i="166"/>
  <c r="D281" i="166"/>
  <c r="D278" i="166"/>
  <c r="K505" i="167"/>
  <c r="N504" i="167"/>
  <c r="B500" i="167"/>
  <c r="A500" i="167"/>
  <c r="N507" i="167"/>
  <c r="N505" i="167"/>
  <c r="D505" i="167"/>
  <c r="K504" i="167"/>
  <c r="D504" i="167"/>
  <c r="K502" i="167"/>
  <c r="D502" i="167"/>
  <c r="K501" i="167"/>
  <c r="D501" i="167"/>
  <c r="K500" i="167"/>
  <c r="D500" i="167"/>
  <c r="K499" i="167"/>
  <c r="D499" i="167"/>
  <c r="I491" i="167"/>
  <c r="H491" i="167"/>
  <c r="D491" i="167"/>
  <c r="B491" i="167"/>
  <c r="A491" i="167"/>
  <c r="A830" i="167" s="1"/>
  <c r="D490" i="167"/>
  <c r="N481" i="167"/>
  <c r="N472" i="167"/>
  <c r="B851" i="167" l="1"/>
  <c r="A852" i="167"/>
  <c r="B501" i="167"/>
  <c r="B502" i="167" s="1"/>
  <c r="B505" i="167" s="1"/>
  <c r="B508" i="167" s="1"/>
  <c r="B862" i="167"/>
  <c r="A923" i="167"/>
  <c r="B3486" i="167"/>
  <c r="A3492" i="167"/>
  <c r="B3492" i="167" s="1"/>
  <c r="B3359" i="167"/>
  <c r="A3365" i="167"/>
  <c r="B2915" i="167"/>
  <c r="A2933" i="167"/>
  <c r="B929" i="167"/>
  <c r="A938" i="167"/>
  <c r="B1013" i="167"/>
  <c r="A1099" i="167"/>
  <c r="B3998" i="167"/>
  <c r="A4004" i="167"/>
  <c r="B1007" i="167"/>
  <c r="A1010" i="167"/>
  <c r="B830" i="167"/>
  <c r="A833" i="167"/>
  <c r="A501" i="167"/>
  <c r="A502" i="167" s="1"/>
  <c r="A505" i="167" s="1"/>
  <c r="A508" i="167" s="1"/>
  <c r="A862" i="167"/>
  <c r="X3" i="197"/>
  <c r="U5" i="197"/>
  <c r="U23" i="197" s="1"/>
  <c r="A406" i="166"/>
  <c r="B406" i="166"/>
  <c r="H488" i="167"/>
  <c r="I488" i="167"/>
  <c r="D488" i="167"/>
  <c r="B488" i="167"/>
  <c r="A488" i="167"/>
  <c r="D487" i="167"/>
  <c r="B852" i="167" l="1"/>
  <c r="A853" i="167"/>
  <c r="B853" i="167" s="1"/>
  <c r="A863" i="167"/>
  <c r="A864" i="167" s="1"/>
  <c r="A1421" i="167"/>
  <c r="B4004" i="167"/>
  <c r="A4013" i="167"/>
  <c r="B938" i="167"/>
  <c r="A950" i="167"/>
  <c r="B3365" i="167"/>
  <c r="A3371" i="167"/>
  <c r="B923" i="167"/>
  <c r="A932" i="167"/>
  <c r="B833" i="167"/>
  <c r="A836" i="167"/>
  <c r="B836" i="167" s="1"/>
  <c r="B1010" i="167"/>
  <c r="A1022" i="167"/>
  <c r="B1099" i="167"/>
  <c r="A1102" i="167"/>
  <c r="B2933" i="167"/>
  <c r="A2936" i="167"/>
  <c r="B863" i="167"/>
  <c r="B864" i="167" s="1"/>
  <c r="B1421" i="167"/>
  <c r="AA3" i="197"/>
  <c r="X5" i="197"/>
  <c r="X23" i="197" s="1"/>
  <c r="X25" i="197" s="1"/>
  <c r="E193" i="22"/>
  <c r="D193" i="22"/>
  <c r="D192" i="22"/>
  <c r="E191" i="22"/>
  <c r="D191" i="22"/>
  <c r="E190" i="22"/>
  <c r="D190" i="22"/>
  <c r="E189" i="22"/>
  <c r="D189" i="22"/>
  <c r="E188" i="22"/>
  <c r="D188" i="22"/>
  <c r="E187" i="22"/>
  <c r="D187" i="22"/>
  <c r="E186" i="22"/>
  <c r="D186" i="22"/>
  <c r="E185" i="22"/>
  <c r="D185" i="22"/>
  <c r="E184" i="22"/>
  <c r="D184" i="22"/>
  <c r="E183" i="22"/>
  <c r="D183" i="22"/>
  <c r="E182" i="22"/>
  <c r="D182" i="22"/>
  <c r="E181" i="22"/>
  <c r="D181" i="22"/>
  <c r="E180" i="22"/>
  <c r="D180" i="22"/>
  <c r="E179" i="22"/>
  <c r="D179" i="22"/>
  <c r="E178" i="22"/>
  <c r="D178" i="22"/>
  <c r="E177" i="22"/>
  <c r="D177" i="22"/>
  <c r="E176" i="22"/>
  <c r="D176" i="22"/>
  <c r="E175" i="22"/>
  <c r="D175" i="22"/>
  <c r="E174" i="22"/>
  <c r="D174" i="22"/>
  <c r="E173" i="22"/>
  <c r="D173" i="22"/>
  <c r="E172" i="22"/>
  <c r="D172" i="22"/>
  <c r="E171" i="22"/>
  <c r="D171" i="22"/>
  <c r="E170" i="22"/>
  <c r="D170" i="22"/>
  <c r="E169" i="22"/>
  <c r="D169" i="22"/>
  <c r="E168" i="22"/>
  <c r="D168" i="22"/>
  <c r="E167" i="22"/>
  <c r="D167" i="22"/>
  <c r="E166" i="22"/>
  <c r="D166" i="22"/>
  <c r="E165" i="22"/>
  <c r="D165" i="22"/>
  <c r="E164" i="22"/>
  <c r="D164" i="22"/>
  <c r="E163" i="22"/>
  <c r="D163" i="22"/>
  <c r="E161" i="22"/>
  <c r="D161" i="22"/>
  <c r="E160" i="22"/>
  <c r="D160" i="22"/>
  <c r="E159" i="22"/>
  <c r="D159" i="22"/>
  <c r="E158" i="22"/>
  <c r="D158" i="22"/>
  <c r="E157" i="22"/>
  <c r="D157" i="22"/>
  <c r="E156" i="22"/>
  <c r="D156" i="22"/>
  <c r="E155" i="22"/>
  <c r="D155" i="22"/>
  <c r="E154" i="22"/>
  <c r="D154" i="22"/>
  <c r="E153" i="22"/>
  <c r="D153" i="22"/>
  <c r="E152" i="22"/>
  <c r="E151" i="22"/>
  <c r="D151" i="22"/>
  <c r="E150" i="22"/>
  <c r="D150" i="22"/>
  <c r="E149" i="22"/>
  <c r="D149" i="22"/>
  <c r="E148" i="22"/>
  <c r="D148" i="22"/>
  <c r="E147" i="22"/>
  <c r="D147" i="22"/>
  <c r="E146" i="22"/>
  <c r="D146" i="22"/>
  <c r="E145" i="22"/>
  <c r="D145" i="22"/>
  <c r="E144" i="22"/>
  <c r="D144" i="22"/>
  <c r="E143" i="22"/>
  <c r="D143" i="22"/>
  <c r="E142" i="22"/>
  <c r="D142" i="22"/>
  <c r="E141" i="22"/>
  <c r="D141" i="22"/>
  <c r="E140" i="22"/>
  <c r="D140" i="22"/>
  <c r="E139" i="22"/>
  <c r="D139" i="22"/>
  <c r="E138" i="22"/>
  <c r="D138" i="22"/>
  <c r="E137" i="22"/>
  <c r="D137" i="22"/>
  <c r="E136" i="22"/>
  <c r="D136" i="22"/>
  <c r="E135" i="22"/>
  <c r="D135" i="22"/>
  <c r="E134" i="22"/>
  <c r="D134" i="22"/>
  <c r="E133" i="22"/>
  <c r="D133" i="22"/>
  <c r="E132" i="22"/>
  <c r="D132" i="22"/>
  <c r="E131" i="22"/>
  <c r="D131" i="22"/>
  <c r="E130" i="22"/>
  <c r="D130" i="22"/>
  <c r="E129" i="22"/>
  <c r="D129" i="22"/>
  <c r="E128" i="22"/>
  <c r="D128" i="22"/>
  <c r="E127" i="22"/>
  <c r="D127" i="22"/>
  <c r="E126" i="22"/>
  <c r="D126" i="22"/>
  <c r="E125" i="22"/>
  <c r="D125" i="22"/>
  <c r="E124" i="22"/>
  <c r="D124" i="22"/>
  <c r="E123" i="22"/>
  <c r="D123" i="22"/>
  <c r="E122" i="22"/>
  <c r="D122" i="22"/>
  <c r="E121" i="22"/>
  <c r="E120" i="22"/>
  <c r="E119" i="22"/>
  <c r="D119" i="22"/>
  <c r="E118" i="22"/>
  <c r="D118" i="22"/>
  <c r="E117" i="22"/>
  <c r="D117" i="22"/>
  <c r="E116" i="22"/>
  <c r="D116" i="22"/>
  <c r="E115" i="22"/>
  <c r="D115" i="22"/>
  <c r="E114" i="22"/>
  <c r="D114" i="22"/>
  <c r="E113" i="22"/>
  <c r="D113" i="22"/>
  <c r="E112" i="22"/>
  <c r="D112" i="22"/>
  <c r="D111" i="22"/>
  <c r="E110" i="22"/>
  <c r="E109" i="22"/>
  <c r="D109" i="22"/>
  <c r="E108" i="22"/>
  <c r="E107" i="22"/>
  <c r="E106" i="22"/>
  <c r="D106" i="22"/>
  <c r="E105" i="22"/>
  <c r="E104" i="22"/>
  <c r="E103" i="22"/>
  <c r="D103" i="22"/>
  <c r="E101" i="22"/>
  <c r="D101" i="22"/>
  <c r="E100" i="22"/>
  <c r="D100" i="22"/>
  <c r="E99" i="22"/>
  <c r="D99" i="22"/>
  <c r="E98" i="22"/>
  <c r="D98" i="22"/>
  <c r="E97" i="22"/>
  <c r="D97" i="22"/>
  <c r="E96" i="22"/>
  <c r="D96" i="22"/>
  <c r="E95" i="22"/>
  <c r="D95" i="22"/>
  <c r="D94" i="22"/>
  <c r="E93" i="22"/>
  <c r="D93" i="22"/>
  <c r="E92" i="22"/>
  <c r="D92" i="22"/>
  <c r="D91" i="22"/>
  <c r="E90" i="22"/>
  <c r="D90" i="22"/>
  <c r="E89" i="22"/>
  <c r="D89" i="22"/>
  <c r="E88" i="22"/>
  <c r="D88" i="22"/>
  <c r="E87" i="22"/>
  <c r="D87" i="22"/>
  <c r="E86" i="22"/>
  <c r="D86" i="22"/>
  <c r="E85" i="22"/>
  <c r="D85" i="22"/>
  <c r="E84" i="22"/>
  <c r="D84" i="22"/>
  <c r="D83" i="22"/>
  <c r="E82" i="22"/>
  <c r="D82" i="22"/>
  <c r="E81" i="22"/>
  <c r="D81" i="22"/>
  <c r="E80" i="22"/>
  <c r="D80" i="22"/>
  <c r="E79" i="22"/>
  <c r="D79" i="22"/>
  <c r="D78" i="22"/>
  <c r="E77" i="22"/>
  <c r="D77" i="22"/>
  <c r="D76" i="22"/>
  <c r="D75" i="22"/>
  <c r="E74" i="22"/>
  <c r="D74" i="22"/>
  <c r="E73" i="22"/>
  <c r="D73" i="22"/>
  <c r="E72" i="22"/>
  <c r="D72" i="22"/>
  <c r="E70" i="22"/>
  <c r="D70" i="22"/>
  <c r="D69" i="22"/>
  <c r="E68" i="22"/>
  <c r="D67" i="22"/>
  <c r="E66" i="22"/>
  <c r="D66" i="22"/>
  <c r="E65" i="22"/>
  <c r="D65" i="22"/>
  <c r="E63" i="22"/>
  <c r="D63" i="22"/>
  <c r="E62" i="22"/>
  <c r="D62" i="22"/>
  <c r="D61" i="22"/>
  <c r="E60" i="22"/>
  <c r="D60" i="22"/>
  <c r="E59" i="22"/>
  <c r="E58" i="22"/>
  <c r="D58" i="22"/>
  <c r="E57" i="22"/>
  <c r="D57" i="22"/>
  <c r="E56" i="22"/>
  <c r="D56" i="22"/>
  <c r="D55" i="22"/>
  <c r="E54" i="22"/>
  <c r="D54" i="22"/>
  <c r="E53" i="22"/>
  <c r="E52" i="22"/>
  <c r="D52" i="22"/>
  <c r="D51" i="22"/>
  <c r="D50" i="22"/>
  <c r="E49" i="22"/>
  <c r="D49" i="22"/>
  <c r="D47" i="22"/>
  <c r="D44" i="22"/>
  <c r="E43" i="22"/>
  <c r="D43" i="22"/>
  <c r="E42" i="22"/>
  <c r="D42" i="22"/>
  <c r="E41" i="22"/>
  <c r="D41" i="22"/>
  <c r="E39" i="22"/>
  <c r="D39" i="22"/>
  <c r="E38" i="22"/>
  <c r="D38" i="22"/>
  <c r="E37" i="22"/>
  <c r="D37" i="22"/>
  <c r="E36" i="22"/>
  <c r="D36" i="22"/>
  <c r="E35" i="22"/>
  <c r="D35" i="22"/>
  <c r="E34" i="22"/>
  <c r="D34" i="22"/>
  <c r="E33" i="22"/>
  <c r="D33" i="22"/>
  <c r="E32" i="22"/>
  <c r="D32" i="22"/>
  <c r="E31" i="22"/>
  <c r="D31" i="22"/>
  <c r="E30" i="22"/>
  <c r="D30" i="22"/>
  <c r="E29" i="22"/>
  <c r="D29" i="22"/>
  <c r="E26" i="22"/>
  <c r="D26" i="22"/>
  <c r="E25" i="22"/>
  <c r="E24" i="22"/>
  <c r="D20" i="22"/>
  <c r="E19" i="22"/>
  <c r="D19" i="22"/>
  <c r="D18" i="22"/>
  <c r="E17" i="22"/>
  <c r="D17" i="22"/>
  <c r="E16" i="22"/>
  <c r="D16" i="22"/>
  <c r="E13" i="22"/>
  <c r="D13" i="22"/>
  <c r="E12" i="22"/>
  <c r="D12" i="22"/>
  <c r="D11" i="22"/>
  <c r="D10" i="22"/>
  <c r="D9" i="22"/>
  <c r="B53" i="20"/>
  <c r="B52" i="20"/>
  <c r="B2936" i="167" l="1"/>
  <c r="B2984" i="167" s="1"/>
  <c r="B3037" i="167" s="1"/>
  <c r="A2984" i="167"/>
  <c r="A3037" i="167" s="1"/>
  <c r="B1022" i="167"/>
  <c r="A1062" i="167"/>
  <c r="B932" i="167"/>
  <c r="A941" i="167"/>
  <c r="B950" i="167"/>
  <c r="A953" i="167"/>
  <c r="A3980" i="167"/>
  <c r="B1422" i="167"/>
  <c r="B1423" i="167" s="1"/>
  <c r="B1917" i="167"/>
  <c r="B1102" i="167"/>
  <c r="A1186" i="167"/>
  <c r="B3371" i="167"/>
  <c r="A3374" i="167"/>
  <c r="B4013" i="167"/>
  <c r="A4019" i="167"/>
  <c r="A1422" i="167"/>
  <c r="A1423" i="167" s="1"/>
  <c r="A1917" i="167"/>
  <c r="AD3" i="197"/>
  <c r="AA5" i="197"/>
  <c r="AA23" i="197" s="1"/>
  <c r="AA25" i="197" s="1"/>
  <c r="N39" i="8"/>
  <c r="N128" i="12" s="1"/>
  <c r="M39" i="8"/>
  <c r="M128" i="12" s="1"/>
  <c r="L39" i="8"/>
  <c r="L128" i="12" s="1"/>
  <c r="K39" i="8"/>
  <c r="K128" i="12" s="1"/>
  <c r="J39" i="8"/>
  <c r="J128" i="12" s="1"/>
  <c r="I39" i="8"/>
  <c r="I128" i="12" s="1"/>
  <c r="H39" i="8"/>
  <c r="H128" i="12" s="1"/>
  <c r="G39" i="8"/>
  <c r="G128" i="12" s="1"/>
  <c r="F39" i="8"/>
  <c r="F128" i="12" s="1"/>
  <c r="E39" i="8"/>
  <c r="E128" i="12" s="1"/>
  <c r="D39" i="8"/>
  <c r="D128" i="12" s="1"/>
  <c r="C39" i="8"/>
  <c r="C128" i="12" s="1"/>
  <c r="N33" i="8"/>
  <c r="M33" i="8"/>
  <c r="L33" i="8"/>
  <c r="K33" i="8"/>
  <c r="J33" i="8"/>
  <c r="I33" i="8"/>
  <c r="H33" i="8"/>
  <c r="G33" i="8"/>
  <c r="F33" i="8"/>
  <c r="E33" i="8"/>
  <c r="D33" i="8"/>
  <c r="C33" i="8"/>
  <c r="N32" i="8"/>
  <c r="M32" i="8"/>
  <c r="L32" i="8"/>
  <c r="K32" i="8"/>
  <c r="J32" i="8"/>
  <c r="I32" i="8"/>
  <c r="H32" i="8"/>
  <c r="G32" i="8"/>
  <c r="F32" i="8"/>
  <c r="E32" i="8"/>
  <c r="D32" i="8"/>
  <c r="C32" i="8"/>
  <c r="N31" i="8"/>
  <c r="M31" i="8"/>
  <c r="L31" i="8"/>
  <c r="K31" i="8"/>
  <c r="J31" i="8"/>
  <c r="I31" i="8"/>
  <c r="H31" i="8"/>
  <c r="G31" i="8"/>
  <c r="F31" i="8"/>
  <c r="E31" i="8"/>
  <c r="D31" i="8"/>
  <c r="C31" i="8"/>
  <c r="N30" i="8"/>
  <c r="M30" i="8"/>
  <c r="L30" i="8"/>
  <c r="K30" i="8"/>
  <c r="J30" i="8"/>
  <c r="I30" i="8"/>
  <c r="H30" i="8"/>
  <c r="G30" i="8"/>
  <c r="F30" i="8"/>
  <c r="E30" i="8"/>
  <c r="D30" i="8"/>
  <c r="C30" i="8"/>
  <c r="N24" i="8"/>
  <c r="M24" i="8"/>
  <c r="L24" i="8"/>
  <c r="K24" i="8"/>
  <c r="J24" i="8"/>
  <c r="I24" i="8"/>
  <c r="H24" i="8"/>
  <c r="G24" i="8"/>
  <c r="F24" i="8"/>
  <c r="E24" i="8"/>
  <c r="D24" i="8"/>
  <c r="N20" i="8"/>
  <c r="M20" i="8"/>
  <c r="L20" i="8"/>
  <c r="K20" i="8"/>
  <c r="J20" i="8"/>
  <c r="I20" i="8"/>
  <c r="H20" i="8"/>
  <c r="G20" i="8"/>
  <c r="F20" i="8"/>
  <c r="E20" i="8"/>
  <c r="D20" i="8"/>
  <c r="N17" i="8"/>
  <c r="M17" i="8"/>
  <c r="L17" i="8"/>
  <c r="K17" i="8"/>
  <c r="J17" i="8"/>
  <c r="I17" i="8"/>
  <c r="H17" i="8"/>
  <c r="G17" i="8"/>
  <c r="F17" i="8"/>
  <c r="E17" i="8"/>
  <c r="D17" i="8"/>
  <c r="C17" i="8"/>
  <c r="N11" i="8"/>
  <c r="M11" i="8"/>
  <c r="L11" i="8"/>
  <c r="K11" i="8"/>
  <c r="J11" i="8"/>
  <c r="I11" i="8"/>
  <c r="H11" i="8"/>
  <c r="G11" i="8"/>
  <c r="F11" i="8"/>
  <c r="E11" i="8"/>
  <c r="D11" i="8"/>
  <c r="B62" i="20"/>
  <c r="B61" i="20"/>
  <c r="C57" i="20"/>
  <c r="D57" i="20" s="1"/>
  <c r="E57" i="20" s="1"/>
  <c r="F57" i="20" s="1"/>
  <c r="G57" i="20" s="1"/>
  <c r="H57" i="20" s="1"/>
  <c r="I57" i="20" s="1"/>
  <c r="J57" i="20" s="1"/>
  <c r="K57" i="20" s="1"/>
  <c r="L57" i="20" s="1"/>
  <c r="M57" i="20" s="1"/>
  <c r="N57" i="20" s="1"/>
  <c r="C54" i="20"/>
  <c r="D54" i="20" s="1"/>
  <c r="E54" i="20" s="1"/>
  <c r="F54" i="20" s="1"/>
  <c r="G54" i="20" s="1"/>
  <c r="H54" i="20" s="1"/>
  <c r="I54" i="20" s="1"/>
  <c r="J54" i="20" s="1"/>
  <c r="K54" i="20" s="1"/>
  <c r="L54" i="20" s="1"/>
  <c r="M54" i="20" s="1"/>
  <c r="N54" i="20" s="1"/>
  <c r="C49" i="20"/>
  <c r="D49" i="20" s="1"/>
  <c r="E49" i="20" s="1"/>
  <c r="F49" i="20" s="1"/>
  <c r="G49" i="20" s="1"/>
  <c r="H49" i="20" s="1"/>
  <c r="B57" i="20"/>
  <c r="B55" i="20"/>
  <c r="B54" i="20"/>
  <c r="B51" i="20"/>
  <c r="B50" i="20"/>
  <c r="B49" i="20"/>
  <c r="B48" i="20"/>
  <c r="B47" i="20"/>
  <c r="B46" i="20"/>
  <c r="B45" i="20"/>
  <c r="B35" i="20"/>
  <c r="B36" i="20"/>
  <c r="B34" i="20"/>
  <c r="B33" i="20"/>
  <c r="B32" i="20"/>
  <c r="B13" i="20"/>
  <c r="B14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11" i="20"/>
  <c r="C11" i="20"/>
  <c r="D11" i="20" s="1"/>
  <c r="E11" i="20" s="1"/>
  <c r="F11" i="20" s="1"/>
  <c r="G11" i="20" s="1"/>
  <c r="H11" i="20" s="1"/>
  <c r="I11" i="20" s="1"/>
  <c r="J11" i="20" s="1"/>
  <c r="K11" i="20" s="1"/>
  <c r="L11" i="20" s="1"/>
  <c r="M11" i="20" s="1"/>
  <c r="N11" i="20" s="1"/>
  <c r="C14" i="18" s="1"/>
  <c r="B99" i="166"/>
  <c r="B100" i="166" s="1"/>
  <c r="A99" i="166"/>
  <c r="A100" i="166" s="1"/>
  <c r="B18" i="11"/>
  <c r="B17" i="11"/>
  <c r="D485" i="167"/>
  <c r="D484" i="167"/>
  <c r="D482" i="167"/>
  <c r="D481" i="167"/>
  <c r="D479" i="167"/>
  <c r="D478" i="167"/>
  <c r="D476" i="167"/>
  <c r="D475" i="167"/>
  <c r="H473" i="167"/>
  <c r="H476" i="167" s="1"/>
  <c r="H479" i="167" s="1"/>
  <c r="D473" i="167"/>
  <c r="B473" i="167"/>
  <c r="B476" i="167" s="1"/>
  <c r="B479" i="167" s="1"/>
  <c r="B482" i="167" s="1"/>
  <c r="A473" i="167"/>
  <c r="A476" i="167" s="1"/>
  <c r="A479" i="167" s="1"/>
  <c r="A482" i="167" s="1"/>
  <c r="D472" i="167"/>
  <c r="D470" i="167"/>
  <c r="D469" i="167"/>
  <c r="D467" i="167"/>
  <c r="D466" i="167"/>
  <c r="D464" i="167"/>
  <c r="A464" i="167"/>
  <c r="D463" i="167"/>
  <c r="D461" i="167"/>
  <c r="D460" i="167"/>
  <c r="D458" i="167"/>
  <c r="D457" i="167"/>
  <c r="D455" i="167"/>
  <c r="D454" i="167"/>
  <c r="D452" i="167"/>
  <c r="D451" i="167"/>
  <c r="D449" i="167"/>
  <c r="D448" i="167"/>
  <c r="D447" i="167"/>
  <c r="D446" i="167"/>
  <c r="D445" i="167"/>
  <c r="D444" i="167"/>
  <c r="D443" i="167"/>
  <c r="D442" i="167"/>
  <c r="D441" i="167"/>
  <c r="D440" i="167"/>
  <c r="D439" i="167"/>
  <c r="D438" i="167"/>
  <c r="D437" i="167"/>
  <c r="D436" i="167"/>
  <c r="D435" i="167"/>
  <c r="D434" i="167"/>
  <c r="D433" i="167"/>
  <c r="D432" i="167"/>
  <c r="D430" i="167"/>
  <c r="D429" i="167"/>
  <c r="D428" i="167"/>
  <c r="D427" i="167"/>
  <c r="D426" i="167"/>
  <c r="D425" i="167"/>
  <c r="H424" i="167"/>
  <c r="D424" i="167"/>
  <c r="B424" i="167"/>
  <c r="A424" i="167"/>
  <c r="C11" i="8"/>
  <c r="D423" i="167"/>
  <c r="D421" i="167"/>
  <c r="D420" i="167"/>
  <c r="D418" i="167"/>
  <c r="D417" i="167"/>
  <c r="I415" i="167"/>
  <c r="I421" i="167" s="1"/>
  <c r="I485" i="167" s="1"/>
  <c r="H415" i="167"/>
  <c r="H421" i="167" s="1"/>
  <c r="D415" i="167"/>
  <c r="B415" i="167"/>
  <c r="B421" i="167" s="1"/>
  <c r="B485" i="167" s="1"/>
  <c r="A415" i="167"/>
  <c r="A421" i="167" s="1"/>
  <c r="A485" i="167" s="1"/>
  <c r="D414" i="167"/>
  <c r="I412" i="167"/>
  <c r="H412" i="167"/>
  <c r="D412" i="167"/>
  <c r="D411" i="167"/>
  <c r="D409" i="167"/>
  <c r="D408" i="167"/>
  <c r="I406" i="167"/>
  <c r="D406" i="167"/>
  <c r="B406" i="167"/>
  <c r="B409" i="167" s="1"/>
  <c r="B412" i="167" s="1"/>
  <c r="A406" i="167"/>
  <c r="A409" i="167" s="1"/>
  <c r="A412" i="167" s="1"/>
  <c r="D405" i="167"/>
  <c r="I403" i="167"/>
  <c r="H403" i="167"/>
  <c r="H406" i="167" s="1"/>
  <c r="D403" i="167"/>
  <c r="B403" i="167"/>
  <c r="A403" i="167"/>
  <c r="D402" i="167"/>
  <c r="D400" i="167"/>
  <c r="D399" i="167"/>
  <c r="D397" i="167"/>
  <c r="D396" i="167"/>
  <c r="D394" i="167"/>
  <c r="D393" i="167"/>
  <c r="D391" i="167"/>
  <c r="D390" i="167"/>
  <c r="D388" i="167"/>
  <c r="D387" i="167"/>
  <c r="D385" i="167"/>
  <c r="D384" i="167"/>
  <c r="I382" i="167"/>
  <c r="H382" i="167"/>
  <c r="D382" i="167"/>
  <c r="B382" i="167"/>
  <c r="A382" i="167"/>
  <c r="D381" i="167"/>
  <c r="D379" i="167"/>
  <c r="D378" i="167"/>
  <c r="D376" i="167"/>
  <c r="D375" i="167"/>
  <c r="I373" i="167"/>
  <c r="I379" i="167" s="1"/>
  <c r="I391" i="167" s="1"/>
  <c r="I397" i="167" s="1"/>
  <c r="I400" i="167" s="1"/>
  <c r="I418" i="167" s="1"/>
  <c r="D373" i="167"/>
  <c r="D372" i="167"/>
  <c r="H370" i="167"/>
  <c r="H373" i="167" s="1"/>
  <c r="H379" i="167" s="1"/>
  <c r="H391" i="167" s="1"/>
  <c r="H397" i="167" s="1"/>
  <c r="H400" i="167" s="1"/>
  <c r="H418" i="167" s="1"/>
  <c r="D370" i="167"/>
  <c r="D369" i="167"/>
  <c r="D368" i="167"/>
  <c r="D366" i="167"/>
  <c r="D365" i="167"/>
  <c r="H363" i="167"/>
  <c r="D363" i="167"/>
  <c r="D362" i="167"/>
  <c r="D360" i="167"/>
  <c r="D359" i="167"/>
  <c r="D357" i="167"/>
  <c r="D356" i="167"/>
  <c r="I354" i="167"/>
  <c r="I357" i="167" s="1"/>
  <c r="I360" i="167" s="1"/>
  <c r="I366" i="167" s="1"/>
  <c r="I385" i="167" s="1"/>
  <c r="D354" i="167"/>
  <c r="D353" i="167"/>
  <c r="H351" i="167"/>
  <c r="D351" i="167"/>
  <c r="D350" i="167"/>
  <c r="D348" i="167"/>
  <c r="D347" i="167"/>
  <c r="D346" i="167"/>
  <c r="D344" i="167"/>
  <c r="D343" i="167"/>
  <c r="D341" i="167"/>
  <c r="D340" i="167"/>
  <c r="D338" i="167"/>
  <c r="D337" i="167"/>
  <c r="H335" i="167"/>
  <c r="D335" i="167"/>
  <c r="D334" i="167"/>
  <c r="D332" i="167"/>
  <c r="D331" i="167"/>
  <c r="D328" i="167"/>
  <c r="D327" i="167"/>
  <c r="D325" i="167"/>
  <c r="D324" i="167"/>
  <c r="D321" i="167"/>
  <c r="D320" i="167"/>
  <c r="I318" i="167"/>
  <c r="I344" i="167" s="1"/>
  <c r="D318" i="167"/>
  <c r="D317" i="167"/>
  <c r="D315" i="167"/>
  <c r="H314" i="167"/>
  <c r="H347" i="167" s="1"/>
  <c r="H369" i="167" s="1"/>
  <c r="D314" i="167"/>
  <c r="D313" i="167"/>
  <c r="D311" i="167"/>
  <c r="D310" i="167"/>
  <c r="D308" i="167"/>
  <c r="D307" i="167"/>
  <c r="D305" i="167"/>
  <c r="D304" i="167"/>
  <c r="D302" i="167"/>
  <c r="D301" i="167"/>
  <c r="D299" i="167"/>
  <c r="D298" i="167"/>
  <c r="D296" i="167"/>
  <c r="D295" i="167"/>
  <c r="B293" i="167"/>
  <c r="B292" i="167"/>
  <c r="A292" i="167"/>
  <c r="I289" i="167"/>
  <c r="H289" i="167"/>
  <c r="D289" i="167"/>
  <c r="B289" i="167"/>
  <c r="A289" i="167"/>
  <c r="I288" i="167"/>
  <c r="I292" i="167" s="1"/>
  <c r="H288" i="167"/>
  <c r="D288" i="167"/>
  <c r="B288" i="167"/>
  <c r="A288" i="167"/>
  <c r="D287" i="167"/>
  <c r="I285" i="167"/>
  <c r="I293" i="167" s="1"/>
  <c r="H285" i="167"/>
  <c r="D285" i="167"/>
  <c r="B285" i="167"/>
  <c r="A285" i="167"/>
  <c r="A293" i="167" s="1"/>
  <c r="H284" i="167"/>
  <c r="D284" i="167"/>
  <c r="B284" i="167"/>
  <c r="A284" i="167"/>
  <c r="D283" i="167"/>
  <c r="D281" i="167"/>
  <c r="D280" i="167"/>
  <c r="D278" i="167"/>
  <c r="D277" i="167"/>
  <c r="D275" i="167"/>
  <c r="D274" i="167"/>
  <c r="D272" i="167"/>
  <c r="D271" i="167"/>
  <c r="D269" i="167"/>
  <c r="D268" i="167"/>
  <c r="D266" i="167"/>
  <c r="D265" i="167"/>
  <c r="D263" i="167"/>
  <c r="D262" i="167"/>
  <c r="D260" i="167"/>
  <c r="D259" i="167"/>
  <c r="H257" i="167"/>
  <c r="D257" i="167"/>
  <c r="D256" i="167"/>
  <c r="D254" i="167"/>
  <c r="D253" i="167"/>
  <c r="D251" i="167"/>
  <c r="D250" i="167"/>
  <c r="D248" i="167"/>
  <c r="D247" i="167"/>
  <c r="D245" i="167"/>
  <c r="D244" i="167"/>
  <c r="D242" i="167"/>
  <c r="D241" i="167"/>
  <c r="D239" i="167"/>
  <c r="D238" i="167"/>
  <c r="D236" i="167"/>
  <c r="D235" i="167"/>
  <c r="D233" i="167"/>
  <c r="D232" i="167"/>
  <c r="D230" i="167"/>
  <c r="D229" i="167"/>
  <c r="D227" i="167"/>
  <c r="D226" i="167"/>
  <c r="D224" i="167"/>
  <c r="D223" i="167"/>
  <c r="D221" i="167"/>
  <c r="D220" i="167"/>
  <c r="D218" i="167"/>
  <c r="D217" i="167"/>
  <c r="D215" i="167"/>
  <c r="D214" i="167"/>
  <c r="D212" i="167"/>
  <c r="D211" i="167"/>
  <c r="D209" i="167"/>
  <c r="D208" i="167"/>
  <c r="D206" i="167"/>
  <c r="D205" i="167"/>
  <c r="D203" i="167"/>
  <c r="D202" i="167"/>
  <c r="D200" i="167"/>
  <c r="D199" i="167"/>
  <c r="D197" i="167"/>
  <c r="D196" i="167"/>
  <c r="D194" i="167"/>
  <c r="B194" i="167"/>
  <c r="A194" i="167"/>
  <c r="D193" i="167"/>
  <c r="D191" i="167"/>
  <c r="D190" i="167"/>
  <c r="D188" i="167"/>
  <c r="D187" i="167"/>
  <c r="D185" i="167"/>
  <c r="D184" i="167"/>
  <c r="I182" i="167"/>
  <c r="I351" i="167" s="1"/>
  <c r="H182" i="167"/>
  <c r="D182" i="167"/>
  <c r="B182" i="167"/>
  <c r="B351" i="167" s="1"/>
  <c r="A182" i="167"/>
  <c r="A351" i="167" s="1"/>
  <c r="D181" i="167"/>
  <c r="D179" i="167"/>
  <c r="D178" i="167"/>
  <c r="D176" i="167"/>
  <c r="D175" i="167"/>
  <c r="I173" i="167"/>
  <c r="I179" i="167" s="1"/>
  <c r="I200" i="167" s="1"/>
  <c r="I212" i="167" s="1"/>
  <c r="I215" i="167" s="1"/>
  <c r="I224" i="167" s="1"/>
  <c r="I230" i="167" s="1"/>
  <c r="I239" i="167" s="1"/>
  <c r="I260" i="167" s="1"/>
  <c r="I266" i="167" s="1"/>
  <c r="I278" i="167" s="1"/>
  <c r="I308" i="167" s="1"/>
  <c r="D173" i="167"/>
  <c r="D172" i="167"/>
  <c r="I170" i="167"/>
  <c r="H170" i="167"/>
  <c r="E20" i="22"/>
  <c r="G20" i="22" s="1"/>
  <c r="I20" i="22" s="1"/>
  <c r="D170" i="167"/>
  <c r="B170" i="167"/>
  <c r="A170" i="167"/>
  <c r="D169" i="167"/>
  <c r="H167" i="167"/>
  <c r="D167" i="167"/>
  <c r="D166" i="167"/>
  <c r="D164" i="167"/>
  <c r="D163" i="167"/>
  <c r="D161" i="167"/>
  <c r="H160" i="167"/>
  <c r="D160" i="167"/>
  <c r="D159" i="167"/>
  <c r="D157" i="167"/>
  <c r="D156" i="167"/>
  <c r="D154" i="167"/>
  <c r="D153" i="167"/>
  <c r="I151" i="167"/>
  <c r="I167" i="167" s="1"/>
  <c r="I245" i="167" s="1"/>
  <c r="I248" i="167" s="1"/>
  <c r="I251" i="167" s="1"/>
  <c r="I272" i="167" s="1"/>
  <c r="I275" i="167" s="1"/>
  <c r="H151" i="167"/>
  <c r="D151" i="167"/>
  <c r="D150" i="167"/>
  <c r="H148" i="167"/>
  <c r="H176" i="167" s="1"/>
  <c r="H191" i="167" s="1"/>
  <c r="H203" i="167" s="1"/>
  <c r="H209" i="167" s="1"/>
  <c r="H221" i="167" s="1"/>
  <c r="H233" i="167" s="1"/>
  <c r="H263" i="167" s="1"/>
  <c r="H269" i="167" s="1"/>
  <c r="H296" i="167" s="1"/>
  <c r="H311" i="167" s="1"/>
  <c r="H321" i="167" s="1"/>
  <c r="D148" i="167"/>
  <c r="D147" i="167"/>
  <c r="H145" i="167"/>
  <c r="D145" i="167"/>
  <c r="D144" i="167"/>
  <c r="D142" i="167"/>
  <c r="D141" i="167"/>
  <c r="D139" i="167"/>
  <c r="D138" i="167"/>
  <c r="D136" i="167"/>
  <c r="D135" i="167"/>
  <c r="D133" i="167"/>
  <c r="D132" i="167"/>
  <c r="D130" i="167"/>
  <c r="D129" i="167"/>
  <c r="D127" i="167"/>
  <c r="D126" i="167"/>
  <c r="D124" i="167"/>
  <c r="D123" i="167"/>
  <c r="D121" i="167"/>
  <c r="D120" i="167"/>
  <c r="D118" i="167"/>
  <c r="D117" i="167"/>
  <c r="H115" i="167"/>
  <c r="H133" i="167" s="1"/>
  <c r="H142" i="167" s="1"/>
  <c r="H164" i="167" s="1"/>
  <c r="H197" i="167" s="1"/>
  <c r="H206" i="167" s="1"/>
  <c r="H218" i="167" s="1"/>
  <c r="D115" i="167"/>
  <c r="D114" i="167"/>
  <c r="I112" i="167"/>
  <c r="I115" i="167" s="1"/>
  <c r="I133" i="167" s="1"/>
  <c r="I142" i="167" s="1"/>
  <c r="I164" i="167" s="1"/>
  <c r="I197" i="167" s="1"/>
  <c r="I206" i="167" s="1"/>
  <c r="I218" i="167" s="1"/>
  <c r="I227" i="167" s="1"/>
  <c r="I257" i="167" s="1"/>
  <c r="I302" i="167" s="1"/>
  <c r="I305" i="167" s="1"/>
  <c r="I338" i="167" s="1"/>
  <c r="I341" i="167" s="1"/>
  <c r="I388" i="167" s="1"/>
  <c r="I535" i="167" s="1"/>
  <c r="H112" i="167"/>
  <c r="D112" i="167"/>
  <c r="B112" i="167"/>
  <c r="B115" i="167" s="1"/>
  <c r="B133" i="167" s="1"/>
  <c r="B142" i="167" s="1"/>
  <c r="B164" i="167" s="1"/>
  <c r="B197" i="167" s="1"/>
  <c r="B206" i="167" s="1"/>
  <c r="B218" i="167" s="1"/>
  <c r="B227" i="167" s="1"/>
  <c r="B257" i="167" s="1"/>
  <c r="B302" i="167" s="1"/>
  <c r="B305" i="167" s="1"/>
  <c r="B338" i="167" s="1"/>
  <c r="B341" i="167" s="1"/>
  <c r="B388" i="167" s="1"/>
  <c r="B535" i="167" s="1"/>
  <c r="A112" i="167"/>
  <c r="A115" i="167" s="1"/>
  <c r="A133" i="167" s="1"/>
  <c r="A142" i="167" s="1"/>
  <c r="A164" i="167" s="1"/>
  <c r="A197" i="167" s="1"/>
  <c r="A206" i="167" s="1"/>
  <c r="A218" i="167" s="1"/>
  <c r="A227" i="167" s="1"/>
  <c r="A257" i="167" s="1"/>
  <c r="A302" i="167" s="1"/>
  <c r="A305" i="167" s="1"/>
  <c r="A338" i="167" s="1"/>
  <c r="A341" i="167" s="1"/>
  <c r="A388" i="167" s="1"/>
  <c r="A535" i="167" s="1"/>
  <c r="D111" i="167"/>
  <c r="D109" i="167"/>
  <c r="D108" i="167"/>
  <c r="D106" i="167"/>
  <c r="D105" i="167"/>
  <c r="D103" i="167"/>
  <c r="D102" i="167"/>
  <c r="D100" i="167"/>
  <c r="D99" i="167"/>
  <c r="D97" i="167"/>
  <c r="D96" i="167"/>
  <c r="D94" i="167"/>
  <c r="D93" i="167"/>
  <c r="D91" i="167"/>
  <c r="D90" i="167"/>
  <c r="D88" i="167"/>
  <c r="D87" i="167"/>
  <c r="D85" i="167"/>
  <c r="D84" i="167"/>
  <c r="D82" i="167"/>
  <c r="D81" i="167"/>
  <c r="D79" i="167"/>
  <c r="D78" i="167"/>
  <c r="D76" i="167"/>
  <c r="D75" i="167"/>
  <c r="D73" i="167"/>
  <c r="D72" i="167"/>
  <c r="D70" i="167"/>
  <c r="D69" i="167"/>
  <c r="D67" i="167"/>
  <c r="D66" i="167"/>
  <c r="D64" i="167"/>
  <c r="D63" i="167"/>
  <c r="I61" i="167"/>
  <c r="H61" i="167"/>
  <c r="D61" i="167"/>
  <c r="B61" i="167"/>
  <c r="K29" i="8" s="1"/>
  <c r="A61" i="167"/>
  <c r="D60" i="167"/>
  <c r="I58" i="167"/>
  <c r="H58" i="167"/>
  <c r="D58" i="167"/>
  <c r="B58" i="167"/>
  <c r="A58" i="167"/>
  <c r="D57" i="167"/>
  <c r="H55" i="167"/>
  <c r="H64" i="167" s="1"/>
  <c r="H85" i="167" s="1"/>
  <c r="H88" i="167" s="1"/>
  <c r="H94" i="167" s="1"/>
  <c r="H185" i="167" s="1"/>
  <c r="H188" i="167" s="1"/>
  <c r="H236" i="167" s="1"/>
  <c r="H242" i="167" s="1"/>
  <c r="H254" i="167" s="1"/>
  <c r="H281" i="167" s="1"/>
  <c r="H299" i="167" s="1"/>
  <c r="H325" i="167" s="1"/>
  <c r="H328" i="167" s="1"/>
  <c r="H376" i="167" s="1"/>
  <c r="H394" i="167" s="1"/>
  <c r="D55" i="167"/>
  <c r="D54" i="167"/>
  <c r="D52" i="167"/>
  <c r="D51" i="167"/>
  <c r="D49" i="167"/>
  <c r="D48" i="167"/>
  <c r="I46" i="167"/>
  <c r="I55" i="167" s="1"/>
  <c r="I64" i="167" s="1"/>
  <c r="I85" i="167" s="1"/>
  <c r="I88" i="167" s="1"/>
  <c r="I94" i="167" s="1"/>
  <c r="I185" i="167" s="1"/>
  <c r="I188" i="167" s="1"/>
  <c r="I236" i="167" s="1"/>
  <c r="I242" i="167" s="1"/>
  <c r="I254" i="167" s="1"/>
  <c r="I281" i="167" s="1"/>
  <c r="I299" i="167" s="1"/>
  <c r="I325" i="167" s="1"/>
  <c r="I328" i="167" s="1"/>
  <c r="I376" i="167" s="1"/>
  <c r="I394" i="167" s="1"/>
  <c r="H46" i="167"/>
  <c r="D46" i="167"/>
  <c r="B46" i="167"/>
  <c r="B55" i="167" s="1"/>
  <c r="B64" i="167" s="1"/>
  <c r="B85" i="167" s="1"/>
  <c r="B88" i="167" s="1"/>
  <c r="B94" i="167" s="1"/>
  <c r="B185" i="167" s="1"/>
  <c r="B188" i="167" s="1"/>
  <c r="B236" i="167" s="1"/>
  <c r="B242" i="167" s="1"/>
  <c r="B254" i="167" s="1"/>
  <c r="B281" i="167" s="1"/>
  <c r="B299" i="167" s="1"/>
  <c r="B325" i="167" s="1"/>
  <c r="B328" i="167" s="1"/>
  <c r="B376" i="167" s="1"/>
  <c r="B394" i="167" s="1"/>
  <c r="A46" i="167"/>
  <c r="A55" i="167" s="1"/>
  <c r="A64" i="167" s="1"/>
  <c r="A85" i="167" s="1"/>
  <c r="A88" i="167" s="1"/>
  <c r="A94" i="167" s="1"/>
  <c r="A185" i="167" s="1"/>
  <c r="A188" i="167" s="1"/>
  <c r="A236" i="167" s="1"/>
  <c r="A242" i="167" s="1"/>
  <c r="A254" i="167" s="1"/>
  <c r="A281" i="167" s="1"/>
  <c r="A299" i="167" s="1"/>
  <c r="A325" i="167" s="1"/>
  <c r="A328" i="167" s="1"/>
  <c r="A376" i="167" s="1"/>
  <c r="A394" i="167" s="1"/>
  <c r="D45" i="167"/>
  <c r="D43" i="167"/>
  <c r="D42" i="167"/>
  <c r="D40" i="167"/>
  <c r="D39" i="167"/>
  <c r="I37" i="167"/>
  <c r="I43" i="167" s="1"/>
  <c r="I49" i="167" s="1"/>
  <c r="I70" i="167" s="1"/>
  <c r="I76" i="167" s="1"/>
  <c r="I91" i="167" s="1"/>
  <c r="I109" i="167" s="1"/>
  <c r="I130" i="167" s="1"/>
  <c r="I154" i="167" s="1"/>
  <c r="I157" i="167" s="1"/>
  <c r="H37" i="167"/>
  <c r="H43" i="167" s="1"/>
  <c r="H49" i="167" s="1"/>
  <c r="H70" i="167" s="1"/>
  <c r="H76" i="167" s="1"/>
  <c r="H91" i="167" s="1"/>
  <c r="H109" i="167" s="1"/>
  <c r="H130" i="167" s="1"/>
  <c r="H154" i="167" s="1"/>
  <c r="D37" i="167"/>
  <c r="B37" i="167"/>
  <c r="B43" i="167" s="1"/>
  <c r="B49" i="167" s="1"/>
  <c r="B70" i="167" s="1"/>
  <c r="B76" i="167" s="1"/>
  <c r="B91" i="167" s="1"/>
  <c r="B109" i="167" s="1"/>
  <c r="B130" i="167" s="1"/>
  <c r="B154" i="167" s="1"/>
  <c r="A37" i="167"/>
  <c r="A43" i="167" s="1"/>
  <c r="A49" i="167" s="1"/>
  <c r="A70" i="167" s="1"/>
  <c r="A76" i="167" s="1"/>
  <c r="A91" i="167" s="1"/>
  <c r="A109" i="167" s="1"/>
  <c r="A130" i="167" s="1"/>
  <c r="A154" i="167" s="1"/>
  <c r="D36" i="167"/>
  <c r="I34" i="167"/>
  <c r="I40" i="167" s="1"/>
  <c r="I52" i="167" s="1"/>
  <c r="I67" i="167" s="1"/>
  <c r="I73" i="167" s="1"/>
  <c r="I79" i="167" s="1"/>
  <c r="I82" i="167" s="1"/>
  <c r="I97" i="167" s="1"/>
  <c r="I100" i="167" s="1"/>
  <c r="I103" i="167" s="1"/>
  <c r="I106" i="167" s="1"/>
  <c r="I118" i="167" s="1"/>
  <c r="I121" i="167" s="1"/>
  <c r="I124" i="167" s="1"/>
  <c r="I127" i="167" s="1"/>
  <c r="I136" i="167" s="1"/>
  <c r="I139" i="167" s="1"/>
  <c r="I145" i="167" s="1"/>
  <c r="I148" i="167" s="1"/>
  <c r="I176" i="167" s="1"/>
  <c r="I191" i="167" s="1"/>
  <c r="I203" i="167" s="1"/>
  <c r="I209" i="167" s="1"/>
  <c r="I221" i="167" s="1"/>
  <c r="I233" i="167" s="1"/>
  <c r="I263" i="167" s="1"/>
  <c r="I269" i="167" s="1"/>
  <c r="I296" i="167" s="1"/>
  <c r="I311" i="167" s="1"/>
  <c r="I321" i="167" s="1"/>
  <c r="I332" i="167" s="1"/>
  <c r="I335" i="167" s="1"/>
  <c r="I363" i="167" s="1"/>
  <c r="H34" i="167"/>
  <c r="H40" i="167" s="1"/>
  <c r="H52" i="167" s="1"/>
  <c r="H67" i="167" s="1"/>
  <c r="H73" i="167" s="1"/>
  <c r="H79" i="167" s="1"/>
  <c r="H82" i="167" s="1"/>
  <c r="H97" i="167" s="1"/>
  <c r="H100" i="167" s="1"/>
  <c r="H103" i="167" s="1"/>
  <c r="H106" i="167" s="1"/>
  <c r="H118" i="167" s="1"/>
  <c r="H121" i="167" s="1"/>
  <c r="H124" i="167" s="1"/>
  <c r="H127" i="167" s="1"/>
  <c r="D34" i="167"/>
  <c r="D33" i="167"/>
  <c r="H30" i="167"/>
  <c r="D30" i="167"/>
  <c r="C24" i="8"/>
  <c r="D29" i="167"/>
  <c r="B27" i="167"/>
  <c r="A27" i="167"/>
  <c r="A30" i="167" s="1"/>
  <c r="N24" i="167"/>
  <c r="C61" i="20"/>
  <c r="D61" i="20" s="1"/>
  <c r="E61" i="20" s="1"/>
  <c r="F61" i="20" s="1"/>
  <c r="G61" i="20" s="1"/>
  <c r="H61" i="20" s="1"/>
  <c r="I61" i="20" s="1"/>
  <c r="J61" i="20" s="1"/>
  <c r="K61" i="20" s="1"/>
  <c r="L61" i="20" s="1"/>
  <c r="M61" i="20" s="1"/>
  <c r="N61" i="20" s="1"/>
  <c r="N69" i="20" s="1"/>
  <c r="N22" i="167"/>
  <c r="C53" i="20"/>
  <c r="D53" i="20" s="1"/>
  <c r="E53" i="20" s="1"/>
  <c r="F53" i="20" s="1"/>
  <c r="G53" i="20" s="1"/>
  <c r="H53" i="20" s="1"/>
  <c r="I53" i="20" s="1"/>
  <c r="J53" i="20" s="1"/>
  <c r="K53" i="20" s="1"/>
  <c r="L53" i="20" s="1"/>
  <c r="M53" i="20" s="1"/>
  <c r="N53" i="20" s="1"/>
  <c r="N21" i="167"/>
  <c r="N20" i="167"/>
  <c r="N19" i="167"/>
  <c r="N17" i="167"/>
  <c r="N16" i="167"/>
  <c r="N15" i="167"/>
  <c r="N14" i="167"/>
  <c r="C36" i="20"/>
  <c r="D36" i="20" s="1"/>
  <c r="E36" i="20" s="1"/>
  <c r="F36" i="20" s="1"/>
  <c r="G36" i="20" s="1"/>
  <c r="H36" i="20" s="1"/>
  <c r="I36" i="20" s="1"/>
  <c r="J36" i="20" s="1"/>
  <c r="K36" i="20" s="1"/>
  <c r="L36" i="20" s="1"/>
  <c r="M36" i="20" s="1"/>
  <c r="N36" i="20" s="1"/>
  <c r="N13" i="167"/>
  <c r="C26" i="20"/>
  <c r="D26" i="20" s="1"/>
  <c r="E26" i="20" s="1"/>
  <c r="F26" i="20" s="1"/>
  <c r="G26" i="20" s="1"/>
  <c r="H26" i="20" s="1"/>
  <c r="I26" i="20" s="1"/>
  <c r="J26" i="20" s="1"/>
  <c r="K26" i="20" s="1"/>
  <c r="L26" i="20" s="1"/>
  <c r="M26" i="20" s="1"/>
  <c r="N26" i="20" s="1"/>
  <c r="N12" i="167"/>
  <c r="N11" i="167"/>
  <c r="C33" i="20"/>
  <c r="D33" i="20" s="1"/>
  <c r="E33" i="20" s="1"/>
  <c r="F33" i="20" s="1"/>
  <c r="G33" i="20" s="1"/>
  <c r="H33" i="20" s="1"/>
  <c r="I33" i="20" s="1"/>
  <c r="J33" i="20" s="1"/>
  <c r="K33" i="20" s="1"/>
  <c r="L33" i="20" s="1"/>
  <c r="M33" i="20" s="1"/>
  <c r="N33" i="20" s="1"/>
  <c r="N10" i="167"/>
  <c r="N9" i="167"/>
  <c r="C32" i="20"/>
  <c r="D32" i="20" s="1"/>
  <c r="E32" i="20" s="1"/>
  <c r="F32" i="20" s="1"/>
  <c r="G32" i="20" s="1"/>
  <c r="H32" i="20" s="1"/>
  <c r="I32" i="20" s="1"/>
  <c r="J32" i="20" s="1"/>
  <c r="K32" i="20" s="1"/>
  <c r="L32" i="20" s="1"/>
  <c r="M32" i="20" s="1"/>
  <c r="N32" i="20" s="1"/>
  <c r="N8" i="167"/>
  <c r="C27" i="20"/>
  <c r="D27" i="20" s="1"/>
  <c r="E27" i="20" s="1"/>
  <c r="F27" i="20" s="1"/>
  <c r="G27" i="20" s="1"/>
  <c r="H27" i="20" s="1"/>
  <c r="I27" i="20" s="1"/>
  <c r="J27" i="20" s="1"/>
  <c r="K27" i="20" s="1"/>
  <c r="L27" i="20" s="1"/>
  <c r="M27" i="20" s="1"/>
  <c r="N27" i="20" s="1"/>
  <c r="C18" i="18" s="1"/>
  <c r="C19" i="14" s="1"/>
  <c r="D275" i="166"/>
  <c r="D274" i="166"/>
  <c r="D273" i="166"/>
  <c r="D272" i="166"/>
  <c r="D271" i="166"/>
  <c r="D270" i="166"/>
  <c r="D269" i="166"/>
  <c r="D259" i="166"/>
  <c r="D258" i="166"/>
  <c r="D257" i="166"/>
  <c r="D256" i="166"/>
  <c r="D255" i="166"/>
  <c r="D252" i="166"/>
  <c r="D251" i="166"/>
  <c r="D250" i="166"/>
  <c r="D249" i="166"/>
  <c r="D248" i="166"/>
  <c r="D234" i="166"/>
  <c r="D231" i="166"/>
  <c r="D227" i="166"/>
  <c r="D225" i="166"/>
  <c r="D222" i="166"/>
  <c r="D219" i="166"/>
  <c r="D216" i="166"/>
  <c r="D213" i="166"/>
  <c r="D210" i="166"/>
  <c r="D207" i="166"/>
  <c r="D204" i="166"/>
  <c r="D201" i="166"/>
  <c r="D197" i="166"/>
  <c r="D195" i="166"/>
  <c r="D192" i="166"/>
  <c r="D189" i="166"/>
  <c r="D186" i="166"/>
  <c r="D183" i="166"/>
  <c r="D180" i="166"/>
  <c r="D177" i="166"/>
  <c r="D174" i="166"/>
  <c r="D170" i="166"/>
  <c r="D167" i="166"/>
  <c r="D164" i="166"/>
  <c r="D161" i="166"/>
  <c r="D158" i="166"/>
  <c r="D155" i="166"/>
  <c r="D152" i="166"/>
  <c r="D149" i="166"/>
  <c r="D147" i="166"/>
  <c r="D142" i="166"/>
  <c r="D138" i="166"/>
  <c r="D136" i="166"/>
  <c r="D133" i="166"/>
  <c r="D130" i="166"/>
  <c r="D127" i="166"/>
  <c r="D124" i="166"/>
  <c r="D121" i="166"/>
  <c r="D118" i="166"/>
  <c r="D114" i="166"/>
  <c r="D112" i="166"/>
  <c r="D109" i="166"/>
  <c r="D105" i="166"/>
  <c r="D102" i="166"/>
  <c r="D96" i="166"/>
  <c r="D93" i="166"/>
  <c r="D90" i="166"/>
  <c r="D86" i="166"/>
  <c r="D83" i="166"/>
  <c r="D81" i="166"/>
  <c r="D78" i="166"/>
  <c r="D75" i="166"/>
  <c r="D72" i="166"/>
  <c r="D68" i="166"/>
  <c r="D65" i="166"/>
  <c r="D63" i="166"/>
  <c r="D60" i="166"/>
  <c r="D57" i="166"/>
  <c r="D51" i="166"/>
  <c r="D48" i="166"/>
  <c r="D45" i="166"/>
  <c r="D33" i="166"/>
  <c r="D30" i="166"/>
  <c r="D24" i="166"/>
  <c r="D27" i="166"/>
  <c r="B270" i="166"/>
  <c r="B271" i="166" s="1"/>
  <c r="B272" i="166" s="1"/>
  <c r="B273" i="166" s="1"/>
  <c r="B274" i="166" s="1"/>
  <c r="B275" i="166" s="1"/>
  <c r="A270" i="166"/>
  <c r="A271" i="166" s="1"/>
  <c r="A272" i="166" s="1"/>
  <c r="A273" i="166" s="1"/>
  <c r="A274" i="166" s="1"/>
  <c r="A275" i="166" s="1"/>
  <c r="B256" i="166"/>
  <c r="B257" i="166" s="1"/>
  <c r="B258" i="166" s="1"/>
  <c r="A256" i="166"/>
  <c r="A257" i="166" s="1"/>
  <c r="A258" i="166" s="1"/>
  <c r="B249" i="166"/>
  <c r="B250" i="166" s="1"/>
  <c r="B251" i="166" s="1"/>
  <c r="B252" i="166" s="1"/>
  <c r="B253" i="166" s="1"/>
  <c r="A249" i="166"/>
  <c r="A250" i="166" s="1"/>
  <c r="A251" i="166" s="1"/>
  <c r="A252" i="166" s="1"/>
  <c r="A253" i="166" s="1"/>
  <c r="I234" i="166"/>
  <c r="H234" i="166"/>
  <c r="G234" i="166"/>
  <c r="E234" i="166" s="1"/>
  <c r="B234" i="166"/>
  <c r="A234" i="166"/>
  <c r="H231" i="166"/>
  <c r="G231" i="166"/>
  <c r="E231" i="166" s="1"/>
  <c r="B231" i="166"/>
  <c r="A231" i="166"/>
  <c r="H228" i="166"/>
  <c r="G228" i="166"/>
  <c r="E228" i="166" s="1"/>
  <c r="B228" i="166"/>
  <c r="A228" i="166"/>
  <c r="H225" i="166"/>
  <c r="G225" i="166"/>
  <c r="E225" i="166" s="1"/>
  <c r="B225" i="166"/>
  <c r="A225" i="166"/>
  <c r="H222" i="166"/>
  <c r="G222" i="166"/>
  <c r="E222" i="166" s="1"/>
  <c r="B222" i="166"/>
  <c r="A222" i="166"/>
  <c r="H219" i="166"/>
  <c r="G219" i="166"/>
  <c r="E219" i="166" s="1"/>
  <c r="B219" i="166"/>
  <c r="A219" i="166"/>
  <c r="H216" i="166"/>
  <c r="G216" i="166"/>
  <c r="E216" i="166" s="1"/>
  <c r="B216" i="166"/>
  <c r="A216" i="166"/>
  <c r="H213" i="166"/>
  <c r="G213" i="166"/>
  <c r="E213" i="166" s="1"/>
  <c r="B213" i="166"/>
  <c r="A213" i="166"/>
  <c r="H210" i="166"/>
  <c r="G210" i="166"/>
  <c r="E210" i="166" s="1"/>
  <c r="B210" i="166"/>
  <c r="A210" i="166"/>
  <c r="H207" i="166"/>
  <c r="G207" i="166"/>
  <c r="E207" i="166" s="1"/>
  <c r="B207" i="166"/>
  <c r="A207" i="166"/>
  <c r="H204" i="166"/>
  <c r="G204" i="166"/>
  <c r="E204" i="166" s="1"/>
  <c r="B204" i="166"/>
  <c r="A204" i="166"/>
  <c r="H201" i="166"/>
  <c r="G201" i="166"/>
  <c r="E201" i="166" s="1"/>
  <c r="B201" i="166"/>
  <c r="A201" i="166"/>
  <c r="H198" i="166"/>
  <c r="G198" i="166"/>
  <c r="E198" i="166" s="1"/>
  <c r="B198" i="166"/>
  <c r="A198" i="166"/>
  <c r="H195" i="166"/>
  <c r="G195" i="166"/>
  <c r="E195" i="166" s="1"/>
  <c r="B195" i="166"/>
  <c r="A195" i="166"/>
  <c r="H192" i="166"/>
  <c r="G192" i="166"/>
  <c r="E192" i="166" s="1"/>
  <c r="B192" i="166"/>
  <c r="A192" i="166"/>
  <c r="H189" i="166"/>
  <c r="G189" i="166"/>
  <c r="E189" i="166" s="1"/>
  <c r="B189" i="166"/>
  <c r="A189" i="166"/>
  <c r="H186" i="166"/>
  <c r="G186" i="166"/>
  <c r="E186" i="166" s="1"/>
  <c r="B186" i="166"/>
  <c r="A186" i="166"/>
  <c r="H183" i="166"/>
  <c r="G183" i="166"/>
  <c r="E183" i="166" s="1"/>
  <c r="B183" i="166"/>
  <c r="A183" i="166"/>
  <c r="H180" i="166"/>
  <c r="G180" i="166"/>
  <c r="E180" i="166" s="1"/>
  <c r="B180" i="166"/>
  <c r="A180" i="166"/>
  <c r="H177" i="166"/>
  <c r="G177" i="166"/>
  <c r="E177" i="166" s="1"/>
  <c r="B177" i="166"/>
  <c r="A177" i="166"/>
  <c r="H174" i="166"/>
  <c r="G174" i="166"/>
  <c r="E174" i="166" s="1"/>
  <c r="B174" i="166"/>
  <c r="A174" i="166"/>
  <c r="H171" i="166"/>
  <c r="G171" i="166"/>
  <c r="E171" i="166" s="1"/>
  <c r="B171" i="166"/>
  <c r="A171" i="166"/>
  <c r="H168" i="166"/>
  <c r="G168" i="166"/>
  <c r="E168" i="166" s="1"/>
  <c r="B168" i="166"/>
  <c r="A168" i="166"/>
  <c r="H165" i="166"/>
  <c r="G165" i="166"/>
  <c r="E165" i="166" s="1"/>
  <c r="B165" i="166"/>
  <c r="A165" i="166"/>
  <c r="H162" i="166"/>
  <c r="G162" i="166"/>
  <c r="E162" i="166" s="1"/>
  <c r="B162" i="166"/>
  <c r="A162" i="166"/>
  <c r="H159" i="166"/>
  <c r="G159" i="166"/>
  <c r="E159" i="166" s="1"/>
  <c r="B159" i="166"/>
  <c r="A159" i="166"/>
  <c r="H156" i="166"/>
  <c r="G156" i="166"/>
  <c r="E156" i="166" s="1"/>
  <c r="B156" i="166"/>
  <c r="A156" i="166"/>
  <c r="H153" i="166"/>
  <c r="G153" i="166"/>
  <c r="E153" i="166" s="1"/>
  <c r="B153" i="166"/>
  <c r="A153" i="166"/>
  <c r="H150" i="166"/>
  <c r="G150" i="166"/>
  <c r="E150" i="166" s="1"/>
  <c r="B150" i="166"/>
  <c r="A150" i="166"/>
  <c r="H147" i="166"/>
  <c r="G147" i="166"/>
  <c r="E147" i="166" s="1"/>
  <c r="B147" i="166"/>
  <c r="A147" i="166"/>
  <c r="H144" i="166"/>
  <c r="B144" i="166"/>
  <c r="A144" i="166"/>
  <c r="H140" i="166"/>
  <c r="B140" i="166"/>
  <c r="A140" i="166"/>
  <c r="H136" i="166"/>
  <c r="G136" i="166"/>
  <c r="E136" i="166" s="1"/>
  <c r="B136" i="166"/>
  <c r="A136" i="166"/>
  <c r="H133" i="166"/>
  <c r="G133" i="166"/>
  <c r="E133" i="166" s="1"/>
  <c r="B133" i="166"/>
  <c r="A133" i="166"/>
  <c r="H130" i="166"/>
  <c r="G130" i="166"/>
  <c r="E130" i="166" s="1"/>
  <c r="B130" i="166"/>
  <c r="A130" i="166"/>
  <c r="H127" i="166"/>
  <c r="G127" i="166"/>
  <c r="E127" i="166" s="1"/>
  <c r="B127" i="166"/>
  <c r="A127" i="166"/>
  <c r="H124" i="166"/>
  <c r="G124" i="166"/>
  <c r="E124" i="166" s="1"/>
  <c r="B124" i="166"/>
  <c r="A124" i="166"/>
  <c r="H121" i="166"/>
  <c r="G121" i="166"/>
  <c r="E121" i="166" s="1"/>
  <c r="B121" i="166"/>
  <c r="A121" i="166"/>
  <c r="H118" i="166"/>
  <c r="G118" i="166"/>
  <c r="E118" i="166" s="1"/>
  <c r="B118" i="166"/>
  <c r="A118" i="166"/>
  <c r="H115" i="166"/>
  <c r="G115" i="166"/>
  <c r="E115" i="166" s="1"/>
  <c r="B115" i="166"/>
  <c r="A115" i="166"/>
  <c r="H112" i="166"/>
  <c r="G112" i="166"/>
  <c r="E112" i="166" s="1"/>
  <c r="B112" i="166"/>
  <c r="A112" i="166"/>
  <c r="H109" i="166"/>
  <c r="G109" i="166"/>
  <c r="E109" i="166" s="1"/>
  <c r="B109" i="166"/>
  <c r="A109" i="166"/>
  <c r="H106" i="166"/>
  <c r="G106" i="166"/>
  <c r="E106" i="166" s="1"/>
  <c r="B106" i="166"/>
  <c r="A106" i="166"/>
  <c r="H103" i="166"/>
  <c r="G103" i="166"/>
  <c r="E103" i="166" s="1"/>
  <c r="B103" i="166"/>
  <c r="A103" i="166"/>
  <c r="H96" i="166"/>
  <c r="G96" i="166"/>
  <c r="E96" i="166" s="1"/>
  <c r="B96" i="166"/>
  <c r="A96" i="166"/>
  <c r="H93" i="166"/>
  <c r="G93" i="166"/>
  <c r="E93" i="166" s="1"/>
  <c r="B93" i="166"/>
  <c r="A93" i="166"/>
  <c r="H90" i="166"/>
  <c r="G90" i="166"/>
  <c r="E90" i="166" s="1"/>
  <c r="B90" i="166"/>
  <c r="A90" i="166"/>
  <c r="H87" i="166"/>
  <c r="G87" i="166"/>
  <c r="E87" i="166" s="1"/>
  <c r="B87" i="166"/>
  <c r="A87" i="166"/>
  <c r="H84" i="166"/>
  <c r="G84" i="166"/>
  <c r="E84" i="166" s="1"/>
  <c r="B84" i="166"/>
  <c r="A84" i="166"/>
  <c r="H81" i="166"/>
  <c r="G81" i="166"/>
  <c r="E81" i="166" s="1"/>
  <c r="B81" i="166"/>
  <c r="A81" i="166"/>
  <c r="H78" i="166"/>
  <c r="G78" i="166"/>
  <c r="E78" i="166" s="1"/>
  <c r="B78" i="166"/>
  <c r="A78" i="166"/>
  <c r="H75" i="166"/>
  <c r="G75" i="166"/>
  <c r="E75" i="166" s="1"/>
  <c r="B75" i="166"/>
  <c r="A75" i="166"/>
  <c r="H72" i="166"/>
  <c r="G72" i="166"/>
  <c r="E72" i="166" s="1"/>
  <c r="B72" i="166"/>
  <c r="A72" i="166"/>
  <c r="H69" i="166"/>
  <c r="G69" i="166"/>
  <c r="E69" i="166" s="1"/>
  <c r="B69" i="166"/>
  <c r="A69" i="166"/>
  <c r="H66" i="166"/>
  <c r="G66" i="166"/>
  <c r="E66" i="166" s="1"/>
  <c r="B66" i="166"/>
  <c r="A66" i="166"/>
  <c r="H63" i="166"/>
  <c r="G63" i="166"/>
  <c r="E63" i="166" s="1"/>
  <c r="B63" i="166"/>
  <c r="A63" i="166"/>
  <c r="H60" i="166"/>
  <c r="G60" i="166"/>
  <c r="E60" i="166" s="1"/>
  <c r="B60" i="166"/>
  <c r="A60" i="166"/>
  <c r="H57" i="166"/>
  <c r="G57" i="166"/>
  <c r="E57" i="166" s="1"/>
  <c r="B57" i="166"/>
  <c r="A57" i="166"/>
  <c r="H54" i="166"/>
  <c r="G54" i="166"/>
  <c r="E54" i="166" s="1"/>
  <c r="B54" i="166"/>
  <c r="A54" i="166"/>
  <c r="D53" i="166"/>
  <c r="H51" i="166"/>
  <c r="G51" i="166"/>
  <c r="E51" i="166" s="1"/>
  <c r="B51" i="166"/>
  <c r="A51" i="166"/>
  <c r="N48" i="166"/>
  <c r="H48" i="166"/>
  <c r="G48" i="166"/>
  <c r="E48" i="166" s="1"/>
  <c r="B48" i="166"/>
  <c r="A48" i="166"/>
  <c r="N47" i="166"/>
  <c r="N45" i="166"/>
  <c r="H45" i="166"/>
  <c r="G45" i="166"/>
  <c r="E45" i="166" s="1"/>
  <c r="B45" i="166"/>
  <c r="A45" i="166"/>
  <c r="N44" i="166"/>
  <c r="N42" i="166"/>
  <c r="H42" i="166"/>
  <c r="G42" i="166"/>
  <c r="D42" i="166"/>
  <c r="B42" i="166"/>
  <c r="A42" i="166"/>
  <c r="N41" i="166"/>
  <c r="N39" i="166"/>
  <c r="H39" i="166"/>
  <c r="G39" i="166"/>
  <c r="E39" i="166" s="1"/>
  <c r="B39" i="166"/>
  <c r="A39" i="166"/>
  <c r="N38" i="166"/>
  <c r="D38" i="166"/>
  <c r="N36" i="166"/>
  <c r="H36" i="166"/>
  <c r="G36" i="166"/>
  <c r="E36" i="166" s="1"/>
  <c r="B36" i="166"/>
  <c r="A36" i="166"/>
  <c r="N35" i="166"/>
  <c r="D35" i="166"/>
  <c r="N33" i="166"/>
  <c r="H33" i="166"/>
  <c r="G33" i="166"/>
  <c r="E33" i="166" s="1"/>
  <c r="B33" i="166"/>
  <c r="A33" i="166"/>
  <c r="N32" i="166"/>
  <c r="H30" i="166"/>
  <c r="G30" i="166"/>
  <c r="E30" i="166" s="1"/>
  <c r="B30" i="166"/>
  <c r="A30" i="166"/>
  <c r="H27" i="166"/>
  <c r="G27" i="166"/>
  <c r="E27" i="166" s="1"/>
  <c r="B27" i="166"/>
  <c r="A27" i="166"/>
  <c r="H24" i="166"/>
  <c r="G24" i="166"/>
  <c r="E24" i="166" s="1"/>
  <c r="B24" i="166"/>
  <c r="A24" i="166"/>
  <c r="N20" i="166"/>
  <c r="N19" i="166"/>
  <c r="N18" i="166"/>
  <c r="N17" i="166"/>
  <c r="N14" i="166"/>
  <c r="N13" i="166"/>
  <c r="N11" i="166"/>
  <c r="N10" i="166"/>
  <c r="N7" i="166"/>
  <c r="N6" i="166"/>
  <c r="N5" i="166"/>
  <c r="F27" i="163"/>
  <c r="G26" i="163" s="1"/>
  <c r="D27" i="163"/>
  <c r="F26" i="163"/>
  <c r="D26" i="163"/>
  <c r="D25" i="163"/>
  <c r="D24" i="163"/>
  <c r="F23" i="163"/>
  <c r="E23" i="163" s="1"/>
  <c r="D23" i="163"/>
  <c r="F22" i="163"/>
  <c r="E22" i="163" s="1"/>
  <c r="D22" i="163"/>
  <c r="D21" i="163"/>
  <c r="E20" i="163"/>
  <c r="D20" i="163"/>
  <c r="E19" i="163"/>
  <c r="D19" i="163"/>
  <c r="E18" i="163"/>
  <c r="D18" i="163"/>
  <c r="E17" i="163"/>
  <c r="D17" i="163"/>
  <c r="D16" i="163"/>
  <c r="D15" i="163"/>
  <c r="G14" i="163"/>
  <c r="F16" i="163" s="1"/>
  <c r="E16" i="163" s="1"/>
  <c r="D14" i="163"/>
  <c r="D13" i="163"/>
  <c r="D12" i="163"/>
  <c r="G11" i="163"/>
  <c r="F12" i="163" s="1"/>
  <c r="E12" i="163" s="1"/>
  <c r="D11" i="163"/>
  <c r="F10" i="163"/>
  <c r="E10" i="163" s="1"/>
  <c r="D10" i="163"/>
  <c r="F9" i="163"/>
  <c r="E9" i="163" s="1"/>
  <c r="D9" i="163"/>
  <c r="F8" i="163"/>
  <c r="E8" i="163" s="1"/>
  <c r="D8" i="163"/>
  <c r="E7" i="163"/>
  <c r="D7" i="163"/>
  <c r="E6" i="163"/>
  <c r="D6" i="163"/>
  <c r="E5" i="163"/>
  <c r="D5" i="163"/>
  <c r="E4" i="163"/>
  <c r="D4" i="163"/>
  <c r="B4" i="163"/>
  <c r="B6" i="163" s="1"/>
  <c r="B8" i="163" s="1"/>
  <c r="B9" i="163" s="1"/>
  <c r="B10" i="163" s="1"/>
  <c r="B11" i="163" s="1"/>
  <c r="B12" i="163" s="1"/>
  <c r="B13" i="163" s="1"/>
  <c r="B14" i="163" s="1"/>
  <c r="B15" i="163" s="1"/>
  <c r="B16" i="163" s="1"/>
  <c r="B17" i="163" s="1"/>
  <c r="A4" i="163"/>
  <c r="A6" i="163" s="1"/>
  <c r="A8" i="163" s="1"/>
  <c r="A9" i="163" s="1"/>
  <c r="A10" i="163" s="1"/>
  <c r="A11" i="163" s="1"/>
  <c r="A12" i="163" s="1"/>
  <c r="A13" i="163" s="1"/>
  <c r="A14" i="163" s="1"/>
  <c r="A15" i="163" s="1"/>
  <c r="A16" i="163" s="1"/>
  <c r="A17" i="163" s="1"/>
  <c r="H3" i="163"/>
  <c r="H4" i="163" s="1"/>
  <c r="H5" i="163" s="1"/>
  <c r="H6" i="163" s="1"/>
  <c r="H7" i="163" s="1"/>
  <c r="H8" i="163" s="1"/>
  <c r="H9" i="163" s="1"/>
  <c r="H10" i="163" s="1"/>
  <c r="H11" i="163" s="1"/>
  <c r="H12" i="163" s="1"/>
  <c r="H13" i="163" s="1"/>
  <c r="H14" i="163" s="1"/>
  <c r="H15" i="163" s="1"/>
  <c r="H16" i="163" s="1"/>
  <c r="H17" i="163" s="1"/>
  <c r="H18" i="163" s="1"/>
  <c r="H19" i="163" s="1"/>
  <c r="H20" i="163" s="1"/>
  <c r="H21" i="163" s="1"/>
  <c r="H22" i="163" s="1"/>
  <c r="H23" i="163" s="1"/>
  <c r="H24" i="163" s="1"/>
  <c r="H25" i="163" s="1"/>
  <c r="H26" i="163" s="1"/>
  <c r="H27" i="163" s="1"/>
  <c r="E3" i="163"/>
  <c r="D3" i="163"/>
  <c r="B3" i="163"/>
  <c r="B5" i="163" s="1"/>
  <c r="B7" i="163" s="1"/>
  <c r="A3" i="163"/>
  <c r="A5" i="163" s="1"/>
  <c r="A7" i="163" s="1"/>
  <c r="E2" i="163"/>
  <c r="D2" i="163"/>
  <c r="B93" i="12"/>
  <c r="C168" i="22"/>
  <c r="B82" i="10"/>
  <c r="C18" i="22"/>
  <c r="B126" i="12"/>
  <c r="B39" i="8"/>
  <c r="B33" i="8"/>
  <c r="K65" i="66"/>
  <c r="F11" i="137"/>
  <c r="F13" i="137" s="1"/>
  <c r="E10" i="137"/>
  <c r="E11" i="137" s="1"/>
  <c r="E13" i="137" s="1"/>
  <c r="C179" i="22"/>
  <c r="C36" i="22"/>
  <c r="C35" i="22"/>
  <c r="C62" i="22"/>
  <c r="AG45" i="26"/>
  <c r="B44" i="11"/>
  <c r="G10780" i="11"/>
  <c r="G10777" i="19"/>
  <c r="L62" i="66"/>
  <c r="L53" i="66"/>
  <c r="L48" i="66"/>
  <c r="L43" i="66"/>
  <c r="L38" i="66"/>
  <c r="L33" i="66"/>
  <c r="L23" i="66"/>
  <c r="L7" i="66"/>
  <c r="C61" i="22"/>
  <c r="U13" i="74"/>
  <c r="C49" i="22"/>
  <c r="K17" i="78"/>
  <c r="H17" i="78"/>
  <c r="G17" i="78"/>
  <c r="E17" i="78" s="1"/>
  <c r="A17" i="78"/>
  <c r="K16" i="78"/>
  <c r="E16" i="78"/>
  <c r="N14" i="78"/>
  <c r="H14" i="78"/>
  <c r="G14" i="78"/>
  <c r="E14" i="78" s="1"/>
  <c r="D14" i="78"/>
  <c r="B14" i="78"/>
  <c r="A14" i="78"/>
  <c r="N13" i="78"/>
  <c r="K13" i="78"/>
  <c r="E13" i="78"/>
  <c r="D13" i="78"/>
  <c r="K11" i="78"/>
  <c r="H11" i="78"/>
  <c r="G11" i="78"/>
  <c r="E11" i="78" s="1"/>
  <c r="A11" i="78"/>
  <c r="N10" i="78"/>
  <c r="K10" i="78"/>
  <c r="E10" i="78"/>
  <c r="N8" i="78"/>
  <c r="H8" i="78"/>
  <c r="G8" i="78"/>
  <c r="E8" i="78" s="1"/>
  <c r="D8" i="78"/>
  <c r="K7" i="78"/>
  <c r="E7" i="78"/>
  <c r="D7" i="78"/>
  <c r="K5" i="78"/>
  <c r="E5" i="78"/>
  <c r="D5" i="78"/>
  <c r="A5" i="78"/>
  <c r="K4" i="78"/>
  <c r="E4" i="78"/>
  <c r="D4" i="78"/>
  <c r="K3" i="78"/>
  <c r="E3" i="78"/>
  <c r="D3" i="78"/>
  <c r="K2" i="78"/>
  <c r="E2" i="78"/>
  <c r="D2" i="78"/>
  <c r="C52" i="22"/>
  <c r="C51" i="22"/>
  <c r="C42" i="22"/>
  <c r="C41" i="22"/>
  <c r="R16" i="25"/>
  <c r="B18" i="10"/>
  <c r="C192" i="22"/>
  <c r="G103" i="72"/>
  <c r="F103" i="72"/>
  <c r="L16" i="25"/>
  <c r="O16" i="25"/>
  <c r="C38" i="22"/>
  <c r="C37" i="2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5" i="12"/>
  <c r="B37" i="12"/>
  <c r="B38" i="12"/>
  <c r="B39" i="12"/>
  <c r="B40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8" i="12"/>
  <c r="B133" i="12"/>
  <c r="D8" i="15"/>
  <c r="B15" i="15"/>
  <c r="B16" i="15"/>
  <c r="E18" i="15"/>
  <c r="C25" i="15"/>
  <c r="B26" i="15"/>
  <c r="C26" i="15"/>
  <c r="C27" i="15"/>
  <c r="C29" i="15"/>
  <c r="C30" i="15"/>
  <c r="C32" i="15"/>
  <c r="C33" i="15"/>
  <c r="C34" i="15"/>
  <c r="C35" i="15"/>
  <c r="C36" i="15"/>
  <c r="C37" i="15"/>
  <c r="C38" i="15"/>
  <c r="B42" i="15"/>
  <c r="B45" i="15"/>
  <c r="B58" i="15"/>
  <c r="D61" i="15"/>
  <c r="E60" i="15" s="1"/>
  <c r="C12" i="16"/>
  <c r="D16" i="15" s="1"/>
  <c r="D16" i="16"/>
  <c r="D19" i="17"/>
  <c r="D23" i="17"/>
  <c r="D35" i="17"/>
  <c r="D58" i="15" s="1"/>
  <c r="F28" i="14"/>
  <c r="E34" i="14"/>
  <c r="F34" i="14"/>
  <c r="B19" i="43"/>
  <c r="E19" i="43"/>
  <c r="H19" i="43"/>
  <c r="K19" i="43"/>
  <c r="B20" i="43"/>
  <c r="E20" i="43"/>
  <c r="H20" i="43"/>
  <c r="K20" i="43"/>
  <c r="B21" i="43"/>
  <c r="E21" i="43"/>
  <c r="H21" i="43"/>
  <c r="K21" i="43"/>
  <c r="B23" i="43"/>
  <c r="B24" i="43"/>
  <c r="E24" i="43"/>
  <c r="H24" i="43"/>
  <c r="K24" i="43"/>
  <c r="H34" i="43"/>
  <c r="K34" i="43" s="1"/>
  <c r="M34" i="43" s="1"/>
  <c r="N34" i="43"/>
  <c r="O34" i="43" s="1"/>
  <c r="P34" i="43" s="1"/>
  <c r="H35" i="43"/>
  <c r="K35" i="43" s="1"/>
  <c r="M35" i="43" s="1"/>
  <c r="N35" i="43"/>
  <c r="O35" i="43" s="1"/>
  <c r="H36" i="43"/>
  <c r="K36" i="43"/>
  <c r="M36" i="43" s="1"/>
  <c r="N36" i="43"/>
  <c r="O36" i="43" s="1"/>
  <c r="P36" i="43" s="1"/>
  <c r="F8" i="72"/>
  <c r="G8" i="72"/>
  <c r="F19" i="72"/>
  <c r="G19" i="72"/>
  <c r="F24" i="72"/>
  <c r="G24" i="72"/>
  <c r="F32" i="72"/>
  <c r="G32" i="72"/>
  <c r="F52" i="72"/>
  <c r="G52" i="72"/>
  <c r="F69" i="72"/>
  <c r="G69" i="72"/>
  <c r="G70" i="72" s="1"/>
  <c r="E73" i="72"/>
  <c r="F86" i="72"/>
  <c r="G86" i="72"/>
  <c r="C5" i="74"/>
  <c r="C13" i="74"/>
  <c r="F13" i="74"/>
  <c r="I13" i="74"/>
  <c r="L13" i="74"/>
  <c r="O13" i="74"/>
  <c r="R13" i="74"/>
  <c r="X13" i="74"/>
  <c r="AA13" i="74"/>
  <c r="AD13" i="74"/>
  <c r="AG13" i="74"/>
  <c r="AJ13" i="74"/>
  <c r="AM13" i="74"/>
  <c r="C5" i="25"/>
  <c r="C16" i="25"/>
  <c r="F16" i="25"/>
  <c r="I16" i="25"/>
  <c r="U16" i="25"/>
  <c r="X16" i="25"/>
  <c r="AA16" i="25"/>
  <c r="AD16" i="25"/>
  <c r="AG16" i="25"/>
  <c r="AJ16" i="25"/>
  <c r="AM16" i="25"/>
  <c r="B6" i="18"/>
  <c r="B6" i="14" s="1"/>
  <c r="C42" i="20"/>
  <c r="D42" i="20"/>
  <c r="E42" i="20"/>
  <c r="F42" i="20"/>
  <c r="G42" i="20"/>
  <c r="H42" i="20"/>
  <c r="I42" i="20"/>
  <c r="J42" i="20"/>
  <c r="K42" i="20"/>
  <c r="L42" i="20"/>
  <c r="M42" i="20"/>
  <c r="N42" i="20"/>
  <c r="B9" i="8"/>
  <c r="B10" i="8"/>
  <c r="B11" i="8"/>
  <c r="B12" i="8"/>
  <c r="B13" i="8"/>
  <c r="B14" i="8"/>
  <c r="B15" i="8"/>
  <c r="B16" i="8"/>
  <c r="B17" i="8"/>
  <c r="B19" i="8"/>
  <c r="B20" i="8"/>
  <c r="B22" i="8"/>
  <c r="B23" i="8"/>
  <c r="B24" i="8"/>
  <c r="B25" i="8"/>
  <c r="B26" i="8"/>
  <c r="B27" i="8"/>
  <c r="B28" i="8"/>
  <c r="B29" i="8"/>
  <c r="B30" i="8"/>
  <c r="B31" i="8"/>
  <c r="J16" i="66"/>
  <c r="K16" i="66"/>
  <c r="L16" i="66"/>
  <c r="C9" i="22"/>
  <c r="C10" i="22"/>
  <c r="C11" i="22"/>
  <c r="C12" i="22"/>
  <c r="C13" i="22"/>
  <c r="C16" i="22"/>
  <c r="C17" i="22"/>
  <c r="C19" i="22"/>
  <c r="C20" i="22"/>
  <c r="C21" i="22"/>
  <c r="C22" i="22"/>
  <c r="C23" i="22"/>
  <c r="C24" i="22"/>
  <c r="C25" i="22"/>
  <c r="C26" i="22"/>
  <c r="C29" i="22"/>
  <c r="C30" i="22"/>
  <c r="C31" i="22"/>
  <c r="C32" i="22"/>
  <c r="C33" i="22"/>
  <c r="C34" i="22"/>
  <c r="C39" i="22"/>
  <c r="C40" i="22"/>
  <c r="C43" i="22"/>
  <c r="C44" i="22"/>
  <c r="C45" i="22"/>
  <c r="C46" i="22"/>
  <c r="C47" i="22"/>
  <c r="C50" i="22"/>
  <c r="C53" i="22"/>
  <c r="C54" i="22"/>
  <c r="C55" i="22"/>
  <c r="C56" i="22"/>
  <c r="C57" i="22"/>
  <c r="C58" i="22"/>
  <c r="C59" i="22"/>
  <c r="C63" i="22"/>
  <c r="C65" i="22"/>
  <c r="C66" i="22"/>
  <c r="C67" i="22"/>
  <c r="C68" i="22"/>
  <c r="C69" i="22"/>
  <c r="C70" i="22"/>
  <c r="C71" i="22"/>
  <c r="C72" i="22"/>
  <c r="C73" i="22"/>
  <c r="C74" i="22"/>
  <c r="C75" i="22"/>
  <c r="C76" i="22"/>
  <c r="C77" i="22"/>
  <c r="C78" i="22"/>
  <c r="C79" i="22"/>
  <c r="C80" i="22"/>
  <c r="C81" i="22"/>
  <c r="C82" i="22"/>
  <c r="C83" i="22"/>
  <c r="C84" i="22"/>
  <c r="C85" i="22"/>
  <c r="C86" i="22"/>
  <c r="C87" i="22"/>
  <c r="C88" i="22"/>
  <c r="C89" i="22"/>
  <c r="C90" i="22"/>
  <c r="C91" i="22"/>
  <c r="C92" i="22"/>
  <c r="C93" i="22"/>
  <c r="C94" i="22"/>
  <c r="C95" i="22"/>
  <c r="C96" i="22"/>
  <c r="C97" i="22"/>
  <c r="C98" i="22"/>
  <c r="C99" i="22"/>
  <c r="C100" i="22"/>
  <c r="C101" i="22"/>
  <c r="C103" i="22"/>
  <c r="C104" i="22"/>
  <c r="C105" i="22"/>
  <c r="C106" i="22"/>
  <c r="C107" i="22"/>
  <c r="C108" i="22"/>
  <c r="C109" i="22"/>
  <c r="C110" i="22"/>
  <c r="C111" i="22"/>
  <c r="C112" i="22"/>
  <c r="C113" i="22"/>
  <c r="C114" i="22"/>
  <c r="C115" i="22"/>
  <c r="C116" i="22"/>
  <c r="C117" i="22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9" i="22"/>
  <c r="C170" i="22"/>
  <c r="C171" i="22"/>
  <c r="C172" i="22"/>
  <c r="C173" i="22"/>
  <c r="C174" i="22"/>
  <c r="C175" i="22"/>
  <c r="C176" i="22"/>
  <c r="C177" i="22"/>
  <c r="C178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3" i="22"/>
  <c r="AK26" i="26"/>
  <c r="D26" i="26"/>
  <c r="G26" i="26"/>
  <c r="J26" i="26"/>
  <c r="M26" i="26"/>
  <c r="P26" i="26"/>
  <c r="S26" i="26"/>
  <c r="V26" i="26"/>
  <c r="Y26" i="26"/>
  <c r="AB26" i="26"/>
  <c r="AE26" i="26"/>
  <c r="AH26" i="26"/>
  <c r="B11" i="11"/>
  <c r="B12" i="11"/>
  <c r="B13" i="11"/>
  <c r="B15" i="11"/>
  <c r="B16" i="11"/>
  <c r="B19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B37" i="11"/>
  <c r="B38" i="11"/>
  <c r="B39" i="11"/>
  <c r="B40" i="11"/>
  <c r="B41" i="11"/>
  <c r="B42" i="11"/>
  <c r="B46" i="11"/>
  <c r="B47" i="11"/>
  <c r="B8" i="10"/>
  <c r="B9" i="10"/>
  <c r="B11" i="10"/>
  <c r="B13" i="10"/>
  <c r="B14" i="10"/>
  <c r="B15" i="10"/>
  <c r="B16" i="10"/>
  <c r="B17" i="10"/>
  <c r="B20" i="10"/>
  <c r="B21" i="10"/>
  <c r="B23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3" i="10"/>
  <c r="G56" i="22"/>
  <c r="I56" i="22" s="1"/>
  <c r="F73" i="22"/>
  <c r="J73" i="22" s="1"/>
  <c r="F34" i="22"/>
  <c r="H34" i="22" s="1"/>
  <c r="G16" i="22"/>
  <c r="I16" i="22" s="1"/>
  <c r="G140" i="22"/>
  <c r="K140" i="22" s="1"/>
  <c r="F19" i="22"/>
  <c r="H19" i="22" s="1"/>
  <c r="J14" i="161"/>
  <c r="J18" i="161" s="1"/>
  <c r="K18" i="161" s="1"/>
  <c r="AA34" i="74"/>
  <c r="F190" i="22"/>
  <c r="J190" i="22" s="1"/>
  <c r="F186" i="22"/>
  <c r="J186" i="22" s="1"/>
  <c r="F156" i="22"/>
  <c r="J156" i="22" s="1"/>
  <c r="G148" i="22"/>
  <c r="K148" i="22" s="1"/>
  <c r="G136" i="22"/>
  <c r="K136" i="22" s="1"/>
  <c r="F128" i="22"/>
  <c r="J128" i="22" s="1"/>
  <c r="G124" i="22"/>
  <c r="K124" i="22" s="1"/>
  <c r="G116" i="22"/>
  <c r="K116" i="22" s="1"/>
  <c r="G112" i="22"/>
  <c r="K112" i="22" s="1"/>
  <c r="G109" i="22"/>
  <c r="K109" i="22" s="1"/>
  <c r="G100" i="22"/>
  <c r="K100" i="22" s="1"/>
  <c r="F96" i="22"/>
  <c r="J96" i="22" s="1"/>
  <c r="F93" i="22"/>
  <c r="J93" i="22" s="1"/>
  <c r="G89" i="22"/>
  <c r="K89" i="22" s="1"/>
  <c r="F85" i="22"/>
  <c r="J85" i="22" s="1"/>
  <c r="G82" i="22"/>
  <c r="K82" i="22" s="1"/>
  <c r="F66" i="22"/>
  <c r="H66" i="22" s="1"/>
  <c r="G58" i="22"/>
  <c r="I58" i="22" s="1"/>
  <c r="G13" i="22"/>
  <c r="I13" i="22" s="1"/>
  <c r="F116" i="22"/>
  <c r="J116" i="22" s="1"/>
  <c r="F13" i="22"/>
  <c r="H13" i="22" s="1"/>
  <c r="G160" i="22"/>
  <c r="K160" i="22" s="1"/>
  <c r="F89" i="22"/>
  <c r="J89" i="22" s="1"/>
  <c r="F109" i="22"/>
  <c r="J109" i="22" s="1"/>
  <c r="G96" i="22"/>
  <c r="K96" i="22" s="1"/>
  <c r="G85" i="22"/>
  <c r="K85" i="22" s="1"/>
  <c r="G132" i="22"/>
  <c r="K132" i="22" s="1"/>
  <c r="F100" i="22"/>
  <c r="J100" i="22" s="1"/>
  <c r="F58" i="22"/>
  <c r="H58" i="22" s="1"/>
  <c r="G93" i="22"/>
  <c r="K93" i="22" s="1"/>
  <c r="G177" i="22"/>
  <c r="K177" i="22" s="1"/>
  <c r="F182" i="22"/>
  <c r="J182" i="22" s="1"/>
  <c r="F112" i="22"/>
  <c r="J112" i="22" s="1"/>
  <c r="F82" i="22"/>
  <c r="J82" i="22" s="1"/>
  <c r="G66" i="22"/>
  <c r="I66" i="22" s="1"/>
  <c r="G157" i="22"/>
  <c r="K157" i="22" s="1"/>
  <c r="G79" i="22"/>
  <c r="K79" i="22" s="1"/>
  <c r="F26" i="22"/>
  <c r="H26" i="22" s="1"/>
  <c r="G179" i="22"/>
  <c r="K179" i="22" s="1"/>
  <c r="G167" i="22"/>
  <c r="K167" i="22" s="1"/>
  <c r="F35" i="22"/>
  <c r="H35" i="22" s="1"/>
  <c r="F42" i="22"/>
  <c r="H42" i="22" s="1"/>
  <c r="F179" i="22"/>
  <c r="J179" i="22" s="1"/>
  <c r="G42" i="22"/>
  <c r="I42" i="22" s="1"/>
  <c r="G190" i="22"/>
  <c r="K190" i="22" s="1"/>
  <c r="F177" i="22"/>
  <c r="J177" i="22" s="1"/>
  <c r="G173" i="22"/>
  <c r="K173" i="22" s="1"/>
  <c r="F144" i="22"/>
  <c r="J144" i="22" s="1"/>
  <c r="F136" i="22"/>
  <c r="J136" i="22" s="1"/>
  <c r="F132" i="22"/>
  <c r="J132" i="22" s="1"/>
  <c r="G128" i="22"/>
  <c r="K128" i="22" s="1"/>
  <c r="F124" i="22"/>
  <c r="J124" i="22" s="1"/>
  <c r="G106" i="22"/>
  <c r="K106" i="22" s="1"/>
  <c r="F164" i="22"/>
  <c r="J164" i="22" s="1"/>
  <c r="G169" i="22"/>
  <c r="K169" i="22" s="1"/>
  <c r="G35" i="22"/>
  <c r="I35" i="22" s="1"/>
  <c r="F161" i="22"/>
  <c r="J161" i="22" s="1"/>
  <c r="F170" i="22"/>
  <c r="J170" i="22" s="1"/>
  <c r="G135" i="22"/>
  <c r="K135" i="22" s="1"/>
  <c r="G88" i="22"/>
  <c r="K88" i="22" s="1"/>
  <c r="G180" i="22"/>
  <c r="K180" i="22" s="1"/>
  <c r="F126" i="22"/>
  <c r="J126" i="22" s="1"/>
  <c r="G17" i="22"/>
  <c r="I17" i="22" s="1"/>
  <c r="F37" i="22"/>
  <c r="H37" i="22" s="1"/>
  <c r="E26" i="228" s="1"/>
  <c r="E27" i="228" s="1"/>
  <c r="F172" i="22"/>
  <c r="J172" i="22" s="1"/>
  <c r="F151" i="22"/>
  <c r="J151" i="22" s="1"/>
  <c r="F131" i="22"/>
  <c r="J131" i="22" s="1"/>
  <c r="F115" i="22"/>
  <c r="J115" i="22" s="1"/>
  <c r="G84" i="22"/>
  <c r="K84" i="22" s="1"/>
  <c r="G70" i="22"/>
  <c r="K70" i="22" s="1"/>
  <c r="G65" i="22"/>
  <c r="I65" i="22" s="1"/>
  <c r="G57" i="22"/>
  <c r="I57" i="22" s="1"/>
  <c r="G33" i="22"/>
  <c r="I33" i="22" s="1"/>
  <c r="F12" i="22"/>
  <c r="H12" i="22" s="1"/>
  <c r="G12" i="22"/>
  <c r="I12" i="22" s="1"/>
  <c r="G37" i="22"/>
  <c r="I37" i="22" s="1"/>
  <c r="F189" i="22"/>
  <c r="J189" i="22" s="1"/>
  <c r="F185" i="22"/>
  <c r="J185" i="22" s="1"/>
  <c r="F176" i="22"/>
  <c r="J176" i="22" s="1"/>
  <c r="G163" i="22"/>
  <c r="K163" i="22" s="1"/>
  <c r="F159" i="22"/>
  <c r="J159" i="22" s="1"/>
  <c r="F155" i="22"/>
  <c r="J155" i="22" s="1"/>
  <c r="G151" i="22"/>
  <c r="K151" i="22" s="1"/>
  <c r="F147" i="22"/>
  <c r="J147" i="22" s="1"/>
  <c r="F143" i="22"/>
  <c r="J143" i="22" s="1"/>
  <c r="F139" i="22"/>
  <c r="J139" i="22" s="1"/>
  <c r="F135" i="22"/>
  <c r="J135" i="22" s="1"/>
  <c r="G131" i="22"/>
  <c r="K131" i="22" s="1"/>
  <c r="G127" i="22"/>
  <c r="K127" i="22" s="1"/>
  <c r="G123" i="22"/>
  <c r="K123" i="22" s="1"/>
  <c r="G119" i="22"/>
  <c r="K119" i="22" s="1"/>
  <c r="G115" i="22"/>
  <c r="K115" i="22" s="1"/>
  <c r="F99" i="22"/>
  <c r="J99" i="22" s="1"/>
  <c r="G92" i="22"/>
  <c r="K92" i="22" s="1"/>
  <c r="F88" i="22"/>
  <c r="J88" i="22" s="1"/>
  <c r="F84" i="22"/>
  <c r="J84" i="22" s="1"/>
  <c r="G81" i="22"/>
  <c r="K81" i="22" s="1"/>
  <c r="G73" i="22"/>
  <c r="K73" i="22" s="1"/>
  <c r="F70" i="22"/>
  <c r="J70" i="22" s="1"/>
  <c r="F65" i="22"/>
  <c r="H65" i="22" s="1"/>
  <c r="F57" i="22"/>
  <c r="H57" i="22" s="1"/>
  <c r="F33" i="22"/>
  <c r="H33" i="22" s="1"/>
  <c r="G30" i="22"/>
  <c r="I30" i="22" s="1"/>
  <c r="G99" i="22"/>
  <c r="K99" i="22" s="1"/>
  <c r="G159" i="22"/>
  <c r="K159" i="22" s="1"/>
  <c r="F127" i="22"/>
  <c r="J127" i="22" s="1"/>
  <c r="F81" i="22"/>
  <c r="J81" i="22" s="1"/>
  <c r="G176" i="22"/>
  <c r="K176" i="22" s="1"/>
  <c r="F92" i="22"/>
  <c r="J92" i="22" s="1"/>
  <c r="F119" i="22"/>
  <c r="J119" i="22" s="1"/>
  <c r="G155" i="22"/>
  <c r="K155" i="22" s="1"/>
  <c r="F163" i="22"/>
  <c r="J163" i="22" s="1"/>
  <c r="G139" i="22"/>
  <c r="K139" i="22" s="1"/>
  <c r="F123" i="22"/>
  <c r="J123" i="22" s="1"/>
  <c r="G143" i="22"/>
  <c r="K143" i="22" s="1"/>
  <c r="G189" i="22"/>
  <c r="K189" i="22" s="1"/>
  <c r="F52" i="22"/>
  <c r="H52" i="22" s="1"/>
  <c r="F30" i="22"/>
  <c r="H30" i="22" s="1"/>
  <c r="G147" i="22"/>
  <c r="K147" i="22" s="1"/>
  <c r="F38" i="22"/>
  <c r="H38" i="22" s="1"/>
  <c r="G43" i="22"/>
  <c r="I43" i="22" s="1"/>
  <c r="F39" i="22"/>
  <c r="H39" i="22" s="1"/>
  <c r="G29" i="22"/>
  <c r="I29" i="22" s="1"/>
  <c r="F106" i="22"/>
  <c r="J106" i="22" s="1"/>
  <c r="F72" i="22"/>
  <c r="J72" i="22" s="1"/>
  <c r="F63" i="22"/>
  <c r="H63" i="22" s="1"/>
  <c r="G32" i="22"/>
  <c r="I32" i="22" s="1"/>
  <c r="F180" i="22"/>
  <c r="J180" i="22" s="1"/>
  <c r="G175" i="22"/>
  <c r="K175" i="22" s="1"/>
  <c r="G171" i="22"/>
  <c r="K171" i="22" s="1"/>
  <c r="G166" i="22"/>
  <c r="K166" i="22" s="1"/>
  <c r="F158" i="22"/>
  <c r="J158" i="22" s="1"/>
  <c r="F154" i="22"/>
  <c r="J154" i="22" s="1"/>
  <c r="G150" i="22"/>
  <c r="K150" i="22" s="1"/>
  <c r="F146" i="22"/>
  <c r="J146" i="22" s="1"/>
  <c r="G142" i="22"/>
  <c r="K142" i="22" s="1"/>
  <c r="F138" i="22"/>
  <c r="J138" i="22" s="1"/>
  <c r="G134" i="22"/>
  <c r="K134" i="22" s="1"/>
  <c r="G130" i="22"/>
  <c r="K130" i="22" s="1"/>
  <c r="G126" i="22"/>
  <c r="K126" i="22" s="1"/>
  <c r="G122" i="22"/>
  <c r="K122" i="22" s="1"/>
  <c r="F118" i="22"/>
  <c r="J118" i="22" s="1"/>
  <c r="F114" i="22"/>
  <c r="J114" i="22" s="1"/>
  <c r="F98" i="22"/>
  <c r="J98" i="22" s="1"/>
  <c r="G87" i="22"/>
  <c r="K87" i="22" s="1"/>
  <c r="F80" i="22"/>
  <c r="J80" i="22" s="1"/>
  <c r="G36" i="22"/>
  <c r="I36" i="22" s="1"/>
  <c r="G172" i="22"/>
  <c r="K172" i="22" s="1"/>
  <c r="F167" i="22"/>
  <c r="J167" i="22" s="1"/>
  <c r="G34" i="22"/>
  <c r="I34" i="22" s="1"/>
  <c r="F193" i="22"/>
  <c r="J193" i="22" s="1"/>
  <c r="F103" i="22"/>
  <c r="J103" i="22" s="1"/>
  <c r="F95" i="22"/>
  <c r="J95" i="22" s="1"/>
  <c r="F41" i="22"/>
  <c r="H41" i="22" s="1"/>
  <c r="G49" i="22"/>
  <c r="I49" i="22" s="1"/>
  <c r="F26" i="228" s="1"/>
  <c r="F27" i="228" s="1"/>
  <c r="G185" i="22"/>
  <c r="K185" i="22" s="1"/>
  <c r="F181" i="22"/>
  <c r="J181" i="22" s="1"/>
  <c r="F175" i="22"/>
  <c r="J175" i="22" s="1"/>
  <c r="G63" i="22"/>
  <c r="I63" i="22" s="1"/>
  <c r="G181" i="22"/>
  <c r="K181" i="22" s="1"/>
  <c r="F142" i="22"/>
  <c r="J142" i="22" s="1"/>
  <c r="F43" i="22"/>
  <c r="H43" i="22" s="1"/>
  <c r="G114" i="22"/>
  <c r="K114" i="22" s="1"/>
  <c r="G118" i="22"/>
  <c r="K118" i="22" s="1"/>
  <c r="G80" i="22"/>
  <c r="K80" i="22" s="1"/>
  <c r="G41" i="22"/>
  <c r="I41" i="22" s="1"/>
  <c r="F171" i="22"/>
  <c r="J171" i="22" s="1"/>
  <c r="F29" i="22"/>
  <c r="H29" i="22" s="1"/>
  <c r="F122" i="22"/>
  <c r="J122" i="22" s="1"/>
  <c r="G72" i="22"/>
  <c r="K72" i="22" s="1"/>
  <c r="F130" i="22"/>
  <c r="J130" i="22" s="1"/>
  <c r="G95" i="22"/>
  <c r="K95" i="22" s="1"/>
  <c r="F87" i="22"/>
  <c r="J87" i="22" s="1"/>
  <c r="G146" i="22"/>
  <c r="K146" i="22" s="1"/>
  <c r="F166" i="22"/>
  <c r="J166" i="22" s="1"/>
  <c r="G154" i="22"/>
  <c r="K154" i="22" s="1"/>
  <c r="G193" i="22"/>
  <c r="K193" i="22" s="1"/>
  <c r="F36" i="22"/>
  <c r="H36" i="22" s="1"/>
  <c r="G103" i="22"/>
  <c r="K103" i="22" s="1"/>
  <c r="G138" i="22"/>
  <c r="K138" i="22" s="1"/>
  <c r="G39" i="22"/>
  <c r="I39" i="22" s="1"/>
  <c r="F150" i="22"/>
  <c r="J150" i="22" s="1"/>
  <c r="F32" i="22"/>
  <c r="H32" i="22" s="1"/>
  <c r="F134" i="22"/>
  <c r="J134" i="22" s="1"/>
  <c r="F49" i="22"/>
  <c r="H49" i="22" s="1"/>
  <c r="G98" i="22"/>
  <c r="K98" i="22" s="1"/>
  <c r="G158" i="22"/>
  <c r="K158" i="22" s="1"/>
  <c r="F60" i="22"/>
  <c r="H60" i="22" s="1"/>
  <c r="G187" i="22"/>
  <c r="K187" i="22" s="1"/>
  <c r="G174" i="22"/>
  <c r="K174" i="22" s="1"/>
  <c r="G149" i="22"/>
  <c r="K149" i="22" s="1"/>
  <c r="F141" i="22"/>
  <c r="J141" i="22" s="1"/>
  <c r="F137" i="22"/>
  <c r="J137" i="22" s="1"/>
  <c r="G125" i="22"/>
  <c r="K125" i="22" s="1"/>
  <c r="G101" i="22"/>
  <c r="K101" i="22" s="1"/>
  <c r="G97" i="22"/>
  <c r="K97" i="22" s="1"/>
  <c r="F31" i="22"/>
  <c r="H31" i="22" s="1"/>
  <c r="G168" i="22"/>
  <c r="K168" i="22" s="1"/>
  <c r="F168" i="22"/>
  <c r="J168" i="22" s="1"/>
  <c r="F183" i="22"/>
  <c r="J183" i="22" s="1"/>
  <c r="G178" i="22"/>
  <c r="K178" i="22" s="1"/>
  <c r="F174" i="22"/>
  <c r="J174" i="22" s="1"/>
  <c r="G170" i="22"/>
  <c r="K170" i="22" s="1"/>
  <c r="G165" i="22"/>
  <c r="K165" i="22" s="1"/>
  <c r="G161" i="22"/>
  <c r="K161" i="22" s="1"/>
  <c r="F157" i="22"/>
  <c r="J157" i="22" s="1"/>
  <c r="F153" i="22"/>
  <c r="J153" i="22" s="1"/>
  <c r="F90" i="22"/>
  <c r="J90" i="22" s="1"/>
  <c r="F86" i="22"/>
  <c r="J86" i="22" s="1"/>
  <c r="F79" i="22"/>
  <c r="J79" i="22" s="1"/>
  <c r="G191" i="22"/>
  <c r="K191" i="22" s="1"/>
  <c r="F187" i="22"/>
  <c r="J187" i="22" s="1"/>
  <c r="F149" i="22"/>
  <c r="J149" i="22" s="1"/>
  <c r="G145" i="22"/>
  <c r="K145" i="22" s="1"/>
  <c r="G141" i="22"/>
  <c r="K141" i="22" s="1"/>
  <c r="G137" i="22"/>
  <c r="K137" i="22" s="1"/>
  <c r="G133" i="22"/>
  <c r="K133" i="22" s="1"/>
  <c r="F129" i="22"/>
  <c r="J129" i="22" s="1"/>
  <c r="F125" i="22"/>
  <c r="J125" i="22" s="1"/>
  <c r="F117" i="22"/>
  <c r="J117" i="22" s="1"/>
  <c r="F113" i="22"/>
  <c r="J113" i="22" s="1"/>
  <c r="F101" i="22"/>
  <c r="J101" i="22" s="1"/>
  <c r="F97" i="22"/>
  <c r="J97" i="22" s="1"/>
  <c r="F77" i="22"/>
  <c r="J77" i="22" s="1"/>
  <c r="F74" i="22"/>
  <c r="J74" i="22" s="1"/>
  <c r="F56" i="22"/>
  <c r="H56" i="22" s="1"/>
  <c r="G31" i="22"/>
  <c r="I31" i="22" s="1"/>
  <c r="G26" i="22"/>
  <c r="I26" i="22" s="1"/>
  <c r="F16" i="22"/>
  <c r="H16" i="22" s="1"/>
  <c r="G38" i="22"/>
  <c r="I38" i="22" s="1"/>
  <c r="G52" i="22"/>
  <c r="I52" i="22" s="1"/>
  <c r="F62" i="22"/>
  <c r="H62" i="22" s="1"/>
  <c r="G19" i="22"/>
  <c r="I19" i="22" s="1"/>
  <c r="F188" i="22"/>
  <c r="J188" i="22" s="1"/>
  <c r="F184" i="22"/>
  <c r="J184" i="22" s="1"/>
  <c r="G62" i="22"/>
  <c r="I62" i="22" s="1"/>
  <c r="G74" i="22"/>
  <c r="K74" i="22" s="1"/>
  <c r="F178" i="22"/>
  <c r="J178" i="22" s="1"/>
  <c r="F145" i="22"/>
  <c r="J145" i="22" s="1"/>
  <c r="G60" i="22"/>
  <c r="I60" i="22" s="1"/>
  <c r="G77" i="22"/>
  <c r="K77" i="22" s="1"/>
  <c r="G86" i="22"/>
  <c r="K86" i="22" s="1"/>
  <c r="G113" i="22"/>
  <c r="K113" i="22" s="1"/>
  <c r="G129" i="22"/>
  <c r="K129" i="22" s="1"/>
  <c r="G117" i="22"/>
  <c r="K117" i="22" s="1"/>
  <c r="G183" i="22"/>
  <c r="K183" i="22" s="1"/>
  <c r="F165" i="22"/>
  <c r="J165" i="22" s="1"/>
  <c r="G188" i="22"/>
  <c r="K188" i="22" s="1"/>
  <c r="G184" i="22"/>
  <c r="K184" i="22" s="1"/>
  <c r="G90" i="22"/>
  <c r="K90" i="22" s="1"/>
  <c r="F133" i="22"/>
  <c r="J133" i="22" s="1"/>
  <c r="G153" i="22"/>
  <c r="K153" i="22" s="1"/>
  <c r="F191" i="22"/>
  <c r="J191" i="22" s="1"/>
  <c r="F54" i="22"/>
  <c r="H54" i="22" s="1"/>
  <c r="G144" i="22"/>
  <c r="K144" i="22" s="1"/>
  <c r="G182" i="22"/>
  <c r="K182" i="22" s="1"/>
  <c r="F169" i="22"/>
  <c r="J169" i="22" s="1"/>
  <c r="F160" i="22"/>
  <c r="J160" i="22" s="1"/>
  <c r="F148" i="22"/>
  <c r="J148" i="22" s="1"/>
  <c r="G54" i="22"/>
  <c r="I54" i="22" s="1"/>
  <c r="F17" i="22"/>
  <c r="H17" i="22" s="1"/>
  <c r="F173" i="22"/>
  <c r="J173" i="22" s="1"/>
  <c r="G164" i="22"/>
  <c r="K164" i="22" s="1"/>
  <c r="F140" i="22"/>
  <c r="J140" i="22" s="1"/>
  <c r="G156" i="22"/>
  <c r="K156" i="22" s="1"/>
  <c r="G186" i="22"/>
  <c r="K186" i="22" s="1"/>
  <c r="F20" i="72" l="1"/>
  <c r="B30" i="167"/>
  <c r="B161" i="167"/>
  <c r="B173" i="167" s="1"/>
  <c r="B179" i="167" s="1"/>
  <c r="B200" i="167" s="1"/>
  <c r="B212" i="167" s="1"/>
  <c r="B215" i="167" s="1"/>
  <c r="B224" i="167" s="1"/>
  <c r="B230" i="167" s="1"/>
  <c r="B239" i="167" s="1"/>
  <c r="B260" i="167" s="1"/>
  <c r="B266" i="167" s="1"/>
  <c r="B278" i="167" s="1"/>
  <c r="B157" i="167"/>
  <c r="H157" i="167"/>
  <c r="H161" i="167"/>
  <c r="H173" i="167" s="1"/>
  <c r="H179" i="167" s="1"/>
  <c r="H200" i="167" s="1"/>
  <c r="H212" i="167" s="1"/>
  <c r="H215" i="167" s="1"/>
  <c r="H224" i="167" s="1"/>
  <c r="H230" i="167" s="1"/>
  <c r="H239" i="167" s="1"/>
  <c r="H260" i="167" s="1"/>
  <c r="H266" i="167" s="1"/>
  <c r="H278" i="167" s="1"/>
  <c r="A161" i="167"/>
  <c r="A173" i="167" s="1"/>
  <c r="A179" i="167" s="1"/>
  <c r="A200" i="167" s="1"/>
  <c r="A212" i="167" s="1"/>
  <c r="A215" i="167" s="1"/>
  <c r="A224" i="167" s="1"/>
  <c r="A230" i="167" s="1"/>
  <c r="A239" i="167" s="1"/>
  <c r="A260" i="167" s="1"/>
  <c r="A266" i="167" s="1"/>
  <c r="A278" i="167" s="1"/>
  <c r="A157" i="167"/>
  <c r="B879" i="167"/>
  <c r="A1918" i="167"/>
  <c r="A1919" i="167" s="1"/>
  <c r="A2431" i="167"/>
  <c r="B3374" i="167"/>
  <c r="A3380" i="167"/>
  <c r="B1918" i="167"/>
  <c r="B2431" i="167"/>
  <c r="B953" i="167"/>
  <c r="A959" i="167"/>
  <c r="B1062" i="167"/>
  <c r="A1078" i="167"/>
  <c r="H425" i="167"/>
  <c r="H426" i="167" s="1"/>
  <c r="H427" i="167" s="1"/>
  <c r="H428" i="167" s="1"/>
  <c r="H429" i="167" s="1"/>
  <c r="H430" i="167" s="1"/>
  <c r="H879" i="167"/>
  <c r="B4019" i="167"/>
  <c r="A4028" i="167"/>
  <c r="B1186" i="167"/>
  <c r="A1198" i="167"/>
  <c r="B3980" i="167"/>
  <c r="B941" i="167"/>
  <c r="A956" i="167"/>
  <c r="A879" i="167"/>
  <c r="E27" i="163"/>
  <c r="F21" i="163"/>
  <c r="F24" i="163" s="1"/>
  <c r="E24" i="163" s="1"/>
  <c r="F25" i="72"/>
  <c r="F33" i="72" s="1"/>
  <c r="K23" i="43"/>
  <c r="E18" i="17"/>
  <c r="G27" i="43"/>
  <c r="G29" i="43"/>
  <c r="H29" i="43" s="1"/>
  <c r="E61" i="22"/>
  <c r="G61" i="22" s="1"/>
  <c r="I61" i="22" s="1"/>
  <c r="E42" i="166"/>
  <c r="AG3" i="197"/>
  <c r="AD5" i="197"/>
  <c r="AD23" i="197" s="1"/>
  <c r="AD25" i="197" s="1"/>
  <c r="F70" i="72"/>
  <c r="E11" i="163"/>
  <c r="E27" i="22"/>
  <c r="G27" i="22" s="1"/>
  <c r="I27" i="22" s="1"/>
  <c r="H432" i="167"/>
  <c r="H433" i="167" s="1"/>
  <c r="H434" i="167" s="1"/>
  <c r="H435" i="167" s="1"/>
  <c r="H436" i="167" s="1"/>
  <c r="H437" i="167" s="1"/>
  <c r="H438" i="167" s="1"/>
  <c r="H439" i="167" s="1"/>
  <c r="H440" i="167" s="1"/>
  <c r="H441" i="167" s="1"/>
  <c r="H442" i="167" s="1"/>
  <c r="H443" i="167" s="1"/>
  <c r="H444" i="167" s="1"/>
  <c r="H445" i="167" s="1"/>
  <c r="H446" i="167" s="1"/>
  <c r="H447" i="167" s="1"/>
  <c r="H448" i="167" s="1"/>
  <c r="H449" i="167" s="1"/>
  <c r="H431" i="167"/>
  <c r="A259" i="166"/>
  <c r="A260" i="166" s="1"/>
  <c r="A261" i="166"/>
  <c r="B259" i="166"/>
  <c r="B262" i="166" s="1"/>
  <c r="B261" i="166"/>
  <c r="A262" i="166"/>
  <c r="E14" i="163"/>
  <c r="G13" i="163"/>
  <c r="E13" i="163" s="1"/>
  <c r="G20" i="72"/>
  <c r="G25" i="72" s="1"/>
  <c r="G33" i="72" s="1"/>
  <c r="H23" i="43"/>
  <c r="E23" i="43"/>
  <c r="C17" i="74"/>
  <c r="D26" i="43"/>
  <c r="E21" i="163"/>
  <c r="D24" i="15"/>
  <c r="E94" i="22"/>
  <c r="P30" i="8"/>
  <c r="P32" i="8"/>
  <c r="P31" i="8"/>
  <c r="P33" i="8"/>
  <c r="P17" i="8"/>
  <c r="D68" i="22"/>
  <c r="F15" i="163"/>
  <c r="E15" i="163" s="1"/>
  <c r="D11" i="16"/>
  <c r="C34" i="20"/>
  <c r="D34" i="20" s="1"/>
  <c r="E34" i="20" s="1"/>
  <c r="F34" i="20" s="1"/>
  <c r="G34" i="20" s="1"/>
  <c r="H34" i="20" s="1"/>
  <c r="I34" i="20" s="1"/>
  <c r="J34" i="20" s="1"/>
  <c r="K34" i="20" s="1"/>
  <c r="L34" i="20" s="1"/>
  <c r="M34" i="20" s="1"/>
  <c r="N34" i="20" s="1"/>
  <c r="F25" i="163"/>
  <c r="E25" i="163" s="1"/>
  <c r="D31" i="15"/>
  <c r="D28" i="15"/>
  <c r="C62" i="20"/>
  <c r="D62" i="20" s="1"/>
  <c r="E62" i="20" s="1"/>
  <c r="F62" i="20" s="1"/>
  <c r="G62" i="20" s="1"/>
  <c r="H62" i="20" s="1"/>
  <c r="I62" i="20" s="1"/>
  <c r="J62" i="20" s="1"/>
  <c r="K62" i="20" s="1"/>
  <c r="L62" i="20" s="1"/>
  <c r="M62" i="20" s="1"/>
  <c r="E67" i="22"/>
  <c r="E69" i="22"/>
  <c r="E78" i="22"/>
  <c r="E76" i="22"/>
  <c r="E83" i="22"/>
  <c r="E75" i="22"/>
  <c r="E162" i="22"/>
  <c r="F20" i="22"/>
  <c r="H20" i="22" s="1"/>
  <c r="E40" i="22"/>
  <c r="E51" i="22"/>
  <c r="E21" i="22"/>
  <c r="E23" i="22"/>
  <c r="E18" i="22"/>
  <c r="D29" i="8"/>
  <c r="H29" i="8"/>
  <c r="L29" i="8"/>
  <c r="E29" i="8"/>
  <c r="I29" i="8"/>
  <c r="M29" i="8"/>
  <c r="D21" i="22"/>
  <c r="D23" i="22"/>
  <c r="E192" i="22"/>
  <c r="F29" i="8"/>
  <c r="J29" i="8"/>
  <c r="N29" i="8"/>
  <c r="E11" i="22"/>
  <c r="E22" i="22"/>
  <c r="E111" i="22"/>
  <c r="D108" i="22"/>
  <c r="D22" i="22"/>
  <c r="E45" i="22"/>
  <c r="E44" i="22"/>
  <c r="G29" i="8"/>
  <c r="C23" i="25"/>
  <c r="P11" i="8"/>
  <c r="P24" i="8"/>
  <c r="P39" i="8"/>
  <c r="D69" i="20"/>
  <c r="C8" i="16"/>
  <c r="D3" i="26"/>
  <c r="F53" i="72"/>
  <c r="F71" i="72"/>
  <c r="F87" i="72" s="1"/>
  <c r="F104" i="72" s="1"/>
  <c r="E23" i="15"/>
  <c r="E26" i="163"/>
  <c r="B19" i="163"/>
  <c r="B21" i="163" s="1"/>
  <c r="B22" i="163" s="1"/>
  <c r="B18" i="163"/>
  <c r="B20" i="163" s="1"/>
  <c r="A19" i="163"/>
  <c r="A21" i="163" s="1"/>
  <c r="A22" i="163" s="1"/>
  <c r="A18" i="163"/>
  <c r="A20" i="163" s="1"/>
  <c r="G71" i="72"/>
  <c r="G87" i="72" s="1"/>
  <c r="G104" i="72" s="1"/>
  <c r="G53" i="72"/>
  <c r="P35" i="43"/>
  <c r="P37" i="43" s="1"/>
  <c r="O37" i="43"/>
  <c r="F69" i="20"/>
  <c r="P20" i="8"/>
  <c r="H69" i="20"/>
  <c r="E69" i="20"/>
  <c r="G69" i="20"/>
  <c r="P128" i="12"/>
  <c r="R128" i="12" s="1"/>
  <c r="R125" i="12" s="1"/>
  <c r="P38" i="43"/>
  <c r="C19" i="10" l="1"/>
  <c r="C35" i="10"/>
  <c r="N62" i="20"/>
  <c r="F28" i="18" s="1"/>
  <c r="B956" i="167"/>
  <c r="A971" i="167"/>
  <c r="B1198" i="167"/>
  <c r="A1246" i="167"/>
  <c r="H880" i="167"/>
  <c r="H881" i="167" s="1"/>
  <c r="H882" i="167" s="1"/>
  <c r="H883" i="167" s="1"/>
  <c r="H884" i="167" s="1"/>
  <c r="H885" i="167" s="1"/>
  <c r="H1438" i="167"/>
  <c r="B959" i="167"/>
  <c r="A965" i="167"/>
  <c r="B3380" i="167"/>
  <c r="A3386" i="167"/>
  <c r="B1438" i="167"/>
  <c r="H315" i="167"/>
  <c r="H318" i="167" s="1"/>
  <c r="H308" i="167"/>
  <c r="A1438" i="167"/>
  <c r="B4028" i="167"/>
  <c r="A4037" i="167"/>
  <c r="B4037" i="167" s="1"/>
  <c r="B1078" i="167"/>
  <c r="A1084" i="167"/>
  <c r="B2432" i="167"/>
  <c r="B2433" i="167" s="1"/>
  <c r="B2958" i="167"/>
  <c r="A2432" i="167"/>
  <c r="A2433" i="167" s="1"/>
  <c r="A2958" i="167"/>
  <c r="B1919" i="167"/>
  <c r="A315" i="167"/>
  <c r="A318" i="167" s="1"/>
  <c r="A308" i="167"/>
  <c r="B315" i="167"/>
  <c r="B318" i="167" s="1"/>
  <c r="B308" i="167"/>
  <c r="F61" i="22"/>
  <c r="H61" i="22" s="1"/>
  <c r="AJ3" i="197"/>
  <c r="AG5" i="197"/>
  <c r="AG23" i="197" s="1"/>
  <c r="AG25" i="197" s="1"/>
  <c r="B26" i="43"/>
  <c r="F27" i="22"/>
  <c r="H27" i="22" s="1"/>
  <c r="B260" i="166"/>
  <c r="G19" i="10" s="1"/>
  <c r="F108" i="22"/>
  <c r="J108" i="22" s="1"/>
  <c r="G67" i="22"/>
  <c r="I67" i="22" s="1"/>
  <c r="F67" i="22"/>
  <c r="H67" i="22" s="1"/>
  <c r="F94" i="22"/>
  <c r="J94" i="22" s="1"/>
  <c r="G94" i="22"/>
  <c r="K94" i="22" s="1"/>
  <c r="D5" i="26"/>
  <c r="D29" i="26" s="1"/>
  <c r="G3" i="26"/>
  <c r="J3" i="26" s="1"/>
  <c r="F22" i="22"/>
  <c r="H22" i="22" s="1"/>
  <c r="C29" i="8"/>
  <c r="P29" i="8" s="1"/>
  <c r="F68" i="22"/>
  <c r="H68" i="22" s="1"/>
  <c r="G68" i="22"/>
  <c r="I68" i="22" s="1"/>
  <c r="G83" i="22"/>
  <c r="K83" i="22" s="1"/>
  <c r="F83" i="22"/>
  <c r="J83" i="22" s="1"/>
  <c r="G78" i="22"/>
  <c r="K78" i="22" s="1"/>
  <c r="F78" i="22"/>
  <c r="J78" i="22" s="1"/>
  <c r="F75" i="22"/>
  <c r="J75" i="22" s="1"/>
  <c r="G75" i="22"/>
  <c r="K75" i="22" s="1"/>
  <c r="F76" i="22"/>
  <c r="J76" i="22" s="1"/>
  <c r="G76" i="22"/>
  <c r="K76" i="22" s="1"/>
  <c r="F69" i="22"/>
  <c r="J69" i="22" s="1"/>
  <c r="G69" i="22"/>
  <c r="K69" i="22" s="1"/>
  <c r="F23" i="22"/>
  <c r="F21" i="22"/>
  <c r="H21" i="22" s="1"/>
  <c r="G108" i="22"/>
  <c r="K108" i="22" s="1"/>
  <c r="D104" i="22"/>
  <c r="F192" i="22"/>
  <c r="J192" i="22" s="1"/>
  <c r="G192" i="22"/>
  <c r="K192" i="22" s="1"/>
  <c r="D107" i="22"/>
  <c r="F44" i="22"/>
  <c r="H44" i="22" s="1"/>
  <c r="G44" i="22"/>
  <c r="I44" i="22" s="1"/>
  <c r="G22" i="22"/>
  <c r="I22" i="22" s="1"/>
  <c r="D24" i="22"/>
  <c r="D105" i="22"/>
  <c r="G11" i="22"/>
  <c r="I11" i="22" s="1"/>
  <c r="F11" i="22"/>
  <c r="H11" i="22" s="1"/>
  <c r="E46" i="22"/>
  <c r="F51" i="22"/>
  <c r="H51" i="22" s="1"/>
  <c r="G51" i="22"/>
  <c r="I51" i="22" s="1"/>
  <c r="D25" i="22"/>
  <c r="G18" i="22"/>
  <c r="I18" i="22" s="1"/>
  <c r="F18" i="22"/>
  <c r="H18" i="22" s="1"/>
  <c r="F111" i="22"/>
  <c r="J111" i="22" s="1"/>
  <c r="G111" i="22"/>
  <c r="K111" i="22" s="1"/>
  <c r="G21" i="22"/>
  <c r="I21" i="22" s="1"/>
  <c r="A24" i="163"/>
  <c r="A23" i="163"/>
  <c r="B24" i="163"/>
  <c r="B23" i="163"/>
  <c r="P39" i="43"/>
  <c r="I69" i="20"/>
  <c r="G23" i="22"/>
  <c r="I23" i="22" s="1"/>
  <c r="N19" i="10" l="1"/>
  <c r="L19" i="10"/>
  <c r="I19" i="10"/>
  <c r="D19" i="10"/>
  <c r="E19" i="10"/>
  <c r="K19" i="10"/>
  <c r="J19" i="10"/>
  <c r="M19" i="10"/>
  <c r="F19" i="10"/>
  <c r="H19" i="10"/>
  <c r="H887" i="167"/>
  <c r="H888" i="167" s="1"/>
  <c r="H889" i="167" s="1"/>
  <c r="H890" i="167" s="1"/>
  <c r="H891" i="167" s="1"/>
  <c r="H892" i="167" s="1"/>
  <c r="H893" i="167" s="1"/>
  <c r="H894" i="167" s="1"/>
  <c r="H895" i="167" s="1"/>
  <c r="H896" i="167" s="1"/>
  <c r="H897" i="167" s="1"/>
  <c r="H898" i="167" s="1"/>
  <c r="H899" i="167" s="1"/>
  <c r="H900" i="167" s="1"/>
  <c r="H901" i="167" s="1"/>
  <c r="H902" i="167" s="1"/>
  <c r="H903" i="167" s="1"/>
  <c r="H904" i="167" s="1"/>
  <c r="H886" i="167"/>
  <c r="A2959" i="167"/>
  <c r="A2960" i="167" s="1"/>
  <c r="A3507" i="167"/>
  <c r="B1935" i="167"/>
  <c r="B965" i="167"/>
  <c r="A968" i="167"/>
  <c r="B1246" i="167"/>
  <c r="A1249" i="167"/>
  <c r="B348" i="167"/>
  <c r="B354" i="167" s="1"/>
  <c r="B357" i="167" s="1"/>
  <c r="B360" i="167" s="1"/>
  <c r="B366" i="167" s="1"/>
  <c r="B385" i="167" s="1"/>
  <c r="B344" i="167"/>
  <c r="B1084" i="167"/>
  <c r="A1111" i="167"/>
  <c r="A1935" i="167"/>
  <c r="B3386" i="167"/>
  <c r="A3392" i="167"/>
  <c r="H1439" i="167"/>
  <c r="H1440" i="167" s="1"/>
  <c r="H1441" i="167" s="1"/>
  <c r="H1442" i="167" s="1"/>
  <c r="H1443" i="167" s="1"/>
  <c r="H1935" i="167"/>
  <c r="B971" i="167"/>
  <c r="A974" i="167"/>
  <c r="A344" i="167"/>
  <c r="A348" i="167"/>
  <c r="A354" i="167" s="1"/>
  <c r="A357" i="167" s="1"/>
  <c r="A360" i="167" s="1"/>
  <c r="A366" i="167" s="1"/>
  <c r="A385" i="167" s="1"/>
  <c r="B2959" i="167"/>
  <c r="B3507" i="167"/>
  <c r="H344" i="167"/>
  <c r="H348" i="167"/>
  <c r="H354" i="167" s="1"/>
  <c r="H357" i="167" s="1"/>
  <c r="H360" i="167" s="1"/>
  <c r="H366" i="167" s="1"/>
  <c r="H385" i="167" s="1"/>
  <c r="C45" i="11"/>
  <c r="D45" i="11" s="1"/>
  <c r="E45" i="11" s="1"/>
  <c r="F45" i="11" s="1"/>
  <c r="G45" i="11" s="1"/>
  <c r="H45" i="11" s="1"/>
  <c r="I45" i="11" s="1"/>
  <c r="J45" i="11" s="1"/>
  <c r="K45" i="11" s="1"/>
  <c r="L45" i="11" s="1"/>
  <c r="M45" i="11" s="1"/>
  <c r="N45" i="11" s="1"/>
  <c r="F73" i="10"/>
  <c r="C47" i="11"/>
  <c r="H23" i="22"/>
  <c r="C37" i="11"/>
  <c r="D37" i="11" s="1"/>
  <c r="E37" i="11" s="1"/>
  <c r="F37" i="11" s="1"/>
  <c r="G37" i="11" s="1"/>
  <c r="H37" i="11" s="1"/>
  <c r="H15" i="10"/>
  <c r="C13" i="10"/>
  <c r="E22" i="10"/>
  <c r="C75" i="10"/>
  <c r="L22" i="10"/>
  <c r="K22" i="10"/>
  <c r="G22" i="10"/>
  <c r="M22" i="10"/>
  <c r="J22" i="10"/>
  <c r="F22" i="10"/>
  <c r="C43" i="11"/>
  <c r="D43" i="11" s="1"/>
  <c r="E43" i="11" s="1"/>
  <c r="F43" i="11" s="1"/>
  <c r="G43" i="11" s="1"/>
  <c r="H43" i="11" s="1"/>
  <c r="I43" i="11" s="1"/>
  <c r="J43" i="11" s="1"/>
  <c r="K43" i="11" s="1"/>
  <c r="L43" i="11" s="1"/>
  <c r="M43" i="11" s="1"/>
  <c r="N43" i="11" s="1"/>
  <c r="D22" i="10"/>
  <c r="H22" i="10"/>
  <c r="C22" i="10"/>
  <c r="I22" i="10"/>
  <c r="AM3" i="197"/>
  <c r="AM5" i="197" s="1"/>
  <c r="AM23" i="197" s="1"/>
  <c r="AJ5" i="197"/>
  <c r="AJ23" i="197" s="1"/>
  <c r="AJ25" i="197" s="1"/>
  <c r="B27" i="43"/>
  <c r="H27" i="43" s="1"/>
  <c r="D27" i="43"/>
  <c r="E103" i="10"/>
  <c r="E102" i="10" s="1"/>
  <c r="E132" i="12" s="1"/>
  <c r="M98" i="10"/>
  <c r="I97" i="10"/>
  <c r="E96" i="10"/>
  <c r="M94" i="10"/>
  <c r="I93" i="10"/>
  <c r="E92" i="10"/>
  <c r="M90" i="10"/>
  <c r="I89" i="10"/>
  <c r="E88" i="10"/>
  <c r="M86" i="10"/>
  <c r="I85" i="10"/>
  <c r="E84" i="10"/>
  <c r="M82" i="10"/>
  <c r="I81" i="10"/>
  <c r="E80" i="10"/>
  <c r="M78" i="10"/>
  <c r="I77" i="10"/>
  <c r="E76" i="10"/>
  <c r="D103" i="10"/>
  <c r="D102" i="10" s="1"/>
  <c r="D132" i="12" s="1"/>
  <c r="L98" i="10"/>
  <c r="H97" i="10"/>
  <c r="D96" i="10"/>
  <c r="L94" i="10"/>
  <c r="H93" i="10"/>
  <c r="D92" i="10"/>
  <c r="L90" i="10"/>
  <c r="H89" i="10"/>
  <c r="D88" i="10"/>
  <c r="L86" i="10"/>
  <c r="H85" i="10"/>
  <c r="D84" i="10"/>
  <c r="L82" i="10"/>
  <c r="H81" i="10"/>
  <c r="D80" i="10"/>
  <c r="L78" i="10"/>
  <c r="H77" i="10"/>
  <c r="G103" i="10"/>
  <c r="G102" i="10" s="1"/>
  <c r="G132" i="12" s="1"/>
  <c r="C99" i="10"/>
  <c r="K97" i="10"/>
  <c r="G96" i="10"/>
  <c r="C95" i="10"/>
  <c r="K93" i="10"/>
  <c r="G92" i="10"/>
  <c r="C91" i="10"/>
  <c r="K89" i="10"/>
  <c r="G88" i="10"/>
  <c r="C87" i="10"/>
  <c r="K85" i="10"/>
  <c r="G84" i="10"/>
  <c r="C83" i="10"/>
  <c r="K81" i="10"/>
  <c r="G80" i="10"/>
  <c r="C79" i="10"/>
  <c r="K77" i="10"/>
  <c r="J96" i="10"/>
  <c r="F91" i="10"/>
  <c r="N85" i="10"/>
  <c r="J80" i="10"/>
  <c r="J76" i="10"/>
  <c r="K74" i="10"/>
  <c r="G73" i="10"/>
  <c r="C72" i="10"/>
  <c r="K70" i="10"/>
  <c r="G69" i="10"/>
  <c r="C68" i="10"/>
  <c r="K66" i="10"/>
  <c r="G65" i="10"/>
  <c r="C64" i="10"/>
  <c r="K62" i="10"/>
  <c r="G61" i="10"/>
  <c r="C60" i="10"/>
  <c r="K58" i="10"/>
  <c r="G57" i="10"/>
  <c r="C56" i="10"/>
  <c r="K54" i="10"/>
  <c r="G53" i="10"/>
  <c r="C52" i="10"/>
  <c r="K50" i="10"/>
  <c r="G49" i="10"/>
  <c r="C48" i="10"/>
  <c r="C11" i="11"/>
  <c r="M103" i="10"/>
  <c r="M102" i="10" s="1"/>
  <c r="M132" i="12" s="1"/>
  <c r="I99" i="10"/>
  <c r="E98" i="10"/>
  <c r="M96" i="10"/>
  <c r="I95" i="10"/>
  <c r="E94" i="10"/>
  <c r="M92" i="10"/>
  <c r="I91" i="10"/>
  <c r="E90" i="10"/>
  <c r="M88" i="10"/>
  <c r="I87" i="10"/>
  <c r="E86" i="10"/>
  <c r="M84" i="10"/>
  <c r="I83" i="10"/>
  <c r="E82" i="10"/>
  <c r="M80" i="10"/>
  <c r="I79" i="10"/>
  <c r="E78" i="10"/>
  <c r="M76" i="10"/>
  <c r="L103" i="10"/>
  <c r="L102" i="10" s="1"/>
  <c r="L132" i="12" s="1"/>
  <c r="H99" i="10"/>
  <c r="D98" i="10"/>
  <c r="L96" i="10"/>
  <c r="H95" i="10"/>
  <c r="M99" i="10"/>
  <c r="E97" i="10"/>
  <c r="I94" i="10"/>
  <c r="M91" i="10"/>
  <c r="E89" i="10"/>
  <c r="I86" i="10"/>
  <c r="M83" i="10"/>
  <c r="E81" i="10"/>
  <c r="I78" i="10"/>
  <c r="M75" i="10"/>
  <c r="H98" i="10"/>
  <c r="L95" i="10"/>
  <c r="L93" i="10"/>
  <c r="L91" i="10"/>
  <c r="D90" i="10"/>
  <c r="H88" i="10"/>
  <c r="H86" i="10"/>
  <c r="L84" i="10"/>
  <c r="D83" i="10"/>
  <c r="D81" i="10"/>
  <c r="H79" i="10"/>
  <c r="L77" i="10"/>
  <c r="C103" i="10"/>
  <c r="G98" i="10"/>
  <c r="K96" i="10"/>
  <c r="K94" i="10"/>
  <c r="C93" i="10"/>
  <c r="G91" i="10"/>
  <c r="G89" i="10"/>
  <c r="K87" i="10"/>
  <c r="C86" i="10"/>
  <c r="C84" i="10"/>
  <c r="G82" i="10"/>
  <c r="E99" i="10"/>
  <c r="I96" i="10"/>
  <c r="M93" i="10"/>
  <c r="E91" i="10"/>
  <c r="I88" i="10"/>
  <c r="M85" i="10"/>
  <c r="E83" i="10"/>
  <c r="I80" i="10"/>
  <c r="M77" i="10"/>
  <c r="H103" i="10"/>
  <c r="H102" i="10" s="1"/>
  <c r="H132" i="12" s="1"/>
  <c r="L97" i="10"/>
  <c r="D95" i="10"/>
  <c r="D93" i="10"/>
  <c r="H91" i="10"/>
  <c r="L89" i="10"/>
  <c r="L87" i="10"/>
  <c r="D86" i="10"/>
  <c r="H84" i="10"/>
  <c r="H82" i="10"/>
  <c r="L80" i="10"/>
  <c r="D79" i="10"/>
  <c r="D77" i="10"/>
  <c r="K99" i="10"/>
  <c r="C98" i="10"/>
  <c r="C96" i="10"/>
  <c r="G94" i="10"/>
  <c r="K92" i="10"/>
  <c r="K90" i="10"/>
  <c r="C89" i="10"/>
  <c r="G87" i="10"/>
  <c r="G85" i="10"/>
  <c r="K83" i="10"/>
  <c r="C82" i="10"/>
  <c r="C80" i="10"/>
  <c r="G78" i="10"/>
  <c r="N97" i="10"/>
  <c r="N89" i="10"/>
  <c r="F83" i="10"/>
  <c r="C77" i="10"/>
  <c r="G74" i="10"/>
  <c r="K72" i="10"/>
  <c r="C71" i="10"/>
  <c r="C69" i="10"/>
  <c r="G67" i="10"/>
  <c r="K65" i="10"/>
  <c r="K63" i="10"/>
  <c r="C62" i="10"/>
  <c r="G60" i="10"/>
  <c r="G58" i="10"/>
  <c r="K56" i="10"/>
  <c r="C55" i="10"/>
  <c r="C53" i="10"/>
  <c r="G51" i="10"/>
  <c r="K49" i="10"/>
  <c r="K47" i="10"/>
  <c r="G46" i="10"/>
  <c r="C45" i="10"/>
  <c r="K43" i="10"/>
  <c r="G42" i="10"/>
  <c r="C41" i="10"/>
  <c r="F96" i="10"/>
  <c r="N90" i="10"/>
  <c r="J85" i="10"/>
  <c r="F80" i="10"/>
  <c r="H76" i="10"/>
  <c r="N74" i="10"/>
  <c r="J73" i="10"/>
  <c r="F72" i="10"/>
  <c r="N70" i="10"/>
  <c r="J69" i="10"/>
  <c r="F68" i="10"/>
  <c r="N66" i="10"/>
  <c r="F64" i="10"/>
  <c r="N62" i="10"/>
  <c r="J61" i="10"/>
  <c r="F60" i="10"/>
  <c r="N58" i="10"/>
  <c r="J57" i="10"/>
  <c r="F56" i="10"/>
  <c r="N54" i="10"/>
  <c r="J53" i="10"/>
  <c r="F52" i="10"/>
  <c r="I103" i="10"/>
  <c r="I102" i="10" s="1"/>
  <c r="I132" i="12" s="1"/>
  <c r="M97" i="10"/>
  <c r="E95" i="10"/>
  <c r="I92" i="10"/>
  <c r="M89" i="10"/>
  <c r="E87" i="10"/>
  <c r="I84" i="10"/>
  <c r="M81" i="10"/>
  <c r="E79" i="10"/>
  <c r="I76" i="10"/>
  <c r="D99" i="10"/>
  <c r="H96" i="10"/>
  <c r="D94" i="10"/>
  <c r="H92" i="10"/>
  <c r="H90" i="10"/>
  <c r="L88" i="10"/>
  <c r="D87" i="10"/>
  <c r="D85" i="10"/>
  <c r="H83" i="10"/>
  <c r="L81" i="10"/>
  <c r="L79" i="10"/>
  <c r="D78" i="10"/>
  <c r="K103" i="10"/>
  <c r="K102" i="10" s="1"/>
  <c r="K132" i="12" s="1"/>
  <c r="K98" i="10"/>
  <c r="C97" i="10"/>
  <c r="G95" i="10"/>
  <c r="G93" i="10"/>
  <c r="K91" i="10"/>
  <c r="C90" i="10"/>
  <c r="C88" i="10"/>
  <c r="G86" i="10"/>
  <c r="K84" i="10"/>
  <c r="K82" i="10"/>
  <c r="C81" i="10"/>
  <c r="G79" i="10"/>
  <c r="J103" i="10"/>
  <c r="J102" i="10" s="1"/>
  <c r="J132" i="12" s="1"/>
  <c r="N93" i="10"/>
  <c r="F87" i="10"/>
  <c r="F79" i="10"/>
  <c r="K75" i="10"/>
  <c r="K73" i="10"/>
  <c r="K71" i="10"/>
  <c r="C70" i="10"/>
  <c r="G68" i="10"/>
  <c r="G66" i="10"/>
  <c r="K64" i="10"/>
  <c r="C63" i="10"/>
  <c r="C61" i="10"/>
  <c r="G59" i="10"/>
  <c r="K57" i="10"/>
  <c r="K55" i="10"/>
  <c r="C54" i="10"/>
  <c r="G52" i="10"/>
  <c r="G50" i="10"/>
  <c r="K48" i="10"/>
  <c r="C47" i="10"/>
  <c r="K45" i="10"/>
  <c r="G44" i="10"/>
  <c r="C43" i="10"/>
  <c r="K41" i="10"/>
  <c r="N98" i="10"/>
  <c r="J93" i="10"/>
  <c r="F88" i="10"/>
  <c r="N82" i="10"/>
  <c r="J77" i="10"/>
  <c r="J75" i="10"/>
  <c r="F74" i="10"/>
  <c r="N72" i="10"/>
  <c r="J71" i="10"/>
  <c r="F70" i="10"/>
  <c r="N68" i="10"/>
  <c r="J67" i="10"/>
  <c r="F66" i="10"/>
  <c r="N64" i="10"/>
  <c r="J63" i="10"/>
  <c r="F62" i="10"/>
  <c r="N60" i="10"/>
  <c r="J59" i="10"/>
  <c r="F58" i="10"/>
  <c r="N56" i="10"/>
  <c r="J55" i="10"/>
  <c r="F54" i="10"/>
  <c r="N52" i="10"/>
  <c r="J51" i="10"/>
  <c r="F50" i="10"/>
  <c r="M95" i="10"/>
  <c r="E85" i="10"/>
  <c r="L99" i="10"/>
  <c r="D91" i="10"/>
  <c r="L83" i="10"/>
  <c r="C59" i="11"/>
  <c r="D59" i="11" s="1"/>
  <c r="E59" i="11" s="1"/>
  <c r="F59" i="11" s="1"/>
  <c r="G59" i="11" s="1"/>
  <c r="H59" i="11" s="1"/>
  <c r="I59" i="11" s="1"/>
  <c r="C94" i="10"/>
  <c r="K86" i="10"/>
  <c r="K80" i="10"/>
  <c r="F99" i="10"/>
  <c r="J84" i="10"/>
  <c r="G75" i="10"/>
  <c r="G71" i="10"/>
  <c r="K67" i="10"/>
  <c r="G64" i="10"/>
  <c r="K60" i="10"/>
  <c r="C57" i="10"/>
  <c r="K53" i="10"/>
  <c r="C50" i="10"/>
  <c r="K46" i="10"/>
  <c r="C44" i="10"/>
  <c r="G41" i="10"/>
  <c r="F92" i="10"/>
  <c r="J81" i="10"/>
  <c r="F75" i="10"/>
  <c r="J72" i="10"/>
  <c r="N69" i="10"/>
  <c r="F67" i="10"/>
  <c r="J64" i="10"/>
  <c r="N61" i="10"/>
  <c r="F59" i="10"/>
  <c r="J56" i="10"/>
  <c r="N53" i="10"/>
  <c r="F51" i="10"/>
  <c r="J49" i="10"/>
  <c r="F48" i="10"/>
  <c r="N46" i="10"/>
  <c r="J45" i="10"/>
  <c r="F44" i="10"/>
  <c r="N42" i="10"/>
  <c r="J41" i="10"/>
  <c r="F40" i="10"/>
  <c r="N99" i="10"/>
  <c r="J94" i="10"/>
  <c r="F89" i="10"/>
  <c r="N83" i="10"/>
  <c r="J78" i="10"/>
  <c r="I74" i="10"/>
  <c r="E73" i="10"/>
  <c r="M71" i="10"/>
  <c r="I70" i="10"/>
  <c r="E69" i="10"/>
  <c r="M67" i="10"/>
  <c r="I66" i="10"/>
  <c r="E65" i="10"/>
  <c r="M63" i="10"/>
  <c r="I62" i="10"/>
  <c r="E61" i="10"/>
  <c r="M59" i="10"/>
  <c r="I58" i="10"/>
  <c r="E57" i="10"/>
  <c r="M55" i="10"/>
  <c r="I54" i="10"/>
  <c r="E53" i="10"/>
  <c r="M51" i="10"/>
  <c r="I50" i="10"/>
  <c r="E49" i="10"/>
  <c r="M47" i="10"/>
  <c r="I46" i="10"/>
  <c r="E45" i="10"/>
  <c r="M43" i="10"/>
  <c r="I42" i="10"/>
  <c r="E41" i="10"/>
  <c r="M39" i="10"/>
  <c r="I38" i="10"/>
  <c r="E37" i="10"/>
  <c r="M35" i="10"/>
  <c r="I34" i="10"/>
  <c r="F90" i="10"/>
  <c r="L74" i="10"/>
  <c r="H69" i="10"/>
  <c r="D64" i="10"/>
  <c r="L58" i="10"/>
  <c r="E93" i="10"/>
  <c r="I82" i="10"/>
  <c r="D97" i="10"/>
  <c r="D89" i="10"/>
  <c r="D82" i="10"/>
  <c r="G99" i="10"/>
  <c r="C92" i="10"/>
  <c r="C85" i="10"/>
  <c r="K79" i="10"/>
  <c r="F95" i="10"/>
  <c r="N81" i="10"/>
  <c r="C74" i="10"/>
  <c r="G70" i="10"/>
  <c r="C67" i="10"/>
  <c r="G63" i="10"/>
  <c r="K59" i="10"/>
  <c r="G56" i="10"/>
  <c r="K52" i="10"/>
  <c r="C49" i="10"/>
  <c r="C46" i="10"/>
  <c r="G43" i="10"/>
  <c r="F103" i="10"/>
  <c r="F102" i="10" s="1"/>
  <c r="F132" i="12" s="1"/>
  <c r="J89" i="10"/>
  <c r="N78" i="10"/>
  <c r="J74" i="10"/>
  <c r="N71" i="10"/>
  <c r="F69" i="10"/>
  <c r="J66" i="10"/>
  <c r="N63" i="10"/>
  <c r="F61" i="10"/>
  <c r="J58" i="10"/>
  <c r="N55" i="10"/>
  <c r="F53" i="10"/>
  <c r="N50" i="10"/>
  <c r="F49" i="10"/>
  <c r="N47" i="10"/>
  <c r="J46" i="10"/>
  <c r="F45" i="10"/>
  <c r="N43" i="10"/>
  <c r="J42" i="10"/>
  <c r="F41" i="10"/>
  <c r="N39" i="10"/>
  <c r="J98" i="10"/>
  <c r="F93" i="10"/>
  <c r="N87" i="10"/>
  <c r="J82" i="10"/>
  <c r="G77" i="10"/>
  <c r="I75" i="10"/>
  <c r="E74" i="10"/>
  <c r="M72" i="10"/>
  <c r="I71" i="10"/>
  <c r="E70" i="10"/>
  <c r="M68" i="10"/>
  <c r="I67" i="10"/>
  <c r="E66" i="10"/>
  <c r="M64" i="10"/>
  <c r="I63" i="10"/>
  <c r="E62" i="10"/>
  <c r="M60" i="10"/>
  <c r="I59" i="10"/>
  <c r="E58" i="10"/>
  <c r="M56" i="10"/>
  <c r="I55" i="10"/>
  <c r="E54" i="10"/>
  <c r="M52" i="10"/>
  <c r="I51" i="10"/>
  <c r="E50" i="10"/>
  <c r="M48" i="10"/>
  <c r="I47" i="10"/>
  <c r="E46" i="10"/>
  <c r="M44" i="10"/>
  <c r="I43" i="10"/>
  <c r="E42" i="10"/>
  <c r="M40" i="10"/>
  <c r="I39" i="10"/>
  <c r="E38" i="10"/>
  <c r="I35" i="10"/>
  <c r="E34" i="10"/>
  <c r="N84" i="10"/>
  <c r="H73" i="10"/>
  <c r="D68" i="10"/>
  <c r="L62" i="10"/>
  <c r="H57" i="10"/>
  <c r="D52" i="10"/>
  <c r="I90" i="10"/>
  <c r="M79" i="10"/>
  <c r="H94" i="10"/>
  <c r="H87" i="10"/>
  <c r="H80" i="10"/>
  <c r="G97" i="10"/>
  <c r="G90" i="10"/>
  <c r="G83" i="10"/>
  <c r="K78" i="10"/>
  <c r="J92" i="10"/>
  <c r="N77" i="10"/>
  <c r="C73" i="10"/>
  <c r="K69" i="10"/>
  <c r="C66" i="10"/>
  <c r="G62" i="10"/>
  <c r="C59" i="10"/>
  <c r="G55" i="10"/>
  <c r="K51" i="10"/>
  <c r="G48" i="10"/>
  <c r="G45" i="10"/>
  <c r="K42" i="10"/>
  <c r="J97" i="10"/>
  <c r="N86" i="10"/>
  <c r="N76" i="10"/>
  <c r="N73" i="10"/>
  <c r="F71" i="10"/>
  <c r="J68" i="10"/>
  <c r="N65" i="10"/>
  <c r="F63" i="10"/>
  <c r="J60" i="10"/>
  <c r="N57" i="10"/>
  <c r="F55" i="10"/>
  <c r="J52" i="10"/>
  <c r="J50" i="10"/>
  <c r="N48" i="10"/>
  <c r="J47" i="10"/>
  <c r="F46" i="10"/>
  <c r="N44" i="10"/>
  <c r="J43" i="10"/>
  <c r="F42" i="10"/>
  <c r="N40" i="10"/>
  <c r="J39" i="10"/>
  <c r="F97" i="10"/>
  <c r="N91" i="10"/>
  <c r="J86" i="10"/>
  <c r="F81" i="10"/>
  <c r="L76" i="10"/>
  <c r="E75" i="10"/>
  <c r="M73" i="10"/>
  <c r="I72" i="10"/>
  <c r="E71" i="10"/>
  <c r="M69" i="10"/>
  <c r="I68" i="10"/>
  <c r="E67" i="10"/>
  <c r="M65" i="10"/>
  <c r="I64" i="10"/>
  <c r="E63" i="10"/>
  <c r="M61" i="10"/>
  <c r="I60" i="10"/>
  <c r="E59" i="10"/>
  <c r="M57" i="10"/>
  <c r="I56" i="10"/>
  <c r="E55" i="10"/>
  <c r="M53" i="10"/>
  <c r="I52" i="10"/>
  <c r="E51" i="10"/>
  <c r="M49" i="10"/>
  <c r="I48" i="10"/>
  <c r="E47" i="10"/>
  <c r="M45" i="10"/>
  <c r="I44" i="10"/>
  <c r="E43" i="10"/>
  <c r="M41" i="10"/>
  <c r="I40" i="10"/>
  <c r="E39" i="10"/>
  <c r="M37" i="10"/>
  <c r="I36" i="10"/>
  <c r="E35" i="10"/>
  <c r="N103" i="10"/>
  <c r="N102" i="10" s="1"/>
  <c r="N132" i="12" s="1"/>
  <c r="J79" i="10"/>
  <c r="D72" i="10"/>
  <c r="L66" i="10"/>
  <c r="H61" i="10"/>
  <c r="D56" i="10"/>
  <c r="L50" i="10"/>
  <c r="I98" i="10"/>
  <c r="M87" i="10"/>
  <c r="E77" i="10"/>
  <c r="L92" i="10"/>
  <c r="L85" i="10"/>
  <c r="H78" i="10"/>
  <c r="K95" i="10"/>
  <c r="K88" i="10"/>
  <c r="G81" i="10"/>
  <c r="C78" i="10"/>
  <c r="J88" i="10"/>
  <c r="D76" i="10"/>
  <c r="G72" i="10"/>
  <c r="K68" i="10"/>
  <c r="C65" i="10"/>
  <c r="K61" i="10"/>
  <c r="C58" i="10"/>
  <c r="G54" i="10"/>
  <c r="C51" i="10"/>
  <c r="G47" i="10"/>
  <c r="K44" i="10"/>
  <c r="C42" i="10"/>
  <c r="N94" i="10"/>
  <c r="F84" i="10"/>
  <c r="C76" i="10"/>
  <c r="J70" i="10"/>
  <c r="N67" i="10"/>
  <c r="F65" i="10"/>
  <c r="J62" i="10"/>
  <c r="N59" i="10"/>
  <c r="F57" i="10"/>
  <c r="J54" i="10"/>
  <c r="N51" i="10"/>
  <c r="N49" i="10"/>
  <c r="J48" i="10"/>
  <c r="F47" i="10"/>
  <c r="N45" i="10"/>
  <c r="J44" i="10"/>
  <c r="F43" i="10"/>
  <c r="N41" i="10"/>
  <c r="J40" i="10"/>
  <c r="F39" i="10"/>
  <c r="N95" i="10"/>
  <c r="J90" i="10"/>
  <c r="F85" i="10"/>
  <c r="N79" i="10"/>
  <c r="G76" i="10"/>
  <c r="M74" i="10"/>
  <c r="I73" i="10"/>
  <c r="E72" i="10"/>
  <c r="M70" i="10"/>
  <c r="I69" i="10"/>
  <c r="E68" i="10"/>
  <c r="M66" i="10"/>
  <c r="I65" i="10"/>
  <c r="E64" i="10"/>
  <c r="M62" i="10"/>
  <c r="I61" i="10"/>
  <c r="E60" i="10"/>
  <c r="M58" i="10"/>
  <c r="I57" i="10"/>
  <c r="E56" i="10"/>
  <c r="M54" i="10"/>
  <c r="I53" i="10"/>
  <c r="E52" i="10"/>
  <c r="M50" i="10"/>
  <c r="I49" i="10"/>
  <c r="E48" i="10"/>
  <c r="M46" i="10"/>
  <c r="I45" i="10"/>
  <c r="E44" i="10"/>
  <c r="M42" i="10"/>
  <c r="I41" i="10"/>
  <c r="E40" i="10"/>
  <c r="M38" i="10"/>
  <c r="E36" i="10"/>
  <c r="J95" i="10"/>
  <c r="D60" i="10"/>
  <c r="D48" i="10"/>
  <c r="L42" i="10"/>
  <c r="D39" i="10"/>
  <c r="G37" i="10"/>
  <c r="J35" i="10"/>
  <c r="M33" i="10"/>
  <c r="I32" i="10"/>
  <c r="E31" i="10"/>
  <c r="M29" i="10"/>
  <c r="I28" i="10"/>
  <c r="E27" i="10"/>
  <c r="M25" i="10"/>
  <c r="I23" i="10"/>
  <c r="E21" i="10"/>
  <c r="M18" i="10"/>
  <c r="I17" i="10"/>
  <c r="E16" i="10"/>
  <c r="M14" i="10"/>
  <c r="I13" i="10"/>
  <c r="E12" i="10"/>
  <c r="M10" i="10"/>
  <c r="I9" i="10"/>
  <c r="E8" i="10"/>
  <c r="J83" i="10"/>
  <c r="D73" i="10"/>
  <c r="L67" i="10"/>
  <c r="H62" i="10"/>
  <c r="D57" i="10"/>
  <c r="L51" i="10"/>
  <c r="H46" i="10"/>
  <c r="D41" i="10"/>
  <c r="J38" i="10"/>
  <c r="H33" i="10"/>
  <c r="D32" i="10"/>
  <c r="L30" i="10"/>
  <c r="H29" i="10"/>
  <c r="D28" i="10"/>
  <c r="L26" i="10"/>
  <c r="H25" i="10"/>
  <c r="D23" i="10"/>
  <c r="L20" i="10"/>
  <c r="H18" i="10"/>
  <c r="D17" i="10"/>
  <c r="L15" i="10"/>
  <c r="H14" i="10"/>
  <c r="D13" i="10"/>
  <c r="L11" i="10"/>
  <c r="H10" i="10"/>
  <c r="D9" i="10"/>
  <c r="F98" i="10"/>
  <c r="F77" i="10"/>
  <c r="H71" i="10"/>
  <c r="D66" i="10"/>
  <c r="L60" i="10"/>
  <c r="L69" i="10"/>
  <c r="L53" i="10"/>
  <c r="D43" i="10"/>
  <c r="H37" i="10"/>
  <c r="N33" i="10"/>
  <c r="F31" i="10"/>
  <c r="J28" i="10"/>
  <c r="N25" i="10"/>
  <c r="F21" i="10"/>
  <c r="J17" i="10"/>
  <c r="N14" i="10"/>
  <c r="F12" i="10"/>
  <c r="J9" i="10"/>
  <c r="J31" i="10"/>
  <c r="J25" i="10"/>
  <c r="F17" i="10"/>
  <c r="N11" i="10"/>
  <c r="K76" i="10"/>
  <c r="L56" i="10"/>
  <c r="D46" i="10"/>
  <c r="H38" i="10"/>
  <c r="C34" i="10"/>
  <c r="C28" i="10"/>
  <c r="K20" i="10"/>
  <c r="G14" i="10"/>
  <c r="F86" i="10"/>
  <c r="D58" i="10"/>
  <c r="F76" i="10"/>
  <c r="L54" i="10"/>
  <c r="L46" i="10"/>
  <c r="H41" i="10"/>
  <c r="K38" i="10"/>
  <c r="N36" i="10"/>
  <c r="D35" i="10"/>
  <c r="I33" i="10"/>
  <c r="E32" i="10"/>
  <c r="M30" i="10"/>
  <c r="I29" i="10"/>
  <c r="E28" i="10"/>
  <c r="M26" i="10"/>
  <c r="I25" i="10"/>
  <c r="E23" i="10"/>
  <c r="M20" i="10"/>
  <c r="I18" i="10"/>
  <c r="E17" i="10"/>
  <c r="M15" i="10"/>
  <c r="I14" i="10"/>
  <c r="E13" i="10"/>
  <c r="M11" i="10"/>
  <c r="I10" i="10"/>
  <c r="E9" i="10"/>
  <c r="J99" i="10"/>
  <c r="F78" i="10"/>
  <c r="L71" i="10"/>
  <c r="H66" i="10"/>
  <c r="D61" i="10"/>
  <c r="L55" i="10"/>
  <c r="H50" i="10"/>
  <c r="D45" i="10"/>
  <c r="G40" i="10"/>
  <c r="D38" i="10"/>
  <c r="G36" i="10"/>
  <c r="J34" i="10"/>
  <c r="D33" i="10"/>
  <c r="L31" i="10"/>
  <c r="H30" i="10"/>
  <c r="D29" i="10"/>
  <c r="L27" i="10"/>
  <c r="H26" i="10"/>
  <c r="D25" i="10"/>
  <c r="L21" i="10"/>
  <c r="H20" i="10"/>
  <c r="D18" i="10"/>
  <c r="L16" i="10"/>
  <c r="D14" i="10"/>
  <c r="L12" i="10"/>
  <c r="H11" i="10"/>
  <c r="D10" i="10"/>
  <c r="L8" i="10"/>
  <c r="N92" i="10"/>
  <c r="H75" i="10"/>
  <c r="D70" i="10"/>
  <c r="L64" i="10"/>
  <c r="H59" i="10"/>
  <c r="H64" i="10"/>
  <c r="D51" i="10"/>
  <c r="K40" i="10"/>
  <c r="J36" i="10"/>
  <c r="F33" i="10"/>
  <c r="J30" i="10"/>
  <c r="N27" i="10"/>
  <c r="F25" i="10"/>
  <c r="J20" i="10"/>
  <c r="N16" i="10"/>
  <c r="F14" i="10"/>
  <c r="J11" i="10"/>
  <c r="N8" i="10"/>
  <c r="F30" i="10"/>
  <c r="F23" i="10"/>
  <c r="N15" i="10"/>
  <c r="J10" i="10"/>
  <c r="D71" i="10"/>
  <c r="D54" i="10"/>
  <c r="H43" i="10"/>
  <c r="J37" i="10"/>
  <c r="C32" i="10"/>
  <c r="K26" i="10"/>
  <c r="G18" i="10"/>
  <c r="K11" i="10"/>
  <c r="L73" i="10"/>
  <c r="H55" i="10"/>
  <c r="L44" i="10"/>
  <c r="C38" i="10"/>
  <c r="K33" i="10"/>
  <c r="C31" i="10"/>
  <c r="L70" i="10"/>
  <c r="H53" i="10"/>
  <c r="H45" i="10"/>
  <c r="H40" i="10"/>
  <c r="F38" i="10"/>
  <c r="H36" i="10"/>
  <c r="K34" i="10"/>
  <c r="E33" i="10"/>
  <c r="M31" i="10"/>
  <c r="I30" i="10"/>
  <c r="E29" i="10"/>
  <c r="M27" i="10"/>
  <c r="I26" i="10"/>
  <c r="E25" i="10"/>
  <c r="M21" i="10"/>
  <c r="I20" i="10"/>
  <c r="E18" i="10"/>
  <c r="M16" i="10"/>
  <c r="I15" i="10"/>
  <c r="E14" i="10"/>
  <c r="M12" i="10"/>
  <c r="I11" i="10"/>
  <c r="E10" i="10"/>
  <c r="M8" i="10"/>
  <c r="F94" i="10"/>
  <c r="L75" i="10"/>
  <c r="H70" i="10"/>
  <c r="D65" i="10"/>
  <c r="L59" i="10"/>
  <c r="H54" i="10"/>
  <c r="D49" i="10"/>
  <c r="L43" i="10"/>
  <c r="K39" i="10"/>
  <c r="K37" i="10"/>
  <c r="N35" i="10"/>
  <c r="D34" i="10"/>
  <c r="L32" i="10"/>
  <c r="H31" i="10"/>
  <c r="D30" i="10"/>
  <c r="L28" i="10"/>
  <c r="H27" i="10"/>
  <c r="D26" i="10"/>
  <c r="L23" i="10"/>
  <c r="H21" i="10"/>
  <c r="D20" i="10"/>
  <c r="L17" i="10"/>
  <c r="H16" i="10"/>
  <c r="D15" i="10"/>
  <c r="L13" i="10"/>
  <c r="H12" i="10"/>
  <c r="D11" i="10"/>
  <c r="L9" i="10"/>
  <c r="H8" i="10"/>
  <c r="J87" i="10"/>
  <c r="D74" i="10"/>
  <c r="L68" i="10"/>
  <c r="H63" i="10"/>
  <c r="J91" i="10"/>
  <c r="D59" i="10"/>
  <c r="H48" i="10"/>
  <c r="G39" i="10"/>
  <c r="K35" i="10"/>
  <c r="J32" i="10"/>
  <c r="N29" i="10"/>
  <c r="F27" i="10"/>
  <c r="J23" i="10"/>
  <c r="N18" i="10"/>
  <c r="F16" i="10"/>
  <c r="J13" i="10"/>
  <c r="N10" i="10"/>
  <c r="F8" i="10"/>
  <c r="N28" i="10"/>
  <c r="N20" i="10"/>
  <c r="J14" i="10"/>
  <c r="J8" i="10"/>
  <c r="H51" i="10"/>
  <c r="L40" i="10"/>
  <c r="K30" i="10"/>
  <c r="G25" i="10"/>
  <c r="C17" i="10"/>
  <c r="M34" i="10"/>
  <c r="H65" i="10"/>
  <c r="H49" i="10"/>
  <c r="D44" i="10"/>
  <c r="L39" i="10"/>
  <c r="L37" i="10"/>
  <c r="C36" i="10"/>
  <c r="F34" i="10"/>
  <c r="M32" i="10"/>
  <c r="I31" i="10"/>
  <c r="E30" i="10"/>
  <c r="M28" i="10"/>
  <c r="I27" i="10"/>
  <c r="E26" i="10"/>
  <c r="M23" i="10"/>
  <c r="I21" i="10"/>
  <c r="E20" i="10"/>
  <c r="M17" i="10"/>
  <c r="I16" i="10"/>
  <c r="E15" i="10"/>
  <c r="M13" i="10"/>
  <c r="I12" i="10"/>
  <c r="E11" i="10"/>
  <c r="M9" i="10"/>
  <c r="I8" i="10"/>
  <c r="N88" i="10"/>
  <c r="H74" i="10"/>
  <c r="D69" i="10"/>
  <c r="L63" i="10"/>
  <c r="H58" i="10"/>
  <c r="D53" i="10"/>
  <c r="L47" i="10"/>
  <c r="H42" i="10"/>
  <c r="C39" i="10"/>
  <c r="F37" i="10"/>
  <c r="H35" i="10"/>
  <c r="L33" i="10"/>
  <c r="H32" i="10"/>
  <c r="D31" i="10"/>
  <c r="L29" i="10"/>
  <c r="H28" i="10"/>
  <c r="D27" i="10"/>
  <c r="L25" i="10"/>
  <c r="H23" i="10"/>
  <c r="D21" i="10"/>
  <c r="L18" i="10"/>
  <c r="H17" i="10"/>
  <c r="D16" i="10"/>
  <c r="L14" i="10"/>
  <c r="H13" i="10"/>
  <c r="D12" i="10"/>
  <c r="L10" i="10"/>
  <c r="H9" i="10"/>
  <c r="D8" i="10"/>
  <c r="F82" i="10"/>
  <c r="L72" i="10"/>
  <c r="H67" i="10"/>
  <c r="D62" i="10"/>
  <c r="D75" i="10"/>
  <c r="H56" i="10"/>
  <c r="L45" i="10"/>
  <c r="G38" i="10"/>
  <c r="L34" i="10"/>
  <c r="N31" i="10"/>
  <c r="F29" i="10"/>
  <c r="J26" i="10"/>
  <c r="N21" i="10"/>
  <c r="F18" i="10"/>
  <c r="J15" i="10"/>
  <c r="N12" i="10"/>
  <c r="F10" i="10"/>
  <c r="J33" i="10"/>
  <c r="N26" i="10"/>
  <c r="J18" i="10"/>
  <c r="F13" i="10"/>
  <c r="N96" i="10"/>
  <c r="H60" i="10"/>
  <c r="L48" i="10"/>
  <c r="H39" i="10"/>
  <c r="N34" i="10"/>
  <c r="C23" i="10"/>
  <c r="H68" i="10"/>
  <c r="H47" i="10"/>
  <c r="D37" i="10"/>
  <c r="G32" i="10"/>
  <c r="C29" i="10"/>
  <c r="G26" i="10"/>
  <c r="K21" i="10"/>
  <c r="C18" i="10"/>
  <c r="G15" i="10"/>
  <c r="K12" i="10"/>
  <c r="C10" i="10"/>
  <c r="N80" i="10"/>
  <c r="L57" i="10"/>
  <c r="D47" i="10"/>
  <c r="L38" i="10"/>
  <c r="F35" i="10"/>
  <c r="N30" i="10"/>
  <c r="F26" i="10"/>
  <c r="N17" i="10"/>
  <c r="J12" i="10"/>
  <c r="L35" i="10"/>
  <c r="C30" i="10"/>
  <c r="K23" i="10"/>
  <c r="G16" i="10"/>
  <c r="C11" i="10"/>
  <c r="C57" i="11"/>
  <c r="D57" i="11" s="1"/>
  <c r="E57" i="11" s="1"/>
  <c r="F57" i="11" s="1"/>
  <c r="G57" i="11" s="1"/>
  <c r="H57" i="11" s="1"/>
  <c r="I57" i="11" s="1"/>
  <c r="J57" i="11" s="1"/>
  <c r="K57" i="11" s="1"/>
  <c r="L57" i="11" s="1"/>
  <c r="M57" i="11" s="1"/>
  <c r="N57" i="11" s="1"/>
  <c r="F29" i="19" s="1"/>
  <c r="F32" i="14" s="1"/>
  <c r="C46" i="11"/>
  <c r="D46" i="11" s="1"/>
  <c r="E46" i="11" s="1"/>
  <c r="F46" i="11" s="1"/>
  <c r="G46" i="11" s="1"/>
  <c r="H46" i="11" s="1"/>
  <c r="I46" i="11" s="1"/>
  <c r="J46" i="11" s="1"/>
  <c r="K46" i="11" s="1"/>
  <c r="L46" i="11" s="1"/>
  <c r="M46" i="11" s="1"/>
  <c r="N46" i="11" s="1"/>
  <c r="K15" i="10"/>
  <c r="D63" i="10"/>
  <c r="D42" i="10"/>
  <c r="G35" i="10"/>
  <c r="K31" i="10"/>
  <c r="G28" i="10"/>
  <c r="K25" i="10"/>
  <c r="C21" i="10"/>
  <c r="G17" i="10"/>
  <c r="K14" i="10"/>
  <c r="C12" i="10"/>
  <c r="G9" i="10"/>
  <c r="H72" i="10"/>
  <c r="D55" i="10"/>
  <c r="H44" i="10"/>
  <c r="N37" i="10"/>
  <c r="G34" i="10"/>
  <c r="J29" i="10"/>
  <c r="N23" i="10"/>
  <c r="J16" i="10"/>
  <c r="F11" i="10"/>
  <c r="G33" i="10"/>
  <c r="K28" i="10"/>
  <c r="G21" i="10"/>
  <c r="C15" i="10"/>
  <c r="K9" i="10"/>
  <c r="G10" i="10"/>
  <c r="L52" i="10"/>
  <c r="D40" i="10"/>
  <c r="H34" i="10"/>
  <c r="G30" i="10"/>
  <c r="K27" i="10"/>
  <c r="C25" i="10"/>
  <c r="G20" i="10"/>
  <c r="K16" i="10"/>
  <c r="C14" i="10"/>
  <c r="G11" i="10"/>
  <c r="K8" i="10"/>
  <c r="D67" i="10"/>
  <c r="H52" i="10"/>
  <c r="L41" i="10"/>
  <c r="C37" i="10"/>
  <c r="N32" i="10"/>
  <c r="F28" i="10"/>
  <c r="J21" i="10"/>
  <c r="F15" i="10"/>
  <c r="N9" i="10"/>
  <c r="K32" i="10"/>
  <c r="G27" i="10"/>
  <c r="C20" i="10"/>
  <c r="K13" i="10"/>
  <c r="G8" i="10"/>
  <c r="C16" i="11"/>
  <c r="D16" i="11" s="1"/>
  <c r="E16" i="11" s="1"/>
  <c r="F16" i="11" s="1"/>
  <c r="G16" i="11" s="1"/>
  <c r="H16" i="11" s="1"/>
  <c r="I16" i="11" s="1"/>
  <c r="J16" i="11" s="1"/>
  <c r="K16" i="11" s="1"/>
  <c r="L16" i="11" s="1"/>
  <c r="M16" i="11" s="1"/>
  <c r="N16" i="11" s="1"/>
  <c r="C10" i="17" s="1"/>
  <c r="D10" i="17" s="1"/>
  <c r="C42" i="11"/>
  <c r="D42" i="11" s="1"/>
  <c r="E42" i="11" s="1"/>
  <c r="F42" i="11" s="1"/>
  <c r="G42" i="11" s="1"/>
  <c r="H42" i="11" s="1"/>
  <c r="I42" i="11" s="1"/>
  <c r="J42" i="11" s="1"/>
  <c r="K42" i="11" s="1"/>
  <c r="L42" i="11" s="1"/>
  <c r="M42" i="11" s="1"/>
  <c r="N42" i="11" s="1"/>
  <c r="C34" i="17" s="1"/>
  <c r="D34" i="17" s="1"/>
  <c r="E33" i="17" s="1"/>
  <c r="C56" i="11"/>
  <c r="C15" i="11"/>
  <c r="D15" i="11" s="1"/>
  <c r="E15" i="11" s="1"/>
  <c r="F15" i="11" s="1"/>
  <c r="G15" i="11" s="1"/>
  <c r="H15" i="11" s="1"/>
  <c r="I15" i="11" s="1"/>
  <c r="J15" i="11" s="1"/>
  <c r="K15" i="11" s="1"/>
  <c r="L15" i="11" s="1"/>
  <c r="M15" i="11" s="1"/>
  <c r="N15" i="11" s="1"/>
  <c r="C12" i="11"/>
  <c r="D12" i="11" s="1"/>
  <c r="E12" i="11" s="1"/>
  <c r="F12" i="11" s="1"/>
  <c r="G12" i="11" s="1"/>
  <c r="H12" i="11" s="1"/>
  <c r="I12" i="11" s="1"/>
  <c r="J12" i="11" s="1"/>
  <c r="K12" i="11" s="1"/>
  <c r="L12" i="11" s="1"/>
  <c r="M12" i="11" s="1"/>
  <c r="N12" i="11" s="1"/>
  <c r="C17" i="11"/>
  <c r="D17" i="11" s="1"/>
  <c r="E17" i="11" s="1"/>
  <c r="F17" i="11" s="1"/>
  <c r="G17" i="11" s="1"/>
  <c r="H17" i="11" s="1"/>
  <c r="I17" i="11" s="1"/>
  <c r="J17" i="11" s="1"/>
  <c r="K17" i="11" s="1"/>
  <c r="L17" i="11" s="1"/>
  <c r="M17" i="11" s="1"/>
  <c r="N17" i="11" s="1"/>
  <c r="C41" i="11"/>
  <c r="D41" i="11" s="1"/>
  <c r="E41" i="11" s="1"/>
  <c r="F41" i="11" s="1"/>
  <c r="G41" i="11" s="1"/>
  <c r="H41" i="11" s="1"/>
  <c r="I41" i="11" s="1"/>
  <c r="J41" i="11" s="1"/>
  <c r="K41" i="11" s="1"/>
  <c r="L41" i="11" s="1"/>
  <c r="M41" i="11" s="1"/>
  <c r="N41" i="11" s="1"/>
  <c r="C18" i="11"/>
  <c r="D18" i="11" s="1"/>
  <c r="E18" i="11" s="1"/>
  <c r="F18" i="11" s="1"/>
  <c r="G18" i="11" s="1"/>
  <c r="H18" i="11" s="1"/>
  <c r="I18" i="11" s="1"/>
  <c r="J18" i="11" s="1"/>
  <c r="K18" i="11" s="1"/>
  <c r="L18" i="11" s="1"/>
  <c r="M18" i="11" s="1"/>
  <c r="N18" i="11" s="1"/>
  <c r="C44" i="11"/>
  <c r="D44" i="11" s="1"/>
  <c r="E44" i="11" s="1"/>
  <c r="F44" i="11" s="1"/>
  <c r="G44" i="11" s="1"/>
  <c r="H44" i="11" s="1"/>
  <c r="I44" i="11" s="1"/>
  <c r="J44" i="11" s="1"/>
  <c r="K44" i="11" s="1"/>
  <c r="L44" i="11" s="1"/>
  <c r="M44" i="11" s="1"/>
  <c r="N44" i="11" s="1"/>
  <c r="G29" i="10"/>
  <c r="C9" i="10"/>
  <c r="D50" i="10"/>
  <c r="N38" i="10"/>
  <c r="C33" i="10"/>
  <c r="K29" i="10"/>
  <c r="C27" i="10"/>
  <c r="G23" i="10"/>
  <c r="K18" i="10"/>
  <c r="C16" i="10"/>
  <c r="G13" i="10"/>
  <c r="K10" i="10"/>
  <c r="C8" i="10"/>
  <c r="L61" i="10"/>
  <c r="L49" i="10"/>
  <c r="C40" i="10"/>
  <c r="P40" i="10" s="1"/>
  <c r="D36" i="10"/>
  <c r="F32" i="10"/>
  <c r="J27" i="10"/>
  <c r="F20" i="10"/>
  <c r="N13" i="10"/>
  <c r="F9" i="10"/>
  <c r="G31" i="10"/>
  <c r="C26" i="10"/>
  <c r="K17" i="10"/>
  <c r="G12" i="10"/>
  <c r="C13" i="11"/>
  <c r="D13" i="11" s="1"/>
  <c r="E13" i="11" s="1"/>
  <c r="F13" i="11" s="1"/>
  <c r="G13" i="11" s="1"/>
  <c r="H13" i="11" s="1"/>
  <c r="I13" i="11" s="1"/>
  <c r="J13" i="11" s="1"/>
  <c r="K13" i="11" s="1"/>
  <c r="L13" i="11" s="1"/>
  <c r="M13" i="11" s="1"/>
  <c r="N13" i="11" s="1"/>
  <c r="C39" i="11"/>
  <c r="D39" i="11" s="1"/>
  <c r="E39" i="11" s="1"/>
  <c r="F39" i="11" s="1"/>
  <c r="G39" i="11" s="1"/>
  <c r="H39" i="11" s="1"/>
  <c r="I39" i="11" s="1"/>
  <c r="J39" i="11" s="1"/>
  <c r="K39" i="11" s="1"/>
  <c r="L39" i="11" s="1"/>
  <c r="M39" i="11" s="1"/>
  <c r="N39" i="11" s="1"/>
  <c r="D47" i="11"/>
  <c r="E47" i="11" s="1"/>
  <c r="F47" i="11" s="1"/>
  <c r="G47" i="11" s="1"/>
  <c r="H47" i="11" s="1"/>
  <c r="I47" i="11" s="1"/>
  <c r="J47" i="11" s="1"/>
  <c r="K47" i="11" s="1"/>
  <c r="L47" i="11" s="1"/>
  <c r="M47" i="11" s="1"/>
  <c r="N47" i="11" s="1"/>
  <c r="C31" i="17" s="1"/>
  <c r="D31" i="17" s="1"/>
  <c r="C19" i="11"/>
  <c r="D19" i="11" s="1"/>
  <c r="E19" i="11" s="1"/>
  <c r="F19" i="11" s="1"/>
  <c r="G19" i="11" s="1"/>
  <c r="H19" i="11" s="1"/>
  <c r="I19" i="11" s="1"/>
  <c r="J19" i="11" s="1"/>
  <c r="K19" i="11" s="1"/>
  <c r="L19" i="11" s="1"/>
  <c r="M19" i="11" s="1"/>
  <c r="N19" i="11" s="1"/>
  <c r="C23" i="11"/>
  <c r="C40" i="11"/>
  <c r="D40" i="11" s="1"/>
  <c r="E40" i="11" s="1"/>
  <c r="F40" i="11" s="1"/>
  <c r="G40" i="11" s="1"/>
  <c r="H40" i="11" s="1"/>
  <c r="I40" i="11" s="1"/>
  <c r="J40" i="11" s="1"/>
  <c r="K40" i="11" s="1"/>
  <c r="C14" i="11"/>
  <c r="D14" i="11" s="1"/>
  <c r="E14" i="11" s="1"/>
  <c r="F14" i="11" s="1"/>
  <c r="G14" i="11" s="1"/>
  <c r="H14" i="11" s="1"/>
  <c r="I14" i="11" s="1"/>
  <c r="J14" i="11" s="1"/>
  <c r="K14" i="11" s="1"/>
  <c r="L14" i="11" s="1"/>
  <c r="M14" i="11" s="1"/>
  <c r="N14" i="11" s="1"/>
  <c r="D11" i="11"/>
  <c r="E11" i="11" s="1"/>
  <c r="C38" i="11"/>
  <c r="D38" i="11" s="1"/>
  <c r="E38" i="11" s="1"/>
  <c r="F38" i="11" s="1"/>
  <c r="G38" i="11" s="1"/>
  <c r="H38" i="11" s="1"/>
  <c r="I38" i="11" s="1"/>
  <c r="J38" i="11" s="1"/>
  <c r="K38" i="11" s="1"/>
  <c r="L38" i="11" s="1"/>
  <c r="M38" i="11" s="1"/>
  <c r="C29" i="11"/>
  <c r="D29" i="11" s="1"/>
  <c r="E29" i="11" s="1"/>
  <c r="F29" i="11" s="1"/>
  <c r="G29" i="11" s="1"/>
  <c r="H29" i="11" s="1"/>
  <c r="I29" i="11" s="1"/>
  <c r="J29" i="11" s="1"/>
  <c r="K29" i="11" s="1"/>
  <c r="L29" i="11" s="1"/>
  <c r="M29" i="11" s="1"/>
  <c r="N29" i="11" s="1"/>
  <c r="C29" i="19" s="1"/>
  <c r="C32" i="14" s="1"/>
  <c r="C24" i="11"/>
  <c r="D24" i="11" s="1"/>
  <c r="E24" i="11" s="1"/>
  <c r="F24" i="11" s="1"/>
  <c r="G24" i="11" s="1"/>
  <c r="H24" i="11" s="1"/>
  <c r="I24" i="11" s="1"/>
  <c r="J24" i="11" s="1"/>
  <c r="K24" i="11" s="1"/>
  <c r="L24" i="11" s="1"/>
  <c r="M24" i="11" s="1"/>
  <c r="N24" i="11" s="1"/>
  <c r="C24" i="19" s="1"/>
  <c r="C26" i="14" s="1"/>
  <c r="C28" i="11"/>
  <c r="G105" i="22"/>
  <c r="K105" i="22" s="1"/>
  <c r="G25" i="22"/>
  <c r="I25" i="22" s="1"/>
  <c r="F25" i="22"/>
  <c r="H25" i="22" s="1"/>
  <c r="F24" i="22"/>
  <c r="H24" i="22" s="1"/>
  <c r="G24" i="22"/>
  <c r="I24" i="22" s="1"/>
  <c r="F105" i="22"/>
  <c r="J105" i="22" s="1"/>
  <c r="F104" i="22"/>
  <c r="J104" i="22" s="1"/>
  <c r="G104" i="22"/>
  <c r="K104" i="22" s="1"/>
  <c r="B25" i="163"/>
  <c r="B26" i="163"/>
  <c r="B27" i="163"/>
  <c r="A27" i="163"/>
  <c r="A25" i="163"/>
  <c r="A26" i="163"/>
  <c r="J69" i="20"/>
  <c r="G107" i="22"/>
  <c r="K107" i="22" s="1"/>
  <c r="F107" i="22"/>
  <c r="J107" i="22" s="1"/>
  <c r="P19" i="10" l="1"/>
  <c r="B467" i="167"/>
  <c r="H1444" i="167"/>
  <c r="H1445" i="167" s="1"/>
  <c r="H1641" i="167"/>
  <c r="H1690" i="167" s="1"/>
  <c r="A467" i="167"/>
  <c r="B3508" i="167"/>
  <c r="B3509" i="167" s="1"/>
  <c r="B4128" i="167"/>
  <c r="B974" i="167"/>
  <c r="A989" i="167"/>
  <c r="B3392" i="167"/>
  <c r="A3401" i="167"/>
  <c r="B1111" i="167"/>
  <c r="A1114" i="167"/>
  <c r="B2960" i="167"/>
  <c r="B1249" i="167"/>
  <c r="A1309" i="167"/>
  <c r="B2445" i="167"/>
  <c r="B968" i="167"/>
  <c r="A980" i="167"/>
  <c r="H1936" i="167"/>
  <c r="H1937" i="167" s="1"/>
  <c r="H1938" i="167" s="1"/>
  <c r="H1939" i="167" s="1"/>
  <c r="H1940" i="167" s="1"/>
  <c r="H2445" i="167"/>
  <c r="A2445" i="167"/>
  <c r="A3508" i="167"/>
  <c r="A3509" i="167" s="1"/>
  <c r="A4128" i="167"/>
  <c r="E24" i="10"/>
  <c r="J7" i="10"/>
  <c r="J59" i="11"/>
  <c r="K59" i="11" s="1"/>
  <c r="L59" i="11" s="1"/>
  <c r="M59" i="11" s="1"/>
  <c r="N59" i="11" s="1"/>
  <c r="P72" i="10"/>
  <c r="P33" i="10"/>
  <c r="H24" i="10"/>
  <c r="P31" i="10"/>
  <c r="P26" i="10"/>
  <c r="AM25" i="197"/>
  <c r="AM33" i="197" s="1"/>
  <c r="P16" i="10"/>
  <c r="P8" i="10"/>
  <c r="F17" i="19"/>
  <c r="P13" i="10"/>
  <c r="C24" i="10"/>
  <c r="D7" i="10"/>
  <c r="G24" i="10"/>
  <c r="C7" i="10"/>
  <c r="D24" i="10"/>
  <c r="C17" i="19"/>
  <c r="P14" i="10"/>
  <c r="C15" i="19"/>
  <c r="C14" i="17"/>
  <c r="D14" i="17" s="1"/>
  <c r="P27" i="10"/>
  <c r="G7" i="10"/>
  <c r="P21" i="10"/>
  <c r="P10" i="10"/>
  <c r="P17" i="10"/>
  <c r="P38" i="10"/>
  <c r="P34" i="10"/>
  <c r="P35" i="10"/>
  <c r="P42" i="10"/>
  <c r="P78" i="10"/>
  <c r="P46" i="10"/>
  <c r="P74" i="10"/>
  <c r="P85" i="10"/>
  <c r="P90" i="10"/>
  <c r="P97" i="10"/>
  <c r="P41" i="10"/>
  <c r="P53" i="10"/>
  <c r="P98" i="10"/>
  <c r="P60" i="10"/>
  <c r="P87" i="10"/>
  <c r="D23" i="11"/>
  <c r="C25" i="11"/>
  <c r="D28" i="11"/>
  <c r="C30" i="11"/>
  <c r="C9" i="17"/>
  <c r="D9" i="17" s="1"/>
  <c r="D9" i="15" s="1"/>
  <c r="C16" i="19"/>
  <c r="C14" i="14" s="1"/>
  <c r="P9" i="10"/>
  <c r="H108" i="10" s="1"/>
  <c r="D56" i="11"/>
  <c r="D65" i="11" s="1"/>
  <c r="P12" i="10"/>
  <c r="P30" i="10"/>
  <c r="H7" i="10"/>
  <c r="P76" i="10"/>
  <c r="P58" i="10"/>
  <c r="P49" i="10"/>
  <c r="P92" i="10"/>
  <c r="P50" i="10"/>
  <c r="P94" i="10"/>
  <c r="P47" i="10"/>
  <c r="P54" i="10"/>
  <c r="P61" i="10"/>
  <c r="P55" i="10"/>
  <c r="P62" i="10"/>
  <c r="P69" i="10"/>
  <c r="P77" i="10"/>
  <c r="P84" i="10"/>
  <c r="P56" i="10"/>
  <c r="P83" i="10"/>
  <c r="P99" i="10"/>
  <c r="C18" i="19"/>
  <c r="C17" i="17"/>
  <c r="D17" i="17" s="1"/>
  <c r="D54" i="15"/>
  <c r="E53" i="15" s="1"/>
  <c r="E30" i="17"/>
  <c r="P20" i="10"/>
  <c r="K7" i="10"/>
  <c r="P11" i="10"/>
  <c r="P29" i="10"/>
  <c r="P39" i="10"/>
  <c r="M7" i="10"/>
  <c r="L7" i="10"/>
  <c r="P67" i="10"/>
  <c r="P43" i="10"/>
  <c r="P63" i="10"/>
  <c r="P70" i="10"/>
  <c r="P71" i="10"/>
  <c r="P80" i="10"/>
  <c r="P86" i="10"/>
  <c r="P93" i="10"/>
  <c r="P103" i="10"/>
  <c r="P102" i="10" s="1"/>
  <c r="C102" i="10"/>
  <c r="C132" i="12" s="1"/>
  <c r="P52" i="10"/>
  <c r="P68" i="10"/>
  <c r="P79" i="10"/>
  <c r="P95" i="10"/>
  <c r="P25" i="10"/>
  <c r="P15" i="10"/>
  <c r="P18" i="10"/>
  <c r="P23" i="10"/>
  <c r="I7" i="10"/>
  <c r="F7" i="10"/>
  <c r="P32" i="10"/>
  <c r="P28" i="10"/>
  <c r="E7" i="10"/>
  <c r="P51" i="10"/>
  <c r="P59" i="10"/>
  <c r="P73" i="10"/>
  <c r="P44" i="10"/>
  <c r="P57" i="10"/>
  <c r="P81" i="10"/>
  <c r="P88" i="10"/>
  <c r="P45" i="10"/>
  <c r="P82" i="10"/>
  <c r="P89" i="10"/>
  <c r="P96" i="10"/>
  <c r="P48" i="10"/>
  <c r="P64" i="10"/>
  <c r="P91" i="10"/>
  <c r="P66" i="10"/>
  <c r="F16" i="19"/>
  <c r="K69" i="20"/>
  <c r="C20" i="11"/>
  <c r="R82" i="10" l="1"/>
  <c r="S82" i="10" s="1"/>
  <c r="R15" i="10"/>
  <c r="R18" i="10"/>
  <c r="H2003" i="167"/>
  <c r="B980" i="167"/>
  <c r="A983" i="167"/>
  <c r="A2987" i="167"/>
  <c r="B1309" i="167"/>
  <c r="A1312" i="167"/>
  <c r="B1114" i="167"/>
  <c r="A1117" i="167"/>
  <c r="B989" i="167"/>
  <c r="A992" i="167"/>
  <c r="A470" i="167"/>
  <c r="B470" i="167"/>
  <c r="A4129" i="167"/>
  <c r="A4130" i="167" s="1"/>
  <c r="A4602" i="167"/>
  <c r="H2446" i="167"/>
  <c r="H2447" i="167" s="1"/>
  <c r="H2448" i="167" s="1"/>
  <c r="H2449" i="167" s="1"/>
  <c r="H2450" i="167" s="1"/>
  <c r="H2987" i="167"/>
  <c r="B2987" i="167"/>
  <c r="B3401" i="167"/>
  <c r="A3437" i="167"/>
  <c r="B4129" i="167"/>
  <c r="B4602" i="167"/>
  <c r="H1446" i="167"/>
  <c r="H1447" i="167" s="1"/>
  <c r="H1448" i="167" s="1"/>
  <c r="H1449" i="167" s="1"/>
  <c r="H1450" i="167" s="1"/>
  <c r="H1451" i="167" s="1"/>
  <c r="H1452" i="167" s="1"/>
  <c r="H1453" i="167" s="1"/>
  <c r="H1454" i="167" s="1"/>
  <c r="H1455" i="167" s="1"/>
  <c r="H1456" i="167" s="1"/>
  <c r="H1457" i="167" s="1"/>
  <c r="H1458" i="167" s="1"/>
  <c r="H1459" i="167" s="1"/>
  <c r="H1460" i="167" s="1"/>
  <c r="H1497" i="167"/>
  <c r="H1509" i="167" s="1"/>
  <c r="H1536" i="167" s="1"/>
  <c r="H1542" i="167" s="1"/>
  <c r="H1590" i="167" s="1"/>
  <c r="H1599" i="167" s="1"/>
  <c r="H1623" i="167" s="1"/>
  <c r="H1660" i="167" s="1"/>
  <c r="H1666" i="167" s="1"/>
  <c r="H1669" i="167" s="1"/>
  <c r="H1702" i="167" s="1"/>
  <c r="H1705" i="167" s="1"/>
  <c r="H1708" i="167" s="1"/>
  <c r="H1711" i="167" s="1"/>
  <c r="H1744" i="167" s="1"/>
  <c r="H1770" i="167" s="1"/>
  <c r="H1794" i="167" s="1"/>
  <c r="H1836" i="167" s="1"/>
  <c r="H1866" i="167" s="1"/>
  <c r="H1941" i="167" s="1"/>
  <c r="H1942" i="167" s="1"/>
  <c r="E100" i="10"/>
  <c r="E105" i="10" s="1"/>
  <c r="H100" i="10"/>
  <c r="H105" i="10" s="1"/>
  <c r="C18" i="14"/>
  <c r="C100" i="10"/>
  <c r="C105" i="10" s="1"/>
  <c r="C58" i="11" s="1"/>
  <c r="C60" i="11" s="1"/>
  <c r="D100" i="10"/>
  <c r="D105" i="10" s="1"/>
  <c r="G100" i="10"/>
  <c r="C31" i="11"/>
  <c r="E56" i="11"/>
  <c r="E65" i="11" s="1"/>
  <c r="P132" i="12"/>
  <c r="D25" i="11"/>
  <c r="E23" i="11"/>
  <c r="D15" i="15"/>
  <c r="E13" i="17"/>
  <c r="E16" i="17"/>
  <c r="D21" i="15"/>
  <c r="E20" i="15" s="1"/>
  <c r="E28" i="11"/>
  <c r="D30" i="11"/>
  <c r="L69" i="20"/>
  <c r="C48" i="11"/>
  <c r="G5" i="26"/>
  <c r="G6" i="26" s="1"/>
  <c r="D20" i="11"/>
  <c r="B3437" i="167" l="1"/>
  <c r="A3461" i="167"/>
  <c r="H2988" i="167"/>
  <c r="H2989" i="167" s="1"/>
  <c r="H2990" i="167" s="1"/>
  <c r="H2991" i="167" s="1"/>
  <c r="H2992" i="167" s="1"/>
  <c r="H2993" i="167" s="1"/>
  <c r="H2994" i="167" s="1"/>
  <c r="H3566" i="167"/>
  <c r="A1379" i="167"/>
  <c r="A859" i="167"/>
  <c r="B1117" i="167"/>
  <c r="A1147" i="167"/>
  <c r="A3566" i="167"/>
  <c r="H2451" i="167"/>
  <c r="H2452" i="167" s="1"/>
  <c r="H2570" i="167"/>
  <c r="H2694" i="167" s="1"/>
  <c r="A687" i="167"/>
  <c r="A702" i="167" s="1"/>
  <c r="H1461" i="167"/>
  <c r="H1824" i="167"/>
  <c r="B4603" i="167"/>
  <c r="B4604" i="167" s="1"/>
  <c r="B5125" i="167"/>
  <c r="A4603" i="167"/>
  <c r="A4604" i="167" s="1"/>
  <c r="A5125" i="167"/>
  <c r="B992" i="167"/>
  <c r="A998" i="167"/>
  <c r="B1312" i="167"/>
  <c r="A1321" i="167"/>
  <c r="B983" i="167"/>
  <c r="A986" i="167"/>
  <c r="B4130" i="167"/>
  <c r="C62" i="11"/>
  <c r="C64" i="11" s="1"/>
  <c r="G105" i="10"/>
  <c r="D58" i="11"/>
  <c r="D60" i="11" s="1"/>
  <c r="D31" i="11"/>
  <c r="F28" i="11"/>
  <c r="E30" i="11"/>
  <c r="E25" i="11"/>
  <c r="F23" i="11"/>
  <c r="R132" i="12"/>
  <c r="F56" i="11"/>
  <c r="F65" i="11" s="1"/>
  <c r="G29" i="26"/>
  <c r="G30" i="26" s="1"/>
  <c r="G7" i="26"/>
  <c r="M69" i="20"/>
  <c r="D48" i="11"/>
  <c r="E20" i="11"/>
  <c r="J5" i="26"/>
  <c r="J29" i="26" s="1"/>
  <c r="B1147" i="167" l="1"/>
  <c r="A1234" i="167"/>
  <c r="B859" i="167"/>
  <c r="A2505" i="167"/>
  <c r="A2506" i="167" s="1"/>
  <c r="A3051" i="167"/>
  <c r="A3054" i="167" s="1"/>
  <c r="A3057" i="167" s="1"/>
  <c r="A3060" i="167" s="1"/>
  <c r="H3567" i="167"/>
  <c r="H3568" i="167" s="1"/>
  <c r="H3569" i="167" s="1"/>
  <c r="H3570" i="167" s="1"/>
  <c r="H3571" i="167" s="1"/>
  <c r="H4088" i="167"/>
  <c r="B986" i="167"/>
  <c r="A995" i="167"/>
  <c r="B998" i="167"/>
  <c r="A1016" i="167"/>
  <c r="H1462" i="167"/>
  <c r="H1827" i="167"/>
  <c r="B5126" i="167"/>
  <c r="B5774" i="167"/>
  <c r="C35" i="20"/>
  <c r="A4088" i="167"/>
  <c r="B3566" i="167"/>
  <c r="B1379" i="167"/>
  <c r="B3461" i="167"/>
  <c r="A3467" i="167"/>
  <c r="B1321" i="167"/>
  <c r="A1324" i="167"/>
  <c r="A5126" i="167"/>
  <c r="A5127" i="167" s="1"/>
  <c r="A5774" i="167"/>
  <c r="D62" i="11"/>
  <c r="D64" i="11" s="1"/>
  <c r="E58" i="11"/>
  <c r="E60" i="11" s="1"/>
  <c r="E31" i="11"/>
  <c r="J30" i="26"/>
  <c r="J32" i="26" s="1"/>
  <c r="G23" i="11"/>
  <c r="F25" i="11"/>
  <c r="G56" i="11"/>
  <c r="G65" i="11" s="1"/>
  <c r="G28" i="11"/>
  <c r="F30" i="11"/>
  <c r="F27" i="18"/>
  <c r="E48" i="11"/>
  <c r="D35" i="20" l="1"/>
  <c r="C37" i="20"/>
  <c r="B995" i="167"/>
  <c r="A1019" i="167"/>
  <c r="B1234" i="167"/>
  <c r="A1264" i="167"/>
  <c r="A5775" i="167"/>
  <c r="A5776" i="167" s="1"/>
  <c r="B3467" i="167"/>
  <c r="A3470" i="167"/>
  <c r="H1463" i="167"/>
  <c r="H1872" i="167"/>
  <c r="A3052" i="167"/>
  <c r="A3055" i="167" s="1"/>
  <c r="A3058" i="167" s="1"/>
  <c r="A3061" i="167" s="1"/>
  <c r="A4150" i="167"/>
  <c r="A4619" i="167"/>
  <c r="B4088" i="167"/>
  <c r="B5127" i="167"/>
  <c r="B5775" i="167"/>
  <c r="B5776" i="167" s="1"/>
  <c r="B1016" i="167"/>
  <c r="A1040" i="167"/>
  <c r="H4089" i="167"/>
  <c r="H4090" i="167" s="1"/>
  <c r="H4091" i="167" s="1"/>
  <c r="H4092" i="167" s="1"/>
  <c r="H4093" i="167" s="1"/>
  <c r="H4619" i="167"/>
  <c r="B1324" i="167"/>
  <c r="A1569" i="167"/>
  <c r="A1875" i="167"/>
  <c r="H3572" i="167"/>
  <c r="H3606" i="167"/>
  <c r="H3756" i="167" s="1"/>
  <c r="H3838" i="167" s="1"/>
  <c r="B3051" i="167"/>
  <c r="B4150" i="167" s="1"/>
  <c r="B4153" i="167" s="1"/>
  <c r="B2505" i="167"/>
  <c r="E62" i="11"/>
  <c r="E64" i="11" s="1"/>
  <c r="H28" i="11"/>
  <c r="G30" i="11"/>
  <c r="H56" i="11"/>
  <c r="H65" i="11" s="1"/>
  <c r="H23" i="11"/>
  <c r="G25" i="11"/>
  <c r="F48" i="11"/>
  <c r="C50" i="20" l="1"/>
  <c r="D50" i="20" s="1"/>
  <c r="E50" i="20" s="1"/>
  <c r="F50" i="20" s="1"/>
  <c r="G50" i="20" s="1"/>
  <c r="H50" i="20" s="1"/>
  <c r="I50" i="20" s="1"/>
  <c r="J50" i="20" s="1"/>
  <c r="K50" i="20" s="1"/>
  <c r="L50" i="20" s="1"/>
  <c r="M50" i="20" s="1"/>
  <c r="N50" i="20" s="1"/>
  <c r="H3609" i="167"/>
  <c r="H3618" i="167" s="1"/>
  <c r="H3621" i="167" s="1"/>
  <c r="H3624" i="167" s="1"/>
  <c r="H3660" i="167" s="1"/>
  <c r="H3696" i="167" s="1"/>
  <c r="H3702" i="167" s="1"/>
  <c r="H3708" i="167" s="1"/>
  <c r="H3714" i="167" s="1"/>
  <c r="H3753" i="167" s="1"/>
  <c r="H3787" i="167" s="1"/>
  <c r="H3799" i="167" s="1"/>
  <c r="H3814" i="167" s="1"/>
  <c r="H3817" i="167" s="1"/>
  <c r="H3823" i="167" s="1"/>
  <c r="H3932" i="167" s="1"/>
  <c r="H3944" i="167" s="1"/>
  <c r="H3971" i="167" s="1"/>
  <c r="H4025" i="167" s="1"/>
  <c r="H3573" i="167"/>
  <c r="H3612" i="167" s="1"/>
  <c r="H3630" i="167" s="1"/>
  <c r="H3633" i="167" s="1"/>
  <c r="H3636" i="167" s="1"/>
  <c r="H3642" i="167" s="1"/>
  <c r="H3648" i="167" s="1"/>
  <c r="H3651" i="167" s="1"/>
  <c r="H3654" i="167" s="1"/>
  <c r="H3657" i="167" s="1"/>
  <c r="H3663" i="167" s="1"/>
  <c r="H3675" i="167" s="1"/>
  <c r="H3678" i="167" s="1"/>
  <c r="H3690" i="167" s="1"/>
  <c r="H3699" i="167" s="1"/>
  <c r="H3705" i="167" s="1"/>
  <c r="H3711" i="167" s="1"/>
  <c r="H3717" i="167" s="1"/>
  <c r="H3720" i="167" s="1"/>
  <c r="H3729" i="167" s="1"/>
  <c r="H3738" i="167" s="1"/>
  <c r="H3741" i="167" s="1"/>
  <c r="H3744" i="167" s="1"/>
  <c r="H3750" i="167" s="1"/>
  <c r="H3759" i="167" s="1"/>
  <c r="H3765" i="167" s="1"/>
  <c r="H3768" i="167" s="1"/>
  <c r="A4153" i="167"/>
  <c r="A4156" i="167" s="1"/>
  <c r="A4159" i="167" s="1"/>
  <c r="B1875" i="167"/>
  <c r="H4620" i="167"/>
  <c r="H4621" i="167" s="1"/>
  <c r="H4622" i="167" s="1"/>
  <c r="H4623" i="167" s="1"/>
  <c r="H4624" i="167" s="1"/>
  <c r="H5145" i="167"/>
  <c r="H5146" i="167" s="1"/>
  <c r="H5147" i="167" s="1"/>
  <c r="H5148" i="167" s="1"/>
  <c r="H5149" i="167" s="1"/>
  <c r="H5150" i="167" s="1"/>
  <c r="H5151" i="167" s="1"/>
  <c r="H5152" i="167" s="1"/>
  <c r="B1019" i="167"/>
  <c r="A1025" i="167"/>
  <c r="H4094" i="167"/>
  <c r="H4163" i="167"/>
  <c r="C51" i="20"/>
  <c r="D51" i="20" s="1"/>
  <c r="E51" i="20" s="1"/>
  <c r="F51" i="20" s="1"/>
  <c r="G51" i="20" s="1"/>
  <c r="H51" i="20" s="1"/>
  <c r="I51" i="20" s="1"/>
  <c r="J51" i="20" s="1"/>
  <c r="K51" i="20" s="1"/>
  <c r="L51" i="20" s="1"/>
  <c r="M51" i="20" s="1"/>
  <c r="N51" i="20" s="1"/>
  <c r="A5145" i="167"/>
  <c r="B4619" i="167"/>
  <c r="H1875" i="167"/>
  <c r="H1943" i="167"/>
  <c r="H1944" i="167" s="1"/>
  <c r="H1945" i="167" s="1"/>
  <c r="H1946" i="167" s="1"/>
  <c r="H1947" i="167" s="1"/>
  <c r="H1948" i="167" s="1"/>
  <c r="H1949" i="167" s="1"/>
  <c r="H1950" i="167" s="1"/>
  <c r="H1951" i="167" s="1"/>
  <c r="H1952" i="167" s="1"/>
  <c r="H1953" i="167" s="1"/>
  <c r="H1954" i="167" s="1"/>
  <c r="H1955" i="167" s="1"/>
  <c r="H1956" i="167" s="1"/>
  <c r="H1957" i="167" s="1"/>
  <c r="A4162" i="167"/>
  <c r="B1569" i="167"/>
  <c r="A1681" i="167"/>
  <c r="B1040" i="167"/>
  <c r="A1047" i="167"/>
  <c r="B1264" i="167"/>
  <c r="A1300" i="167"/>
  <c r="B3470" i="167"/>
  <c r="A3480" i="167"/>
  <c r="E35" i="20"/>
  <c r="D37" i="20"/>
  <c r="I56" i="11"/>
  <c r="J56" i="11" s="1"/>
  <c r="I23" i="11"/>
  <c r="H25" i="11"/>
  <c r="I28" i="11"/>
  <c r="H30" i="11"/>
  <c r="G48" i="11"/>
  <c r="H4185" i="167" l="1"/>
  <c r="H4224" i="167" s="1"/>
  <c r="H4236" i="167" s="1"/>
  <c r="H4248" i="167" s="1"/>
  <c r="H4260" i="167" s="1"/>
  <c r="H4275" i="167" s="1"/>
  <c r="H4308" i="167" s="1"/>
  <c r="H4311" i="167" s="1"/>
  <c r="H4320" i="167" s="1"/>
  <c r="H4332" i="167" s="1"/>
  <c r="H4338" i="167" s="1"/>
  <c r="H4362" i="167" s="1"/>
  <c r="H4392" i="167" s="1"/>
  <c r="H4493" i="167" s="1"/>
  <c r="H4517" i="167" s="1"/>
  <c r="H4547" i="167" s="1"/>
  <c r="H4095" i="167"/>
  <c r="B3480" i="167"/>
  <c r="A3483" i="167"/>
  <c r="B1300" i="167"/>
  <c r="A1342" i="167"/>
  <c r="B1047" i="167"/>
  <c r="A1053" i="167"/>
  <c r="H4625" i="167"/>
  <c r="H4626" i="167" s="1"/>
  <c r="B1681" i="167"/>
  <c r="A1684" i="167"/>
  <c r="A2319" i="167"/>
  <c r="F35" i="20"/>
  <c r="E37" i="20"/>
  <c r="A5657" i="167"/>
  <c r="B5145" i="167"/>
  <c r="A425" i="167"/>
  <c r="B4162" i="167"/>
  <c r="B4326" i="167" s="1"/>
  <c r="A4326" i="167"/>
  <c r="H1958" i="167"/>
  <c r="H2340" i="167"/>
  <c r="B1025" i="167"/>
  <c r="A1028" i="167"/>
  <c r="I25" i="11"/>
  <c r="J23" i="11"/>
  <c r="J28" i="11"/>
  <c r="I30" i="11"/>
  <c r="I65" i="11"/>
  <c r="J65" i="11"/>
  <c r="K56" i="11"/>
  <c r="H48" i="11"/>
  <c r="G35" i="20" l="1"/>
  <c r="F37" i="20"/>
  <c r="H1959" i="167"/>
  <c r="H2343" i="167"/>
  <c r="A1439" i="167"/>
  <c r="B1684" i="167"/>
  <c r="A1687" i="167"/>
  <c r="B1053" i="167"/>
  <c r="A1081" i="167"/>
  <c r="B3483" i="167"/>
  <c r="A3489" i="167"/>
  <c r="B1028" i="167"/>
  <c r="A1031" i="167"/>
  <c r="A4835" i="167"/>
  <c r="A4838" i="167" s="1"/>
  <c r="A4841" i="167" s="1"/>
  <c r="B425" i="167"/>
  <c r="B2319" i="167"/>
  <c r="B5657" i="167"/>
  <c r="B880" i="167" s="1"/>
  <c r="A880" i="167"/>
  <c r="B1342" i="167"/>
  <c r="A1388" i="167"/>
  <c r="B1388" i="167" s="1"/>
  <c r="L56" i="11"/>
  <c r="L65" i="11" s="1"/>
  <c r="K65" i="11"/>
  <c r="K28" i="11"/>
  <c r="J30" i="11"/>
  <c r="K23" i="11"/>
  <c r="J25" i="11"/>
  <c r="D12" i="8" l="1"/>
  <c r="B1439" i="167"/>
  <c r="A2446" i="167"/>
  <c r="B3489" i="167"/>
  <c r="B3524" i="167" s="1"/>
  <c r="B3527" i="167" s="1"/>
  <c r="B3530" i="167" s="1"/>
  <c r="A3524" i="167"/>
  <c r="A3527" i="167" s="1"/>
  <c r="A3530" i="167" s="1"/>
  <c r="B1687" i="167"/>
  <c r="A1747" i="167"/>
  <c r="A1936" i="167"/>
  <c r="A2942" i="167"/>
  <c r="A4844" i="167"/>
  <c r="H35" i="20"/>
  <c r="G37" i="20"/>
  <c r="B1936" i="167"/>
  <c r="B1031" i="167"/>
  <c r="A1034" i="167"/>
  <c r="B1081" i="167"/>
  <c r="A1096" i="167"/>
  <c r="H1960" i="167"/>
  <c r="H2319" i="167"/>
  <c r="H2453" i="167"/>
  <c r="H2454" i="167" s="1"/>
  <c r="H2455" i="167" s="1"/>
  <c r="H2456" i="167" s="1"/>
  <c r="H2457" i="167" s="1"/>
  <c r="H2458" i="167" s="1"/>
  <c r="H2459" i="167" s="1"/>
  <c r="H2460" i="167" s="1"/>
  <c r="H2461" i="167" s="1"/>
  <c r="H2462" i="167" s="1"/>
  <c r="H2463" i="167" s="1"/>
  <c r="H2464" i="167" s="1"/>
  <c r="H2465" i="167" s="1"/>
  <c r="H2466" i="167" s="1"/>
  <c r="H2467" i="167" s="1"/>
  <c r="L28" i="11"/>
  <c r="K30" i="11"/>
  <c r="L23" i="11"/>
  <c r="K25" i="11"/>
  <c r="M56" i="11"/>
  <c r="I35" i="20" l="1"/>
  <c r="H37" i="20"/>
  <c r="B2942" i="167"/>
  <c r="B1747" i="167"/>
  <c r="A1773" i="167"/>
  <c r="A3567" i="167"/>
  <c r="A3593" i="167" s="1"/>
  <c r="B1096" i="167"/>
  <c r="A1108" i="167"/>
  <c r="B2988" i="167"/>
  <c r="H2468" i="167"/>
  <c r="H2876" i="167"/>
  <c r="A2988" i="167"/>
  <c r="B2446" i="167"/>
  <c r="B1034" i="167"/>
  <c r="A1044" i="167"/>
  <c r="A1037" i="167"/>
  <c r="B1037" i="167" s="1"/>
  <c r="N56" i="11"/>
  <c r="F28" i="19" s="1"/>
  <c r="F31" i="14" s="1"/>
  <c r="M23" i="11"/>
  <c r="L25" i="11"/>
  <c r="M65" i="11"/>
  <c r="M28" i="11"/>
  <c r="L30" i="11"/>
  <c r="A3596" i="167" l="1"/>
  <c r="A3594" i="167"/>
  <c r="B1044" i="167"/>
  <c r="A1050" i="167"/>
  <c r="B1773" i="167"/>
  <c r="A1779" i="167"/>
  <c r="J35" i="20"/>
  <c r="I37" i="20"/>
  <c r="H2469" i="167"/>
  <c r="H2879" i="167"/>
  <c r="A4089" i="167"/>
  <c r="A5308" i="167"/>
  <c r="A5311" i="167" s="1"/>
  <c r="A5314" i="167" s="1"/>
  <c r="A151" i="167" s="1"/>
  <c r="A167" i="167" s="1"/>
  <c r="A245" i="167" s="1"/>
  <c r="A248" i="167" s="1"/>
  <c r="A251" i="167" s="1"/>
  <c r="A272" i="167" s="1"/>
  <c r="A275" i="167" s="1"/>
  <c r="B1108" i="167"/>
  <c r="A1120" i="167"/>
  <c r="A4620" i="167"/>
  <c r="B3567" i="167"/>
  <c r="A3425" i="167"/>
  <c r="M25" i="11"/>
  <c r="N23" i="11"/>
  <c r="N28" i="11"/>
  <c r="M30" i="11"/>
  <c r="N65" i="11"/>
  <c r="A3597" i="167" l="1"/>
  <c r="A3599" i="167"/>
  <c r="A3602" i="167" s="1"/>
  <c r="A5658" i="167"/>
  <c r="B4620" i="167"/>
  <c r="A5146" i="167"/>
  <c r="B4089" i="167"/>
  <c r="H2470" i="167"/>
  <c r="H2921" i="167"/>
  <c r="B1050" i="167"/>
  <c r="A1056" i="167"/>
  <c r="B3593" i="167"/>
  <c r="B5308" i="167"/>
  <c r="B5311" i="167" s="1"/>
  <c r="B5314" i="167" s="1"/>
  <c r="B151" i="167" s="1"/>
  <c r="B1779" i="167"/>
  <c r="A1788" i="167"/>
  <c r="K35" i="20"/>
  <c r="J37" i="20"/>
  <c r="B3425" i="167"/>
  <c r="B1120" i="167"/>
  <c r="A1123" i="167"/>
  <c r="C28" i="19"/>
  <c r="N30" i="11"/>
  <c r="C23" i="19"/>
  <c r="N25" i="11"/>
  <c r="A3600" i="167" l="1"/>
  <c r="A3603" i="167" s="1"/>
  <c r="A4151" i="167" s="1"/>
  <c r="A4154" i="167" s="1"/>
  <c r="A4157" i="167" s="1"/>
  <c r="A4160" i="167" s="1"/>
  <c r="B1788" i="167"/>
  <c r="A1812" i="167"/>
  <c r="B5146" i="167"/>
  <c r="H13" i="8" s="1"/>
  <c r="A426" i="167"/>
  <c r="A3684" i="167"/>
  <c r="B1123" i="167"/>
  <c r="A1126" i="167"/>
  <c r="H2942" i="167"/>
  <c r="H2995" i="167"/>
  <c r="H2996" i="167" s="1"/>
  <c r="H2997" i="167" s="1"/>
  <c r="H2998" i="167" s="1"/>
  <c r="H2999" i="167" s="1"/>
  <c r="H3000" i="167" s="1"/>
  <c r="H3001" i="167" s="1"/>
  <c r="H3002" i="167" s="1"/>
  <c r="H3003" i="167" s="1"/>
  <c r="H3004" i="167" s="1"/>
  <c r="H3005" i="167" s="1"/>
  <c r="H3006" i="167" s="1"/>
  <c r="H3007" i="167" s="1"/>
  <c r="H3008" i="167" s="1"/>
  <c r="H3009" i="167" s="1"/>
  <c r="B5658" i="167"/>
  <c r="B881" i="167" s="1"/>
  <c r="A881" i="167"/>
  <c r="L35" i="20"/>
  <c r="K37" i="20"/>
  <c r="B167" i="167"/>
  <c r="B1056" i="167"/>
  <c r="A1059" i="167"/>
  <c r="C25" i="19"/>
  <c r="C25" i="14"/>
  <c r="C30" i="19"/>
  <c r="C31" i="14"/>
  <c r="C33" i="14" s="1"/>
  <c r="N13" i="8" l="1"/>
  <c r="M13" i="8"/>
  <c r="E13" i="8"/>
  <c r="C13" i="8"/>
  <c r="J13" i="8"/>
  <c r="B1059" i="167"/>
  <c r="A1065" i="167"/>
  <c r="H3010" i="167"/>
  <c r="H3428" i="167"/>
  <c r="B3684" i="167"/>
  <c r="A3726" i="167"/>
  <c r="K13" i="8"/>
  <c r="M35" i="20"/>
  <c r="L37" i="20"/>
  <c r="B1812" i="167"/>
  <c r="A1821" i="167"/>
  <c r="B245" i="167"/>
  <c r="A1937" i="167"/>
  <c r="B1126" i="167"/>
  <c r="A1132" i="167"/>
  <c r="A1440" i="167"/>
  <c r="B1937" i="167"/>
  <c r="B426" i="167"/>
  <c r="L13" i="8"/>
  <c r="G13" i="8"/>
  <c r="H3011" i="167" l="1"/>
  <c r="H3431" i="167"/>
  <c r="B1440" i="167"/>
  <c r="B2989" i="167"/>
  <c r="B1132" i="167"/>
  <c r="A1153" i="167"/>
  <c r="N35" i="20"/>
  <c r="M37" i="20"/>
  <c r="B3726" i="167"/>
  <c r="A3965" i="167"/>
  <c r="B1065" i="167"/>
  <c r="A1075" i="167"/>
  <c r="B248" i="167"/>
  <c r="A2447" i="167"/>
  <c r="A2989" i="167"/>
  <c r="B1821" i="167"/>
  <c r="A1848" i="167"/>
  <c r="N37" i="20" l="1"/>
  <c r="C23" i="18" s="1"/>
  <c r="C27" i="14" s="1"/>
  <c r="C28" i="14" s="1"/>
  <c r="B3965" i="167"/>
  <c r="B1848" i="167"/>
  <c r="A1887" i="167"/>
  <c r="A3568" i="167"/>
  <c r="B251" i="167"/>
  <c r="B1153" i="167"/>
  <c r="A1180" i="167"/>
  <c r="B2447" i="167"/>
  <c r="B1075" i="167"/>
  <c r="A1090" i="167"/>
  <c r="A4090" i="167"/>
  <c r="H3012" i="167"/>
  <c r="H3574" i="167"/>
  <c r="H3575" i="167" s="1"/>
  <c r="H3576" i="167" s="1"/>
  <c r="H3577" i="167" s="1"/>
  <c r="H3578" i="167" s="1"/>
  <c r="H3579" i="167" s="1"/>
  <c r="H3580" i="167" s="1"/>
  <c r="H3581" i="167" s="1"/>
  <c r="H3582" i="167" s="1"/>
  <c r="H3583" i="167" s="1"/>
  <c r="H3584" i="167" s="1"/>
  <c r="H3585" i="167" s="1"/>
  <c r="H3586" i="167" s="1"/>
  <c r="H3587" i="167" s="1"/>
  <c r="H3588" i="167" s="1"/>
  <c r="H3425" i="167"/>
  <c r="C24" i="18" l="1"/>
  <c r="B4090" i="167"/>
  <c r="A5147" i="167"/>
  <c r="B1090" i="167"/>
  <c r="A1093" i="167"/>
  <c r="B1887" i="167"/>
  <c r="A2039" i="167"/>
  <c r="H3589" i="167"/>
  <c r="H3977" i="167"/>
  <c r="B272" i="167"/>
  <c r="B3568" i="167"/>
  <c r="A4621" i="167"/>
  <c r="B1180" i="167"/>
  <c r="A1189" i="167"/>
  <c r="B1093" i="167" l="1"/>
  <c r="A1105" i="167"/>
  <c r="B1189" i="167"/>
  <c r="A1192" i="167"/>
  <c r="A5659" i="167"/>
  <c r="B4621" i="167"/>
  <c r="A4754" i="167"/>
  <c r="B275" i="167"/>
  <c r="H3590" i="167"/>
  <c r="H3980" i="167"/>
  <c r="B2039" i="167"/>
  <c r="A2048" i="167"/>
  <c r="B5147" i="167"/>
  <c r="B427" i="167" s="1"/>
  <c r="A427" i="167"/>
  <c r="A5377" i="167" l="1"/>
  <c r="A5557" i="167" s="1"/>
  <c r="A5560" i="167" s="1"/>
  <c r="B1192" i="167"/>
  <c r="A1225" i="167"/>
  <c r="B2048" i="167"/>
  <c r="A2057" i="167"/>
  <c r="A429" i="167"/>
  <c r="A1441" i="167"/>
  <c r="B1105" i="167"/>
  <c r="A1135" i="167"/>
  <c r="B429" i="167"/>
  <c r="B1441" i="167"/>
  <c r="H3591" i="167"/>
  <c r="H3684" i="167"/>
  <c r="H3726" i="167" s="1"/>
  <c r="F14" i="8"/>
  <c r="J14" i="8"/>
  <c r="C14" i="8"/>
  <c r="B5659" i="167"/>
  <c r="D14" i="8" s="1"/>
  <c r="A882" i="167"/>
  <c r="A430" i="167" l="1"/>
  <c r="G14" i="8"/>
  <c r="K14" i="8"/>
  <c r="B2448" i="167"/>
  <c r="E14" i="8"/>
  <c r="B2057" i="167"/>
  <c r="A2063" i="167"/>
  <c r="I14" i="8"/>
  <c r="H14" i="8"/>
  <c r="B430" i="167"/>
  <c r="B432" i="167" s="1"/>
  <c r="B433" i="167" s="1"/>
  <c r="B454" i="167" s="1"/>
  <c r="B1225" i="167"/>
  <c r="A1255" i="167"/>
  <c r="A884" i="167"/>
  <c r="A1938" i="167"/>
  <c r="B882" i="167"/>
  <c r="N14" i="8"/>
  <c r="M14" i="8"/>
  <c r="H4096" i="167"/>
  <c r="H3965" i="167"/>
  <c r="B1135" i="167"/>
  <c r="A1138" i="167"/>
  <c r="A2448" i="167"/>
  <c r="L14" i="8"/>
  <c r="B457" i="167" l="1"/>
  <c r="B455" i="167"/>
  <c r="P14" i="8"/>
  <c r="A1150" i="167"/>
  <c r="B1150" i="167" s="1"/>
  <c r="A885" i="167"/>
  <c r="A906" i="167"/>
  <c r="A909" i="167" s="1"/>
  <c r="A529" i="167"/>
  <c r="A541" i="167" s="1"/>
  <c r="A550" i="167" s="1"/>
  <c r="A571" i="167" s="1"/>
  <c r="A432" i="167"/>
  <c r="A433" i="167" s="1"/>
  <c r="A454" i="167" s="1"/>
  <c r="A2990" i="167"/>
  <c r="A1207" i="167"/>
  <c r="H4097" i="167"/>
  <c r="H4098" i="167" s="1"/>
  <c r="H4099" i="167" s="1"/>
  <c r="H4100" i="167" s="1"/>
  <c r="H4101" i="167" s="1"/>
  <c r="H4102" i="167" s="1"/>
  <c r="H4103" i="167" s="1"/>
  <c r="H4104" i="167" s="1"/>
  <c r="H4105" i="167" s="1"/>
  <c r="H4106" i="167" s="1"/>
  <c r="H4107" i="167" s="1"/>
  <c r="H4108" i="167" s="1"/>
  <c r="H4109" i="167" s="1"/>
  <c r="H4110" i="167" s="1"/>
  <c r="H4627" i="167"/>
  <c r="H4628" i="167" s="1"/>
  <c r="B1255" i="167"/>
  <c r="A1270" i="167"/>
  <c r="B2063" i="167"/>
  <c r="A2075" i="167"/>
  <c r="B1138" i="167"/>
  <c r="A1144" i="167"/>
  <c r="A3569" i="167"/>
  <c r="B884" i="167"/>
  <c r="B1938" i="167"/>
  <c r="A455" i="167" l="1"/>
  <c r="A457" i="167"/>
  <c r="A1216" i="167"/>
  <c r="B1216" i="167" s="1"/>
  <c r="A912" i="167"/>
  <c r="A913" i="167" s="1"/>
  <c r="B885" i="167"/>
  <c r="B906" i="167"/>
  <c r="A886" i="167"/>
  <c r="A926" i="167" s="1"/>
  <c r="B926" i="167" s="1"/>
  <c r="A887" i="167"/>
  <c r="A888" i="167" s="1"/>
  <c r="B460" i="167"/>
  <c r="B458" i="167"/>
  <c r="A3571" i="167"/>
  <c r="B3569" i="167"/>
  <c r="A4622" i="167"/>
  <c r="A4624" i="167" s="1"/>
  <c r="B2075" i="167"/>
  <c r="A2187" i="167"/>
  <c r="B1207" i="167"/>
  <c r="A1210" i="167"/>
  <c r="H4629" i="167"/>
  <c r="H4630" i="167" s="1"/>
  <c r="H4631" i="167" s="1"/>
  <c r="H4632" i="167" s="1"/>
  <c r="H4633" i="167" s="1"/>
  <c r="H4634" i="167" s="1"/>
  <c r="H4635" i="167" s="1"/>
  <c r="H4636" i="167" s="1"/>
  <c r="H4637" i="167" s="1"/>
  <c r="H4638" i="167" s="1"/>
  <c r="H4639" i="167" s="1"/>
  <c r="H4640" i="167" s="1"/>
  <c r="H5070" i="167"/>
  <c r="B2990" i="167"/>
  <c r="B1144" i="167"/>
  <c r="A1177" i="167"/>
  <c r="H4111" i="167"/>
  <c r="H4112" i="167" s="1"/>
  <c r="H4113" i="167" s="1"/>
  <c r="H4166" i="167"/>
  <c r="A4091" i="167"/>
  <c r="A4093" i="167" s="1"/>
  <c r="B1270" i="167"/>
  <c r="A1273" i="167"/>
  <c r="A4094" i="167" l="1"/>
  <c r="B4093" i="167"/>
  <c r="B4624" i="167"/>
  <c r="A4625" i="167"/>
  <c r="B461" i="167"/>
  <c r="B909" i="167"/>
  <c r="B907" i="167"/>
  <c r="B886" i="167"/>
  <c r="B887" i="167"/>
  <c r="B888" i="167" s="1"/>
  <c r="A460" i="167"/>
  <c r="A461" i="167" s="1"/>
  <c r="A907" i="167" s="1"/>
  <c r="A910" i="167" s="1"/>
  <c r="A458" i="167"/>
  <c r="B1273" i="167"/>
  <c r="A1279" i="167"/>
  <c r="A5148" i="167"/>
  <c r="A5150" i="167" s="1"/>
  <c r="B4091" i="167"/>
  <c r="B1177" i="167"/>
  <c r="A1183" i="167"/>
  <c r="B1210" i="167"/>
  <c r="A1213" i="167"/>
  <c r="A5660" i="167"/>
  <c r="A5662" i="167" s="1"/>
  <c r="B4622" i="167"/>
  <c r="H4167" i="167"/>
  <c r="H4523" i="167" s="1"/>
  <c r="H4520" i="167"/>
  <c r="H4641" i="167" s="1"/>
  <c r="B2187" i="167"/>
  <c r="A2190" i="167"/>
  <c r="A3572" i="167"/>
  <c r="B3571" i="167"/>
  <c r="B910" i="167" l="1"/>
  <c r="B5662" i="167"/>
  <c r="A5663" i="167"/>
  <c r="A3573" i="167"/>
  <c r="B3573" i="167" s="1"/>
  <c r="A3574" i="167"/>
  <c r="B912" i="167"/>
  <c r="B5150" i="167"/>
  <c r="A5151" i="167"/>
  <c r="B4094" i="167"/>
  <c r="A4095" i="167"/>
  <c r="B4095" i="167" s="1"/>
  <c r="A4096" i="167"/>
  <c r="B4625" i="167"/>
  <c r="A4626" i="167"/>
  <c r="B4626" i="167" s="1"/>
  <c r="A4627" i="167"/>
  <c r="H4642" i="167"/>
  <c r="H5064" i="167"/>
  <c r="B5148" i="167"/>
  <c r="A428" i="167"/>
  <c r="A1442" i="167" s="1"/>
  <c r="A2449" i="167" s="1"/>
  <c r="A3570" i="167" s="1"/>
  <c r="B3572" i="167"/>
  <c r="A3609" i="167"/>
  <c r="B1183" i="167"/>
  <c r="A1195" i="167"/>
  <c r="B1279" i="167"/>
  <c r="A1282" i="167"/>
  <c r="B2190" i="167"/>
  <c r="A2193" i="167"/>
  <c r="B5660" i="167"/>
  <c r="B883" i="167" s="1"/>
  <c r="B1939" i="167" s="1"/>
  <c r="B2991" i="167" s="1"/>
  <c r="A883" i="167"/>
  <c r="A1939" i="167" s="1"/>
  <c r="A2991" i="167" s="1"/>
  <c r="A4092" i="167" s="1"/>
  <c r="B1213" i="167"/>
  <c r="A1228" i="167"/>
  <c r="F15" i="8"/>
  <c r="K15" i="8"/>
  <c r="C15" i="8"/>
  <c r="F11" i="11"/>
  <c r="B5663" i="167" l="1"/>
  <c r="A5664" i="167"/>
  <c r="B5664" i="167" s="1"/>
  <c r="A5665" i="167"/>
  <c r="A4097" i="167"/>
  <c r="B4097" i="167" s="1"/>
  <c r="B4096" i="167"/>
  <c r="B5151" i="167"/>
  <c r="A5152" i="167"/>
  <c r="B5152" i="167" s="1"/>
  <c r="A5153" i="167"/>
  <c r="B913" i="167"/>
  <c r="B4627" i="167"/>
  <c r="A4628" i="167"/>
  <c r="A3575" i="167"/>
  <c r="B3575" i="167" s="1"/>
  <c r="B3574" i="167"/>
  <c r="B4092" i="167"/>
  <c r="A5149" i="167"/>
  <c r="B5149" i="167" s="1"/>
  <c r="B428" i="167"/>
  <c r="I15" i="8"/>
  <c r="N15" i="8"/>
  <c r="D15" i="8"/>
  <c r="L15" i="8"/>
  <c r="H15" i="8"/>
  <c r="M15" i="8"/>
  <c r="E15" i="8"/>
  <c r="J15" i="8"/>
  <c r="G15" i="8"/>
  <c r="B1282" i="167"/>
  <c r="A1285" i="167"/>
  <c r="B3609" i="167"/>
  <c r="A3618" i="167"/>
  <c r="B1228" i="167"/>
  <c r="A1237" i="167"/>
  <c r="B2193" i="167"/>
  <c r="A2196" i="167"/>
  <c r="B1195" i="167"/>
  <c r="A1201" i="167"/>
  <c r="B3570" i="167"/>
  <c r="A4623" i="167"/>
  <c r="H4643" i="167"/>
  <c r="H5067" i="167"/>
  <c r="G11" i="11"/>
  <c r="F20" i="11"/>
  <c r="F31" i="11" s="1"/>
  <c r="M3" i="26"/>
  <c r="F36" i="10"/>
  <c r="P15" i="8" l="1"/>
  <c r="A5666" i="167"/>
  <c r="B5666" i="167" s="1"/>
  <c r="B5665" i="167"/>
  <c r="A5070" i="167"/>
  <c r="B5070" i="167" s="1"/>
  <c r="B4628" i="167"/>
  <c r="B5153" i="167"/>
  <c r="A5154" i="167"/>
  <c r="B5154" i="167" s="1"/>
  <c r="B1442" i="167"/>
  <c r="B2449" i="167" s="1"/>
  <c r="B1237" i="167"/>
  <c r="A1240" i="167"/>
  <c r="B1240" i="167" s="1"/>
  <c r="A1443" i="167"/>
  <c r="B1285" i="167"/>
  <c r="A1294" i="167"/>
  <c r="B4623" i="167"/>
  <c r="F16" i="8" s="1"/>
  <c r="A5661" i="167"/>
  <c r="B5661" i="167" s="1"/>
  <c r="B2196" i="167"/>
  <c r="A2199" i="167"/>
  <c r="B3618" i="167"/>
  <c r="A3621" i="167"/>
  <c r="H4644" i="167"/>
  <c r="H5153" i="167"/>
  <c r="H5154" i="167" s="1"/>
  <c r="H5155" i="167" s="1"/>
  <c r="H5156" i="167" s="1"/>
  <c r="H5157" i="167" s="1"/>
  <c r="H4754" i="167"/>
  <c r="B1201" i="167"/>
  <c r="A1204" i="167"/>
  <c r="P3" i="26"/>
  <c r="M5" i="26"/>
  <c r="M29" i="26" s="1"/>
  <c r="F24" i="10"/>
  <c r="F100" i="10" s="1"/>
  <c r="F105" i="10" s="1"/>
  <c r="F58" i="11" s="1"/>
  <c r="H11" i="11"/>
  <c r="G20" i="11"/>
  <c r="G31" i="11" s="1"/>
  <c r="G16" i="8" l="1"/>
  <c r="E16" i="8"/>
  <c r="C16" i="8"/>
  <c r="J16" i="8"/>
  <c r="D16" i="8"/>
  <c r="I16" i="8"/>
  <c r="B1204" i="167"/>
  <c r="A1222" i="167"/>
  <c r="B3621" i="167"/>
  <c r="A3624" i="167"/>
  <c r="A1444" i="167"/>
  <c r="A1641" i="167"/>
  <c r="H5158" i="167"/>
  <c r="H5159" i="167" s="1"/>
  <c r="H5160" i="167" s="1"/>
  <c r="H5161" i="167" s="1"/>
  <c r="H5162" i="167" s="1"/>
  <c r="H5163" i="167" s="1"/>
  <c r="H5164" i="167" s="1"/>
  <c r="H5165" i="167" s="1"/>
  <c r="H5166" i="167" s="1"/>
  <c r="H5167" i="167" s="1"/>
  <c r="H5587" i="167"/>
  <c r="H5588" i="167" s="1"/>
  <c r="H5593" i="167" s="1"/>
  <c r="B2199" i="167"/>
  <c r="A2259" i="167"/>
  <c r="B1294" i="167"/>
  <c r="A1297" i="167"/>
  <c r="B1443" i="167"/>
  <c r="B1444" i="167" s="1"/>
  <c r="H16" i="8"/>
  <c r="N16" i="8"/>
  <c r="L16" i="8"/>
  <c r="M16" i="8"/>
  <c r="K16" i="8"/>
  <c r="H20" i="11"/>
  <c r="H31" i="11" s="1"/>
  <c r="I11" i="11"/>
  <c r="G58" i="11"/>
  <c r="F60" i="11"/>
  <c r="F62" i="11" s="1"/>
  <c r="F64" i="11" s="1"/>
  <c r="M30" i="26"/>
  <c r="P5" i="26"/>
  <c r="P29" i="26" s="1"/>
  <c r="P30" i="26" s="1"/>
  <c r="S3" i="26"/>
  <c r="B1297" i="167" l="1"/>
  <c r="A1318" i="167"/>
  <c r="B3624" i="167"/>
  <c r="A3660" i="167"/>
  <c r="H5168" i="167"/>
  <c r="H5599" i="167"/>
  <c r="B2259" i="167"/>
  <c r="A2271" i="167"/>
  <c r="B1641" i="167"/>
  <c r="A1690" i="167"/>
  <c r="B1222" i="167"/>
  <c r="A1231" i="167"/>
  <c r="B1446" i="167"/>
  <c r="A1446" i="167"/>
  <c r="A1447" i="167" s="1"/>
  <c r="A1497" i="167"/>
  <c r="P16" i="8"/>
  <c r="S5" i="26"/>
  <c r="S29" i="26" s="1"/>
  <c r="V3" i="26"/>
  <c r="H58" i="11"/>
  <c r="G60" i="11"/>
  <c r="G62" i="11" s="1"/>
  <c r="G64" i="11" s="1"/>
  <c r="I20" i="11"/>
  <c r="I31" i="11" s="1"/>
  <c r="B1497" i="167" l="1"/>
  <c r="A1509" i="167"/>
  <c r="B1231" i="167"/>
  <c r="A1243" i="167"/>
  <c r="B2271" i="167"/>
  <c r="A2274" i="167"/>
  <c r="B3660" i="167"/>
  <c r="A3696" i="167"/>
  <c r="B1690" i="167"/>
  <c r="A1729" i="167"/>
  <c r="B1318" i="167"/>
  <c r="A1327" i="167"/>
  <c r="B1447" i="167"/>
  <c r="H5169" i="167"/>
  <c r="H5602" i="167"/>
  <c r="V5" i="26"/>
  <c r="V29" i="26" s="1"/>
  <c r="V30" i="26" s="1"/>
  <c r="S30" i="26"/>
  <c r="H60" i="11"/>
  <c r="H62" i="11" s="1"/>
  <c r="H64" i="11" s="1"/>
  <c r="B3696" i="167" l="1"/>
  <c r="A3702" i="167"/>
  <c r="B1243" i="167"/>
  <c r="A1252" i="167"/>
  <c r="B1729" i="167"/>
  <c r="A1732" i="167"/>
  <c r="B2274" i="167"/>
  <c r="A2298" i="167"/>
  <c r="B1509" i="167"/>
  <c r="A1536" i="167"/>
  <c r="H5170" i="167"/>
  <c r="H5377" i="167"/>
  <c r="H5557" i="167" s="1"/>
  <c r="H5560" i="167" s="1"/>
  <c r="B1327" i="167"/>
  <c r="A1330" i="167"/>
  <c r="B1252" i="167" l="1"/>
  <c r="A1258" i="167"/>
  <c r="B1536" i="167"/>
  <c r="A1542" i="167"/>
  <c r="B1330" i="167"/>
  <c r="A1333" i="167"/>
  <c r="B2298" i="167"/>
  <c r="A2313" i="167"/>
  <c r="B1732" i="167"/>
  <c r="A1735" i="167"/>
  <c r="B3702" i="167"/>
  <c r="A3708" i="167"/>
  <c r="B3064" i="167"/>
  <c r="B3708" i="167" l="1"/>
  <c r="A3714" i="167"/>
  <c r="B2313" i="167"/>
  <c r="A2359" i="167"/>
  <c r="B1542" i="167"/>
  <c r="A1590" i="167"/>
  <c r="B1735" i="167"/>
  <c r="A1764" i="167"/>
  <c r="B1333" i="167"/>
  <c r="A1339" i="167"/>
  <c r="B1258" i="167"/>
  <c r="A1261" i="167"/>
  <c r="C55" i="20"/>
  <c r="D55" i="20" s="1"/>
  <c r="E55" i="20" s="1"/>
  <c r="F55" i="20" s="1"/>
  <c r="G55" i="20" s="1"/>
  <c r="H55" i="20" s="1"/>
  <c r="B1261" i="167" l="1"/>
  <c r="A1267" i="167"/>
  <c r="B1764" i="167"/>
  <c r="A1842" i="167"/>
  <c r="B2359" i="167"/>
  <c r="A2374" i="167"/>
  <c r="B1339" i="167"/>
  <c r="A1345" i="167"/>
  <c r="B1590" i="167"/>
  <c r="A1599" i="167"/>
  <c r="B3714" i="167"/>
  <c r="A3753" i="167"/>
  <c r="B1599" i="167" l="1"/>
  <c r="A1623" i="167"/>
  <c r="B2374" i="167"/>
  <c r="A2386" i="167"/>
  <c r="B1267" i="167"/>
  <c r="A1303" i="167"/>
  <c r="B3753" i="167"/>
  <c r="A3787" i="167"/>
  <c r="B1345" i="167"/>
  <c r="A1348" i="167"/>
  <c r="B1842" i="167"/>
  <c r="B1940" i="167" s="1"/>
  <c r="A1869" i="167"/>
  <c r="B1869" i="167" s="1"/>
  <c r="A1940" i="167"/>
  <c r="B3787" i="167" l="1"/>
  <c r="A3799" i="167"/>
  <c r="B2386" i="167"/>
  <c r="A2398" i="167"/>
  <c r="B1348" i="167"/>
  <c r="A1370" i="167"/>
  <c r="B1303" i="167"/>
  <c r="A1306" i="167"/>
  <c r="B1623" i="167"/>
  <c r="A1660" i="167"/>
  <c r="A2003" i="167"/>
  <c r="B2398" i="167" l="1"/>
  <c r="A2664" i="167"/>
  <c r="B1370" i="167"/>
  <c r="A1376" i="167"/>
  <c r="B3799" i="167"/>
  <c r="A3814" i="167"/>
  <c r="B1660" i="167"/>
  <c r="A1666" i="167"/>
  <c r="B2003" i="167"/>
  <c r="A2221" i="167"/>
  <c r="B1306" i="167"/>
  <c r="A1315" i="167"/>
  <c r="B1315" i="167" l="1"/>
  <c r="A1336" i="167"/>
  <c r="B1666" i="167"/>
  <c r="A1669" i="167"/>
  <c r="B1376" i="167"/>
  <c r="A1382" i="167"/>
  <c r="B2221" i="167"/>
  <c r="A2224" i="167"/>
  <c r="B3814" i="167"/>
  <c r="A3817" i="167"/>
  <c r="B2664" i="167"/>
  <c r="A2673" i="167"/>
  <c r="B2673" i="167" l="1"/>
  <c r="A2751" i="167"/>
  <c r="B2224" i="167"/>
  <c r="A2227" i="167"/>
  <c r="B1669" i="167"/>
  <c r="A1702" i="167"/>
  <c r="B3817" i="167"/>
  <c r="A3823" i="167"/>
  <c r="B1382" i="167"/>
  <c r="A1385" i="167"/>
  <c r="B1336" i="167"/>
  <c r="A1351" i="167"/>
  <c r="F3472" i="167"/>
  <c r="B1351" i="167" l="1"/>
  <c r="A1373" i="167"/>
  <c r="B1385" i="167"/>
  <c r="A1391" i="167"/>
  <c r="B1702" i="167"/>
  <c r="A1705" i="167"/>
  <c r="B2751" i="167"/>
  <c r="A2766" i="167"/>
  <c r="B3823" i="167"/>
  <c r="A3932" i="167"/>
  <c r="B2227" i="167"/>
  <c r="A2292" i="167"/>
  <c r="D59" i="22"/>
  <c r="G59" i="22" s="1"/>
  <c r="I59" i="22" s="1"/>
  <c r="E3472" i="167"/>
  <c r="B2292" i="167" l="1"/>
  <c r="B2450" i="167" s="1"/>
  <c r="A2295" i="167"/>
  <c r="B2295" i="167" s="1"/>
  <c r="A2450" i="167"/>
  <c r="B2766" i="167"/>
  <c r="A2830" i="167"/>
  <c r="B1391" i="167"/>
  <c r="A1394" i="167"/>
  <c r="B3932" i="167"/>
  <c r="A3944" i="167"/>
  <c r="B1705" i="167"/>
  <c r="A1708" i="167"/>
  <c r="B1373" i="167"/>
  <c r="A1400" i="167"/>
  <c r="F59" i="22"/>
  <c r="H59" i="22" s="1"/>
  <c r="I49" i="20"/>
  <c r="J49" i="20" s="1"/>
  <c r="I55" i="20"/>
  <c r="J55" i="20" s="1"/>
  <c r="K55" i="20" s="1"/>
  <c r="L55" i="20" s="1"/>
  <c r="M55" i="20" s="1"/>
  <c r="N55" i="20" s="1"/>
  <c r="F18" i="18" s="1"/>
  <c r="B1708" i="167" l="1"/>
  <c r="A1711" i="167"/>
  <c r="B1394" i="167"/>
  <c r="A1397" i="167"/>
  <c r="A2570" i="167"/>
  <c r="B1400" i="167"/>
  <c r="A1403" i="167"/>
  <c r="B3944" i="167"/>
  <c r="A3971" i="167"/>
  <c r="B2830" i="167"/>
  <c r="A2888" i="167"/>
  <c r="B2888" i="167" l="1"/>
  <c r="A2897" i="167"/>
  <c r="B1403" i="167"/>
  <c r="B1445" i="167" s="1"/>
  <c r="A1445" i="167"/>
  <c r="B1397" i="167"/>
  <c r="B1406" i="167" s="1"/>
  <c r="A1406" i="167"/>
  <c r="A1473" i="167" s="1"/>
  <c r="B3971" i="167"/>
  <c r="A4025" i="167"/>
  <c r="B4025" i="167" s="1"/>
  <c r="B2570" i="167"/>
  <c r="A2694" i="167"/>
  <c r="B1711" i="167"/>
  <c r="A1744" i="167"/>
  <c r="B1744" i="167" l="1"/>
  <c r="A1770" i="167"/>
  <c r="B2694" i="167"/>
  <c r="A2809" i="167"/>
  <c r="B1473" i="167"/>
  <c r="A1474" i="167"/>
  <c r="A1475" i="167" s="1"/>
  <c r="B1475" i="167" s="1"/>
  <c r="B2897" i="167"/>
  <c r="A3185" i="167"/>
  <c r="B1474" i="167" l="1"/>
  <c r="A1476" i="167"/>
  <c r="A1477" i="167" s="1"/>
  <c r="B1477" i="167" s="1"/>
  <c r="B3185" i="167"/>
  <c r="A3269" i="167"/>
  <c r="B2809" i="167"/>
  <c r="A2812" i="167"/>
  <c r="B1770" i="167"/>
  <c r="A1794" i="167"/>
  <c r="B2812" i="167" l="1"/>
  <c r="A2815" i="167"/>
  <c r="B1794" i="167"/>
  <c r="A1836" i="167"/>
  <c r="B3269" i="167"/>
  <c r="A3281" i="167"/>
  <c r="B1476" i="167"/>
  <c r="A1478" i="167"/>
  <c r="F4043" i="166"/>
  <c r="G3570" i="166"/>
  <c r="E50" i="22" s="1"/>
  <c r="A1500" i="167" l="1"/>
  <c r="B1478" i="167"/>
  <c r="A1479" i="167"/>
  <c r="A1480" i="167" s="1"/>
  <c r="B1836" i="167"/>
  <c r="A1866" i="167"/>
  <c r="B2815" i="167"/>
  <c r="B2992" i="167" s="1"/>
  <c r="B2993" i="167" s="1"/>
  <c r="B2994" i="167" s="1"/>
  <c r="A2818" i="167"/>
  <c r="B2818" i="167" s="1"/>
  <c r="A2992" i="167"/>
  <c r="A2993" i="167" s="1"/>
  <c r="B3281" i="167"/>
  <c r="A3341" i="167"/>
  <c r="E4043" i="166"/>
  <c r="D121" i="22"/>
  <c r="G50" i="22"/>
  <c r="I50" i="22" s="1"/>
  <c r="F50" i="22"/>
  <c r="H50" i="22" s="1"/>
  <c r="E3570" i="166"/>
  <c r="I37" i="11" s="1"/>
  <c r="D48" i="22"/>
  <c r="B1480" i="167" l="1"/>
  <c r="A1481" i="167"/>
  <c r="A2994" i="167"/>
  <c r="A2995" i="167"/>
  <c r="A2996" i="167" s="1"/>
  <c r="A1515" i="167"/>
  <c r="B1479" i="167"/>
  <c r="B3341" i="167"/>
  <c r="A3356" i="167"/>
  <c r="B1866" i="167"/>
  <c r="B1941" i="167" s="1"/>
  <c r="A1941" i="167"/>
  <c r="A1943" i="167" s="1"/>
  <c r="A1944" i="167" s="1"/>
  <c r="B1500" i="167"/>
  <c r="A1503" i="167"/>
  <c r="G121" i="22"/>
  <c r="K121" i="22" s="1"/>
  <c r="F121" i="22"/>
  <c r="J121" i="22" s="1"/>
  <c r="I37" i="10"/>
  <c r="I48" i="11"/>
  <c r="J37" i="11"/>
  <c r="B1481" i="167" l="1"/>
  <c r="A1482" i="167"/>
  <c r="B1482" i="167" s="1"/>
  <c r="B1503" i="167"/>
  <c r="A1506" i="167"/>
  <c r="B3356" i="167"/>
  <c r="A3377" i="167"/>
  <c r="B1515" i="167"/>
  <c r="A1524" i="167"/>
  <c r="I24" i="10"/>
  <c r="I100" i="10" s="1"/>
  <c r="I105" i="10" s="1"/>
  <c r="I58" i="11" s="1"/>
  <c r="P37" i="10"/>
  <c r="J48" i="11"/>
  <c r="K37" i="11"/>
  <c r="B3377" i="167" l="1"/>
  <c r="A3440" i="167"/>
  <c r="B1524" i="167"/>
  <c r="A1530" i="167"/>
  <c r="B1506" i="167"/>
  <c r="A1512" i="167"/>
  <c r="I60" i="11"/>
  <c r="I62" i="11" s="1"/>
  <c r="I64" i="11" s="1"/>
  <c r="L37" i="11"/>
  <c r="K48" i="11"/>
  <c r="B3440" i="167" l="1"/>
  <c r="A3672" i="167"/>
  <c r="B1530" i="167"/>
  <c r="A1548" i="167"/>
  <c r="B1512" i="167"/>
  <c r="A1518" i="167"/>
  <c r="M37" i="11"/>
  <c r="B1518" i="167" l="1"/>
  <c r="A1521" i="167"/>
  <c r="B3672" i="167"/>
  <c r="A3687" i="167"/>
  <c r="B1548" i="167"/>
  <c r="A1560" i="167"/>
  <c r="N37" i="11"/>
  <c r="O37" i="11" s="1"/>
  <c r="B3687" i="167" l="1"/>
  <c r="A3802" i="167"/>
  <c r="B1560" i="167"/>
  <c r="A1563" i="167"/>
  <c r="B1521" i="167"/>
  <c r="A1527" i="167"/>
  <c r="C28" i="17"/>
  <c r="D28" i="17" s="1"/>
  <c r="F14" i="19"/>
  <c r="J14" i="19" s="1"/>
  <c r="J17" i="19" s="1"/>
  <c r="B1563" i="167" l="1"/>
  <c r="A1575" i="167"/>
  <c r="B3802" i="167"/>
  <c r="A3811" i="167"/>
  <c r="B1527" i="167"/>
  <c r="A1533" i="167"/>
  <c r="F17" i="14"/>
  <c r="E27" i="17"/>
  <c r="D51" i="15"/>
  <c r="E50" i="15" s="1"/>
  <c r="B3811" i="167" l="1"/>
  <c r="A3835" i="167"/>
  <c r="B1533" i="167"/>
  <c r="A1539" i="167"/>
  <c r="B1575" i="167"/>
  <c r="A1581" i="167"/>
  <c r="D45" i="22"/>
  <c r="F45" i="22" s="1"/>
  <c r="H45" i="22" s="1"/>
  <c r="E10" i="22"/>
  <c r="B1539" i="167" l="1"/>
  <c r="A1545" i="167"/>
  <c r="B1581" i="167"/>
  <c r="A1584" i="167"/>
  <c r="B3835" i="167"/>
  <c r="A3881" i="167"/>
  <c r="F10" i="22"/>
  <c r="G10" i="22"/>
  <c r="G45" i="22"/>
  <c r="I45" i="22" s="1"/>
  <c r="B1584" i="167" l="1"/>
  <c r="A1596" i="167"/>
  <c r="B3881" i="167"/>
  <c r="A3926" i="167"/>
  <c r="B1545" i="167"/>
  <c r="A1551" i="167"/>
  <c r="I10" i="22"/>
  <c r="H10" i="22"/>
  <c r="B3926" i="167" l="1"/>
  <c r="A3989" i="167"/>
  <c r="B1551" i="167"/>
  <c r="A1554" i="167"/>
  <c r="B1596" i="167"/>
  <c r="A1608" i="167"/>
  <c r="B1554" i="167" l="1"/>
  <c r="A1557" i="167"/>
  <c r="B1608" i="167"/>
  <c r="A1611" i="167"/>
  <c r="B3989" i="167"/>
  <c r="A4001" i="167"/>
  <c r="B1611" i="167" l="1"/>
  <c r="A1614" i="167"/>
  <c r="B4001" i="167"/>
  <c r="B4221" i="167" s="1"/>
  <c r="B4272" i="167" s="1"/>
  <c r="B4290" i="167" s="1"/>
  <c r="B4350" i="167" s="1"/>
  <c r="B4377" i="167" s="1"/>
  <c r="B4412" i="167" s="1"/>
  <c r="B4439" i="167" s="1"/>
  <c r="B4481" i="167" s="1"/>
  <c r="B4769" i="167" s="1"/>
  <c r="B4796" i="167" s="1"/>
  <c r="B4940" i="167" s="1"/>
  <c r="B4967" i="167" s="1"/>
  <c r="B4986" i="167" s="1"/>
  <c r="B5037" i="167" s="1"/>
  <c r="B5236" i="167" s="1"/>
  <c r="B5359" i="167" s="1"/>
  <c r="B5413" i="167" s="1"/>
  <c r="B5475" i="167" s="1"/>
  <c r="B5487" i="167" s="1"/>
  <c r="A4221" i="167"/>
  <c r="A4272" i="167" s="1"/>
  <c r="A4290" i="167" s="1"/>
  <c r="A4350" i="167" s="1"/>
  <c r="A4377" i="167" s="1"/>
  <c r="A4412" i="167" s="1"/>
  <c r="A4439" i="167" s="1"/>
  <c r="A4481" i="167" s="1"/>
  <c r="A4769" i="167" s="1"/>
  <c r="A4796" i="167" s="1"/>
  <c r="A4940" i="167" s="1"/>
  <c r="A4967" i="167" s="1"/>
  <c r="A4986" i="167" s="1"/>
  <c r="A5037" i="167" s="1"/>
  <c r="A5236" i="167" s="1"/>
  <c r="A5359" i="167" s="1"/>
  <c r="A5413" i="167" s="1"/>
  <c r="A5475" i="167" s="1"/>
  <c r="A5487" i="167" s="1"/>
  <c r="B1557" i="167"/>
  <c r="A1566" i="167"/>
  <c r="B1566" i="167" l="1"/>
  <c r="A1572" i="167"/>
  <c r="B1614" i="167"/>
  <c r="A1629" i="167"/>
  <c r="B1629" i="167" l="1"/>
  <c r="A1635" i="167"/>
  <c r="B1572" i="167"/>
  <c r="A1578" i="167"/>
  <c r="B1578" i="167" l="1"/>
  <c r="A1587" i="167"/>
  <c r="B1635" i="167"/>
  <c r="A1638" i="167"/>
  <c r="B1638" i="167" l="1"/>
  <c r="A1644" i="167"/>
  <c r="B1587" i="167"/>
  <c r="A1593" i="167"/>
  <c r="B1593" i="167" l="1"/>
  <c r="A1605" i="167"/>
  <c r="B1644" i="167"/>
  <c r="A1650" i="167"/>
  <c r="K36" i="10"/>
  <c r="B1650" i="167" l="1"/>
  <c r="A1657" i="167"/>
  <c r="B1605" i="167"/>
  <c r="A1617" i="167"/>
  <c r="K24" i="10"/>
  <c r="K100" i="10" s="1"/>
  <c r="K105" i="10" s="1"/>
  <c r="B1617" i="167" l="1"/>
  <c r="A1620" i="167"/>
  <c r="B1657" i="167"/>
  <c r="A1678" i="167"/>
  <c r="B1678" i="167" l="1"/>
  <c r="A1717" i="167"/>
  <c r="B1620" i="167"/>
  <c r="A1626" i="167"/>
  <c r="B1626" i="167" l="1"/>
  <c r="A1632" i="167"/>
  <c r="B1717" i="167"/>
  <c r="A1776" i="167"/>
  <c r="D110" i="22"/>
  <c r="K49" i="20"/>
  <c r="B1632" i="167" l="1"/>
  <c r="A1647" i="167"/>
  <c r="B1647" i="167" s="1"/>
  <c r="A1654" i="167"/>
  <c r="B1776" i="167"/>
  <c r="A1791" i="167"/>
  <c r="L49" i="20"/>
  <c r="E48" i="22"/>
  <c r="G110" i="22"/>
  <c r="K110" i="22" s="1"/>
  <c r="F110" i="22"/>
  <c r="J110" i="22" s="1"/>
  <c r="B1654" i="167" l="1"/>
  <c r="A1663" i="167"/>
  <c r="B1791" i="167"/>
  <c r="A1797" i="167"/>
  <c r="F48" i="22"/>
  <c r="G48" i="22"/>
  <c r="M49" i="20"/>
  <c r="B1797" i="167" l="1"/>
  <c r="A1809" i="167"/>
  <c r="B1663" i="167"/>
  <c r="A1672" i="167"/>
  <c r="N49" i="20"/>
  <c r="H48" i="22"/>
  <c r="I48" i="22"/>
  <c r="B1672" i="167" l="1"/>
  <c r="A1675" i="167"/>
  <c r="B1809" i="167"/>
  <c r="A1815" i="167"/>
  <c r="B1815" i="167" l="1"/>
  <c r="A1818" i="167"/>
  <c r="B1675" i="167"/>
  <c r="A1693" i="167"/>
  <c r="B1818" i="167" l="1"/>
  <c r="A1830" i="167"/>
  <c r="B1693" i="167"/>
  <c r="A1696" i="167"/>
  <c r="E5533" i="166"/>
  <c r="F5532" i="166"/>
  <c r="B1696" i="167" l="1"/>
  <c r="A1699" i="167"/>
  <c r="B1830" i="167"/>
  <c r="A1845" i="167"/>
  <c r="E5532" i="166"/>
  <c r="B1699" i="167" l="1"/>
  <c r="A1720" i="167"/>
  <c r="B1845" i="167"/>
  <c r="A1854" i="167"/>
  <c r="L36" i="10"/>
  <c r="B1854" i="167" l="1"/>
  <c r="A1863" i="167"/>
  <c r="B1720" i="167"/>
  <c r="A1723" i="167"/>
  <c r="E55" i="22"/>
  <c r="F55" i="22" s="1"/>
  <c r="E5665" i="166"/>
  <c r="L40" i="11" s="1"/>
  <c r="F5664" i="166"/>
  <c r="B1723" i="167" l="1"/>
  <c r="A1726" i="167"/>
  <c r="B1863" i="167"/>
  <c r="A1878" i="167"/>
  <c r="E5664" i="166"/>
  <c r="L48" i="11"/>
  <c r="H55" i="22"/>
  <c r="G55" i="22"/>
  <c r="B1878" i="167" l="1"/>
  <c r="A1890" i="167"/>
  <c r="B1726" i="167"/>
  <c r="A1738" i="167"/>
  <c r="L65" i="10"/>
  <c r="I55" i="22"/>
  <c r="K75" i="172" s="1"/>
  <c r="K76" i="172" s="1"/>
  <c r="B1738" i="167" l="1"/>
  <c r="A1741" i="167"/>
  <c r="B1890" i="167"/>
  <c r="A1893" i="167"/>
  <c r="L24" i="10"/>
  <c r="L100" i="10" s="1"/>
  <c r="L105" i="10" s="1"/>
  <c r="B1893" i="167" l="1"/>
  <c r="A1899" i="167"/>
  <c r="B1741" i="167"/>
  <c r="A1767" i="167"/>
  <c r="B1899" i="167" l="1"/>
  <c r="A1902" i="167"/>
  <c r="B1767" i="167"/>
  <c r="A1782" i="167"/>
  <c r="F6134" i="166"/>
  <c r="D120" i="22" s="1"/>
  <c r="E6135" i="166"/>
  <c r="M40" i="11" s="1"/>
  <c r="B1902" i="167" l="1"/>
  <c r="B1782" i="167"/>
  <c r="A1800" i="167"/>
  <c r="E6134" i="166"/>
  <c r="N40" i="11"/>
  <c r="M48" i="11"/>
  <c r="F120" i="22"/>
  <c r="G120" i="22"/>
  <c r="B1800" i="167" l="1"/>
  <c r="A1803" i="167"/>
  <c r="M36" i="10"/>
  <c r="F18" i="19"/>
  <c r="K120" i="22"/>
  <c r="J120" i="22"/>
  <c r="B1803" i="167" l="1"/>
  <c r="A1806" i="167"/>
  <c r="A2027" i="167"/>
  <c r="P36" i="10"/>
  <c r="M24" i="10"/>
  <c r="M100" i="10" s="1"/>
  <c r="M105" i="10" s="1"/>
  <c r="F18" i="14"/>
  <c r="B1806" i="167" l="1"/>
  <c r="A1833" i="167"/>
  <c r="B2027" i="167"/>
  <c r="A2030" i="167"/>
  <c r="A2012" i="167"/>
  <c r="B2012" i="167" l="1"/>
  <c r="A2054" i="167"/>
  <c r="B2030" i="167"/>
  <c r="A2081" i="167"/>
  <c r="B1833" i="167"/>
  <c r="A1851" i="167"/>
  <c r="B2081" i="167" l="1"/>
  <c r="A2090" i="167"/>
  <c r="B1851" i="167"/>
  <c r="A1857" i="167"/>
  <c r="B2054" i="167"/>
  <c r="A2069" i="167"/>
  <c r="B2090" i="167" l="1"/>
  <c r="A2096" i="167"/>
  <c r="B1857" i="167"/>
  <c r="A1860" i="167"/>
  <c r="B2069" i="167"/>
  <c r="A2072" i="167"/>
  <c r="B1860" i="167" l="1"/>
  <c r="A1881" i="167"/>
  <c r="B2072" i="167"/>
  <c r="A2102" i="167"/>
  <c r="B2096" i="167"/>
  <c r="A2117" i="167"/>
  <c r="B2117" i="167" l="1"/>
  <c r="A2120" i="167"/>
  <c r="B1881" i="167"/>
  <c r="A1884" i="167"/>
  <c r="B2102" i="167"/>
  <c r="A2108" i="167"/>
  <c r="B1884" i="167" l="1"/>
  <c r="A1896" i="167"/>
  <c r="B2120" i="167"/>
  <c r="A2136" i="167"/>
  <c r="B2108" i="167"/>
  <c r="A2114" i="167"/>
  <c r="B2114" i="167" l="1"/>
  <c r="A2163" i="167"/>
  <c r="B1896" i="167"/>
  <c r="A1905" i="167"/>
  <c r="B2136" i="167"/>
  <c r="A2148" i="167"/>
  <c r="B2163" i="167" l="1"/>
  <c r="A2172" i="167"/>
  <c r="B1905" i="167"/>
  <c r="A1942" i="167"/>
  <c r="B2148" i="167"/>
  <c r="A2154" i="167"/>
  <c r="B2154" i="167" l="1"/>
  <c r="A2157" i="167"/>
  <c r="B2172" i="167"/>
  <c r="A2178" i="167"/>
  <c r="B1942" i="167"/>
  <c r="B2178" i="167" l="1"/>
  <c r="A2181" i="167"/>
  <c r="B2157" i="167"/>
  <c r="A2160" i="167"/>
  <c r="A2009" i="167"/>
  <c r="B2009" i="167" l="1"/>
  <c r="A2015" i="167"/>
  <c r="B2181" i="167"/>
  <c r="A2184" i="167"/>
  <c r="B2160" i="167"/>
  <c r="A2169" i="167"/>
  <c r="B2184" i="167" l="1"/>
  <c r="A2268" i="167"/>
  <c r="B2169" i="167"/>
  <c r="A2215" i="167"/>
  <c r="B2015" i="167"/>
  <c r="A2018" i="167"/>
  <c r="B2018" i="167" l="1"/>
  <c r="A2021" i="167"/>
  <c r="B2268" i="167"/>
  <c r="A2289" i="167"/>
  <c r="B2215" i="167"/>
  <c r="A2230" i="167"/>
  <c r="B2289" i="167" l="1"/>
  <c r="A2301" i="167"/>
  <c r="B2021" i="167"/>
  <c r="A2024" i="167"/>
  <c r="B2230" i="167"/>
  <c r="A2233" i="167"/>
  <c r="B2233" i="167" l="1"/>
  <c r="A2304" i="167"/>
  <c r="B2301" i="167"/>
  <c r="A2365" i="167"/>
  <c r="B2024" i="167"/>
  <c r="A2033" i="167"/>
  <c r="B2304" i="167" l="1"/>
  <c r="A2316" i="167"/>
  <c r="B2365" i="167"/>
  <c r="A2371" i="167"/>
  <c r="B2033" i="167"/>
  <c r="A2036" i="167"/>
  <c r="B2036" i="167" l="1"/>
  <c r="A2045" i="167"/>
  <c r="B2316" i="167"/>
  <c r="A2325" i="167"/>
  <c r="B2371" i="167"/>
  <c r="B2451" i="167" s="1"/>
  <c r="B2453" i="167" s="1"/>
  <c r="B2454" i="167" s="1"/>
  <c r="A2451" i="167"/>
  <c r="A2453" i="167" s="1"/>
  <c r="A2454" i="167" s="1"/>
  <c r="B2325" i="167" l="1"/>
  <c r="A2334" i="167"/>
  <c r="B2045" i="167"/>
  <c r="A2051" i="167"/>
  <c r="B2051" i="167" l="1"/>
  <c r="A2060" i="167"/>
  <c r="B2334" i="167"/>
  <c r="A2353" i="167"/>
  <c r="B2353" i="167" l="1"/>
  <c r="A2362" i="167"/>
  <c r="B2060" i="167"/>
  <c r="A2066" i="167"/>
  <c r="B2362" i="167" l="1"/>
  <c r="A2377" i="167"/>
  <c r="B2066" i="167"/>
  <c r="A2078" i="167"/>
  <c r="B2078" i="167" l="1"/>
  <c r="A2084" i="167"/>
  <c r="B2377" i="167"/>
  <c r="A2383" i="167"/>
  <c r="B2084" i="167" l="1"/>
  <c r="A2087" i="167"/>
  <c r="B2383" i="167"/>
  <c r="A2392" i="167"/>
  <c r="B2392" i="167" l="1"/>
  <c r="A2395" i="167"/>
  <c r="B2087" i="167"/>
  <c r="A2093" i="167"/>
  <c r="B2395" i="167" l="1"/>
  <c r="A2401" i="167"/>
  <c r="B2093" i="167"/>
  <c r="A2099" i="167"/>
  <c r="B2099" i="167" l="1"/>
  <c r="A2105" i="167"/>
  <c r="B2401" i="167"/>
  <c r="A2407" i="167"/>
  <c r="B2105" i="167" l="1"/>
  <c r="A2111" i="167"/>
  <c r="B2407" i="167"/>
  <c r="A2410" i="167"/>
  <c r="B2410" i="167" s="1"/>
  <c r="B2111" i="167" l="1"/>
  <c r="A2123" i="167"/>
  <c r="B2123" i="167" l="1"/>
  <c r="A2130" i="167"/>
  <c r="A2126" i="167"/>
  <c r="B2126" i="167" s="1"/>
  <c r="B2130" i="167" l="1"/>
  <c r="A2133" i="167"/>
  <c r="B2133" i="167" l="1"/>
  <c r="A2139" i="167"/>
  <c r="B2139" i="167" l="1"/>
  <c r="A2142" i="167"/>
  <c r="B2142" i="167" l="1"/>
  <c r="A2145" i="167"/>
  <c r="B2145" i="167" l="1"/>
  <c r="A2151" i="167"/>
  <c r="B2151" i="167" l="1"/>
  <c r="A2166" i="167"/>
  <c r="B2166" i="167" l="1"/>
  <c r="A2175" i="167"/>
  <c r="B2175" i="167" l="1"/>
  <c r="A2202" i="167"/>
  <c r="B2202" i="167" l="1"/>
  <c r="A2205" i="167"/>
  <c r="B2205" i="167" s="1"/>
  <c r="A2212" i="167"/>
  <c r="B2212" i="167" l="1"/>
  <c r="A2236" i="167"/>
  <c r="B2236" i="167" l="1"/>
  <c r="A2239" i="167"/>
  <c r="B2239" i="167" l="1"/>
  <c r="A2256" i="167"/>
  <c r="B2256" i="167" l="1"/>
  <c r="A2262" i="167"/>
  <c r="B2262" i="167" l="1"/>
  <c r="A2277" i="167"/>
  <c r="B2277" i="167" l="1"/>
  <c r="A2280" i="167"/>
  <c r="B2280" i="167" l="1"/>
  <c r="A2286" i="167"/>
  <c r="B2286" i="167" l="1"/>
  <c r="A2307" i="167"/>
  <c r="B2307" i="167" l="1"/>
  <c r="A2310" i="167"/>
  <c r="B2310" i="167" l="1"/>
  <c r="A2322" i="167"/>
  <c r="B2322" i="167" l="1"/>
  <c r="A2328" i="167"/>
  <c r="B2328" i="167" l="1"/>
  <c r="A2337" i="167"/>
  <c r="B2337" i="167" l="1"/>
  <c r="A2356" i="167"/>
  <c r="B2356" i="167" l="1"/>
  <c r="A2368" i="167"/>
  <c r="B2368" i="167" l="1"/>
  <c r="A2380" i="167"/>
  <c r="B2380" i="167" l="1"/>
  <c r="A2389" i="167"/>
  <c r="B2389" i="167" l="1"/>
  <c r="A2404" i="167"/>
  <c r="B2404" i="167" l="1"/>
  <c r="B2452" i="167" s="1"/>
  <c r="A2452" i="167"/>
  <c r="A3330" i="167"/>
  <c r="B3330" i="167" s="1"/>
  <c r="A917" i="167"/>
  <c r="B917" i="167" s="1"/>
  <c r="A1288" i="167"/>
  <c r="B1288" i="167" s="1"/>
  <c r="A1824" i="167"/>
  <c r="B1824" i="167" s="1"/>
  <c r="A2340" i="167"/>
  <c r="B2340" i="167" s="1"/>
  <c r="A2876" i="167"/>
  <c r="B2876" i="167" s="1"/>
  <c r="A3428" i="167"/>
  <c r="B3428" i="167" s="1"/>
  <c r="A3977" i="167"/>
  <c r="B3977" i="167" s="1"/>
  <c r="B4166" i="167"/>
  <c r="B4167" i="167" s="1"/>
  <c r="B4520" i="167"/>
  <c r="A4166" i="167"/>
  <c r="B5064" i="167"/>
  <c r="B5599" i="167"/>
  <c r="B4523" i="167"/>
  <c r="A4167" i="167"/>
  <c r="A4523" i="167"/>
  <c r="B5067" i="167"/>
  <c r="A5067" i="167"/>
  <c r="B5602" i="167"/>
  <c r="A5602" i="167"/>
  <c r="B34" i="167"/>
  <c r="B40" i="167"/>
  <c r="B52" i="167"/>
  <c r="B67" i="167"/>
  <c r="B73" i="167"/>
  <c r="B79" i="167"/>
  <c r="B82" i="167"/>
  <c r="B97" i="167"/>
  <c r="B100" i="167"/>
  <c r="B103" i="167"/>
  <c r="B106" i="167"/>
  <c r="B118" i="167"/>
  <c r="B121" i="167"/>
  <c r="B124" i="167"/>
  <c r="B127" i="167"/>
  <c r="B136" i="167"/>
  <c r="B139" i="167"/>
  <c r="B145" i="167"/>
  <c r="B148" i="167"/>
  <c r="B176" i="167"/>
  <c r="B191" i="167"/>
  <c r="B203" i="167"/>
  <c r="B209" i="167"/>
  <c r="B221" i="167"/>
  <c r="B233" i="167"/>
  <c r="B263" i="167"/>
  <c r="B269" i="167"/>
  <c r="B296" i="167"/>
  <c r="B311" i="167"/>
  <c r="B321" i="167"/>
  <c r="B332" i="167"/>
  <c r="B335" i="167"/>
  <c r="B363" i="167"/>
  <c r="B370" i="167"/>
  <c r="B373" i="167"/>
  <c r="B379" i="167"/>
  <c r="B391" i="167"/>
  <c r="B397" i="167"/>
  <c r="B400" i="167"/>
  <c r="B418" i="167"/>
  <c r="B431" i="167"/>
  <c r="B434" i="167"/>
  <c r="B435" i="167" s="1"/>
  <c r="B436" i="167" s="1"/>
  <c r="B889" i="167"/>
  <c r="B890" i="167" s="1"/>
  <c r="B891" i="167" s="1"/>
  <c r="B892" i="167" s="1"/>
  <c r="B893" i="167" s="1"/>
  <c r="B894" i="167" s="1"/>
  <c r="B1448" i="167"/>
  <c r="B1449" i="167" s="1"/>
  <c r="B1450" i="167" s="1"/>
  <c r="B1451" i="167" s="1"/>
  <c r="B1452" i="167" s="1"/>
  <c r="B1453" i="167" s="1"/>
  <c r="B2455" i="167"/>
  <c r="B2456" i="167" s="1"/>
  <c r="B2457" i="167" s="1"/>
  <c r="B2458" i="167" s="1"/>
  <c r="B2459" i="167" s="1"/>
  <c r="B2460" i="167" s="1"/>
  <c r="A3576" i="167"/>
  <c r="A3577" i="167" s="1"/>
  <c r="B3577" i="167" s="1"/>
  <c r="A4098" i="167"/>
  <c r="A4099" i="167" s="1"/>
  <c r="A4629" i="167"/>
  <c r="A4630" i="167" s="1"/>
  <c r="A5155" i="167"/>
  <c r="A5156" i="167" s="1"/>
  <c r="A5667" i="167"/>
  <c r="B160" i="167"/>
  <c r="B314" i="167"/>
  <c r="B347" i="167"/>
  <c r="B369" i="167"/>
  <c r="A160" i="167"/>
  <c r="A314" i="167"/>
  <c r="A347" i="167"/>
  <c r="A369" i="167"/>
  <c r="B463" i="167"/>
  <c r="B464" i="167" s="1"/>
  <c r="C12" i="8"/>
  <c r="E12" i="8"/>
  <c r="F12" i="8"/>
  <c r="G12" i="8"/>
  <c r="H12" i="8"/>
  <c r="I12" i="8"/>
  <c r="J12" i="8"/>
  <c r="K12" i="8"/>
  <c r="L12" i="8"/>
  <c r="M12" i="8"/>
  <c r="N12" i="8"/>
  <c r="D13" i="8"/>
  <c r="F13" i="8"/>
  <c r="I13" i="8"/>
  <c r="C52" i="20"/>
  <c r="D52" i="20" s="1"/>
  <c r="E52" i="20" s="1"/>
  <c r="F52" i="20" s="1"/>
  <c r="G52" i="20" s="1"/>
  <c r="H52" i="20" s="1"/>
  <c r="I52" i="20" s="1"/>
  <c r="J52" i="20" s="1"/>
  <c r="K52" i="20" s="1"/>
  <c r="L52" i="20" s="1"/>
  <c r="M52" i="20" s="1"/>
  <c r="N52" i="20" s="1"/>
  <c r="F19" i="18" s="1"/>
  <c r="F19" i="14" s="1"/>
  <c r="A1448" i="167"/>
  <c r="A1449" i="167" s="1"/>
  <c r="A1450" i="167" s="1"/>
  <c r="A1451" i="167" s="1"/>
  <c r="A1452" i="167" s="1"/>
  <c r="A1453" i="167" s="1"/>
  <c r="A2997" i="167"/>
  <c r="A2998" i="167" s="1"/>
  <c r="A2999" i="167" s="1"/>
  <c r="A3000" i="167" s="1"/>
  <c r="A3001" i="167" s="1"/>
  <c r="A3002" i="167" s="1"/>
  <c r="A2455" i="167"/>
  <c r="A2456" i="167" s="1"/>
  <c r="A2457" i="167" s="1"/>
  <c r="A2458" i="167" s="1"/>
  <c r="A2459" i="167" s="1"/>
  <c r="A2460" i="167" s="1"/>
  <c r="A1945" i="167"/>
  <c r="A1946" i="167" s="1"/>
  <c r="A1947" i="167" s="1"/>
  <c r="A1948" i="167" s="1"/>
  <c r="A1949" i="167" s="1"/>
  <c r="A1950" i="167" s="1"/>
  <c r="A803" i="167"/>
  <c r="A889" i="167"/>
  <c r="A890" i="167" s="1"/>
  <c r="A891" i="167" s="1"/>
  <c r="A892" i="167" s="1"/>
  <c r="A893" i="167" s="1"/>
  <c r="A894" i="167" s="1"/>
  <c r="A434" i="167"/>
  <c r="A435" i="167" s="1"/>
  <c r="A436" i="167" s="1"/>
  <c r="A437" i="167" s="1"/>
  <c r="A438" i="167" s="1"/>
  <c r="A439" i="167" s="1"/>
  <c r="A34" i="167"/>
  <c r="A40" i="167"/>
  <c r="A52" i="167"/>
  <c r="A67" i="167"/>
  <c r="A73" i="167"/>
  <c r="A79" i="167"/>
  <c r="A82" i="167"/>
  <c r="A97" i="167"/>
  <c r="A100" i="167"/>
  <c r="A103" i="167"/>
  <c r="A106" i="167"/>
  <c r="A118" i="167"/>
  <c r="A121" i="167"/>
  <c r="A124" i="167"/>
  <c r="A127" i="167"/>
  <c r="A136" i="167"/>
  <c r="A139" i="167"/>
  <c r="A145" i="167"/>
  <c r="A148" i="167"/>
  <c r="A176" i="167"/>
  <c r="A191" i="167"/>
  <c r="A203" i="167"/>
  <c r="A209" i="167"/>
  <c r="A221" i="167"/>
  <c r="A233" i="167"/>
  <c r="A263" i="167"/>
  <c r="A269" i="167"/>
  <c r="A296" i="167"/>
  <c r="A311" i="167"/>
  <c r="A321" i="167"/>
  <c r="A332" i="167"/>
  <c r="A335" i="167"/>
  <c r="A370" i="167"/>
  <c r="A373" i="167"/>
  <c r="A379" i="167"/>
  <c r="A391" i="167"/>
  <c r="A397" i="167"/>
  <c r="A400" i="167"/>
  <c r="A418" i="167"/>
  <c r="A431" i="167"/>
  <c r="A363" i="167"/>
  <c r="A4520" i="167"/>
  <c r="A5064" i="167"/>
  <c r="A5599" i="167"/>
  <c r="F4691" i="167"/>
  <c r="E4691" i="167" s="1"/>
  <c r="G4718" i="167"/>
  <c r="E4718" i="167" s="1"/>
  <c r="D71" i="22" l="1"/>
  <c r="P13" i="8"/>
  <c r="P12" i="8"/>
  <c r="E71" i="22"/>
  <c r="B5667" i="167"/>
  <c r="A5668" i="167"/>
  <c r="B5668" i="167" s="1"/>
  <c r="A3003" i="167"/>
  <c r="A3005" i="167" s="1"/>
  <c r="A3004" i="167"/>
  <c r="A3006" i="167" s="1"/>
  <c r="A3007" i="167" s="1"/>
  <c r="A2461" i="167"/>
  <c r="A2463" i="167" s="1"/>
  <c r="A2462" i="167"/>
  <c r="A2464" i="167" s="1"/>
  <c r="A2465" i="167" s="1"/>
  <c r="A1951" i="167"/>
  <c r="A1953" i="167" s="1"/>
  <c r="A1952" i="167"/>
  <c r="A1954" i="167" s="1"/>
  <c r="A1955" i="167" s="1"/>
  <c r="A895" i="167"/>
  <c r="A897" i="167" s="1"/>
  <c r="A896" i="167"/>
  <c r="A898" i="167" s="1"/>
  <c r="A899" i="167" s="1"/>
  <c r="A440" i="167"/>
  <c r="A442" i="167" s="1"/>
  <c r="A441" i="167"/>
  <c r="A443" i="167" s="1"/>
  <c r="A444" i="167" s="1"/>
  <c r="A1454" i="167"/>
  <c r="A1456" i="167" s="1"/>
  <c r="A1455" i="167"/>
  <c r="A1457" i="167" s="1"/>
  <c r="A1458" i="167" s="1"/>
  <c r="B2461" i="167"/>
  <c r="B2463" i="167" s="1"/>
  <c r="B2462" i="167"/>
  <c r="B2464" i="167" s="1"/>
  <c r="B2465" i="167" s="1"/>
  <c r="B1454" i="167"/>
  <c r="B1456" i="167" s="1"/>
  <c r="B1455" i="167"/>
  <c r="B1457" i="167" s="1"/>
  <c r="B1458" i="167" s="1"/>
  <c r="B896" i="167"/>
  <c r="B898" i="167" s="1"/>
  <c r="B899" i="167" s="1"/>
  <c r="B895" i="167"/>
  <c r="B897" i="167" s="1"/>
  <c r="B5156" i="167"/>
  <c r="A5157" i="167"/>
  <c r="B4630" i="167"/>
  <c r="A4631" i="167"/>
  <c r="B4099" i="167"/>
  <c r="A4100" i="167"/>
  <c r="F3" i="74"/>
  <c r="C14" i="20"/>
  <c r="D14" i="20" s="1"/>
  <c r="E14" i="20" s="1"/>
  <c r="F14" i="20" s="1"/>
  <c r="G14" i="20" s="1"/>
  <c r="H14" i="20" s="1"/>
  <c r="I14" i="20" s="1"/>
  <c r="J14" i="20" s="1"/>
  <c r="K14" i="20" s="1"/>
  <c r="L14" i="20" s="1"/>
  <c r="M14" i="20" s="1"/>
  <c r="N14" i="20" s="1"/>
  <c r="B803" i="167"/>
  <c r="B437" i="167"/>
  <c r="A3578" i="167"/>
  <c r="B5155" i="167"/>
  <c r="B4629" i="167"/>
  <c r="B4098" i="167"/>
  <c r="B3576" i="167"/>
  <c r="G71" i="22" l="1"/>
  <c r="F71" i="22"/>
  <c r="I3" i="74"/>
  <c r="F5" i="74"/>
  <c r="F17" i="74" s="1"/>
  <c r="B4100" i="167"/>
  <c r="A4101" i="167"/>
  <c r="A5587" i="167"/>
  <c r="B5157" i="167"/>
  <c r="B5587" i="167" s="1"/>
  <c r="B5588" i="167" s="1"/>
  <c r="A5158" i="167"/>
  <c r="B1460" i="167"/>
  <c r="B1459" i="167"/>
  <c r="A1459" i="167"/>
  <c r="A1460" i="167"/>
  <c r="A901" i="167"/>
  <c r="A900" i="167"/>
  <c r="A1956" i="167"/>
  <c r="A1957" i="167"/>
  <c r="A3009" i="167"/>
  <c r="A3008" i="167"/>
  <c r="B3578" i="167"/>
  <c r="A3579" i="167"/>
  <c r="B438" i="167"/>
  <c r="B4631" i="167"/>
  <c r="A4632" i="167"/>
  <c r="A446" i="167"/>
  <c r="A445" i="167"/>
  <c r="A2467" i="167"/>
  <c r="A2466" i="167"/>
  <c r="B901" i="167"/>
  <c r="B900" i="167"/>
  <c r="B2467" i="167"/>
  <c r="B2466" i="167"/>
  <c r="K71" i="22" l="1"/>
  <c r="J71" i="22"/>
  <c r="A5669" i="167"/>
  <c r="A5588" i="167"/>
  <c r="A5593" i="167" s="1"/>
  <c r="C13" i="20"/>
  <c r="D13" i="20" s="1"/>
  <c r="E13" i="20" s="1"/>
  <c r="F13" i="20" s="1"/>
  <c r="G13" i="20" s="1"/>
  <c r="H13" i="20" s="1"/>
  <c r="I13" i="20" s="1"/>
  <c r="J13" i="20" s="1"/>
  <c r="K13" i="20" s="1"/>
  <c r="L13" i="20" s="1"/>
  <c r="M13" i="20" s="1"/>
  <c r="N13" i="20" s="1"/>
  <c r="F3" i="25"/>
  <c r="A2468" i="167"/>
  <c r="A2879" i="167" s="1"/>
  <c r="B2879" i="167" s="1"/>
  <c r="A2469" i="167"/>
  <c r="A2921" i="167" s="1"/>
  <c r="B2921" i="167" s="1"/>
  <c r="B2995" i="167" s="1"/>
  <c r="B2996" i="167" s="1"/>
  <c r="B2997" i="167" s="1"/>
  <c r="B2998" i="167" s="1"/>
  <c r="B2999" i="167" s="1"/>
  <c r="B3000" i="167" s="1"/>
  <c r="B3001" i="167" s="1"/>
  <c r="B3002" i="167" s="1"/>
  <c r="A2470" i="167"/>
  <c r="B2469" i="167"/>
  <c r="B2470" i="167"/>
  <c r="A4633" i="167"/>
  <c r="B4632" i="167"/>
  <c r="B902" i="167"/>
  <c r="B904" i="167"/>
  <c r="A448" i="167"/>
  <c r="A451" i="167" s="1"/>
  <c r="A452" i="167" s="1"/>
  <c r="A705" i="167" s="1"/>
  <c r="A449" i="167"/>
  <c r="A447" i="167"/>
  <c r="B439" i="167"/>
  <c r="A3580" i="167"/>
  <c r="B3579" i="167"/>
  <c r="A3010" i="167"/>
  <c r="A3431" i="167" s="1"/>
  <c r="B3431" i="167" s="1"/>
  <c r="A3011" i="167"/>
  <c r="A3012" i="167"/>
  <c r="A902" i="167"/>
  <c r="A903" i="167"/>
  <c r="A1141" i="167" s="1"/>
  <c r="B1141" i="167" s="1"/>
  <c r="A904" i="167"/>
  <c r="B1461" i="167"/>
  <c r="B1484" i="167" s="1"/>
  <c r="B1462" i="167"/>
  <c r="B1463" i="167"/>
  <c r="A4102" i="167"/>
  <c r="B4101" i="167"/>
  <c r="L3" i="74"/>
  <c r="I5" i="74"/>
  <c r="I17" i="74" s="1"/>
  <c r="A1958" i="167"/>
  <c r="A2343" i="167" s="1"/>
  <c r="B2343" i="167" s="1"/>
  <c r="B2468" i="167" s="1"/>
  <c r="A1959" i="167"/>
  <c r="A1962" i="167" s="1"/>
  <c r="A1965" i="167" s="1"/>
  <c r="A1960" i="167"/>
  <c r="A1963" i="167" s="1"/>
  <c r="A1461" i="167"/>
  <c r="A1484" i="167" s="1"/>
  <c r="A1462" i="167"/>
  <c r="A1872" i="167" s="1"/>
  <c r="B1872" i="167" s="1"/>
  <c r="B1943" i="167" s="1"/>
  <c r="B1944" i="167" s="1"/>
  <c r="A1463" i="167"/>
  <c r="A5159" i="167"/>
  <c r="B5158" i="167"/>
  <c r="C9" i="16" l="1"/>
  <c r="D7" i="16" s="1"/>
  <c r="I3" i="25"/>
  <c r="F5" i="25"/>
  <c r="F23" i="25" s="1"/>
  <c r="F26" i="25" s="1"/>
  <c r="B5669" i="167"/>
  <c r="A5670" i="167"/>
  <c r="B1487" i="167"/>
  <c r="B1485" i="167"/>
  <c r="B3580" i="167"/>
  <c r="A3581" i="167"/>
  <c r="A1487" i="167"/>
  <c r="A1485" i="167"/>
  <c r="A5160" i="167"/>
  <c r="B5159" i="167"/>
  <c r="A1964" i="167"/>
  <c r="A1967" i="167" s="1"/>
  <c r="A1969" i="167" s="1"/>
  <c r="A1966" i="167"/>
  <c r="A1968" i="167" s="1"/>
  <c r="A1971" i="167" s="1"/>
  <c r="A1987" i="167"/>
  <c r="A1990" i="167" s="1"/>
  <c r="O3" i="74"/>
  <c r="L5" i="74"/>
  <c r="L17" i="74" s="1"/>
  <c r="B3004" i="167"/>
  <c r="B3006" i="167" s="1"/>
  <c r="B3007" i="167" s="1"/>
  <c r="B3003" i="167"/>
  <c r="B3005" i="167" s="1"/>
  <c r="C46" i="20"/>
  <c r="D46" i="20" s="1"/>
  <c r="E46" i="20" s="1"/>
  <c r="F46" i="20" s="1"/>
  <c r="G46" i="20" s="1"/>
  <c r="H46" i="20" s="1"/>
  <c r="I46" i="20" s="1"/>
  <c r="J46" i="20" s="1"/>
  <c r="K46" i="20" s="1"/>
  <c r="L46" i="20" s="1"/>
  <c r="M46" i="20" s="1"/>
  <c r="N46" i="20" s="1"/>
  <c r="B1945" i="167"/>
  <c r="B1946" i="167" s="1"/>
  <c r="A4103" i="167"/>
  <c r="B4102" i="167"/>
  <c r="B440" i="167"/>
  <c r="B441" i="167"/>
  <c r="B4633" i="167"/>
  <c r="A4634" i="167"/>
  <c r="D11" i="15" l="1"/>
  <c r="A1488" i="167"/>
  <c r="I5" i="25"/>
  <c r="I23" i="25" s="1"/>
  <c r="L3" i="25"/>
  <c r="B5670" i="167"/>
  <c r="A5671" i="167"/>
  <c r="A4635" i="167"/>
  <c r="A4636" i="167"/>
  <c r="B4634" i="167"/>
  <c r="F15" i="18"/>
  <c r="F15" i="14" s="1"/>
  <c r="C30" i="16"/>
  <c r="B442" i="167"/>
  <c r="R3" i="74"/>
  <c r="O5" i="74"/>
  <c r="O17" i="74" s="1"/>
  <c r="A3582" i="167"/>
  <c r="A3583" i="167"/>
  <c r="B3581" i="167"/>
  <c r="A2419" i="167"/>
  <c r="B2419" i="167" s="1"/>
  <c r="B3054" i="167" s="1"/>
  <c r="A1993" i="167"/>
  <c r="B5160" i="167"/>
  <c r="A5161" i="167"/>
  <c r="A5162" i="167"/>
  <c r="B4103" i="167"/>
  <c r="A4104" i="167"/>
  <c r="A4105" i="167"/>
  <c r="B3008" i="167"/>
  <c r="B3009" i="167"/>
  <c r="A1974" i="167"/>
  <c r="A1977" i="167" s="1"/>
  <c r="A1973" i="167"/>
  <c r="B1488" i="167"/>
  <c r="B443" i="167"/>
  <c r="B1947" i="167"/>
  <c r="C47" i="20"/>
  <c r="D47" i="20" s="1"/>
  <c r="E47" i="20" s="1"/>
  <c r="F47" i="20" s="1"/>
  <c r="G47" i="20" s="1"/>
  <c r="H47" i="20" s="1"/>
  <c r="I47" i="20" s="1"/>
  <c r="J47" i="20" s="1"/>
  <c r="K47" i="20" s="1"/>
  <c r="L47" i="20" s="1"/>
  <c r="M47" i="20" s="1"/>
  <c r="A1970" i="167"/>
  <c r="A1972" i="167"/>
  <c r="A1975" i="167" s="1"/>
  <c r="A2508" i="167"/>
  <c r="A1490" i="167"/>
  <c r="A1491" i="167" s="1"/>
  <c r="B2508" i="167"/>
  <c r="B3596" i="167" s="1"/>
  <c r="B1490" i="167"/>
  <c r="O3" i="25" l="1"/>
  <c r="L5" i="25"/>
  <c r="L23" i="25" s="1"/>
  <c r="B5671" i="167"/>
  <c r="A5672" i="167"/>
  <c r="B1491" i="167"/>
  <c r="B1493" i="167"/>
  <c r="B3599" i="167"/>
  <c r="A1914" i="167"/>
  <c r="B1914" i="167" s="1"/>
  <c r="B2511" i="167" s="1"/>
  <c r="A1493" i="167"/>
  <c r="A1494" i="167" s="1"/>
  <c r="A1988" i="167" s="1"/>
  <c r="A1991" i="167" s="1"/>
  <c r="A1994" i="167" s="1"/>
  <c r="A2511" i="167"/>
  <c r="A2514" i="167" s="1"/>
  <c r="A2509" i="167"/>
  <c r="A1976" i="167"/>
  <c r="A1979" i="167" s="1"/>
  <c r="A1981" i="167" s="1"/>
  <c r="A1978" i="167"/>
  <c r="A1980" i="167" s="1"/>
  <c r="A1983" i="167" s="1"/>
  <c r="A1985" i="167" s="1"/>
  <c r="A2006" i="167" s="1"/>
  <c r="B2006" i="167" s="1"/>
  <c r="B1948" i="167"/>
  <c r="C45" i="20"/>
  <c r="D45" i="20" s="1"/>
  <c r="E45" i="20" s="1"/>
  <c r="B444" i="167"/>
  <c r="B3011" i="167"/>
  <c r="B3012" i="167"/>
  <c r="B3010" i="167"/>
  <c r="A4107" i="167"/>
  <c r="B4105" i="167"/>
  <c r="A4106" i="167"/>
  <c r="B4106" i="167" s="1"/>
  <c r="B4104" i="167"/>
  <c r="A5164" i="167"/>
  <c r="B5162" i="167"/>
  <c r="A5163" i="167"/>
  <c r="B5163" i="167" s="1"/>
  <c r="B5161" i="167"/>
  <c r="A2422" i="167"/>
  <c r="B2422" i="167" s="1"/>
  <c r="B3057" i="167" s="1"/>
  <c r="B3060" i="167" s="1"/>
  <c r="A1996" i="167"/>
  <c r="A3585" i="167"/>
  <c r="B3583" i="167"/>
  <c r="A3584" i="167"/>
  <c r="B3584" i="167" s="1"/>
  <c r="B3582" i="167"/>
  <c r="U3" i="74"/>
  <c r="R5" i="74"/>
  <c r="R17" i="74" s="1"/>
  <c r="D45" i="15"/>
  <c r="E44" i="15" s="1"/>
  <c r="D29" i="16"/>
  <c r="A4638" i="167"/>
  <c r="B4636" i="167"/>
  <c r="A4637" i="167"/>
  <c r="B4637" i="167" s="1"/>
  <c r="B4635" i="167"/>
  <c r="A1997" i="167" l="1"/>
  <c r="B5672" i="167"/>
  <c r="A5673" i="167"/>
  <c r="A5674" i="167"/>
  <c r="R3" i="25"/>
  <c r="O5" i="25"/>
  <c r="O23" i="25" s="1"/>
  <c r="F45" i="20"/>
  <c r="B1494" i="167"/>
  <c r="A2512" i="167"/>
  <c r="A2515" i="167" s="1"/>
  <c r="A4639" i="167"/>
  <c r="B4638" i="167"/>
  <c r="X3" i="74"/>
  <c r="U5" i="74"/>
  <c r="U17" i="74" s="1"/>
  <c r="A3586" i="167"/>
  <c r="B3585" i="167"/>
  <c r="B5164" i="167"/>
  <c r="A5165" i="167"/>
  <c r="B4107" i="167"/>
  <c r="A4108" i="167"/>
  <c r="B445" i="167"/>
  <c r="B446" i="167"/>
  <c r="B1949" i="167"/>
  <c r="B1950" i="167" s="1"/>
  <c r="I25" i="8"/>
  <c r="C25" i="8"/>
  <c r="M25" i="8"/>
  <c r="F25" i="8"/>
  <c r="K25" i="8"/>
  <c r="J25" i="8"/>
  <c r="H25" i="8"/>
  <c r="D25" i="8"/>
  <c r="E25" i="8"/>
  <c r="N25" i="8"/>
  <c r="L25" i="8"/>
  <c r="G25" i="8"/>
  <c r="A1984" i="167"/>
  <c r="A2000" i="167" s="1"/>
  <c r="B2000" i="167" s="1"/>
  <c r="A1982" i="167"/>
  <c r="B4156" i="167"/>
  <c r="B4159" i="167" s="1"/>
  <c r="B3602" i="167"/>
  <c r="B2514" i="167"/>
  <c r="U3" i="25" l="1"/>
  <c r="R5" i="25"/>
  <c r="R23" i="25" s="1"/>
  <c r="B5674" i="167"/>
  <c r="A5676" i="167"/>
  <c r="B5673" i="167"/>
  <c r="A5675" i="167"/>
  <c r="B5675" i="167" s="1"/>
  <c r="P25" i="8"/>
  <c r="G45" i="20"/>
  <c r="B1952" i="167"/>
  <c r="B1951" i="167"/>
  <c r="E9" i="8"/>
  <c r="J9" i="8"/>
  <c r="N9" i="8"/>
  <c r="C9" i="8"/>
  <c r="I9" i="8"/>
  <c r="D9" i="8"/>
  <c r="G9" i="8"/>
  <c r="M9" i="8"/>
  <c r="L9" i="8"/>
  <c r="K9" i="8"/>
  <c r="H9" i="8"/>
  <c r="F9" i="8"/>
  <c r="B448" i="167"/>
  <c r="B449" i="167"/>
  <c r="B447" i="167"/>
  <c r="B4108" i="167"/>
  <c r="A4110" i="167"/>
  <c r="A4109" i="167"/>
  <c r="B4109" i="167" s="1"/>
  <c r="B5165" i="167"/>
  <c r="A5167" i="167"/>
  <c r="A5166" i="167"/>
  <c r="B5166" i="167" s="1"/>
  <c r="A3588" i="167"/>
  <c r="B3586" i="167"/>
  <c r="A3587" i="167"/>
  <c r="B3587" i="167" s="1"/>
  <c r="AA3" i="74"/>
  <c r="X5" i="74"/>
  <c r="X17" i="74" s="1"/>
  <c r="X19" i="74" s="1"/>
  <c r="A4641" i="167"/>
  <c r="B4639" i="167"/>
  <c r="A4640" i="167"/>
  <c r="B4640" i="167" s="1"/>
  <c r="B5676" i="167" l="1"/>
  <c r="A5677" i="167"/>
  <c r="U5" i="25"/>
  <c r="U23" i="25" s="1"/>
  <c r="X3" i="25"/>
  <c r="B1954" i="167"/>
  <c r="B1953" i="167"/>
  <c r="N27" i="8" s="1"/>
  <c r="N10" i="8"/>
  <c r="C10" i="8"/>
  <c r="G10" i="8"/>
  <c r="D10" i="8"/>
  <c r="K10" i="8"/>
  <c r="I10" i="8"/>
  <c r="F10" i="8"/>
  <c r="H10" i="8"/>
  <c r="E10" i="8"/>
  <c r="J10" i="8"/>
  <c r="L10" i="8"/>
  <c r="M10" i="8"/>
  <c r="H45" i="20"/>
  <c r="A4643" i="167"/>
  <c r="B4643" i="167" s="1"/>
  <c r="B4754" i="167" s="1"/>
  <c r="A4644" i="167"/>
  <c r="B4641" i="167"/>
  <c r="A4642" i="167"/>
  <c r="B4642" i="167" s="1"/>
  <c r="AD3" i="74"/>
  <c r="AA5" i="74"/>
  <c r="AA17" i="74" s="1"/>
  <c r="AA19" i="74" s="1"/>
  <c r="A3589" i="167"/>
  <c r="B3589" i="167" s="1"/>
  <c r="A3590" i="167"/>
  <c r="B3590" i="167" s="1"/>
  <c r="B3588" i="167"/>
  <c r="A3591" i="167"/>
  <c r="A5169" i="167"/>
  <c r="B5169" i="167" s="1"/>
  <c r="B5377" i="167" s="1"/>
  <c r="B5557" i="167" s="1"/>
  <c r="B5560" i="167" s="1"/>
  <c r="B5167" i="167"/>
  <c r="A5170" i="167"/>
  <c r="B5170" i="167" s="1"/>
  <c r="A5168" i="167"/>
  <c r="B5168" i="167" s="1"/>
  <c r="A4111" i="167"/>
  <c r="B4111" i="167" s="1"/>
  <c r="A4112" i="167"/>
  <c r="B4112" i="167" s="1"/>
  <c r="B4110" i="167"/>
  <c r="A4113" i="167"/>
  <c r="B4113" i="167" s="1"/>
  <c r="B903" i="167"/>
  <c r="B451" i="167"/>
  <c r="P9" i="8"/>
  <c r="X5" i="25" l="1"/>
  <c r="X23" i="25" s="1"/>
  <c r="X25" i="25" s="1"/>
  <c r="AA3" i="25"/>
  <c r="B5677" i="167"/>
  <c r="A5678" i="167"/>
  <c r="B5678" i="167" s="1"/>
  <c r="A5679" i="167"/>
  <c r="I45" i="20"/>
  <c r="J27" i="8"/>
  <c r="M27" i="8"/>
  <c r="H27" i="8"/>
  <c r="F27" i="8"/>
  <c r="D27" i="8"/>
  <c r="C27" i="8"/>
  <c r="B1955" i="167"/>
  <c r="J23" i="8"/>
  <c r="K23" i="8"/>
  <c r="I23" i="8"/>
  <c r="N23" i="8"/>
  <c r="E23" i="8"/>
  <c r="D23" i="8"/>
  <c r="C23" i="8"/>
  <c r="M23" i="8"/>
  <c r="L23" i="8"/>
  <c r="F23" i="8"/>
  <c r="G23" i="8"/>
  <c r="H23" i="8"/>
  <c r="I27" i="8"/>
  <c r="G27" i="8"/>
  <c r="L27" i="8"/>
  <c r="P10" i="8"/>
  <c r="K27" i="8"/>
  <c r="E27" i="8"/>
  <c r="B452" i="167"/>
  <c r="A3606" i="167"/>
  <c r="B3606" i="167" s="1"/>
  <c r="A3605" i="167"/>
  <c r="B3605" i="167" s="1"/>
  <c r="B3591" i="167"/>
  <c r="AG3" i="74"/>
  <c r="AD5" i="74"/>
  <c r="AD17" i="74" s="1"/>
  <c r="AD19" i="74" s="1"/>
  <c r="A4647" i="167"/>
  <c r="A4646" i="167"/>
  <c r="B4644" i="167"/>
  <c r="B5679" i="167" l="1"/>
  <c r="A5681" i="167"/>
  <c r="B5681" i="167" s="1"/>
  <c r="A5682" i="167"/>
  <c r="B5682" i="167" s="1"/>
  <c r="A5680" i="167"/>
  <c r="B5680" i="167" s="1"/>
  <c r="AA5" i="25"/>
  <c r="AA23" i="25" s="1"/>
  <c r="AA25" i="25" s="1"/>
  <c r="AD3" i="25"/>
  <c r="P23" i="8"/>
  <c r="P27" i="8"/>
  <c r="B1956" i="167"/>
  <c r="J22" i="8" s="1"/>
  <c r="B1957" i="167"/>
  <c r="J45" i="20"/>
  <c r="B4646" i="167"/>
  <c r="A4648" i="167"/>
  <c r="A4649" i="167"/>
  <c r="B4647" i="167"/>
  <c r="AJ3" i="74"/>
  <c r="AG5" i="74"/>
  <c r="AG17" i="74" s="1"/>
  <c r="AG19" i="74" s="1"/>
  <c r="G22" i="8" l="1"/>
  <c r="C22" i="8"/>
  <c r="E22" i="8"/>
  <c r="AD5" i="25"/>
  <c r="AD23" i="25" s="1"/>
  <c r="AD25" i="25" s="1"/>
  <c r="AG3" i="25"/>
  <c r="C22" i="20"/>
  <c r="D22" i="20" s="1"/>
  <c r="E22" i="20" s="1"/>
  <c r="F22" i="20" s="1"/>
  <c r="G22" i="20" s="1"/>
  <c r="H22" i="20" s="1"/>
  <c r="I22" i="20" s="1"/>
  <c r="J22" i="20" s="1"/>
  <c r="K22" i="20" s="1"/>
  <c r="L22" i="20" s="1"/>
  <c r="M22" i="20" s="1"/>
  <c r="N22" i="20" s="1"/>
  <c r="B1958" i="167"/>
  <c r="B1959" i="167"/>
  <c r="B1960" i="167"/>
  <c r="F22" i="8"/>
  <c r="M22" i="8"/>
  <c r="N22" i="8"/>
  <c r="L22" i="8"/>
  <c r="H22" i="8"/>
  <c r="K45" i="20"/>
  <c r="K22" i="8"/>
  <c r="I22" i="8"/>
  <c r="D22" i="8"/>
  <c r="AM3" i="74"/>
  <c r="AM5" i="74" s="1"/>
  <c r="AM17" i="74" s="1"/>
  <c r="AJ5" i="74"/>
  <c r="AJ17" i="74" s="1"/>
  <c r="AJ19" i="74" s="1"/>
  <c r="A4651" i="167"/>
  <c r="B4649" i="167"/>
  <c r="B4648" i="167"/>
  <c r="A4650" i="167"/>
  <c r="AM19" i="74" l="1"/>
  <c r="AM27" i="74" s="1"/>
  <c r="P22" i="8"/>
  <c r="AG5" i="25"/>
  <c r="AG23" i="25" s="1"/>
  <c r="AG25" i="25" s="1"/>
  <c r="AJ3" i="25"/>
  <c r="L45" i="20"/>
  <c r="B1963" i="167"/>
  <c r="H26" i="8"/>
  <c r="M26" i="8"/>
  <c r="L26" i="8"/>
  <c r="F26" i="8"/>
  <c r="I26" i="8"/>
  <c r="E26" i="8"/>
  <c r="K26" i="8"/>
  <c r="N26" i="8"/>
  <c r="J26" i="8"/>
  <c r="D26" i="8"/>
  <c r="C26" i="8"/>
  <c r="G26" i="8"/>
  <c r="B1962" i="167"/>
  <c r="C21" i="20"/>
  <c r="D21" i="20" s="1"/>
  <c r="E21" i="20" s="1"/>
  <c r="F21" i="20" s="1"/>
  <c r="G21" i="20" s="1"/>
  <c r="H21" i="20" s="1"/>
  <c r="I21" i="20" s="1"/>
  <c r="J21" i="20" s="1"/>
  <c r="K21" i="20" s="1"/>
  <c r="L21" i="20" s="1"/>
  <c r="M21" i="20" s="1"/>
  <c r="N21" i="20" s="1"/>
  <c r="C23" i="20"/>
  <c r="D23" i="20" s="1"/>
  <c r="E23" i="20" s="1"/>
  <c r="F23" i="20" s="1"/>
  <c r="G23" i="20" s="1"/>
  <c r="H23" i="20" s="1"/>
  <c r="I23" i="20" s="1"/>
  <c r="J23" i="20" s="1"/>
  <c r="K23" i="20" s="1"/>
  <c r="L23" i="20" s="1"/>
  <c r="M23" i="20" s="1"/>
  <c r="N23" i="20" s="1"/>
  <c r="A4652" i="167"/>
  <c r="B4650" i="167"/>
  <c r="A4653" i="167"/>
  <c r="B4651" i="167"/>
  <c r="AJ5" i="25" l="1"/>
  <c r="AJ23" i="25" s="1"/>
  <c r="AJ25" i="25" s="1"/>
  <c r="AM3" i="25"/>
  <c r="AM5" i="25" s="1"/>
  <c r="P26" i="8"/>
  <c r="B1965" i="167"/>
  <c r="B1987" i="167"/>
  <c r="B1964" i="167"/>
  <c r="B1966" i="167"/>
  <c r="B1968" i="167" s="1"/>
  <c r="B1971" i="167" s="1"/>
  <c r="M45" i="20"/>
  <c r="B4653" i="167"/>
  <c r="A4655" i="167"/>
  <c r="B4652" i="167"/>
  <c r="A4654" i="167"/>
  <c r="AM23" i="25" l="1"/>
  <c r="AM25" i="25" s="1"/>
  <c r="AM33" i="25" s="1"/>
  <c r="B1973" i="167"/>
  <c r="B1974" i="167"/>
  <c r="B1967" i="167"/>
  <c r="B1988" i="167"/>
  <c r="B1990" i="167"/>
  <c r="B1991" i="167" s="1"/>
  <c r="N45" i="20"/>
  <c r="B4654" i="167"/>
  <c r="A4656" i="167"/>
  <c r="B4655" i="167"/>
  <c r="A4657" i="167"/>
  <c r="B1993" i="167" l="1"/>
  <c r="B1977" i="167"/>
  <c r="B1969" i="167"/>
  <c r="F14" i="18"/>
  <c r="C27" i="16"/>
  <c r="B4657" i="167"/>
  <c r="A4659" i="167"/>
  <c r="B4656" i="167"/>
  <c r="A4658" i="167"/>
  <c r="B1970" i="167" l="1"/>
  <c r="B1972" i="167"/>
  <c r="B1975" i="167" s="1"/>
  <c r="B1996" i="167"/>
  <c r="B1994" i="167"/>
  <c r="D26" i="16"/>
  <c r="D42" i="15"/>
  <c r="E41" i="15" s="1"/>
  <c r="F14" i="14"/>
  <c r="B4658" i="167"/>
  <c r="A4660" i="167"/>
  <c r="A4661" i="167"/>
  <c r="B4659" i="167"/>
  <c r="B1976" i="167" l="1"/>
  <c r="B1978" i="167"/>
  <c r="B1980" i="167" s="1"/>
  <c r="B1983" i="167" s="1"/>
  <c r="B1997" i="167"/>
  <c r="B2506" i="167" s="1"/>
  <c r="B2509" i="167" s="1"/>
  <c r="B2512" i="167" s="1"/>
  <c r="B2515" i="167" s="1"/>
  <c r="B3052" i="167" s="1"/>
  <c r="B3055" i="167" s="1"/>
  <c r="B3058" i="167" s="1"/>
  <c r="B3061" i="167" s="1"/>
  <c r="B3594" i="167" s="1"/>
  <c r="B3597" i="167" s="1"/>
  <c r="B3600" i="167" s="1"/>
  <c r="B3603" i="167" s="1"/>
  <c r="B4151" i="167" s="1"/>
  <c r="B4154" i="167" s="1"/>
  <c r="B4157" i="167" s="1"/>
  <c r="B4160" i="167" s="1"/>
  <c r="B4661" i="167"/>
  <c r="A4663" i="167"/>
  <c r="A4662" i="167"/>
  <c r="B4660" i="167"/>
  <c r="B1985" i="167" l="1"/>
  <c r="B1979" i="167"/>
  <c r="A4664" i="167"/>
  <c r="B4662" i="167"/>
  <c r="A4665" i="167"/>
  <c r="B4663" i="167"/>
  <c r="B1981" i="167" l="1"/>
  <c r="B4665" i="167"/>
  <c r="A4667" i="167"/>
  <c r="A4666" i="167"/>
  <c r="B4664" i="167"/>
  <c r="B1982" i="167" l="1"/>
  <c r="B1984" i="167"/>
  <c r="B4666" i="167"/>
  <c r="B4693" i="167" s="1"/>
  <c r="A4668" i="167"/>
  <c r="A4974" i="167"/>
  <c r="B4667" i="167"/>
  <c r="A4669" i="167"/>
  <c r="B4696" i="167" l="1"/>
  <c r="B4694" i="167"/>
  <c r="A4671" i="167"/>
  <c r="B4669" i="167"/>
  <c r="B4974" i="167"/>
  <c r="A4670" i="167"/>
  <c r="B4668" i="167"/>
  <c r="B4699" i="167" l="1"/>
  <c r="B4697" i="167"/>
  <c r="B4670" i="167"/>
  <c r="A4672" i="167"/>
  <c r="B4671" i="167"/>
  <c r="A4673" i="167"/>
  <c r="B4700" i="167" l="1"/>
  <c r="B4702" i="167"/>
  <c r="B4673" i="167"/>
  <c r="A4675" i="167"/>
  <c r="A4706" i="167"/>
  <c r="A4721" i="167" s="1"/>
  <c r="A4757" i="167" s="1"/>
  <c r="A4760" i="167" s="1"/>
  <c r="A4772" i="167" s="1"/>
  <c r="A4787" i="167" s="1"/>
  <c r="A4880" i="167" s="1"/>
  <c r="A4901" i="167" s="1"/>
  <c r="A4913" i="167" s="1"/>
  <c r="A4925" i="167" s="1"/>
  <c r="A4934" i="167" s="1"/>
  <c r="A4952" i="167" s="1"/>
  <c r="A4961" i="167" s="1"/>
  <c r="A5013" i="167" s="1"/>
  <c r="A5028" i="167" s="1"/>
  <c r="A5086" i="167" s="1"/>
  <c r="A5092" i="167" s="1"/>
  <c r="A4674" i="167"/>
  <c r="B4672" i="167"/>
  <c r="B4706" i="167" l="1"/>
  <c r="B4721" i="167" s="1"/>
  <c r="B4757" i="167" s="1"/>
  <c r="B4760" i="167" s="1"/>
  <c r="B4772" i="167" s="1"/>
  <c r="B4787" i="167" s="1"/>
  <c r="B4880" i="167" s="1"/>
  <c r="B4901" i="167" s="1"/>
  <c r="B4913" i="167" s="1"/>
  <c r="B4925" i="167" s="1"/>
  <c r="B4934" i="167" s="1"/>
  <c r="B4952" i="167" s="1"/>
  <c r="B4961" i="167" s="1"/>
  <c r="B5013" i="167" s="1"/>
  <c r="B5028" i="167" s="1"/>
  <c r="B5086" i="167" s="1"/>
  <c r="B5092" i="167" s="1"/>
  <c r="B4703" i="167"/>
  <c r="B4674" i="167"/>
  <c r="A4676" i="167"/>
  <c r="A4677" i="167"/>
  <c r="B4675" i="167"/>
  <c r="B4677" i="167" l="1"/>
  <c r="A4679" i="167"/>
  <c r="A4678" i="167"/>
  <c r="B4676" i="167"/>
  <c r="A4680" i="167" l="1"/>
  <c r="B4680" i="167" s="1"/>
  <c r="B4678" i="167"/>
  <c r="B4679" i="167"/>
  <c r="A4681" i="167"/>
  <c r="B4681" i="167" l="1"/>
  <c r="A4683" i="167"/>
  <c r="A4684" i="167" l="1"/>
  <c r="B4683" i="167"/>
  <c r="B4835" i="167" l="1"/>
  <c r="B4838" i="167" s="1"/>
  <c r="B4841" i="167" s="1"/>
  <c r="B4844" i="167" s="1"/>
  <c r="A4811" i="167"/>
  <c r="A4862" i="167" s="1"/>
  <c r="A4931" i="167" s="1"/>
  <c r="A5016" i="167" s="1"/>
  <c r="B4684" i="167"/>
  <c r="A4686" i="167"/>
  <c r="B4811" i="167" l="1"/>
  <c r="B4862" i="167" s="1"/>
  <c r="B4931" i="167" s="1"/>
  <c r="B5016" i="167" s="1"/>
  <c r="B5019" i="167" s="1"/>
  <c r="B4686" i="167"/>
  <c r="A4688" i="167"/>
  <c r="A4687" i="167"/>
  <c r="A5172" i="167" l="1"/>
  <c r="A4689" i="167"/>
  <c r="B4687" i="167"/>
  <c r="A4690" i="167"/>
  <c r="B4690" i="167" s="1"/>
  <c r="B4688" i="167"/>
  <c r="A4709" i="167" l="1"/>
  <c r="A4712" i="167" s="1"/>
  <c r="A4715" i="167" s="1"/>
  <c r="A4724" i="167" s="1"/>
  <c r="A4727" i="167" s="1"/>
  <c r="A4736" i="167" s="1"/>
  <c r="A4739" i="167" s="1"/>
  <c r="A4742" i="167" s="1"/>
  <c r="A4751" i="167" s="1"/>
  <c r="A4763" i="167" s="1"/>
  <c r="A4766" i="167" s="1"/>
  <c r="A4775" i="167" s="1"/>
  <c r="A4781" i="167" s="1"/>
  <c r="A4799" i="167" s="1"/>
  <c r="A4805" i="167" s="1"/>
  <c r="A4808" i="167" s="1"/>
  <c r="A4817" i="167" s="1"/>
  <c r="A4820" i="167" s="1"/>
  <c r="A4823" i="167" s="1"/>
  <c r="A4826" i="167" s="1"/>
  <c r="A4829" i="167" s="1"/>
  <c r="A4853" i="167" s="1"/>
  <c r="A4856" i="167" s="1"/>
  <c r="A4859" i="167" s="1"/>
  <c r="A4865" i="167" s="1"/>
  <c r="A4868" i="167" s="1"/>
  <c r="A4871" i="167" s="1"/>
  <c r="A4874" i="167" s="1"/>
  <c r="A4877" i="167" s="1"/>
  <c r="A4883" i="167" s="1"/>
  <c r="A4886" i="167" s="1"/>
  <c r="A4898" i="167" s="1"/>
  <c r="A4904" i="167" s="1"/>
  <c r="A4910" i="167" s="1"/>
  <c r="A4916" i="167" s="1"/>
  <c r="A4919" i="167" s="1"/>
  <c r="A4922" i="167" s="1"/>
  <c r="A4928" i="167" s="1"/>
  <c r="A4946" i="167" s="1"/>
  <c r="A4949" i="167" s="1"/>
  <c r="A4955" i="167" s="1"/>
  <c r="A4964" i="167" s="1"/>
  <c r="A4970" i="167" s="1"/>
  <c r="A5001" i="167" s="1"/>
  <c r="A5007" i="167" s="1"/>
  <c r="A5010" i="167" s="1"/>
  <c r="A5022" i="167" s="1"/>
  <c r="A5025" i="167" s="1"/>
  <c r="A5034" i="167" s="1"/>
  <c r="A5046" i="167" s="1"/>
  <c r="A5055" i="167" s="1"/>
  <c r="A5074" i="167" s="1"/>
  <c r="A5077" i="167" s="1"/>
  <c r="A5080" i="167" s="1"/>
  <c r="A5089" i="167" s="1"/>
  <c r="A5095" i="167" s="1"/>
  <c r="A5098" i="167" s="1"/>
  <c r="A5139" i="167" s="1"/>
  <c r="A5142" i="167" s="1"/>
  <c r="B4689" i="167"/>
  <c r="B4709" i="167" s="1"/>
  <c r="B4712" i="167" s="1"/>
  <c r="B4715" i="167" s="1"/>
  <c r="B4724" i="167" s="1"/>
  <c r="B4727" i="167" s="1"/>
  <c r="B4736" i="167" s="1"/>
  <c r="B4739" i="167" s="1"/>
  <c r="B4742" i="167" s="1"/>
  <c r="B4751" i="167" s="1"/>
  <c r="B4763" i="167" s="1"/>
  <c r="B4766" i="167" s="1"/>
  <c r="B4775" i="167" s="1"/>
  <c r="B4781" i="167" s="1"/>
  <c r="B4799" i="167" s="1"/>
  <c r="B4805" i="167" s="1"/>
  <c r="B4808" i="167" s="1"/>
  <c r="B4817" i="167" s="1"/>
  <c r="B4820" i="167" s="1"/>
  <c r="B4823" i="167" s="1"/>
  <c r="B4826" i="167" s="1"/>
  <c r="B4829" i="167" s="1"/>
  <c r="B4853" i="167" s="1"/>
  <c r="B4856" i="167" s="1"/>
  <c r="B4859" i="167" s="1"/>
  <c r="B4865" i="167" s="1"/>
  <c r="B4868" i="167" s="1"/>
  <c r="B4871" i="167" s="1"/>
  <c r="B4874" i="167" s="1"/>
  <c r="B4877" i="167" s="1"/>
  <c r="B4883" i="167" s="1"/>
  <c r="B4886" i="167" s="1"/>
  <c r="B4898" i="167" s="1"/>
  <c r="B4904" i="167" s="1"/>
  <c r="B4910" i="167" s="1"/>
  <c r="B4916" i="167" s="1"/>
  <c r="B4919" i="167" s="1"/>
  <c r="B4922" i="167" s="1"/>
  <c r="B4928" i="167" s="1"/>
  <c r="B4946" i="167" s="1"/>
  <c r="B4949" i="167" s="1"/>
  <c r="B4955" i="167" s="1"/>
  <c r="B4964" i="167" s="1"/>
  <c r="B4970" i="167" s="1"/>
  <c r="B5001" i="167" s="1"/>
  <c r="B5007" i="167" s="1"/>
  <c r="B5010" i="167" s="1"/>
  <c r="B5022" i="167" s="1"/>
  <c r="B5025" i="167" s="1"/>
  <c r="B5034" i="167" s="1"/>
  <c r="B5046" i="167" s="1"/>
  <c r="B5055" i="167" s="1"/>
  <c r="B5074" i="167" s="1"/>
  <c r="B5077" i="167" s="1"/>
  <c r="B5080" i="167" s="1"/>
  <c r="B5089" i="167" s="1"/>
  <c r="B5095" i="167" s="1"/>
  <c r="B5098" i="167" s="1"/>
  <c r="B5139" i="167" s="1"/>
  <c r="B5142" i="167" s="1"/>
  <c r="A4691" i="167"/>
  <c r="A5173" i="167"/>
  <c r="A5174" i="167"/>
  <c r="B5172" i="167"/>
  <c r="B5174" i="167" l="1"/>
  <c r="A5176" i="167"/>
  <c r="B5173" i="167"/>
  <c r="A5175" i="167"/>
  <c r="A4718" i="167"/>
  <c r="A4730" i="167" s="1"/>
  <c r="A4733" i="167" s="1"/>
  <c r="A4745" i="167" s="1"/>
  <c r="A4748" i="167" s="1"/>
  <c r="A4778" i="167" s="1"/>
  <c r="A4784" i="167" s="1"/>
  <c r="A4790" i="167" s="1"/>
  <c r="A4793" i="167" s="1"/>
  <c r="A4802" i="167" s="1"/>
  <c r="A4814" i="167" s="1"/>
  <c r="A4832" i="167" s="1"/>
  <c r="A4847" i="167" s="1"/>
  <c r="A4850" i="167" s="1"/>
  <c r="A4889" i="167" s="1"/>
  <c r="A4895" i="167" s="1"/>
  <c r="A4907" i="167" s="1"/>
  <c r="A4937" i="167" s="1"/>
  <c r="A4943" i="167" s="1"/>
  <c r="A4958" i="167" s="1"/>
  <c r="A4980" i="167" s="1"/>
  <c r="A4983" i="167" s="1"/>
  <c r="A4989" i="167" s="1"/>
  <c r="A4992" i="167" s="1"/>
  <c r="A4995" i="167" s="1"/>
  <c r="A4998" i="167" s="1"/>
  <c r="A5004" i="167" s="1"/>
  <c r="A5031" i="167" s="1"/>
  <c r="A5040" i="167" s="1"/>
  <c r="A5043" i="167" s="1"/>
  <c r="A5049" i="167" s="1"/>
  <c r="A5052" i="167" s="1"/>
  <c r="A5058" i="167" s="1"/>
  <c r="A5061" i="167" s="1"/>
  <c r="A5083" i="167" s="1"/>
  <c r="B4691" i="167"/>
  <c r="B4718" i="167" s="1"/>
  <c r="B4730" i="167" s="1"/>
  <c r="B4733" i="167" s="1"/>
  <c r="B4745" i="167" s="1"/>
  <c r="B4748" i="167" s="1"/>
  <c r="B4778" i="167" s="1"/>
  <c r="B4784" i="167" s="1"/>
  <c r="B4790" i="167" s="1"/>
  <c r="B4793" i="167" s="1"/>
  <c r="B4802" i="167" s="1"/>
  <c r="B4814" i="167" s="1"/>
  <c r="B4832" i="167" s="1"/>
  <c r="B4847" i="167" s="1"/>
  <c r="B4850" i="167" s="1"/>
  <c r="B4889" i="167" s="1"/>
  <c r="B4895" i="167" s="1"/>
  <c r="B4907" i="167" s="1"/>
  <c r="B4937" i="167" s="1"/>
  <c r="B4943" i="167" s="1"/>
  <c r="B4958" i="167" s="1"/>
  <c r="B4980" i="167" s="1"/>
  <c r="B4983" i="167" s="1"/>
  <c r="B4989" i="167" s="1"/>
  <c r="B4992" i="167" s="1"/>
  <c r="B4995" i="167" s="1"/>
  <c r="B4998" i="167" s="1"/>
  <c r="B5004" i="167" s="1"/>
  <c r="B5031" i="167" s="1"/>
  <c r="B5040" i="167" s="1"/>
  <c r="B5043" i="167" s="1"/>
  <c r="B5049" i="167" s="1"/>
  <c r="B5052" i="167" s="1"/>
  <c r="B5058" i="167" s="1"/>
  <c r="B5061" i="167" s="1"/>
  <c r="B5083" i="167" s="1"/>
  <c r="B5101" i="167" s="1"/>
  <c r="A4693" i="167"/>
  <c r="A4696" i="167" l="1"/>
  <c r="A4699" i="167" s="1"/>
  <c r="A4702" i="167" s="1"/>
  <c r="A4694" i="167"/>
  <c r="A5177" i="167"/>
  <c r="B5177" i="167" s="1"/>
  <c r="B5204" i="167" s="1"/>
  <c r="B5175" i="167"/>
  <c r="B5176" i="167"/>
  <c r="A5178" i="167"/>
  <c r="A4697" i="167" l="1"/>
  <c r="A4700" i="167" s="1"/>
  <c r="A4703" i="167" s="1"/>
  <c r="B5207" i="167"/>
  <c r="C18" i="20"/>
  <c r="D18" i="20" s="1"/>
  <c r="E18" i="20" s="1"/>
  <c r="F18" i="20" s="1"/>
  <c r="G18" i="20" s="1"/>
  <c r="H18" i="20" s="1"/>
  <c r="I18" i="20" s="1"/>
  <c r="J18" i="20" s="1"/>
  <c r="K18" i="20" s="1"/>
  <c r="L18" i="20" s="1"/>
  <c r="M18" i="20" s="1"/>
  <c r="N18" i="20" s="1"/>
  <c r="B5205" i="167"/>
  <c r="A5180" i="167"/>
  <c r="B5178" i="167"/>
  <c r="A5179" i="167"/>
  <c r="B5208" i="167" l="1"/>
  <c r="B5210" i="167"/>
  <c r="C16" i="20"/>
  <c r="D16" i="20" s="1"/>
  <c r="E16" i="20" s="1"/>
  <c r="F16" i="20" s="1"/>
  <c r="G16" i="20" s="1"/>
  <c r="H16" i="20" s="1"/>
  <c r="I16" i="20" s="1"/>
  <c r="J16" i="20" s="1"/>
  <c r="K16" i="20" s="1"/>
  <c r="L16" i="20" s="1"/>
  <c r="M16" i="20" s="1"/>
  <c r="N16" i="20" s="1"/>
  <c r="A5181" i="167"/>
  <c r="B5179" i="167"/>
  <c r="A5182" i="167"/>
  <c r="B5180" i="167"/>
  <c r="B5213" i="167" l="1"/>
  <c r="C17" i="20"/>
  <c r="D17" i="20" s="1"/>
  <c r="E17" i="20" s="1"/>
  <c r="F17" i="20" s="1"/>
  <c r="G17" i="20" s="1"/>
  <c r="H17" i="20" s="1"/>
  <c r="I17" i="20" s="1"/>
  <c r="J17" i="20" s="1"/>
  <c r="K17" i="20" s="1"/>
  <c r="L17" i="20" s="1"/>
  <c r="M17" i="20" s="1"/>
  <c r="N17" i="20" s="1"/>
  <c r="C15" i="18" s="1"/>
  <c r="B5211" i="167"/>
  <c r="A5184" i="167"/>
  <c r="B5182" i="167"/>
  <c r="B5493" i="167" s="1"/>
  <c r="B5548" i="167" s="1"/>
  <c r="B5551" i="167" s="1"/>
  <c r="B5566" i="167" s="1"/>
  <c r="B5181" i="167"/>
  <c r="A5183" i="167"/>
  <c r="B5214" i="167" l="1"/>
  <c r="J37" i="8"/>
  <c r="K37" i="8"/>
  <c r="I37" i="8"/>
  <c r="L37" i="8"/>
  <c r="C12" i="20"/>
  <c r="B5183" i="167"/>
  <c r="A5185" i="167"/>
  <c r="B5185" i="167" s="1"/>
  <c r="B5184" i="167"/>
  <c r="A5186" i="167"/>
  <c r="A5187" i="167" s="1"/>
  <c r="I126" i="12" l="1"/>
  <c r="I125" i="12" s="1"/>
  <c r="I36" i="8"/>
  <c r="B5187" i="167"/>
  <c r="A5189" i="167"/>
  <c r="K36" i="8"/>
  <c r="K126" i="12"/>
  <c r="K125" i="12" s="1"/>
  <c r="D12" i="20"/>
  <c r="J126" i="12"/>
  <c r="J125" i="12" s="1"/>
  <c r="J36" i="8"/>
  <c r="L126" i="12"/>
  <c r="L125" i="12" s="1"/>
  <c r="L36" i="8"/>
  <c r="B5186" i="167"/>
  <c r="A5188" i="167"/>
  <c r="A5191" i="167" l="1"/>
  <c r="B5189" i="167"/>
  <c r="C48" i="20"/>
  <c r="C58" i="20" s="1"/>
  <c r="E12" i="20"/>
  <c r="A5190" i="167"/>
  <c r="B5188" i="167"/>
  <c r="D48" i="20" l="1"/>
  <c r="F12" i="20"/>
  <c r="B5191" i="167"/>
  <c r="A5193" i="167"/>
  <c r="B5190" i="167"/>
  <c r="A5192" i="167"/>
  <c r="B5192" i="167" s="1"/>
  <c r="D58" i="20" l="1"/>
  <c r="E48" i="20"/>
  <c r="G12" i="20"/>
  <c r="B5242" i="167"/>
  <c r="B5278" i="167" s="1"/>
  <c r="B5290" i="167" s="1"/>
  <c r="B5326" i="167" s="1"/>
  <c r="B5329" i="167" s="1"/>
  <c r="B5344" i="167" s="1"/>
  <c r="B5410" i="167" s="1"/>
  <c r="B5416" i="167" s="1"/>
  <c r="B5432" i="167" s="1"/>
  <c r="B5435" i="167" s="1"/>
  <c r="B5460" i="167" s="1"/>
  <c r="B5466" i="167" s="1"/>
  <c r="B5512" i="167" s="1"/>
  <c r="B5539" i="167" s="1"/>
  <c r="B5584" i="167" s="1"/>
  <c r="B5596" i="167" s="1"/>
  <c r="B5605" i="167" s="1"/>
  <c r="B5648" i="167" s="1"/>
  <c r="B5193" i="167"/>
  <c r="B5224" i="167" s="1"/>
  <c r="B5230" i="167" s="1"/>
  <c r="B5245" i="167" s="1"/>
  <c r="B5248" i="167" s="1"/>
  <c r="B5251" i="167" s="1"/>
  <c r="B5260" i="167" s="1"/>
  <c r="B5269" i="167" s="1"/>
  <c r="B5272" i="167" s="1"/>
  <c r="B5284" i="167" s="1"/>
  <c r="B5293" i="167" s="1"/>
  <c r="B5296" i="167" s="1"/>
  <c r="B5299" i="167" s="1"/>
  <c r="B5317" i="167" s="1"/>
  <c r="B5320" i="167" s="1"/>
  <c r="B5332" i="167" s="1"/>
  <c r="B5335" i="167" s="1"/>
  <c r="B5341" i="167" s="1"/>
  <c r="B5347" i="167" s="1"/>
  <c r="B5350" i="167" s="1"/>
  <c r="B5353" i="167" s="1"/>
  <c r="B5356" i="167" s="1"/>
  <c r="B5362" i="167" s="1"/>
  <c r="B5365" i="167" s="1"/>
  <c r="B5368" i="167" s="1"/>
  <c r="B5374" i="167" s="1"/>
  <c r="B5383" i="167" s="1"/>
  <c r="B5386" i="167" s="1"/>
  <c r="B5389" i="167" s="1"/>
  <c r="B5392" i="167" s="1"/>
  <c r="B5395" i="167" s="1"/>
  <c r="B5398" i="167" s="1"/>
  <c r="B5401" i="167" s="1"/>
  <c r="B5407" i="167" s="1"/>
  <c r="B5419" i="167" s="1"/>
  <c r="B5422" i="167" s="1"/>
  <c r="B5428" i="167" s="1"/>
  <c r="A5195" i="167"/>
  <c r="C20" i="20" l="1"/>
  <c r="D20" i="20" s="1"/>
  <c r="E20" i="20" s="1"/>
  <c r="F20" i="20" s="1"/>
  <c r="G20" i="20" s="1"/>
  <c r="H20" i="20" s="1"/>
  <c r="I20" i="20" s="1"/>
  <c r="J20" i="20" s="1"/>
  <c r="K20" i="20" s="1"/>
  <c r="L20" i="20" s="1"/>
  <c r="M20" i="20" s="1"/>
  <c r="N20" i="20" s="1"/>
  <c r="B5441" i="167"/>
  <c r="B5447" i="167" s="1"/>
  <c r="B5429" i="167"/>
  <c r="E58" i="20"/>
  <c r="F48" i="20"/>
  <c r="H12" i="20"/>
  <c r="A5196" i="167"/>
  <c r="B5195" i="167"/>
  <c r="C28" i="20"/>
  <c r="D28" i="20" s="1"/>
  <c r="E28" i="20" s="1"/>
  <c r="F28" i="20" s="1"/>
  <c r="G28" i="20" s="1"/>
  <c r="H28" i="20" s="1"/>
  <c r="I28" i="20" s="1"/>
  <c r="J28" i="20" s="1"/>
  <c r="K28" i="20" s="1"/>
  <c r="L28" i="20" s="1"/>
  <c r="F37" i="8"/>
  <c r="H19" i="8"/>
  <c r="H8" i="8" s="1"/>
  <c r="G19" i="8"/>
  <c r="G8" i="8" s="1"/>
  <c r="I19" i="8"/>
  <c r="I8" i="8" s="1"/>
  <c r="C19" i="8"/>
  <c r="M19" i="8"/>
  <c r="M8" i="8" s="1"/>
  <c r="J19" i="8"/>
  <c r="J8" i="8" s="1"/>
  <c r="L19" i="8"/>
  <c r="L8" i="8" s="1"/>
  <c r="D19" i="8"/>
  <c r="D8" i="8" s="1"/>
  <c r="E19" i="8"/>
  <c r="E8" i="8" s="1"/>
  <c r="K19" i="8"/>
  <c r="K8" i="8" s="1"/>
  <c r="F19" i="8"/>
  <c r="F8" i="8" s="1"/>
  <c r="N19" i="8"/>
  <c r="N8" i="8" s="1"/>
  <c r="G37" i="8"/>
  <c r="H37" i="8"/>
  <c r="M37" i="8"/>
  <c r="D37" i="8"/>
  <c r="N37" i="8"/>
  <c r="E37" i="8"/>
  <c r="C37" i="8"/>
  <c r="B5451" i="167" l="1"/>
  <c r="B5448" i="167"/>
  <c r="F58" i="20"/>
  <c r="G48" i="20"/>
  <c r="E36" i="8"/>
  <c r="E126" i="12"/>
  <c r="E125" i="12" s="1"/>
  <c r="H126" i="12"/>
  <c r="H125" i="12" s="1"/>
  <c r="H36" i="8"/>
  <c r="N36" i="8"/>
  <c r="N126" i="12"/>
  <c r="N125" i="12" s="1"/>
  <c r="P19" i="8"/>
  <c r="P8" i="8" s="1"/>
  <c r="C8" i="8"/>
  <c r="F36" i="8"/>
  <c r="F126" i="12"/>
  <c r="F125" i="12" s="1"/>
  <c r="G36" i="8"/>
  <c r="G126" i="12"/>
  <c r="G125" i="12" s="1"/>
  <c r="D126" i="12"/>
  <c r="D125" i="12" s="1"/>
  <c r="D36" i="8"/>
  <c r="P37" i="8"/>
  <c r="P36" i="8" s="1"/>
  <c r="C126" i="12"/>
  <c r="C36" i="8"/>
  <c r="M126" i="12"/>
  <c r="M125" i="12" s="1"/>
  <c r="M36" i="8"/>
  <c r="B5196" i="167"/>
  <c r="A5198" i="167"/>
  <c r="I12" i="20"/>
  <c r="B5454" i="167" l="1"/>
  <c r="B5469" i="167" s="1"/>
  <c r="B5472" i="167" s="1"/>
  <c r="B5481" i="167" s="1"/>
  <c r="B5484" i="167" s="1"/>
  <c r="B5490" i="167" s="1"/>
  <c r="B5509" i="167" s="1"/>
  <c r="B5515" i="167" s="1"/>
  <c r="B5527" i="167" s="1"/>
  <c r="B5530" i="167" s="1"/>
  <c r="B5545" i="167" s="1"/>
  <c r="B5563" i="167" s="1"/>
  <c r="B5569" i="167" s="1"/>
  <c r="B5572" i="167" s="1"/>
  <c r="B5575" i="167" s="1"/>
  <c r="B5608" i="167" s="1"/>
  <c r="B5611" i="167" s="1"/>
  <c r="B5614" i="167" s="1"/>
  <c r="B5617" i="167" s="1"/>
  <c r="B5620" i="167" s="1"/>
  <c r="B5629" i="167" s="1"/>
  <c r="B5632" i="167" s="1"/>
  <c r="G58" i="20"/>
  <c r="H48" i="20"/>
  <c r="J12" i="20"/>
  <c r="B5198" i="167"/>
  <c r="A5199" i="167"/>
  <c r="P126" i="12"/>
  <c r="R126" i="12" s="1"/>
  <c r="C125" i="12"/>
  <c r="P125" i="12" s="1"/>
  <c r="B5636" i="167" l="1"/>
  <c r="B5633" i="167"/>
  <c r="I48" i="20"/>
  <c r="H58" i="20"/>
  <c r="K12" i="20"/>
  <c r="B5199" i="167"/>
  <c r="A5201" i="167"/>
  <c r="N28" i="8" l="1"/>
  <c r="N21" i="8" s="1"/>
  <c r="N34" i="8" s="1"/>
  <c r="N41" i="8" s="1"/>
  <c r="D28" i="8"/>
  <c r="D21" i="8" s="1"/>
  <c r="D34" i="8" s="1"/>
  <c r="D41" i="8" s="1"/>
  <c r="I28" i="8"/>
  <c r="I21" i="8" s="1"/>
  <c r="I34" i="8" s="1"/>
  <c r="I41" i="8" s="1"/>
  <c r="C28" i="8"/>
  <c r="H28" i="8"/>
  <c r="H21" i="8" s="1"/>
  <c r="H34" i="8" s="1"/>
  <c r="H41" i="8" s="1"/>
  <c r="M28" i="8"/>
  <c r="M21" i="8" s="1"/>
  <c r="M34" i="8" s="1"/>
  <c r="M41" i="8" s="1"/>
  <c r="F28" i="8"/>
  <c r="F21" i="8" s="1"/>
  <c r="F34" i="8" s="1"/>
  <c r="F41" i="8" s="1"/>
  <c r="G28" i="8"/>
  <c r="G21" i="8" s="1"/>
  <c r="G34" i="8" s="1"/>
  <c r="G41" i="8" s="1"/>
  <c r="L28" i="8"/>
  <c r="L21" i="8" s="1"/>
  <c r="L34" i="8" s="1"/>
  <c r="L41" i="8" s="1"/>
  <c r="J28" i="8"/>
  <c r="J21" i="8" s="1"/>
  <c r="J34" i="8" s="1"/>
  <c r="J41" i="8" s="1"/>
  <c r="K28" i="8"/>
  <c r="K21" i="8" s="1"/>
  <c r="K34" i="8" s="1"/>
  <c r="K41" i="8" s="1"/>
  <c r="E28" i="8"/>
  <c r="E21" i="8" s="1"/>
  <c r="E34" i="8" s="1"/>
  <c r="E41" i="8" s="1"/>
  <c r="B5651" i="167"/>
  <c r="B5654" i="167" s="1"/>
  <c r="I58" i="20"/>
  <c r="J48" i="20"/>
  <c r="A5202" i="167"/>
  <c r="B5201" i="167"/>
  <c r="L12" i="20"/>
  <c r="C24" i="20" l="1"/>
  <c r="D24" i="20" s="1"/>
  <c r="E24" i="20" s="1"/>
  <c r="F24" i="20" s="1"/>
  <c r="G24" i="20" s="1"/>
  <c r="H24" i="20" s="1"/>
  <c r="I24" i="20" s="1"/>
  <c r="J24" i="20" s="1"/>
  <c r="K24" i="20" s="1"/>
  <c r="L24" i="20" s="1"/>
  <c r="M24" i="20" s="1"/>
  <c r="N24" i="20" s="1"/>
  <c r="C21" i="8"/>
  <c r="C34" i="8" s="1"/>
  <c r="C41" i="8" s="1"/>
  <c r="C63" i="20" s="1"/>
  <c r="P28" i="8"/>
  <c r="P21" i="8" s="1"/>
  <c r="P34" i="8" s="1"/>
  <c r="P41" i="8" s="1"/>
  <c r="J58" i="20"/>
  <c r="K48" i="20"/>
  <c r="M12" i="20"/>
  <c r="N12" i="20" s="1"/>
  <c r="C25" i="20"/>
  <c r="D25" i="20" s="1"/>
  <c r="E25" i="20" s="1"/>
  <c r="F25" i="20" s="1"/>
  <c r="G25" i="20" s="1"/>
  <c r="H25" i="20" s="1"/>
  <c r="I25" i="20" s="1"/>
  <c r="J25" i="20" s="1"/>
  <c r="K25" i="20" s="1"/>
  <c r="L25" i="20" s="1"/>
  <c r="M25" i="20" s="1"/>
  <c r="N25" i="20" s="1"/>
  <c r="B5202" i="167"/>
  <c r="A5204" i="167"/>
  <c r="P143" i="12" l="1"/>
  <c r="J200" i="22"/>
  <c r="D63" i="20"/>
  <c r="C64" i="20"/>
  <c r="C67" i="20" s="1"/>
  <c r="K58" i="20"/>
  <c r="L48" i="20"/>
  <c r="A5207" i="167"/>
  <c r="A5210" i="167" s="1"/>
  <c r="A5213" i="167" s="1"/>
  <c r="A5205" i="167"/>
  <c r="B5438" i="167"/>
  <c r="D64" i="20" l="1"/>
  <c r="D67" i="20" s="1"/>
  <c r="E63" i="20"/>
  <c r="L58" i="20"/>
  <c r="M48" i="20"/>
  <c r="A5208" i="167"/>
  <c r="A5211" i="167" s="1"/>
  <c r="A5214" i="167" s="1"/>
  <c r="C16" i="18"/>
  <c r="B5463" i="167"/>
  <c r="E64" i="20" l="1"/>
  <c r="E67" i="20" s="1"/>
  <c r="F63" i="20"/>
  <c r="M58" i="20"/>
  <c r="B5506" i="167"/>
  <c r="C16" i="14"/>
  <c r="B5518" i="167" l="1"/>
  <c r="F64" i="20"/>
  <c r="F67" i="20" s="1"/>
  <c r="G63" i="20"/>
  <c r="E14" i="15"/>
  <c r="B5521" i="167" l="1"/>
  <c r="G64" i="20"/>
  <c r="G67" i="20" s="1"/>
  <c r="H63" i="20"/>
  <c r="B5524" i="167" l="1"/>
  <c r="I63" i="20"/>
  <c r="H64" i="20"/>
  <c r="H67" i="20" s="1"/>
  <c r="B5639" i="167" l="1"/>
  <c r="I64" i="20"/>
  <c r="I67" i="20" s="1"/>
  <c r="J63" i="20"/>
  <c r="B5642" i="167" l="1"/>
  <c r="J64" i="20"/>
  <c r="J67" i="20" s="1"/>
  <c r="K63" i="20"/>
  <c r="B5645" i="167" l="1"/>
  <c r="I94" i="12" s="1"/>
  <c r="F14" i="12"/>
  <c r="G94" i="12"/>
  <c r="N73" i="12"/>
  <c r="G67" i="12"/>
  <c r="C9" i="12"/>
  <c r="H95" i="12"/>
  <c r="I117" i="12"/>
  <c r="H61" i="12"/>
  <c r="I51" i="12"/>
  <c r="G38" i="12"/>
  <c r="H29" i="12"/>
  <c r="F9" i="12"/>
  <c r="N114" i="12"/>
  <c r="E48" i="12"/>
  <c r="L85" i="12"/>
  <c r="D106" i="12"/>
  <c r="J99" i="12"/>
  <c r="I32" i="12"/>
  <c r="I7" i="12"/>
  <c r="I82" i="12"/>
  <c r="K47" i="12"/>
  <c r="M13" i="12"/>
  <c r="E14" i="12"/>
  <c r="C33" i="12"/>
  <c r="C68" i="12"/>
  <c r="I37" i="12"/>
  <c r="D104" i="12"/>
  <c r="K33" i="12"/>
  <c r="H79" i="12"/>
  <c r="H31" i="12"/>
  <c r="D59" i="12"/>
  <c r="J88" i="12"/>
  <c r="L120" i="12"/>
  <c r="G19" i="12"/>
  <c r="I42" i="12"/>
  <c r="D118" i="12"/>
  <c r="K40" i="12"/>
  <c r="H21" i="12"/>
  <c r="I95" i="12"/>
  <c r="N26" i="12"/>
  <c r="I64" i="12"/>
  <c r="F65" i="12"/>
  <c r="C16" i="12"/>
  <c r="N80" i="12"/>
  <c r="M58" i="12"/>
  <c r="C95" i="12"/>
  <c r="C49" i="12"/>
  <c r="D49" i="12"/>
  <c r="G61" i="12"/>
  <c r="J21" i="12"/>
  <c r="F22" i="12"/>
  <c r="N60" i="12"/>
  <c r="I20" i="12"/>
  <c r="I72" i="12"/>
  <c r="M7" i="12"/>
  <c r="C19" i="12"/>
  <c r="D25" i="12"/>
  <c r="K121" i="12"/>
  <c r="G114" i="12"/>
  <c r="J54" i="12"/>
  <c r="K108" i="12"/>
  <c r="J61" i="12"/>
  <c r="L29" i="12"/>
  <c r="G133" i="12"/>
  <c r="G131" i="12" s="1"/>
  <c r="E76" i="12"/>
  <c r="I14" i="12"/>
  <c r="M39" i="12"/>
  <c r="C7" i="12"/>
  <c r="J120" i="12"/>
  <c r="G28" i="12"/>
  <c r="N66" i="12"/>
  <c r="L108" i="12"/>
  <c r="G70" i="12"/>
  <c r="N111" i="12"/>
  <c r="G60" i="12"/>
  <c r="M45" i="12"/>
  <c r="I18" i="12"/>
  <c r="M15" i="12"/>
  <c r="I12" i="12"/>
  <c r="C61" i="12"/>
  <c r="G23" i="12"/>
  <c r="D85" i="12"/>
  <c r="K56" i="12"/>
  <c r="G91" i="12"/>
  <c r="G9" i="12"/>
  <c r="K18" i="12"/>
  <c r="H53" i="12"/>
  <c r="E65" i="12"/>
  <c r="N113" i="12"/>
  <c r="I85" i="12"/>
  <c r="I24" i="12"/>
  <c r="K23" i="12"/>
  <c r="F117" i="12"/>
  <c r="C121" i="12"/>
  <c r="M133" i="12"/>
  <c r="M131" i="12" s="1"/>
  <c r="H66" i="12"/>
  <c r="N9" i="12"/>
  <c r="I74" i="12"/>
  <c r="J33" i="12"/>
  <c r="M65" i="12"/>
  <c r="G62" i="12"/>
  <c r="H42" i="12"/>
  <c r="I60" i="12"/>
  <c r="N51" i="12"/>
  <c r="N64" i="12"/>
  <c r="G89" i="12"/>
  <c r="L96" i="12"/>
  <c r="J71" i="12"/>
  <c r="J30" i="12"/>
  <c r="F58" i="12"/>
  <c r="D88" i="12"/>
  <c r="K102" i="12"/>
  <c r="F79" i="12"/>
  <c r="D27" i="12"/>
  <c r="E29" i="12"/>
  <c r="N55" i="12"/>
  <c r="I16" i="12"/>
  <c r="L88" i="12"/>
  <c r="N74" i="12"/>
  <c r="I22" i="12"/>
  <c r="E72" i="12"/>
  <c r="C85" i="12"/>
  <c r="M73" i="12"/>
  <c r="G17" i="12"/>
  <c r="E9" i="12"/>
  <c r="D99" i="12"/>
  <c r="I65" i="12"/>
  <c r="I114" i="12"/>
  <c r="M100" i="12"/>
  <c r="F43" i="12"/>
  <c r="J98" i="12"/>
  <c r="J66" i="12"/>
  <c r="H8" i="12"/>
  <c r="J94" i="12"/>
  <c r="K109" i="12"/>
  <c r="N121" i="12"/>
  <c r="L68" i="12"/>
  <c r="L51" i="12"/>
  <c r="E7" i="12"/>
  <c r="L116" i="12"/>
  <c r="N30" i="12"/>
  <c r="M9" i="12"/>
  <c r="F73" i="12"/>
  <c r="N93" i="12"/>
  <c r="D35" i="12"/>
  <c r="H54" i="12"/>
  <c r="M29" i="12"/>
  <c r="K45" i="12"/>
  <c r="D84" i="12"/>
  <c r="J51" i="12"/>
  <c r="I80" i="12"/>
  <c r="I96" i="12"/>
  <c r="E8" i="12"/>
  <c r="E67" i="12"/>
  <c r="H116" i="12"/>
  <c r="G117" i="12"/>
  <c r="F26" i="12"/>
  <c r="M109" i="12"/>
  <c r="M96" i="12"/>
  <c r="M52" i="12"/>
  <c r="H118" i="12"/>
  <c r="J42" i="12"/>
  <c r="K78" i="12"/>
  <c r="F119" i="12"/>
  <c r="D54" i="12"/>
  <c r="N31" i="12"/>
  <c r="J65" i="12"/>
  <c r="J75" i="12"/>
  <c r="N27" i="12"/>
  <c r="K115" i="12"/>
  <c r="I70" i="12"/>
  <c r="F68" i="12"/>
  <c r="M99" i="12"/>
  <c r="I47" i="12"/>
  <c r="I43" i="12"/>
  <c r="K37" i="12"/>
  <c r="G77" i="12"/>
  <c r="J9" i="12"/>
  <c r="H58" i="12"/>
  <c r="J95" i="12"/>
  <c r="G122" i="12"/>
  <c r="L15" i="12"/>
  <c r="E34" i="12"/>
  <c r="I105" i="12"/>
  <c r="G7" i="12"/>
  <c r="F104" i="12"/>
  <c r="E92" i="12"/>
  <c r="J6" i="12"/>
  <c r="E117" i="12"/>
  <c r="H50" i="12"/>
  <c r="K7" i="12"/>
  <c r="D116" i="12"/>
  <c r="C27" i="12"/>
  <c r="E18" i="12"/>
  <c r="J100" i="12"/>
  <c r="M38" i="12"/>
  <c r="L111" i="12"/>
  <c r="F102" i="12"/>
  <c r="J68" i="12"/>
  <c r="E101" i="12"/>
  <c r="J105" i="12"/>
  <c r="F33" i="12"/>
  <c r="I6" i="12"/>
  <c r="L30" i="12"/>
  <c r="F55" i="12"/>
  <c r="E13" i="12"/>
  <c r="I9" i="12"/>
  <c r="F100" i="12"/>
  <c r="J112" i="12"/>
  <c r="N95" i="12"/>
  <c r="D21" i="12"/>
  <c r="F101" i="12"/>
  <c r="J122" i="12"/>
  <c r="J12" i="12"/>
  <c r="K71" i="12"/>
  <c r="F83" i="12"/>
  <c r="M42" i="12"/>
  <c r="C29" i="12"/>
  <c r="N35" i="12"/>
  <c r="M104" i="12"/>
  <c r="L32" i="12"/>
  <c r="F86" i="12"/>
  <c r="N68" i="12"/>
  <c r="F110" i="12"/>
  <c r="K120" i="12"/>
  <c r="E102" i="12"/>
  <c r="F77" i="12"/>
  <c r="F70" i="12"/>
  <c r="K41" i="12"/>
  <c r="J14" i="12"/>
  <c r="L16" i="12"/>
  <c r="L37" i="12"/>
  <c r="E11" i="12"/>
  <c r="C22" i="12"/>
  <c r="K87" i="12"/>
  <c r="C83" i="12"/>
  <c r="G43" i="12"/>
  <c r="F96" i="12"/>
  <c r="L121" i="12"/>
  <c r="H59" i="12"/>
  <c r="M116" i="12"/>
  <c r="E112" i="12"/>
  <c r="J49" i="12"/>
  <c r="G76" i="12"/>
  <c r="K122" i="12"/>
  <c r="D11" i="12"/>
  <c r="N118" i="12"/>
  <c r="L95" i="12"/>
  <c r="M64" i="12"/>
  <c r="E97" i="12"/>
  <c r="E73" i="12"/>
  <c r="F78" i="12"/>
  <c r="H102" i="12"/>
  <c r="C114" i="12"/>
  <c r="M49" i="12"/>
  <c r="K49" i="12"/>
  <c r="N47" i="12"/>
  <c r="E94" i="12"/>
  <c r="D37" i="12"/>
  <c r="I17" i="12"/>
  <c r="C96" i="12"/>
  <c r="E33" i="12"/>
  <c r="E26" i="12"/>
  <c r="C101" i="12"/>
  <c r="J114" i="12"/>
  <c r="I112" i="12"/>
  <c r="E113" i="12"/>
  <c r="G12" i="12"/>
  <c r="G99" i="12"/>
  <c r="L112" i="12"/>
  <c r="M67" i="12"/>
  <c r="M18" i="12"/>
  <c r="K94" i="12"/>
  <c r="K95" i="12"/>
  <c r="K53" i="12"/>
  <c r="J91" i="12"/>
  <c r="N99" i="12"/>
  <c r="K88" i="12"/>
  <c r="C35" i="12"/>
  <c r="N83" i="12"/>
  <c r="L76" i="12"/>
  <c r="C100" i="12"/>
  <c r="H81" i="12"/>
  <c r="D105" i="12"/>
  <c r="I48" i="12"/>
  <c r="E114" i="12"/>
  <c r="G45" i="12"/>
  <c r="F23" i="12"/>
  <c r="K75" i="12"/>
  <c r="H13" i="12"/>
  <c r="C24" i="12"/>
  <c r="K112" i="12"/>
  <c r="E110" i="12"/>
  <c r="E68" i="12"/>
  <c r="F16" i="12"/>
  <c r="E22" i="12"/>
  <c r="H108" i="12"/>
  <c r="D57" i="12"/>
  <c r="G47" i="12"/>
  <c r="L94" i="12"/>
  <c r="L81" i="12"/>
  <c r="N6" i="12"/>
  <c r="D76" i="12"/>
  <c r="D8" i="12"/>
  <c r="C25" i="12"/>
  <c r="C112" i="12"/>
  <c r="F21" i="12"/>
  <c r="M60" i="12"/>
  <c r="G44" i="12"/>
  <c r="E71" i="12"/>
  <c r="C72" i="12"/>
  <c r="M6" i="12"/>
  <c r="M31" i="12"/>
  <c r="H55" i="12"/>
  <c r="E103" i="12"/>
  <c r="E42" i="12"/>
  <c r="F49" i="12"/>
  <c r="H70" i="12"/>
  <c r="N12" i="12"/>
  <c r="L117" i="12"/>
  <c r="C47" i="12"/>
  <c r="L110" i="12"/>
  <c r="K79" i="12"/>
  <c r="I11" i="12"/>
  <c r="N108" i="12"/>
  <c r="J13" i="12"/>
  <c r="C55" i="12"/>
  <c r="D17" i="12"/>
  <c r="L71" i="12"/>
  <c r="K55" i="12"/>
  <c r="G41" i="12"/>
  <c r="C41" i="12"/>
  <c r="E87" i="12"/>
  <c r="I33" i="12"/>
  <c r="M102" i="12"/>
  <c r="E60" i="12"/>
  <c r="M54" i="12"/>
  <c r="J69" i="12"/>
  <c r="G35" i="12"/>
  <c r="H68" i="12"/>
  <c r="D22" i="12"/>
  <c r="K73" i="12"/>
  <c r="I35" i="12"/>
  <c r="C64" i="12"/>
  <c r="K17" i="12"/>
  <c r="C17" i="12"/>
  <c r="J82" i="12"/>
  <c r="H74" i="12"/>
  <c r="C42" i="12"/>
  <c r="J57" i="12"/>
  <c r="G118" i="12"/>
  <c r="D41" i="12"/>
  <c r="L39" i="12"/>
  <c r="E105" i="12"/>
  <c r="J28" i="12"/>
  <c r="M118" i="12"/>
  <c r="J79" i="12"/>
  <c r="J73" i="12"/>
  <c r="C67" i="12"/>
  <c r="K24" i="12"/>
  <c r="J115" i="12"/>
  <c r="K27" i="12"/>
  <c r="C40" i="12"/>
  <c r="L38" i="12"/>
  <c r="I98" i="12"/>
  <c r="F61" i="12"/>
  <c r="J15" i="12"/>
  <c r="G54" i="12"/>
  <c r="I23" i="12"/>
  <c r="D71" i="12"/>
  <c r="C52" i="12"/>
  <c r="I41" i="12"/>
  <c r="G90" i="12"/>
  <c r="J56" i="12"/>
  <c r="H33" i="12"/>
  <c r="D117" i="12"/>
  <c r="I103" i="12"/>
  <c r="H7" i="12"/>
  <c r="H11" i="12"/>
  <c r="K35" i="12"/>
  <c r="D119" i="12"/>
  <c r="C116" i="12"/>
  <c r="I69" i="12"/>
  <c r="D19" i="12"/>
  <c r="E64" i="12"/>
  <c r="G120" i="12"/>
  <c r="E89" i="12"/>
  <c r="K93" i="12"/>
  <c r="K70" i="12"/>
  <c r="K46" i="12"/>
  <c r="M41" i="12"/>
  <c r="M24" i="12"/>
  <c r="N20" i="12"/>
  <c r="C104" i="12"/>
  <c r="C11" i="12"/>
  <c r="M92" i="12"/>
  <c r="E96" i="12"/>
  <c r="M25" i="12"/>
  <c r="L60" i="12"/>
  <c r="D70" i="12"/>
  <c r="D43" i="12"/>
  <c r="M113" i="12"/>
  <c r="J117" i="12"/>
  <c r="M21" i="12"/>
  <c r="E47" i="12"/>
  <c r="D72" i="12"/>
  <c r="H76" i="12"/>
  <c r="H110" i="12"/>
  <c r="L22" i="12"/>
  <c r="N97" i="12"/>
  <c r="C77" i="12"/>
  <c r="H19" i="12"/>
  <c r="C48" i="12"/>
  <c r="F82" i="12"/>
  <c r="C31" i="12"/>
  <c r="E78" i="12"/>
  <c r="J7" i="12"/>
  <c r="J26" i="12"/>
  <c r="G96" i="12"/>
  <c r="C57" i="12"/>
  <c r="N52" i="12"/>
  <c r="F90" i="12"/>
  <c r="I57" i="12"/>
  <c r="F115" i="12"/>
  <c r="I88" i="12"/>
  <c r="N107" i="12"/>
  <c r="F32" i="12"/>
  <c r="M43" i="12"/>
  <c r="K97" i="12"/>
  <c r="L90" i="12"/>
  <c r="H99" i="12"/>
  <c r="G84" i="12"/>
  <c r="K16" i="12"/>
  <c r="J108" i="12"/>
  <c r="C113" i="12"/>
  <c r="M62" i="12"/>
  <c r="K52" i="12"/>
  <c r="G13" i="12"/>
  <c r="D47" i="12"/>
  <c r="C87" i="12"/>
  <c r="C20" i="12"/>
  <c r="K26" i="12"/>
  <c r="E38" i="12"/>
  <c r="D101" i="12"/>
  <c r="C53" i="12"/>
  <c r="K30" i="12"/>
  <c r="E107" i="12"/>
  <c r="J90" i="12"/>
  <c r="I25" i="12"/>
  <c r="E40" i="12"/>
  <c r="D87" i="12"/>
  <c r="I115" i="12"/>
  <c r="K63" i="12"/>
  <c r="K106" i="12"/>
  <c r="E37" i="12"/>
  <c r="K9" i="12"/>
  <c r="E63" i="12"/>
  <c r="N34" i="12"/>
  <c r="L12" i="12"/>
  <c r="N48" i="12"/>
  <c r="D112" i="12"/>
  <c r="E93" i="12"/>
  <c r="H22" i="12"/>
  <c r="L89" i="12"/>
  <c r="J92" i="12"/>
  <c r="D32" i="12"/>
  <c r="G108" i="12"/>
  <c r="E24" i="12"/>
  <c r="C92" i="12"/>
  <c r="L93" i="12"/>
  <c r="D15" i="12"/>
  <c r="C51" i="12"/>
  <c r="D24" i="12"/>
  <c r="G87" i="12"/>
  <c r="J89" i="12"/>
  <c r="J60" i="12"/>
  <c r="E6" i="12"/>
  <c r="D61" i="12"/>
  <c r="E59" i="12"/>
  <c r="D90" i="12"/>
  <c r="L21" i="12"/>
  <c r="J31" i="12"/>
  <c r="J81" i="12"/>
  <c r="G37" i="12"/>
  <c r="I61" i="12"/>
  <c r="I100" i="12"/>
  <c r="N70" i="12"/>
  <c r="I67" i="12"/>
  <c r="N89" i="12"/>
  <c r="F47" i="12"/>
  <c r="L104" i="12"/>
  <c r="I30" i="12"/>
  <c r="H39" i="12"/>
  <c r="I113" i="12"/>
  <c r="C105" i="12"/>
  <c r="N78" i="12"/>
  <c r="N53" i="12"/>
  <c r="I120" i="12"/>
  <c r="M95" i="12"/>
  <c r="E109" i="12"/>
  <c r="D34" i="12"/>
  <c r="G93" i="12"/>
  <c r="L25" i="12"/>
  <c r="I38" i="12"/>
  <c r="L65" i="12"/>
  <c r="K61" i="12"/>
  <c r="I108" i="12"/>
  <c r="N56" i="12"/>
  <c r="E79" i="12"/>
  <c r="H89" i="12"/>
  <c r="N109" i="12"/>
  <c r="G110" i="12"/>
  <c r="G80" i="12"/>
  <c r="G48" i="12"/>
  <c r="L109" i="12"/>
  <c r="E119" i="12"/>
  <c r="J50" i="12"/>
  <c r="L34" i="12"/>
  <c r="J47" i="12"/>
  <c r="F108" i="12"/>
  <c r="H122" i="12"/>
  <c r="L101" i="12"/>
  <c r="E35" i="12"/>
  <c r="L122" i="12"/>
  <c r="I59" i="12"/>
  <c r="J118" i="12"/>
  <c r="L103" i="12"/>
  <c r="M79" i="12"/>
  <c r="M22" i="12"/>
  <c r="J55" i="12"/>
  <c r="I86" i="12"/>
  <c r="H86" i="12"/>
  <c r="L107" i="12"/>
  <c r="M84" i="12"/>
  <c r="D30" i="12"/>
  <c r="D114" i="12"/>
  <c r="C111" i="12"/>
  <c r="N92" i="12"/>
  <c r="K114" i="12"/>
  <c r="C98" i="12"/>
  <c r="E108" i="12"/>
  <c r="K133" i="12"/>
  <c r="K131" i="12" s="1"/>
  <c r="L83" i="12"/>
  <c r="E90" i="12"/>
  <c r="L61" i="12"/>
  <c r="N44" i="12"/>
  <c r="C115" i="12"/>
  <c r="G40" i="12"/>
  <c r="H15" i="12"/>
  <c r="E69" i="12"/>
  <c r="K104" i="12"/>
  <c r="E28" i="12"/>
  <c r="D13" i="12"/>
  <c r="H73" i="12"/>
  <c r="N33" i="12"/>
  <c r="F6" i="12"/>
  <c r="D26" i="12"/>
  <c r="M66" i="12"/>
  <c r="G97" i="12"/>
  <c r="C59" i="12"/>
  <c r="K54" i="12"/>
  <c r="L86" i="12"/>
  <c r="M114" i="12"/>
  <c r="K76" i="12"/>
  <c r="K119" i="12"/>
  <c r="G103" i="12"/>
  <c r="K57" i="12"/>
  <c r="D63" i="12"/>
  <c r="M70" i="12"/>
  <c r="K113" i="12"/>
  <c r="C37" i="12"/>
  <c r="D31" i="12"/>
  <c r="D69" i="12"/>
  <c r="G101" i="12"/>
  <c r="K59" i="12"/>
  <c r="N105" i="12"/>
  <c r="L72" i="12"/>
  <c r="C99" i="12"/>
  <c r="N75" i="12"/>
  <c r="F62" i="12"/>
  <c r="C122" i="12"/>
  <c r="G92" i="12"/>
  <c r="D56" i="12"/>
  <c r="E99" i="12"/>
  <c r="I39" i="12"/>
  <c r="M103" i="12"/>
  <c r="H115" i="12"/>
  <c r="G111" i="12"/>
  <c r="I110" i="12"/>
  <c r="C28" i="12"/>
  <c r="H34" i="12"/>
  <c r="M107" i="12"/>
  <c r="J101" i="12"/>
  <c r="F44" i="12"/>
  <c r="C107" i="12"/>
  <c r="N43" i="12"/>
  <c r="G86" i="12"/>
  <c r="I29" i="12"/>
  <c r="F20" i="12"/>
  <c r="E98" i="12"/>
  <c r="I71" i="12"/>
  <c r="M112" i="12"/>
  <c r="K98" i="12"/>
  <c r="D86" i="12"/>
  <c r="L106" i="12"/>
  <c r="F52" i="12"/>
  <c r="L67" i="12"/>
  <c r="D75" i="12"/>
  <c r="J24" i="12"/>
  <c r="K118" i="12"/>
  <c r="D93" i="12"/>
  <c r="G104" i="12"/>
  <c r="E121" i="12"/>
  <c r="I81" i="12"/>
  <c r="E52" i="12"/>
  <c r="C50" i="12"/>
  <c r="F111" i="12"/>
  <c r="L8" i="12"/>
  <c r="M91" i="12"/>
  <c r="D121" i="12"/>
  <c r="L18" i="12"/>
  <c r="N18" i="12"/>
  <c r="I21" i="12"/>
  <c r="F8" i="12"/>
  <c r="L47" i="12"/>
  <c r="M120" i="12"/>
  <c r="K48" i="12"/>
  <c r="J74" i="12"/>
  <c r="I79" i="12"/>
  <c r="K6" i="12"/>
  <c r="I75" i="12"/>
  <c r="K116" i="12"/>
  <c r="N62" i="12"/>
  <c r="G88" i="12"/>
  <c r="F92" i="12"/>
  <c r="N116" i="12"/>
  <c r="L62" i="12"/>
  <c r="I49" i="12"/>
  <c r="C91" i="12"/>
  <c r="I8" i="12"/>
  <c r="K82" i="12"/>
  <c r="H32" i="12"/>
  <c r="K13" i="12"/>
  <c r="D18" i="12"/>
  <c r="F84" i="12"/>
  <c r="H72" i="12"/>
  <c r="K62" i="12"/>
  <c r="N17" i="12"/>
  <c r="G115" i="12"/>
  <c r="D55" i="12"/>
  <c r="D23" i="12"/>
  <c r="H92" i="12"/>
  <c r="H94" i="12"/>
  <c r="G27" i="12"/>
  <c r="E54" i="12"/>
  <c r="H111" i="12"/>
  <c r="C13" i="12"/>
  <c r="D98" i="12"/>
  <c r="J96" i="12"/>
  <c r="K25" i="12"/>
  <c r="G58" i="12"/>
  <c r="H69" i="12"/>
  <c r="M63" i="12"/>
  <c r="H80" i="12"/>
  <c r="D64" i="12"/>
  <c r="H82" i="12"/>
  <c r="H14" i="12"/>
  <c r="F69" i="12"/>
  <c r="F89" i="12"/>
  <c r="M110" i="12"/>
  <c r="J111" i="12"/>
  <c r="C38" i="12"/>
  <c r="N23" i="12"/>
  <c r="J43" i="12"/>
  <c r="K42" i="12"/>
  <c r="I54" i="12"/>
  <c r="G106" i="12"/>
  <c r="H30" i="12"/>
  <c r="L56" i="12"/>
  <c r="F63" i="12"/>
  <c r="C93" i="12"/>
  <c r="N115" i="12"/>
  <c r="C133" i="12"/>
  <c r="M61" i="12"/>
  <c r="I66" i="12"/>
  <c r="L102" i="12"/>
  <c r="L100" i="12"/>
  <c r="M108" i="12"/>
  <c r="D102" i="12"/>
  <c r="H64" i="12"/>
  <c r="F51" i="12"/>
  <c r="H43" i="12"/>
  <c r="N85" i="12"/>
  <c r="G107" i="12"/>
  <c r="N25" i="12"/>
  <c r="K60" i="12"/>
  <c r="K117" i="12"/>
  <c r="K39" i="12"/>
  <c r="J84" i="12"/>
  <c r="L46" i="12"/>
  <c r="L115" i="12"/>
  <c r="L40" i="12"/>
  <c r="C60" i="12"/>
  <c r="L75" i="12"/>
  <c r="M105" i="12"/>
  <c r="G26" i="12"/>
  <c r="C65" i="12"/>
  <c r="L24" i="12"/>
  <c r="M121" i="12"/>
  <c r="J53" i="12"/>
  <c r="N81" i="12"/>
  <c r="C19" i="20"/>
  <c r="C29" i="20" s="1"/>
  <c r="C39" i="20" s="1"/>
  <c r="C68" i="20" s="1"/>
  <c r="M68" i="12"/>
  <c r="F85" i="12"/>
  <c r="N101" i="12"/>
  <c r="K64" i="12"/>
  <c r="K65" i="12"/>
  <c r="G65" i="12"/>
  <c r="G49" i="12"/>
  <c r="C90" i="12"/>
  <c r="M11" i="12"/>
  <c r="N120" i="12"/>
  <c r="G98" i="12"/>
  <c r="K50" i="12"/>
  <c r="C39" i="12"/>
  <c r="J16" i="12"/>
  <c r="F56" i="12"/>
  <c r="J104" i="12"/>
  <c r="J85" i="12"/>
  <c r="E74" i="12"/>
  <c r="N37" i="12"/>
  <c r="E19" i="12"/>
  <c r="H113" i="12"/>
  <c r="N133" i="12"/>
  <c r="N131" i="12" s="1"/>
  <c r="H49" i="12"/>
  <c r="C6" i="12"/>
  <c r="N61" i="12"/>
  <c r="G64" i="12"/>
  <c r="C34" i="12"/>
  <c r="M93" i="12"/>
  <c r="L54" i="12"/>
  <c r="M44" i="12"/>
  <c r="H107" i="12"/>
  <c r="I55" i="12"/>
  <c r="I78" i="12"/>
  <c r="E95" i="12"/>
  <c r="D53" i="12"/>
  <c r="M76" i="12"/>
  <c r="C109" i="12"/>
  <c r="N65" i="12"/>
  <c r="H47" i="12"/>
  <c r="J76" i="12"/>
  <c r="C73" i="12"/>
  <c r="E21" i="12"/>
  <c r="J113" i="12"/>
  <c r="C54" i="12"/>
  <c r="M16" i="12"/>
  <c r="I89" i="12"/>
  <c r="K11" i="12"/>
  <c r="C76" i="12"/>
  <c r="K85" i="12"/>
  <c r="D74" i="12"/>
  <c r="N38" i="12"/>
  <c r="C102" i="12"/>
  <c r="K34" i="12"/>
  <c r="D81" i="12"/>
  <c r="F98" i="12"/>
  <c r="D51" i="12"/>
  <c r="D40" i="12"/>
  <c r="L77" i="12"/>
  <c r="K80" i="12"/>
  <c r="F42" i="12"/>
  <c r="E70" i="12"/>
  <c r="M27" i="12"/>
  <c r="D28" i="12"/>
  <c r="N67" i="12"/>
  <c r="C79" i="12"/>
  <c r="M81" i="12"/>
  <c r="G14" i="12"/>
  <c r="K86" i="12"/>
  <c r="L31" i="12"/>
  <c r="N42" i="12"/>
  <c r="M90" i="12"/>
  <c r="L53" i="12"/>
  <c r="I99" i="12"/>
  <c r="H62" i="12"/>
  <c r="E23" i="12"/>
  <c r="J58" i="12"/>
  <c r="C80" i="12"/>
  <c r="N119" i="12"/>
  <c r="M50" i="12"/>
  <c r="J46" i="12"/>
  <c r="E12" i="12"/>
  <c r="H91" i="12"/>
  <c r="L10" i="12"/>
  <c r="H119" i="12"/>
  <c r="N112" i="12"/>
  <c r="D100" i="12"/>
  <c r="F95" i="12"/>
  <c r="F46" i="12"/>
  <c r="H100" i="12"/>
  <c r="H18" i="12"/>
  <c r="E100" i="12"/>
  <c r="G15" i="12"/>
  <c r="C62" i="12"/>
  <c r="M85" i="12"/>
  <c r="D109" i="12"/>
  <c r="J19" i="12"/>
  <c r="G83" i="12"/>
  <c r="M86" i="12"/>
  <c r="I118" i="12"/>
  <c r="N50" i="12"/>
  <c r="I28" i="12"/>
  <c r="H25" i="12"/>
  <c r="H112" i="12"/>
  <c r="H63" i="12"/>
  <c r="D111" i="12"/>
  <c r="M19" i="12"/>
  <c r="N54" i="12"/>
  <c r="E39" i="12"/>
  <c r="H75" i="12"/>
  <c r="J70" i="12"/>
  <c r="D38" i="12"/>
  <c r="C63" i="12"/>
  <c r="N110" i="12"/>
  <c r="K72" i="12"/>
  <c r="F113" i="12"/>
  <c r="K19" i="12"/>
  <c r="I97" i="12"/>
  <c r="D133" i="12"/>
  <c r="D131" i="12" s="1"/>
  <c r="N86" i="12"/>
  <c r="E50" i="12"/>
  <c r="I107" i="12"/>
  <c r="H98" i="12"/>
  <c r="F81" i="12"/>
  <c r="G100" i="12"/>
  <c r="E111" i="12"/>
  <c r="M20" i="12"/>
  <c r="I73" i="12"/>
  <c r="M14" i="12"/>
  <c r="D91" i="12"/>
  <c r="K105" i="12"/>
  <c r="F71" i="12"/>
  <c r="H88" i="12"/>
  <c r="H117" i="12"/>
  <c r="L58" i="12"/>
  <c r="C44" i="12"/>
  <c r="L66" i="12"/>
  <c r="N29" i="12"/>
  <c r="L50" i="12"/>
  <c r="M71" i="12"/>
  <c r="D89" i="12"/>
  <c r="J22" i="12"/>
  <c r="E104" i="12"/>
  <c r="I50" i="12"/>
  <c r="I133" i="12"/>
  <c r="I131" i="12" s="1"/>
  <c r="E51" i="12"/>
  <c r="N90" i="12"/>
  <c r="K89" i="12"/>
  <c r="M12" i="12"/>
  <c r="L33" i="12"/>
  <c r="K58" i="12"/>
  <c r="G72" i="12"/>
  <c r="E56" i="12"/>
  <c r="J39" i="12"/>
  <c r="C81" i="12"/>
  <c r="C106" i="12"/>
  <c r="J48" i="12"/>
  <c r="D97" i="12"/>
  <c r="C69" i="12"/>
  <c r="E31" i="12"/>
  <c r="G75" i="12"/>
  <c r="D113" i="12"/>
  <c r="F133" i="12"/>
  <c r="F131" i="12" s="1"/>
  <c r="E91" i="12"/>
  <c r="M122" i="12"/>
  <c r="D92" i="12"/>
  <c r="L80" i="12"/>
  <c r="L87" i="12"/>
  <c r="L119" i="12"/>
  <c r="M80" i="12"/>
  <c r="D10" i="12"/>
  <c r="F116" i="12"/>
  <c r="G18" i="12"/>
  <c r="G55" i="12"/>
  <c r="L133" i="12"/>
  <c r="L131" i="12" s="1"/>
  <c r="D122" i="12"/>
  <c r="L105" i="12"/>
  <c r="I62" i="12"/>
  <c r="D20" i="12"/>
  <c r="F94" i="12"/>
  <c r="D95" i="12"/>
  <c r="H40" i="12"/>
  <c r="F11" i="12"/>
  <c r="K15" i="12"/>
  <c r="C108" i="12"/>
  <c r="K101" i="12"/>
  <c r="J18" i="12"/>
  <c r="K29" i="12"/>
  <c r="L69" i="12"/>
  <c r="E45" i="12"/>
  <c r="C89" i="12"/>
  <c r="E122" i="12"/>
  <c r="H77" i="12"/>
  <c r="D103" i="12"/>
  <c r="G10" i="12"/>
  <c r="I104" i="12"/>
  <c r="N72" i="12"/>
  <c r="M97" i="12"/>
  <c r="D58" i="12"/>
  <c r="E44" i="12"/>
  <c r="K66" i="12"/>
  <c r="I40" i="12"/>
  <c r="N32" i="12"/>
  <c r="E55" i="12"/>
  <c r="I111" i="12"/>
  <c r="D44" i="12"/>
  <c r="J80" i="12"/>
  <c r="N46" i="12"/>
  <c r="N82" i="12"/>
  <c r="I19" i="12"/>
  <c r="N13" i="12"/>
  <c r="K64" i="20"/>
  <c r="K67" i="20" s="1"/>
  <c r="L63" i="20"/>
  <c r="L20" i="12" l="1"/>
  <c r="M56" i="12"/>
  <c r="H41" i="12"/>
  <c r="D78" i="12"/>
  <c r="D39" i="12"/>
  <c r="I31" i="12"/>
  <c r="L59" i="12"/>
  <c r="F7" i="12"/>
  <c r="E25" i="12"/>
  <c r="J72" i="12"/>
  <c r="K69" i="12"/>
  <c r="F74" i="12"/>
  <c r="C56" i="12"/>
  <c r="L74" i="12"/>
  <c r="E15" i="12"/>
  <c r="D110" i="12"/>
  <c r="F93" i="12"/>
  <c r="H52" i="12"/>
  <c r="H45" i="12"/>
  <c r="I58" i="12"/>
  <c r="M89" i="12"/>
  <c r="P89" i="12" s="1"/>
  <c r="R89" i="12" s="1"/>
  <c r="H90" i="12"/>
  <c r="D50" i="12"/>
  <c r="I92" i="12"/>
  <c r="F87" i="12"/>
  <c r="M51" i="12"/>
  <c r="F30" i="12"/>
  <c r="K67" i="12"/>
  <c r="M82" i="12"/>
  <c r="J119" i="12"/>
  <c r="F39" i="12"/>
  <c r="F109" i="12"/>
  <c r="G105" i="12"/>
  <c r="N117" i="12"/>
  <c r="E80" i="12"/>
  <c r="K110" i="12"/>
  <c r="I52" i="12"/>
  <c r="F34" i="12"/>
  <c r="G109" i="12"/>
  <c r="F106" i="12"/>
  <c r="M87" i="12"/>
  <c r="G121" i="12"/>
  <c r="H35" i="12"/>
  <c r="G42" i="12"/>
  <c r="H120" i="12"/>
  <c r="K77" i="12"/>
  <c r="L19" i="12"/>
  <c r="G112" i="12"/>
  <c r="M55" i="12"/>
  <c r="M33" i="12"/>
  <c r="D9" i="12"/>
  <c r="D94" i="12"/>
  <c r="I83" i="12"/>
  <c r="L73" i="12"/>
  <c r="J17" i="12"/>
  <c r="N14" i="12"/>
  <c r="C94" i="12"/>
  <c r="M78" i="12"/>
  <c r="E57" i="12"/>
  <c r="N122" i="12"/>
  <c r="L17" i="12"/>
  <c r="L52" i="12"/>
  <c r="H10" i="12"/>
  <c r="H84" i="12"/>
  <c r="N63" i="12"/>
  <c r="N91" i="12"/>
  <c r="H28" i="12"/>
  <c r="H133" i="12"/>
  <c r="H131" i="12" s="1"/>
  <c r="G51" i="12"/>
  <c r="J34" i="12"/>
  <c r="F27" i="12"/>
  <c r="L98" i="12"/>
  <c r="K92" i="12"/>
  <c r="C23" i="12"/>
  <c r="I68" i="12"/>
  <c r="D16" i="12"/>
  <c r="L84" i="12"/>
  <c r="H12" i="12"/>
  <c r="H71" i="12"/>
  <c r="C12" i="12"/>
  <c r="K96" i="12"/>
  <c r="K21" i="12"/>
  <c r="E66" i="12"/>
  <c r="L14" i="12"/>
  <c r="L23" i="12"/>
  <c r="K12" i="12"/>
  <c r="H23" i="12"/>
  <c r="G34" i="12"/>
  <c r="L97" i="12"/>
  <c r="H56" i="12"/>
  <c r="J64" i="12"/>
  <c r="G85" i="12"/>
  <c r="D42" i="12"/>
  <c r="K81" i="12"/>
  <c r="C30" i="12"/>
  <c r="F25" i="12"/>
  <c r="N69" i="12"/>
  <c r="C46" i="12"/>
  <c r="N59" i="12"/>
  <c r="J59" i="12"/>
  <c r="D107" i="12"/>
  <c r="M119" i="12"/>
  <c r="K14" i="12"/>
  <c r="F103" i="12"/>
  <c r="F59" i="12"/>
  <c r="N57" i="12"/>
  <c r="F31" i="12"/>
  <c r="N8" i="12"/>
  <c r="D6" i="12"/>
  <c r="C88" i="12"/>
  <c r="F118" i="12"/>
  <c r="L9" i="12"/>
  <c r="L63" i="12"/>
  <c r="M46" i="12"/>
  <c r="N76" i="12"/>
  <c r="D48" i="12"/>
  <c r="G6" i="12"/>
  <c r="C21" i="12"/>
  <c r="E115" i="12"/>
  <c r="F24" i="12"/>
  <c r="L28" i="12"/>
  <c r="C78" i="12"/>
  <c r="D80" i="12"/>
  <c r="N88" i="12"/>
  <c r="E61" i="12"/>
  <c r="G74" i="12"/>
  <c r="G69" i="12"/>
  <c r="J52" i="12"/>
  <c r="M48" i="12"/>
  <c r="M32" i="12"/>
  <c r="L79" i="12"/>
  <c r="F112" i="12"/>
  <c r="P112" i="12" s="1"/>
  <c r="R112" i="12" s="1"/>
  <c r="L49" i="12"/>
  <c r="E16" i="12"/>
  <c r="J86" i="12"/>
  <c r="N71" i="12"/>
  <c r="E88" i="12"/>
  <c r="M88" i="12"/>
  <c r="C97" i="12"/>
  <c r="H121" i="12"/>
  <c r="J25" i="12"/>
  <c r="F105" i="12"/>
  <c r="E106" i="12"/>
  <c r="M115" i="12"/>
  <c r="I44" i="12"/>
  <c r="C110" i="12"/>
  <c r="G73" i="12"/>
  <c r="F122" i="12"/>
  <c r="G16" i="12"/>
  <c r="H16" i="12"/>
  <c r="I119" i="12"/>
  <c r="F54" i="12"/>
  <c r="I15" i="12"/>
  <c r="E17" i="12"/>
  <c r="E116" i="12"/>
  <c r="H105" i="12"/>
  <c r="J103" i="12"/>
  <c r="M40" i="12"/>
  <c r="N100" i="12"/>
  <c r="M53" i="12"/>
  <c r="H85" i="12"/>
  <c r="J38" i="12"/>
  <c r="E120" i="12"/>
  <c r="E86" i="12"/>
  <c r="E85" i="12"/>
  <c r="G66" i="12"/>
  <c r="M59" i="12"/>
  <c r="M74" i="12"/>
  <c r="L91" i="12"/>
  <c r="L55" i="12"/>
  <c r="P55" i="12" s="1"/>
  <c r="R55" i="12" s="1"/>
  <c r="H65" i="12"/>
  <c r="C118" i="12"/>
  <c r="C26" i="12"/>
  <c r="L43" i="12"/>
  <c r="C75" i="12"/>
  <c r="M106" i="12"/>
  <c r="C70" i="12"/>
  <c r="D83" i="12"/>
  <c r="F88" i="12"/>
  <c r="M8" i="12"/>
  <c r="M47" i="12"/>
  <c r="P47" i="12" s="1"/>
  <c r="R47" i="12" s="1"/>
  <c r="D52" i="12"/>
  <c r="K74" i="12"/>
  <c r="K20" i="12"/>
  <c r="M72" i="12"/>
  <c r="M37" i="12"/>
  <c r="E27" i="12"/>
  <c r="G29" i="12"/>
  <c r="C117" i="12"/>
  <c r="D66" i="12"/>
  <c r="D115" i="12"/>
  <c r="H48" i="12"/>
  <c r="M30" i="12"/>
  <c r="I84" i="12"/>
  <c r="D19" i="20"/>
  <c r="D29" i="20" s="1"/>
  <c r="D39" i="20" s="1"/>
  <c r="D68" i="20" s="1"/>
  <c r="P54" i="12"/>
  <c r="P85" i="12"/>
  <c r="R85" i="12" s="1"/>
  <c r="P61" i="12"/>
  <c r="R61" i="12" s="1"/>
  <c r="C131" i="12"/>
  <c r="G8" i="12"/>
  <c r="F53" i="12"/>
  <c r="E41" i="12"/>
  <c r="J106" i="12"/>
  <c r="K10" i="12"/>
  <c r="H46" i="12"/>
  <c r="H38" i="12"/>
  <c r="I93" i="12"/>
  <c r="F38" i="12"/>
  <c r="M34" i="12"/>
  <c r="L42" i="12"/>
  <c r="P42" i="12" s="1"/>
  <c r="R42" i="12" s="1"/>
  <c r="C119" i="12"/>
  <c r="N7" i="12"/>
  <c r="F50" i="12"/>
  <c r="F13" i="12"/>
  <c r="M117" i="12"/>
  <c r="N106" i="12"/>
  <c r="D120" i="12"/>
  <c r="G79" i="12"/>
  <c r="F67" i="12"/>
  <c r="I106" i="12"/>
  <c r="N39" i="12"/>
  <c r="F19" i="12"/>
  <c r="F121" i="12"/>
  <c r="E32" i="12"/>
  <c r="L114" i="12"/>
  <c r="C74" i="12"/>
  <c r="K99" i="12"/>
  <c r="L64" i="12"/>
  <c r="N41" i="12"/>
  <c r="G25" i="12"/>
  <c r="P25" i="12" s="1"/>
  <c r="F120" i="12"/>
  <c r="M35" i="12"/>
  <c r="C71" i="12"/>
  <c r="L70" i="12"/>
  <c r="J83" i="12"/>
  <c r="F10" i="12"/>
  <c r="D82" i="12"/>
  <c r="F72" i="12"/>
  <c r="G113" i="12"/>
  <c r="E83" i="12"/>
  <c r="D12" i="12"/>
  <c r="K107" i="12"/>
  <c r="G22" i="12"/>
  <c r="F114" i="12"/>
  <c r="G57" i="12"/>
  <c r="D62" i="12"/>
  <c r="G95" i="12"/>
  <c r="P95" i="12" s="1"/>
  <c r="R95" i="12" s="1"/>
  <c r="M75" i="12"/>
  <c r="L113" i="12"/>
  <c r="K44" i="12"/>
  <c r="I77" i="12"/>
  <c r="H60" i="12"/>
  <c r="F60" i="12"/>
  <c r="I46" i="12"/>
  <c r="E133" i="12"/>
  <c r="E131" i="12" s="1"/>
  <c r="D65" i="12"/>
  <c r="P65" i="12" s="1"/>
  <c r="R65" i="12" s="1"/>
  <c r="H24" i="12"/>
  <c r="H106" i="12"/>
  <c r="I10" i="12"/>
  <c r="K90" i="12"/>
  <c r="N21" i="12"/>
  <c r="N103" i="12"/>
  <c r="D7" i="12"/>
  <c r="J87" i="12"/>
  <c r="K51" i="12"/>
  <c r="G52" i="12"/>
  <c r="P52" i="12" s="1"/>
  <c r="N98" i="12"/>
  <c r="M111" i="12"/>
  <c r="F57" i="12"/>
  <c r="C15" i="12"/>
  <c r="K100" i="12"/>
  <c r="P100" i="12" s="1"/>
  <c r="R100" i="12" s="1"/>
  <c r="F91" i="12"/>
  <c r="F48" i="12"/>
  <c r="F76" i="12"/>
  <c r="C32" i="12"/>
  <c r="F45" i="12"/>
  <c r="G32" i="12"/>
  <c r="J37" i="12"/>
  <c r="E58" i="12"/>
  <c r="I53" i="12"/>
  <c r="K111" i="12"/>
  <c r="J102" i="12"/>
  <c r="N40" i="12"/>
  <c r="L44" i="12"/>
  <c r="N58" i="12"/>
  <c r="D14" i="12"/>
  <c r="I121" i="12"/>
  <c r="K38" i="12"/>
  <c r="H44" i="12"/>
  <c r="I45" i="12"/>
  <c r="J29" i="12"/>
  <c r="G68" i="12"/>
  <c r="I102" i="12"/>
  <c r="K8" i="12"/>
  <c r="L27" i="12"/>
  <c r="E62" i="12"/>
  <c r="F40" i="12"/>
  <c r="E30" i="12"/>
  <c r="N102" i="12"/>
  <c r="J23" i="12"/>
  <c r="K32" i="12"/>
  <c r="G59" i="12"/>
  <c r="P59" i="12" s="1"/>
  <c r="R59" i="12" s="1"/>
  <c r="N11" i="12"/>
  <c r="F41" i="12"/>
  <c r="L13" i="12"/>
  <c r="M101" i="12"/>
  <c r="C45" i="12"/>
  <c r="H51" i="12"/>
  <c r="P51" i="12" s="1"/>
  <c r="R51" i="12" s="1"/>
  <c r="K43" i="12"/>
  <c r="G21" i="12"/>
  <c r="J41" i="12"/>
  <c r="G50" i="12"/>
  <c r="N16" i="12"/>
  <c r="P16" i="12" s="1"/>
  <c r="R16" i="12" s="1"/>
  <c r="I101" i="12"/>
  <c r="H96" i="12"/>
  <c r="J27" i="12"/>
  <c r="I63" i="12"/>
  <c r="H26" i="12"/>
  <c r="H57" i="12"/>
  <c r="E43" i="12"/>
  <c r="J116" i="12"/>
  <c r="I34" i="12"/>
  <c r="P34" i="12" s="1"/>
  <c r="R34" i="12" s="1"/>
  <c r="F97" i="12"/>
  <c r="D33" i="12"/>
  <c r="F17" i="12"/>
  <c r="H17" i="12"/>
  <c r="E46" i="12"/>
  <c r="G39" i="12"/>
  <c r="P39" i="12" s="1"/>
  <c r="R39" i="12" s="1"/>
  <c r="G46" i="12"/>
  <c r="G78" i="12"/>
  <c r="F107" i="12"/>
  <c r="E53" i="12"/>
  <c r="K83" i="12"/>
  <c r="C58" i="12"/>
  <c r="P58" i="12" s="1"/>
  <c r="R58" i="12" s="1"/>
  <c r="M69" i="12"/>
  <c r="P69" i="12" s="1"/>
  <c r="R69" i="12" s="1"/>
  <c r="G71" i="12"/>
  <c r="G63" i="12"/>
  <c r="C14" i="12"/>
  <c r="P14" i="12" s="1"/>
  <c r="R14" i="12" s="1"/>
  <c r="M77" i="12"/>
  <c r="C10" i="12"/>
  <c r="N22" i="12"/>
  <c r="L82" i="12"/>
  <c r="L7" i="12"/>
  <c r="J67" i="12"/>
  <c r="E84" i="12"/>
  <c r="D68" i="12"/>
  <c r="I13" i="12"/>
  <c r="F15" i="12"/>
  <c r="E10" i="12"/>
  <c r="F75" i="12"/>
  <c r="G56" i="12"/>
  <c r="M26" i="12"/>
  <c r="M10" i="12"/>
  <c r="F66" i="12"/>
  <c r="J121" i="12"/>
  <c r="G20" i="12"/>
  <c r="F12" i="12"/>
  <c r="L118" i="12"/>
  <c r="G102" i="12"/>
  <c r="P102" i="12" s="1"/>
  <c r="R102" i="12" s="1"/>
  <c r="J77" i="12"/>
  <c r="D77" i="12"/>
  <c r="G53" i="12"/>
  <c r="G31" i="12"/>
  <c r="F29" i="12"/>
  <c r="C103" i="12"/>
  <c r="L92" i="12"/>
  <c r="P92" i="12" s="1"/>
  <c r="R92" i="12" s="1"/>
  <c r="E20" i="12"/>
  <c r="H109" i="12"/>
  <c r="M94" i="12"/>
  <c r="H27" i="12"/>
  <c r="I87" i="12"/>
  <c r="D29" i="12"/>
  <c r="P29" i="12" s="1"/>
  <c r="R29" i="12" s="1"/>
  <c r="I91" i="12"/>
  <c r="D96" i="12"/>
  <c r="H9" i="12"/>
  <c r="P9" i="12" s="1"/>
  <c r="R9" i="12" s="1"/>
  <c r="I116" i="12"/>
  <c r="J133" i="12"/>
  <c r="J131" i="12" s="1"/>
  <c r="H87" i="12"/>
  <c r="C86" i="12"/>
  <c r="P86" i="12" s="1"/>
  <c r="R86" i="12" s="1"/>
  <c r="E82" i="12"/>
  <c r="G116" i="12"/>
  <c r="E118" i="12"/>
  <c r="P118" i="12" s="1"/>
  <c r="R118" i="12" s="1"/>
  <c r="C8" i="12"/>
  <c r="K91" i="12"/>
  <c r="M98" i="12"/>
  <c r="P98" i="12" s="1"/>
  <c r="R98" i="12" s="1"/>
  <c r="C66" i="12"/>
  <c r="P66" i="12" s="1"/>
  <c r="R66" i="12" s="1"/>
  <c r="H83" i="12"/>
  <c r="H101" i="12"/>
  <c r="P101" i="12" s="1"/>
  <c r="R101" i="12" s="1"/>
  <c r="J20" i="12"/>
  <c r="D73" i="12"/>
  <c r="P73" i="12" s="1"/>
  <c r="R73" i="12" s="1"/>
  <c r="D46" i="12"/>
  <c r="P46" i="12" s="1"/>
  <c r="R46" i="12" s="1"/>
  <c r="H103" i="12"/>
  <c r="H78" i="12"/>
  <c r="J44" i="12"/>
  <c r="I122" i="12"/>
  <c r="P122" i="12" s="1"/>
  <c r="R122" i="12" s="1"/>
  <c r="C82" i="12"/>
  <c r="J107" i="12"/>
  <c r="E49" i="12"/>
  <c r="C84" i="12"/>
  <c r="G24" i="12"/>
  <c r="N94" i="12"/>
  <c r="D79" i="12"/>
  <c r="H93" i="12"/>
  <c r="L45" i="12"/>
  <c r="F35" i="12"/>
  <c r="F99" i="12"/>
  <c r="G82" i="12"/>
  <c r="J40" i="12"/>
  <c r="L78" i="12"/>
  <c r="K28" i="12"/>
  <c r="H6" i="12"/>
  <c r="E77" i="12"/>
  <c r="K22" i="12"/>
  <c r="M83" i="12"/>
  <c r="F28" i="12"/>
  <c r="H104" i="12"/>
  <c r="N45" i="12"/>
  <c r="I26" i="12"/>
  <c r="M57" i="12"/>
  <c r="N49" i="12"/>
  <c r="J109" i="12"/>
  <c r="C120" i="12"/>
  <c r="P120" i="12" s="1"/>
  <c r="R120" i="12" s="1"/>
  <c r="J63" i="12"/>
  <c r="D67" i="12"/>
  <c r="J8" i="12"/>
  <c r="I56" i="12"/>
  <c r="J10" i="12"/>
  <c r="J62" i="12"/>
  <c r="J45" i="12"/>
  <c r="L48" i="12"/>
  <c r="L57" i="12"/>
  <c r="L11" i="12"/>
  <c r="J35" i="12"/>
  <c r="H114" i="12"/>
  <c r="N28" i="12"/>
  <c r="H37" i="12"/>
  <c r="L41" i="12"/>
  <c r="N10" i="12"/>
  <c r="J32" i="12"/>
  <c r="E81" i="12"/>
  <c r="E75" i="12"/>
  <c r="P75" i="12" s="1"/>
  <c r="R75" i="12" s="1"/>
  <c r="N84" i="12"/>
  <c r="I27" i="12"/>
  <c r="F80" i="12"/>
  <c r="P80" i="12" s="1"/>
  <c r="R80" i="12" s="1"/>
  <c r="L99" i="12"/>
  <c r="N79" i="12"/>
  <c r="N19" i="12"/>
  <c r="I76" i="12"/>
  <c r="G33" i="12"/>
  <c r="L35" i="12"/>
  <c r="H97" i="12"/>
  <c r="N96" i="12"/>
  <c r="L26" i="12"/>
  <c r="M17" i="12"/>
  <c r="G30" i="12"/>
  <c r="K84" i="12"/>
  <c r="I109" i="12"/>
  <c r="K103" i="12"/>
  <c r="H20" i="12"/>
  <c r="J110" i="12"/>
  <c r="P110" i="12" s="1"/>
  <c r="R110" i="12" s="1"/>
  <c r="F18" i="12"/>
  <c r="N104" i="12"/>
  <c r="D45" i="12"/>
  <c r="J11" i="12"/>
  <c r="M28" i="12"/>
  <c r="F37" i="12"/>
  <c r="D60" i="12"/>
  <c r="P60" i="12" s="1"/>
  <c r="R60" i="12" s="1"/>
  <c r="G11" i="12"/>
  <c r="N77" i="12"/>
  <c r="I90" i="12"/>
  <c r="P90" i="12" s="1"/>
  <c r="R90" i="12" s="1"/>
  <c r="G119" i="12"/>
  <c r="K68" i="12"/>
  <c r="M23" i="12"/>
  <c r="K31" i="12"/>
  <c r="G81" i="12"/>
  <c r="J97" i="12"/>
  <c r="N15" i="12"/>
  <c r="C18" i="12"/>
  <c r="C43" i="12"/>
  <c r="P43" i="12" s="1"/>
  <c r="R43" i="12" s="1"/>
  <c r="F64" i="12"/>
  <c r="P64" i="12" s="1"/>
  <c r="R64" i="12" s="1"/>
  <c r="H67" i="12"/>
  <c r="D108" i="12"/>
  <c r="P108" i="12" s="1"/>
  <c r="R108" i="12" s="1"/>
  <c r="J93" i="12"/>
  <c r="L6" i="12"/>
  <c r="M63" i="20"/>
  <c r="L64" i="20"/>
  <c r="L67" i="20" s="1"/>
  <c r="P105" i="12" l="1"/>
  <c r="R105" i="12" s="1"/>
  <c r="P72" i="12"/>
  <c r="R72" i="12" s="1"/>
  <c r="P70" i="12"/>
  <c r="R70" i="12" s="1"/>
  <c r="P115" i="12"/>
  <c r="R115" i="12" s="1"/>
  <c r="P88" i="12"/>
  <c r="R88" i="12" s="1"/>
  <c r="P21" i="12"/>
  <c r="R21" i="12" s="1"/>
  <c r="P106" i="12"/>
  <c r="R106" i="12" s="1"/>
  <c r="P74" i="12"/>
  <c r="R74" i="12" s="1"/>
  <c r="P11" i="12"/>
  <c r="R11" i="12" s="1"/>
  <c r="L5" i="12"/>
  <c r="P117" i="12"/>
  <c r="R117" i="12" s="1"/>
  <c r="P18" i="12"/>
  <c r="R18" i="12" s="1"/>
  <c r="P111" i="12"/>
  <c r="R111" i="12" s="1"/>
  <c r="P116" i="12"/>
  <c r="R116" i="12" s="1"/>
  <c r="D36" i="12"/>
  <c r="M36" i="12"/>
  <c r="P28" i="12"/>
  <c r="R28" i="12" s="1"/>
  <c r="P6" i="12"/>
  <c r="R6" i="12" s="1"/>
  <c r="P93" i="12"/>
  <c r="R93" i="12" s="1"/>
  <c r="P20" i="12"/>
  <c r="R20" i="12" s="1"/>
  <c r="P31" i="12"/>
  <c r="R31" i="12" s="1"/>
  <c r="P56" i="12"/>
  <c r="R56" i="12" s="1"/>
  <c r="P107" i="12"/>
  <c r="R107" i="12" s="1"/>
  <c r="P97" i="12"/>
  <c r="R97" i="12" s="1"/>
  <c r="D5" i="12"/>
  <c r="I5" i="12"/>
  <c r="P22" i="12"/>
  <c r="R22" i="12" s="1"/>
  <c r="P113" i="12"/>
  <c r="R113" i="12" s="1"/>
  <c r="P121" i="12"/>
  <c r="R121" i="12" s="1"/>
  <c r="P99" i="12"/>
  <c r="R99" i="12" s="1"/>
  <c r="P79" i="12"/>
  <c r="R79" i="12" s="1"/>
  <c r="P49" i="12"/>
  <c r="R49" i="12" s="1"/>
  <c r="P96" i="12"/>
  <c r="R96" i="12" s="1"/>
  <c r="P27" i="12"/>
  <c r="R27" i="12" s="1"/>
  <c r="P68" i="12"/>
  <c r="R68" i="12" s="1"/>
  <c r="P26" i="12"/>
  <c r="R26" i="12" s="1"/>
  <c r="P30" i="12"/>
  <c r="R30" i="12" s="1"/>
  <c r="K5" i="12"/>
  <c r="I36" i="12"/>
  <c r="P76" i="12"/>
  <c r="R76" i="12" s="1"/>
  <c r="P62" i="12"/>
  <c r="R62" i="12" s="1"/>
  <c r="P19" i="12"/>
  <c r="R19" i="12" s="1"/>
  <c r="P13" i="12"/>
  <c r="R13" i="12" s="1"/>
  <c r="E36" i="12"/>
  <c r="E19" i="20"/>
  <c r="F19" i="20" s="1"/>
  <c r="L36" i="12"/>
  <c r="J5" i="12"/>
  <c r="P35" i="12"/>
  <c r="R35" i="12" s="1"/>
  <c r="P94" i="12"/>
  <c r="R94" i="12" s="1"/>
  <c r="P77" i="12"/>
  <c r="R77" i="12" s="1"/>
  <c r="M5" i="12"/>
  <c r="E5" i="12"/>
  <c r="P63" i="12"/>
  <c r="R63" i="12" s="1"/>
  <c r="P17" i="12"/>
  <c r="R17" i="12" s="1"/>
  <c r="P40" i="12"/>
  <c r="R40" i="12" s="1"/>
  <c r="P44" i="12"/>
  <c r="R44" i="12" s="1"/>
  <c r="P48" i="12"/>
  <c r="R48" i="12" s="1"/>
  <c r="P57" i="12"/>
  <c r="R57" i="12" s="1"/>
  <c r="P12" i="12"/>
  <c r="R12" i="12" s="1"/>
  <c r="P50" i="12"/>
  <c r="R50" i="12" s="1"/>
  <c r="P81" i="12"/>
  <c r="R81" i="12" s="1"/>
  <c r="P67" i="12"/>
  <c r="R67" i="12" s="1"/>
  <c r="P104" i="12"/>
  <c r="R104" i="12" s="1"/>
  <c r="P109" i="12"/>
  <c r="R109" i="12" s="1"/>
  <c r="P53" i="12"/>
  <c r="P33" i="12"/>
  <c r="R33" i="12" s="1"/>
  <c r="P23" i="12"/>
  <c r="R23" i="12" s="1"/>
  <c r="K36" i="12"/>
  <c r="P91" i="12"/>
  <c r="R91" i="12" s="1"/>
  <c r="P114" i="12"/>
  <c r="R114" i="12" s="1"/>
  <c r="P83" i="12"/>
  <c r="R83" i="12" s="1"/>
  <c r="F5" i="12"/>
  <c r="P38" i="12"/>
  <c r="R38" i="12" s="1"/>
  <c r="G5" i="12"/>
  <c r="R25" i="12"/>
  <c r="P82" i="12"/>
  <c r="R82" i="12" s="1"/>
  <c r="P10" i="12"/>
  <c r="R10" i="12" s="1"/>
  <c r="C36" i="12"/>
  <c r="P7" i="12"/>
  <c r="R7" i="12" s="1"/>
  <c r="P41" i="12"/>
  <c r="R41" i="12" s="1"/>
  <c r="F36" i="12"/>
  <c r="H5" i="12"/>
  <c r="P84" i="12"/>
  <c r="R84" i="12" s="1"/>
  <c r="P8" i="12"/>
  <c r="P45" i="12"/>
  <c r="R45" i="12" s="1"/>
  <c r="P32" i="12"/>
  <c r="R32" i="12" s="1"/>
  <c r="P119" i="12"/>
  <c r="R119" i="12" s="1"/>
  <c r="G36" i="12"/>
  <c r="P15" i="12"/>
  <c r="R15" i="12" s="1"/>
  <c r="P133" i="12"/>
  <c r="R133" i="12" s="1"/>
  <c r="R131" i="12" s="1"/>
  <c r="H36" i="12"/>
  <c r="P103" i="12"/>
  <c r="R103" i="12" s="1"/>
  <c r="P71" i="12"/>
  <c r="R71" i="12" s="1"/>
  <c r="P37" i="12"/>
  <c r="R37" i="12" s="1"/>
  <c r="C5" i="12"/>
  <c r="M64" i="20"/>
  <c r="M67" i="20" s="1"/>
  <c r="N63" i="20"/>
  <c r="N64" i="20" s="1"/>
  <c r="L123" i="12" l="1"/>
  <c r="L130" i="12" s="1"/>
  <c r="L135" i="12" s="1"/>
  <c r="D123" i="12"/>
  <c r="D130" i="12" s="1"/>
  <c r="D135" i="12" s="1"/>
  <c r="M123" i="12"/>
  <c r="M130" i="12" s="1"/>
  <c r="M135" i="12" s="1"/>
  <c r="E123" i="12"/>
  <c r="E130" i="12" s="1"/>
  <c r="E135" i="12" s="1"/>
  <c r="C123" i="12"/>
  <c r="C130" i="12" s="1"/>
  <c r="C135" i="12" s="1"/>
  <c r="K123" i="12"/>
  <c r="K130" i="12" s="1"/>
  <c r="K135" i="12" s="1"/>
  <c r="I123" i="12"/>
  <c r="I130" i="12" s="1"/>
  <c r="I135" i="12" s="1"/>
  <c r="P131" i="12"/>
  <c r="F123" i="12"/>
  <c r="F130" i="12" s="1"/>
  <c r="F135" i="12" s="1"/>
  <c r="G123" i="12"/>
  <c r="G130" i="12" s="1"/>
  <c r="G135" i="12" s="1"/>
  <c r="E29" i="20"/>
  <c r="E39" i="20" s="1"/>
  <c r="E68" i="20" s="1"/>
  <c r="E71" i="20" s="1"/>
  <c r="T35" i="12"/>
  <c r="R8" i="12"/>
  <c r="F29" i="20"/>
  <c r="F39" i="20" s="1"/>
  <c r="F68" i="20" s="1"/>
  <c r="G19" i="20"/>
  <c r="H123" i="12"/>
  <c r="H130" i="12" s="1"/>
  <c r="H135" i="12" s="1"/>
  <c r="S35" i="12"/>
  <c r="F29" i="18"/>
  <c r="G29" i="20" l="1"/>
  <c r="G39" i="20" s="1"/>
  <c r="G68" i="20" s="1"/>
  <c r="H19" i="20"/>
  <c r="F30" i="18"/>
  <c r="I19" i="20" l="1"/>
  <c r="H29" i="20"/>
  <c r="H39" i="20" s="1"/>
  <c r="H68" i="20" s="1"/>
  <c r="H71" i="20" s="1"/>
  <c r="I29" i="20" l="1"/>
  <c r="I39" i="20" s="1"/>
  <c r="I68" i="20" s="1"/>
  <c r="J19" i="20"/>
  <c r="E9" i="22"/>
  <c r="F4719" i="166"/>
  <c r="D152" i="22" s="1"/>
  <c r="E4721" i="166"/>
  <c r="Y3" i="26" s="1"/>
  <c r="Y5" i="26" s="1"/>
  <c r="Y29" i="26" s="1"/>
  <c r="J11" i="11" l="1"/>
  <c r="J20" i="11" s="1"/>
  <c r="J31" i="11" s="1"/>
  <c r="K19" i="20"/>
  <c r="J29" i="20"/>
  <c r="J39" i="20" s="1"/>
  <c r="J68" i="20" s="1"/>
  <c r="AB3" i="26"/>
  <c r="AE3" i="26" s="1"/>
  <c r="AH3" i="26" s="1"/>
  <c r="E4719" i="166"/>
  <c r="J65" i="10" s="1"/>
  <c r="P65" i="10" s="1"/>
  <c r="F152" i="22"/>
  <c r="J152" i="22" s="1"/>
  <c r="G152" i="22"/>
  <c r="K152" i="22" s="1"/>
  <c r="Y30" i="26"/>
  <c r="G9" i="22"/>
  <c r="F9" i="22"/>
  <c r="K11" i="11" l="1"/>
  <c r="L11" i="11" s="1"/>
  <c r="K29" i="20"/>
  <c r="K39" i="20" s="1"/>
  <c r="K68" i="20" s="1"/>
  <c r="L19" i="20"/>
  <c r="J78" i="12"/>
  <c r="P78" i="12" s="1"/>
  <c r="AB5" i="26"/>
  <c r="AB29" i="26" s="1"/>
  <c r="AB30" i="26" s="1"/>
  <c r="AE5" i="26"/>
  <c r="AE29" i="26" s="1"/>
  <c r="J24" i="10"/>
  <c r="J100" i="10" s="1"/>
  <c r="J105" i="10" s="1"/>
  <c r="J58" i="11" s="1"/>
  <c r="K58" i="11" s="1"/>
  <c r="AH5" i="26"/>
  <c r="AH29" i="26" s="1"/>
  <c r="H9" i="22"/>
  <c r="I9" i="22"/>
  <c r="K20" i="11" l="1"/>
  <c r="K31" i="11" s="1"/>
  <c r="M19" i="20"/>
  <c r="N19" i="20" s="1"/>
  <c r="L29" i="20"/>
  <c r="L39" i="20" s="1"/>
  <c r="L68" i="20" s="1"/>
  <c r="J36" i="12"/>
  <c r="J123" i="12" s="1"/>
  <c r="J130" i="12" s="1"/>
  <c r="J135" i="12" s="1"/>
  <c r="AE30" i="26"/>
  <c r="J60" i="11"/>
  <c r="J62" i="11" s="1"/>
  <c r="J64" i="11" s="1"/>
  <c r="K60" i="11"/>
  <c r="K62" i="11" s="1"/>
  <c r="L58" i="11"/>
  <c r="AH30" i="26"/>
  <c r="L20" i="11"/>
  <c r="L31" i="11" s="1"/>
  <c r="M11" i="11"/>
  <c r="R78" i="12"/>
  <c r="K64" i="11" l="1"/>
  <c r="C15" i="16"/>
  <c r="D14" i="16" s="1"/>
  <c r="C19" i="18"/>
  <c r="C17" i="14" s="1"/>
  <c r="L60" i="11"/>
  <c r="L62" i="11" s="1"/>
  <c r="L64" i="11" s="1"/>
  <c r="M58" i="11"/>
  <c r="M20" i="11"/>
  <c r="M31" i="11" s="1"/>
  <c r="M60" i="11" l="1"/>
  <c r="M62" i="11" s="1"/>
  <c r="M64" i="11" s="1"/>
  <c r="E6093" i="167" l="1"/>
  <c r="N48" i="20"/>
  <c r="F17" i="18" s="1"/>
  <c r="D46" i="22"/>
  <c r="F46" i="22" s="1"/>
  <c r="F6092" i="167"/>
  <c r="E6092" i="167" s="1"/>
  <c r="N47" i="20" s="1"/>
  <c r="E47" i="22"/>
  <c r="F16" i="18" l="1"/>
  <c r="N58" i="20"/>
  <c r="N67" i="20" s="1"/>
  <c r="C33" i="16"/>
  <c r="H46" i="22"/>
  <c r="G47" i="22"/>
  <c r="I47" i="22" s="1"/>
  <c r="F47" i="22"/>
  <c r="H47" i="22" s="1"/>
  <c r="G46" i="22"/>
  <c r="C36" i="16"/>
  <c r="D32" i="16" l="1"/>
  <c r="D48" i="15"/>
  <c r="E47" i="15" s="1"/>
  <c r="I46" i="22"/>
  <c r="D35" i="16"/>
  <c r="D57" i="15"/>
  <c r="E56" i="15" s="1"/>
  <c r="F16" i="14"/>
  <c r="F21" i="18"/>
  <c r="F32" i="18" s="1"/>
  <c r="M28" i="20" l="1"/>
  <c r="N28" i="20" s="1"/>
  <c r="E6345" i="167"/>
  <c r="D40" i="22"/>
  <c r="G40" i="22" s="1"/>
  <c r="E6352" i="167"/>
  <c r="E6360" i="167"/>
  <c r="E6350" i="167"/>
  <c r="E6354" i="167"/>
  <c r="E6358" i="167"/>
  <c r="E6362" i="167"/>
  <c r="E6366" i="167"/>
  <c r="E6346" i="167"/>
  <c r="E6349" i="167"/>
  <c r="E6353" i="167"/>
  <c r="E6357" i="167"/>
  <c r="E6361" i="167"/>
  <c r="E6365" i="167"/>
  <c r="E6348" i="167"/>
  <c r="E6356" i="167"/>
  <c r="E6364" i="167"/>
  <c r="E6347" i="167"/>
  <c r="E6351" i="167"/>
  <c r="E6355" i="167"/>
  <c r="E6359" i="167"/>
  <c r="E6363" i="167"/>
  <c r="E6367" i="167"/>
  <c r="I40" i="22" l="1"/>
  <c r="C17" i="18"/>
  <c r="N29" i="20"/>
  <c r="N39" i="20" s="1"/>
  <c r="N68" i="20" s="1"/>
  <c r="M29" i="20"/>
  <c r="M39" i="20" s="1"/>
  <c r="M68" i="20" s="1"/>
  <c r="F40" i="22"/>
  <c r="H40" i="22" l="1"/>
  <c r="C20" i="14"/>
  <c r="C20" i="18"/>
  <c r="C32" i="18" s="1"/>
  <c r="F34" i="18" s="1"/>
  <c r="L50" i="22" l="1"/>
  <c r="D162" i="22" l="1"/>
  <c r="F7143" i="166"/>
  <c r="E7143" i="166" s="1"/>
  <c r="E7145" i="166"/>
  <c r="N87" i="12" l="1"/>
  <c r="N36" i="12" s="1"/>
  <c r="N75" i="10"/>
  <c r="N24" i="10" s="1"/>
  <c r="AK3" i="26"/>
  <c r="AK5" i="26" s="1"/>
  <c r="AK29" i="26" s="1"/>
  <c r="AK30" i="26" s="1"/>
  <c r="N11" i="11"/>
  <c r="F162" i="22"/>
  <c r="G162" i="22"/>
  <c r="P87" i="12" l="1"/>
  <c r="P36" i="12" s="1"/>
  <c r="P75" i="10"/>
  <c r="P24" i="10" s="1"/>
  <c r="C14" i="19"/>
  <c r="C11" i="17"/>
  <c r="D11" i="17" s="1"/>
  <c r="N20" i="11"/>
  <c r="N31" i="11" s="1"/>
  <c r="K162" i="22"/>
  <c r="J162" i="22"/>
  <c r="R87" i="12" l="1"/>
  <c r="R36" i="12" s="1"/>
  <c r="D12" i="15"/>
  <c r="E7" i="15" s="1"/>
  <c r="E7" i="17"/>
  <c r="T36" i="12"/>
  <c r="C20" i="19"/>
  <c r="C34" i="19" s="1"/>
  <c r="C15" i="14"/>
  <c r="C21" i="14" s="1"/>
  <c r="C37" i="14" s="1"/>
  <c r="E91" i="22"/>
  <c r="G91" i="22" s="1"/>
  <c r="K91" i="22" s="1"/>
  <c r="K194" i="22" s="1"/>
  <c r="G7226" i="166"/>
  <c r="E7226" i="166"/>
  <c r="N22" i="10" s="1"/>
  <c r="N7" i="10" s="1"/>
  <c r="N100" i="10" s="1"/>
  <c r="N105" i="10" s="1"/>
  <c r="N58" i="11" s="1"/>
  <c r="N24" i="12"/>
  <c r="N5" i="12" s="1"/>
  <c r="E7225" i="166"/>
  <c r="N38" i="11" s="1"/>
  <c r="N48" i="11" s="1"/>
  <c r="D53" i="22"/>
  <c r="G53" i="22" s="1"/>
  <c r="N123" i="12" l="1"/>
  <c r="N130" i="12" s="1"/>
  <c r="N135" i="12" s="1"/>
  <c r="P5" i="12"/>
  <c r="P123" i="12" s="1"/>
  <c r="P130" i="12" s="1"/>
  <c r="P135" i="12" s="1"/>
  <c r="F30" i="19"/>
  <c r="N60" i="11"/>
  <c r="N62" i="11" s="1"/>
  <c r="N64" i="11" s="1"/>
  <c r="G194" i="22"/>
  <c r="G196" i="22" s="1"/>
  <c r="I53" i="22"/>
  <c r="I194" i="22" s="1"/>
  <c r="K196" i="22"/>
  <c r="F15" i="19"/>
  <c r="E194" i="22"/>
  <c r="E196" i="22" s="1"/>
  <c r="D194" i="22"/>
  <c r="D196" i="22" s="1"/>
  <c r="F91" i="22"/>
  <c r="J91" i="22" s="1"/>
  <c r="J194" i="22" s="1"/>
  <c r="P22" i="10"/>
  <c r="P7" i="10" s="1"/>
  <c r="F53" i="22"/>
  <c r="P24" i="12"/>
  <c r="E197" i="22" l="1"/>
  <c r="H53" i="22"/>
  <c r="H194" i="22" s="1"/>
  <c r="F194" i="22"/>
  <c r="F196" i="22" s="1"/>
  <c r="R24" i="12"/>
  <c r="R5" i="12" s="1"/>
  <c r="R123" i="12" s="1"/>
  <c r="R130" i="12" s="1"/>
  <c r="R135" i="12" s="1"/>
  <c r="S24" i="12"/>
  <c r="T24" i="12" s="1"/>
  <c r="F33" i="14"/>
  <c r="F35" i="14" s="1"/>
  <c r="F32" i="19"/>
  <c r="F20" i="19"/>
  <c r="F20" i="14"/>
  <c r="F21" i="14" s="1"/>
  <c r="T5" i="12"/>
  <c r="T6" i="12" s="1"/>
  <c r="P100" i="10"/>
  <c r="J195" i="22"/>
  <c r="F37" i="14" l="1"/>
  <c r="F39" i="14" s="1"/>
  <c r="P139" i="12"/>
  <c r="P140" i="12" s="1"/>
  <c r="J196" i="22"/>
  <c r="P105" i="10"/>
  <c r="S123" i="12"/>
  <c r="F34" i="19"/>
  <c r="F37" i="19" s="1"/>
  <c r="H196" i="22"/>
  <c r="I195" i="22"/>
  <c r="J197" i="22" l="1"/>
  <c r="I196" i="22"/>
  <c r="J201" i="22"/>
  <c r="J202" i="22" s="1"/>
  <c r="J203" i="22" s="1"/>
  <c r="P142" i="12"/>
  <c r="P144" i="12" s="1"/>
</calcChain>
</file>

<file path=xl/sharedStrings.xml><?xml version="1.0" encoding="utf-8"?>
<sst xmlns="http://schemas.openxmlformats.org/spreadsheetml/2006/main" count="19109" uniqueCount="2567">
  <si>
    <t>PATRIMONIO</t>
  </si>
  <si>
    <t>Menos:</t>
  </si>
  <si>
    <t>INTERESES DEP. A PLAZO</t>
  </si>
  <si>
    <t>ACUMULADO</t>
  </si>
  <si>
    <t>SETIEMBRE</t>
  </si>
  <si>
    <t>AGOSTO</t>
  </si>
  <si>
    <t>OTROS ACTIVOS</t>
  </si>
  <si>
    <t>OTROS INGRESOS</t>
  </si>
  <si>
    <t>JULIO</t>
  </si>
  <si>
    <t>ENERO</t>
  </si>
  <si>
    <t>FEBRERO</t>
  </si>
  <si>
    <t>MARZO</t>
  </si>
  <si>
    <t>ABRIL</t>
  </si>
  <si>
    <t>MAYO</t>
  </si>
  <si>
    <t>JUNIO</t>
  </si>
  <si>
    <t>OCTUBRE</t>
  </si>
  <si>
    <t>NOVIEMBRE</t>
  </si>
  <si>
    <t>DICIEMBRE</t>
  </si>
  <si>
    <t>Prom mensual</t>
  </si>
  <si>
    <t>INGRESOS FONDO CONSTRUCCION</t>
  </si>
  <si>
    <t>RESULTADO NETO CALI</t>
  </si>
  <si>
    <t>RESULTADO NETO FONDO CONSTRUCCION</t>
  </si>
  <si>
    <t>INGRESOS MISAS</t>
  </si>
  <si>
    <t xml:space="preserve">RESULTADO NETO </t>
  </si>
  <si>
    <t>Por período comprendido entre el 01 de Enero</t>
  </si>
  <si>
    <t>ACTIVOS</t>
  </si>
  <si>
    <t>PASIVOS</t>
  </si>
  <si>
    <t>$</t>
  </si>
  <si>
    <t>ACTIVO CIRCULANTE</t>
  </si>
  <si>
    <t>PASIVO CIRCULANTE</t>
  </si>
  <si>
    <t>- Disponible</t>
  </si>
  <si>
    <t>ACTIVO FIJO</t>
  </si>
  <si>
    <t>PASIVO LARGO PLAZO</t>
  </si>
  <si>
    <t>TOTAL PASIVO L/P</t>
  </si>
  <si>
    <t>TOTAL ACTIVO FIJO</t>
  </si>
  <si>
    <t>- Capital</t>
  </si>
  <si>
    <t>TOTAL OTROS ACTIVOS</t>
  </si>
  <si>
    <t>TOTAL PATRIMONIO</t>
  </si>
  <si>
    <t>TOTAL ACTIVOS</t>
  </si>
  <si>
    <t>TOTAL PASIVOS</t>
  </si>
  <si>
    <t>- Recaudadores por pagar</t>
  </si>
  <si>
    <t>- Fondos Pastoral Juvenil</t>
  </si>
  <si>
    <t>- Arzobispado por pagar</t>
  </si>
  <si>
    <t>BALANCE GENERAL CONSOLIDADO</t>
  </si>
  <si>
    <t>BALANCE GENERAL CALI</t>
  </si>
  <si>
    <t>BALANCE GENERAL ADMINISTRACION</t>
  </si>
  <si>
    <t>TOTAL ACTIVO CIRCULANTE</t>
  </si>
  <si>
    <t>TOTAL PASIVO CIRCULANTE</t>
  </si>
  <si>
    <t xml:space="preserve"> </t>
  </si>
  <si>
    <t>RESULTADO ADMINISTRACION</t>
  </si>
  <si>
    <t>UNIDAD PARROQUIAL SAN ALBERTO HURTADO CONSOLIDADO</t>
  </si>
  <si>
    <t xml:space="preserve">   </t>
  </si>
  <si>
    <t>Caja</t>
  </si>
  <si>
    <t>Banco Cali</t>
  </si>
  <si>
    <t xml:space="preserve"> Asiento apertura</t>
  </si>
  <si>
    <t>Inversiones</t>
  </si>
  <si>
    <t>- Inversiones</t>
  </si>
  <si>
    <t>Garantias</t>
  </si>
  <si>
    <t>- Equipos</t>
  </si>
  <si>
    <t>- Muebles</t>
  </si>
  <si>
    <t>Equipos</t>
  </si>
  <si>
    <t xml:space="preserve">  Apertura</t>
  </si>
  <si>
    <t>Muebles</t>
  </si>
  <si>
    <t>Disponible</t>
  </si>
  <si>
    <t>Pastoral Juvenil</t>
  </si>
  <si>
    <t>ANALISIS DE CUENTAS</t>
  </si>
  <si>
    <t>- Resultado del período</t>
  </si>
  <si>
    <t>- 1% por pagar</t>
  </si>
  <si>
    <t>- Depósito a plazo</t>
  </si>
  <si>
    <t>Deudores por recaudación</t>
  </si>
  <si>
    <t>Actibvo fijo</t>
  </si>
  <si>
    <t>1% por pagar</t>
  </si>
  <si>
    <t>Arzobispado por pagar</t>
  </si>
  <si>
    <t>Recaudadores por pagar</t>
  </si>
  <si>
    <t>- Retención y sueldos por pagar</t>
  </si>
  <si>
    <t>Retención y sueldos por pagar</t>
  </si>
  <si>
    <t>Banco administración</t>
  </si>
  <si>
    <t>- Cuentas por cobrar</t>
  </si>
  <si>
    <t>Garantia arriendo Litoria</t>
  </si>
  <si>
    <t>Retencion honorarios</t>
  </si>
  <si>
    <t>Retención honorarios</t>
  </si>
  <si>
    <t>- Proyecto Parroquia</t>
  </si>
  <si>
    <t>Proyecto Parroquia</t>
  </si>
  <si>
    <t>PARROQUIA SAN ALBERTO HURTADO</t>
  </si>
  <si>
    <t>Cuentas por cobrar</t>
  </si>
  <si>
    <t>Activo fijo</t>
  </si>
  <si>
    <t>Recaudadoras por pagar octubre</t>
  </si>
  <si>
    <t>Depositos a plazo</t>
  </si>
  <si>
    <t>Rec por cobrar</t>
  </si>
  <si>
    <t>- Retención honorarios</t>
  </si>
  <si>
    <t>Depreciación acumulada</t>
  </si>
  <si>
    <t>Honorarios por pagar</t>
  </si>
  <si>
    <t>Saldo fondo mutuo</t>
  </si>
  <si>
    <t>TOTAL PASIVOS Y PATRIMONIO</t>
  </si>
  <si>
    <t>Recaudadoras por pagar</t>
  </si>
  <si>
    <t xml:space="preserve">Aporte </t>
  </si>
  <si>
    <t xml:space="preserve">Saldo   </t>
  </si>
  <si>
    <t>Saldo</t>
  </si>
  <si>
    <t>RES. NETO FONDO CONSOLIDADO</t>
  </si>
  <si>
    <t>ING. FONDO COSOLIDADO</t>
  </si>
  <si>
    <t xml:space="preserve">  Estufa</t>
  </si>
  <si>
    <t>Las Cabras</t>
  </si>
  <si>
    <t>Fray Andresito</t>
  </si>
  <si>
    <t>- Fray Andresito</t>
  </si>
  <si>
    <t>- Las Cabras</t>
  </si>
  <si>
    <t>SEPTIEMBRE</t>
  </si>
  <si>
    <t>- Resultado Acumulado</t>
  </si>
  <si>
    <t>- Resultado acumulado</t>
  </si>
  <si>
    <t>Fondos por Rendir</t>
  </si>
  <si>
    <t>- Fondos por Rendir</t>
  </si>
  <si>
    <t>- Depreciación acumulada</t>
  </si>
  <si>
    <t>Fecha</t>
  </si>
  <si>
    <t>Mes</t>
  </si>
  <si>
    <t>Cuenta</t>
  </si>
  <si>
    <t>Debe</t>
  </si>
  <si>
    <t>Haber</t>
  </si>
  <si>
    <t>Glosa</t>
  </si>
  <si>
    <t>Arquitectura</t>
  </si>
  <si>
    <t>Topografía</t>
  </si>
  <si>
    <t>Presentación Proyecto</t>
  </si>
  <si>
    <t>Varios Proyecto</t>
  </si>
  <si>
    <t>Cálculo</t>
  </si>
  <si>
    <t>Mecanica de Suelos</t>
  </si>
  <si>
    <t>Letrero Templo</t>
  </si>
  <si>
    <t>Código</t>
  </si>
  <si>
    <t>Cheque a Fecha F. Mutuos</t>
  </si>
  <si>
    <t>Disponibles Cruzados</t>
  </si>
  <si>
    <t>NOVEMBRE</t>
  </si>
  <si>
    <t>- Garantias</t>
  </si>
  <si>
    <t>Disponibles Cruzados con CALI</t>
  </si>
  <si>
    <t>Retenciones y Hon. Por pagar</t>
  </si>
  <si>
    <t>Cali</t>
  </si>
  <si>
    <t>Subtotales</t>
  </si>
  <si>
    <t>Resultados</t>
  </si>
  <si>
    <t>Total</t>
  </si>
  <si>
    <t>DEBE</t>
  </si>
  <si>
    <t>HABER</t>
  </si>
  <si>
    <t>DEUDOR</t>
  </si>
  <si>
    <t>ACREEDOR</t>
  </si>
  <si>
    <t>ACTIVO</t>
  </si>
  <si>
    <t>PASIVO</t>
  </si>
  <si>
    <t>PERDIDA</t>
  </si>
  <si>
    <t>GANANCIA</t>
  </si>
  <si>
    <t>RESULTADOS</t>
  </si>
  <si>
    <t>SALDOS</t>
  </si>
  <si>
    <t>BALANCE</t>
  </si>
  <si>
    <t>CUENTA</t>
  </si>
  <si>
    <t>CTA.</t>
  </si>
  <si>
    <t>ADT</t>
  </si>
  <si>
    <t>PABLO CERDA CHANDIA</t>
  </si>
  <si>
    <t>Contador General</t>
  </si>
  <si>
    <t>RUT: 10.850.396-3</t>
  </si>
  <si>
    <t>- Prestamos a Fundación</t>
  </si>
  <si>
    <t>Fondo Pastoral Social</t>
  </si>
  <si>
    <t>INGRESOS</t>
  </si>
  <si>
    <t>COLECTAS</t>
  </si>
  <si>
    <t>Colectas Normales</t>
  </si>
  <si>
    <t>Colectas Especiales</t>
  </si>
  <si>
    <t>DONACIONES</t>
  </si>
  <si>
    <t>Donacion Construccion</t>
  </si>
  <si>
    <t>Otras Donaciones</t>
  </si>
  <si>
    <t>SERVICIOS PARROQUIALES</t>
  </si>
  <si>
    <t>Librería</t>
  </si>
  <si>
    <t>Matrimonios</t>
  </si>
  <si>
    <t>Funerales</t>
  </si>
  <si>
    <t>Misas</t>
  </si>
  <si>
    <t>INGRESOS PASTORALES</t>
  </si>
  <si>
    <t>Pastoral Familiar</t>
  </si>
  <si>
    <t>Pastoral Novios</t>
  </si>
  <si>
    <t>Pastoral Bautismal</t>
  </si>
  <si>
    <t>Pastoral Liturgia</t>
  </si>
  <si>
    <t>Pastoral Social</t>
  </si>
  <si>
    <t>Ayuda Solidaria</t>
  </si>
  <si>
    <t>Becas</t>
  </si>
  <si>
    <t>Pastoral Salud</t>
  </si>
  <si>
    <t>Pastoral Comunicacional</t>
  </si>
  <si>
    <t>Venta activos</t>
  </si>
  <si>
    <t>Otros Ingreso</t>
  </si>
  <si>
    <t>APORTES 1%</t>
  </si>
  <si>
    <t>Cali  Arzobispado</t>
  </si>
  <si>
    <t>Cali Recaudadores</t>
  </si>
  <si>
    <t>Cali Oficina Parroquial</t>
  </si>
  <si>
    <t>Cali Tarjetas de Creditos</t>
  </si>
  <si>
    <t>Cali Transferencias y Depósitos Directos</t>
  </si>
  <si>
    <t>Cali Otros</t>
  </si>
  <si>
    <t>INGRESOS FUNDACION</t>
  </si>
  <si>
    <t>EGRESOS</t>
  </si>
  <si>
    <t xml:space="preserve">EGRESOS 1% </t>
  </si>
  <si>
    <t>Aporte Papal</t>
  </si>
  <si>
    <t>Aporte Arzobispado</t>
  </si>
  <si>
    <t>Aporte Vicaria</t>
  </si>
  <si>
    <t>Comisiones Cali Recaudadores</t>
  </si>
  <si>
    <t>Comisiones Cali Tarjetas de Creditos</t>
  </si>
  <si>
    <t>Comisiones Cali Arzobispado</t>
  </si>
  <si>
    <t>Cali otros</t>
  </si>
  <si>
    <t xml:space="preserve">        Campaña 1%</t>
  </si>
  <si>
    <t>ADMINISTRACION</t>
  </si>
  <si>
    <t>Sueldos</t>
  </si>
  <si>
    <t>Honorarios</t>
  </si>
  <si>
    <t xml:space="preserve">          Proceso 1%</t>
  </si>
  <si>
    <t xml:space="preserve">         Comunicaciones</t>
  </si>
  <si>
    <t>OFICINA PARROQUIAL</t>
  </si>
  <si>
    <t>Arriendos / Dividendos</t>
  </si>
  <si>
    <t>Servicios</t>
  </si>
  <si>
    <t>Electricidad</t>
  </si>
  <si>
    <t>Agua</t>
  </si>
  <si>
    <t>Telefonía, Internet (VTR, Entel)</t>
  </si>
  <si>
    <t>Gas</t>
  </si>
  <si>
    <t>Seguros</t>
  </si>
  <si>
    <t>Pág Web</t>
  </si>
  <si>
    <t>Correo</t>
  </si>
  <si>
    <t>Oficina</t>
  </si>
  <si>
    <t>Caja Chica</t>
  </si>
  <si>
    <t>Reuniones</t>
  </si>
  <si>
    <t>ARTICULOS DE OFICINA</t>
  </si>
  <si>
    <t>Aseo y Limpieza</t>
  </si>
  <si>
    <t>Varios</t>
  </si>
  <si>
    <t>MANTENCION</t>
  </si>
  <si>
    <t>Oficina Parroquial</t>
  </si>
  <si>
    <t>Templo</t>
  </si>
  <si>
    <t>GASTOS PASTORALES</t>
  </si>
  <si>
    <t xml:space="preserve">             Capellanías </t>
  </si>
  <si>
    <t xml:space="preserve">             Misas (Hojas, vino, hostias, coro)</t>
  </si>
  <si>
    <t xml:space="preserve">             Otros</t>
  </si>
  <si>
    <t xml:space="preserve">             Becas</t>
  </si>
  <si>
    <t xml:space="preserve">             Cerro Navia </t>
  </si>
  <si>
    <t>GASTOS DE REPRESENTACION</t>
  </si>
  <si>
    <t>EVENTOS Y CELEBRACIONES</t>
  </si>
  <si>
    <t>Encuentros y convivencias</t>
  </si>
  <si>
    <t>Dia San Alberto Hurtado</t>
  </si>
  <si>
    <t>Mes de Maria</t>
  </si>
  <si>
    <t>Semana Santa</t>
  </si>
  <si>
    <t>Otros</t>
  </si>
  <si>
    <t>APORTES INSTITUCIONES</t>
  </si>
  <si>
    <t>Casa de Dios</t>
  </si>
  <si>
    <t>Incami</t>
  </si>
  <si>
    <t>Obras Misionales</t>
  </si>
  <si>
    <t>Seminario Mayor</t>
  </si>
  <si>
    <t>Cuaresma</t>
  </si>
  <si>
    <t>Fundacion San Carlos de Apoquindo</t>
  </si>
  <si>
    <t>GASTOS FINANCIEROS</t>
  </si>
  <si>
    <t>INGRESOS FINANCIEROS</t>
  </si>
  <si>
    <t>GASTOS CONSTRUCCION PARROQUIA</t>
  </si>
  <si>
    <t>GASTOS FUNDACION</t>
  </si>
  <si>
    <t>OTROS EGRESOS</t>
  </si>
  <si>
    <t>Fondos Pastoral Juvenil</t>
  </si>
  <si>
    <t>Cheque a Fecha (F.Mutuo) y Otros</t>
  </si>
  <si>
    <t xml:space="preserve"> Fondos Pastoral Social</t>
  </si>
  <si>
    <t>Disponible Ch. Fecha</t>
  </si>
  <si>
    <t>Otros Valores Recaudadoras</t>
  </si>
  <si>
    <t>Otros Valores Tarjeta de Credito</t>
  </si>
  <si>
    <t>Capital Administración</t>
  </si>
  <si>
    <t>Capital Cali</t>
  </si>
  <si>
    <t>Resultado Acumulado Adm.</t>
  </si>
  <si>
    <t>Resultado Acumulado Cali</t>
  </si>
  <si>
    <t>Disponible Administración</t>
  </si>
  <si>
    <t>Disponible Cali</t>
  </si>
  <si>
    <t>Fondo por Rendir Cali</t>
  </si>
  <si>
    <t>Fondo por Rendir Admistración</t>
  </si>
  <si>
    <t>Fondo Mutuo Administración</t>
  </si>
  <si>
    <t>Depósito a plazo Cali</t>
  </si>
  <si>
    <t>Garantias Administración</t>
  </si>
  <si>
    <t>Préstamos  Fundación Administración</t>
  </si>
  <si>
    <t>BANCO CALI</t>
  </si>
  <si>
    <t>Saldo Contable Diciembre</t>
  </si>
  <si>
    <t>Saldo Contable Enero</t>
  </si>
  <si>
    <t>Saldo Contable Febrero</t>
  </si>
  <si>
    <t>Saldo Contable Marzo</t>
  </si>
  <si>
    <t>Saldo Contable Abril</t>
  </si>
  <si>
    <t>Saldo Contable Mayo</t>
  </si>
  <si>
    <t>Saldo Contable Junio</t>
  </si>
  <si>
    <t>Saldo Contable Julio</t>
  </si>
  <si>
    <t>Saldo Contable Agosto</t>
  </si>
  <si>
    <t>Saldo Contable Septiembre</t>
  </si>
  <si>
    <t>Saldo Contable Octubre</t>
  </si>
  <si>
    <t>Saldo Contable Noviembre</t>
  </si>
  <si>
    <t>Saldo Cartola Diciembre</t>
  </si>
  <si>
    <t>Saldo Cartola Enero</t>
  </si>
  <si>
    <t>Saldo Cartola Febrero</t>
  </si>
  <si>
    <t>Saldo Cartola Marzo</t>
  </si>
  <si>
    <t>Saldo Cartola Abril</t>
  </si>
  <si>
    <t>Saldo Cartola Mayo</t>
  </si>
  <si>
    <t>Saldo Cartola Junio</t>
  </si>
  <si>
    <t>Saldo Cartola Julio</t>
  </si>
  <si>
    <t>Saldo Cartola Agosto</t>
  </si>
  <si>
    <t>Saldo Cartola Septiembre</t>
  </si>
  <si>
    <t>Saldo Cartola Octubre</t>
  </si>
  <si>
    <t>Saldo Cartola Noviembre</t>
  </si>
  <si>
    <t>Diferencia</t>
  </si>
  <si>
    <t>Cheques Girados y no Cobrados</t>
  </si>
  <si>
    <t>Total Ch. Diciembre No Cob.</t>
  </si>
  <si>
    <t>Total Ch. No Cob.</t>
  </si>
  <si>
    <t>Diferencia en Conciliaciòn</t>
  </si>
  <si>
    <t>BANCO ADMINISTRACION</t>
  </si>
  <si>
    <t>Intereses Financieros Administración</t>
  </si>
  <si>
    <t>Intereses Financieros Cali</t>
  </si>
  <si>
    <t>Administración</t>
  </si>
  <si>
    <t>C. Costo</t>
  </si>
  <si>
    <t>Monto</t>
  </si>
  <si>
    <t>UNIDAD PASTORAL SAN ALBERTO HURTADO</t>
  </si>
  <si>
    <t>   Rut</t>
  </si>
  <si>
    <t>065759930-1</t>
  </si>
  <si>
    <t>   Fecha</t>
  </si>
  <si>
    <t>Detalle de Inversión</t>
  </si>
  <si>
    <t>   Tipo de Operación</t>
  </si>
  <si>
    <t>D.P.F. UF DE 90-365 DIAS</t>
  </si>
  <si>
    <t>   Nro. Documento</t>
  </si>
  <si>
    <t>   Sucursal</t>
  </si>
  <si>
    <t>OF. ESTORIL - EDWARDS OP.</t>
  </si>
  <si>
    <t>   Beneficiario</t>
  </si>
  <si>
    <t>UNIDAD PASTORAL SAN ALBER</t>
  </si>
  <si>
    <t>   Tasa Pactada</t>
  </si>
  <si>
    <t>   Estado</t>
  </si>
  <si>
    <t>Dcto. vigente</t>
  </si>
  <si>
    <t>   Fecha Emisión</t>
  </si>
  <si>
    <t>   Fecha Renovación</t>
  </si>
  <si>
    <t>   Fecha Vencimiento</t>
  </si>
  <si>
    <t>   Monto Inicial</t>
  </si>
  <si>
    <t>   Monto a Percibir</t>
  </si>
  <si>
    <t>Valor UF</t>
  </si>
  <si>
    <t>Totales</t>
  </si>
  <si>
    <t>a la fecha</t>
  </si>
  <si>
    <t>Provisión Cuentas por cobrar</t>
  </si>
  <si>
    <t>Obolo de San Pedro</t>
  </si>
  <si>
    <t>Vacaciones</t>
  </si>
  <si>
    <t>Santos Lugares</t>
  </si>
  <si>
    <t>Colecta Obalo de San Pedro</t>
  </si>
  <si>
    <t>Donaciones No Cali</t>
  </si>
  <si>
    <t xml:space="preserve">            Parroquia Santa Maria</t>
  </si>
  <si>
    <t>ANALISIS BALANCE ADMINISTRACION 2017</t>
  </si>
  <si>
    <t>ANALISIS BALANCE CALI 2017</t>
  </si>
  <si>
    <t>D.P.F. $ DE 30-89 DIAS</t>
  </si>
  <si>
    <t>Préstamo Arzobispado</t>
  </si>
  <si>
    <t>Cliente</t>
  </si>
  <si>
    <t> Cliente</t>
  </si>
  <si>
    <t>UF</t>
  </si>
  <si>
    <t>Obras en Construcción</t>
  </si>
  <si>
    <t>Regalos Navidad</t>
  </si>
  <si>
    <t>Casa Sacerdote</t>
  </si>
  <si>
    <t>015131-4</t>
  </si>
  <si>
    <t>015132-2</t>
  </si>
  <si>
    <t>014944-8</t>
  </si>
  <si>
    <t>014945-6</t>
  </si>
  <si>
    <t>0,2100 % a 30 Días</t>
  </si>
  <si>
    <t>0,1500 % a 90 Días</t>
  </si>
  <si>
    <t>PLAN DE CUENTAS PSAH 2014</t>
  </si>
  <si>
    <t>ADMINISTRACION y CALI 1%</t>
  </si>
  <si>
    <t>Bautizos</t>
  </si>
  <si>
    <t>Cajas de navidad</t>
  </si>
  <si>
    <t>Cali Arzobispado</t>
  </si>
  <si>
    <t>EGRESOS 1%</t>
  </si>
  <si>
    <t>Campaña 1%</t>
  </si>
  <si>
    <t>Saludo Navideño /Calendario</t>
  </si>
  <si>
    <t>Auxiliares de Aseo</t>
  </si>
  <si>
    <t>Sacerdotes</t>
  </si>
  <si>
    <t>Secretarias y Administración</t>
  </si>
  <si>
    <t>Contables</t>
  </si>
  <si>
    <t>Proceso 1%</t>
  </si>
  <si>
    <t>Comunicaciones</t>
  </si>
  <si>
    <t>Cotizaciones</t>
  </si>
  <si>
    <t>Auxiliares, secretarias y administración</t>
  </si>
  <si>
    <t>Sacerdote</t>
  </si>
  <si>
    <t>Alarma (ADT)</t>
  </si>
  <si>
    <t>Capellanías</t>
  </si>
  <si>
    <t>Misas (Hojas, vino, hostias, coro)</t>
  </si>
  <si>
    <t>Cerro Navia</t>
  </si>
  <si>
    <t>Ayuda Solidaria (Terremoto, Incendio, etc)</t>
  </si>
  <si>
    <t>Navidad</t>
  </si>
  <si>
    <t>Inspección</t>
  </si>
  <si>
    <t>INSPECCION</t>
  </si>
  <si>
    <t>1% Administración</t>
  </si>
  <si>
    <t>Cotizaciones por Pagar</t>
  </si>
  <si>
    <t>Arriendos Anticipados</t>
  </si>
  <si>
    <t xml:space="preserve">          Contables-Administración</t>
  </si>
  <si>
    <t xml:space="preserve">         Jardinero</t>
  </si>
  <si>
    <t>Provisión Honorarios Administración</t>
  </si>
  <si>
    <t>Provisión Honorarios Cali</t>
  </si>
  <si>
    <t>Cuenta por Pagar a Cali</t>
  </si>
  <si>
    <t>Cuentas por Cobrar a Administración</t>
  </si>
  <si>
    <t>- Cuentas por Pagar a Cali</t>
  </si>
  <si>
    <t>- Cotizaciones por Pagar</t>
  </si>
  <si>
    <t>- Cuentas por Cobrar a Adm.</t>
  </si>
  <si>
    <t>- Cuentas por Cobrar a Adm</t>
  </si>
  <si>
    <t>CASA SACERDOTES</t>
  </si>
  <si>
    <t>Nana</t>
  </si>
  <si>
    <t>Luz</t>
  </si>
  <si>
    <t>VTR</t>
  </si>
  <si>
    <t>Mantención y arreglos</t>
  </si>
  <si>
    <t>Sueldo Sacerdotes</t>
  </si>
  <si>
    <t>Sueldo Nana</t>
  </si>
  <si>
    <t>Sueldo Jardinero</t>
  </si>
  <si>
    <t>Arriendo Casa Sacerdotes</t>
  </si>
  <si>
    <t>Equipos de Oficina</t>
  </si>
  <si>
    <t>Aporte a Casa Sacerdotes</t>
  </si>
  <si>
    <t>Préstamos  Fundación Cali</t>
  </si>
  <si>
    <t>Caja de Navidad</t>
  </si>
  <si>
    <t xml:space="preserve">            Ayuda Solidaria</t>
  </si>
  <si>
    <t>Aportes STM</t>
  </si>
  <si>
    <t>Sistemas Comp.</t>
  </si>
  <si>
    <t>Cali  Arzobispado (249)</t>
  </si>
  <si>
    <t>Cali Recaudadores (249)</t>
  </si>
  <si>
    <t>Cali Oficina Parroquial (249)</t>
  </si>
  <si>
    <t>Cali Tarjetas de Creditos (249)</t>
  </si>
  <si>
    <t>Cali Transferencias y Depósitos Directos (249)</t>
  </si>
  <si>
    <t>- Prov. Honorarios Adm. Y otros</t>
  </si>
  <si>
    <t>Previred EE.Parroquia</t>
  </si>
  <si>
    <t>Previred P. Pedro</t>
  </si>
  <si>
    <t>T.G.R.</t>
  </si>
  <si>
    <t>PLAN DE CUENTAS PSAH 2019</t>
  </si>
  <si>
    <t>Total general</t>
  </si>
  <si>
    <t>Centraliza Remuneraciones</t>
  </si>
  <si>
    <t>PARROQUIA SAN ALBERTO HURTADO DE LAS CONDES</t>
  </si>
  <si>
    <t>Boleta</t>
  </si>
  <si>
    <t>Ver</t>
  </si>
  <si>
    <t>N°</t>
  </si>
  <si>
    <t>Estado</t>
  </si>
  <si>
    <t>Rut</t>
  </si>
  <si>
    <t>Nombre o Razón Social</t>
  </si>
  <si>
    <t>Soc. Prof.</t>
  </si>
  <si>
    <t>Brutos</t>
  </si>
  <si>
    <t>Retenido</t>
  </si>
  <si>
    <t>Pagado</t>
  </si>
  <si>
    <t>VIG</t>
  </si>
  <si>
    <t>NO</t>
  </si>
  <si>
    <t>7811988-8</t>
  </si>
  <si>
    <t>MARIA INES JARA LAMAS  </t>
  </si>
  <si>
    <t>7682368-5</t>
  </si>
  <si>
    <t>MARIA ANGELICA SEPULVEDA TORO  </t>
  </si>
  <si>
    <t>Totales* :</t>
  </si>
  <si>
    <t>Emisión</t>
  </si>
  <si>
    <t>Receptor</t>
  </si>
  <si>
    <t>    Fecha    </t>
  </si>
  <si>
    <t>      Rut      </t>
  </si>
  <si>
    <t>Nombre</t>
  </si>
  <si>
    <t>Retenidos</t>
  </si>
  <si>
    <t>65759930-1</t>
  </si>
  <si>
    <t>7570272-8</t>
  </si>
  <si>
    <t>JAIME ALFREDO ALVAREZ CARDENAS</t>
  </si>
  <si>
    <t>12151733-7</t>
  </si>
  <si>
    <t>MARIO ENRIQUE MIRANDA FIGUEROA</t>
  </si>
  <si>
    <t>9840716-2</t>
  </si>
  <si>
    <t>MARCO ANTONIO MORALES SECO</t>
  </si>
  <si>
    <t>(*)Totales</t>
  </si>
  <si>
    <t>Sueldos por Pagar</t>
  </si>
  <si>
    <t>Retención Honorarios Cali</t>
  </si>
  <si>
    <t>Ret. Hon.  e Impto. Unico Administración</t>
  </si>
  <si>
    <t>Honorarios por pagar Cali</t>
  </si>
  <si>
    <t>Honorarios por pagar Administración</t>
  </si>
  <si>
    <t>Detalle</t>
  </si>
  <si>
    <t>Otros Valores Arzobispado (248)</t>
  </si>
  <si>
    <t>Otros Valores Arzobispado (249)</t>
  </si>
  <si>
    <t>Valores por Cobrar Arzobispado Año Anterior</t>
  </si>
  <si>
    <t>- Cuentas por Cobrar a Fundación</t>
  </si>
  <si>
    <t>- Otros Pasivos</t>
  </si>
  <si>
    <t xml:space="preserve">Permiso Edificación </t>
  </si>
  <si>
    <t>Contribuciones 1a.Cta. 2019</t>
  </si>
  <si>
    <t xml:space="preserve">Saldo Permiso Edificación </t>
  </si>
  <si>
    <t xml:space="preserve">Saldo Informe Revisor Independiente </t>
  </si>
  <si>
    <t>Contribuciones 2a.Cta. 2019</t>
  </si>
  <si>
    <t>F.4356 Saldo Hon. Cálculo Estructural</t>
  </si>
  <si>
    <t>Claro Arquitectos S.A.</t>
  </si>
  <si>
    <t>Ver boleta en formato html</t>
  </si>
  <si>
    <t>Coz Coord. Proyecto Agosto/19</t>
  </si>
  <si>
    <t>Depósito a plazo Cali Banco Security</t>
  </si>
  <si>
    <t>Disponible CALI Security</t>
  </si>
  <si>
    <t>Coord Proyecto F. Coz</t>
  </si>
  <si>
    <t xml:space="preserve">PARROQUIA SAN ALBERTO HURTADO </t>
  </si>
  <si>
    <t>DE LAS CONDES</t>
  </si>
  <si>
    <t>DETALLE DE COSTOS ACTIVADOS (2009 - 2018)</t>
  </si>
  <si>
    <t>Cod# Cta#</t>
  </si>
  <si>
    <t>Ivan Vial  Arquitecto B38</t>
  </si>
  <si>
    <t>G.Donoso Arq. B.412</t>
  </si>
  <si>
    <t>Totales Activo Fijo al 31/12/2009</t>
  </si>
  <si>
    <t>Alliende Guridi</t>
  </si>
  <si>
    <t>Saez Joanon</t>
  </si>
  <si>
    <t>Cruz Browne</t>
  </si>
  <si>
    <t>ch 233-coz y cia b.nº 4997</t>
  </si>
  <si>
    <t>ch 232-claro arq. f.396 1ª cta</t>
  </si>
  <si>
    <t>ch 632-present proyecto</t>
  </si>
  <si>
    <t>ch 633-present proyecto</t>
  </si>
  <si>
    <t>Present.Calendarios Magnéticos</t>
  </si>
  <si>
    <t>Levantamiento Topografico F.3069 UCETOP,</t>
  </si>
  <si>
    <t>Pendones Present.</t>
  </si>
  <si>
    <t>Total Año 2010</t>
  </si>
  <si>
    <t>Totales Activo Fijo al 31/12/2010</t>
  </si>
  <si>
    <t>Ch. 465 Ing. (Rev. Calculo)</t>
  </si>
  <si>
    <t>Ch. 492 F 56685 Geocav Ing</t>
  </si>
  <si>
    <t>Ch. 498 F3340 Efe Publicidad</t>
  </si>
  <si>
    <t>Total Año 2011</t>
  </si>
  <si>
    <t>Totales Activo Fijo al 31/12/2011</t>
  </si>
  <si>
    <t>Honorarios Inspeccicón Tecnica</t>
  </si>
  <si>
    <t>f18, Proyectos y Obras</t>
  </si>
  <si>
    <t>COZ F3083</t>
  </si>
  <si>
    <t>Total Año 2017</t>
  </si>
  <si>
    <t>Totales Activo Fijo al 31/12/2017</t>
  </si>
  <si>
    <t>Factura 3168 coz y cia.</t>
  </si>
  <si>
    <t>Coz y Cia. S.A.</t>
  </si>
  <si>
    <t>Proyectos y Obras Ltda.</t>
  </si>
  <si>
    <t>ECETOP f321</t>
  </si>
  <si>
    <t>GEOCAV F9788</t>
  </si>
  <si>
    <t>MONICA PEREZ Y ASOCIADOS F339</t>
  </si>
  <si>
    <t>LEONARDO PARMA F196</t>
  </si>
  <si>
    <t>DUCTO PROYECTOS Y ASESORIAS SPA F911</t>
  </si>
  <si>
    <t>IPSA F648</t>
  </si>
  <si>
    <t>Las Peñas, Proyecto Pavimentación</t>
  </si>
  <si>
    <t>Proyecto Pavimentación</t>
  </si>
  <si>
    <t>Honorarios Coz Fact. 3428</t>
  </si>
  <si>
    <t>DUCTO Fact. 928</t>
  </si>
  <si>
    <t>Factura Sistemas Seguridad</t>
  </si>
  <si>
    <t>Lucas Vasquez Proyecto Iluminación</t>
  </si>
  <si>
    <t>Total 1er. Semestre 2018,</t>
  </si>
  <si>
    <t>***********************************</t>
  </si>
  <si>
    <t>Totales Activo Fijo al 30/06/2018</t>
  </si>
  <si>
    <t xml:space="preserve">Maria Guerrero Ch.5639891(Cálculo Combustible) </t>
  </si>
  <si>
    <t>Proyecto Acustico Ch  5639896</t>
  </si>
  <si>
    <t>Ricardo Cadiz Ch.5639899 (Maqueta)</t>
  </si>
  <si>
    <t>Asesoria Terreno Ch 5639901</t>
  </si>
  <si>
    <t>F26 Proyecto Climatización y Eficiencia Energética</t>
  </si>
  <si>
    <t>B37 Tramitación Permiso Municipal</t>
  </si>
  <si>
    <t>Ricardo Cadiz Maqueta</t>
  </si>
  <si>
    <t>Ploteo de planos</t>
  </si>
  <si>
    <t>Fact. 3860 Coz y Cia Inspección</t>
  </si>
  <si>
    <t>Coz y Cia Fact. 3859 licitación</t>
  </si>
  <si>
    <t>F9442 Ploteo obra PSAH</t>
  </si>
  <si>
    <t>Fact. 176 ICG, Proyecto Eléctrico</t>
  </si>
  <si>
    <t>Contribuciones</t>
  </si>
  <si>
    <t>Total 2° Semestre 2018,</t>
  </si>
  <si>
    <t>Total Año 2018</t>
  </si>
  <si>
    <t>Totales Activo Fijo al 31/12/2018</t>
  </si>
  <si>
    <t>MHO Cons. Ant. Analisis Vial Básisco  AVB</t>
  </si>
  <si>
    <t>A.Larrain V Modif Cálculo Estr.</t>
  </si>
  <si>
    <t>Licitacion  Proyecto F. Coz</t>
  </si>
  <si>
    <t>Contribuciones 4a.cuota</t>
  </si>
  <si>
    <t>A</t>
  </si>
  <si>
    <t>Fecha Inversión</t>
  </si>
  <si>
    <t>Fecha Vcto.</t>
  </si>
  <si>
    <t>Dias</t>
  </si>
  <si>
    <t>Tasa</t>
  </si>
  <si>
    <t>Interes final</t>
  </si>
  <si>
    <t>Monto Final</t>
  </si>
  <si>
    <t>dias corte</t>
  </si>
  <si>
    <t>Interes Ganado</t>
  </si>
  <si>
    <t>Saldo Año</t>
  </si>
  <si>
    <t>Total Año 2019</t>
  </si>
  <si>
    <t>Totales Activo Fijo al 31/12/2019</t>
  </si>
  <si>
    <t>9325123-7</t>
  </si>
  <si>
    <t>JORGE ANTONIO YEVENES URBINA</t>
  </si>
  <si>
    <t>Jorge Claude / 249</t>
  </si>
  <si>
    <t>Josefina Claude / 249</t>
  </si>
  <si>
    <t>Enrique Ferrer / 248</t>
  </si>
  <si>
    <t>Leonardo Robles / 248</t>
  </si>
  <si>
    <t>Patricio Abalos / 248</t>
  </si>
  <si>
    <t>Arantxa Ereche / 249</t>
  </si>
  <si>
    <t>Cheques  Fecha del mes</t>
  </si>
  <si>
    <t>Intereses DevengadosFFMM Security</t>
  </si>
  <si>
    <t>TASCO Ant.10% (UF19717,46)</t>
  </si>
  <si>
    <t>F543 Ases.Topog.UF10 (CREP 022)</t>
  </si>
  <si>
    <t xml:space="preserve">BH25 EEPP Fin.Proy.Climatización </t>
  </si>
  <si>
    <t>F275 Claro EEPP Etapa Constr.</t>
  </si>
  <si>
    <t>Coz Insp.Técnica Obra</t>
  </si>
  <si>
    <t>F282 Claro EEPP Etapa Constr.</t>
  </si>
  <si>
    <t>6209417-6</t>
  </si>
  <si>
    <t>EDUARDO ENRIQUE PLAZA RIVERA</t>
  </si>
  <si>
    <t>4485721-9</t>
  </si>
  <si>
    <t>GUILLERMO ALEX DE LA VEGA IVOV </t>
  </si>
  <si>
    <t>D. Vassiliu / 248</t>
  </si>
  <si>
    <t>Ana Maria Ugarte / 249</t>
  </si>
  <si>
    <t>Fca. Orrego / 249</t>
  </si>
  <si>
    <t>Hon. Angelica Sepulveda</t>
  </si>
  <si>
    <t>Total Año 2020</t>
  </si>
  <si>
    <t>Nro</t>
  </si>
  <si>
    <t>Tipo Doc</t>
  </si>
  <si>
    <t>Tipo Compra</t>
  </si>
  <si>
    <t>RUT Proveedor</t>
  </si>
  <si>
    <t>Razon Social</t>
  </si>
  <si>
    <t>Folio</t>
  </si>
  <si>
    <t>Fecha Docto</t>
  </si>
  <si>
    <t>Fecha Recepcion</t>
  </si>
  <si>
    <t>Fecha Acuse</t>
  </si>
  <si>
    <t>Monto Exento</t>
  </si>
  <si>
    <t>Monto Neto</t>
  </si>
  <si>
    <t>Monto IVA Recuperable</t>
  </si>
  <si>
    <t>Monto Iva No Recuperable</t>
  </si>
  <si>
    <t>Codigo IVA No Rec.</t>
  </si>
  <si>
    <t>Monto Total</t>
  </si>
  <si>
    <t>Del Giro</t>
  </si>
  <si>
    <t>96719620-7</t>
  </si>
  <si>
    <t>ADT SECURITY SERVICES S. A.</t>
  </si>
  <si>
    <t>80965500-8</t>
  </si>
  <si>
    <t>PROYECTOS Y CONSTRUCCIONES TASCO LIMITADA</t>
  </si>
  <si>
    <t>96806980-2</t>
  </si>
  <si>
    <t>Entel PCS Telecomunicaciones S.A.</t>
  </si>
  <si>
    <t>76598625-7</t>
  </si>
  <si>
    <t>Aseguradora Porvenir</t>
  </si>
  <si>
    <t>96689310-9</t>
  </si>
  <si>
    <t>TRANSBANK S.A.</t>
  </si>
  <si>
    <t>76087659-3</t>
  </si>
  <si>
    <t>AreÃ³pago Comunicaciones spa</t>
  </si>
  <si>
    <t>76090150-4</t>
  </si>
  <si>
    <t>84695300-0</t>
  </si>
  <si>
    <t>IMPRENTA QUICKPRINT LIMITADA</t>
  </si>
  <si>
    <t>9298200-9</t>
  </si>
  <si>
    <t>MANUEL ANTONIO BERRIOS ARAVENA</t>
  </si>
  <si>
    <t>79722860-5</t>
  </si>
  <si>
    <t>WINKLER LIMITADA</t>
  </si>
  <si>
    <t>89485200-3</t>
  </si>
  <si>
    <t>COZ Y COMPAÃ‘IA S.A.</t>
  </si>
  <si>
    <t>52002000-4</t>
  </si>
  <si>
    <t>MARCELO VALENZUELA SERV ING EN ELECTRON COMPUT Y CONECTIVIDAD E I R L</t>
  </si>
  <si>
    <t>N° Factura</t>
  </si>
  <si>
    <t>Anticipo Construcción</t>
  </si>
  <si>
    <t>Proveedores</t>
  </si>
  <si>
    <t>Nombre Proveedor</t>
  </si>
  <si>
    <t>Proyectos Especialidades</t>
  </si>
  <si>
    <t>138-01</t>
  </si>
  <si>
    <t>ITO</t>
  </si>
  <si>
    <t>138-02</t>
  </si>
  <si>
    <t>Proyecto Electrico</t>
  </si>
  <si>
    <t>138-03</t>
  </si>
  <si>
    <t>Jardines</t>
  </si>
  <si>
    <t>138-04</t>
  </si>
  <si>
    <t>Calculista</t>
  </si>
  <si>
    <t>138-05</t>
  </si>
  <si>
    <t>Topografia</t>
  </si>
  <si>
    <t>Det. Servicio</t>
  </si>
  <si>
    <t>ALFONSO LARRAIN VIAL Y ASOCIADOS LTDA.</t>
  </si>
  <si>
    <t>- Cuentas por cobrar y Anticipos</t>
  </si>
  <si>
    <t>I. Ureta / 248</t>
  </si>
  <si>
    <t>76350392-5</t>
  </si>
  <si>
    <t>CP ASESORES LIMITADA</t>
  </si>
  <si>
    <t>Coz y Compañía F 5397</t>
  </si>
  <si>
    <t>Claro Arquitectos F 293</t>
  </si>
  <si>
    <t>TASCO F.2576 EE.PP..N°1 UF 10508,414</t>
  </si>
  <si>
    <t>Rescate FF.MM Security</t>
  </si>
  <si>
    <t>Depósito Tto</t>
  </si>
  <si>
    <t>6694307-0</t>
  </si>
  <si>
    <t>RAFAEL AUGUSTO RAMON VICUNA GO </t>
  </si>
  <si>
    <t>10630809-8</t>
  </si>
  <si>
    <t>FRANCISCO JOSE LOPEZ BLANC  </t>
  </si>
  <si>
    <t>Florencia Garcia / 248</t>
  </si>
  <si>
    <t>Mauricio Hargous / 249</t>
  </si>
  <si>
    <t>Luis Dominguez / 248</t>
  </si>
  <si>
    <t xml:space="preserve">Factura Calculo </t>
  </si>
  <si>
    <t>Cuentas por Cobrar a CALI (Colectas)</t>
  </si>
  <si>
    <t>Cuentas por Cobrar a CALI (Canastas)</t>
  </si>
  <si>
    <t>Cuenta por Pagar a Administración Colectas</t>
  </si>
  <si>
    <t>Cuenta por Pagar a Administración Canastas</t>
  </si>
  <si>
    <t>UF 1,038,90 EP 1 TASCO</t>
  </si>
  <si>
    <t>UF 12.066,76 EP 1 TASCO</t>
  </si>
  <si>
    <t>UF 519,45 EP 1 TASCO</t>
  </si>
  <si>
    <t>Retenciones Construcción</t>
  </si>
  <si>
    <t>PARROQUIA SAN ALBERTO HURTADO CONSOLIDADO</t>
  </si>
  <si>
    <t>- Proveedores por Pagar</t>
  </si>
  <si>
    <t>Total Activo Fijo al 31/05/2020</t>
  </si>
  <si>
    <t>- Prov. Cali</t>
  </si>
  <si>
    <t>RODRIGO ERNESTO ANDRES VIDAL P </t>
  </si>
  <si>
    <t>M.Cristina Valenzuela / 248</t>
  </si>
  <si>
    <t>Horacio Cartagena / 249</t>
  </si>
  <si>
    <t>Maria Dolores Rioseco / 249</t>
  </si>
  <si>
    <t>13611773-4</t>
  </si>
  <si>
    <t>Dep. en transito</t>
  </si>
  <si>
    <t>77005150-9</t>
  </si>
  <si>
    <t>Cynersis Chile Limitada</t>
  </si>
  <si>
    <t>76297514-9</t>
  </si>
  <si>
    <t>Servicefood SpA</t>
  </si>
  <si>
    <t>97004000-5</t>
  </si>
  <si>
    <t>Banco de Chile</t>
  </si>
  <si>
    <t>RESULTADOS AÑO 2020</t>
  </si>
  <si>
    <t>Provisiones Administración</t>
  </si>
  <si>
    <t>PAC Entel</t>
  </si>
  <si>
    <t>Enrique Brahm / 249</t>
  </si>
  <si>
    <t>27050445-0</t>
  </si>
  <si>
    <t>DORLLY CLARET CARDENAS LINDARTE</t>
  </si>
  <si>
    <t>Colecta 4 Transferencias</t>
  </si>
  <si>
    <t>Colecta 1 Transferencias</t>
  </si>
  <si>
    <t>Yolanda Haase Baeza / 249</t>
  </si>
  <si>
    <t>Colecta 2 Transferencias</t>
  </si>
  <si>
    <t>Centralización RecaudaciónOctubre</t>
  </si>
  <si>
    <t>CNH 1 Transferencias</t>
  </si>
  <si>
    <t>CNH 12 Transferencias</t>
  </si>
  <si>
    <t>CNH 8 Transferencias</t>
  </si>
  <si>
    <t>CNH 7 Transferencias</t>
  </si>
  <si>
    <t>Compra Vinajera</t>
  </si>
  <si>
    <t>Katy  Nielsen Galli/ Azul</t>
  </si>
  <si>
    <t>Colecta1 4 Transferencias</t>
  </si>
  <si>
    <t>CNH 13 Transferencias</t>
  </si>
  <si>
    <t>S,Vives 25; J.M.Carafi50/Curso</t>
  </si>
  <si>
    <t>Colecta 10Transferencias</t>
  </si>
  <si>
    <t>María Elena de Castro Espinosa/249</t>
  </si>
  <si>
    <t>Max Eugenio Searle Couve/Azul</t>
  </si>
  <si>
    <t>Pamela Valerie Galloway Rillón/Azul</t>
  </si>
  <si>
    <t>Bautizos 1 Transferencias</t>
  </si>
  <si>
    <t>Patricia Romero / 249</t>
  </si>
  <si>
    <t>Marina Espinosa / 249</t>
  </si>
  <si>
    <t>Melania Espinosa / 249</t>
  </si>
  <si>
    <t>Jorge Larrañaga/Curso</t>
  </si>
  <si>
    <t>CNH 2 Transferencias</t>
  </si>
  <si>
    <t>Bautizos 2 Transferencias</t>
  </si>
  <si>
    <t>CNH 9 Transferencias</t>
  </si>
  <si>
    <t>F,5808 Coz y Cia. ITO</t>
  </si>
  <si>
    <t>Conciliacion Administración</t>
  </si>
  <si>
    <t>Cuadrar Bce Adm.</t>
  </si>
  <si>
    <t>Proveedores CALI</t>
  </si>
  <si>
    <t>Proveedores Administración</t>
  </si>
  <si>
    <t>97053000-2</t>
  </si>
  <si>
    <t>Banco Security</t>
  </si>
  <si>
    <t>76427499-7</t>
  </si>
  <si>
    <t>DUCTO PROYECTOS Y ASESORIAS SPA</t>
  </si>
  <si>
    <t>Adicionales Obras en Construcción</t>
  </si>
  <si>
    <t>138-06</t>
  </si>
  <si>
    <t>Manejo Residuos</t>
  </si>
  <si>
    <t>138-07</t>
  </si>
  <si>
    <t>Deposito en tto desde Banco Chile Cali</t>
  </si>
  <si>
    <t>Resumen</t>
  </si>
  <si>
    <t>Curso Biblia</t>
  </si>
  <si>
    <t>Variación UF Anticipo y Retenciones</t>
  </si>
  <si>
    <t>Anticipos</t>
  </si>
  <si>
    <t>Retenciones</t>
  </si>
  <si>
    <t>Monto $</t>
  </si>
  <si>
    <t>Acústica</t>
  </si>
  <si>
    <t>Cuadrar el Resultado Adm.</t>
  </si>
  <si>
    <t>Horas a la fecha</t>
  </si>
  <si>
    <t>Tiempo de Trabajo</t>
  </si>
  <si>
    <t>Conciliación Cali</t>
  </si>
  <si>
    <t>FM Cali Banco Security</t>
  </si>
  <si>
    <t>Asiento Apertura 2021</t>
  </si>
  <si>
    <t>Colecta 7 Transferencias</t>
  </si>
  <si>
    <t>Colecta 29 Transferencias</t>
  </si>
  <si>
    <t>Misas 2 Transferencias</t>
  </si>
  <si>
    <t>Canastas 1 Transferencias</t>
  </si>
  <si>
    <t>PAC Enel</t>
  </si>
  <si>
    <t>Aporte Especial Vicaria P.Social</t>
  </si>
  <si>
    <t>Dev. Pago pollos Error Cta.Cte.</t>
  </si>
  <si>
    <t>Hilda Dougnac Rodríguez / Azul</t>
  </si>
  <si>
    <t>Traspaso desde Cta. CALI</t>
  </si>
  <si>
    <t>PAC Aguas Cordillera</t>
  </si>
  <si>
    <t>Keryma Felmer Echeverria/Azul</t>
  </si>
  <si>
    <t>Jaime Andrés Court Viviani/249</t>
  </si>
  <si>
    <t>Comisión Pagos Nom. Bco.Chile</t>
  </si>
  <si>
    <t>Don.Bautizos 1 Transferencias</t>
  </si>
  <si>
    <t>Arriendo Enero Casa Pastoral</t>
  </si>
  <si>
    <t>PAC Metrogas Oficina</t>
  </si>
  <si>
    <t>Colecta 13 Transferencias</t>
  </si>
  <si>
    <t>Hugo Rosende Álvarez / 249</t>
  </si>
  <si>
    <t>Maria Muzio (Jul - Dic)</t>
  </si>
  <si>
    <t>Don.Bautizos 2 Transferencias</t>
  </si>
  <si>
    <t>PAC VTR,</t>
  </si>
  <si>
    <t>Carlos Celis Celedón / Azul</t>
  </si>
  <si>
    <t>Misas 1 Transferencias</t>
  </si>
  <si>
    <t>Eugenio Camus /Azul</t>
  </si>
  <si>
    <t>PAC ADT</t>
  </si>
  <si>
    <t>BH23 Hon M.Jara Nov y Dic/2020</t>
  </si>
  <si>
    <t>Caritas Insumos Campaña CNH</t>
  </si>
  <si>
    <t>Enrique Torrealba x 450 pollos</t>
  </si>
  <si>
    <t>Servicefood 46 Cajas 1alimentos</t>
  </si>
  <si>
    <t>BH  R,Vicuña Reparacion WC Ofic.</t>
  </si>
  <si>
    <t>Colecta 8 Transferencias</t>
  </si>
  <si>
    <t>Colecta 5 Transferencias</t>
  </si>
  <si>
    <t>Don. Matrimonio</t>
  </si>
  <si>
    <t>Colecta 3 Transferencias</t>
  </si>
  <si>
    <t>Colecta 11 Transferencias</t>
  </si>
  <si>
    <t>PAC Aseguradora Porvenir</t>
  </si>
  <si>
    <t>Misas 3 Transferencias</t>
  </si>
  <si>
    <t>Juan Carlos Varela Morgan/Azul</t>
  </si>
  <si>
    <t>Hilda Dougnac Rodriguez /Azul</t>
  </si>
  <si>
    <t>Trasp.a Cta. Adm. Dev. Colectas</t>
  </si>
  <si>
    <t>Rem.V.Arriagada Ene 21</t>
  </si>
  <si>
    <t>Rem.M.Reñasco Ene 21</t>
  </si>
  <si>
    <t>Rem.Katherine Farias Ene 21</t>
  </si>
  <si>
    <t>Rem.R.Valdés Ene 21</t>
  </si>
  <si>
    <t>Rem.P.Rios Oct.Ene 21</t>
  </si>
  <si>
    <t>BH Eduardo Plaza At. Jardines</t>
  </si>
  <si>
    <t>BH Jorge Yvenes Mant. Casa</t>
  </si>
  <si>
    <t>B.Te. Dorlly Cardenas Sanitzacion Bautizos</t>
  </si>
  <si>
    <t>F.739 Areopago Ene/21</t>
  </si>
  <si>
    <t>Servicefood 16 Cajas Alimentos</t>
  </si>
  <si>
    <t>Nomina Proveedores 29/01/2021</t>
  </si>
  <si>
    <t>Nomina Sueldos 29/01/21</t>
  </si>
  <si>
    <t>Aporte Esc.de Verano Vic.Cordillera</t>
  </si>
  <si>
    <t>Diferencia Arriendo Enero 2021</t>
  </si>
  <si>
    <t>BH156 Rodrigo Vidal Curso Biblia  R,Vicuña Reparacion WC Ofic.</t>
  </si>
  <si>
    <t>Italo Lubiano / Azul</t>
  </si>
  <si>
    <t>Benjamin Gutierrez / 249</t>
  </si>
  <si>
    <t>Arantxa Ereche T&amp; / 249</t>
  </si>
  <si>
    <t>Emilio Deik M / Azul</t>
  </si>
  <si>
    <t>Fabian Rodriguez / 248</t>
  </si>
  <si>
    <t>Juan Sebastian Davila M / Azul</t>
  </si>
  <si>
    <t>Juan Pablo Ríos Ross / 249</t>
  </si>
  <si>
    <t>M. Dominguez / 248</t>
  </si>
  <si>
    <t>Traspaso a Cta, Administración</t>
  </si>
  <si>
    <t>Transf. ElMestizo, Premio Campaña Diciembre</t>
  </si>
  <si>
    <t>Ricardo Cañas C / 249</t>
  </si>
  <si>
    <t>Fco.Javier Campos / Azul</t>
  </si>
  <si>
    <t>Segio Rodriguez / Azul</t>
  </si>
  <si>
    <t>Paulina Grez/ 249</t>
  </si>
  <si>
    <t>Patricia Romero / Azul</t>
  </si>
  <si>
    <t>Raul Strappa / 249</t>
  </si>
  <si>
    <t>R. Casas del Valle / 248</t>
  </si>
  <si>
    <t>Franciasco Salazar /249</t>
  </si>
  <si>
    <t>Matías Ubilla /249</t>
  </si>
  <si>
    <t>Jose M. Ureta C / 249</t>
  </si>
  <si>
    <t>Karina Rabino  / Azul</t>
  </si>
  <si>
    <t>Abono  TBK por DCT</t>
  </si>
  <si>
    <t>Maria Jose Muñoz / 249</t>
  </si>
  <si>
    <t>Ana Maria Reyes</t>
  </si>
  <si>
    <t>JAVE / Azul</t>
  </si>
  <si>
    <t>Maria del Pilar Herrera / Azul</t>
  </si>
  <si>
    <t>Abono TBK Azules Dic/2020</t>
  </si>
  <si>
    <t>Felipe Walker  / Azul</t>
  </si>
  <si>
    <t>Juan Rafael Arnaiz / 249</t>
  </si>
  <si>
    <t>Jose Miguel Wielandt V / Azul</t>
  </si>
  <si>
    <t>Abono TBK 248 y 249 Diciembre/2020</t>
  </si>
  <si>
    <t>Carlos Barriga / 248</t>
  </si>
  <si>
    <t>M.Luz Montt / 249</t>
  </si>
  <si>
    <t>Fco. Larraín Cruzat</t>
  </si>
  <si>
    <t>Monica Barañao / 249</t>
  </si>
  <si>
    <t>Monica Barañao / Azul</t>
  </si>
  <si>
    <t>Ignacio Prat / 249</t>
  </si>
  <si>
    <t>Jose T. Poblete  /248</t>
  </si>
  <si>
    <t>Emilio Deik / Azul</t>
  </si>
  <si>
    <t>M. Solange Vinet / Azul</t>
  </si>
  <si>
    <t>Enrique Hurtado / 249</t>
  </si>
  <si>
    <t>Carmen Gloria Rivas / 248</t>
  </si>
  <si>
    <t>Julio Rendic L / Azul</t>
  </si>
  <si>
    <t>Maria Elisa Cruzat Silva / 248</t>
  </si>
  <si>
    <t>Mario Vinagre / Azul</t>
  </si>
  <si>
    <t>Santiago Doña V / 249</t>
  </si>
  <si>
    <t>Maria Graciela Garrida / Azul</t>
  </si>
  <si>
    <t>Maria Graciela Garrida / 249</t>
  </si>
  <si>
    <t>Marcela Pinto Z / Azul</t>
  </si>
  <si>
    <t>Rendicion CALI Recaudado Diciembre/20</t>
  </si>
  <si>
    <t xml:space="preserve"> G. de la Vega Hon. Diciembre</t>
  </si>
  <si>
    <t>Bernardita Egaña /249</t>
  </si>
  <si>
    <t>Constanza Vicuña /Azul</t>
  </si>
  <si>
    <t>S.Villegas /249</t>
  </si>
  <si>
    <t>Abono Raimundo Sanchez TBK Azul DCT</t>
  </si>
  <si>
    <t>Inversiones Los Bumps Dos Ltda./Azul</t>
  </si>
  <si>
    <t>M.Alejandra de la Lastra /249</t>
  </si>
  <si>
    <t>Jose Miguel Guzman M / 248</t>
  </si>
  <si>
    <t>Carmen Gloria Ovalle / 249</t>
  </si>
  <si>
    <t>Francisco Sanhueza / Azul</t>
  </si>
  <si>
    <t>Abono TBK Azules Ene/2021</t>
  </si>
  <si>
    <t>Abono TBK 248 y 249 Ene/2021</t>
  </si>
  <si>
    <t>Adm.e Inv. Convento Viejo Ltda</t>
  </si>
  <si>
    <t>Jorge Rodriguez W / Azul</t>
  </si>
  <si>
    <t>Joaquin Izcue / Azul</t>
  </si>
  <si>
    <t>Adriana Gonzalez / 249</t>
  </si>
  <si>
    <t>Horacio Figueroa TBK 249 DCT</t>
  </si>
  <si>
    <t>Patrick Horn / Azul</t>
  </si>
  <si>
    <t>José M. Perz de Castro / 249</t>
  </si>
  <si>
    <t>Carlos Barriga /248</t>
  </si>
  <si>
    <t>Juan Pabl oRios /249</t>
  </si>
  <si>
    <t>Matias Silva / Azul</t>
  </si>
  <si>
    <t>Isabel Guarda / 249</t>
  </si>
  <si>
    <t>Macarena Galvez / 249</t>
  </si>
  <si>
    <t>Pedro Vicuña / Azul</t>
  </si>
  <si>
    <t>Carlos Lecaros / 249</t>
  </si>
  <si>
    <t>Fernando Rosati / Azul</t>
  </si>
  <si>
    <t>Intereses Devengados DAP Chile</t>
  </si>
  <si>
    <t>Intereses Devengados DAP Security</t>
  </si>
  <si>
    <t>Comisión Pagos Nom. Bco.Security</t>
  </si>
  <si>
    <t>DyF Proy.yMontajes Electricos</t>
  </si>
  <si>
    <t>Reembolso Contrib.4a.Cta.2020</t>
  </si>
  <si>
    <t>F.2829 EE.PP. N°6 TASCO</t>
  </si>
  <si>
    <t>F,5887 Coz y Cia. ITO</t>
  </si>
  <si>
    <t>Dev.a Fund.aporte Inversiones Los Bumps</t>
  </si>
  <si>
    <t>Fundación el Rodeo (Fam.Ossandon)</t>
  </si>
  <si>
    <t>- Cuenta x Cobrar Cali</t>
  </si>
  <si>
    <t>76707938-9</t>
  </si>
  <si>
    <t>CACTUS DESIGN LIMITADA</t>
  </si>
  <si>
    <t>96800570-7</t>
  </si>
  <si>
    <t>Enel DistribuciÃ³n Chile S.A.</t>
  </si>
  <si>
    <t>78093110-8</t>
  </si>
  <si>
    <t>TRANSSA CONSULTORES INMOBILIARIOS SPA</t>
  </si>
  <si>
    <t>Comer y Beber</t>
  </si>
  <si>
    <t>Toma Depòsito a Plazo</t>
  </si>
  <si>
    <t>Cuadrar Balance Cali</t>
  </si>
  <si>
    <t>Colecta Manuel Uzal C</t>
  </si>
  <si>
    <t>Colecta Olga Salinas Burgos</t>
  </si>
  <si>
    <t>Colecta Maria Urrutia Cruz</t>
  </si>
  <si>
    <t>Colecta Sebastian Rios</t>
  </si>
  <si>
    <t>Colecta Rafael Marin Jordan</t>
  </si>
  <si>
    <t>Colecta Jose Perez de Cruz</t>
  </si>
  <si>
    <t>Benjamin Herrera Riesco/azul</t>
  </si>
  <si>
    <t>Maria Elena de Castro Espinosa/249</t>
  </si>
  <si>
    <t>Colecta Hildea Dougnac</t>
  </si>
  <si>
    <t>Colecta Maria Magdalena Castillo Vial</t>
  </si>
  <si>
    <t>Colecta Fernando Varela</t>
  </si>
  <si>
    <t>Colecta Gonzalo Contardo M</t>
  </si>
  <si>
    <t>Colecta Keryma Felmer Echeverria</t>
  </si>
  <si>
    <t>Dep. Colecta 27,28,29/01/01 Col Cordillera</t>
  </si>
  <si>
    <t>Benjamín Herrera Riesco/azul</t>
  </si>
  <si>
    <t>Colecta SERVICIOS E INVERSIONES VARIOS SPA</t>
  </si>
  <si>
    <t>Colecta Martin Besfamille</t>
  </si>
  <si>
    <t>Colecta Maria Jose Fernandez Cifuentes</t>
  </si>
  <si>
    <t>Colecta Luis Larenas Vergara</t>
  </si>
  <si>
    <t>Colecta Maria Isabel Vial R</t>
  </si>
  <si>
    <t>Colecta DCT</t>
  </si>
  <si>
    <t>Colecta Mercedes CisternaS Pérez</t>
  </si>
  <si>
    <t>Colecta Carlos Anwandter</t>
  </si>
  <si>
    <t>Colecta Paula Fernandez</t>
  </si>
  <si>
    <t>Colecta Alberto Ureta A.</t>
  </si>
  <si>
    <t>Pago Agua Of. Parroquial</t>
  </si>
  <si>
    <t>Colecta Jose Miguel Carafi</t>
  </si>
  <si>
    <t>Colecta Maria Car Rios</t>
  </si>
  <si>
    <t>Colecta Jaime Andrés Court Viviani</t>
  </si>
  <si>
    <t>Colecta Carmen Barañao</t>
  </si>
  <si>
    <t>Don. Matrimonio Alfonso Ruiz-Tagle Cruz</t>
  </si>
  <si>
    <t>Colecta Silvia Bozzo</t>
  </si>
  <si>
    <t>Arriendo Febrero Casa Pastoral</t>
  </si>
  <si>
    <t>Colecta Luis Ignacio Marín Jordán</t>
  </si>
  <si>
    <t>Colecta Andres Vial Infante</t>
  </si>
  <si>
    <t>Colecta Patricia Andrea Lorca Koch</t>
  </si>
  <si>
    <t>Colecta Sofia Vives Ekdahl</t>
  </si>
  <si>
    <t xml:space="preserve">Colecta Sebastian Rios </t>
  </si>
  <si>
    <t>Colecta Jose Perez de Castro</t>
  </si>
  <si>
    <t>Colecta Francisco Arteaga Errazuriz</t>
  </si>
  <si>
    <t>Colecta Hilda Dougnac R</t>
  </si>
  <si>
    <t>Colecta Isabel Tejeda Videla</t>
  </si>
  <si>
    <t>Colecta Maria Josefina Jofre M</t>
  </si>
  <si>
    <t>Colecta Maria Teresa Gil Gomez</t>
  </si>
  <si>
    <t>Colecta DCT M.Jose Guridi</t>
  </si>
  <si>
    <t>Dep. Colecta 1 al 7/02 Col Cordillera</t>
  </si>
  <si>
    <t>Colecta Maria Francisca Llona Tagle</t>
  </si>
  <si>
    <t>Colecta Christel Felmer Valdivielso</t>
  </si>
  <si>
    <t>Colecta Isabel Guarda Larranaga</t>
  </si>
  <si>
    <t>Colecta Rodrigo Eduardo Duran Cuinas</t>
  </si>
  <si>
    <t>Colecta Ernesto Estanislao Hevia Perez</t>
  </si>
  <si>
    <t>Capellanias 1a.quincena Feb/21</t>
  </si>
  <si>
    <t>Rend. Compra Utiles escritorio</t>
  </si>
  <si>
    <t>Anticipo Remuneración Feb/21</t>
  </si>
  <si>
    <t>Colecta Eduardo Calvimontes Candia</t>
  </si>
  <si>
    <t>Bautizo Eugenio Spencer Contreras</t>
  </si>
  <si>
    <t>Colecta Edita Gonzalez Marquez</t>
  </si>
  <si>
    <t>Colecta Andrés Lagos Ch.</t>
  </si>
  <si>
    <t>Colecta Dep. Colecta 8 al 14/02 Col Cordillera</t>
  </si>
  <si>
    <t>Colecta DCT (JAV20/A.Stehr20/M.Muzio3)</t>
  </si>
  <si>
    <t>Colecta DCT (Matias Honorato M$20)</t>
  </si>
  <si>
    <t>Colecta German Rios Dempster</t>
  </si>
  <si>
    <t>Colecta Guido Albornoz Gomez</t>
  </si>
  <si>
    <t>Ana María Reyes Garín / 248</t>
  </si>
  <si>
    <t>Sebastian Lagos Valdivieso/Azul</t>
  </si>
  <si>
    <t>Colecta Maria Jose Urrutía Cruz</t>
  </si>
  <si>
    <t>Colecta Carolina Guridi G</t>
  </si>
  <si>
    <t>Colecta Carmen Gloria Ruvas</t>
  </si>
  <si>
    <t>Colecta Maria Corte</t>
  </si>
  <si>
    <t>Colecta Maria Magdalena Castillo Vail</t>
  </si>
  <si>
    <t>Colecta Miguel Etchegaray</t>
  </si>
  <si>
    <t>Dep Colecta 15 al 21/2 Col Cordillera</t>
  </si>
  <si>
    <t>Colecta DCT Maite Larrañaga</t>
  </si>
  <si>
    <t>PAC Porvenir</t>
  </si>
  <si>
    <t>Colecta Cyril Hodgson Larrain</t>
  </si>
  <si>
    <t>Cyril Hodgson Larrain / Azul</t>
  </si>
  <si>
    <t>F.739 Serv. Ene 21</t>
  </si>
  <si>
    <t>Capellanias 2a. Quincena Feb/21</t>
  </si>
  <si>
    <t>Rem. Pedro Rios Dempster</t>
  </si>
  <si>
    <t>Rem. Veronica Arriagada Soto</t>
  </si>
  <si>
    <t>Rem. Maria de los Angeles Renasco Mandiola</t>
  </si>
  <si>
    <t>Rem. Katherinne Andrea Farías Cuevas</t>
  </si>
  <si>
    <t>Rem. Rafael Valdes Searle</t>
  </si>
  <si>
    <t>Colecta Ximena Garcia</t>
  </si>
  <si>
    <t>Colecta Jose Luis Bustamante G</t>
  </si>
  <si>
    <t>Colecta Pablo Garcia</t>
  </si>
  <si>
    <t>Benjamín Gutierrez Perlwitz / 249</t>
  </si>
  <si>
    <t>Raimundo Barros / 249</t>
  </si>
  <si>
    <t>Rafael Marín Jordán/azul</t>
  </si>
  <si>
    <t xml:space="preserve">Ricardo Fernández Oyarzún / Azul </t>
  </si>
  <si>
    <t>Henry Comber Sigall / Azul</t>
  </si>
  <si>
    <t xml:space="preserve">María del Pilar Herrera/ azul </t>
  </si>
  <si>
    <t>José L. Barros / 248</t>
  </si>
  <si>
    <t>Horacio Cartagena Fagerstrom/249</t>
  </si>
  <si>
    <t>Colecta Pablo Irarrazaval Mena</t>
  </si>
  <si>
    <t>Felipe Barros / 249</t>
  </si>
  <si>
    <t>Ana María Ugarte / 249</t>
  </si>
  <si>
    <t>Matías Rafael Ubilla Silva / 249</t>
  </si>
  <si>
    <t>Enrique José Manuel Ferrer/248</t>
  </si>
  <si>
    <t>Ricardo Cañas Cambiaso / 249</t>
  </si>
  <si>
    <t>Fco.Javier Campos González/Azul</t>
  </si>
  <si>
    <t>Sergio Rodríguez Oro / Azul</t>
  </si>
  <si>
    <t>María Paulina Grez / 249</t>
  </si>
  <si>
    <t xml:space="preserve">Florencia García /248 </t>
  </si>
  <si>
    <t xml:space="preserve">Soledad Celis / 249 </t>
  </si>
  <si>
    <t>Colecta CELIS CELEDON MARIA SOLEDAD</t>
  </si>
  <si>
    <t>Macarena Gálvez Roa / 249</t>
  </si>
  <si>
    <t>Arzobispado de Stgo Diciembre / 248</t>
  </si>
  <si>
    <t>Arzobispado de Stgo Diciembre / 249</t>
  </si>
  <si>
    <t>Colecta Ignacio Ureta L.</t>
  </si>
  <si>
    <t xml:space="preserve">I. Ureta / 248 </t>
  </si>
  <si>
    <t>María Luz Montt Díaz / 249</t>
  </si>
  <si>
    <t>M. Domínguez / 248</t>
  </si>
  <si>
    <t>María Dolores Rioseco Rodríguez/249</t>
  </si>
  <si>
    <t>DCT (S.GuerreroV.M$20 y M.JoseGuridi M$10)</t>
  </si>
  <si>
    <t>Enrique Brahm García / 249</t>
  </si>
  <si>
    <t>Patricia Romero Navarro / Azul</t>
  </si>
  <si>
    <t>Patricio René Latorrre Sepúlveda/Azul</t>
  </si>
  <si>
    <t>Francisco Salazar González / 249</t>
  </si>
  <si>
    <t>Patrick Reginald Horn Garcia / Azul</t>
  </si>
  <si>
    <t>Alberto Altermatt C. / 249</t>
  </si>
  <si>
    <t>Fca. Orrego/249</t>
  </si>
  <si>
    <t>Carmen Mónica Barañao Rojas/249</t>
  </si>
  <si>
    <t>Carmen Mónica Barañao Rojas/Azul</t>
  </si>
  <si>
    <t>Karina Rabino de Alonso /Azul</t>
  </si>
  <si>
    <t>José Miguel Ureta Cardoen / 249</t>
  </si>
  <si>
    <t>Marcela Rebeca Pinto Zepeda / Azul</t>
  </si>
  <si>
    <t>Matías Izquierdo Menéndez / Azul</t>
  </si>
  <si>
    <t>Com.Bco.Chile</t>
  </si>
  <si>
    <t>José Antonio Vicuña Illanes / Azul</t>
  </si>
  <si>
    <t>Oscar Guarda Barros / 249</t>
  </si>
  <si>
    <t>M.Alejandra de la Lastra J./249</t>
  </si>
  <si>
    <t>Juan Rafael Arnaiz Johnson / 249</t>
  </si>
  <si>
    <t>Colecta Raimundo Barros</t>
  </si>
  <si>
    <t>Mauricio Hargous Larraín / 249</t>
  </si>
  <si>
    <t>María Luz Parodi Gil / 249</t>
  </si>
  <si>
    <t>Ana María Allende Z y P.Olea ch/f</t>
  </si>
  <si>
    <t>2 Gift Card a Rest. Ají Seco CALI Ene.</t>
  </si>
  <si>
    <t>Enrique Hurtado Ruiz-Tagle / 249</t>
  </si>
  <si>
    <t>Alejandra Pérez Fabres / 249</t>
  </si>
  <si>
    <t>María Pía Laura Parodi Gil / 249</t>
  </si>
  <si>
    <t>Hon.Ene/21 Campaña Hazte Parte - Francisco Lopez Blanc</t>
  </si>
  <si>
    <t>Marcelo Brito León / Azul</t>
  </si>
  <si>
    <t xml:space="preserve">M.Cristina Valenzuela L./248 </t>
  </si>
  <si>
    <t>Italo Lubiano Tassara/Azul</t>
  </si>
  <si>
    <t>M.Graciela Garrido C. / Azul</t>
  </si>
  <si>
    <t>M.Graciela Garrido C. / 249</t>
  </si>
  <si>
    <t>Bernardita Mujica Gutierrez  / 249</t>
  </si>
  <si>
    <t>Bernardita Egaña Baraona  / 249</t>
  </si>
  <si>
    <t>Daniela Lubiano/azul</t>
  </si>
  <si>
    <t>GODOY CAMUS CARLOS IGNACIO/248</t>
  </si>
  <si>
    <t>Carmen Gloria Rivas Varas / 248</t>
  </si>
  <si>
    <t>Colecta GAETE OLIVARES JORGE EDUARDO</t>
  </si>
  <si>
    <t>S. Villegas / 249</t>
  </si>
  <si>
    <t xml:space="preserve">D. Vassiliu /248 </t>
  </si>
  <si>
    <t>Luis  E. Domínguez / 248</t>
  </si>
  <si>
    <t>Verónica Sapag Puelma / 249</t>
  </si>
  <si>
    <t>T/C Azules Febrero 2021</t>
  </si>
  <si>
    <t xml:space="preserve">Fabián Rodríguez Ch. / 248 </t>
  </si>
  <si>
    <t>Francisco Sanhueza /Azul</t>
  </si>
  <si>
    <t>Raúl Strappa Varas / 249 (Dic y Ene)</t>
  </si>
  <si>
    <t>Ren CALI Enero 2021 Arzobispado de Santiago</t>
  </si>
  <si>
    <t xml:space="preserve"> G. de la Vega Hon. Enero</t>
  </si>
  <si>
    <t>Apertura Cta Cte Santander</t>
  </si>
  <si>
    <t>Joaquín Izcue Elgart / Azul</t>
  </si>
  <si>
    <t>José Tomás Poblete Jara / 248</t>
  </si>
  <si>
    <t>Arzobispado de Stgo / 248</t>
  </si>
  <si>
    <t>Arzobispado de Stgo / 249</t>
  </si>
  <si>
    <t>Isabel Margarita Guarda Larrañaga/249</t>
  </si>
  <si>
    <t>Colecta Jorge Claude</t>
  </si>
  <si>
    <t>Carlos Lecaros Price / 249</t>
  </si>
  <si>
    <t>José Miguel Guzmán Morandé/248</t>
  </si>
  <si>
    <t>Colecta Celis Celedon Maria Soledad</t>
  </si>
  <si>
    <t>Matías Silva Olmos / Azul</t>
  </si>
  <si>
    <t>Pedro Vicuña Illanes / Azul</t>
  </si>
  <si>
    <t>Jorge Hernán Rodríguez Wilson/Azul</t>
  </si>
  <si>
    <t>Rec.A.Sepulveda</t>
  </si>
  <si>
    <t>Colecta Claudia Larenas Munita</t>
  </si>
  <si>
    <t>Francisca Chadwick Irarrázaval/249</t>
  </si>
  <si>
    <t>María José Muñoz Reinoso / 249</t>
  </si>
  <si>
    <t>Jorge Manzur Araya /Azul (M$20)</t>
  </si>
  <si>
    <t>Horacio Figueroa Diesel/249(M$60)</t>
  </si>
  <si>
    <t>Hon.FEB/21 Campaña Hazte Parte</t>
  </si>
  <si>
    <t>Comision CALI  Recaudado FEB/21</t>
  </si>
  <si>
    <t>Patricio Abalos /248</t>
  </si>
  <si>
    <t>José Ignacio Wielandt Vergara/ Azul</t>
  </si>
  <si>
    <t>Jorge Awad M. / Azul</t>
  </si>
  <si>
    <t>María José Guridi Hogge /Azul (M$26)</t>
  </si>
  <si>
    <t>248 y 249 Febrero 2021</t>
  </si>
  <si>
    <t>Marie Solange Vinet Homar / 249</t>
  </si>
  <si>
    <t>Juan Sebastian Dávila Montaner/Azul</t>
  </si>
  <si>
    <t>COM.PAGOS MASIVOS OTROS BANCOS</t>
  </si>
  <si>
    <t>TOMA DAP SECURITY</t>
  </si>
  <si>
    <t>RESCATE FF.MM. SECURITY</t>
  </si>
  <si>
    <t>UF 500,31 EP 1 TASCO</t>
  </si>
  <si>
    <t>UF 250,16 EP 1 TASCO</t>
  </si>
  <si>
    <t>UF 5003,17 EP 1 TASCO</t>
  </si>
  <si>
    <t>F.2315 Proy.Manejo Residuos EE.PP4</t>
  </si>
  <si>
    <t>F.2854 EE.PP. N°7 TASCO</t>
  </si>
  <si>
    <t>P/pago Fact. en Bco.Security</t>
  </si>
  <si>
    <t>Devolución CALI Cobrado en Exceso</t>
  </si>
  <si>
    <t>Isabel Margarita Cortés Testart/249</t>
  </si>
  <si>
    <t>Luis  E. Domínguez Larraín / Azul</t>
  </si>
  <si>
    <t>Alberto Ureta /Azul</t>
  </si>
  <si>
    <t>Colecta M.del Pilar Bustamante Solar</t>
  </si>
  <si>
    <t>Carmen Gloria Ovalle de la Cuadra/ 249</t>
  </si>
  <si>
    <t xml:space="preserve">Raúl Strappa Varas / 249 </t>
  </si>
  <si>
    <t>Nicolás Ríos Rivas / 249 (año)</t>
  </si>
  <si>
    <t>Magdalena Alessandri Cruzat / Azul</t>
  </si>
  <si>
    <t>Antonio Tuset Jorrat /Azul</t>
  </si>
  <si>
    <t xml:space="preserve">Pedro Jaime Iriberry Macdonald/ CURSO </t>
  </si>
  <si>
    <t>Andrea Bonnefont Bellolio/Azul (M$10)</t>
  </si>
  <si>
    <t>Marcela Errázuriz León / Azul</t>
  </si>
  <si>
    <t>Arzobispado Febrero / 248</t>
  </si>
  <si>
    <t>Arzobispado Febrero / 249</t>
  </si>
  <si>
    <t>T/C Azules Marzo 2021</t>
  </si>
  <si>
    <t>José Miguel Pérez de Castro Z./249</t>
  </si>
  <si>
    <t>Pedro Armando Alvarez Marin/249</t>
  </si>
  <si>
    <t>Colecta Gaete Olivares Jorge Eduardo</t>
  </si>
  <si>
    <t>Cristobal Eyzaguirre Baeza / Azul</t>
  </si>
  <si>
    <t>Fernanda Labarca / Azul (M$50)</t>
  </si>
  <si>
    <t>Herman Chadwick Larraín / Azul</t>
  </si>
  <si>
    <t>María Consuelo Fuenzalida Walker/249</t>
  </si>
  <si>
    <t>Arzobispado Rendición CALI Febrero 2021</t>
  </si>
  <si>
    <t>Francisco Lopez Blanc Marzo/21 Campaña Hazte Parte</t>
  </si>
  <si>
    <t>Abonos Transbank 248 y 249 Marzo 2021</t>
  </si>
  <si>
    <t>Francisco Larraín Cruzat/azul</t>
  </si>
  <si>
    <t>María Luisa Ilharreborde Illanes / Azul</t>
  </si>
  <si>
    <t>Ramiro Young / Azul (M$500)</t>
  </si>
  <si>
    <t>Colecta José Miguel Pérez de Castro Z.</t>
  </si>
  <si>
    <t>Colecta Francisco Guillen</t>
  </si>
  <si>
    <t>Colecta Ricardo Fernandez</t>
  </si>
  <si>
    <t>Colecta Felipe Valbuena Valdivielso</t>
  </si>
  <si>
    <t>Colecta Sebastian Lagos Valdivieso/Azul</t>
  </si>
  <si>
    <t>Dep. Colecta 22 al 28/02 Col Cordillera</t>
  </si>
  <si>
    <t>Misa M.de los Angeles Palma</t>
  </si>
  <si>
    <t>Misa Gerardo del Villar</t>
  </si>
  <si>
    <t>Misa Sonia Schmidt Salgado</t>
  </si>
  <si>
    <t>Colecta Mercedes Cisternas Pérez</t>
  </si>
  <si>
    <t xml:space="preserve">Colecta Carmen Gloria Rivas Varas </t>
  </si>
  <si>
    <t>Colecta M.Angelica Arancibia Larenas</t>
  </si>
  <si>
    <t>Colecta José Antonio Marín Jordán</t>
  </si>
  <si>
    <t>Colecta Carlos Mackena Iñiguez</t>
  </si>
  <si>
    <t>Colecta Maria Car Rios R</t>
  </si>
  <si>
    <t>Colecta Luis Marin J.</t>
  </si>
  <si>
    <t>Colecta Juan Muzio Muzio</t>
  </si>
  <si>
    <t>Colecta Dep. Colecta 02/03 Col Cordillera</t>
  </si>
  <si>
    <t>Colecta Dep. Colecta 28/02 Col Cordillera</t>
  </si>
  <si>
    <t>Colecta Sandra Rivadeneira</t>
  </si>
  <si>
    <t>Agua Of.Parroquial</t>
  </si>
  <si>
    <t>Colecta Jorge Aguirre Moltedo</t>
  </si>
  <si>
    <t>Colecta Ximena Suspichiatti</t>
  </si>
  <si>
    <t>Arriendo Marzo 2021 Casa Parroquial</t>
  </si>
  <si>
    <t>Suma de Monto</t>
  </si>
  <si>
    <t>Colecta Sandra Socias R</t>
  </si>
  <si>
    <t xml:space="preserve">Colecta Luis Larenas Vergara </t>
  </si>
  <si>
    <t>Colecta IGNACIO URETA LARENAS</t>
  </si>
  <si>
    <t>Colecta Roberto Vergara Ossa</t>
  </si>
  <si>
    <t>Colecta Francisco Guimpert</t>
  </si>
  <si>
    <t xml:space="preserve">Colecta Maria Jose Urrutia Cruz </t>
  </si>
  <si>
    <t>Colecta Ismael Correa Vigneaux</t>
  </si>
  <si>
    <t>Dep. Colecta 3 al 7/03 Col Cordillera</t>
  </si>
  <si>
    <t>Bautizo Fernando Errazuriz</t>
  </si>
  <si>
    <t>Bautizo Maria Jose Searle</t>
  </si>
  <si>
    <t>Colecta Cristian Huidobro Lermanda</t>
  </si>
  <si>
    <t>NN</t>
  </si>
  <si>
    <t>Mercedes Cisternas Pérez/Azul</t>
  </si>
  <si>
    <t>Bautizo Mariana Garcia</t>
  </si>
  <si>
    <t>PAC VTR OFICINA</t>
  </si>
  <si>
    <t>PAC METROGAS</t>
  </si>
  <si>
    <t>Bautizo Fernando Zuazo</t>
  </si>
  <si>
    <t>Bautizo Constanza Baeza</t>
  </si>
  <si>
    <t>Bautizo Matias Moreno</t>
  </si>
  <si>
    <t>Bautizo Eduardo Boys M</t>
  </si>
  <si>
    <t>Colecta Eduardo Boys M</t>
  </si>
  <si>
    <t>Colecta Beatriz Herrera S</t>
  </si>
  <si>
    <t>Colecta M. Fca. Llona Tagle</t>
  </si>
  <si>
    <t>Taxi Padre Go</t>
  </si>
  <si>
    <t xml:space="preserve">PAC ADT </t>
  </si>
  <si>
    <t>Colecta Jaime Gonzalez Fabres</t>
  </si>
  <si>
    <t>Colecta Juan Fco. Urmeneta</t>
  </si>
  <si>
    <t>Colecta Jose Perez De Castro</t>
  </si>
  <si>
    <t>Colecta Guillermo Turner Olea</t>
  </si>
  <si>
    <t>Colecta Maria Jose Guridi H</t>
  </si>
  <si>
    <t>Colecta Franscisco Arteaga Errazuriz</t>
  </si>
  <si>
    <t>Colecta Maria Valdes</t>
  </si>
  <si>
    <t>Colecta Ricardo Cañas Cambiaso</t>
  </si>
  <si>
    <t>Colecta Sebastian Claro Edwards</t>
  </si>
  <si>
    <t>Colecta Cristian Bravo Palma</t>
  </si>
  <si>
    <t>Colecta M.Magdalena Castillo</t>
  </si>
  <si>
    <t>PAC ENTEL</t>
  </si>
  <si>
    <t>Misa Maria Jose Muñoz</t>
  </si>
  <si>
    <t>Bautizo Fca. Alvarado</t>
  </si>
  <si>
    <t>Bautizo Jose Miguel Lekaude</t>
  </si>
  <si>
    <t>Bautizo Josefina Morande</t>
  </si>
  <si>
    <t>Bautizo Maria Jose Prat</t>
  </si>
  <si>
    <t>Colecta Oscar Guarda</t>
  </si>
  <si>
    <t>Misa Yolanda Haase Baeza</t>
  </si>
  <si>
    <t>Matrimonio Juan Pablo Loyola Mellado</t>
  </si>
  <si>
    <t>Misa</t>
  </si>
  <si>
    <t>Bautizo Felipe Hubner</t>
  </si>
  <si>
    <t>Matrimonio Magdalena Herrera R (Valera-Herrera)</t>
  </si>
  <si>
    <t>Colecta Carmen Gloria Rivas Varas</t>
  </si>
  <si>
    <t>Dep. Colecta  Col Cordillera</t>
  </si>
  <si>
    <t>Curso Biblia Sofia Vives Ekdahl</t>
  </si>
  <si>
    <t>Matrimonio Olea Wenke</t>
  </si>
  <si>
    <t>Colecta Hilda Dougnac</t>
  </si>
  <si>
    <t>Colecta Maria Jose Urrutia Cruz</t>
  </si>
  <si>
    <t>Colecta M. Veronica Guarda A</t>
  </si>
  <si>
    <t>Colecta Cristobal Villar Martino</t>
  </si>
  <si>
    <t>Colecta Carlos Ricci Ferrer</t>
  </si>
  <si>
    <t>Colecta Andres Lagos Ch.</t>
  </si>
  <si>
    <t>Colecta Marie Christel Felmer</t>
  </si>
  <si>
    <t>Colecta Felipe Yañez</t>
  </si>
  <si>
    <t>Dep. Colecta 20 y 21/03 Col Cordillera</t>
  </si>
  <si>
    <t>Misa pghuidobroe@gmail.com</t>
  </si>
  <si>
    <t>Colecta Cuaresma N.N</t>
  </si>
  <si>
    <t>Colecta Alicia Oyarzun</t>
  </si>
  <si>
    <t>Colecta Mane Jara</t>
  </si>
  <si>
    <t>Curso Biblia Mane Jara</t>
  </si>
  <si>
    <t>Colecta Maria Isabel Grez Armanet</t>
  </si>
  <si>
    <t>PAC PORVENIR</t>
  </si>
  <si>
    <t>Colecta Maria Loreto Valenzuela Arata</t>
  </si>
  <si>
    <t>Colecta Antonia</t>
  </si>
  <si>
    <t>Colecta Jorge Larrañaga</t>
  </si>
  <si>
    <t>Colecta Andrea Rolla</t>
  </si>
  <si>
    <t xml:space="preserve">Bautizo </t>
  </si>
  <si>
    <t>Curso Biblia Reinaldo Bascur Llona</t>
  </si>
  <si>
    <t>Colecta Gonzalo Nieto Valdes</t>
  </si>
  <si>
    <t>Colecta Josefina Vial</t>
  </si>
  <si>
    <t>Colecta Maria Teresa Palma</t>
  </si>
  <si>
    <t>Colecta luz Maria Galilea Fresno</t>
  </si>
  <si>
    <t>Jorge Manzur Araya / Azul</t>
  </si>
  <si>
    <t>Sandra Rivadeneira Almonacid/Azul</t>
  </si>
  <si>
    <t>Colecta Jaime Lubascher</t>
  </si>
  <si>
    <t>Colecta Maria jose Fernandez Cifuentes</t>
  </si>
  <si>
    <t>Colecta Rosita Silva</t>
  </si>
  <si>
    <t>Colecta Luis Eduardo Montes M</t>
  </si>
  <si>
    <t>Colecta Maria Del Pilar Rios Dempster</t>
  </si>
  <si>
    <t>Colecta Trinidad Barriga Cruzat</t>
  </si>
  <si>
    <t>Colecta NN</t>
  </si>
  <si>
    <t>Colecta Mercedes Cisternas Perez</t>
  </si>
  <si>
    <t>Rem.V.Arriagada Mar 21</t>
  </si>
  <si>
    <t>Rem.R.Valdés Mar 21</t>
  </si>
  <si>
    <t>Rem.P.Rios Oct.Mar 21</t>
  </si>
  <si>
    <t>Nomina Sueldos 30/03/21</t>
  </si>
  <si>
    <t>Rem.Katherine Farias Mar 21</t>
  </si>
  <si>
    <t>Rem.M.Reñasco Mar 21</t>
  </si>
  <si>
    <t>F.761 Serv. Mar 21</t>
  </si>
  <si>
    <t>Rend.Caja Chica</t>
  </si>
  <si>
    <t>Serv. At. Jardines Feb y Mar</t>
  </si>
  <si>
    <t>11629115-0</t>
  </si>
  <si>
    <t>SERGIO ALEJANDRO OLGUIN NUNEZ  </t>
  </si>
  <si>
    <t>17701243-2</t>
  </si>
  <si>
    <t>JAVIERA EUGENIA VASQUEZ PAREDE </t>
  </si>
  <si>
    <t>(en blanco)</t>
  </si>
  <si>
    <t>Mantencion oficina</t>
  </si>
  <si>
    <t>Jardinero</t>
  </si>
  <si>
    <t>Colecta Beltran Sergio Larrain Aspillaga</t>
  </si>
  <si>
    <t>Eduardo Calvimontes Candia/azul</t>
  </si>
  <si>
    <t>Aporte Olla Comun P.Sta.Teresa /Capilla SAH Pte.Alto</t>
  </si>
  <si>
    <t>Colecta Coti/Colecta Col. Cordillera</t>
  </si>
  <si>
    <t>Colecta Pamela Alvarado Valenzuela</t>
  </si>
  <si>
    <t>PAC ENEL OFICINA</t>
  </si>
  <si>
    <t>Colecta Jose Luis Bustamante</t>
  </si>
  <si>
    <t>Colecta N.N</t>
  </si>
  <si>
    <t>Colecta Estefania Vergara</t>
  </si>
  <si>
    <t>Fact. 5921 ITO Ene/21</t>
  </si>
  <si>
    <t>Fact. 5973 ITO Feb/21</t>
  </si>
  <si>
    <t>UF 164,26 EP 8 TASCO</t>
  </si>
  <si>
    <t>UF 3285,12 EP 8 TASCO</t>
  </si>
  <si>
    <t>UF 328,52 EP 8 TASCO</t>
  </si>
  <si>
    <t xml:space="preserve">BH Nº25 MARIA INES JARA LAMAS </t>
  </si>
  <si>
    <t>BH Nº93 JAVIERA EUGENIA VASQUEZ PAREDE</t>
  </si>
  <si>
    <t>Disponible CALI Santander</t>
  </si>
  <si>
    <t>Centralización Enero</t>
  </si>
  <si>
    <t>8772592-8</t>
  </si>
  <si>
    <t>VERONICA DEL CARMEN GALLAND GA </t>
  </si>
  <si>
    <t>r</t>
  </si>
  <si>
    <t>13891329-5</t>
  </si>
  <si>
    <t>HARDY GUILLERMO ALEJANDRO HIPP </t>
  </si>
  <si>
    <t>22039131-0</t>
  </si>
  <si>
    <t>RAIMUNDO ANDRES RODRIGUEZ POZO </t>
  </si>
  <si>
    <t>10949204-3</t>
  </si>
  <si>
    <t>CRISTIAN ANDRES MORAL CAROCA  </t>
  </si>
  <si>
    <t xml:space="preserve">BH Nº24 MARIA INES JARA LAMAS </t>
  </si>
  <si>
    <t>Asiento Apertura 2021  Honorarios Pablo Cerda</t>
  </si>
  <si>
    <t>Asiento Apertura 2021  Provisiona Gastos Navidad 2020</t>
  </si>
  <si>
    <t>Asiento Apertura 2021 Retenciones No Emitidas V. Galland</t>
  </si>
  <si>
    <t>Boletas no Emitidas 2020 Galland</t>
  </si>
  <si>
    <t>Centraliza Remuneraciones Asignación</t>
  </si>
  <si>
    <t>Pago F29 Enero por Adm.</t>
  </si>
  <si>
    <t>Pago F29 Febrero por Adm.</t>
  </si>
  <si>
    <t>BE 166 Campaña Hazte Parte - Francisco Lopez Blanc</t>
  </si>
  <si>
    <t>Centralización Recaudación Enero</t>
  </si>
  <si>
    <t>Centralización Recaudación Febrero</t>
  </si>
  <si>
    <t>Centralización Recaudación Marzo</t>
  </si>
  <si>
    <t>Otros Valores -Oficina y Transferencias (248)</t>
  </si>
  <si>
    <t>Otros Valores -Oficina y Transferencias (249)</t>
  </si>
  <si>
    <t>Total 141</t>
  </si>
  <si>
    <t>Total 216</t>
  </si>
  <si>
    <t>Total 217</t>
  </si>
  <si>
    <t>Total Cuenta por Pagar a Cali</t>
  </si>
  <si>
    <t>UF 435,88 EP 6 TASCO</t>
  </si>
  <si>
    <t>UF 4358,75 EP 6 TASCO</t>
  </si>
  <si>
    <t>UF 217.94 EP 6 TASCO</t>
  </si>
  <si>
    <t>Total 228</t>
  </si>
  <si>
    <t>Dev.a Fund.aporte Inv.Convento inversiones Los Bumps</t>
  </si>
  <si>
    <t>F,5877 Coz y Cia. ITO</t>
  </si>
  <si>
    <t>F,5921 Coz y Cia. ITO</t>
  </si>
  <si>
    <t>Depòsitos Adm, Cali Enero Azul</t>
  </si>
  <si>
    <t>Depòsitos Adm, Cali Enero 249</t>
  </si>
  <si>
    <t>Depositos en Administraciòn de Cali</t>
  </si>
  <si>
    <t>Diferencia Atrastre Cali Administraciòn</t>
  </si>
  <si>
    <t>CH a Fecha angelica sepulveda</t>
  </si>
  <si>
    <t>Marie Solange Vinet Homar / Azul</t>
  </si>
  <si>
    <t>DCT (Francisco Rivera M$50)</t>
  </si>
  <si>
    <t>DCT (Patricio Escudero MM$1)</t>
  </si>
  <si>
    <t>APERTURA CTA CTE SANTADER</t>
  </si>
  <si>
    <t>Dep NN</t>
  </si>
  <si>
    <t>DAP B. Santander</t>
  </si>
  <si>
    <t>Depósito a plazo Cali Banco Santander</t>
  </si>
  <si>
    <t>Cuentas por Cobrar a Santander</t>
  </si>
  <si>
    <t>Cuenta por Pagar a Cali Santander</t>
  </si>
  <si>
    <t>- Provisiones</t>
  </si>
  <si>
    <t>Colecta Raimundo Sanchez Hanisch</t>
  </si>
  <si>
    <t>Administracion</t>
  </si>
  <si>
    <t xml:space="preserve">Colecta Ricardo Cañas </t>
  </si>
  <si>
    <t>Colecta Juan Pablo Oryan</t>
  </si>
  <si>
    <t>Colecta Marcela Nuñez</t>
  </si>
  <si>
    <t>PAC AGUA OFICINA</t>
  </si>
  <si>
    <t>Colecta Juan Carlos Cornejo</t>
  </si>
  <si>
    <t>Colecta Rosa Maria Gutierrez Carvajal</t>
  </si>
  <si>
    <t>Misa Veronica Rojas</t>
  </si>
  <si>
    <t>Colecta Veronica Rojas</t>
  </si>
  <si>
    <t>Colecta Jose Antonio Marin Jordan</t>
  </si>
  <si>
    <t>Colecta Maria Elena De Castro Espinosa/249</t>
  </si>
  <si>
    <t>Colecta Juan Arnaiz</t>
  </si>
  <si>
    <t>Curso Bibila Ana Maria Alvarez Toro</t>
  </si>
  <si>
    <t>Eduardo Calvimontes Candia / azul</t>
  </si>
  <si>
    <t>Misa Andrea Aguilera</t>
  </si>
  <si>
    <t>Colecta Jaime Andres Court Viviani</t>
  </si>
  <si>
    <t>Jaime Andres Court Viviani /249</t>
  </si>
  <si>
    <t>Colecta Maria Catalina Vera Atri</t>
  </si>
  <si>
    <t>Canastas SERVICIOS E INVERSIONES VARIOS SPA</t>
  </si>
  <si>
    <t>Colecta Maria De la Luz Garces Larenas</t>
  </si>
  <si>
    <t>Colecta Giorgo Sertsios</t>
  </si>
  <si>
    <t>Bautizo Isidora Gutierrez</t>
  </si>
  <si>
    <t xml:space="preserve">Arriendo Abril 2021 Oficina </t>
  </si>
  <si>
    <t>Impto. Ret Adm. Marzo /2021</t>
  </si>
  <si>
    <t>Prevision EE. PSAH</t>
  </si>
  <si>
    <t>Prevision EE. PSAH P. Pedro</t>
  </si>
  <si>
    <t>Colecta Claudio Jiron</t>
  </si>
  <si>
    <t>Colecta Leonardo Robles Copello</t>
  </si>
  <si>
    <t>Curso Biblia Jose Miguel Carafi Melero</t>
  </si>
  <si>
    <t>Colecta Maria Luz Parodi Gil</t>
  </si>
  <si>
    <t>Colecta Carlos Felix Mackenna Iniguez</t>
  </si>
  <si>
    <t>Colecta Ana Maria Alvarez T</t>
  </si>
  <si>
    <t>Benjamin Herrera Riesco / azul</t>
  </si>
  <si>
    <t>Colecta Maria Jose Fernandez cifuentes</t>
  </si>
  <si>
    <t>Canastas Ricardo Fernandez</t>
  </si>
  <si>
    <t>Misa DCT</t>
  </si>
  <si>
    <t>Canastas Cristian Jiron</t>
  </si>
  <si>
    <t>Canasta M.Alejandro Valenzuela</t>
  </si>
  <si>
    <t>Canasta Nora Alejandra Aranda</t>
  </si>
  <si>
    <t>Curso Biblia Jorge Larrañaga</t>
  </si>
  <si>
    <t>Canasta Carmen Paz Cruz</t>
  </si>
  <si>
    <t>Canasta Mane Jara</t>
  </si>
  <si>
    <t>Canasta M. Cecilia Laso</t>
  </si>
  <si>
    <t>Canasta Francisco Guimpert</t>
  </si>
  <si>
    <t>Canasta M.Magdalena Antunez</t>
  </si>
  <si>
    <t>Canasta Magdalena Devilat</t>
  </si>
  <si>
    <t>Canasta Marcela Nuñez</t>
  </si>
  <si>
    <t>Canasta Francisco Messina</t>
  </si>
  <si>
    <t>Canasta Blanca Browne</t>
  </si>
  <si>
    <t>María Isabel Grez Armanet/Azul</t>
  </si>
  <si>
    <t>Canasta Cristian Espinosa</t>
  </si>
  <si>
    <t>Colecta Ernesto Hevia</t>
  </si>
  <si>
    <t>Canasta Maria Luisa Rojas Cruz</t>
  </si>
  <si>
    <t>Colecta Maria Luisa Rojas Cruz</t>
  </si>
  <si>
    <t>Canasta Sofia Vives Ekdahl</t>
  </si>
  <si>
    <t>Colecta Marcela Maria Wielandt Necochea</t>
  </si>
  <si>
    <t>PAC ENTEL OFICINA</t>
  </si>
  <si>
    <t>BH26, Hon Marzo /2021 Maria Ines Jara Lama</t>
  </si>
  <si>
    <t>F.384397 por 90 Cajas Servicefood SpA</t>
  </si>
  <si>
    <t xml:space="preserve">Canasta Pamela Alvarado Valenzuela </t>
  </si>
  <si>
    <t>Canasta Ana Maria Alvarez T</t>
  </si>
  <si>
    <t>Colecta Yolanda Hasse</t>
  </si>
  <si>
    <t>Canasta Yolanda Hasse</t>
  </si>
  <si>
    <t>Yolanda Hasse Baeza /249</t>
  </si>
  <si>
    <t>Canasta Andrés van Wersch Calderón</t>
  </si>
  <si>
    <t>Canasta Hilda Dougnac</t>
  </si>
  <si>
    <t>Colecta M. Gabriela Aequeros E.</t>
  </si>
  <si>
    <t>Misa M. De Los Angeles Palma</t>
  </si>
  <si>
    <t>Canasta Maria Garcia</t>
  </si>
  <si>
    <t>Colecta Misas Presencial</t>
  </si>
  <si>
    <t>Colecta Gustavo Irarrazaval</t>
  </si>
  <si>
    <t>Colecta Alexander Stehr</t>
  </si>
  <si>
    <t>Canasta Alejandro Gutierrez</t>
  </si>
  <si>
    <t>Colecta Ana Gloria Awad Yazigi</t>
  </si>
  <si>
    <t>Canasta Maria Teresa Santelices Puelma</t>
  </si>
  <si>
    <t>Colecta Maria Teresa Santelices Puelma</t>
  </si>
  <si>
    <t>Colecta Constanza Illanes</t>
  </si>
  <si>
    <t>Canasta Oscar Guarda</t>
  </si>
  <si>
    <t>Colecta Ingrid Maria Nielsen Galli</t>
  </si>
  <si>
    <t>Canasta Ingrid Maria Nielsen Galli</t>
  </si>
  <si>
    <t>Ingrid Maria Nielsen Galli /azul</t>
  </si>
  <si>
    <t>Colecta Marcio Almeida Dos Santos</t>
  </si>
  <si>
    <t>Colecta Hilda dougnac R</t>
  </si>
  <si>
    <t>Colecta Francisco guimpert</t>
  </si>
  <si>
    <t>Colecta Pedro Irureta</t>
  </si>
  <si>
    <t>Canasta Sandra Rivadeneira</t>
  </si>
  <si>
    <t>Canasta Juan Luis Hurtado</t>
  </si>
  <si>
    <t>Canasta Ignacio Ureta Larenas</t>
  </si>
  <si>
    <t>Colecta Karina Rabino</t>
  </si>
  <si>
    <t>Dep. Colecta Col. Cordillera (Coti)</t>
  </si>
  <si>
    <t>Colecta Luis Montes</t>
  </si>
  <si>
    <t>Colecta Luz Maria Almarza B</t>
  </si>
  <si>
    <t>Canasta Jaime Gonzalez fabres</t>
  </si>
  <si>
    <t>Canasta Manuel Uzal C</t>
  </si>
  <si>
    <t>Traspaso Cta. CALI a Adm</t>
  </si>
  <si>
    <t>Colecta Maria Fca. Llona</t>
  </si>
  <si>
    <t>Colecta Carmen Gloria Rios Rivas</t>
  </si>
  <si>
    <t>Canasta Pablo Garcia</t>
  </si>
  <si>
    <t>Curso Biblia Maria Luisa Toso Loyola</t>
  </si>
  <si>
    <t>Canasta Fco. Campos</t>
  </si>
  <si>
    <t>Colecta M. Loreto Naranjo</t>
  </si>
  <si>
    <t>Sebastian Lagos Valdivieso / Azul</t>
  </si>
  <si>
    <t>Canasta Benjamin Andrighetti A.</t>
  </si>
  <si>
    <t>Canasta Helena Quiñones F.</t>
  </si>
  <si>
    <t>Canasta Carmen Gloria Ovalle</t>
  </si>
  <si>
    <t>Canasta M. Angelica Arancibia Larenas</t>
  </si>
  <si>
    <t>Eduardo Castro De La Barra /249</t>
  </si>
  <si>
    <t>Colecta Col. Cordillera</t>
  </si>
  <si>
    <t>Colecta Marcela Bengoa</t>
  </si>
  <si>
    <t>Canasta Marcela Bengoa</t>
  </si>
  <si>
    <t>María Macarena Besa Prieto/248</t>
  </si>
  <si>
    <t>Colecta Maite Compra Dolares</t>
  </si>
  <si>
    <t>Canasta Francisco Rodriguez B.</t>
  </si>
  <si>
    <t>F.769 Serv. Abr.21</t>
  </si>
  <si>
    <t>F.131 32hr. Balance 30/12/20</t>
  </si>
  <si>
    <t xml:space="preserve">F. por 24 Cajas Pte.Alto </t>
  </si>
  <si>
    <t>Devolucion Sueldo Rafael Valdes Searle</t>
  </si>
  <si>
    <t>Canastas Jaime Carafí Melero</t>
  </si>
  <si>
    <t>Colecta Maria del Pilar Ríos D.</t>
  </si>
  <si>
    <t>Misa Sonia Schmidt / R. Carrasco</t>
  </si>
  <si>
    <t>Colecta Susana Ruiz Tagle Cox</t>
  </si>
  <si>
    <t>Canasta SERVICIOS E INVERSIONES VARIOS SPA</t>
  </si>
  <si>
    <t>Curso Maria Soledad Toso Loyola</t>
  </si>
  <si>
    <t>Canastas Monica Gibson Z.</t>
  </si>
  <si>
    <t>Colecta M. Angelica Arancibia Larenas</t>
  </si>
  <si>
    <t>Canasta Carmen Gloria Rivas Varas</t>
  </si>
  <si>
    <t>Misa Carmen Gloria Rivas Varas</t>
  </si>
  <si>
    <t>Canasta Ricardo Fernandez</t>
  </si>
  <si>
    <t>Canastas Carmen Gloria Gomez P</t>
  </si>
  <si>
    <t>Colecta Carmen Gloria Gomez P</t>
  </si>
  <si>
    <t>Canasta Francisco Arteaga Errazuriz</t>
  </si>
  <si>
    <t>Canasta Andrea Rolla</t>
  </si>
  <si>
    <t>Canastas Alejandro Gutierrez</t>
  </si>
  <si>
    <t>Colecta Ignacio Ureta Larenas</t>
  </si>
  <si>
    <t>Canastas Ignacio Ureta Larenas</t>
  </si>
  <si>
    <t>Colecta Felipe Varela Venegas</t>
  </si>
  <si>
    <t>Dep. Colecta Col. Cordillera</t>
  </si>
  <si>
    <t xml:space="preserve">Ingrid María Nielsen Galli/Azul </t>
  </si>
  <si>
    <t>Canastas Maria Rosa Masjuan G.</t>
  </si>
  <si>
    <t>Curso Jorge Larrañaga</t>
  </si>
  <si>
    <t>Colecta Patricio Latapiat H</t>
  </si>
  <si>
    <t>Colecta Ana maria Alvarez T</t>
  </si>
  <si>
    <t>Curso Ana Maria Alvarez Toro</t>
  </si>
  <si>
    <t>Sueldo Rafael Valdes Searle Abril</t>
  </si>
  <si>
    <t>Arriendo Mayo 2021 Claudio Valedez Searle</t>
  </si>
  <si>
    <t>BE-157 Rodrigo Vidal Paiva Curso Biblia</t>
  </si>
  <si>
    <t>Curso Sofia Vives Ekdahl</t>
  </si>
  <si>
    <t>Bautizo Maria Fca. Lazcano</t>
  </si>
  <si>
    <t>Colecta Fca. Orrego</t>
  </si>
  <si>
    <t>Canasta Cyril Hodgson Larrain</t>
  </si>
  <si>
    <t>Bautizo Maite Larrañaga</t>
  </si>
  <si>
    <t>Colecta Maite Larrañaga</t>
  </si>
  <si>
    <t>Bautizo Maria Jose Blanco Calderon</t>
  </si>
  <si>
    <t>PAC Aguas Cordillera Oficina</t>
  </si>
  <si>
    <t>Eduardo Calvimontes Candia/Azul</t>
  </si>
  <si>
    <t>Canasta Carolina Hernandez Bustos</t>
  </si>
  <si>
    <t>María Teresa Gil Gómez / 249</t>
  </si>
  <si>
    <t>Colecta Maria Veronica Rios D.</t>
  </si>
  <si>
    <t>Colecta Maria Jose Blanco Calderon</t>
  </si>
  <si>
    <t>Canasta M. Fca. Rojas G.</t>
  </si>
  <si>
    <t>Colecta Gabriela Sousa</t>
  </si>
  <si>
    <t>Colecta Alicia Bahamondes</t>
  </si>
  <si>
    <t>Bautizo Stgo. Paut</t>
  </si>
  <si>
    <t>TGR. Impuesto Boletas</t>
  </si>
  <si>
    <t>TGR. Impuesto Unico</t>
  </si>
  <si>
    <t>TGR Pago Impuestos</t>
  </si>
  <si>
    <t>Prevision P. Pedro</t>
  </si>
  <si>
    <t>PAC Gas Oficina</t>
  </si>
  <si>
    <t>Colecta Ana Maria Awad</t>
  </si>
  <si>
    <t>Canasta Luz Maria Galilea Fresno</t>
  </si>
  <si>
    <t>Canasta Gerardo Del Villar</t>
  </si>
  <si>
    <t>Canasta Sonia Andrea Varas Mujica</t>
  </si>
  <si>
    <t>Canasta DCT</t>
  </si>
  <si>
    <t>Canastas Ana Maria Alvarez T</t>
  </si>
  <si>
    <t>Canastas Juan Muzio Muzio</t>
  </si>
  <si>
    <t>Com. Bco. Chile</t>
  </si>
  <si>
    <t xml:space="preserve">Colecta Col. Cordillera </t>
  </si>
  <si>
    <t>Canastas Mane Jara</t>
  </si>
  <si>
    <t>Colecta Maria Naranjo</t>
  </si>
  <si>
    <t>Canastas Maria Cecilia Laso R</t>
  </si>
  <si>
    <t>PAC VTR</t>
  </si>
  <si>
    <t>Canastas Maria Angelica Arancibia</t>
  </si>
  <si>
    <t>Canastas Raimundo Barros Montaner</t>
  </si>
  <si>
    <t>Bautizo Maria Paz Wiegand Lavin</t>
  </si>
  <si>
    <t>Canastas Marcela Nuñez</t>
  </si>
  <si>
    <t>Canastas DCT ( I. Ureta)</t>
  </si>
  <si>
    <t>Colecta Ximena Suspichatti</t>
  </si>
  <si>
    <t>Canastas N.N.</t>
  </si>
  <si>
    <t>Bautizo Maria Jose Gualda</t>
  </si>
  <si>
    <t>BE-27 MARIA INES JARA LAMA HON ABRIL/21</t>
  </si>
  <si>
    <t>F-392392 SERVICEFOOD</t>
  </si>
  <si>
    <t>F-2514 REPARACION PC VERONICA</t>
  </si>
  <si>
    <t>GASTO SANITIZACION BAUTIZO</t>
  </si>
  <si>
    <t>CANASTAS ISABEL TEJEDA VIDELA</t>
  </si>
  <si>
    <t>Colecta Carmen Covarrubias</t>
  </si>
  <si>
    <t>Canastas Maria Cristina Sarasa Corral</t>
  </si>
  <si>
    <t>Canastas DCT (Sebastian Davila)</t>
  </si>
  <si>
    <t>Canastas M. Teresa Zegers Aldunate</t>
  </si>
  <si>
    <t>Maria Del Pilar Ferrer Parrague/248</t>
  </si>
  <si>
    <t>Canastas</t>
  </si>
  <si>
    <t>Canastas Lucia Riesgo Valdes</t>
  </si>
  <si>
    <t>Canastas Jaime Lubascher</t>
  </si>
  <si>
    <t>Canastas Sergio Rodriguez O</t>
  </si>
  <si>
    <t>Canastas Tomas Alcalde H</t>
  </si>
  <si>
    <t>Misa Veronica Arriagada</t>
  </si>
  <si>
    <t>Canastas Raul Lagomarsino</t>
  </si>
  <si>
    <t>Canastas Bernandita Jara</t>
  </si>
  <si>
    <t>Canastas Maria Soledad Toso L</t>
  </si>
  <si>
    <t>Canastas Alicia Bahamondes</t>
  </si>
  <si>
    <t>Canastas Eduardo Calvimontes</t>
  </si>
  <si>
    <t>Canastas Osvaldo Fuenzalida</t>
  </si>
  <si>
    <t>Canastas Jaime Gonzalez Fabre</t>
  </si>
  <si>
    <t>Canastas Trinidad Barriga Cruzat</t>
  </si>
  <si>
    <t>Canastas Patricio Latapiat H</t>
  </si>
  <si>
    <t>Jacqueline Dale / 249</t>
  </si>
  <si>
    <t>Canastas Juan Carlos Cornejo</t>
  </si>
  <si>
    <t>Colecta Juan Rafael Arnaiz</t>
  </si>
  <si>
    <t>Canastas Gonzalo Contardo M</t>
  </si>
  <si>
    <t>Canastas Claudia Riba</t>
  </si>
  <si>
    <t>Canastas Juan Davila M</t>
  </si>
  <si>
    <t>Curso Mane Jara</t>
  </si>
  <si>
    <t>Curso Pedro Iriberry Mc.</t>
  </si>
  <si>
    <t>Curso Reinaldo Bascur Llona</t>
  </si>
  <si>
    <t>Canastas Paula Salazar Tello</t>
  </si>
  <si>
    <t>Canastas M. Angelica Arancibia</t>
  </si>
  <si>
    <t>Canastas M. Emilia Caballero</t>
  </si>
  <si>
    <t>Canastas DCT</t>
  </si>
  <si>
    <t>Canastas Francisco Rodriguez B.</t>
  </si>
  <si>
    <t>Canastas Jose Maria Rodriguez B.</t>
  </si>
  <si>
    <t>F-780 Serv Mayo 2021 Areopago</t>
  </si>
  <si>
    <t>F-393113 Servicefood</t>
  </si>
  <si>
    <t>BE-159 Rodigo Vidal Paiva</t>
  </si>
  <si>
    <t>BE-107 Dorlly Cardenas Lindart</t>
  </si>
  <si>
    <t>BE-108 Eduardo Plaza Rivera</t>
  </si>
  <si>
    <t>Sueldos Mayo 2021</t>
  </si>
  <si>
    <t>Sueldo Pedro Rios Dempster</t>
  </si>
  <si>
    <t>Sueldo Veronica Arriagada Soto</t>
  </si>
  <si>
    <t>Sueldo Maria de los Angeles Renasco Mandiola</t>
  </si>
  <si>
    <t>Sueldo Katherinne Farias Cuevas</t>
  </si>
  <si>
    <t>Sueldo Rafael Valdes Searle</t>
  </si>
  <si>
    <t>Canastas Francisco Guimpert</t>
  </si>
  <si>
    <t>Maria Andrea Muzio C. /249</t>
  </si>
  <si>
    <t>Eduardo Castro de la Barra /249</t>
  </si>
  <si>
    <t>Canastas Maria Fca. Llona</t>
  </si>
  <si>
    <t>Maria Macarena Besa Prieto /248</t>
  </si>
  <si>
    <t>Canastas Pablo Garcia</t>
  </si>
  <si>
    <t>Bautizo</t>
  </si>
  <si>
    <t>Colecta Luis Ignacio Marin Jordan</t>
  </si>
  <si>
    <t>Curso Biblia Maria Soledad Toso Loyola</t>
  </si>
  <si>
    <t>Canastas Luis Larenas Vergara</t>
  </si>
  <si>
    <t>Carlos Celis Celedon / Azul</t>
  </si>
  <si>
    <t>Colecta Ingrid Maria Nielsen</t>
  </si>
  <si>
    <t>Canastas Ingrid Maria Nielsen Galli</t>
  </si>
  <si>
    <t>Ingrid Maria Nielsen Galli / Azul</t>
  </si>
  <si>
    <t>Canastas NN</t>
  </si>
  <si>
    <t>Canastas Francisca Orrego Benavente</t>
  </si>
  <si>
    <t>Canastas Blanco del Prado Fernandez Aguilera</t>
  </si>
  <si>
    <t>Curso Maria Luisa Toso Loyola</t>
  </si>
  <si>
    <t>Ana Maria Allende Zañartu / 248</t>
  </si>
  <si>
    <t>Canastas Samuel Barros</t>
  </si>
  <si>
    <t>Arriendo Junio 2021 Claudio Cortes Arriagada</t>
  </si>
  <si>
    <t>Impto.Ret Adm. Mayo /2021</t>
  </si>
  <si>
    <t>Previsión EE.PSAH</t>
  </si>
  <si>
    <t>Previsión P.Pedro</t>
  </si>
  <si>
    <t>Renovacion Zoom</t>
  </si>
  <si>
    <t>Hilda Dougnac Rodriguez / Azul</t>
  </si>
  <si>
    <t>Maria Cristina Herrera Peralta / 248</t>
  </si>
  <si>
    <t>Canastas Lucia Riesco Valdes</t>
  </si>
  <si>
    <t>Maria Elena de Castro Espinosa / 249</t>
  </si>
  <si>
    <t>Eduardo Calvimontes/ Azul</t>
  </si>
  <si>
    <t>Colecta Ana gloria Awad Yazigi</t>
  </si>
  <si>
    <t>Misa Ximena Suspichiatti</t>
  </si>
  <si>
    <t>Colecta Carlos Barriga A.</t>
  </si>
  <si>
    <t>Canastas Tomas Alcalde H.</t>
  </si>
  <si>
    <t>Canastas Cyril Hodgson Larrain</t>
  </si>
  <si>
    <t>Colecta Sebastian Lagos V.</t>
  </si>
  <si>
    <t>Bautizo Cristian Ananias</t>
  </si>
  <si>
    <t>Canastas Bernardita Arce/M.Ines Valdes</t>
  </si>
  <si>
    <t>Hugo Rosende Alvarez / 249</t>
  </si>
  <si>
    <t>Canastas Maria Luisa Rojas Cruz</t>
  </si>
  <si>
    <t>Canastas Cristian Espinosa</t>
  </si>
  <si>
    <t>Colecta Jose Miguel Perez de Castro Z.</t>
  </si>
  <si>
    <t>Canastas Leonardo Robles Copello</t>
  </si>
  <si>
    <t>Canastas Carmen Luz Lecaros I.</t>
  </si>
  <si>
    <t>Canastas Ricardo Cañas Cambiaso</t>
  </si>
  <si>
    <t>Misa Carmen Luz Gomez</t>
  </si>
  <si>
    <t>Misa M. Isabel Rodriguez F.</t>
  </si>
  <si>
    <t>Canastas Pablo Eyzaguire Ch.</t>
  </si>
  <si>
    <t>BE-28 Maria Jara Lama</t>
  </si>
  <si>
    <t>Cuaresma de Fraternidad 2021</t>
  </si>
  <si>
    <t>Rend C/Chica Rafael Valdes Searle</t>
  </si>
  <si>
    <t>BTE-109 Dorlly Cardenas Lindarte</t>
  </si>
  <si>
    <t>Maria de los Angeles Herrera Soler / 249</t>
  </si>
  <si>
    <t>Colecta Maria Virginia Escala</t>
  </si>
  <si>
    <t>Canastas Maria Virginia Escala</t>
  </si>
  <si>
    <t>Canastas Sonia Andrea Varas Mujica</t>
  </si>
  <si>
    <t>Colecta Yolanda Haase Baeza</t>
  </si>
  <si>
    <t>Canastas Yolanda Haase Baeza</t>
  </si>
  <si>
    <t>Yolanda haase Baeza / 249</t>
  </si>
  <si>
    <t>Colecta Maria Cecilia Bernat</t>
  </si>
  <si>
    <t>Canastas Maria Piedad Guerrero P.</t>
  </si>
  <si>
    <t>Canastas Carmen Gloria Ovalle</t>
  </si>
  <si>
    <t xml:space="preserve">Colecta Rafael Marin Jordan </t>
  </si>
  <si>
    <t>Colecta Jose Miguel Perez De Castro Z.</t>
  </si>
  <si>
    <t>Canastas Francisco Arteaga Errazuriz.</t>
  </si>
  <si>
    <t>Colecta Luz Maria Galilea Fresno</t>
  </si>
  <si>
    <t>Canastas Luz Maria Galilea Fresno</t>
  </si>
  <si>
    <t>Canastas Carmen Gloria Rivas Varas</t>
  </si>
  <si>
    <t>Canastas Maria Carolina Rendic L.</t>
  </si>
  <si>
    <t>Bautizo Asuncion Echavarri</t>
  </si>
  <si>
    <t>Canastas Jaime Gonzalez Fabres</t>
  </si>
  <si>
    <t>Canastas Maria de la Luz Garces Larenas</t>
  </si>
  <si>
    <t>Colecta Maria de la Luz Garces Larenas</t>
  </si>
  <si>
    <t>Maria de la Luz Garces Larenas</t>
  </si>
  <si>
    <t>Canastas Manuel Uzal C</t>
  </si>
  <si>
    <t>Colecta Maria Loreto Valenzuelo Arata</t>
  </si>
  <si>
    <t>Canastas Maria Teresa Santelices Puelma</t>
  </si>
  <si>
    <t>Canastas Carolina Hernandez Bustos</t>
  </si>
  <si>
    <t>Canastas Keryma Felmer Echeverria</t>
  </si>
  <si>
    <t>Canastas Constanza Illanes</t>
  </si>
  <si>
    <t>Colecta Alicia Vial Gomez</t>
  </si>
  <si>
    <t>Canastas Jaime Carafi Melero</t>
  </si>
  <si>
    <t>Transferencia ERROR Francisco Guimpert</t>
  </si>
  <si>
    <t>F-787 Serv. Jun.21 -ND75 Aeropago</t>
  </si>
  <si>
    <t>F-397077 Servicefood SpA</t>
  </si>
  <si>
    <t>Devolucion Error Transferencia Francisco Guimpert C.</t>
  </si>
  <si>
    <t>Sueldos Junio 2021</t>
  </si>
  <si>
    <t>Colecta Mariana Sandoya Salvetto</t>
  </si>
  <si>
    <t>Eduardo Castro de la Barra / 249</t>
  </si>
  <si>
    <t>Jaime Andres Court Viviani / 249</t>
  </si>
  <si>
    <t>Devolucion Error En Transferencia</t>
  </si>
  <si>
    <t>Canastas Jaime Carafi/ Memoria Sra, Silvia</t>
  </si>
  <si>
    <t>Colecta Maria Gloria Urrutia Cruz</t>
  </si>
  <si>
    <t>Misa Vesna Vukic</t>
  </si>
  <si>
    <t>Misa Rodrigo Carrasco</t>
  </si>
  <si>
    <t>Bautizo Montserrat Lemus M.</t>
  </si>
  <si>
    <t>Canasta Lucia Riesco Valdes</t>
  </si>
  <si>
    <t>PAC AGUAS CORDILLERA</t>
  </si>
  <si>
    <t>Ana María Allende Zañartu/ 248</t>
  </si>
  <si>
    <t>Canastas Hilda Dougnac</t>
  </si>
  <si>
    <t>Colecta Sara Concha G.</t>
  </si>
  <si>
    <t>Pamela Daniels Sanchez/ Azul</t>
  </si>
  <si>
    <t>Colecta M. Teresa Zegers Aldunate</t>
  </si>
  <si>
    <t>Maria Teresa Gil Gomez / 249</t>
  </si>
  <si>
    <t>Ana Maria Reyes Garin / 248</t>
  </si>
  <si>
    <t>Maria Cristina Herrera Peralta /248</t>
  </si>
  <si>
    <t>Claudio Cortes Arriagada Arriendo Julio 2021</t>
  </si>
  <si>
    <t>Impto.Ret Adm. Junio /2021</t>
  </si>
  <si>
    <t>Canastas Guido Albornoz Gomez</t>
  </si>
  <si>
    <t>Colecta Maria del Pilar Rios D.</t>
  </si>
  <si>
    <t>Bautizo Francisco Cood Ferrer</t>
  </si>
  <si>
    <t>PAC GAS OFICINA</t>
  </si>
  <si>
    <t>Misa Isabel Grez</t>
  </si>
  <si>
    <t>Canastas Sofia Vives Ekdahl</t>
  </si>
  <si>
    <t>Colecta Tomas Arsenio Alcalde Herrera</t>
  </si>
  <si>
    <t>Canastas Veronica Aurora Ballician Astorga</t>
  </si>
  <si>
    <t>Be-29 Maria Ines Jara Lama Junio/2021</t>
  </si>
  <si>
    <t>Be-4 Diseño Web</t>
  </si>
  <si>
    <t>Rend. Caja Chica Abr-Jul Veronica Arriagada Soto</t>
  </si>
  <si>
    <t>Devolucion Transf. Fco Guimpert</t>
  </si>
  <si>
    <t>Rend. Compra seguro Covid EE.</t>
  </si>
  <si>
    <t>PAC ADT OFICINA</t>
  </si>
  <si>
    <t>COLECTA COL. CORDILLERA</t>
  </si>
  <si>
    <t>Bautizo Anne Marie Dufeau</t>
  </si>
  <si>
    <t>Dev. Asignacion Familiar</t>
  </si>
  <si>
    <t>José Tomás Guzmán Rencoret / Azul</t>
  </si>
  <si>
    <t>Carlos Enrique Blanco Plummer / 249</t>
  </si>
  <si>
    <t>María Virginia Fernández Oyarzún / 249</t>
  </si>
  <si>
    <t>Carlos Enrique Celis Celedón / Azul</t>
  </si>
  <si>
    <t>COLECTA CELIS CELEDON MARIA SOLEDAD</t>
  </si>
  <si>
    <t xml:space="preserve">Martín Fuenzalida Izquierdo / 249 </t>
  </si>
  <si>
    <t>248 y 249 Marzo 2021</t>
  </si>
  <si>
    <t>Juan Gabriel Navarro Gutiérrez / Azul</t>
  </si>
  <si>
    <t>Francisco Javier Lathrop Velasco/Azul</t>
  </si>
  <si>
    <t>Pedro Pablo Bossay Kretschmer/Azul</t>
  </si>
  <si>
    <t>Ignacio Santa María Mujica / 249</t>
  </si>
  <si>
    <t>María Teresa Ibañez Vial / 249</t>
  </si>
  <si>
    <t xml:space="preserve">DCT Cristian Jirón Palma /Azul </t>
  </si>
  <si>
    <t>Ignacio Prat Mendoza/249</t>
  </si>
  <si>
    <t>COLECTA RAIMUNDO BARROS</t>
  </si>
  <si>
    <t>Colecta Pedro Armando Alvarez Marin</t>
  </si>
  <si>
    <t>Pablo Eyzaguirre Chadwick/248 (E-F-M)</t>
  </si>
  <si>
    <t>Pedro Irarrázaval / 248</t>
  </si>
  <si>
    <t>Canasta M.Soledad Celis Celedón</t>
  </si>
  <si>
    <t>Recaudadora</t>
  </si>
  <si>
    <t>Juan Manuel Gutiérrez Philippi / 248</t>
  </si>
  <si>
    <t>Rendicion CALI Marzo 2021</t>
  </si>
  <si>
    <t>BE 314 Guillermo De La Vega Ivovich</t>
  </si>
  <si>
    <t>Traspaso inversion en Bco. Security</t>
  </si>
  <si>
    <t>Juan Manuel Gutiérrez Philippi / 249</t>
  </si>
  <si>
    <t>Comision bancaria</t>
  </si>
  <si>
    <t>Colecta GODOY CAMUS CARLOS IGNACIO</t>
  </si>
  <si>
    <t>Ricardo Cruzat Ochagavia / Azul</t>
  </si>
  <si>
    <t>Antonio Jorge Gana de Landa / 249</t>
  </si>
  <si>
    <t>Marcio Almeida Dos Santos / Azul</t>
  </si>
  <si>
    <t>Arzobispado de Stgo Marzo / 248</t>
  </si>
  <si>
    <t>Arzobispado de Stgo Marzo / 249</t>
  </si>
  <si>
    <t>Guillermo Rosende Álvarez / 248</t>
  </si>
  <si>
    <t>María Raquel Domeyco Matte / Azul</t>
  </si>
  <si>
    <t>Abono Transbank 248 y 249 abril 2021</t>
  </si>
  <si>
    <t>Arantxa Ereche Tuzzini/249</t>
  </si>
  <si>
    <t>Colecta Gustavo Tocornal R-T</t>
  </si>
  <si>
    <t>T/C Azules Abril 2021</t>
  </si>
  <si>
    <t>COMISION BANCARIA</t>
  </si>
  <si>
    <t>UF 495,59 EP 9 TASCO</t>
  </si>
  <si>
    <t>UF 5012,86 EP 9 TASCO</t>
  </si>
  <si>
    <t>UF 247,79 EP 9 TASCO</t>
  </si>
  <si>
    <t>F.2916 EE.PP. N°9 TASCO</t>
  </si>
  <si>
    <t>Fact. 6016 ITO Mar/21</t>
  </si>
  <si>
    <t>BE-63 Hardy Guillermo Alejandro Hipp - Proyecto Seguridad</t>
  </si>
  <si>
    <t>Cargo Tasacion PSAH</t>
  </si>
  <si>
    <t>Ana María Rabagliati Grunwald / 249</t>
  </si>
  <si>
    <t>Santiago Ireneo Doña Vial / 249</t>
  </si>
  <si>
    <t>María Carolina Marín Montes / 249</t>
  </si>
  <si>
    <t>Canastas M. Soledad Celis Celedon</t>
  </si>
  <si>
    <t>Colecta Carmen Monica Barañao Rojas</t>
  </si>
  <si>
    <t>María Angélica Pérez-Villamil /249</t>
  </si>
  <si>
    <t>Antonio Tuset Jorrat / 248</t>
  </si>
  <si>
    <t>José Antonio Vicuña Errázuriz / Azul</t>
  </si>
  <si>
    <t>Raúl Strappa Varas / 249 (abr y may)</t>
  </si>
  <si>
    <t>DCT (M.JoseGuridi M$10)</t>
  </si>
  <si>
    <t>Patricio Oelckers Álvarez / 249</t>
  </si>
  <si>
    <t>Jorge Schmidt Girotti / Azul</t>
  </si>
  <si>
    <t>Juan Carlos Latorre Díaz / Azul</t>
  </si>
  <si>
    <t>Colecta Cecilia Larrain</t>
  </si>
  <si>
    <t>Colecta Marcelo Galvez</t>
  </si>
  <si>
    <t>Horacio Figueroa Diesel/249 (M$50 DCT)</t>
  </si>
  <si>
    <t>Marcelo Osvaldo Gálvez Moya / Azul</t>
  </si>
  <si>
    <t>2 Gift Card a Rest. Le Due Torri CALI Marzo</t>
  </si>
  <si>
    <t>Rendición CALI Arzobispado de Santiago Marzo 2021</t>
  </si>
  <si>
    <t>F.489 Sobres y Carta Campaña Hazte Parte</t>
  </si>
  <si>
    <t>BE-481 MARIA ANGELICA SEPULVEDA TORO  </t>
  </si>
  <si>
    <t>P/FF.MM. en B.Security</t>
  </si>
  <si>
    <t>Colecta M. del Pilar Bustamante Solar</t>
  </si>
  <si>
    <t>Canastas Carmen Mónica Barañao Rojas</t>
  </si>
  <si>
    <t>Pedro Irarrázaval/M.Mercedes Calvo Montt/248</t>
  </si>
  <si>
    <t>3 Gift Card a Rest. Majestic Kenndy</t>
  </si>
  <si>
    <t>José Eugenio Figueroa Basaure/248</t>
  </si>
  <si>
    <t>248 y 249 mayo 2021</t>
  </si>
  <si>
    <t>Arzobispado de Stgo Abril / 248</t>
  </si>
  <si>
    <t>Arzobispado de Stgo Abril / 249</t>
  </si>
  <si>
    <t>F.315 Mandatos Rojos (2000)</t>
  </si>
  <si>
    <t>Colecta Godoy Camus Carlos Ignacio</t>
  </si>
  <si>
    <t>T/C Azules Mayo 2021</t>
  </si>
  <si>
    <t>José Antonio Alliende Wielandt/ Azul</t>
  </si>
  <si>
    <t>UF 849,89 EP 10 TASCO</t>
  </si>
  <si>
    <t>UF 6063,74 EP 10 TASCO</t>
  </si>
  <si>
    <t>UF 312,92 EP 10 TASCO</t>
  </si>
  <si>
    <t>F.2930 EE.PP. N°10 TASCO</t>
  </si>
  <si>
    <t>Fact. 6113 ITO Abr/21</t>
  </si>
  <si>
    <t>Manuel Achondo Reñasco / 249</t>
  </si>
  <si>
    <t>Paga Prestamo Fund.SanCarlos de Apoquindo</t>
  </si>
  <si>
    <t>Sofía Guerrero V. / 249 D.C.T.($40.000)</t>
  </si>
  <si>
    <t>María José Valdés Valdés / 249</t>
  </si>
  <si>
    <t>María Loreto Naranjo de Lucca/ Azul</t>
  </si>
  <si>
    <t>Pablo Eyzaguirre Chadwick/248 (A-M-J)</t>
  </si>
  <si>
    <t>Pamela Daniels Sánchez /Azul (M$25)</t>
  </si>
  <si>
    <t>Carlos Barriga Apparcel /248</t>
  </si>
  <si>
    <t>Carlos Alberto Fonck Limann / Azul</t>
  </si>
  <si>
    <t>Luis Alberto Cruz Guzmán  / 248</t>
  </si>
  <si>
    <t>NN / Azul</t>
  </si>
  <si>
    <t>Patricia Honorato /249 ($7000)</t>
  </si>
  <si>
    <t>Bernardita Jara Infante/Azul (MM$1)</t>
  </si>
  <si>
    <t>Raimundo Tocornal Laso / 249</t>
  </si>
  <si>
    <t>Rend. CALI Mayol 21 Arzobispado de Santiago</t>
  </si>
  <si>
    <t>Trasp.a Cta. Security</t>
  </si>
  <si>
    <t>José Miguel Valdivieso Gandarillas/Azul</t>
  </si>
  <si>
    <t>Luis Felipe Zanolli De Solminihac/249</t>
  </si>
  <si>
    <t>Felipe Hargous Larraín / 249</t>
  </si>
  <si>
    <t>Carmen Matus Mesa / 249</t>
  </si>
  <si>
    <t>Canastas María Virginia Fernández Oyarzún</t>
  </si>
  <si>
    <t>T/C Azules Junio 2021</t>
  </si>
  <si>
    <t>Arzobispado de Stgo Mayo / 248</t>
  </si>
  <si>
    <t>Arzobispado de Stgo Mayo / 249</t>
  </si>
  <si>
    <t>Canasta Alivia Oyarzun Saldias</t>
  </si>
  <si>
    <t>248 y 249 junio 2021</t>
  </si>
  <si>
    <t>Rescate DAP Security</t>
  </si>
  <si>
    <t>Toma FF. MM. Security</t>
  </si>
  <si>
    <t>UF 943,44 EP 11 TASCO</t>
  </si>
  <si>
    <t>UF 8022,07 EP 11 TASCO</t>
  </si>
  <si>
    <t>UF 347,37 EP 11 TASCO</t>
  </si>
  <si>
    <t>F.2973 EE.PP. N°12 TASCO</t>
  </si>
  <si>
    <t>Fact. 6238 ITO Junio/21</t>
  </si>
  <si>
    <t>Rescata DAP Anticipado</t>
  </si>
  <si>
    <t xml:space="preserve">Empalme Enel(p/rendir TASCO) </t>
  </si>
  <si>
    <t>ABONO RECAUDACION PAC</t>
  </si>
  <si>
    <t>BALANCE GENERAL ADMINISTRACION AÑO 2021</t>
  </si>
  <si>
    <t>ESTADO DE RESULTADOS ADMINISTRACION 2021</t>
  </si>
  <si>
    <t>Traspaso a Santander</t>
  </si>
  <si>
    <t>Tóma DAP Santander</t>
  </si>
  <si>
    <t>138-21</t>
  </si>
  <si>
    <t>Tasco Empalme</t>
  </si>
  <si>
    <t>Rescate DAP</t>
  </si>
  <si>
    <t>Centralización Recaudación Abril</t>
  </si>
  <si>
    <t>Centralización Recaudación Mayo</t>
  </si>
  <si>
    <t>Centralización Recaudación Junio</t>
  </si>
  <si>
    <t>BE 479 Miria Angélica Sepúlveda</t>
  </si>
  <si>
    <t>BE-485 Ma Angélica Depúlveda</t>
  </si>
  <si>
    <t>Pago F29 Marzo por Administración</t>
  </si>
  <si>
    <t>Pago F29 Abril por Administración</t>
  </si>
  <si>
    <t>Pago F29 Mayo por Administración</t>
  </si>
  <si>
    <t xml:space="preserve"> G. de la Vega  BE 314 Febrero</t>
  </si>
  <si>
    <t>BE-316 GUILLERMO DE LA VEGA  Mayo</t>
  </si>
  <si>
    <t>Provisiona Honorarios Junio Guillermo de la Vega</t>
  </si>
  <si>
    <t>BE-315 G. de la Vega Abril</t>
  </si>
  <si>
    <t xml:space="preserve"> G. de la Vega Hon. Marzo</t>
  </si>
  <si>
    <t>Curso Jose Miguel Carafi Melero</t>
  </si>
  <si>
    <t>Maria Elena De Castro Espinosa/249</t>
  </si>
  <si>
    <t>Canastas Monica Charme</t>
  </si>
  <si>
    <t xml:space="preserve">Canastas Hugo Rosende </t>
  </si>
  <si>
    <t xml:space="preserve">Colecta Hugo Rosende </t>
  </si>
  <si>
    <t>Misa Keryma Felmer Echeverria</t>
  </si>
  <si>
    <t>Misa Sonia Schmidt/R. Carrasco</t>
  </si>
  <si>
    <t>Misa Sonia Schmidt</t>
  </si>
  <si>
    <t>Misa Christel Felmer Valdivielso</t>
  </si>
  <si>
    <t>Misa Katherine Nicolau</t>
  </si>
  <si>
    <t>Bautizo Paul Weinreich Bermeosolo</t>
  </si>
  <si>
    <t>Bautizo Pablo Fuentes</t>
  </si>
  <si>
    <t>Colecta Mercado Pago</t>
  </si>
  <si>
    <t>PAC ASEGURADORA POR VENIR</t>
  </si>
  <si>
    <t>Colecta Constanza Fonseca E</t>
  </si>
  <si>
    <t>Colecta Jose Miguel Perez de Castro Z</t>
  </si>
  <si>
    <t>Colecta Mariz Loreto Valenzuela Arata</t>
  </si>
  <si>
    <t xml:space="preserve">Dep. Colecta Col. Cordillera </t>
  </si>
  <si>
    <t>Bautizo Nicolas Aspillaga Pumarino</t>
  </si>
  <si>
    <t>Misa Maria Corte</t>
  </si>
  <si>
    <t>Bautizo Andres Ignacio Kanacri Carafi</t>
  </si>
  <si>
    <t>Bautizo Gonzalo Laborde Correa</t>
  </si>
  <si>
    <t>F.799 Serv. Julio21</t>
  </si>
  <si>
    <t>Compra 96 Cajas Servicefood SpA</t>
  </si>
  <si>
    <t>BE-270 Cristian Moral Caroca</t>
  </si>
  <si>
    <t>Capellania 4 Misas Jul/21 Sebastianus Go</t>
  </si>
  <si>
    <t>Dev. Error en pago Curso Biblia</t>
  </si>
  <si>
    <t>BTE-111 Dorlly Cardenas Lindarte</t>
  </si>
  <si>
    <t>BTE-112 Eduardo Plaza Rivera</t>
  </si>
  <si>
    <t>Sueldos Julio 2021</t>
  </si>
  <si>
    <t>Dia del Niño Mané Jara</t>
  </si>
  <si>
    <t>Dia del Niño Marcela Nuñez</t>
  </si>
  <si>
    <t>Dia del Niño Maria Rebeca Antunez</t>
  </si>
  <si>
    <t>Dia del Niño Rodrigo Duran</t>
  </si>
  <si>
    <t xml:space="preserve">Fernando Arcuch Salum /Azul </t>
  </si>
  <si>
    <t>Dia del Niño Karina Rabino</t>
  </si>
  <si>
    <t>Dia del Niño Carmen Gloria Ovalle</t>
  </si>
  <si>
    <t>Bautizo Maria Pia Cubillos Guzman</t>
  </si>
  <si>
    <t>Jorge Aguirre Moltedo/249 (M$15)</t>
  </si>
  <si>
    <t>Catalina Adriasola Gibson / Azul</t>
  </si>
  <si>
    <t>Alfonso José Guzmán Cruzat / Azul</t>
  </si>
  <si>
    <t>Selim Guillermo Abara Elías / Azul</t>
  </si>
  <si>
    <t>Rec.A.Sepulveda Junio</t>
  </si>
  <si>
    <t>Cheque A Fecha Junio</t>
  </si>
  <si>
    <t>Choc. La Fête, Fact.47848</t>
  </si>
  <si>
    <t>Jose Adolfo Ochagavia Vial / Azul</t>
  </si>
  <si>
    <t>Canastas M.Soledad Celis Celedón</t>
  </si>
  <si>
    <t>1 Gift Card La Cabrera premio Camp.Hazte Parte</t>
  </si>
  <si>
    <t>Anticipo 50% 150 letreros Campaña Hazte Parte</t>
  </si>
  <si>
    <t>Sofía Guerrero V. / 249 D.C.T.($20.000)</t>
  </si>
  <si>
    <t>Rend. CALI Junio 21</t>
  </si>
  <si>
    <t>BE-488 Maria Angelica Sepulveda</t>
  </si>
  <si>
    <t>Colecta Pilar Bustamante</t>
  </si>
  <si>
    <t>Devolución Trasp.a Cta. Security</t>
  </si>
  <si>
    <t>Pablo Botteselle De La Fuente / 249</t>
  </si>
  <si>
    <t>Colecta Silvia Villegas</t>
  </si>
  <si>
    <t>Héctor Manuel Gómez Brain / Azul</t>
  </si>
  <si>
    <t>3 Gift Card R.Pinpilinpausha premio Camp.Hazte Parte</t>
  </si>
  <si>
    <t>F,39143 Lienzo en Obra Campaña Hazte Parte</t>
  </si>
  <si>
    <t>Abono Transbank 248 y 249 julio 2021</t>
  </si>
  <si>
    <t>Arzobispado de Stgo Junio / 248</t>
  </si>
  <si>
    <t>Arzobispado de Stgo Junio / 249</t>
  </si>
  <si>
    <t>Ana María Balmaceda Ovalle / Azul</t>
  </si>
  <si>
    <t>Clemencia Cecilia Gómez Pérez / Azul</t>
  </si>
  <si>
    <t>T/C Azules Julio 2021</t>
  </si>
  <si>
    <t>BE-317 GUILLERMO DE LA VEGA</t>
  </si>
  <si>
    <t>C&amp;P Asesores - Asesoria Contable Enero 2021</t>
  </si>
  <si>
    <t>Selim Guillermo Abara Elías / 249</t>
  </si>
  <si>
    <t>IVA COMISIONES</t>
  </si>
  <si>
    <t>Rescate FF.MM</t>
  </si>
  <si>
    <t>Fact. 391  EE.PP.N°5</t>
  </si>
  <si>
    <t>UF 578,97 EP 12TASCO</t>
  </si>
  <si>
    <t>UF 4130,77 EP 12 TASCO</t>
  </si>
  <si>
    <t>UF 213,17 EP 12 TASCO</t>
  </si>
  <si>
    <t>COM.SERV.PAC JUNIO 2021 14 TRX.</t>
  </si>
  <si>
    <t>Centralización Recaudación Julio</t>
  </si>
  <si>
    <t>BTe-110 Gastos Dorlly Cardenas Lindarte</t>
  </si>
  <si>
    <t>Adriana Fernández Correa / Azul</t>
  </si>
  <si>
    <t>CHEQUE A FECHA</t>
  </si>
  <si>
    <t>CALI</t>
  </si>
  <si>
    <t>ADM</t>
  </si>
  <si>
    <t xml:space="preserve">Paga Ptmo.Fundación San Carlos de Ap. </t>
  </si>
  <si>
    <t>76577390-3</t>
  </si>
  <si>
    <t>CHOCOLATES DEL MUNDO S.A.</t>
  </si>
  <si>
    <t>97036000-K</t>
  </si>
  <si>
    <t>Santander - Chile</t>
  </si>
  <si>
    <t>78276930-8</t>
  </si>
  <si>
    <t>GrÃ¡fica Nueva S.A.</t>
  </si>
  <si>
    <t>CLARO ARQUITECTOS S.A</t>
  </si>
  <si>
    <t>Total Otros Valores Recaudadoras</t>
  </si>
  <si>
    <t>Total Otros Valores -Oficina y Transferencias (248)</t>
  </si>
  <si>
    <t>Total Otros Valores Tarjeta de Credito</t>
  </si>
  <si>
    <t>Colecta Maria Macarena Besa Prieto</t>
  </si>
  <si>
    <t>María de los Ángeles Herrera Soler/249</t>
  </si>
  <si>
    <t>Canasta Juan Muzio Muzio</t>
  </si>
  <si>
    <t>Colecta Rafael Cañas Cambiaso</t>
  </si>
  <si>
    <t>Dia del Niño Maria Angelica Arancibia</t>
  </si>
  <si>
    <t>María Asunción Lavín Infante/249</t>
  </si>
  <si>
    <t>Canastas Sandra Rivadeneira</t>
  </si>
  <si>
    <t>Colecta Andres Delpiano Barros</t>
  </si>
  <si>
    <t>Misa Elena Calvo Alessandri</t>
  </si>
  <si>
    <t>Dia del Niño Sofia Vives Ekdahl</t>
  </si>
  <si>
    <t xml:space="preserve">Misa Rodrigo Carrasco </t>
  </si>
  <si>
    <t>Bautizo Anne Marie Duffeu</t>
  </si>
  <si>
    <t>Dia del Niño NN</t>
  </si>
  <si>
    <t>Dev.Asignación Familiar</t>
  </si>
  <si>
    <t>Dia del Niño Maria Garcia</t>
  </si>
  <si>
    <t>Dia del Niño Carmen Lecaros l.</t>
  </si>
  <si>
    <t>Colecta Felipe Hargous</t>
  </si>
  <si>
    <t>Colectas SERVICIOS E INVERSIONES VARIOS SPA</t>
  </si>
  <si>
    <t>Dia del Niño SERVICIOS E INVERSIONES VARIOS SPA</t>
  </si>
  <si>
    <t>Dia del Niño Elena Calvo Alessandri</t>
  </si>
  <si>
    <t>Dia del Niño Pablo Garcia</t>
  </si>
  <si>
    <t>Dia del Niño Cristobal Nanning Buzeta</t>
  </si>
  <si>
    <t>Paulina Inés Olea de la Cerda/248</t>
  </si>
  <si>
    <t>Dia del Niño Eduardo Calvimontes</t>
  </si>
  <si>
    <t>Colecta Ingrid María Nielsen Galli</t>
  </si>
  <si>
    <t>Canastas Ingrid María Nielsen Galli</t>
  </si>
  <si>
    <t>Dia del Niño Carmen Barañao</t>
  </si>
  <si>
    <t>Dia del Niño Sonia Andrea Varas Mujica</t>
  </si>
  <si>
    <t>Claudio Cortes Arriagada Arriendo Agosto 2021</t>
  </si>
  <si>
    <t>Impto.Ret Adm. Julio/2021</t>
  </si>
  <si>
    <t>Becas Francisco Guimpert Corvalan</t>
  </si>
  <si>
    <t>Dia del Niño Francisco Guimpert Corvalan</t>
  </si>
  <si>
    <t>Dia del Niño Oscar Guarda</t>
  </si>
  <si>
    <t>Colecta POS</t>
  </si>
  <si>
    <t>Bautizo Andres Kanacri</t>
  </si>
  <si>
    <t>Colecta Col.Cordillera</t>
  </si>
  <si>
    <t>Dia del Niño Juan Muzio Muzio</t>
  </si>
  <si>
    <t>María Cristina Herrera Peralta/248</t>
  </si>
  <si>
    <t>Dia del Niño Maria Teresa Lily Santelices Puelma</t>
  </si>
  <si>
    <t>Eduardo Andrés León Rojas / Azul</t>
  </si>
  <si>
    <t>Curso Vivian Edith Araya Jofre</t>
  </si>
  <si>
    <t xml:space="preserve">Colecta Ana Gloria Awad Yazigi </t>
  </si>
  <si>
    <t>Colecta Veronica Villegas</t>
  </si>
  <si>
    <t>Don.Efectivo Pastoral Social LIDER</t>
  </si>
  <si>
    <t>Dia del Niño Maite Larrañaga</t>
  </si>
  <si>
    <t>Dia del Niño Cyril Hodgson Larrain</t>
  </si>
  <si>
    <t>Dia del Niño Renato Flores</t>
  </si>
  <si>
    <t>Misa Clemencia Perez</t>
  </si>
  <si>
    <t>BE-30 MARIA INES JARA LAMAS  </t>
  </si>
  <si>
    <t>76263414-7</t>
  </si>
  <si>
    <t>SEGUROS DE VIDA SURAMERICANA S.A.</t>
  </si>
  <si>
    <t>76197476-9</t>
  </si>
  <si>
    <t>INGENIERIA LICENCIADO LAS PENAS LIMITADA</t>
  </si>
  <si>
    <t>BTE-113 SERV SANITIZACION BAUTI</t>
  </si>
  <si>
    <t>BE-8 RAIMUNDO RODRIGUEZ POZO</t>
  </si>
  <si>
    <t>BE-160 RODRIGO VIDAL PAIVA</t>
  </si>
  <si>
    <t>Rend. Compra webcam Veronica Arriagada Soto</t>
  </si>
  <si>
    <t>Rend. Caja Impr.Volantes Rafael Valdes Searle</t>
  </si>
  <si>
    <t>Capellania 6 Misas Ago/21 Sebastianus Go</t>
  </si>
  <si>
    <t>Capellania 1 Misa Ago/21 Congregacion Legionarios de Chile</t>
  </si>
  <si>
    <t>Capellania 4 Misas Ago/21 Cesar Augusto Fernandez</t>
  </si>
  <si>
    <t>Capellania 1 Misa Ago/21 Fernando Herrera Nava</t>
  </si>
  <si>
    <t>Capellania 1 Misa Ago/21 Felipe Izquierdo Ibañez</t>
  </si>
  <si>
    <t>Capellania 3 Misas Ago/21 Carlos Hernan Garces Voisenat</t>
  </si>
  <si>
    <t>Capellania 1 Misa Ago/21 Gabriel Barcena</t>
  </si>
  <si>
    <t>Dia del Niño Marcela Ferreiro C.</t>
  </si>
  <si>
    <t>Colecta Maria del Pilar Bustamante</t>
  </si>
  <si>
    <t>Matrimonio POS</t>
  </si>
  <si>
    <t>Bautizo Isidora Harz</t>
  </si>
  <si>
    <t>Bautizo Ignacio Concha Arrau</t>
  </si>
  <si>
    <t>Rend.Gastos Día del Niño Past. Social</t>
  </si>
  <si>
    <t>Dev.Beca pag.F.Guimpert el 05/08</t>
  </si>
  <si>
    <t>Bautizo Nicolas Ortega</t>
  </si>
  <si>
    <t>Bautizo POS</t>
  </si>
  <si>
    <t>Bautizo Jose Antonio Fighetti Beas</t>
  </si>
  <si>
    <t>Bautizo Maria Francisca Concha Arrau</t>
  </si>
  <si>
    <t>PAC ENEL</t>
  </si>
  <si>
    <t>Capellania 8 Misas Jul/21</t>
  </si>
  <si>
    <t>Capellania 6 Misas Ago/21</t>
  </si>
  <si>
    <t>Capellania 1 Misa Ago/21</t>
  </si>
  <si>
    <t>Capellania 3 Misas Ago/21</t>
  </si>
  <si>
    <t>Capellania 2 Misa Ago/21</t>
  </si>
  <si>
    <t>BTE-114 DORLLY CLARET CARDENAS LINDARTE</t>
  </si>
  <si>
    <t>SUELDO Pedro Rios Dempster</t>
  </si>
  <si>
    <t>SUELDO Veronica Arriagada Soto</t>
  </si>
  <si>
    <t>SUELDO M. De los Angeles Renasco Mandiola</t>
  </si>
  <si>
    <t>SUELDO KATHERINNE FARIAS CUEVAS</t>
  </si>
  <si>
    <t>Ana María Alvarez Toro  / Azul</t>
  </si>
  <si>
    <t>Pedro Irarrázaval/248</t>
  </si>
  <si>
    <t>Renato Guidio Rezende de Castro/ 249</t>
  </si>
  <si>
    <t>Juan Pablo Munita Morgan / Azul</t>
  </si>
  <si>
    <t>Colecta Arnaldo Gorziglia Balbi</t>
  </si>
  <si>
    <t>248 y 249 julio 2021</t>
  </si>
  <si>
    <t>Rebeca Ayala Marfil / Azul</t>
  </si>
  <si>
    <t>Saldo F.865, 150 letreros Campaña Hazte Parte</t>
  </si>
  <si>
    <t>Patricia Romero Espinosa / 249</t>
  </si>
  <si>
    <t>Pablo Eyzaguirre Chadwick/248 (J-A-S)</t>
  </si>
  <si>
    <t>Colecta Marcela Rebeca Pinto Zepeda</t>
  </si>
  <si>
    <t>Macarena del Rosario Arriagada Álvarez/ Azul</t>
  </si>
  <si>
    <t xml:space="preserve">Julian Elorrieta Decombe / 249 (16142091-3) </t>
  </si>
  <si>
    <t>Rend. CALI Julio/21</t>
  </si>
  <si>
    <t>BE-318 Guillermo de la Vega Ivovich</t>
  </si>
  <si>
    <t>BE-492 Maria Angelica Sepulveda Toro</t>
  </si>
  <si>
    <t>3 Gift Card  Gastronomia del Alto SpA</t>
  </si>
  <si>
    <t>Elena García Huidobro E. /Azul</t>
  </si>
  <si>
    <t>Mónica Harseim /azul</t>
  </si>
  <si>
    <t>Colecta Carlos Gerardo Anwandter Grallert</t>
  </si>
  <si>
    <t>Maria Cristina Prieto Larrain / Azul</t>
  </si>
  <si>
    <t>Germán Undurraga Ossa / Azul (M$50)</t>
  </si>
  <si>
    <t>248 y 249 agosto 2021</t>
  </si>
  <si>
    <t>T/C Azules Agosto 2021</t>
  </si>
  <si>
    <t>Arzobispado de Stgo Julio / 248</t>
  </si>
  <si>
    <t>Arzobispado de Stgo Julio / 249</t>
  </si>
  <si>
    <t>Ana María Larraín Cruz / Azul</t>
  </si>
  <si>
    <t>Fact. 2995  EE.PP.N°13</t>
  </si>
  <si>
    <t>Fact. 6271 ITO Julio/21</t>
  </si>
  <si>
    <t>COM.SERV.PAC JULIO 2021 19 TRX.</t>
  </si>
  <si>
    <t xml:space="preserve">ABONO RECAUDACION PAC /249 </t>
  </si>
  <si>
    <t>Regularizacion Diferencia Arzobispado</t>
  </si>
  <si>
    <t xml:space="preserve">Regulariza Proveedores </t>
  </si>
  <si>
    <t>Colecta Carlos Contardo M</t>
  </si>
  <si>
    <t xml:space="preserve">Colecta Fca. Orrego </t>
  </si>
  <si>
    <t>Colecta Gastón Novoa Dapelo</t>
  </si>
  <si>
    <t>Colecta Alvaro Lavin Cruz</t>
  </si>
  <si>
    <t>PAC AGUAS ANDINAS</t>
  </si>
  <si>
    <t>Mario Melo / Azul</t>
  </si>
  <si>
    <t>Arriendo Septiembre 2021 Claudio Cortes Arriagada</t>
  </si>
  <si>
    <t>Rend.Caja Chica Abr-Jul</t>
  </si>
  <si>
    <t>Gastos Pastoral Social</t>
  </si>
  <si>
    <t>Bautizo Juan Andres Baracatt Vicente</t>
  </si>
  <si>
    <t>Colecta Alejandro Gutierrez</t>
  </si>
  <si>
    <t>Mario Melo /Azul</t>
  </si>
  <si>
    <t>Colecta Nancy Valenzuela</t>
  </si>
  <si>
    <t>Colecta Jaime Valdes D.</t>
  </si>
  <si>
    <t>Colecta Patricia Andres Lorca Koch</t>
  </si>
  <si>
    <t>Colecta Eduardo Calvimontes</t>
  </si>
  <si>
    <t>CARGO POS</t>
  </si>
  <si>
    <t>Bautizo Catalina Loreto Gonzalez Perez</t>
  </si>
  <si>
    <t>Colecta Of. Y Rezagado UC</t>
  </si>
  <si>
    <t>Chanchitos Mes de la Solidaridad</t>
  </si>
  <si>
    <t>Keryma Felmer Echeverria / 249(Jul)</t>
  </si>
  <si>
    <t>Keryma Felmer Echeverria / 249(Ago)</t>
  </si>
  <si>
    <t>Keryma Felmer Echeverria / 249(Set)</t>
  </si>
  <si>
    <t>Colecta Cyril hodgson Larrain</t>
  </si>
  <si>
    <t>Canastas Cyril hodgson Larrain</t>
  </si>
  <si>
    <t>Misa Anita M. Alvarez</t>
  </si>
  <si>
    <t>Bautizo Rodrigo Barros</t>
  </si>
  <si>
    <t>BE-31 MARIA INES JARA LAMA</t>
  </si>
  <si>
    <t>BTE-113 DORLLY CARDENAS LINDARTE</t>
  </si>
  <si>
    <t>BE-10 RAIMUNDO RODRIGUEZ POZO</t>
  </si>
  <si>
    <t>Rend. Gtos.Aniversario Campamento</t>
  </si>
  <si>
    <t>Capellania 2 Misas Sebastianus GO</t>
  </si>
  <si>
    <t>Capellania 2 Misas Cesar Augusto Fernandez</t>
  </si>
  <si>
    <t>Capellania 1 Misas Carlos Hernan Garces Voisenat</t>
  </si>
  <si>
    <t>Capellania 3 Misas Gabriel Barcena</t>
  </si>
  <si>
    <t>Misa M. de los Angeles Morrison</t>
  </si>
  <si>
    <t>Colecta Pablo Irarrazaval</t>
  </si>
  <si>
    <t>Colecta Andres de la Barra Correa</t>
  </si>
  <si>
    <t>Bautizo Maria Sofia Grob</t>
  </si>
  <si>
    <t>Marina Espinosa Pérez / 249</t>
  </si>
  <si>
    <t>Melania Espinosa Pérez / 249</t>
  </si>
  <si>
    <t>Bautizo Maria del Rosario Carafi</t>
  </si>
  <si>
    <t xml:space="preserve">Colecta Paula Fernandez </t>
  </si>
  <si>
    <t>Bautizo Jhonny Alexander Quintero Diaz</t>
  </si>
  <si>
    <t>F.825 Serv. Set.21 Areopago Comunicaciones</t>
  </si>
  <si>
    <t>Compra 96 Cajas Winkler Ltda.</t>
  </si>
  <si>
    <t>BTE-115 DORLLY CARDENAS LINDARTE</t>
  </si>
  <si>
    <t>BTE-117 EDUARDO PLAZA RIVERA</t>
  </si>
  <si>
    <t>Remuneraciones Rafael Valdes Searle</t>
  </si>
  <si>
    <t>Remuneraciones Katherinne Farias Cuevas</t>
  </si>
  <si>
    <t>Remuneraciones Pedro Rios Dempster</t>
  </si>
  <si>
    <t>Remuneraciones Veronica Arriagada Soto</t>
  </si>
  <si>
    <t>Remuneraciones M.de los Angeles Renasco Mandiola</t>
  </si>
  <si>
    <t>Colecta Claudia Ximena Peredo</t>
  </si>
  <si>
    <t>M. Dominguez /248</t>
  </si>
  <si>
    <t>María Verónica Letelier Benítez / Azul</t>
  </si>
  <si>
    <t>Pedro Armando Alvarez Marin/250</t>
  </si>
  <si>
    <t>María Soledad Errázuriz Cortés / Azul</t>
  </si>
  <si>
    <t>Carolina Reyes Dermer / 249 D.C.T.(M$17)10306033-8</t>
  </si>
  <si>
    <t>M.Soledad Errázuriz Cortés/249  DCT(M$13)13658366-2</t>
  </si>
  <si>
    <t>Juan Guillermo Rodríguez Aris/DCT Azul(M$100)8868030-8</t>
  </si>
  <si>
    <t>Blanca Lira Correa / 249</t>
  </si>
  <si>
    <t>Rend. CALI Agosto/21 Arzobispado de Santiago</t>
  </si>
  <si>
    <t>BE-318 GUILLERMO DE LA VEGA ASESORIA 1% AGOSTO 2021</t>
  </si>
  <si>
    <t>BE-492 Maria Angelica Sepulveda Toro COMISION CALI JUL 21</t>
  </si>
  <si>
    <t>3 Gift Card Gastronomica El Alero SpA</t>
  </si>
  <si>
    <t>Colecta Juana Jazmin Hevia</t>
  </si>
  <si>
    <t>Gustavo Adolfo Walsen Arangua / Azul</t>
  </si>
  <si>
    <t>María Soledad Piderit Brito / 249</t>
  </si>
  <si>
    <t>T/C Azules Septiembre 2021 Abono Transbank</t>
  </si>
  <si>
    <t>Arzobispado de Stgo Agosto / 248</t>
  </si>
  <si>
    <t>Arzobispado de Stgo Agosto / 249</t>
  </si>
  <si>
    <t>BE-318 GUILLERMO DE LA VEGA ASESORIA 1% AGOSTO</t>
  </si>
  <si>
    <t>Traspaso desde Cta. Bco.Santander</t>
  </si>
  <si>
    <t>Fact. 2728, EE.PP.N°3 (Proy.Paviment.Acceso PSAH)</t>
  </si>
  <si>
    <t>Fact. 6330, EE.PP. N° 21, ITO Agosto/21</t>
  </si>
  <si>
    <t>Fact. 3030, EE.PP. N° 2 Obras Extra</t>
  </si>
  <si>
    <t>Fact. 3022, EE.PP. N°14 rev.1</t>
  </si>
  <si>
    <t>UF 1041,60 EP 14 TASCO</t>
  </si>
  <si>
    <t>UF 383,51 EP 14 TASCO</t>
  </si>
  <si>
    <t>UF 7431,51 EP 14 TASCO</t>
  </si>
  <si>
    <t>Centralización Recaudación Agosto</t>
  </si>
  <si>
    <t>UF 498,71 EP 13 TASCO</t>
  </si>
  <si>
    <t>UF 183,61,51 EP 13 TASCO</t>
  </si>
  <si>
    <t>UF 3558,15 EP 13 TASCO</t>
  </si>
  <si>
    <t>Rescata DAP</t>
  </si>
  <si>
    <t>COM.SERV.PAC AGOSTO 2021 28 TRX.</t>
  </si>
  <si>
    <t>Total Otros Valores -Oficina y Transferencias (249)</t>
  </si>
  <si>
    <t>María Loreto Izquierdo Vial / 249 (M$125)</t>
  </si>
  <si>
    <t>Raimundo Monge Zegers /Azul</t>
  </si>
  <si>
    <t>Total Disponible Ch. Fecha</t>
  </si>
  <si>
    <t>CHEQUE A FECHA SEPTIEMBRE</t>
  </si>
  <si>
    <t>Nicolás Gajardo Retamal  / Azul</t>
  </si>
  <si>
    <t>Bautizo Magdalena Toro Carafí</t>
  </si>
  <si>
    <t>Colecta Jorge Claude Bourdel</t>
  </si>
  <si>
    <t>POS</t>
  </si>
  <si>
    <t>Colecta Maria Car Rios Ramirez</t>
  </si>
  <si>
    <t>Colecta Raul Lagomarsino</t>
  </si>
  <si>
    <t>Cambio DAP a FM</t>
  </si>
  <si>
    <t>Rescate FM</t>
  </si>
  <si>
    <t>ok</t>
  </si>
  <si>
    <t>Intereses Devengados DAP Santander</t>
  </si>
  <si>
    <t>Keryma Felmer Echeverria / 249</t>
  </si>
  <si>
    <t>Colecta Pablo Irarrázaval Mena</t>
  </si>
  <si>
    <t>Colecta Francisca Orrego Benavente</t>
  </si>
  <si>
    <t>Matrimonio</t>
  </si>
  <si>
    <t>Colecta Col.Cordillera y Cumbres</t>
  </si>
  <si>
    <t>Arriendo Octubre 2021 Claudio Cortes Arriagada</t>
  </si>
  <si>
    <t>Gastos Celebraciones Andrea Varas Mujica</t>
  </si>
  <si>
    <t>Hostias OC 041021</t>
  </si>
  <si>
    <t>BE-161 Curso Biblia Rodrigo Vidal</t>
  </si>
  <si>
    <t>Emisor</t>
  </si>
  <si>
    <t>Observar</t>
  </si>
  <si>
    <t>Impto.Ret Adm. Septiembre/2021</t>
  </si>
  <si>
    <t>Bautizo Camila Del Pilar Ramirez Gundelach</t>
  </si>
  <si>
    <t>Colecta Maria Elena de Castro Espinosa</t>
  </si>
  <si>
    <t>Misa Carmen Gloria Rivas V.</t>
  </si>
  <si>
    <t>Bautizo Sebastian Mobarec Katunaric</t>
  </si>
  <si>
    <t>PAC Entel Oficina</t>
  </si>
  <si>
    <t>BE-32 MARIA INES JARA LAMA</t>
  </si>
  <si>
    <t>BTE-118 DORLLY CARDENAS LINDARTE</t>
  </si>
  <si>
    <t>BE-11 RAIMUNDO RODRIGUEZ POZO</t>
  </si>
  <si>
    <t>F.769 Exp.Matrim. (200)</t>
  </si>
  <si>
    <t>Bautizo Fadyle Abulias Segovia</t>
  </si>
  <si>
    <t>PAC Enel Oficina</t>
  </si>
  <si>
    <t>Bautizo Gonzalo Miguel Aguilera Moya</t>
  </si>
  <si>
    <t>Colecta Eduardo Cristian Sanchez Vicuña</t>
  </si>
  <si>
    <t>Colecta JAVE</t>
  </si>
  <si>
    <t>Bautizo Raffaela Corte Antonelli</t>
  </si>
  <si>
    <t>Bautizo Mariana Garcia Schmidt</t>
  </si>
  <si>
    <t>Bautizo M. Paz Ramos Polanco</t>
  </si>
  <si>
    <t>F.837 Serv. Oct.21</t>
  </si>
  <si>
    <t>Compra Batería Notebook Adm</t>
  </si>
  <si>
    <t>Capellanía Diácono Octubre/21</t>
  </si>
  <si>
    <t>Aporte Bautizos Oct. Col.Cumbres</t>
  </si>
  <si>
    <t>Capellanía 2 Misas Oct.21</t>
  </si>
  <si>
    <t>Capellanía 3 Misas Oct.22</t>
  </si>
  <si>
    <t>BTE 120 DORLLY CLARET CARDENAS LINDARTE</t>
  </si>
  <si>
    <t>BTE 119 EDUARDO ENRIQUE PLAZA RIVERA</t>
  </si>
  <si>
    <t>248 y 249 septiembre 2021</t>
  </si>
  <si>
    <t>Juan Bautista Duhart Charles / Azul</t>
  </si>
  <si>
    <t>Carolina Guridi Gubbins / 249</t>
  </si>
  <si>
    <t>T/C Azules Septiembre 2021</t>
  </si>
  <si>
    <t>Rec. Sept. (ch/f)</t>
  </si>
  <si>
    <t>Adriana Fernández Correa / 249</t>
  </si>
  <si>
    <t>Eugenia Muñoz Quezada /DCT Azul (M$1000)</t>
  </si>
  <si>
    <t>Andrés Fuentes Barañao/Azul</t>
  </si>
  <si>
    <t>Rafael Vergara Illanes / 249</t>
  </si>
  <si>
    <t>Pedro Ríos Dempster / 249 (Sept-Dic/2021)</t>
  </si>
  <si>
    <t>Pablo Antonio Medina Herrera / Azul</t>
  </si>
  <si>
    <t>BE-499 MARIA ANGELICA SEPULVEDA</t>
  </si>
  <si>
    <t>Nicolás Errázuriz Salinas / Azul</t>
  </si>
  <si>
    <t>Isabel Romero / Azul</t>
  </si>
  <si>
    <t>RECAUDADORA</t>
  </si>
  <si>
    <t>M.Josefina Walker Vial/DCT Azul (M$200)</t>
  </si>
  <si>
    <t>T/C Azules Octubre 2021</t>
  </si>
  <si>
    <t>Arzobispado de Stgo Septiembre / 248</t>
  </si>
  <si>
    <t>Arzobispado de Stgo Septiembre / 249</t>
  </si>
  <si>
    <t>Rend. CALI Septiembre/21 Arzobispado de Santiago</t>
  </si>
  <si>
    <t>Osasun Com. Ltda. (RUT:76668530-7)</t>
  </si>
  <si>
    <t>Fact. 2774, EE.PP.N°4(Proy.Paviment.Acceso PSAH)</t>
  </si>
  <si>
    <t>Fact. 429  EE.PP.N°6</t>
  </si>
  <si>
    <t>Fact. 3048, EE.PP. N° 15</t>
  </si>
  <si>
    <t>Fact. 6409, EE.PP. N° 22, ITO Sept./21</t>
  </si>
  <si>
    <t>UF 234,08 EP 15 TASCO</t>
  </si>
  <si>
    <t>UF 86,18 EP 15 TASCO</t>
  </si>
  <si>
    <t>UF 1670,05 EP 15 TASCO</t>
  </si>
  <si>
    <t>COM.SERV.PAC SEPT. 2021 32 TRX.</t>
  </si>
  <si>
    <t xml:space="preserve">Abono Venc. DAP </t>
  </si>
  <si>
    <t>Toma DAP a 35 ds.</t>
  </si>
  <si>
    <t>Centralización Recaudación Octubre</t>
  </si>
  <si>
    <t xml:space="preserve">CHEQUE A FECHA </t>
  </si>
  <si>
    <t>,</t>
  </si>
  <si>
    <t>Colecta María Car Ríos Ramirez</t>
  </si>
  <si>
    <t>Colecta</t>
  </si>
  <si>
    <t>Total Donacion Construccion</t>
  </si>
  <si>
    <t>Colecta Maria Del Pilar Ferrer Parrague</t>
  </si>
  <si>
    <t>Patricia Honorato Valdés ($10000) /249</t>
  </si>
  <si>
    <t>Colecta Cyril Hodgson Larraín</t>
  </si>
  <si>
    <t>Francisca Orrego Benavente / 249</t>
  </si>
  <si>
    <t xml:space="preserve"> esta correcto </t>
  </si>
  <si>
    <t>Ingresos por cargas familiares</t>
  </si>
  <si>
    <t>Arriendo Noviembre 2021 Claudio Cortes Arriagada</t>
  </si>
  <si>
    <t>Rend. Gastos Impresos Mes de María</t>
  </si>
  <si>
    <t>F.154  Balance Febrero y Marzo 2021</t>
  </si>
  <si>
    <t>F.63 Mantención Sistema Riego Jardines</t>
  </si>
  <si>
    <t>Cargo POS</t>
  </si>
  <si>
    <t>Donacion Bautizo</t>
  </si>
  <si>
    <t>Impto.Ret Adm. Octubre/2021</t>
  </si>
  <si>
    <t>Caja Navidad Maria Josefina Jofre M</t>
  </si>
  <si>
    <t>Caja Navidad Macarena</t>
  </si>
  <si>
    <t>Caja Navidad Florencia Gutierrez</t>
  </si>
  <si>
    <t>Caja Navidad Luz Galilea</t>
  </si>
  <si>
    <t>Caja Navidad Cristian Alvara</t>
  </si>
  <si>
    <t>Caja Navidad M. Rosario Valenzuela</t>
  </si>
  <si>
    <t>Caja Navidad Alejandro Gutierrez</t>
  </si>
  <si>
    <t>Ricardo Fernández Oyarzún / 249</t>
  </si>
  <si>
    <t>Caja Navidad POS</t>
  </si>
  <si>
    <t>Caja Navidad Ignacio Cisternas</t>
  </si>
  <si>
    <t>Sonia Andrea Varas Mujica/249 (Jun)</t>
  </si>
  <si>
    <t>Caja Navidad Juan Puga</t>
  </si>
  <si>
    <t>Caja Navidad Juan Carlos Cornejo</t>
  </si>
  <si>
    <t>Caja Navidad Carmen Gloria</t>
  </si>
  <si>
    <t>Bautizo Daniela Constanza Thomsen Cornejo</t>
  </si>
  <si>
    <t>Caja Navidad Francisca Santiago Livesey</t>
  </si>
  <si>
    <t>Caja Navidad Cecilia Lilian Capujto Plaza</t>
  </si>
  <si>
    <t>Caja Navidad Lorena Isabel Hirmas Adams</t>
  </si>
  <si>
    <t>Caja Navidad Catalina Patricia Rodriguez Merino</t>
  </si>
  <si>
    <t>Caja Navidad Ana Maria Toro Irarrazaval</t>
  </si>
  <si>
    <t>Caja Chica POS</t>
  </si>
  <si>
    <t>Caja Navidad Maria Francisca Stranger</t>
  </si>
  <si>
    <t>Bautiizo Veronica Burnier</t>
  </si>
  <si>
    <t>Bautizo Rodrigo Arrieta</t>
  </si>
  <si>
    <t>Caja Navidad J.P.O´Ryan</t>
  </si>
  <si>
    <t>Caja Navidad Maria Angelica Brautigam Perez-villamil</t>
  </si>
  <si>
    <t>Misa Carmen Gloria Gomez Perez</t>
  </si>
  <si>
    <t>Caja Navidad Jaime Carafi Melero</t>
  </si>
  <si>
    <t>Colecta Jaime Carafi Melero</t>
  </si>
  <si>
    <t>María Sofía Wulf Le May ($50.000)</t>
  </si>
  <si>
    <t>Maria Carolina Reyes Detmer ($17000)</t>
  </si>
  <si>
    <t>Caja Navidad Catalina Rodriguez Merino</t>
  </si>
  <si>
    <t>Bautizo Francisco Sanhueza Prats</t>
  </si>
  <si>
    <t>Caja Navidad Maria Madrid</t>
  </si>
  <si>
    <t>Carolina Jacir Manterola ($30000)</t>
  </si>
  <si>
    <t>Caja Navidad Lorena Barria</t>
  </si>
  <si>
    <t>Bautizo Gustavo Pozo</t>
  </si>
  <si>
    <t>Caja Navidad Claudia Aguirre</t>
  </si>
  <si>
    <t>Caja Navidad Jaime Fco. Gonzalez F</t>
  </si>
  <si>
    <t>Caja Navidad Ana</t>
  </si>
  <si>
    <t>Caja Navidad Maria Vicuña</t>
  </si>
  <si>
    <t>Caja Navidad Rodrigo Urzua</t>
  </si>
  <si>
    <t>Caja Navidad Ricardo Fernandez Oyarzun</t>
  </si>
  <si>
    <t>Caja Navidad Maria del Pilar Fernandez Larrain</t>
  </si>
  <si>
    <t>Caja Navidad Cristian Mir B</t>
  </si>
  <si>
    <t>Caja Navidad Rosario Joannon Grez</t>
  </si>
  <si>
    <t>Bautizo Fiametta Bonati</t>
  </si>
  <si>
    <t>Curso Pedro Iriberry MC.</t>
  </si>
  <si>
    <t>Caja Navidad Horacio Canessa Zapico</t>
  </si>
  <si>
    <t>PAC ENEL OFICiNA</t>
  </si>
  <si>
    <t>Rita Vasquez Godoy ($10000)</t>
  </si>
  <si>
    <t>Maria Paz Rauch Varas ($15000)</t>
  </si>
  <si>
    <t>Matrimonio José Pedro Laso (Post. Argollas)</t>
  </si>
  <si>
    <t>Matrimonio Alejandro Perez</t>
  </si>
  <si>
    <t>BE-33 Maria Ines Jara Lama</t>
  </si>
  <si>
    <t>BTE-121 Dorlly Cardenas Lindarte</t>
  </si>
  <si>
    <t>BE-13 Raimunod Rodriguez Pozo</t>
  </si>
  <si>
    <t>Monasterio Del Carmen de San José</t>
  </si>
  <si>
    <t>Veronica Arriagada Soto</t>
  </si>
  <si>
    <t>Caja Navidad Maria Carolina Irarrazabal</t>
  </si>
  <si>
    <t>Caja Navidad Maria Veronica Tamayo</t>
  </si>
  <si>
    <t>Caja Navidad DCT</t>
  </si>
  <si>
    <t>María Olga Rodríguez Olivos ($10000)</t>
  </si>
  <si>
    <t>No identificada</t>
  </si>
  <si>
    <t>Caja Navidad Jorge Ayala Marfil</t>
  </si>
  <si>
    <t>Caja Navidad Patricia Maria Bordeu Plate</t>
  </si>
  <si>
    <t>Caja Navidad Carla Ghigliotto</t>
  </si>
  <si>
    <t>Caja Navidad Karina Fortin</t>
  </si>
  <si>
    <t>Misa Horacio Canessa Zapico</t>
  </si>
  <si>
    <t>Caja Navidad Consuelo Saez</t>
  </si>
  <si>
    <t>Caja Navidad Andrea Rossana de Pol Martin</t>
  </si>
  <si>
    <t>Caja Navidad Raimundo Andres Barros Montaner</t>
  </si>
  <si>
    <t>Caja Navidad Rafael Andres Marin</t>
  </si>
  <si>
    <t>Colecta Maria Luisa Vial</t>
  </si>
  <si>
    <t>Caja Navidad Macarena Tagle</t>
  </si>
  <si>
    <t>Caja Navidad Pedro Alvarez</t>
  </si>
  <si>
    <t>Caja Navidad Adiana del Carmen Charles Heufemann</t>
  </si>
  <si>
    <t>Caja Navidad Gonzalo Nazar Miranda</t>
  </si>
  <si>
    <t>Caja Navidad Erica Salvaj</t>
  </si>
  <si>
    <t>Caja Navidad Maria Fca. Celis</t>
  </si>
  <si>
    <t>Caja Navidad Maria Fca. Guillen</t>
  </si>
  <si>
    <t>Caja Navidad Maria Teresa Gil Gomez</t>
  </si>
  <si>
    <t>Maria Rebeca Perez Ferrada($30000)</t>
  </si>
  <si>
    <t>Caja Navidad Iñigo Diaz Cuevas</t>
  </si>
  <si>
    <t>Caja Navidad Olga Emperatriz Salinas Burgos</t>
  </si>
  <si>
    <t>Caja Navidad Hector Cristian Canevaro Jaramillo</t>
  </si>
  <si>
    <t>Caja Navidad Daniela Ryan</t>
  </si>
  <si>
    <t>Matrimonio Carmen Gloria Gutierrez</t>
  </si>
  <si>
    <t>Bautizo Varios</t>
  </si>
  <si>
    <t>Caja Navidad Yolanda Haase Baeza</t>
  </si>
  <si>
    <t>Caja Navidad PAC Porvenir</t>
  </si>
  <si>
    <t>Bautizo Felipe Andres Serey</t>
  </si>
  <si>
    <t>Caja Navidad Carolina Javiera Cepeda Cubillos</t>
  </si>
  <si>
    <t>Bautizo Carlos Eduardo Binder Echevarria</t>
  </si>
  <si>
    <t>Caja Navidad Magdalena</t>
  </si>
  <si>
    <t>Caja Navidad Carolina del Valle</t>
  </si>
  <si>
    <t>Caja Navidad Francesca</t>
  </si>
  <si>
    <t>Caja Navidad Pedro Macaya Barrera</t>
  </si>
  <si>
    <t>Caja Navidad Carolina Alejandr Cesped</t>
  </si>
  <si>
    <t>Bautizo Carolina Baraona Arteaga</t>
  </si>
  <si>
    <t>Caja Navidad Jose Miguel Carafi</t>
  </si>
  <si>
    <t>Caja Navidad Dep. Oficina</t>
  </si>
  <si>
    <t>Caja Navidad Cristian Espinosa</t>
  </si>
  <si>
    <t>F.848 Serv. Nov.21</t>
  </si>
  <si>
    <t>Compra Volantes CNH</t>
  </si>
  <si>
    <t>Capellanía Noviembre</t>
  </si>
  <si>
    <t>Capellania 2 Misas Nov/21</t>
  </si>
  <si>
    <t>F.155 del 27/10/21</t>
  </si>
  <si>
    <t>BTE-122 DORLLY CLARET CARDENAS LINDARTE</t>
  </si>
  <si>
    <t>BTE-123 EDUARDO ENRIQUE PLAZA RIVERA</t>
  </si>
  <si>
    <t>Caja Navidad Ingrid Zaghira</t>
  </si>
  <si>
    <t>Caja Navidad Maria Cristina Ide</t>
  </si>
  <si>
    <t>Bautizo Magdalena Brahn Smart</t>
  </si>
  <si>
    <t>Caja Navidad Sergio Daniel Barreiro Teigido</t>
  </si>
  <si>
    <t>Andrés Munita Izquierdo / Azul</t>
  </si>
  <si>
    <t>Guillermo Correa Tocornal / Azul</t>
  </si>
  <si>
    <t>CALI Recaudadora Octubre</t>
  </si>
  <si>
    <t>Pablo Eyzaguirre Chadwick/248 (O-N-D)</t>
  </si>
  <si>
    <t>Wilfred Arturo Spikin Valdivia / 249</t>
  </si>
  <si>
    <t>248 y 249 octubre 2021</t>
  </si>
  <si>
    <t>Be 320 Guillermo de la Vega Ivovich  Asesoria 1% Septiembre 2021</t>
  </si>
  <si>
    <t>Patricia Valdés Grandón / 249 (Mandato del 05/11)</t>
  </si>
  <si>
    <t>Maria Elisa Cruzat Silva / 248 (Ago-Sept)</t>
  </si>
  <si>
    <t>Carolina Reyes Dermer / 249 D.C.T.(M$16)10306033-8</t>
  </si>
  <si>
    <t>Caja Navidad Sergio Rodriguez Oro</t>
  </si>
  <si>
    <t>BE-503 Maria Angelica Sepulveda</t>
  </si>
  <si>
    <t>Ren.Gtos Notariales (Firma Escrit. Hipoteca Ptmo)</t>
  </si>
  <si>
    <t>248 y 249 noviembre 2021</t>
  </si>
  <si>
    <t>Santiago Ríos García / 249</t>
  </si>
  <si>
    <t>Caja Navidad Soledad Celis</t>
  </si>
  <si>
    <t>Arzobispado de Santiago Rend. CALI Oct./21</t>
  </si>
  <si>
    <t>Arzobispado de Santiago Rend. CALI Oct./21 Diferencia</t>
  </si>
  <si>
    <t>Arzobispado de Stgo Octubre / 248</t>
  </si>
  <si>
    <t>Arzobispado de Stgo Octubre / 249</t>
  </si>
  <si>
    <t xml:space="preserve">María Ignacia Lewin Urzúa ($20.000) </t>
  </si>
  <si>
    <t>Centralización Recaudación Noviembre</t>
  </si>
  <si>
    <t>Columna1</t>
  </si>
  <si>
    <t>Columna2</t>
  </si>
  <si>
    <t>COM.SERV.PAC SEPT. 2021 34 TRX.</t>
  </si>
  <si>
    <t>Toma DAP a 32 ds.</t>
  </si>
  <si>
    <t>DAP B.Santander</t>
  </si>
  <si>
    <t>F.  NV2889020 Enel (Empalme PSAH)</t>
  </si>
  <si>
    <t>Fact. 440  EE.PP.N°7</t>
  </si>
  <si>
    <t>Fact. 6495, EE.PP. N° 23, ITO Oct./21</t>
  </si>
  <si>
    <t>Fact. 3075, EE.PP. N° 16</t>
  </si>
  <si>
    <t>PLAN EXTRA SOCIEDAD (UF 0.1800)</t>
  </si>
  <si>
    <t>Be 321 Guillermo de la Vega Ivovich  Asesoria 1% Octubre 2021</t>
  </si>
  <si>
    <t>MANDATOS PAC SANTANDER NOVIEMBRE</t>
  </si>
  <si>
    <t>CHEQUE A FECHA RECAUDADORA NOVIEMBRE</t>
  </si>
  <si>
    <t xml:space="preserve">RECLASIFICA DIFERENCIA 248 </t>
  </si>
  <si>
    <t>Tarjetas Azules</t>
  </si>
  <si>
    <t>noviembre</t>
  </si>
  <si>
    <t>UF 491,44 EP 16 TASCO</t>
  </si>
  <si>
    <t>UF 180,94 EP 16 TASCO</t>
  </si>
  <si>
    <t>UF 2946,47 EP 16 TASCO</t>
  </si>
  <si>
    <t xml:space="preserve">Reclasifica y reduce provision </t>
  </si>
  <si>
    <t xml:space="preserve">Alessandro Bizzarri Carvallo /249 </t>
  </si>
  <si>
    <t>José Francisco Vargas Serrano/249 D.C.T.(M$70)15376972-9</t>
  </si>
  <si>
    <t>San Jóse</t>
  </si>
  <si>
    <t>San Jóse Tomas Alcalde</t>
  </si>
  <si>
    <t>Caja Navidad Carlos Alberto Fonck Limann</t>
  </si>
  <si>
    <t>Rosario Riveaux Aris / DCT Azul (M$15)</t>
  </si>
  <si>
    <t>Sofía de León ($25.000) RUT:14.698.174-7</t>
  </si>
  <si>
    <t xml:space="preserve">Raúl Strappa Varas / 249 (Nov- dic) </t>
  </si>
  <si>
    <t>Gastos CBRS Hipoteca -Bco.Santander</t>
  </si>
  <si>
    <t>IV Medios 2020 Col.Cumbres (Carolinas Reyes)</t>
  </si>
  <si>
    <t xml:space="preserve">Maria Elisa Cruzat Silva / 248 </t>
  </si>
  <si>
    <t>Arriendo POS</t>
  </si>
  <si>
    <t>San Jóse Guillermo Rosende Alvarez</t>
  </si>
  <si>
    <t>Germán Undurraga Ossa / Azul (M$100)</t>
  </si>
  <si>
    <t>Gustavo Pavez / Azul 250</t>
  </si>
  <si>
    <t>María Loreto Marín Estevez / Azul</t>
  </si>
  <si>
    <t>María Bernardita León Martínez / 249</t>
  </si>
  <si>
    <t>Fernando Barroilhet Diez(M$50)RUT:14123234-7</t>
  </si>
  <si>
    <t>Patricio Escudero H.(M$45)</t>
  </si>
  <si>
    <t>Eugenia Muñoz Quezada (M$45)</t>
  </si>
  <si>
    <t>16032028-1</t>
  </si>
  <si>
    <t>MARCO ANTONIO OJEDA ANDRADE  </t>
  </si>
  <si>
    <t>9497810-6</t>
  </si>
  <si>
    <t>LEONARDO DAVID VERA MORALES  </t>
  </si>
  <si>
    <t>15722237-6</t>
  </si>
  <si>
    <t>ALEXIS JOAQUIN GAETE MARCOLETA </t>
  </si>
  <si>
    <t>BE-508 Maria Angelica Sepulveda Toro</t>
  </si>
  <si>
    <t>Arzobispado de Santiago Rend. CALI NOV./21</t>
  </si>
  <si>
    <t>Be 322 Guillermo de la Vega Ivovich  Asesoria 1% Octubre 2021</t>
  </si>
  <si>
    <t>Deposito no Reconocido</t>
  </si>
  <si>
    <t xml:space="preserve">Ajuste TBK </t>
  </si>
  <si>
    <t>T/C Azules Diciembre 2021</t>
  </si>
  <si>
    <t>Rend. CALI Oct./21</t>
  </si>
  <si>
    <t>Eugenio Camus Camus / Azul (M$800)</t>
  </si>
  <si>
    <t>Carmen Camus Mesa / 248</t>
  </si>
  <si>
    <t>Arzobispado de Stgo Noviembre / 248</t>
  </si>
  <si>
    <t>Toma DAP a 30 ds.</t>
  </si>
  <si>
    <t>Traspaso Fondos B.Security</t>
  </si>
  <si>
    <t>Fact. 3112 del 30/11/2021, EE.PP. N°17</t>
  </si>
  <si>
    <t>Fact. 453 del 02/12/2021, EE.PP. N° 8 Adicionales Arquitectura</t>
  </si>
  <si>
    <t>Fact. 6579 del 30/11/2021, EE.PP. N° 24, ITO Noviembre 2021.</t>
  </si>
  <si>
    <t>Fact. 3113 del 30/11/2021, EE.PP. N°3 Obras Extra</t>
  </si>
  <si>
    <t>Caja Navidad Maria Victoria Matassi</t>
  </si>
  <si>
    <t>Bautizo Maria Jesus Lamarca</t>
  </si>
  <si>
    <t>Bautizo Magdalena Szederkenyl</t>
  </si>
  <si>
    <t>Caja Navidad Cyril Hodgson Larrain</t>
  </si>
  <si>
    <t>Caja Navidad Paola Honorato</t>
  </si>
  <si>
    <t>Caja Navidad Javiera Carreño</t>
  </si>
  <si>
    <t>Caja Navidad Constanza Venegas</t>
  </si>
  <si>
    <t>Caja Navidad Juan Muzio Muzio</t>
  </si>
  <si>
    <t>Caja Navidad Javiera Teresa Carreno Rojas</t>
  </si>
  <si>
    <t>Colecta Capilla U.de Los Andes (Nov.21)</t>
  </si>
  <si>
    <t>Caja Navidad Valentina Paz Gaete Momberg</t>
  </si>
  <si>
    <t>Caja Navidad Juan Pablo Albornoz</t>
  </si>
  <si>
    <t>Caja Navidad Tomas Alcalde Herrera</t>
  </si>
  <si>
    <t>Caja Navidad Eduardo Andres Herrera Ahlers</t>
  </si>
  <si>
    <t>Caja Navidad Blanca Caprioli</t>
  </si>
  <si>
    <t>Caja Navidad Eduardo Calvimontes</t>
  </si>
  <si>
    <t>Colecta Patricia Lorca</t>
  </si>
  <si>
    <t xml:space="preserve">Bautizo María del Pilar Otaegui </t>
  </si>
  <si>
    <t>Caja Navidad Rita Vasquez Godoy</t>
  </si>
  <si>
    <t>Caja Navidad Rita Barría Vasquez</t>
  </si>
  <si>
    <t>Caja Navidad Sofia de Leon</t>
  </si>
  <si>
    <t>Caja Navidad Patricia Lorca</t>
  </si>
  <si>
    <t>Caja Navidad Ernesto Hevia</t>
  </si>
  <si>
    <t>Juan Pablo Guzmán Bauzá ($30000)</t>
  </si>
  <si>
    <t>Caja Navidad Jurgen Grollmus</t>
  </si>
  <si>
    <t>Curso Biblia Vivian Edith Araya Jofré</t>
  </si>
  <si>
    <t>Caja Navidad Sofia Vives Ekdahl</t>
  </si>
  <si>
    <t>Caja Navidad Andrea De Pol</t>
  </si>
  <si>
    <t>Caja Navidad Maria</t>
  </si>
  <si>
    <t>Caja Navidad Jorge Garnham M</t>
  </si>
  <si>
    <t>Ana María Toro Irarrázaval / Azul</t>
  </si>
  <si>
    <t>Daniel Campos S. ($8.000)</t>
  </si>
  <si>
    <t>Claudio Cortes Arriagada Arriendo Noviembre 2021</t>
  </si>
  <si>
    <t>Impto.Ret Adm. Noviembre/2021</t>
  </si>
  <si>
    <t>Caja Navidad Elenna Ines Jordan</t>
  </si>
  <si>
    <t>Jaime Andrés Court Viviani /249</t>
  </si>
  <si>
    <t>Curso María Soledad Toso Loyola</t>
  </si>
  <si>
    <t>Maria Jose Urrutia Cruz</t>
  </si>
  <si>
    <t>Caja Navidad Maria Fca. Llona</t>
  </si>
  <si>
    <t>Caja Navidad Macarena Del Real Squella</t>
  </si>
  <si>
    <t>Caja Navidad Carmen Gloria Rios Rivas</t>
  </si>
  <si>
    <t>Caja Navidad Karla Andrea Benavides Barreau</t>
  </si>
  <si>
    <t>Caja Navidad Maria Macarena Sotomayor Valenzuela</t>
  </si>
  <si>
    <t>Bautizo Catalina Venegas</t>
  </si>
  <si>
    <t>Caja Navidad Roberto Lecaros Price</t>
  </si>
  <si>
    <t>Dep. Oficiina</t>
  </si>
  <si>
    <t>Misa Catalina Gana</t>
  </si>
  <si>
    <t>Misa Macarena Del Real Squella</t>
  </si>
  <si>
    <t>Colecta Maria Beatriz Eliana Tobar Cuadra</t>
  </si>
  <si>
    <t>Caja Navidad Maria Beatriz Eliana Tobar Cuadra</t>
  </si>
  <si>
    <t>Colecta Keryma Andrea Felmer Echeverria</t>
  </si>
  <si>
    <t>Rita Vasquez Godoy ($10000) /249</t>
  </si>
  <si>
    <t>Maria Carolina Reyes Detmer ($17000) /249</t>
  </si>
  <si>
    <t>María Olga Rodríguez Olivos ($10000) /249</t>
  </si>
  <si>
    <t>María Sofía Wulf Le May ($50.000) /249</t>
  </si>
  <si>
    <t xml:space="preserve">Caja Navidad Bernardita Veronica Rodriguez </t>
  </si>
  <si>
    <t>Bautizo Maria Ignacia Faz</t>
  </si>
  <si>
    <t>BE-34 Maria Ines Jara Lama</t>
  </si>
  <si>
    <t>27240867-K</t>
  </si>
  <si>
    <t>MIGUEL ANGEL YANEZ MILLAN</t>
  </si>
  <si>
    <t>BTE-124 DORLLY CLARET CARDENAS LINDARTE</t>
  </si>
  <si>
    <t>BE-15 RAIMUNDO RODRIGUEZ POZO</t>
  </si>
  <si>
    <t>F.157 del 15/12/21</t>
  </si>
  <si>
    <t>Compra NB Lenovo S145C13/4G</t>
  </si>
  <si>
    <t>Anticipo Miguel Angel Yañes Reparacion Ptas.Casa Pastoral</t>
  </si>
  <si>
    <t>Caja Navidad Daniela Elena Schmidt-hebbel Busch</t>
  </si>
  <si>
    <t>Colecta Jose Manuel Poblete Vicuna</t>
  </si>
  <si>
    <t>Caja Navidad Blanca Josefina Browne Puga</t>
  </si>
  <si>
    <t>Caja Navidad Maria Teresa Lily Santelices Puelma</t>
  </si>
  <si>
    <t>Caja Navidad Carmen Gloria Gomez Perez</t>
  </si>
  <si>
    <t>Matrimonio Francisco Javier Albornoz Cruz</t>
  </si>
  <si>
    <t>Curso Carmen Gloria Rios Rivas</t>
  </si>
  <si>
    <t xml:space="preserve">Caja Navidad Juan Carlos Cornejo (Dep .error CNH) </t>
  </si>
  <si>
    <t>Caja Navidad Andrea Paulina Leon Gonzalez</t>
  </si>
  <si>
    <t>Colecta Carolina Guridi Gubbins</t>
  </si>
  <si>
    <t>Colecta Carmen Gloria Ríos Rivas</t>
  </si>
  <si>
    <t>Compra Afiches e Impresos</t>
  </si>
  <si>
    <t>449 CNH C.Navia,Pte.Alto Las Cabras</t>
  </si>
  <si>
    <t>Donación para Cenas de Navidad</t>
  </si>
  <si>
    <t>Donación excedentes CNH 2021</t>
  </si>
  <si>
    <t>Bte.125 Miguel Angel Yañez Millán</t>
  </si>
  <si>
    <t>9916133-7</t>
  </si>
  <si>
    <t>PATRICIO WENCESLAO TARI VASQUEZ</t>
  </si>
  <si>
    <t>77155888-7</t>
  </si>
  <si>
    <t>COMERCIAL RIO DE ORO SPA</t>
  </si>
  <si>
    <t>ENEL DISTRIBUCION CHILE S.A</t>
  </si>
  <si>
    <t>77126383-6</t>
  </si>
  <si>
    <t>TOKU SPA</t>
  </si>
  <si>
    <t>76318500-1</t>
  </si>
  <si>
    <t>COMERCIAL PINCELADA LIMITADA</t>
  </si>
  <si>
    <t>76486365-8</t>
  </si>
  <si>
    <t>SOCIEDAD  ALVAREZ  Y  VERA  LIMITADA</t>
  </si>
  <si>
    <t>BH163 Instalacion Citofono y Enchufes</t>
  </si>
  <si>
    <t>Patricio Walker Cruchaga / Azul</t>
  </si>
  <si>
    <t>F.9364; Entradas Misa Navidad</t>
  </si>
  <si>
    <t>Colecta Fernando Leon</t>
  </si>
  <si>
    <t>Colecta Jose Binimelis De Dios</t>
  </si>
  <si>
    <t>Coelcta Jorge Claude Bourdel</t>
  </si>
  <si>
    <t>Magdalena Fernández. ($20.000)</t>
  </si>
  <si>
    <t>Colecta Pablo Ignacio Garcia Prieto</t>
  </si>
  <si>
    <t>Colecta Misa de Navidad 24/12/2021</t>
  </si>
  <si>
    <t>Colecta Alejandra Bañados</t>
  </si>
  <si>
    <t>F.861 Serv. Dic.21</t>
  </si>
  <si>
    <t>Capellanía Diciembre</t>
  </si>
  <si>
    <t>BTE-126 DORLLY CLARET CARDENAS LINDARTE</t>
  </si>
  <si>
    <t>Be 160 Rodrigo Vidal Paiva Curso Biblia</t>
  </si>
  <si>
    <t>BTE 127 Eduardo Plaza</t>
  </si>
  <si>
    <t>Saldo F.480 Aseo (-Anticipo 23/12)</t>
  </si>
  <si>
    <t>Error Nómina en Dorlly Cárdenas</t>
  </si>
  <si>
    <t>F.1277 (Flete Tarima Misa Navidad)</t>
  </si>
  <si>
    <t>BE-137 ALEXIS JOAQUIN GAETE MARCOLETA </t>
  </si>
  <si>
    <t>Mudanza OficinaC.Litoria a La Posada</t>
  </si>
  <si>
    <t>Rendición Gastos Misa Navidad</t>
  </si>
  <si>
    <t>UF 742,91 EP 17 TASCO</t>
  </si>
  <si>
    <t>UF 273,53 EP 17 TASCO</t>
  </si>
  <si>
    <t>UF 5.300,49 EP 17 TASCO</t>
  </si>
  <si>
    <t>BALANCE GENERAL AL 31 DE DICIEMBRE DE 2021</t>
  </si>
  <si>
    <t>Misa Roberto Vergara Ossa</t>
  </si>
  <si>
    <t>Bautizo M.Eugenia Juarez</t>
  </si>
  <si>
    <t>Bautizo M.Jose Campama D</t>
  </si>
  <si>
    <t>Bautizo Maria Ignacia Mozo Fuenzalida</t>
  </si>
  <si>
    <t>Bautizo Matias Galvez</t>
  </si>
  <si>
    <t>(Todas)</t>
  </si>
  <si>
    <t>Centralización Recaudación Diciembre</t>
  </si>
  <si>
    <t>Arzobispado de Stgo Noviembre / 249</t>
  </si>
  <si>
    <t>Otras Provisiones (Proyecto Especificos)</t>
  </si>
  <si>
    <t>RESULTADOS AÑO 2021</t>
  </si>
  <si>
    <t>Sociedad Alvarez Fact. 480, Aseo Misa Navidad</t>
  </si>
  <si>
    <t>Anticipo Serv.Aseo Misa Navidad, Spcoedad Alvarez Fact. 480</t>
  </si>
  <si>
    <t>Regularizaciones menores</t>
  </si>
  <si>
    <t>San Jóse, Tomas Alcalde</t>
  </si>
  <si>
    <t>Pago 3 Cancheros Estadio(BH Leonardo Vera b350)</t>
  </si>
  <si>
    <t>hay algo no pagado todos los meses desde este año</t>
  </si>
  <si>
    <t>Anticipo Otorgado</t>
  </si>
  <si>
    <t>Retención</t>
  </si>
  <si>
    <t>Anticipo Desc.</t>
  </si>
  <si>
    <t>EP</t>
  </si>
  <si>
    <t>Factura</t>
  </si>
  <si>
    <t>Saldos Diciembre 2021</t>
  </si>
  <si>
    <t>Valor UF cierre</t>
  </si>
  <si>
    <t>Saldo Anticipo</t>
  </si>
  <si>
    <t>Actualiza Saldo Anticipo Tasc</t>
  </si>
  <si>
    <t>Actualiza Saldo Retención Tasc</t>
  </si>
  <si>
    <t>Ajustes Menores</t>
  </si>
  <si>
    <t>al 31 de Diciembre de 2021</t>
  </si>
  <si>
    <t>Provisión Honorarios Contabilidad Octubre - Diciembre</t>
  </si>
  <si>
    <t>Reg. Dif. Fundación</t>
  </si>
  <si>
    <t>Cuaresma Pablo Garcia</t>
  </si>
  <si>
    <t>Total Cuentas por Cobrar a CALI (Colectas)</t>
  </si>
  <si>
    <t>Total Cuentas por Cobrar a CALI (Canastas)</t>
  </si>
  <si>
    <t>BALANCE GENERAL CALI AÑO 2021</t>
  </si>
  <si>
    <t>ESTADO DE RESULTADOS CALI 2021</t>
  </si>
  <si>
    <t>Provisión Misa Navidad</t>
  </si>
  <si>
    <t>Provisión Pastoral Social</t>
  </si>
  <si>
    <t>Provisión Curso Biblia</t>
  </si>
  <si>
    <t>Aperturar cuenta</t>
  </si>
  <si>
    <t>Juntar Cuentas de gastos</t>
  </si>
  <si>
    <t>CTAS POR COBRAR A ADM</t>
  </si>
  <si>
    <t>Disponible Cali B.Chile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</si>
</sst>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 &quot;$&quot;* #,##0_ ;_ &quot;$&quot;* \-#,##0_ ;_ &quot;$&quot;* &quot;-&quot;_ ;_ @_ "/>
    <numFmt numFmtId="41" formatCode="_ * #,##0_ ;_ * \-#,##0_ ;_ * &quot;-&quot;_ ;_ @_ "/>
    <numFmt numFmtId="164" formatCode="_-* #,##0.00_-;\-* #,##0.00_-;_-* &quot;-&quot;??_-;_-@_-"/>
    <numFmt numFmtId="165" formatCode="#,##0_ ;[Red]\-#,##0\ "/>
    <numFmt numFmtId="166" formatCode="[$-C0A]mmm/yy;@"/>
    <numFmt numFmtId="167" formatCode="_(* #,##0_);_(* \(#,##0\);_(* &quot;-&quot;_);_(@_)"/>
    <numFmt numFmtId="168" formatCode="#,##0;[Red]\(#,##0\)"/>
    <numFmt numFmtId="169" formatCode="#,##0;[Red]\(\-#,##0\)"/>
    <numFmt numFmtId="170" formatCode="#,##0_ ;[Red]\(#,##0\)\ "/>
    <numFmt numFmtId="171" formatCode="0.00000"/>
    <numFmt numFmtId="172" formatCode="dd/mm/yyyy;@"/>
  </numFmts>
  <fonts count="106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Century Schoolbook"/>
      <family val="1"/>
    </font>
    <font>
      <b/>
      <sz val="10"/>
      <name val="Century Schoolbook"/>
      <family val="1"/>
    </font>
    <font>
      <b/>
      <sz val="10"/>
      <name val="Century Schoolbook"/>
      <family val="1"/>
    </font>
    <font>
      <sz val="9"/>
      <name val="Arial"/>
      <family val="2"/>
    </font>
    <font>
      <b/>
      <u/>
      <sz val="9"/>
      <name val="Times New Roman"/>
      <family val="1"/>
    </font>
    <font>
      <b/>
      <sz val="9"/>
      <name val="Arial"/>
      <family val="2"/>
    </font>
    <font>
      <u/>
      <sz val="10.199999999999999"/>
      <color indexed="12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sz val="12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b/>
      <sz val="10"/>
      <color indexed="10"/>
      <name val="Calibri"/>
      <family val="2"/>
    </font>
    <font>
      <sz val="10"/>
      <color indexed="10"/>
      <name val="Calibri"/>
      <family val="2"/>
    </font>
    <font>
      <b/>
      <sz val="18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indexed="10"/>
      <name val="Calibri"/>
      <family val="2"/>
    </font>
    <font>
      <sz val="8"/>
      <color indexed="10"/>
      <name val="Calibri"/>
      <family val="2"/>
    </font>
    <font>
      <sz val="7"/>
      <name val="Arial"/>
      <family val="2"/>
    </font>
    <font>
      <b/>
      <sz val="7"/>
      <name val="Times New Roman"/>
      <family val="1"/>
    </font>
    <font>
      <b/>
      <sz val="7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sz val="11"/>
      <name val="Calibri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</font>
    <font>
      <sz val="10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2"/>
      <color rgb="FF1F497D"/>
      <name val="Calibri"/>
      <family val="2"/>
    </font>
    <font>
      <b/>
      <sz val="10"/>
      <color rgb="FF1F497D"/>
      <name val="Calibri"/>
      <family val="2"/>
    </font>
    <font>
      <sz val="10"/>
      <color rgb="FF1F497D"/>
      <name val="Calibri"/>
      <family val="2"/>
    </font>
    <font>
      <sz val="11"/>
      <color rgb="FF205867"/>
      <name val="Calibri"/>
      <family val="2"/>
    </font>
    <font>
      <b/>
      <sz val="11"/>
      <color theme="8" tint="-0.499984740745262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2"/>
      <color rgb="FFFF0000"/>
      <name val="Arial"/>
      <family val="2"/>
    </font>
    <font>
      <b/>
      <sz val="10"/>
      <color rgb="FFFF0000"/>
      <name val="Calibri"/>
      <family val="2"/>
    </font>
    <font>
      <sz val="8"/>
      <color rgb="FFFF0000"/>
      <name val="Calibri"/>
      <family val="2"/>
    </font>
    <font>
      <b/>
      <sz val="8"/>
      <color rgb="FFFF0000"/>
      <name val="Calibri"/>
      <family val="2"/>
    </font>
    <font>
      <b/>
      <sz val="14"/>
      <color rgb="FF1F497D"/>
      <name val="Calibri"/>
      <family val="2"/>
    </font>
    <font>
      <b/>
      <u/>
      <sz val="16"/>
      <color theme="1"/>
      <name val="Calibri"/>
      <family val="2"/>
      <scheme val="minor"/>
    </font>
    <font>
      <b/>
      <sz val="13"/>
      <color rgb="FF003366"/>
      <name val="Trebuchet MS"/>
      <family val="2"/>
    </font>
    <font>
      <sz val="6"/>
      <color rgb="FF000000"/>
      <name val="Arial"/>
      <family val="2"/>
    </font>
    <font>
      <sz val="12"/>
      <name val="Times New Roman"/>
      <family val="1"/>
    </font>
    <font>
      <sz val="7.5"/>
      <color rgb="FF000000"/>
      <name val="Arial"/>
      <family val="2"/>
    </font>
    <font>
      <b/>
      <sz val="7.5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indexed="12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b/>
      <sz val="6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  <font>
      <b/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2"/>
      <color theme="1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AD6D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 style="thin">
        <color indexed="64"/>
      </right>
      <top style="thin">
        <color indexed="23"/>
      </top>
      <bottom/>
      <diagonal/>
    </border>
    <border>
      <left/>
      <right style="thin">
        <color indexed="64"/>
      </right>
      <top style="thin">
        <color indexed="23"/>
      </top>
      <bottom style="medium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/>
      <top style="thin">
        <color rgb="FF999999"/>
      </top>
      <bottom/>
      <diagonal/>
    </border>
    <border>
      <left/>
      <right style="thin">
        <color indexed="64"/>
      </right>
      <top style="thin">
        <color rgb="FF999999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rgb="FF999999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68">
    <xf numFmtId="0" fontId="0" fillId="0" borderId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46" fillId="22" borderId="0" applyNumberFormat="0" applyBorder="0" applyAlignment="0" applyProtection="0"/>
    <xf numFmtId="0" fontId="48" fillId="23" borderId="23" applyNumberFormat="0" applyAlignment="0" applyProtection="0"/>
    <xf numFmtId="0" fontId="49" fillId="24" borderId="24" applyNumberFormat="0" applyAlignment="0" applyProtection="0"/>
    <xf numFmtId="0" fontId="50" fillId="0" borderId="25" applyNumberFormat="0" applyFill="0" applyAlignment="0" applyProtection="0"/>
    <xf numFmtId="0" fontId="51" fillId="0" borderId="26" applyNumberFormat="0" applyFill="0" applyAlignment="0" applyProtection="0"/>
    <xf numFmtId="0" fontId="52" fillId="0" borderId="0" applyNumberFormat="0" applyFill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53" fillId="31" borderId="23" applyNumberFormat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4" fillId="32" borderId="0" applyNumberFormat="0" applyBorder="0" applyAlignment="0" applyProtection="0"/>
    <xf numFmtId="164" fontId="21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55" fillId="33" borderId="0" applyNumberFormat="0" applyBorder="0" applyAlignment="0" applyProtection="0"/>
    <xf numFmtId="0" fontId="21" fillId="0" borderId="0"/>
    <xf numFmtId="0" fontId="40" fillId="0" borderId="0"/>
    <xf numFmtId="0" fontId="21" fillId="0" borderId="0"/>
    <xf numFmtId="0" fontId="40" fillId="0" borderId="0"/>
    <xf numFmtId="0" fontId="21" fillId="0" borderId="0"/>
    <xf numFmtId="0" fontId="42" fillId="0" borderId="0"/>
    <xf numFmtId="0" fontId="44" fillId="0" borderId="0"/>
    <xf numFmtId="0" fontId="45" fillId="0" borderId="0"/>
    <xf numFmtId="0" fontId="46" fillId="0" borderId="0"/>
    <xf numFmtId="0" fontId="46" fillId="0" borderId="0"/>
    <xf numFmtId="0" fontId="43" fillId="0" borderId="0"/>
    <xf numFmtId="0" fontId="42" fillId="0" borderId="0"/>
    <xf numFmtId="0" fontId="46" fillId="34" borderId="27" applyNumberFormat="0" applyFont="0" applyAlignment="0" applyProtection="0"/>
    <xf numFmtId="0" fontId="56" fillId="23" borderId="28" applyNumberFormat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29" applyNumberFormat="0" applyFill="0" applyAlignment="0" applyProtection="0"/>
    <xf numFmtId="0" fontId="52" fillId="0" borderId="30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31" applyNumberFormat="0" applyFill="0" applyAlignment="0" applyProtection="0"/>
    <xf numFmtId="0" fontId="5" fillId="0" borderId="0"/>
    <xf numFmtId="0" fontId="44" fillId="0" borderId="0"/>
    <xf numFmtId="41" fontId="96" fillId="0" borderId="0" applyFont="0" applyFill="0" applyBorder="0" applyAlignment="0" applyProtection="0"/>
    <xf numFmtId="0" fontId="4" fillId="0" borderId="0"/>
    <xf numFmtId="0" fontId="3" fillId="0" borderId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0" fontId="2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</cellStyleXfs>
  <cellXfs count="669">
    <xf numFmtId="0" fontId="0" fillId="0" borderId="0" xfId="0"/>
    <xf numFmtId="165" fontId="10" fillId="2" borderId="0" xfId="0" applyNumberFormat="1" applyFont="1" applyFill="1"/>
    <xf numFmtId="0" fontId="10" fillId="2" borderId="0" xfId="0" applyFont="1" applyFill="1"/>
    <xf numFmtId="3" fontId="10" fillId="2" borderId="0" xfId="0" applyNumberFormat="1" applyFont="1" applyFill="1"/>
    <xf numFmtId="165" fontId="11" fillId="2" borderId="0" xfId="0" applyNumberFormat="1" applyFont="1" applyFill="1"/>
    <xf numFmtId="0" fontId="12" fillId="2" borderId="0" xfId="0" applyFont="1" applyFill="1"/>
    <xf numFmtId="165" fontId="14" fillId="2" borderId="0" xfId="0" applyNumberFormat="1" applyFont="1" applyFill="1"/>
    <xf numFmtId="167" fontId="16" fillId="2" borderId="0" xfId="0" applyNumberFormat="1" applyFont="1" applyFill="1"/>
    <xf numFmtId="167" fontId="15" fillId="2" borderId="0" xfId="0" applyNumberFormat="1" applyFont="1" applyFill="1"/>
    <xf numFmtId="167" fontId="15" fillId="2" borderId="0" xfId="0" applyNumberFormat="1" applyFont="1" applyFill="1" applyAlignment="1">
      <alignment horizontal="center"/>
    </xf>
    <xf numFmtId="167" fontId="7" fillId="2" borderId="0" xfId="0" applyNumberFormat="1" applyFont="1" applyFill="1"/>
    <xf numFmtId="167" fontId="8" fillId="2" borderId="0" xfId="0" applyNumberFormat="1" applyFont="1" applyFill="1" applyAlignment="1">
      <alignment horizontal="center"/>
    </xf>
    <xf numFmtId="167" fontId="9" fillId="2" borderId="0" xfId="0" applyNumberFormat="1" applyFont="1" applyFill="1" applyAlignment="1">
      <alignment horizontal="center"/>
    </xf>
    <xf numFmtId="167" fontId="7" fillId="2" borderId="0" xfId="0" applyNumberFormat="1" applyFont="1" applyFill="1" applyAlignment="1">
      <alignment horizontal="center"/>
    </xf>
    <xf numFmtId="167" fontId="8" fillId="2" borderId="0" xfId="0" applyNumberFormat="1" applyFont="1" applyFill="1"/>
    <xf numFmtId="49" fontId="8" fillId="2" borderId="0" xfId="0" applyNumberFormat="1" applyFont="1" applyFill="1" applyAlignment="1">
      <alignment horizontal="center"/>
    </xf>
    <xf numFmtId="167" fontId="7" fillId="2" borderId="0" xfId="0" quotePrefix="1" applyNumberFormat="1" applyFont="1" applyFill="1"/>
    <xf numFmtId="3" fontId="7" fillId="2" borderId="0" xfId="0" applyNumberFormat="1" applyFont="1" applyFill="1"/>
    <xf numFmtId="3" fontId="8" fillId="2" borderId="0" xfId="0" applyNumberFormat="1" applyFont="1" applyFill="1"/>
    <xf numFmtId="167" fontId="7" fillId="2" borderId="1" xfId="0" applyNumberFormat="1" applyFont="1" applyFill="1" applyBorder="1"/>
    <xf numFmtId="3" fontId="7" fillId="2" borderId="1" xfId="0" applyNumberFormat="1" applyFont="1" applyFill="1" applyBorder="1"/>
    <xf numFmtId="167" fontId="8" fillId="2" borderId="1" xfId="0" applyNumberFormat="1" applyFont="1" applyFill="1" applyBorder="1"/>
    <xf numFmtId="3" fontId="8" fillId="2" borderId="1" xfId="0" applyNumberFormat="1" applyFont="1" applyFill="1" applyBorder="1"/>
    <xf numFmtId="165" fontId="6" fillId="2" borderId="0" xfId="0" applyNumberFormat="1" applyFont="1" applyFill="1"/>
    <xf numFmtId="165" fontId="18" fillId="2" borderId="2" xfId="0" applyNumberFormat="1" applyFont="1" applyFill="1" applyBorder="1"/>
    <xf numFmtId="3" fontId="18" fillId="2" borderId="2" xfId="0" applyNumberFormat="1" applyFont="1" applyFill="1" applyBorder="1"/>
    <xf numFmtId="165" fontId="19" fillId="2" borderId="3" xfId="0" applyNumberFormat="1" applyFont="1" applyFill="1" applyBorder="1"/>
    <xf numFmtId="165" fontId="18" fillId="2" borderId="0" xfId="0" applyNumberFormat="1" applyFont="1" applyFill="1"/>
    <xf numFmtId="3" fontId="18" fillId="2" borderId="0" xfId="0" applyNumberFormat="1" applyFont="1" applyFill="1"/>
    <xf numFmtId="165" fontId="18" fillId="2" borderId="3" xfId="0" applyNumberFormat="1" applyFont="1" applyFill="1" applyBorder="1"/>
    <xf numFmtId="3" fontId="19" fillId="2" borderId="0" xfId="0" applyNumberFormat="1" applyFont="1" applyFill="1"/>
    <xf numFmtId="3" fontId="6" fillId="2" borderId="0" xfId="0" applyNumberFormat="1" applyFont="1" applyFill="1"/>
    <xf numFmtId="0" fontId="6" fillId="2" borderId="0" xfId="0" applyFont="1" applyFill="1"/>
    <xf numFmtId="3" fontId="17" fillId="2" borderId="0" xfId="0" applyNumberFormat="1" applyFont="1" applyFill="1" applyAlignment="1">
      <alignment horizontal="center"/>
    </xf>
    <xf numFmtId="167" fontId="22" fillId="2" borderId="0" xfId="0" applyNumberFormat="1" applyFont="1" applyFill="1"/>
    <xf numFmtId="167" fontId="23" fillId="2" borderId="0" xfId="0" applyNumberFormat="1" applyFont="1" applyFill="1" applyAlignment="1">
      <alignment horizontal="center"/>
    </xf>
    <xf numFmtId="167" fontId="23" fillId="2" borderId="0" xfId="0" applyNumberFormat="1" applyFont="1" applyFill="1" applyAlignment="1">
      <alignment horizontal="centerContinuous"/>
    </xf>
    <xf numFmtId="167" fontId="22" fillId="2" borderId="0" xfId="0" applyNumberFormat="1" applyFont="1" applyFill="1" applyAlignment="1">
      <alignment horizontal="center"/>
    </xf>
    <xf numFmtId="167" fontId="23" fillId="2" borderId="0" xfId="0" applyNumberFormat="1" applyFont="1" applyFill="1"/>
    <xf numFmtId="3" fontId="22" fillId="2" borderId="0" xfId="0" applyNumberFormat="1" applyFont="1" applyFill="1"/>
    <xf numFmtId="3" fontId="22" fillId="2" borderId="3" xfId="0" applyNumberFormat="1" applyFont="1" applyFill="1" applyBorder="1"/>
    <xf numFmtId="167" fontId="23" fillId="2" borderId="4" xfId="0" applyNumberFormat="1" applyFont="1" applyFill="1" applyBorder="1"/>
    <xf numFmtId="167" fontId="23" fillId="2" borderId="2" xfId="0" applyNumberFormat="1" applyFont="1" applyFill="1" applyBorder="1"/>
    <xf numFmtId="167" fontId="23" fillId="2" borderId="5" xfId="0" applyNumberFormat="1" applyFont="1" applyFill="1" applyBorder="1"/>
    <xf numFmtId="165" fontId="22" fillId="2" borderId="0" xfId="0" applyNumberFormat="1" applyFont="1" applyFill="1"/>
    <xf numFmtId="0" fontId="22" fillId="2" borderId="0" xfId="0" applyFont="1" applyFill="1"/>
    <xf numFmtId="165" fontId="24" fillId="2" borderId="0" xfId="0" applyNumberFormat="1" applyFont="1" applyFill="1"/>
    <xf numFmtId="3" fontId="23" fillId="2" borderId="0" xfId="0" applyNumberFormat="1" applyFont="1" applyFill="1"/>
    <xf numFmtId="165" fontId="23" fillId="2" borderId="3" xfId="0" applyNumberFormat="1" applyFont="1" applyFill="1" applyBorder="1"/>
    <xf numFmtId="165" fontId="22" fillId="2" borderId="6" xfId="0" applyNumberFormat="1" applyFont="1" applyFill="1" applyBorder="1"/>
    <xf numFmtId="3" fontId="22" fillId="2" borderId="2" xfId="0" applyNumberFormat="1" applyFont="1" applyFill="1" applyBorder="1"/>
    <xf numFmtId="165" fontId="22" fillId="2" borderId="3" xfId="0" applyNumberFormat="1" applyFont="1" applyFill="1" applyBorder="1"/>
    <xf numFmtId="165" fontId="25" fillId="2" borderId="3" xfId="0" applyNumberFormat="1" applyFont="1" applyFill="1" applyBorder="1"/>
    <xf numFmtId="3" fontId="25" fillId="2" borderId="3" xfId="0" applyNumberFormat="1" applyFont="1" applyFill="1" applyBorder="1"/>
    <xf numFmtId="0" fontId="22" fillId="2" borderId="0" xfId="0" quotePrefix="1" applyFont="1" applyFill="1"/>
    <xf numFmtId="3" fontId="26" fillId="2" borderId="0" xfId="0" applyNumberFormat="1" applyFont="1" applyFill="1"/>
    <xf numFmtId="165" fontId="23" fillId="2" borderId="0" xfId="0" applyNumberFormat="1" applyFont="1" applyFill="1"/>
    <xf numFmtId="0" fontId="23" fillId="2" borderId="0" xfId="0" applyFont="1" applyFill="1"/>
    <xf numFmtId="3" fontId="22" fillId="2" borderId="7" xfId="0" applyNumberFormat="1" applyFont="1" applyFill="1" applyBorder="1"/>
    <xf numFmtId="165" fontId="23" fillId="3" borderId="3" xfId="0" applyNumberFormat="1" applyFont="1" applyFill="1" applyBorder="1" applyAlignment="1">
      <alignment horizontal="center" vertical="center"/>
    </xf>
    <xf numFmtId="166" fontId="23" fillId="3" borderId="3" xfId="0" applyNumberFormat="1" applyFont="1" applyFill="1" applyBorder="1" applyAlignment="1">
      <alignment horizontal="center" vertical="center"/>
    </xf>
    <xf numFmtId="3" fontId="23" fillId="3" borderId="3" xfId="0" applyNumberFormat="1" applyFont="1" applyFill="1" applyBorder="1" applyAlignment="1">
      <alignment horizontal="center" vertical="center"/>
    </xf>
    <xf numFmtId="165" fontId="23" fillId="3" borderId="3" xfId="0" applyNumberFormat="1" applyFont="1" applyFill="1" applyBorder="1"/>
    <xf numFmtId="165" fontId="25" fillId="3" borderId="3" xfId="0" applyNumberFormat="1" applyFont="1" applyFill="1" applyBorder="1"/>
    <xf numFmtId="167" fontId="23" fillId="4" borderId="3" xfId="0" applyNumberFormat="1" applyFont="1" applyFill="1" applyBorder="1" applyAlignment="1">
      <alignment horizontal="center"/>
    </xf>
    <xf numFmtId="49" fontId="23" fillId="4" borderId="3" xfId="0" applyNumberFormat="1" applyFont="1" applyFill="1" applyBorder="1" applyAlignment="1">
      <alignment horizontal="center"/>
    </xf>
    <xf numFmtId="49" fontId="23" fillId="4" borderId="9" xfId="0" applyNumberFormat="1" applyFont="1" applyFill="1" applyBorder="1" applyAlignment="1">
      <alignment horizontal="center"/>
    </xf>
    <xf numFmtId="167" fontId="30" fillId="3" borderId="3" xfId="0" applyNumberFormat="1" applyFont="1" applyFill="1" applyBorder="1" applyAlignment="1">
      <alignment horizontal="center"/>
    </xf>
    <xf numFmtId="49" fontId="30" fillId="3" borderId="3" xfId="0" applyNumberFormat="1" applyFont="1" applyFill="1" applyBorder="1" applyAlignment="1">
      <alignment horizontal="center"/>
    </xf>
    <xf numFmtId="49" fontId="30" fillId="3" borderId="9" xfId="0" applyNumberFormat="1" applyFont="1" applyFill="1" applyBorder="1" applyAlignment="1">
      <alignment horizontal="center"/>
    </xf>
    <xf numFmtId="167" fontId="30" fillId="2" borderId="4" xfId="0" applyNumberFormat="1" applyFont="1" applyFill="1" applyBorder="1"/>
    <xf numFmtId="167" fontId="30" fillId="2" borderId="5" xfId="0" applyNumberFormat="1" applyFont="1" applyFill="1" applyBorder="1"/>
    <xf numFmtId="167" fontId="30" fillId="2" borderId="0" xfId="0" applyNumberFormat="1" applyFont="1" applyFill="1"/>
    <xf numFmtId="167" fontId="30" fillId="2" borderId="2" xfId="0" applyNumberFormat="1" applyFont="1" applyFill="1" applyBorder="1"/>
    <xf numFmtId="167" fontId="30" fillId="2" borderId="8" xfId="0" applyNumberFormat="1" applyFont="1" applyFill="1" applyBorder="1"/>
    <xf numFmtId="167" fontId="30" fillId="2" borderId="0" xfId="0" applyNumberFormat="1" applyFont="1" applyFill="1" applyAlignment="1">
      <alignment horizontal="center"/>
    </xf>
    <xf numFmtId="167" fontId="30" fillId="2" borderId="2" xfId="0" applyNumberFormat="1" applyFont="1" applyFill="1" applyBorder="1" applyAlignment="1">
      <alignment horizontal="center"/>
    </xf>
    <xf numFmtId="167" fontId="31" fillId="2" borderId="2" xfId="0" quotePrefix="1" applyNumberFormat="1" applyFont="1" applyFill="1" applyBorder="1"/>
    <xf numFmtId="167" fontId="31" fillId="2" borderId="8" xfId="0" quotePrefix="1" applyNumberFormat="1" applyFont="1" applyFill="1" applyBorder="1"/>
    <xf numFmtId="3" fontId="31" fillId="2" borderId="0" xfId="0" applyNumberFormat="1" applyFont="1" applyFill="1"/>
    <xf numFmtId="167" fontId="31" fillId="2" borderId="2" xfId="0" applyNumberFormat="1" applyFont="1" applyFill="1" applyBorder="1"/>
    <xf numFmtId="167" fontId="31" fillId="2" borderId="0" xfId="0" quotePrefix="1" applyNumberFormat="1" applyFont="1" applyFill="1"/>
    <xf numFmtId="167" fontId="30" fillId="2" borderId="3" xfId="0" applyNumberFormat="1" applyFont="1" applyFill="1" applyBorder="1"/>
    <xf numFmtId="3" fontId="31" fillId="2" borderId="3" xfId="0" applyNumberFormat="1" applyFont="1" applyFill="1" applyBorder="1"/>
    <xf numFmtId="167" fontId="31" fillId="2" borderId="8" xfId="0" applyNumberFormat="1" applyFont="1" applyFill="1" applyBorder="1"/>
    <xf numFmtId="3" fontId="30" fillId="2" borderId="0" xfId="0" applyNumberFormat="1" applyFont="1" applyFill="1"/>
    <xf numFmtId="167" fontId="31" fillId="2" borderId="0" xfId="0" applyNumberFormat="1" applyFont="1" applyFill="1"/>
    <xf numFmtId="167" fontId="31" fillId="2" borderId="3" xfId="0" applyNumberFormat="1" applyFont="1" applyFill="1" applyBorder="1"/>
    <xf numFmtId="167" fontId="30" fillId="3" borderId="3" xfId="0" applyNumberFormat="1" applyFont="1" applyFill="1" applyBorder="1"/>
    <xf numFmtId="3" fontId="30" fillId="3" borderId="3" xfId="0" applyNumberFormat="1" applyFont="1" applyFill="1" applyBorder="1"/>
    <xf numFmtId="167" fontId="30" fillId="3" borderId="10" xfId="0" applyNumberFormat="1" applyFont="1" applyFill="1" applyBorder="1" applyAlignment="1">
      <alignment horizontal="center"/>
    </xf>
    <xf numFmtId="167" fontId="30" fillId="3" borderId="11" xfId="0" applyNumberFormat="1" applyFont="1" applyFill="1" applyBorder="1" applyAlignment="1">
      <alignment horizontal="center"/>
    </xf>
    <xf numFmtId="167" fontId="31" fillId="2" borderId="4" xfId="0" applyNumberFormat="1" applyFont="1" applyFill="1" applyBorder="1"/>
    <xf numFmtId="167" fontId="30" fillId="2" borderId="11" xfId="0" applyNumberFormat="1" applyFont="1" applyFill="1" applyBorder="1"/>
    <xf numFmtId="167" fontId="30" fillId="4" borderId="3" xfId="0" applyNumberFormat="1" applyFont="1" applyFill="1" applyBorder="1"/>
    <xf numFmtId="3" fontId="30" fillId="4" borderId="3" xfId="0" applyNumberFormat="1" applyFont="1" applyFill="1" applyBorder="1"/>
    <xf numFmtId="167" fontId="30" fillId="4" borderId="3" xfId="0" applyNumberFormat="1" applyFont="1" applyFill="1" applyBorder="1" applyAlignment="1">
      <alignment horizontal="center"/>
    </xf>
    <xf numFmtId="167" fontId="30" fillId="4" borderId="10" xfId="0" applyNumberFormat="1" applyFont="1" applyFill="1" applyBorder="1" applyAlignment="1">
      <alignment horizontal="center"/>
    </xf>
    <xf numFmtId="167" fontId="30" fillId="4" borderId="11" xfId="0" applyNumberFormat="1" applyFont="1" applyFill="1" applyBorder="1" applyAlignment="1">
      <alignment horizontal="center"/>
    </xf>
    <xf numFmtId="165" fontId="31" fillId="2" borderId="0" xfId="0" applyNumberFormat="1" applyFont="1" applyFill="1"/>
    <xf numFmtId="165" fontId="30" fillId="2" borderId="9" xfId="0" applyNumberFormat="1" applyFont="1" applyFill="1" applyBorder="1"/>
    <xf numFmtId="165" fontId="30" fillId="2" borderId="3" xfId="0" applyNumberFormat="1" applyFont="1" applyFill="1" applyBorder="1"/>
    <xf numFmtId="3" fontId="30" fillId="2" borderId="3" xfId="0" applyNumberFormat="1" applyFont="1" applyFill="1" applyBorder="1"/>
    <xf numFmtId="0" fontId="31" fillId="2" borderId="0" xfId="0" applyFont="1" applyFill="1"/>
    <xf numFmtId="3" fontId="31" fillId="2" borderId="2" xfId="0" applyNumberFormat="1" applyFont="1" applyFill="1" applyBorder="1"/>
    <xf numFmtId="165" fontId="32" fillId="2" borderId="3" xfId="0" applyNumberFormat="1" applyFont="1" applyFill="1" applyBorder="1"/>
    <xf numFmtId="3" fontId="32" fillId="2" borderId="3" xfId="0" applyNumberFormat="1" applyFont="1" applyFill="1" applyBorder="1"/>
    <xf numFmtId="165" fontId="33" fillId="2" borderId="2" xfId="0" applyNumberFormat="1" applyFont="1" applyFill="1" applyBorder="1"/>
    <xf numFmtId="165" fontId="30" fillId="2" borderId="0" xfId="0" applyNumberFormat="1" applyFont="1" applyFill="1"/>
    <xf numFmtId="0" fontId="30" fillId="2" borderId="0" xfId="0" applyFont="1" applyFill="1"/>
    <xf numFmtId="165" fontId="31" fillId="2" borderId="3" xfId="0" applyNumberFormat="1" applyFont="1" applyFill="1" applyBorder="1"/>
    <xf numFmtId="165" fontId="30" fillId="4" borderId="3" xfId="0" applyNumberFormat="1" applyFont="1" applyFill="1" applyBorder="1"/>
    <xf numFmtId="165" fontId="30" fillId="4" borderId="3" xfId="0" applyNumberFormat="1" applyFont="1" applyFill="1" applyBorder="1" applyAlignment="1">
      <alignment horizontal="center" vertical="center"/>
    </xf>
    <xf numFmtId="166" fontId="30" fillId="4" borderId="3" xfId="0" applyNumberFormat="1" applyFont="1" applyFill="1" applyBorder="1" applyAlignment="1">
      <alignment horizontal="center" vertical="center"/>
    </xf>
    <xf numFmtId="3" fontId="30" fillId="4" borderId="3" xfId="0" applyNumberFormat="1" applyFont="1" applyFill="1" applyBorder="1" applyAlignment="1">
      <alignment horizontal="center"/>
    </xf>
    <xf numFmtId="3" fontId="30" fillId="4" borderId="3" xfId="0" applyNumberFormat="1" applyFont="1" applyFill="1" applyBorder="1" applyAlignment="1">
      <alignment horizontal="center" vertical="center"/>
    </xf>
    <xf numFmtId="165" fontId="34" fillId="2" borderId="0" xfId="0" applyNumberFormat="1" applyFont="1" applyFill="1"/>
    <xf numFmtId="165" fontId="35" fillId="2" borderId="3" xfId="0" applyNumberFormat="1" applyFont="1" applyFill="1" applyBorder="1" applyAlignment="1">
      <alignment horizontal="center" vertical="center"/>
    </xf>
    <xf numFmtId="166" fontId="36" fillId="2" borderId="3" xfId="0" applyNumberFormat="1" applyFont="1" applyFill="1" applyBorder="1" applyAlignment="1">
      <alignment horizontal="center" vertical="center"/>
    </xf>
    <xf numFmtId="166" fontId="37" fillId="2" borderId="3" xfId="0" applyNumberFormat="1" applyFont="1" applyFill="1" applyBorder="1" applyAlignment="1">
      <alignment horizontal="center" vertical="center"/>
    </xf>
    <xf numFmtId="3" fontId="36" fillId="2" borderId="3" xfId="0" applyNumberFormat="1" applyFont="1" applyFill="1" applyBorder="1" applyAlignment="1">
      <alignment horizontal="center"/>
    </xf>
    <xf numFmtId="3" fontId="36" fillId="2" borderId="3" xfId="0" applyNumberFormat="1" applyFont="1" applyFill="1" applyBorder="1" applyAlignment="1">
      <alignment horizontal="center" vertical="center"/>
    </xf>
    <xf numFmtId="3" fontId="36" fillId="2" borderId="3" xfId="0" applyNumberFormat="1" applyFont="1" applyFill="1" applyBorder="1"/>
    <xf numFmtId="3" fontId="36" fillId="2" borderId="0" xfId="0" applyNumberFormat="1" applyFont="1" applyFill="1"/>
    <xf numFmtId="3" fontId="37" fillId="2" borderId="3" xfId="0" applyNumberFormat="1" applyFont="1" applyFill="1" applyBorder="1" applyAlignment="1">
      <alignment horizontal="center" vertical="center"/>
    </xf>
    <xf numFmtId="3" fontId="34" fillId="2" borderId="0" xfId="0" applyNumberFormat="1" applyFont="1" applyFill="1"/>
    <xf numFmtId="3" fontId="37" fillId="2" borderId="3" xfId="0" applyNumberFormat="1" applyFont="1" applyFill="1" applyBorder="1" applyAlignment="1">
      <alignment horizontal="center" wrapText="1"/>
    </xf>
    <xf numFmtId="0" fontId="34" fillId="2" borderId="0" xfId="0" applyFont="1" applyFill="1"/>
    <xf numFmtId="165" fontId="34" fillId="2" borderId="2" xfId="0" applyNumberFormat="1" applyFont="1" applyFill="1" applyBorder="1"/>
    <xf numFmtId="165" fontId="34" fillId="2" borderId="3" xfId="0" applyNumberFormat="1" applyFont="1" applyFill="1" applyBorder="1"/>
    <xf numFmtId="165" fontId="37" fillId="2" borderId="3" xfId="0" applyNumberFormat="1" applyFont="1" applyFill="1" applyBorder="1"/>
    <xf numFmtId="165" fontId="36" fillId="2" borderId="3" xfId="0" applyNumberFormat="1" applyFont="1" applyFill="1" applyBorder="1"/>
    <xf numFmtId="0" fontId="36" fillId="2" borderId="0" xfId="0" applyFont="1" applyFill="1"/>
    <xf numFmtId="167" fontId="31" fillId="2" borderId="12" xfId="0" quotePrefix="1" applyNumberFormat="1" applyFont="1" applyFill="1" applyBorder="1"/>
    <xf numFmtId="167" fontId="22" fillId="2" borderId="2" xfId="0" applyNumberFormat="1" applyFont="1" applyFill="1" applyBorder="1"/>
    <xf numFmtId="167" fontId="22" fillId="2" borderId="3" xfId="0" applyNumberFormat="1" applyFont="1" applyFill="1" applyBorder="1"/>
    <xf numFmtId="38" fontId="19" fillId="2" borderId="3" xfId="0" applyNumberFormat="1" applyFont="1" applyFill="1" applyBorder="1"/>
    <xf numFmtId="3" fontId="19" fillId="2" borderId="3" xfId="0" applyNumberFormat="1" applyFont="1" applyFill="1" applyBorder="1"/>
    <xf numFmtId="38" fontId="20" fillId="2" borderId="2" xfId="0" applyNumberFormat="1" applyFont="1" applyFill="1" applyBorder="1"/>
    <xf numFmtId="38" fontId="18" fillId="2" borderId="4" xfId="0" applyNumberFormat="1" applyFont="1" applyFill="1" applyBorder="1"/>
    <xf numFmtId="38" fontId="18" fillId="2" borderId="2" xfId="0" applyNumberFormat="1" applyFont="1" applyFill="1" applyBorder="1"/>
    <xf numFmtId="0" fontId="19" fillId="2" borderId="0" xfId="0" applyFont="1" applyFill="1"/>
    <xf numFmtId="38" fontId="18" fillId="2" borderId="0" xfId="0" applyNumberFormat="1" applyFont="1" applyFill="1"/>
    <xf numFmtId="38" fontId="18" fillId="2" borderId="3" xfId="0" applyNumberFormat="1" applyFont="1" applyFill="1" applyBorder="1"/>
    <xf numFmtId="3" fontId="23" fillId="3" borderId="9" xfId="0" applyNumberFormat="1" applyFont="1" applyFill="1" applyBorder="1" applyAlignment="1">
      <alignment horizontal="center" vertical="center"/>
    </xf>
    <xf numFmtId="165" fontId="26" fillId="2" borderId="3" xfId="0" applyNumberFormat="1" applyFont="1" applyFill="1" applyBorder="1" applyAlignment="1">
      <alignment horizontal="right"/>
    </xf>
    <xf numFmtId="165" fontId="26" fillId="2" borderId="3" xfId="0" applyNumberFormat="1" applyFont="1" applyFill="1" applyBorder="1"/>
    <xf numFmtId="165" fontId="22" fillId="2" borderId="12" xfId="0" applyNumberFormat="1" applyFont="1" applyFill="1" applyBorder="1"/>
    <xf numFmtId="165" fontId="26" fillId="2" borderId="0" xfId="0" applyNumberFormat="1" applyFont="1" applyFill="1"/>
    <xf numFmtId="165" fontId="26" fillId="2" borderId="6" xfId="0" applyNumberFormat="1" applyFont="1" applyFill="1" applyBorder="1"/>
    <xf numFmtId="167" fontId="31" fillId="2" borderId="13" xfId="0" applyNumberFormat="1" applyFont="1" applyFill="1" applyBorder="1"/>
    <xf numFmtId="167" fontId="22" fillId="2" borderId="4" xfId="0" applyNumberFormat="1" applyFont="1" applyFill="1" applyBorder="1"/>
    <xf numFmtId="14" fontId="0" fillId="0" borderId="0" xfId="0" applyNumberFormat="1"/>
    <xf numFmtId="167" fontId="62" fillId="2" borderId="0" xfId="0" applyNumberFormat="1" applyFont="1" applyFill="1"/>
    <xf numFmtId="169" fontId="0" fillId="0" borderId="0" xfId="0" applyNumberFormat="1"/>
    <xf numFmtId="3" fontId="0" fillId="0" borderId="0" xfId="0" applyNumberFormat="1"/>
    <xf numFmtId="0" fontId="21" fillId="0" borderId="0" xfId="0" applyFont="1"/>
    <xf numFmtId="0" fontId="0" fillId="0" borderId="6" xfId="0" applyBorder="1"/>
    <xf numFmtId="0" fontId="0" fillId="0" borderId="15" xfId="0" applyBorder="1"/>
    <xf numFmtId="0" fontId="0" fillId="0" borderId="2" xfId="0" applyBorder="1"/>
    <xf numFmtId="170" fontId="0" fillId="0" borderId="0" xfId="0" applyNumberFormat="1"/>
    <xf numFmtId="0" fontId="63" fillId="0" borderId="0" xfId="45" applyFont="1" applyAlignment="1">
      <alignment horizontal="left"/>
    </xf>
    <xf numFmtId="0" fontId="63" fillId="0" borderId="0" xfId="45" applyFont="1" applyAlignment="1">
      <alignment horizontal="center"/>
    </xf>
    <xf numFmtId="0" fontId="64" fillId="35" borderId="0" xfId="45" applyFont="1" applyFill="1" applyAlignment="1">
      <alignment horizontal="center"/>
    </xf>
    <xf numFmtId="0" fontId="65" fillId="35" borderId="0" xfId="45" applyFont="1" applyFill="1" applyAlignment="1">
      <alignment horizontal="center"/>
    </xf>
    <xf numFmtId="0" fontId="63" fillId="0" borderId="0" xfId="45" applyFont="1" applyAlignment="1">
      <alignment horizontal="right"/>
    </xf>
    <xf numFmtId="0" fontId="64" fillId="36" borderId="0" xfId="45" applyFont="1" applyFill="1" applyAlignment="1">
      <alignment horizontal="center"/>
    </xf>
    <xf numFmtId="0" fontId="46" fillId="0" borderId="0" xfId="45"/>
    <xf numFmtId="0" fontId="65" fillId="37" borderId="0" xfId="45" applyFont="1" applyFill="1" applyAlignment="1">
      <alignment horizontal="center"/>
    </xf>
    <xf numFmtId="0" fontId="65" fillId="36" borderId="0" xfId="45" applyFont="1" applyFill="1" applyAlignment="1">
      <alignment horizontal="center"/>
    </xf>
    <xf numFmtId="0" fontId="63" fillId="37" borderId="0" xfId="45" applyFont="1" applyFill="1" applyAlignment="1">
      <alignment horizontal="center"/>
    </xf>
    <xf numFmtId="0" fontId="63" fillId="37" borderId="0" xfId="45" applyFont="1" applyFill="1" applyAlignment="1">
      <alignment horizontal="left"/>
    </xf>
    <xf numFmtId="0" fontId="65" fillId="37" borderId="0" xfId="45" applyFont="1" applyFill="1" applyAlignment="1">
      <alignment horizontal="right"/>
    </xf>
    <xf numFmtId="0" fontId="65" fillId="37" borderId="0" xfId="45" applyFont="1" applyFill="1" applyAlignment="1">
      <alignment horizontal="left"/>
    </xf>
    <xf numFmtId="0" fontId="63" fillId="0" borderId="0" xfId="45" applyFont="1"/>
    <xf numFmtId="9" fontId="63" fillId="0" borderId="0" xfId="45" applyNumberFormat="1" applyFont="1" applyAlignment="1">
      <alignment horizontal="left"/>
    </xf>
    <xf numFmtId="0" fontId="63" fillId="0" borderId="0" xfId="45" applyFont="1" applyAlignment="1">
      <alignment horizontal="left" indent="5"/>
    </xf>
    <xf numFmtId="0" fontId="63" fillId="0" borderId="0" xfId="45" applyFont="1" applyAlignment="1">
      <alignment horizontal="center" vertical="center"/>
    </xf>
    <xf numFmtId="0" fontId="65" fillId="0" borderId="0" xfId="45" applyFont="1" applyAlignment="1">
      <alignment horizontal="left"/>
    </xf>
    <xf numFmtId="0" fontId="66" fillId="0" borderId="0" xfId="45" applyFont="1" applyAlignment="1">
      <alignment horizontal="center"/>
    </xf>
    <xf numFmtId="168" fontId="0" fillId="0" borderId="0" xfId="0" applyNumberFormat="1"/>
    <xf numFmtId="0" fontId="67" fillId="0" borderId="16" xfId="0" applyFont="1" applyBorder="1"/>
    <xf numFmtId="168" fontId="0" fillId="0" borderId="5" xfId="0" applyNumberFormat="1" applyBorder="1"/>
    <xf numFmtId="168" fontId="0" fillId="0" borderId="8" xfId="0" applyNumberFormat="1" applyBorder="1"/>
    <xf numFmtId="168" fontId="61" fillId="0" borderId="8" xfId="0" applyNumberFormat="1" applyFont="1" applyBorder="1"/>
    <xf numFmtId="0" fontId="61" fillId="38" borderId="6" xfId="0" applyFont="1" applyFill="1" applyBorder="1"/>
    <xf numFmtId="168" fontId="61" fillId="38" borderId="8" xfId="0" applyNumberFormat="1" applyFont="1" applyFill="1" applyBorder="1"/>
    <xf numFmtId="168" fontId="0" fillId="0" borderId="7" xfId="0" applyNumberFormat="1" applyBorder="1"/>
    <xf numFmtId="0" fontId="21" fillId="0" borderId="6" xfId="0" applyFont="1" applyBorder="1"/>
    <xf numFmtId="165" fontId="22" fillId="2" borderId="4" xfId="0" applyNumberFormat="1" applyFont="1" applyFill="1" applyBorder="1"/>
    <xf numFmtId="165" fontId="22" fillId="2" borderId="2" xfId="0" applyNumberFormat="1" applyFont="1" applyFill="1" applyBorder="1"/>
    <xf numFmtId="0" fontId="0" fillId="0" borderId="17" xfId="0" applyBorder="1"/>
    <xf numFmtId="0" fontId="68" fillId="39" borderId="32" xfId="0" applyFont="1" applyFill="1" applyBorder="1" applyAlignment="1">
      <alignment vertical="center" wrapText="1"/>
    </xf>
    <xf numFmtId="0" fontId="69" fillId="40" borderId="33" xfId="0" applyFont="1" applyFill="1" applyBorder="1" applyAlignment="1">
      <alignment vertical="center" wrapText="1"/>
    </xf>
    <xf numFmtId="0" fontId="68" fillId="39" borderId="34" xfId="0" applyFont="1" applyFill="1" applyBorder="1" applyAlignment="1">
      <alignment vertical="center" wrapText="1"/>
    </xf>
    <xf numFmtId="0" fontId="69" fillId="40" borderId="35" xfId="0" applyFont="1" applyFill="1" applyBorder="1" applyAlignment="1">
      <alignment vertical="center" wrapText="1"/>
    </xf>
    <xf numFmtId="0" fontId="68" fillId="39" borderId="36" xfId="0" applyFont="1" applyFill="1" applyBorder="1" applyAlignment="1">
      <alignment vertical="center" wrapText="1"/>
    </xf>
    <xf numFmtId="14" fontId="69" fillId="40" borderId="37" xfId="0" applyNumberFormat="1" applyFont="1" applyFill="1" applyBorder="1" applyAlignment="1">
      <alignment vertical="center" wrapText="1"/>
    </xf>
    <xf numFmtId="0" fontId="68" fillId="39" borderId="34" xfId="0" applyFont="1" applyFill="1" applyBorder="1" applyAlignment="1">
      <alignment vertical="top" wrapText="1"/>
    </xf>
    <xf numFmtId="0" fontId="69" fillId="40" borderId="35" xfId="0" applyFont="1" applyFill="1" applyBorder="1" applyAlignment="1">
      <alignment vertical="top" wrapText="1"/>
    </xf>
    <xf numFmtId="14" fontId="69" fillId="40" borderId="35" xfId="0" applyNumberFormat="1" applyFont="1" applyFill="1" applyBorder="1" applyAlignment="1">
      <alignment vertical="top" wrapText="1"/>
    </xf>
    <xf numFmtId="0" fontId="68" fillId="39" borderId="36" xfId="0" applyFont="1" applyFill="1" applyBorder="1" applyAlignment="1">
      <alignment vertical="top" wrapText="1"/>
    </xf>
    <xf numFmtId="0" fontId="68" fillId="39" borderId="0" xfId="0" applyFont="1" applyFill="1" applyAlignment="1">
      <alignment vertical="top" wrapText="1"/>
    </xf>
    <xf numFmtId="170" fontId="38" fillId="0" borderId="0" xfId="0" applyNumberFormat="1" applyFont="1"/>
    <xf numFmtId="14" fontId="68" fillId="39" borderId="0" xfId="0" applyNumberFormat="1" applyFont="1" applyFill="1" applyAlignment="1">
      <alignment vertical="top" wrapText="1"/>
    </xf>
    <xf numFmtId="165" fontId="26" fillId="41" borderId="3" xfId="0" applyNumberFormat="1" applyFont="1" applyFill="1" applyBorder="1"/>
    <xf numFmtId="0" fontId="21" fillId="0" borderId="17" xfId="0" applyFont="1" applyBorder="1"/>
    <xf numFmtId="3" fontId="69" fillId="0" borderId="0" xfId="0" applyNumberFormat="1" applyFont="1"/>
    <xf numFmtId="0" fontId="21" fillId="42" borderId="0" xfId="0" applyFont="1" applyFill="1"/>
    <xf numFmtId="0" fontId="0" fillId="42" borderId="0" xfId="0" applyFill="1"/>
    <xf numFmtId="4" fontId="69" fillId="40" borderId="35" xfId="0" applyNumberFormat="1" applyFont="1" applyFill="1" applyBorder="1" applyAlignment="1">
      <alignment vertical="top" wrapText="1"/>
    </xf>
    <xf numFmtId="4" fontId="69" fillId="40" borderId="37" xfId="0" applyNumberFormat="1" applyFont="1" applyFill="1" applyBorder="1" applyAlignment="1">
      <alignment vertical="top" wrapText="1"/>
    </xf>
    <xf numFmtId="0" fontId="69" fillId="0" borderId="33" xfId="0" applyFont="1" applyBorder="1" applyAlignment="1">
      <alignment vertical="center" wrapText="1"/>
    </xf>
    <xf numFmtId="0" fontId="69" fillId="0" borderId="35" xfId="0" applyFont="1" applyBorder="1" applyAlignment="1">
      <alignment vertical="center" wrapText="1"/>
    </xf>
    <xf numFmtId="14" fontId="69" fillId="0" borderId="37" xfId="0" applyNumberFormat="1" applyFont="1" applyBorder="1" applyAlignment="1">
      <alignment vertical="center" wrapText="1"/>
    </xf>
    <xf numFmtId="0" fontId="69" fillId="0" borderId="35" xfId="0" applyFont="1" applyBorder="1" applyAlignment="1">
      <alignment vertical="top" wrapText="1"/>
    </xf>
    <xf numFmtId="14" fontId="69" fillId="0" borderId="35" xfId="0" applyNumberFormat="1" applyFont="1" applyBorder="1" applyAlignment="1">
      <alignment vertical="top" wrapText="1"/>
    </xf>
    <xf numFmtId="4" fontId="69" fillId="0" borderId="35" xfId="0" applyNumberFormat="1" applyFont="1" applyBorder="1" applyAlignment="1">
      <alignment vertical="top" wrapText="1"/>
    </xf>
    <xf numFmtId="4" fontId="69" fillId="0" borderId="37" xfId="0" applyNumberFormat="1" applyFont="1" applyBorder="1" applyAlignment="1">
      <alignment vertical="top" wrapText="1"/>
    </xf>
    <xf numFmtId="0" fontId="39" fillId="0" borderId="38" xfId="0" applyFont="1" applyBorder="1" applyAlignment="1">
      <alignment wrapText="1"/>
    </xf>
    <xf numFmtId="0" fontId="39" fillId="0" borderId="39" xfId="0" applyFont="1" applyBorder="1" applyAlignment="1">
      <alignment wrapText="1"/>
    </xf>
    <xf numFmtId="0" fontId="70" fillId="35" borderId="40" xfId="0" applyFont="1" applyFill="1" applyBorder="1" applyAlignment="1">
      <alignment horizontal="center" wrapText="1"/>
    </xf>
    <xf numFmtId="0" fontId="70" fillId="35" borderId="41" xfId="0" applyFont="1" applyFill="1" applyBorder="1" applyAlignment="1">
      <alignment horizontal="center" wrapText="1"/>
    </xf>
    <xf numFmtId="0" fontId="71" fillId="35" borderId="40" xfId="0" applyFont="1" applyFill="1" applyBorder="1" applyAlignment="1">
      <alignment horizontal="center" wrapText="1"/>
    </xf>
    <xf numFmtId="0" fontId="71" fillId="35" borderId="41" xfId="0" applyFont="1" applyFill="1" applyBorder="1" applyAlignment="1">
      <alignment horizontal="center" wrapText="1"/>
    </xf>
    <xf numFmtId="0" fontId="72" fillId="0" borderId="38" xfId="0" applyFont="1" applyBorder="1" applyAlignment="1">
      <alignment wrapText="1"/>
    </xf>
    <xf numFmtId="0" fontId="72" fillId="0" borderId="38" xfId="0" applyFont="1" applyBorder="1" applyAlignment="1">
      <alignment horizontal="center" wrapText="1"/>
    </xf>
    <xf numFmtId="0" fontId="72" fillId="0" borderId="38" xfId="0" applyFont="1" applyBorder="1" applyAlignment="1">
      <alignment horizontal="right" wrapText="1"/>
    </xf>
    <xf numFmtId="0" fontId="70" fillId="35" borderId="38" xfId="0" applyFont="1" applyFill="1" applyBorder="1" applyAlignment="1">
      <alignment horizontal="center" wrapText="1"/>
    </xf>
    <xf numFmtId="0" fontId="70" fillId="36" borderId="40" xfId="0" applyFont="1" applyFill="1" applyBorder="1" applyAlignment="1">
      <alignment horizontal="center" wrapText="1"/>
    </xf>
    <xf numFmtId="0" fontId="70" fillId="36" borderId="41" xfId="0" applyFont="1" applyFill="1" applyBorder="1" applyAlignment="1">
      <alignment horizontal="center" wrapText="1"/>
    </xf>
    <xf numFmtId="0" fontId="39" fillId="40" borderId="39" xfId="0" applyFont="1" applyFill="1" applyBorder="1" applyAlignment="1">
      <alignment wrapText="1"/>
    </xf>
    <xf numFmtId="0" fontId="71" fillId="36" borderId="40" xfId="0" applyFont="1" applyFill="1" applyBorder="1" applyAlignment="1">
      <alignment horizontal="center" wrapText="1"/>
    </xf>
    <xf numFmtId="0" fontId="71" fillId="36" borderId="41" xfId="0" applyFont="1" applyFill="1" applyBorder="1" applyAlignment="1">
      <alignment horizontal="center" wrapText="1"/>
    </xf>
    <xf numFmtId="0" fontId="72" fillId="40" borderId="38" xfId="0" applyFont="1" applyFill="1" applyBorder="1" applyAlignment="1">
      <alignment wrapText="1"/>
    </xf>
    <xf numFmtId="0" fontId="72" fillId="40" borderId="38" xfId="0" applyFont="1" applyFill="1" applyBorder="1" applyAlignment="1">
      <alignment horizontal="center" wrapText="1"/>
    </xf>
    <xf numFmtId="0" fontId="71" fillId="40" borderId="38" xfId="0" applyFont="1" applyFill="1" applyBorder="1" applyAlignment="1">
      <alignment wrapText="1"/>
    </xf>
    <xf numFmtId="0" fontId="71" fillId="40" borderId="38" xfId="0" applyFont="1" applyFill="1" applyBorder="1" applyAlignment="1">
      <alignment horizontal="right" wrapText="1"/>
    </xf>
    <xf numFmtId="0" fontId="71" fillId="40" borderId="39" xfId="0" applyFont="1" applyFill="1" applyBorder="1" applyAlignment="1">
      <alignment wrapText="1"/>
    </xf>
    <xf numFmtId="0" fontId="71" fillId="40" borderId="39" xfId="0" applyFont="1" applyFill="1" applyBorder="1" applyAlignment="1">
      <alignment horizontal="right" wrapText="1"/>
    </xf>
    <xf numFmtId="0" fontId="71" fillId="0" borderId="38" xfId="0" applyFont="1" applyBorder="1" applyAlignment="1">
      <alignment wrapText="1"/>
    </xf>
    <xf numFmtId="0" fontId="71" fillId="0" borderId="38" xfId="0" applyFont="1" applyBorder="1" applyAlignment="1">
      <alignment horizontal="right" wrapText="1"/>
    </xf>
    <xf numFmtId="0" fontId="71" fillId="0" borderId="39" xfId="0" applyFont="1" applyBorder="1" applyAlignment="1">
      <alignment wrapText="1"/>
    </xf>
    <xf numFmtId="0" fontId="72" fillId="0" borderId="39" xfId="0" applyFont="1" applyBorder="1" applyAlignment="1">
      <alignment horizontal="center" wrapText="1"/>
    </xf>
    <xf numFmtId="0" fontId="72" fillId="0" borderId="38" xfId="0" applyFont="1" applyBorder="1" applyAlignment="1">
      <alignment horizontal="center" vertical="center" wrapText="1"/>
    </xf>
    <xf numFmtId="0" fontId="72" fillId="40" borderId="38" xfId="0" applyFont="1" applyFill="1" applyBorder="1" applyAlignment="1">
      <alignment horizontal="right" wrapText="1"/>
    </xf>
    <xf numFmtId="0" fontId="39" fillId="40" borderId="38" xfId="0" applyFont="1" applyFill="1" applyBorder="1" applyAlignment="1">
      <alignment wrapText="1"/>
    </xf>
    <xf numFmtId="0" fontId="71" fillId="36" borderId="42" xfId="0" applyFont="1" applyFill="1" applyBorder="1" applyAlignment="1">
      <alignment horizontal="center" wrapText="1"/>
    </xf>
    <xf numFmtId="0" fontId="71" fillId="36" borderId="43" xfId="0" applyFont="1" applyFill="1" applyBorder="1" applyAlignment="1">
      <alignment horizontal="center" wrapText="1"/>
    </xf>
    <xf numFmtId="0" fontId="73" fillId="36" borderId="40" xfId="0" applyFont="1" applyFill="1" applyBorder="1" applyAlignment="1">
      <alignment horizontal="center" wrapText="1"/>
    </xf>
    <xf numFmtId="0" fontId="72" fillId="0" borderId="44" xfId="0" applyFont="1" applyBorder="1" applyAlignment="1">
      <alignment wrapText="1"/>
    </xf>
    <xf numFmtId="0" fontId="72" fillId="0" borderId="44" xfId="0" applyFont="1" applyBorder="1" applyAlignment="1">
      <alignment horizontal="center" wrapText="1"/>
    </xf>
    <xf numFmtId="0" fontId="74" fillId="36" borderId="9" xfId="0" applyFont="1" applyFill="1" applyBorder="1" applyAlignment="1">
      <alignment horizontal="center"/>
    </xf>
    <xf numFmtId="0" fontId="65" fillId="36" borderId="10" xfId="45" applyFont="1" applyFill="1" applyBorder="1" applyAlignment="1">
      <alignment horizontal="center"/>
    </xf>
    <xf numFmtId="0" fontId="75" fillId="0" borderId="0" xfId="0" applyFont="1"/>
    <xf numFmtId="0" fontId="76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6" fillId="0" borderId="0" xfId="0" applyFont="1"/>
    <xf numFmtId="0" fontId="75" fillId="0" borderId="0" xfId="0" applyFont="1" applyAlignment="1">
      <alignment horizontal="left"/>
    </xf>
    <xf numFmtId="38" fontId="0" fillId="0" borderId="8" xfId="0" applyNumberFormat="1" applyBorder="1"/>
    <xf numFmtId="0" fontId="0" fillId="0" borderId="45" xfId="0" applyBorder="1"/>
    <xf numFmtId="170" fontId="0" fillId="0" borderId="46" xfId="0" applyNumberFormat="1" applyBorder="1"/>
    <xf numFmtId="0" fontId="0" fillId="0" borderId="18" xfId="0" applyBorder="1"/>
    <xf numFmtId="0" fontId="0" fillId="0" borderId="19" xfId="0" applyBorder="1"/>
    <xf numFmtId="38" fontId="0" fillId="0" borderId="0" xfId="0" applyNumberFormat="1"/>
    <xf numFmtId="0" fontId="0" fillId="0" borderId="20" xfId="0" applyBorder="1"/>
    <xf numFmtId="38" fontId="0" fillId="0" borderId="21" xfId="0" applyNumberFormat="1" applyBorder="1"/>
    <xf numFmtId="3" fontId="22" fillId="0" borderId="2" xfId="0" applyNumberFormat="1" applyFont="1" applyBorder="1"/>
    <xf numFmtId="0" fontId="22" fillId="0" borderId="0" xfId="0" applyFont="1"/>
    <xf numFmtId="165" fontId="26" fillId="0" borderId="3" xfId="0" applyNumberFormat="1" applyFont="1" applyBorder="1"/>
    <xf numFmtId="165" fontId="22" fillId="0" borderId="2" xfId="0" applyNumberFormat="1" applyFont="1" applyBorder="1"/>
    <xf numFmtId="3" fontId="26" fillId="0" borderId="0" xfId="0" applyNumberFormat="1" applyFont="1"/>
    <xf numFmtId="0" fontId="71" fillId="35" borderId="47" xfId="0" applyFont="1" applyFill="1" applyBorder="1" applyAlignment="1">
      <alignment horizontal="center" wrapText="1"/>
    </xf>
    <xf numFmtId="0" fontId="71" fillId="35" borderId="48" xfId="0" applyFont="1" applyFill="1" applyBorder="1" applyAlignment="1">
      <alignment horizontal="center" wrapText="1"/>
    </xf>
    <xf numFmtId="0" fontId="40" fillId="0" borderId="0" xfId="0" applyFont="1"/>
    <xf numFmtId="0" fontId="77" fillId="0" borderId="0" xfId="0" applyFont="1"/>
    <xf numFmtId="0" fontId="78" fillId="0" borderId="0" xfId="0" applyFont="1"/>
    <xf numFmtId="0" fontId="79" fillId="44" borderId="49" xfId="0" applyFont="1" applyFill="1" applyBorder="1" applyAlignment="1">
      <alignment horizontal="center" vertical="center"/>
    </xf>
    <xf numFmtId="0" fontId="78" fillId="0" borderId="49" xfId="0" applyFont="1" applyBorder="1" applyAlignment="1">
      <alignment horizontal="center" vertical="center"/>
    </xf>
    <xf numFmtId="0" fontId="80" fillId="0" borderId="49" xfId="0" applyFont="1" applyBorder="1" applyAlignment="1">
      <alignment horizontal="left" vertical="center"/>
    </xf>
    <xf numFmtId="0" fontId="81" fillId="0" borderId="49" xfId="31" applyFont="1" applyBorder="1" applyAlignment="1" applyProtection="1">
      <alignment vertical="center"/>
    </xf>
    <xf numFmtId="14" fontId="80" fillId="0" borderId="49" xfId="0" applyNumberFormat="1" applyFont="1" applyBorder="1" applyAlignment="1">
      <alignment horizontal="left" vertical="center"/>
    </xf>
    <xf numFmtId="0" fontId="80" fillId="0" borderId="49" xfId="0" applyFont="1" applyBorder="1" applyAlignment="1">
      <alignment horizontal="right" vertical="center"/>
    </xf>
    <xf numFmtId="3" fontId="80" fillId="0" borderId="49" xfId="0" applyNumberFormat="1" applyFont="1" applyBorder="1" applyAlignment="1">
      <alignment horizontal="right" vertical="center"/>
    </xf>
    <xf numFmtId="14" fontId="40" fillId="0" borderId="0" xfId="40" applyNumberFormat="1"/>
    <xf numFmtId="0" fontId="40" fillId="42" borderId="0" xfId="40" applyFill="1"/>
    <xf numFmtId="0" fontId="40" fillId="0" borderId="2" xfId="0" applyFont="1" applyBorder="1"/>
    <xf numFmtId="0" fontId="21" fillId="0" borderId="0" xfId="40" applyFont="1"/>
    <xf numFmtId="0" fontId="61" fillId="0" borderId="0" xfId="0" applyFont="1"/>
    <xf numFmtId="165" fontId="0" fillId="0" borderId="0" xfId="0" applyNumberFormat="1"/>
    <xf numFmtId="14" fontId="49" fillId="45" borderId="50" xfId="0" applyNumberFormat="1" applyFont="1" applyFill="1" applyBorder="1"/>
    <xf numFmtId="0" fontId="49" fillId="45" borderId="50" xfId="0" applyFont="1" applyFill="1" applyBorder="1"/>
    <xf numFmtId="165" fontId="49" fillId="45" borderId="50" xfId="0" applyNumberFormat="1" applyFont="1" applyFill="1" applyBorder="1"/>
    <xf numFmtId="14" fontId="0" fillId="46" borderId="0" xfId="0" applyNumberFormat="1" applyFill="1"/>
    <xf numFmtId="0" fontId="0" fillId="46" borderId="0" xfId="0" applyFill="1"/>
    <xf numFmtId="165" fontId="0" fillId="46" borderId="0" xfId="0" applyNumberFormat="1" applyFill="1"/>
    <xf numFmtId="0" fontId="61" fillId="41" borderId="0" xfId="0" applyFont="1" applyFill="1"/>
    <xf numFmtId="165" fontId="61" fillId="41" borderId="0" xfId="0" applyNumberFormat="1" applyFont="1" applyFill="1"/>
    <xf numFmtId="14" fontId="0" fillId="47" borderId="0" xfId="0" applyNumberFormat="1" applyFill="1"/>
    <xf numFmtId="0" fontId="0" fillId="47" borderId="0" xfId="0" applyFill="1"/>
    <xf numFmtId="165" fontId="0" fillId="47" borderId="0" xfId="0" applyNumberFormat="1" applyFill="1"/>
    <xf numFmtId="165" fontId="61" fillId="0" borderId="0" xfId="0" applyNumberFormat="1" applyFont="1"/>
    <xf numFmtId="14" fontId="0" fillId="48" borderId="0" xfId="0" applyNumberFormat="1" applyFill="1"/>
    <xf numFmtId="0" fontId="0" fillId="48" borderId="0" xfId="0" applyFill="1"/>
    <xf numFmtId="165" fontId="0" fillId="48" borderId="0" xfId="0" applyNumberFormat="1" applyFill="1"/>
    <xf numFmtId="14" fontId="0" fillId="49" borderId="0" xfId="0" applyNumberFormat="1" applyFill="1"/>
    <xf numFmtId="0" fontId="0" fillId="49" borderId="0" xfId="0" applyFill="1"/>
    <xf numFmtId="165" fontId="0" fillId="49" borderId="0" xfId="0" applyNumberFormat="1" applyFill="1"/>
    <xf numFmtId="14" fontId="0" fillId="50" borderId="0" xfId="0" applyNumberFormat="1" applyFill="1"/>
    <xf numFmtId="0" fontId="0" fillId="50" borderId="0" xfId="0" applyFill="1"/>
    <xf numFmtId="165" fontId="0" fillId="50" borderId="0" xfId="0" applyNumberFormat="1" applyFill="1"/>
    <xf numFmtId="14" fontId="0" fillId="51" borderId="0" xfId="0" applyNumberFormat="1" applyFill="1"/>
    <xf numFmtId="0" fontId="0" fillId="51" borderId="0" xfId="0" applyFill="1"/>
    <xf numFmtId="0" fontId="61" fillId="51" borderId="0" xfId="0" applyFont="1" applyFill="1"/>
    <xf numFmtId="165" fontId="61" fillId="51" borderId="0" xfId="0" applyNumberFormat="1" applyFont="1" applyFill="1"/>
    <xf numFmtId="3" fontId="0" fillId="0" borderId="8" xfId="0" applyNumberFormat="1" applyBorder="1"/>
    <xf numFmtId="0" fontId="0" fillId="0" borderId="21" xfId="0" applyBorder="1"/>
    <xf numFmtId="0" fontId="21" fillId="0" borderId="2" xfId="0" applyFont="1" applyBorder="1"/>
    <xf numFmtId="0" fontId="0" fillId="0" borderId="22" xfId="0" applyBorder="1"/>
    <xf numFmtId="38" fontId="38" fillId="0" borderId="0" xfId="0" applyNumberFormat="1" applyFont="1"/>
    <xf numFmtId="38" fontId="21" fillId="0" borderId="0" xfId="0" applyNumberFormat="1" applyFont="1"/>
    <xf numFmtId="38" fontId="68" fillId="39" borderId="0" xfId="0" applyNumberFormat="1" applyFont="1" applyFill="1" applyAlignment="1">
      <alignment vertical="top" wrapText="1"/>
    </xf>
    <xf numFmtId="38" fontId="21" fillId="0" borderId="0" xfId="0" applyNumberFormat="1" applyFont="1" applyAlignment="1">
      <alignment horizontal="right" indent="1"/>
    </xf>
    <xf numFmtId="14" fontId="21" fillId="0" borderId="0" xfId="0" applyNumberFormat="1" applyFont="1" applyAlignment="1">
      <alignment horizontal="right"/>
    </xf>
    <xf numFmtId="38" fontId="21" fillId="0" borderId="0" xfId="0" applyNumberFormat="1" applyFont="1" applyAlignment="1">
      <alignment horizontal="right"/>
    </xf>
    <xf numFmtId="171" fontId="0" fillId="0" borderId="0" xfId="0" applyNumberFormat="1"/>
    <xf numFmtId="3" fontId="83" fillId="3" borderId="3" xfId="0" applyNumberFormat="1" applyFont="1" applyFill="1" applyBorder="1"/>
    <xf numFmtId="38" fontId="0" fillId="42" borderId="0" xfId="0" applyNumberFormat="1" applyFill="1"/>
    <xf numFmtId="0" fontId="21" fillId="42" borderId="0" xfId="40" applyFont="1" applyFill="1"/>
    <xf numFmtId="167" fontId="84" fillId="2" borderId="8" xfId="0" quotePrefix="1" applyNumberFormat="1" applyFont="1" applyFill="1" applyBorder="1"/>
    <xf numFmtId="167" fontId="85" fillId="2" borderId="3" xfId="0" applyNumberFormat="1" applyFont="1" applyFill="1" applyBorder="1"/>
    <xf numFmtId="3" fontId="80" fillId="0" borderId="51" xfId="0" applyNumberFormat="1" applyFont="1" applyBorder="1" applyAlignment="1">
      <alignment horizontal="right" vertical="center"/>
    </xf>
    <xf numFmtId="3" fontId="79" fillId="0" borderId="52" xfId="0" applyNumberFormat="1" applyFont="1" applyBorder="1" applyAlignment="1">
      <alignment horizontal="right" vertical="center"/>
    </xf>
    <xf numFmtId="3" fontId="79" fillId="0" borderId="53" xfId="0" applyNumberFormat="1" applyFont="1" applyBorder="1" applyAlignment="1">
      <alignment horizontal="right" vertical="center"/>
    </xf>
    <xf numFmtId="38" fontId="21" fillId="0" borderId="0" xfId="40" applyNumberFormat="1" applyFont="1"/>
    <xf numFmtId="3" fontId="79" fillId="0" borderId="54" xfId="0" applyNumberFormat="1" applyFont="1" applyBorder="1" applyAlignment="1">
      <alignment horizontal="right" vertical="center"/>
    </xf>
    <xf numFmtId="14" fontId="49" fillId="45" borderId="55" xfId="0" applyNumberFormat="1" applyFont="1" applyFill="1" applyBorder="1" applyProtection="1">
      <protection locked="0"/>
    </xf>
    <xf numFmtId="38" fontId="49" fillId="45" borderId="55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42" borderId="0" xfId="0" applyFill="1" applyProtection="1">
      <protection locked="0"/>
    </xf>
    <xf numFmtId="38" fontId="0" fillId="42" borderId="0" xfId="0" applyNumberFormat="1" applyFill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170" fontId="0" fillId="0" borderId="0" xfId="0" applyNumberFormat="1" applyProtection="1">
      <protection locked="0"/>
    </xf>
    <xf numFmtId="38" fontId="0" fillId="0" borderId="0" xfId="0" applyNumberFormat="1" applyProtection="1">
      <protection locked="0"/>
    </xf>
    <xf numFmtId="3" fontId="0" fillId="0" borderId="2" xfId="0" applyNumberFormat="1" applyBorder="1" applyProtection="1">
      <protection locked="0"/>
    </xf>
    <xf numFmtId="0" fontId="0" fillId="37" borderId="0" xfId="0" applyFill="1" applyProtection="1">
      <protection locked="0"/>
    </xf>
    <xf numFmtId="0" fontId="41" fillId="0" borderId="0" xfId="0" applyFont="1" applyAlignment="1" applyProtection="1">
      <alignment horizontal="center"/>
      <protection locked="0"/>
    </xf>
    <xf numFmtId="165" fontId="41" fillId="0" borderId="0" xfId="0" applyNumberFormat="1" applyFont="1" applyProtection="1">
      <protection locked="0"/>
    </xf>
    <xf numFmtId="14" fontId="40" fillId="0" borderId="0" xfId="40" applyNumberFormat="1" applyProtection="1">
      <protection locked="0"/>
    </xf>
    <xf numFmtId="0" fontId="40" fillId="42" borderId="0" xfId="40" applyFill="1" applyProtection="1">
      <protection locked="0"/>
    </xf>
    <xf numFmtId="0" fontId="40" fillId="0" borderId="0" xfId="40" applyProtection="1">
      <protection locked="0"/>
    </xf>
    <xf numFmtId="38" fontId="21" fillId="0" borderId="0" xfId="40" applyNumberFormat="1" applyFont="1" applyProtection="1">
      <protection locked="0"/>
    </xf>
    <xf numFmtId="0" fontId="21" fillId="0" borderId="0" xfId="40" applyFont="1" applyProtection="1">
      <protection locked="0"/>
    </xf>
    <xf numFmtId="0" fontId="21" fillId="42" borderId="0" xfId="40" applyFont="1" applyFill="1" applyProtection="1">
      <protection locked="0"/>
    </xf>
    <xf numFmtId="38" fontId="40" fillId="0" borderId="0" xfId="38" applyNumberFormat="1" applyProtection="1">
      <protection locked="0"/>
    </xf>
    <xf numFmtId="14" fontId="0" fillId="41" borderId="0" xfId="0" applyNumberFormat="1" applyFill="1" applyProtection="1">
      <protection locked="0"/>
    </xf>
    <xf numFmtId="0" fontId="0" fillId="41" borderId="0" xfId="0" applyFill="1" applyProtection="1">
      <protection locked="0"/>
    </xf>
    <xf numFmtId="38" fontId="0" fillId="41" borderId="0" xfId="0" applyNumberFormat="1" applyFill="1" applyProtection="1">
      <protection locked="0"/>
    </xf>
    <xf numFmtId="0" fontId="21" fillId="41" borderId="0" xfId="0" applyFont="1" applyFill="1" applyProtection="1">
      <protection locked="0"/>
    </xf>
    <xf numFmtId="3" fontId="0" fillId="41" borderId="2" xfId="0" applyNumberFormat="1" applyFill="1" applyBorder="1" applyProtection="1">
      <protection locked="0"/>
    </xf>
    <xf numFmtId="3" fontId="21" fillId="0" borderId="2" xfId="0" applyNumberFormat="1" applyFont="1" applyBorder="1" applyProtection="1">
      <protection locked="0"/>
    </xf>
    <xf numFmtId="14" fontId="49" fillId="45" borderId="55" xfId="0" applyNumberFormat="1" applyFont="1" applyFill="1" applyBorder="1"/>
    <xf numFmtId="0" fontId="10" fillId="42" borderId="0" xfId="0" applyFont="1" applyFill="1"/>
    <xf numFmtId="0" fontId="0" fillId="41" borderId="2" xfId="0" applyFill="1" applyBorder="1"/>
    <xf numFmtId="3" fontId="0" fillId="41" borderId="2" xfId="0" applyNumberFormat="1" applyFill="1" applyBorder="1"/>
    <xf numFmtId="0" fontId="63" fillId="41" borderId="0" xfId="45" applyFont="1" applyFill="1" applyAlignment="1">
      <alignment horizontal="center"/>
    </xf>
    <xf numFmtId="0" fontId="38" fillId="0" borderId="0" xfId="0" applyFont="1"/>
    <xf numFmtId="14" fontId="0" fillId="37" borderId="0" xfId="0" applyNumberFormat="1" applyFill="1" applyProtection="1">
      <protection locked="0"/>
    </xf>
    <xf numFmtId="0" fontId="0" fillId="37" borderId="0" xfId="0" applyFill="1"/>
    <xf numFmtId="14" fontId="0" fillId="52" borderId="0" xfId="0" applyNumberFormat="1" applyFill="1" applyProtection="1">
      <protection locked="0"/>
    </xf>
    <xf numFmtId="0" fontId="0" fillId="52" borderId="0" xfId="0" applyFill="1" applyProtection="1">
      <protection locked="0"/>
    </xf>
    <xf numFmtId="38" fontId="0" fillId="52" borderId="0" xfId="0" applyNumberFormat="1" applyFill="1" applyProtection="1">
      <protection locked="0"/>
    </xf>
    <xf numFmtId="3" fontId="0" fillId="52" borderId="2" xfId="0" applyNumberFormat="1" applyFill="1" applyBorder="1" applyProtection="1">
      <protection locked="0"/>
    </xf>
    <xf numFmtId="0" fontId="21" fillId="52" borderId="0" xfId="0" applyFont="1" applyFill="1" applyProtection="1">
      <protection locked="0"/>
    </xf>
    <xf numFmtId="0" fontId="7" fillId="2" borderId="0" xfId="0" applyFont="1" applyFill="1"/>
    <xf numFmtId="38" fontId="0" fillId="0" borderId="56" xfId="0" applyNumberFormat="1" applyBorder="1"/>
    <xf numFmtId="0" fontId="0" fillId="0" borderId="8" xfId="0" applyBorder="1"/>
    <xf numFmtId="168" fontId="21" fillId="0" borderId="0" xfId="0" applyNumberFormat="1" applyFont="1"/>
    <xf numFmtId="38" fontId="0" fillId="38" borderId="0" xfId="0" applyNumberFormat="1" applyFill="1"/>
    <xf numFmtId="40" fontId="0" fillId="0" borderId="0" xfId="0" applyNumberFormat="1" applyProtection="1">
      <protection locked="0"/>
    </xf>
    <xf numFmtId="2" fontId="0" fillId="0" borderId="0" xfId="0" applyNumberFormat="1"/>
    <xf numFmtId="3" fontId="80" fillId="38" borderId="49" xfId="0" applyNumberFormat="1" applyFont="1" applyFill="1" applyBorder="1" applyAlignment="1">
      <alignment horizontal="right" vertical="center"/>
    </xf>
    <xf numFmtId="38" fontId="78" fillId="0" borderId="0" xfId="0" applyNumberFormat="1" applyFont="1"/>
    <xf numFmtId="167" fontId="7" fillId="2" borderId="1" xfId="0" quotePrefix="1" applyNumberFormat="1" applyFont="1" applyFill="1" applyBorder="1"/>
    <xf numFmtId="3" fontId="0" fillId="0" borderId="2" xfId="0" applyNumberFormat="1" applyBorder="1"/>
    <xf numFmtId="0" fontId="22" fillId="41" borderId="0" xfId="0" applyFont="1" applyFill="1"/>
    <xf numFmtId="165" fontId="22" fillId="41" borderId="2" xfId="0" applyNumberFormat="1" applyFont="1" applyFill="1" applyBorder="1"/>
    <xf numFmtId="3" fontId="22" fillId="41" borderId="0" xfId="0" applyNumberFormat="1" applyFont="1" applyFill="1"/>
    <xf numFmtId="3" fontId="22" fillId="41" borderId="2" xfId="0" applyNumberFormat="1" applyFont="1" applyFill="1" applyBorder="1"/>
    <xf numFmtId="165" fontId="22" fillId="41" borderId="0" xfId="0" applyNumberFormat="1" applyFont="1" applyFill="1"/>
    <xf numFmtId="165" fontId="22" fillId="41" borderId="12" xfId="0" applyNumberFormat="1" applyFont="1" applyFill="1" applyBorder="1"/>
    <xf numFmtId="3" fontId="26" fillId="41" borderId="0" xfId="0" applyNumberFormat="1" applyFont="1" applyFill="1"/>
    <xf numFmtId="167" fontId="22" fillId="41" borderId="0" xfId="0" applyNumberFormat="1" applyFont="1" applyFill="1"/>
    <xf numFmtId="0" fontId="0" fillId="37" borderId="2" xfId="0" applyFill="1" applyBorder="1"/>
    <xf numFmtId="38" fontId="0" fillId="37" borderId="0" xfId="0" applyNumberFormat="1" applyFill="1" applyProtection="1">
      <protection locked="0"/>
    </xf>
    <xf numFmtId="3" fontId="0" fillId="37" borderId="2" xfId="0" applyNumberFormat="1" applyFill="1" applyBorder="1" applyProtection="1">
      <protection locked="0"/>
    </xf>
    <xf numFmtId="0" fontId="21" fillId="37" borderId="0" xfId="0" applyFont="1" applyFill="1" applyProtection="1">
      <protection locked="0"/>
    </xf>
    <xf numFmtId="0" fontId="21" fillId="37" borderId="0" xfId="0" applyFont="1" applyFill="1"/>
    <xf numFmtId="0" fontId="21" fillId="37" borderId="2" xfId="0" applyFont="1" applyFill="1" applyBorder="1"/>
    <xf numFmtId="0" fontId="21" fillId="42" borderId="0" xfId="0" applyFont="1" applyFill="1" applyProtection="1">
      <protection locked="0"/>
    </xf>
    <xf numFmtId="14" fontId="21" fillId="0" borderId="0" xfId="41" applyNumberFormat="1" applyProtection="1">
      <protection locked="0"/>
    </xf>
    <xf numFmtId="0" fontId="21" fillId="42" borderId="0" xfId="41" applyFill="1" applyProtection="1">
      <protection locked="0"/>
    </xf>
    <xf numFmtId="0" fontId="21" fillId="0" borderId="0" xfId="41" applyProtection="1">
      <protection locked="0"/>
    </xf>
    <xf numFmtId="38" fontId="21" fillId="0" borderId="0" xfId="41" applyNumberFormat="1" applyProtection="1">
      <protection locked="0"/>
    </xf>
    <xf numFmtId="0" fontId="21" fillId="0" borderId="0" xfId="41"/>
    <xf numFmtId="0" fontId="21" fillId="42" borderId="0" xfId="41" applyFill="1"/>
    <xf numFmtId="38" fontId="0" fillId="0" borderId="2" xfId="0" applyNumberFormat="1" applyBorder="1" applyProtection="1">
      <protection locked="0"/>
    </xf>
    <xf numFmtId="3" fontId="0" fillId="37" borderId="0" xfId="0" applyNumberFormat="1" applyFill="1" applyProtection="1">
      <protection locked="0"/>
    </xf>
    <xf numFmtId="0" fontId="0" fillId="0" borderId="0" xfId="0" pivotButton="1"/>
    <xf numFmtId="22" fontId="0" fillId="0" borderId="0" xfId="0" applyNumberFormat="1"/>
    <xf numFmtId="38" fontId="21" fillId="41" borderId="0" xfId="40" applyNumberFormat="1" applyFont="1" applyFill="1" applyProtection="1">
      <protection locked="0"/>
    </xf>
    <xf numFmtId="0" fontId="21" fillId="41" borderId="0" xfId="40" applyFont="1" applyFill="1" applyProtection="1">
      <protection locked="0"/>
    </xf>
    <xf numFmtId="38" fontId="0" fillId="51" borderId="0" xfId="0" applyNumberFormat="1" applyFill="1" applyProtection="1">
      <protection locked="0"/>
    </xf>
    <xf numFmtId="38" fontId="0" fillId="38" borderId="0" xfId="0" applyNumberFormat="1" applyFill="1" applyProtection="1">
      <protection locked="0"/>
    </xf>
    <xf numFmtId="14" fontId="0" fillId="38" borderId="0" xfId="0" applyNumberFormat="1" applyFill="1" applyProtection="1">
      <protection locked="0"/>
    </xf>
    <xf numFmtId="0" fontId="0" fillId="38" borderId="0" xfId="0" applyFill="1" applyProtection="1">
      <protection locked="0"/>
    </xf>
    <xf numFmtId="0" fontId="0" fillId="38" borderId="0" xfId="0" applyFill="1"/>
    <xf numFmtId="0" fontId="89" fillId="0" borderId="0" xfId="0" applyFont="1" applyAlignment="1">
      <alignment vertical="center"/>
    </xf>
    <xf numFmtId="0" fontId="92" fillId="44" borderId="49" xfId="0" applyFont="1" applyFill="1" applyBorder="1" applyAlignment="1">
      <alignment horizontal="center" vertical="center" wrapText="1"/>
    </xf>
    <xf numFmtId="0" fontId="90" fillId="0" borderId="49" xfId="0" applyFont="1" applyBorder="1" applyAlignment="1">
      <alignment horizontal="center" vertical="center" wrapText="1"/>
    </xf>
    <xf numFmtId="0" fontId="91" fillId="0" borderId="49" xfId="0" applyFont="1" applyBorder="1" applyAlignment="1">
      <alignment horizontal="left" vertical="center" wrapText="1"/>
    </xf>
    <xf numFmtId="0" fontId="13" fillId="0" borderId="49" xfId="31" applyBorder="1" applyAlignment="1" applyProtection="1">
      <alignment vertical="center" wrapText="1"/>
    </xf>
    <xf numFmtId="14" fontId="91" fillId="0" borderId="49" xfId="0" applyNumberFormat="1" applyFont="1" applyBorder="1" applyAlignment="1">
      <alignment horizontal="left" vertical="center" wrapText="1"/>
    </xf>
    <xf numFmtId="0" fontId="91" fillId="0" borderId="49" xfId="0" applyFont="1" applyBorder="1" applyAlignment="1">
      <alignment horizontal="right" vertical="center" wrapText="1"/>
    </xf>
    <xf numFmtId="3" fontId="91" fillId="0" borderId="49" xfId="0" applyNumberFormat="1" applyFont="1" applyBorder="1" applyAlignment="1">
      <alignment horizontal="right" vertical="center" wrapText="1"/>
    </xf>
    <xf numFmtId="0" fontId="90" fillId="0" borderId="0" xfId="0" applyFont="1" applyAlignment="1">
      <alignment vertical="center" wrapText="1"/>
    </xf>
    <xf numFmtId="0" fontId="0" fillId="41" borderId="0" xfId="0" applyFill="1"/>
    <xf numFmtId="0" fontId="21" fillId="41" borderId="0" xfId="41" applyFill="1" applyProtection="1">
      <protection locked="0"/>
    </xf>
    <xf numFmtId="0" fontId="31" fillId="41" borderId="0" xfId="0" applyFont="1" applyFill="1"/>
    <xf numFmtId="165" fontId="31" fillId="41" borderId="3" xfId="0" applyNumberFormat="1" applyFont="1" applyFill="1" applyBorder="1"/>
    <xf numFmtId="167" fontId="31" fillId="41" borderId="12" xfId="0" quotePrefix="1" applyNumberFormat="1" applyFont="1" applyFill="1" applyBorder="1"/>
    <xf numFmtId="3" fontId="31" fillId="41" borderId="0" xfId="0" applyNumberFormat="1" applyFont="1" applyFill="1"/>
    <xf numFmtId="3" fontId="31" fillId="41" borderId="3" xfId="0" applyNumberFormat="1" applyFont="1" applyFill="1" applyBorder="1"/>
    <xf numFmtId="3" fontId="0" fillId="37" borderId="0" xfId="0" applyNumberFormat="1" applyFill="1"/>
    <xf numFmtId="3" fontId="0" fillId="38" borderId="2" xfId="0" applyNumberFormat="1" applyFill="1" applyBorder="1" applyProtection="1">
      <protection locked="0"/>
    </xf>
    <xf numFmtId="3" fontId="77" fillId="0" borderId="0" xfId="0" applyNumberFormat="1" applyFont="1"/>
    <xf numFmtId="0" fontId="93" fillId="43" borderId="49" xfId="0" applyFont="1" applyFill="1" applyBorder="1" applyAlignment="1">
      <alignment horizontal="center" vertical="center" wrapText="1"/>
    </xf>
    <xf numFmtId="3" fontId="93" fillId="0" borderId="49" xfId="0" applyNumberFormat="1" applyFont="1" applyBorder="1" applyAlignment="1">
      <alignment horizontal="right" vertical="center" wrapText="1"/>
    </xf>
    <xf numFmtId="0" fontId="10" fillId="0" borderId="0" xfId="0" applyFont="1"/>
    <xf numFmtId="0" fontId="94" fillId="43" borderId="49" xfId="0" applyFont="1" applyFill="1" applyBorder="1" applyAlignment="1">
      <alignment horizontal="center" vertical="center" wrapText="1"/>
    </xf>
    <xf numFmtId="0" fontId="93" fillId="0" borderId="49" xfId="0" applyFont="1" applyBorder="1" applyAlignment="1">
      <alignment horizontal="left" vertical="center" wrapText="1"/>
    </xf>
    <xf numFmtId="0" fontId="95" fillId="0" borderId="49" xfId="31" applyFont="1" applyBorder="1" applyAlignment="1" applyProtection="1">
      <alignment horizontal="left" vertical="center" wrapText="1"/>
    </xf>
    <xf numFmtId="14" fontId="93" fillId="0" borderId="49" xfId="0" applyNumberFormat="1" applyFont="1" applyBorder="1" applyAlignment="1">
      <alignment horizontal="left" vertical="center" wrapText="1"/>
    </xf>
    <xf numFmtId="0" fontId="93" fillId="0" borderId="49" xfId="0" applyFont="1" applyBorder="1" applyAlignment="1">
      <alignment horizontal="center" vertical="center" wrapText="1"/>
    </xf>
    <xf numFmtId="0" fontId="10" fillId="0" borderId="37" xfId="0" applyFont="1" applyBorder="1"/>
    <xf numFmtId="0" fontId="93" fillId="53" borderId="49" xfId="0" applyFont="1" applyFill="1" applyBorder="1" applyAlignment="1">
      <alignment horizontal="left" vertical="center" wrapText="1"/>
    </xf>
    <xf numFmtId="0" fontId="95" fillId="53" borderId="49" xfId="31" applyFont="1" applyFill="1" applyBorder="1" applyAlignment="1" applyProtection="1">
      <alignment horizontal="left" vertical="center" wrapText="1"/>
    </xf>
    <xf numFmtId="14" fontId="93" fillId="53" borderId="49" xfId="0" applyNumberFormat="1" applyFont="1" applyFill="1" applyBorder="1" applyAlignment="1">
      <alignment horizontal="left" vertical="center" wrapText="1"/>
    </xf>
    <xf numFmtId="0" fontId="93" fillId="53" borderId="49" xfId="0" applyFont="1" applyFill="1" applyBorder="1" applyAlignment="1">
      <alignment horizontal="center" vertical="center" wrapText="1"/>
    </xf>
    <xf numFmtId="3" fontId="93" fillId="53" borderId="49" xfId="0" applyNumberFormat="1" applyFont="1" applyFill="1" applyBorder="1" applyAlignment="1">
      <alignment horizontal="right" vertical="center" wrapText="1"/>
    </xf>
    <xf numFmtId="0" fontId="10" fillId="53" borderId="0" xfId="0" applyFont="1" applyFill="1"/>
    <xf numFmtId="14" fontId="21" fillId="0" borderId="0" xfId="0" applyNumberFormat="1" applyFont="1" applyProtection="1">
      <protection locked="0"/>
    </xf>
    <xf numFmtId="0" fontId="93" fillId="41" borderId="49" xfId="0" applyFont="1" applyFill="1" applyBorder="1" applyAlignment="1">
      <alignment horizontal="left" vertical="center" wrapText="1"/>
    </xf>
    <xf numFmtId="0" fontId="95" fillId="41" borderId="49" xfId="31" applyFont="1" applyFill="1" applyBorder="1" applyAlignment="1" applyProtection="1">
      <alignment horizontal="left" vertical="center" wrapText="1"/>
    </xf>
    <xf numFmtId="14" fontId="93" fillId="41" borderId="49" xfId="0" applyNumberFormat="1" applyFont="1" applyFill="1" applyBorder="1" applyAlignment="1">
      <alignment horizontal="left" vertical="center" wrapText="1"/>
    </xf>
    <xf numFmtId="0" fontId="93" fillId="41" borderId="49" xfId="0" applyFont="1" applyFill="1" applyBorder="1" applyAlignment="1">
      <alignment horizontal="center" vertical="center" wrapText="1"/>
    </xf>
    <xf numFmtId="3" fontId="93" fillId="41" borderId="49" xfId="0" applyNumberFormat="1" applyFont="1" applyFill="1" applyBorder="1" applyAlignment="1">
      <alignment horizontal="right" vertical="center" wrapText="1"/>
    </xf>
    <xf numFmtId="0" fontId="10" fillId="41" borderId="0" xfId="0" applyFont="1" applyFill="1"/>
    <xf numFmtId="3" fontId="10" fillId="0" borderId="0" xfId="0" applyNumberFormat="1" applyFont="1"/>
    <xf numFmtId="3" fontId="93" fillId="38" borderId="49" xfId="0" applyNumberFormat="1" applyFont="1" applyFill="1" applyBorder="1" applyAlignment="1">
      <alignment horizontal="right" vertical="center" wrapText="1"/>
    </xf>
    <xf numFmtId="0" fontId="0" fillId="38" borderId="2" xfId="0" applyFill="1" applyBorder="1"/>
    <xf numFmtId="3" fontId="0" fillId="38" borderId="2" xfId="0" applyNumberFormat="1" applyFill="1" applyBorder="1"/>
    <xf numFmtId="38" fontId="0" fillId="41" borderId="0" xfId="0" applyNumberFormat="1" applyFill="1"/>
    <xf numFmtId="38" fontId="21" fillId="41" borderId="0" xfId="41" applyNumberFormat="1" applyFill="1" applyProtection="1">
      <protection locked="0"/>
    </xf>
    <xf numFmtId="14" fontId="0" fillId="41" borderId="0" xfId="0" applyNumberFormat="1" applyFill="1"/>
    <xf numFmtId="22" fontId="0" fillId="41" borderId="0" xfId="0" applyNumberFormat="1" applyFill="1"/>
    <xf numFmtId="0" fontId="0" fillId="54" borderId="0" xfId="0" applyFill="1"/>
    <xf numFmtId="17" fontId="0" fillId="0" borderId="0" xfId="0" applyNumberFormat="1"/>
    <xf numFmtId="14" fontId="40" fillId="55" borderId="0" xfId="40" applyNumberFormat="1" applyFill="1" applyProtection="1">
      <protection locked="0"/>
    </xf>
    <xf numFmtId="0" fontId="40" fillId="55" borderId="0" xfId="40" applyFill="1" applyProtection="1">
      <protection locked="0"/>
    </xf>
    <xf numFmtId="0" fontId="0" fillId="55" borderId="0" xfId="0" applyFill="1" applyProtection="1">
      <protection locked="0"/>
    </xf>
    <xf numFmtId="38" fontId="21" fillId="55" borderId="0" xfId="40" applyNumberFormat="1" applyFont="1" applyFill="1" applyProtection="1">
      <protection locked="0"/>
    </xf>
    <xf numFmtId="0" fontId="21" fillId="55" borderId="0" xfId="40" applyFont="1" applyFill="1" applyProtection="1">
      <protection locked="0"/>
    </xf>
    <xf numFmtId="41" fontId="0" fillId="37" borderId="0" xfId="59" applyFont="1" applyFill="1" applyProtection="1">
      <protection locked="0"/>
    </xf>
    <xf numFmtId="38" fontId="0" fillId="51" borderId="0" xfId="0" applyNumberFormat="1" applyFill="1"/>
    <xf numFmtId="0" fontId="21" fillId="38" borderId="0" xfId="0" applyFont="1" applyFill="1"/>
    <xf numFmtId="0" fontId="97" fillId="43" borderId="49" xfId="0" applyFont="1" applyFill="1" applyBorder="1" applyAlignment="1">
      <alignment horizontal="center" vertical="center" wrapText="1"/>
    </xf>
    <xf numFmtId="0" fontId="98" fillId="43" borderId="49" xfId="0" applyFont="1" applyFill="1" applyBorder="1" applyAlignment="1">
      <alignment horizontal="center" vertical="center" wrapText="1"/>
    </xf>
    <xf numFmtId="0" fontId="89" fillId="43" borderId="49" xfId="0" applyFont="1" applyFill="1" applyBorder="1" applyAlignment="1">
      <alignment horizontal="center" vertical="center" wrapText="1"/>
    </xf>
    <xf numFmtId="0" fontId="89" fillId="0" borderId="49" xfId="0" applyFont="1" applyBorder="1" applyAlignment="1">
      <alignment horizontal="left" vertical="center" wrapText="1"/>
    </xf>
    <xf numFmtId="0" fontId="13" fillId="0" borderId="49" xfId="31" applyBorder="1" applyAlignment="1" applyProtection="1">
      <alignment horizontal="left" vertical="center" wrapText="1"/>
    </xf>
    <xf numFmtId="14" fontId="89" fillId="0" borderId="49" xfId="0" applyNumberFormat="1" applyFont="1" applyBorder="1" applyAlignment="1">
      <alignment horizontal="left" vertical="center" wrapText="1"/>
    </xf>
    <xf numFmtId="0" fontId="89" fillId="0" borderId="49" xfId="0" applyFont="1" applyBorder="1" applyAlignment="1">
      <alignment horizontal="center" vertical="center" wrapText="1"/>
    </xf>
    <xf numFmtId="3" fontId="89" fillId="0" borderId="49" xfId="0" applyNumberFormat="1" applyFont="1" applyBorder="1" applyAlignment="1">
      <alignment horizontal="right" vertical="center" wrapText="1"/>
    </xf>
    <xf numFmtId="0" fontId="0" fillId="0" borderId="64" xfId="0" applyBorder="1"/>
    <xf numFmtId="0" fontId="0" fillId="0" borderId="33" xfId="0" applyBorder="1"/>
    <xf numFmtId="0" fontId="0" fillId="0" borderId="35" xfId="0" applyBorder="1"/>
    <xf numFmtId="3" fontId="0" fillId="38" borderId="0" xfId="0" applyNumberFormat="1" applyFill="1" applyProtection="1">
      <protection locked="0"/>
    </xf>
    <xf numFmtId="0" fontId="21" fillId="38" borderId="0" xfId="0" applyFont="1" applyFill="1" applyProtection="1">
      <protection locked="0"/>
    </xf>
    <xf numFmtId="0" fontId="100" fillId="0" borderId="66" xfId="0" applyFont="1" applyBorder="1"/>
    <xf numFmtId="0" fontId="100" fillId="37" borderId="66" xfId="0" applyFont="1" applyFill="1" applyBorder="1"/>
    <xf numFmtId="38" fontId="0" fillId="0" borderId="66" xfId="0" applyNumberFormat="1" applyBorder="1"/>
    <xf numFmtId="0" fontId="99" fillId="0" borderId="66" xfId="0" applyFont="1" applyBorder="1"/>
    <xf numFmtId="14" fontId="100" fillId="0" borderId="65" xfId="0" applyNumberFormat="1" applyFont="1" applyBorder="1"/>
    <xf numFmtId="0" fontId="100" fillId="42" borderId="66" xfId="0" applyFont="1" applyFill="1" applyBorder="1"/>
    <xf numFmtId="38" fontId="0" fillId="42" borderId="66" xfId="0" applyNumberFormat="1" applyFill="1" applyBorder="1"/>
    <xf numFmtId="38" fontId="0" fillId="37" borderId="66" xfId="0" applyNumberFormat="1" applyFill="1" applyBorder="1"/>
    <xf numFmtId="0" fontId="99" fillId="42" borderId="66" xfId="0" applyFont="1" applyFill="1" applyBorder="1"/>
    <xf numFmtId="14" fontId="100" fillId="37" borderId="65" xfId="0" applyNumberFormat="1" applyFont="1" applyFill="1" applyBorder="1"/>
    <xf numFmtId="3" fontId="99" fillId="0" borderId="67" xfId="0" applyNumberFormat="1" applyFont="1" applyBorder="1"/>
    <xf numFmtId="3" fontId="100" fillId="0" borderId="67" xfId="0" applyNumberFormat="1" applyFont="1" applyBorder="1"/>
    <xf numFmtId="14" fontId="100" fillId="0" borderId="65" xfId="0" applyNumberFormat="1" applyFont="1" applyBorder="1" applyProtection="1">
      <protection locked="0"/>
    </xf>
    <xf numFmtId="0" fontId="100" fillId="42" borderId="66" xfId="0" applyFont="1" applyFill="1" applyBorder="1" applyProtection="1">
      <protection locked="0"/>
    </xf>
    <xf numFmtId="0" fontId="100" fillId="0" borderId="66" xfId="0" applyFont="1" applyBorder="1" applyProtection="1">
      <protection locked="0"/>
    </xf>
    <xf numFmtId="38" fontId="0" fillId="42" borderId="66" xfId="0" applyNumberFormat="1" applyFill="1" applyBorder="1" applyProtection="1">
      <protection locked="0"/>
    </xf>
    <xf numFmtId="0" fontId="99" fillId="42" borderId="66" xfId="0" applyFont="1" applyFill="1" applyBorder="1" applyProtection="1">
      <protection locked="0"/>
    </xf>
    <xf numFmtId="38" fontId="0" fillId="0" borderId="66" xfId="0" applyNumberFormat="1" applyBorder="1" applyProtection="1">
      <protection locked="0"/>
    </xf>
    <xf numFmtId="38" fontId="100" fillId="0" borderId="67" xfId="0" applyNumberFormat="1" applyFont="1" applyBorder="1" applyProtection="1">
      <protection locked="0"/>
    </xf>
    <xf numFmtId="167" fontId="31" fillId="2" borderId="3" xfId="0" quotePrefix="1" applyNumberFormat="1" applyFont="1" applyFill="1" applyBorder="1"/>
    <xf numFmtId="167" fontId="31" fillId="2" borderId="10" xfId="0" quotePrefix="1" applyNumberFormat="1" applyFont="1" applyFill="1" applyBorder="1"/>
    <xf numFmtId="38" fontId="99" fillId="0" borderId="67" xfId="0" applyNumberFormat="1" applyFont="1" applyBorder="1" applyProtection="1">
      <protection locked="0"/>
    </xf>
    <xf numFmtId="38" fontId="100" fillId="0" borderId="66" xfId="0" applyNumberFormat="1" applyFont="1" applyBorder="1" applyProtection="1">
      <protection locked="0"/>
    </xf>
    <xf numFmtId="0" fontId="97" fillId="0" borderId="0" xfId="0" applyFont="1"/>
    <xf numFmtId="14" fontId="100" fillId="0" borderId="0" xfId="0" applyNumberFormat="1" applyFont="1" applyProtection="1">
      <protection locked="0"/>
    </xf>
    <xf numFmtId="165" fontId="3" fillId="0" borderId="0" xfId="61" applyNumberFormat="1"/>
    <xf numFmtId="0" fontId="100" fillId="42" borderId="0" xfId="0" applyFont="1" applyFill="1" applyProtection="1">
      <protection locked="0"/>
    </xf>
    <xf numFmtId="0" fontId="100" fillId="0" borderId="0" xfId="0" applyFont="1" applyProtection="1">
      <protection locked="0"/>
    </xf>
    <xf numFmtId="38" fontId="99" fillId="0" borderId="0" xfId="0" applyNumberFormat="1" applyFont="1" applyProtection="1">
      <protection locked="0"/>
    </xf>
    <xf numFmtId="0" fontId="99" fillId="42" borderId="0" xfId="0" applyFont="1" applyFill="1" applyProtection="1">
      <protection locked="0"/>
    </xf>
    <xf numFmtId="3" fontId="78" fillId="0" borderId="0" xfId="0" applyNumberFormat="1" applyFont="1"/>
    <xf numFmtId="38" fontId="21" fillId="55" borderId="0" xfId="41" applyNumberFormat="1" applyFill="1" applyProtection="1">
      <protection locked="0"/>
    </xf>
    <xf numFmtId="0" fontId="21" fillId="55" borderId="0" xfId="41" applyFill="1" applyProtection="1">
      <protection locked="0"/>
    </xf>
    <xf numFmtId="14" fontId="102" fillId="45" borderId="0" xfId="0" applyNumberFormat="1" applyFont="1" applyFill="1" applyProtection="1">
      <protection locked="0"/>
    </xf>
    <xf numFmtId="38" fontId="21" fillId="0" borderId="0" xfId="39" applyNumberFormat="1" applyProtection="1">
      <protection locked="0"/>
    </xf>
    <xf numFmtId="41" fontId="0" fillId="0" borderId="0" xfId="59" applyFont="1"/>
    <xf numFmtId="0" fontId="104" fillId="43" borderId="49" xfId="0" applyFont="1" applyFill="1" applyBorder="1" applyAlignment="1">
      <alignment horizontal="center" vertical="center" wrapText="1"/>
    </xf>
    <xf numFmtId="0" fontId="103" fillId="43" borderId="49" xfId="0" applyFont="1" applyFill="1" applyBorder="1" applyAlignment="1">
      <alignment horizontal="center" vertical="center" wrapText="1"/>
    </xf>
    <xf numFmtId="0" fontId="103" fillId="0" borderId="49" xfId="0" applyFont="1" applyBorder="1" applyAlignment="1">
      <alignment horizontal="left" vertical="center" wrapText="1"/>
    </xf>
    <xf numFmtId="14" fontId="103" fillId="0" borderId="49" xfId="0" applyNumberFormat="1" applyFont="1" applyBorder="1" applyAlignment="1">
      <alignment horizontal="left" vertical="center" wrapText="1"/>
    </xf>
    <xf numFmtId="0" fontId="103" fillId="0" borderId="49" xfId="0" applyFont="1" applyBorder="1" applyAlignment="1">
      <alignment horizontal="center" vertical="center" wrapText="1"/>
    </xf>
    <xf numFmtId="3" fontId="103" fillId="0" borderId="49" xfId="0" applyNumberFormat="1" applyFont="1" applyBorder="1" applyAlignment="1">
      <alignment horizontal="right" vertical="center" wrapText="1"/>
    </xf>
    <xf numFmtId="0" fontId="103" fillId="0" borderId="49" xfId="0" applyFont="1" applyBorder="1" applyAlignment="1">
      <alignment horizontal="right" vertical="center" wrapText="1"/>
    </xf>
    <xf numFmtId="0" fontId="90" fillId="0" borderId="0" xfId="0" applyFont="1" applyAlignment="1">
      <alignment horizontal="center" vertical="center" wrapText="1"/>
    </xf>
    <xf numFmtId="0" fontId="97" fillId="0" borderId="0" xfId="0" applyFont="1" applyAlignment="1">
      <alignment horizontal="center" vertical="center" wrapText="1"/>
    </xf>
    <xf numFmtId="14" fontId="99" fillId="0" borderId="65" xfId="0" applyNumberFormat="1" applyFont="1" applyBorder="1"/>
    <xf numFmtId="0" fontId="99" fillId="37" borderId="66" xfId="0" applyFont="1" applyFill="1" applyBorder="1"/>
    <xf numFmtId="38" fontId="21" fillId="42" borderId="66" xfId="0" applyNumberFormat="1" applyFont="1" applyFill="1" applyBorder="1"/>
    <xf numFmtId="38" fontId="21" fillId="0" borderId="66" xfId="0" applyNumberFormat="1" applyFont="1" applyBorder="1"/>
    <xf numFmtId="38" fontId="21" fillId="37" borderId="66" xfId="0" applyNumberFormat="1" applyFont="1" applyFill="1" applyBorder="1"/>
    <xf numFmtId="14" fontId="99" fillId="37" borderId="65" xfId="0" applyNumberFormat="1" applyFont="1" applyFill="1" applyBorder="1"/>
    <xf numFmtId="38" fontId="99" fillId="42" borderId="66" xfId="0" applyNumberFormat="1" applyFont="1" applyFill="1" applyBorder="1"/>
    <xf numFmtId="38" fontId="99" fillId="0" borderId="66" xfId="0" applyNumberFormat="1" applyFont="1" applyBorder="1"/>
    <xf numFmtId="38" fontId="99" fillId="0" borderId="67" xfId="0" applyNumberFormat="1" applyFont="1" applyBorder="1"/>
    <xf numFmtId="38" fontId="99" fillId="37" borderId="66" xfId="0" applyNumberFormat="1" applyFont="1" applyFill="1" applyBorder="1"/>
    <xf numFmtId="0" fontId="0" fillId="0" borderId="0" xfId="0" applyAlignment="1">
      <alignment horizontal="left"/>
    </xf>
    <xf numFmtId="167" fontId="31" fillId="41" borderId="0" xfId="0" applyNumberFormat="1" applyFont="1" applyFill="1"/>
    <xf numFmtId="167" fontId="31" fillId="41" borderId="8" xfId="0" quotePrefix="1" applyNumberFormat="1" applyFont="1" applyFill="1" applyBorder="1"/>
    <xf numFmtId="0" fontId="105" fillId="56" borderId="68" xfId="0" applyFont="1" applyFill="1" applyBorder="1"/>
    <xf numFmtId="3" fontId="21" fillId="0" borderId="0" xfId="0" applyNumberFormat="1" applyFont="1"/>
    <xf numFmtId="0" fontId="38" fillId="0" borderId="4" xfId="0" applyFont="1" applyBorder="1"/>
    <xf numFmtId="3" fontId="38" fillId="0" borderId="4" xfId="0" applyNumberFormat="1" applyFont="1" applyBorder="1"/>
    <xf numFmtId="0" fontId="38" fillId="0" borderId="12" xfId="0" applyFont="1" applyBorder="1"/>
    <xf numFmtId="3" fontId="38" fillId="0" borderId="12" xfId="0" applyNumberFormat="1" applyFont="1" applyBorder="1" applyAlignment="1">
      <alignment horizontal="center"/>
    </xf>
    <xf numFmtId="3" fontId="38" fillId="0" borderId="3" xfId="0" applyNumberFormat="1" applyFont="1" applyBorder="1" applyAlignment="1">
      <alignment horizontal="center"/>
    </xf>
    <xf numFmtId="0" fontId="0" fillId="0" borderId="4" xfId="0" applyBorder="1"/>
    <xf numFmtId="3" fontId="0" fillId="0" borderId="4" xfId="0" applyNumberFormat="1" applyBorder="1"/>
    <xf numFmtId="0" fontId="65" fillId="0" borderId="0" xfId="45" applyFont="1" applyAlignment="1">
      <alignment horizontal="right"/>
    </xf>
    <xf numFmtId="0" fontId="0" fillId="0" borderId="3" xfId="0" applyBorder="1"/>
    <xf numFmtId="3" fontId="0" fillId="0" borderId="3" xfId="0" applyNumberFormat="1" applyBorder="1"/>
    <xf numFmtId="0" fontId="21" fillId="0" borderId="0" xfId="0" applyFont="1" applyAlignment="1">
      <alignment horizontal="center"/>
    </xf>
    <xf numFmtId="0" fontId="99" fillId="37" borderId="66" xfId="0" applyFont="1" applyFill="1" applyBorder="1" applyProtection="1">
      <protection locked="0"/>
    </xf>
    <xf numFmtId="0" fontId="90" fillId="41" borderId="49" xfId="0" applyFont="1" applyFill="1" applyBorder="1" applyAlignment="1">
      <alignment horizontal="center" vertical="center" wrapText="1"/>
    </xf>
    <xf numFmtId="0" fontId="91" fillId="41" borderId="49" xfId="0" applyFont="1" applyFill="1" applyBorder="1" applyAlignment="1">
      <alignment horizontal="left" vertical="center" wrapText="1"/>
    </xf>
    <xf numFmtId="0" fontId="13" fillId="41" borderId="49" xfId="31" applyFill="1" applyBorder="1" applyAlignment="1" applyProtection="1">
      <alignment vertical="center" wrapText="1"/>
    </xf>
    <xf numFmtId="14" fontId="91" fillId="41" borderId="49" xfId="0" applyNumberFormat="1" applyFont="1" applyFill="1" applyBorder="1" applyAlignment="1">
      <alignment horizontal="left" vertical="center" wrapText="1"/>
    </xf>
    <xf numFmtId="0" fontId="91" fillId="41" borderId="49" xfId="0" applyFont="1" applyFill="1" applyBorder="1" applyAlignment="1">
      <alignment horizontal="right" vertical="center" wrapText="1"/>
    </xf>
    <xf numFmtId="3" fontId="91" fillId="41" borderId="49" xfId="0" applyNumberFormat="1" applyFont="1" applyFill="1" applyBorder="1" applyAlignment="1">
      <alignment horizontal="right" vertical="center" wrapText="1"/>
    </xf>
    <xf numFmtId="0" fontId="77" fillId="41" borderId="0" xfId="0" applyFont="1" applyFill="1"/>
    <xf numFmtId="14" fontId="99" fillId="37" borderId="65" xfId="0" applyNumberFormat="1" applyFont="1" applyFill="1" applyBorder="1" applyProtection="1">
      <protection locked="0"/>
    </xf>
    <xf numFmtId="38" fontId="99" fillId="42" borderId="66" xfId="0" applyNumberFormat="1" applyFont="1" applyFill="1" applyBorder="1" applyProtection="1">
      <protection locked="0"/>
    </xf>
    <xf numFmtId="38" fontId="99" fillId="37" borderId="66" xfId="0" applyNumberFormat="1" applyFont="1" applyFill="1" applyBorder="1" applyProtection="1">
      <protection locked="0"/>
    </xf>
    <xf numFmtId="3" fontId="0" fillId="38" borderId="0" xfId="0" applyNumberFormat="1" applyFill="1"/>
    <xf numFmtId="0" fontId="21" fillId="38" borderId="2" xfId="0" applyFont="1" applyFill="1" applyBorder="1"/>
    <xf numFmtId="3" fontId="21" fillId="38" borderId="2" xfId="0" applyNumberFormat="1" applyFont="1" applyFill="1" applyBorder="1"/>
    <xf numFmtId="3" fontId="82" fillId="38" borderId="2" xfId="0" applyNumberFormat="1" applyFont="1" applyFill="1" applyBorder="1"/>
    <xf numFmtId="3" fontId="103" fillId="41" borderId="49" xfId="0" applyNumberFormat="1" applyFont="1" applyFill="1" applyBorder="1" applyAlignment="1">
      <alignment horizontal="right" vertical="center" wrapText="1"/>
    </xf>
    <xf numFmtId="38" fontId="10" fillId="0" borderId="0" xfId="0" applyNumberFormat="1" applyFont="1"/>
    <xf numFmtId="172" fontId="21" fillId="0" borderId="0" xfId="0" applyNumberFormat="1" applyFont="1"/>
    <xf numFmtId="172" fontId="0" fillId="0" borderId="0" xfId="0" applyNumberFormat="1"/>
    <xf numFmtId="172" fontId="38" fillId="0" borderId="0" xfId="0" applyNumberFormat="1" applyFont="1"/>
    <xf numFmtId="40" fontId="38" fillId="0" borderId="0" xfId="0" applyNumberFormat="1" applyFont="1"/>
    <xf numFmtId="0" fontId="21" fillId="0" borderId="18" xfId="0" applyFont="1" applyBorder="1"/>
    <xf numFmtId="3" fontId="0" fillId="41" borderId="0" xfId="0" applyNumberFormat="1" applyFill="1"/>
    <xf numFmtId="41" fontId="0" fillId="41" borderId="0" xfId="59" applyFont="1" applyFill="1"/>
    <xf numFmtId="41" fontId="0" fillId="38" borderId="0" xfId="59" applyFont="1" applyFill="1"/>
    <xf numFmtId="165" fontId="27" fillId="3" borderId="16" xfId="0" applyNumberFormat="1" applyFont="1" applyFill="1" applyBorder="1" applyAlignment="1">
      <alignment horizontal="center"/>
    </xf>
    <xf numFmtId="165" fontId="27" fillId="3" borderId="13" xfId="0" applyNumberFormat="1" applyFont="1" applyFill="1" applyBorder="1" applyAlignment="1">
      <alignment horizontal="center"/>
    </xf>
    <xf numFmtId="165" fontId="27" fillId="3" borderId="5" xfId="0" applyNumberFormat="1" applyFont="1" applyFill="1" applyBorder="1" applyAlignment="1">
      <alignment horizontal="center"/>
    </xf>
    <xf numFmtId="165" fontId="28" fillId="3" borderId="15" xfId="0" applyNumberFormat="1" applyFont="1" applyFill="1" applyBorder="1" applyAlignment="1">
      <alignment horizontal="center"/>
    </xf>
    <xf numFmtId="165" fontId="28" fillId="3" borderId="14" xfId="0" applyNumberFormat="1" applyFont="1" applyFill="1" applyBorder="1" applyAlignment="1">
      <alignment horizontal="center"/>
    </xf>
    <xf numFmtId="165" fontId="28" fillId="3" borderId="7" xfId="0" applyNumberFormat="1" applyFont="1" applyFill="1" applyBorder="1" applyAlignment="1">
      <alignment horizontal="center"/>
    </xf>
    <xf numFmtId="167" fontId="27" fillId="3" borderId="16" xfId="0" applyNumberFormat="1" applyFont="1" applyFill="1" applyBorder="1" applyAlignment="1">
      <alignment horizontal="center"/>
    </xf>
    <xf numFmtId="167" fontId="27" fillId="3" borderId="13" xfId="0" applyNumberFormat="1" applyFont="1" applyFill="1" applyBorder="1" applyAlignment="1">
      <alignment horizontal="center"/>
    </xf>
    <xf numFmtId="167" fontId="27" fillId="3" borderId="5" xfId="0" applyNumberFormat="1" applyFont="1" applyFill="1" applyBorder="1" applyAlignment="1">
      <alignment horizontal="center"/>
    </xf>
    <xf numFmtId="167" fontId="29" fillId="3" borderId="15" xfId="0" applyNumberFormat="1" applyFont="1" applyFill="1" applyBorder="1" applyAlignment="1">
      <alignment horizontal="center"/>
    </xf>
    <xf numFmtId="167" fontId="29" fillId="3" borderId="14" xfId="0" applyNumberFormat="1" applyFont="1" applyFill="1" applyBorder="1" applyAlignment="1">
      <alignment horizontal="center"/>
    </xf>
    <xf numFmtId="167" fontId="29" fillId="3" borderId="7" xfId="0" applyNumberFormat="1" applyFont="1" applyFill="1" applyBorder="1" applyAlignment="1">
      <alignment horizontal="center"/>
    </xf>
    <xf numFmtId="167" fontId="8" fillId="2" borderId="0" xfId="0" applyNumberFormat="1" applyFont="1" applyFill="1" applyAlignment="1">
      <alignment horizontal="center"/>
    </xf>
    <xf numFmtId="0" fontId="97" fillId="43" borderId="61" xfId="0" applyFont="1" applyFill="1" applyBorder="1" applyAlignment="1">
      <alignment horizontal="center" vertical="center" wrapText="1"/>
    </xf>
    <xf numFmtId="0" fontId="97" fillId="43" borderId="62" xfId="0" applyFont="1" applyFill="1" applyBorder="1" applyAlignment="1">
      <alignment horizontal="center" vertical="center" wrapText="1"/>
    </xf>
    <xf numFmtId="0" fontId="97" fillId="43" borderId="63" xfId="0" applyFont="1" applyFill="1" applyBorder="1" applyAlignment="1">
      <alignment horizontal="center" vertical="center" wrapText="1"/>
    </xf>
    <xf numFmtId="0" fontId="98" fillId="43" borderId="61" xfId="0" applyFont="1" applyFill="1" applyBorder="1" applyAlignment="1">
      <alignment horizontal="left" vertical="center" wrapText="1"/>
    </xf>
    <xf numFmtId="0" fontId="98" fillId="43" borderId="62" xfId="0" applyFont="1" applyFill="1" applyBorder="1" applyAlignment="1">
      <alignment horizontal="left" vertical="center" wrapText="1"/>
    </xf>
    <xf numFmtId="0" fontId="98" fillId="43" borderId="63" xfId="0" applyFont="1" applyFill="1" applyBorder="1" applyAlignment="1">
      <alignment horizontal="left" vertical="center" wrapText="1"/>
    </xf>
    <xf numFmtId="0" fontId="89" fillId="43" borderId="61" xfId="0" applyFont="1" applyFill="1" applyBorder="1" applyAlignment="1">
      <alignment horizontal="left" vertical="center" wrapText="1"/>
    </xf>
    <xf numFmtId="0" fontId="89" fillId="43" borderId="62" xfId="0" applyFont="1" applyFill="1" applyBorder="1" applyAlignment="1">
      <alignment horizontal="left" vertical="center" wrapText="1"/>
    </xf>
    <xf numFmtId="0" fontId="89" fillId="43" borderId="63" xfId="0" applyFont="1" applyFill="1" applyBorder="1" applyAlignment="1">
      <alignment horizontal="left" vertical="center" wrapText="1"/>
    </xf>
    <xf numFmtId="0" fontId="94" fillId="43" borderId="61" xfId="0" applyFont="1" applyFill="1" applyBorder="1" applyAlignment="1">
      <alignment horizontal="left" vertical="center" wrapText="1"/>
    </xf>
    <xf numFmtId="0" fontId="94" fillId="43" borderId="62" xfId="0" applyFont="1" applyFill="1" applyBorder="1" applyAlignment="1">
      <alignment horizontal="left" vertical="center" wrapText="1"/>
    </xf>
    <xf numFmtId="0" fontId="94" fillId="43" borderId="63" xfId="0" applyFont="1" applyFill="1" applyBorder="1" applyAlignment="1">
      <alignment horizontal="left" vertical="center" wrapText="1"/>
    </xf>
    <xf numFmtId="0" fontId="104" fillId="43" borderId="61" xfId="0" applyFont="1" applyFill="1" applyBorder="1" applyAlignment="1">
      <alignment horizontal="left" vertical="center" wrapText="1"/>
    </xf>
    <xf numFmtId="0" fontId="104" fillId="43" borderId="62" xfId="0" applyFont="1" applyFill="1" applyBorder="1" applyAlignment="1">
      <alignment horizontal="left" vertical="center" wrapText="1"/>
    </xf>
    <xf numFmtId="0" fontId="104" fillId="43" borderId="63" xfId="0" applyFont="1" applyFill="1" applyBorder="1" applyAlignment="1">
      <alignment horizontal="left" vertical="center" wrapText="1"/>
    </xf>
    <xf numFmtId="0" fontId="103" fillId="43" borderId="61" xfId="0" applyFont="1" applyFill="1" applyBorder="1" applyAlignment="1">
      <alignment horizontal="left" vertical="center" wrapText="1"/>
    </xf>
    <xf numFmtId="0" fontId="103" fillId="43" borderId="62" xfId="0" applyFont="1" applyFill="1" applyBorder="1" applyAlignment="1">
      <alignment horizontal="left" vertical="center" wrapText="1"/>
    </xf>
    <xf numFmtId="0" fontId="103" fillId="43" borderId="63" xfId="0" applyFont="1" applyFill="1" applyBorder="1" applyAlignment="1">
      <alignment horizontal="left" vertical="center" wrapText="1"/>
    </xf>
    <xf numFmtId="0" fontId="92" fillId="44" borderId="61" xfId="0" applyFont="1" applyFill="1" applyBorder="1" applyAlignment="1">
      <alignment horizontal="center" vertical="center" wrapText="1"/>
    </xf>
    <xf numFmtId="0" fontId="92" fillId="44" borderId="62" xfId="0" applyFont="1" applyFill="1" applyBorder="1" applyAlignment="1">
      <alignment horizontal="center" vertical="center" wrapText="1"/>
    </xf>
    <xf numFmtId="0" fontId="92" fillId="44" borderId="63" xfId="0" applyFont="1" applyFill="1" applyBorder="1" applyAlignment="1">
      <alignment horizontal="center" vertical="center" wrapText="1"/>
    </xf>
    <xf numFmtId="0" fontId="92" fillId="44" borderId="61" xfId="0" applyFont="1" applyFill="1" applyBorder="1" applyAlignment="1">
      <alignment horizontal="left" vertical="center" wrapText="1"/>
    </xf>
    <xf numFmtId="0" fontId="92" fillId="44" borderId="62" xfId="0" applyFont="1" applyFill="1" applyBorder="1" applyAlignment="1">
      <alignment horizontal="left" vertical="center" wrapText="1"/>
    </xf>
    <xf numFmtId="0" fontId="92" fillId="44" borderId="63" xfId="0" applyFont="1" applyFill="1" applyBorder="1" applyAlignment="1">
      <alignment horizontal="left" vertical="center" wrapText="1"/>
    </xf>
    <xf numFmtId="3" fontId="38" fillId="0" borderId="3" xfId="0" applyNumberFormat="1" applyFont="1" applyBorder="1" applyAlignment="1">
      <alignment horizontal="center"/>
    </xf>
    <xf numFmtId="3" fontId="38" fillId="0" borderId="0" xfId="0" applyNumberFormat="1" applyFont="1" applyAlignment="1">
      <alignment horizontal="center"/>
    </xf>
    <xf numFmtId="0" fontId="86" fillId="35" borderId="57" xfId="0" applyFont="1" applyFill="1" applyBorder="1" applyAlignment="1">
      <alignment horizontal="center" wrapText="1"/>
    </xf>
    <xf numFmtId="0" fontId="86" fillId="35" borderId="58" xfId="0" applyFont="1" applyFill="1" applyBorder="1" applyAlignment="1">
      <alignment horizontal="center" wrapText="1"/>
    </xf>
    <xf numFmtId="0" fontId="71" fillId="35" borderId="59" xfId="0" applyFont="1" applyFill="1" applyBorder="1" applyAlignment="1">
      <alignment horizontal="center" wrapText="1"/>
    </xf>
    <xf numFmtId="0" fontId="71" fillId="35" borderId="60" xfId="0" applyFont="1" applyFill="1" applyBorder="1" applyAlignment="1">
      <alignment horizontal="center" wrapText="1"/>
    </xf>
    <xf numFmtId="165" fontId="27" fillId="4" borderId="16" xfId="0" applyNumberFormat="1" applyFont="1" applyFill="1" applyBorder="1" applyAlignment="1">
      <alignment horizontal="center"/>
    </xf>
    <xf numFmtId="165" fontId="27" fillId="4" borderId="13" xfId="0" applyNumberFormat="1" applyFont="1" applyFill="1" applyBorder="1" applyAlignment="1">
      <alignment horizontal="center"/>
    </xf>
    <xf numFmtId="165" fontId="27" fillId="4" borderId="5" xfId="0" applyNumberFormat="1" applyFont="1" applyFill="1" applyBorder="1" applyAlignment="1">
      <alignment horizontal="center"/>
    </xf>
    <xf numFmtId="165" fontId="28" fillId="4" borderId="15" xfId="0" applyNumberFormat="1" applyFont="1" applyFill="1" applyBorder="1" applyAlignment="1">
      <alignment horizontal="center"/>
    </xf>
    <xf numFmtId="165" fontId="28" fillId="4" borderId="14" xfId="0" applyNumberFormat="1" applyFont="1" applyFill="1" applyBorder="1" applyAlignment="1">
      <alignment horizontal="center"/>
    </xf>
    <xf numFmtId="165" fontId="28" fillId="4" borderId="7" xfId="0" applyNumberFormat="1" applyFont="1" applyFill="1" applyBorder="1" applyAlignment="1">
      <alignment horizontal="center"/>
    </xf>
    <xf numFmtId="167" fontId="27" fillId="4" borderId="6" xfId="0" applyNumberFormat="1" applyFont="1" applyFill="1" applyBorder="1" applyAlignment="1">
      <alignment horizontal="center"/>
    </xf>
    <xf numFmtId="167" fontId="27" fillId="4" borderId="0" xfId="0" applyNumberFormat="1" applyFont="1" applyFill="1" applyAlignment="1">
      <alignment horizontal="center"/>
    </xf>
    <xf numFmtId="167" fontId="29" fillId="4" borderId="6" xfId="0" applyNumberFormat="1" applyFont="1" applyFill="1" applyBorder="1" applyAlignment="1">
      <alignment horizontal="center"/>
    </xf>
    <xf numFmtId="167" fontId="29" fillId="4" borderId="0" xfId="0" applyNumberFormat="1" applyFont="1" applyFill="1" applyAlignment="1">
      <alignment horizontal="center"/>
    </xf>
    <xf numFmtId="167" fontId="29" fillId="4" borderId="8" xfId="0" applyNumberFormat="1" applyFont="1" applyFill="1" applyBorder="1" applyAlignment="1">
      <alignment horizontal="center"/>
    </xf>
    <xf numFmtId="167" fontId="29" fillId="4" borderId="15" xfId="0" applyNumberFormat="1" applyFont="1" applyFill="1" applyBorder="1" applyAlignment="1">
      <alignment horizontal="center"/>
    </xf>
    <xf numFmtId="167" fontId="29" fillId="4" borderId="14" xfId="0" applyNumberFormat="1" applyFont="1" applyFill="1" applyBorder="1" applyAlignment="1">
      <alignment horizontal="center"/>
    </xf>
    <xf numFmtId="167" fontId="29" fillId="4" borderId="7" xfId="0" applyNumberFormat="1" applyFont="1" applyFill="1" applyBorder="1" applyAlignment="1">
      <alignment horizontal="center"/>
    </xf>
    <xf numFmtId="0" fontId="79" fillId="44" borderId="61" xfId="0" applyFont="1" applyFill="1" applyBorder="1" applyAlignment="1">
      <alignment horizontal="left" vertical="center"/>
    </xf>
    <xf numFmtId="0" fontId="79" fillId="44" borderId="62" xfId="0" applyFont="1" applyFill="1" applyBorder="1" applyAlignment="1">
      <alignment horizontal="left" vertical="center"/>
    </xf>
    <xf numFmtId="0" fontId="79" fillId="44" borderId="61" xfId="0" applyFont="1" applyFill="1" applyBorder="1" applyAlignment="1">
      <alignment horizontal="center" vertical="center"/>
    </xf>
    <xf numFmtId="0" fontId="79" fillId="44" borderId="62" xfId="0" applyFont="1" applyFill="1" applyBorder="1" applyAlignment="1">
      <alignment horizontal="center" vertical="center"/>
    </xf>
    <xf numFmtId="0" fontId="79" fillId="44" borderId="63" xfId="0" applyFont="1" applyFill="1" applyBorder="1" applyAlignment="1">
      <alignment horizontal="center" vertical="center"/>
    </xf>
    <xf numFmtId="167" fontId="28" fillId="3" borderId="15" xfId="0" applyNumberFormat="1" applyFont="1" applyFill="1" applyBorder="1" applyAlignment="1">
      <alignment horizontal="center"/>
    </xf>
    <xf numFmtId="167" fontId="28" fillId="3" borderId="14" xfId="0" applyNumberFormat="1" applyFont="1" applyFill="1" applyBorder="1" applyAlignment="1">
      <alignment horizontal="center"/>
    </xf>
    <xf numFmtId="167" fontId="28" fillId="3" borderId="7" xfId="0" applyNumberFormat="1" applyFont="1" applyFill="1" applyBorder="1" applyAlignment="1">
      <alignment horizontal="center"/>
    </xf>
    <xf numFmtId="167" fontId="28" fillId="4" borderId="15" xfId="0" applyNumberFormat="1" applyFont="1" applyFill="1" applyBorder="1" applyAlignment="1">
      <alignment horizontal="center"/>
    </xf>
    <xf numFmtId="167" fontId="28" fillId="4" borderId="14" xfId="0" applyNumberFormat="1" applyFont="1" applyFill="1" applyBorder="1" applyAlignment="1">
      <alignment horizontal="center"/>
    </xf>
    <xf numFmtId="167" fontId="28" fillId="4" borderId="7" xfId="0" applyNumberFormat="1" applyFont="1" applyFill="1" applyBorder="1" applyAlignment="1">
      <alignment horizontal="center"/>
    </xf>
    <xf numFmtId="165" fontId="14" fillId="2" borderId="0" xfId="0" applyNumberFormat="1" applyFont="1" applyFill="1"/>
    <xf numFmtId="0" fontId="10" fillId="2" borderId="0" xfId="0" applyFont="1" applyFill="1"/>
    <xf numFmtId="0" fontId="61" fillId="0" borderId="0" xfId="0" applyFont="1" applyAlignment="1">
      <alignment horizontal="center"/>
    </xf>
    <xf numFmtId="0" fontId="87" fillId="0" borderId="0" xfId="0" applyFont="1" applyAlignment="1">
      <alignment horizontal="center"/>
    </xf>
    <xf numFmtId="0" fontId="88" fillId="40" borderId="32" xfId="0" applyFont="1" applyFill="1" applyBorder="1" applyAlignment="1">
      <alignment vertical="center" wrapText="1"/>
    </xf>
    <xf numFmtId="0" fontId="88" fillId="40" borderId="33" xfId="0" applyFont="1" applyFill="1" applyBorder="1" applyAlignment="1">
      <alignment vertical="center" wrapText="1"/>
    </xf>
    <xf numFmtId="0" fontId="88" fillId="40" borderId="34" xfId="0" applyFont="1" applyFill="1" applyBorder="1" applyAlignment="1">
      <alignment vertical="center" wrapText="1"/>
    </xf>
    <xf numFmtId="0" fontId="88" fillId="40" borderId="35" xfId="0" applyFont="1" applyFill="1" applyBorder="1" applyAlignment="1">
      <alignment vertical="center" wrapText="1"/>
    </xf>
    <xf numFmtId="0" fontId="88" fillId="0" borderId="32" xfId="0" applyFont="1" applyBorder="1" applyAlignment="1">
      <alignment vertical="center" wrapText="1"/>
    </xf>
    <xf numFmtId="0" fontId="88" fillId="0" borderId="33" xfId="0" applyFont="1" applyBorder="1" applyAlignment="1">
      <alignment vertical="center" wrapText="1"/>
    </xf>
    <xf numFmtId="0" fontId="88" fillId="0" borderId="34" xfId="0" applyFont="1" applyBorder="1" applyAlignment="1">
      <alignment vertical="center" wrapText="1"/>
    </xf>
    <xf numFmtId="0" fontId="88" fillId="0" borderId="35" xfId="0" applyFont="1" applyBorder="1" applyAlignment="1">
      <alignment vertical="center" wrapText="1"/>
    </xf>
    <xf numFmtId="14" fontId="40" fillId="41" borderId="0" xfId="40" applyNumberFormat="1" applyFill="1" applyProtection="1">
      <protection locked="0"/>
    </xf>
    <xf numFmtId="0" fontId="40" fillId="41" borderId="0" xfId="40" applyFill="1" applyProtection="1">
      <protection locked="0"/>
    </xf>
  </cellXfs>
  <cellStyles count="6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1" xfId="22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illares [0]" xfId="59" builtinId="6"/>
    <cellStyle name="Millares 2" xfId="33" xr:uid="{00000000-0005-0000-0000-000021000000}"/>
    <cellStyle name="Millares 2 2" xfId="34" xr:uid="{00000000-0005-0000-0000-000022000000}"/>
    <cellStyle name="Millares 2 2 2" xfId="35" xr:uid="{00000000-0005-0000-0000-000023000000}"/>
    <cellStyle name="Moneda [0] 2" xfId="63" xr:uid="{F7EB0A87-6BF0-4F46-920F-99E7DEDAD358}"/>
    <cellStyle name="Moneda [0] 2 2" xfId="66" xr:uid="{FE5E28AD-0DBF-441B-A441-28037FCD151B}"/>
    <cellStyle name="Moneda [0] 3" xfId="62" xr:uid="{AA8B2830-D5F4-4831-A2BF-E530A444300D}"/>
    <cellStyle name="Moneda [0] 4" xfId="65" xr:uid="{43E47C20-F4F4-4C26-B1C7-FB620B23A871}"/>
    <cellStyle name="Neutral 2" xfId="36" xr:uid="{00000000-0005-0000-0000-000024000000}"/>
    <cellStyle name="Normal" xfId="0" builtinId="0"/>
    <cellStyle name="Normal 14" xfId="37" xr:uid="{00000000-0005-0000-0000-000026000000}"/>
    <cellStyle name="Normal 14 2" xfId="38" xr:uid="{00000000-0005-0000-0000-000027000000}"/>
    <cellStyle name="Normal 14 2 2" xfId="39" xr:uid="{00000000-0005-0000-0000-000028000000}"/>
    <cellStyle name="Normal 15" xfId="40" xr:uid="{00000000-0005-0000-0000-000029000000}"/>
    <cellStyle name="Normal 15 2" xfId="41" xr:uid="{00000000-0005-0000-0000-00002A000000}"/>
    <cellStyle name="Normal 16" xfId="42" xr:uid="{00000000-0005-0000-0000-00002B000000}"/>
    <cellStyle name="Normal 17" xfId="43" xr:uid="{00000000-0005-0000-0000-00002C000000}"/>
    <cellStyle name="Normal 18" xfId="44" xr:uid="{00000000-0005-0000-0000-00002D000000}"/>
    <cellStyle name="Normal 2" xfId="45" xr:uid="{00000000-0005-0000-0000-00002E000000}"/>
    <cellStyle name="Normal 2 2" xfId="46" xr:uid="{00000000-0005-0000-0000-00002F000000}"/>
    <cellStyle name="Normal 2 3" xfId="47" xr:uid="{00000000-0005-0000-0000-000030000000}"/>
    <cellStyle name="Normal 2 3 2" xfId="48" xr:uid="{00000000-0005-0000-0000-000031000000}"/>
    <cellStyle name="Normal 2 4" xfId="58" xr:uid="{00000000-0005-0000-0000-000032000000}"/>
    <cellStyle name="Normal 3" xfId="57" xr:uid="{00000000-0005-0000-0000-000033000000}"/>
    <cellStyle name="Normal 4" xfId="60" xr:uid="{00000000-0005-0000-0000-000034000000}"/>
    <cellStyle name="Normal 5" xfId="61" xr:uid="{ECC4BE9F-182D-418E-9ABD-E246856E1027}"/>
    <cellStyle name="Normal 6" xfId="64" xr:uid="{1E6EC88C-2C99-4C69-A0D7-01698DAE7C95}"/>
    <cellStyle name="Normal 7" xfId="67" xr:uid="{98F7873D-1132-4985-9636-8219AE34E5E2}"/>
    <cellStyle name="Notas 2" xfId="49" xr:uid="{00000000-0005-0000-0000-000035000000}"/>
    <cellStyle name="Salida" xfId="50" builtinId="21" customBuiltin="1"/>
    <cellStyle name="Texto de advertencia" xfId="51" builtinId="11" customBuiltin="1"/>
    <cellStyle name="Texto explicativo" xfId="52" builtinId="53" customBuiltin="1"/>
    <cellStyle name="Título 2" xfId="53" builtinId="17" customBuiltin="1"/>
    <cellStyle name="Título 3" xfId="54" builtinId="18" customBuiltin="1"/>
    <cellStyle name="Título 4" xfId="55" xr:uid="{00000000-0005-0000-0000-00003B000000}"/>
    <cellStyle name="Total" xfId="56" builtinId="25" customBuiltin="1"/>
  </cellStyles>
  <dxfs count="575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19" formatCode="dd/mm/yyyy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6" formatCode="#,##0;[Red]\-#,##0"/>
    </dxf>
    <dxf>
      <numFmt numFmtId="19" formatCode="dd/mm/yyyy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protection locked="1" hidden="0"/>
    </dxf>
    <dxf>
      <protection locked="0" hidden="0"/>
    </dxf>
    <dxf>
      <fill>
        <patternFill patternType="solid">
          <fgColor indexed="64"/>
          <bgColor theme="6" tint="0.79998168889431442"/>
        </patternFill>
      </fill>
      <protection locked="0" hidden="0"/>
    </dxf>
    <dxf>
      <fill>
        <patternFill patternType="solid">
          <fgColor indexed="64"/>
          <bgColor theme="6" tint="0.79998168889431442"/>
        </patternFill>
      </fill>
      <protection locked="1" hidden="0"/>
    </dxf>
    <dxf>
      <fill>
        <patternFill patternType="solid">
          <fgColor indexed="64"/>
          <bgColor theme="6" tint="0.79998168889431442"/>
        </patternFill>
      </fill>
      <protection locked="0" hidden="0"/>
    </dxf>
    <dxf>
      <fill>
        <patternFill patternType="solid">
          <fgColor indexed="64"/>
          <bgColor theme="6" tint="0.79998168889431442"/>
        </patternFill>
      </fill>
      <protection locked="0" hidden="0"/>
    </dxf>
    <dxf>
      <protection locked="0" hidden="0"/>
    </dxf>
    <dxf>
      <numFmt numFmtId="6" formatCode="#,##0;[Red]\-#,##0"/>
      <protection locked="0" hidden="0"/>
    </dxf>
    <dxf>
      <numFmt numFmtId="6" formatCode="#,##0;[Red]\-#,##0"/>
      <protection locked="0" hidden="0"/>
    </dxf>
    <dxf>
      <numFmt numFmtId="6" formatCode="#,##0;[Red]\-#,##0"/>
      <fill>
        <patternFill patternType="solid">
          <fgColor indexed="64"/>
          <bgColor theme="6" tint="0.79998168889431442"/>
        </patternFill>
      </fill>
      <protection locked="0" hidden="0"/>
    </dxf>
    <dxf>
      <fill>
        <patternFill patternType="solid">
          <fgColor indexed="64"/>
          <bgColor theme="6" tint="0.79998168889431442"/>
        </patternFill>
      </fill>
      <protection locked="0" hidden="0"/>
    </dxf>
    <dxf>
      <protection locked="0" hidden="0"/>
    </dxf>
    <dxf>
      <fill>
        <patternFill patternType="solid">
          <fgColor indexed="64"/>
          <bgColor theme="6" tint="0.79998168889431442"/>
        </patternFill>
      </fill>
      <protection locked="0" hidden="0"/>
    </dxf>
    <dxf>
      <numFmt numFmtId="19" formatCode="dd/mm/yyyy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9" formatCode="dd/mm/yyyy"/>
      <fill>
        <patternFill patternType="solid">
          <fgColor theme="4"/>
          <bgColor theme="4"/>
        </patternFill>
      </fill>
      <protection locked="0" hidden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pivotCacheDefinition" Target="pivotCache/pivotCacheDefinition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pivotCacheDefinition" Target="pivotCache/pivotCacheDefinition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ObtenerBoletaPdf('0781198800025491B84F',%20'15108');" TargetMode="External"/><Relationship Id="rId18" Type="http://schemas.openxmlformats.org/officeDocument/2006/relationships/hyperlink" Target="javascript:ObtenerBoletaPdf('04485721003140DA2F9E',%20'15160');" TargetMode="External"/><Relationship Id="rId26" Type="http://schemas.openxmlformats.org/officeDocument/2006/relationships/hyperlink" Target="javascript:ObtenerBoletaPdf('04485721003166721289',%20'15160');" TargetMode="External"/><Relationship Id="rId39" Type="http://schemas.openxmlformats.org/officeDocument/2006/relationships/hyperlink" Target="javascript:ObtenerBoletaPdf('04485721003180A5DEF6',%20'15160');" TargetMode="External"/><Relationship Id="rId21" Type="http://schemas.openxmlformats.org/officeDocument/2006/relationships/hyperlink" Target="javascript:ObtenerBoletaPdf('1389132900063FB923C4',%20'14109');" TargetMode="External"/><Relationship Id="rId34" Type="http://schemas.openxmlformats.org/officeDocument/2006/relationships/hyperlink" Target="javascript:ObtenerBoletaPdf('1094920400270A372875',%20'5302');" TargetMode="External"/><Relationship Id="rId42" Type="http://schemas.openxmlformats.org/officeDocument/2006/relationships/hyperlink" Target="javascript:ObtenerBoletaPdf('0768236800497DE34D8E',%20'14127');" TargetMode="External"/><Relationship Id="rId47" Type="http://schemas.openxmlformats.org/officeDocument/2006/relationships/hyperlink" Target="javascript:ObtenerBoletaPdf('0768236800499ED6C3F6',%20'14127');" TargetMode="External"/><Relationship Id="rId50" Type="http://schemas.openxmlformats.org/officeDocument/2006/relationships/hyperlink" Target="javascript:ObtenerBoletaPdf('0781198800033E4DE44F',%20'15108');" TargetMode="External"/><Relationship Id="rId55" Type="http://schemas.openxmlformats.org/officeDocument/2006/relationships/hyperlink" Target="javascript:ObtenerBoletaPdf('07811988000346DE9AAC',%20'15108');" TargetMode="External"/><Relationship Id="rId7" Type="http://schemas.openxmlformats.org/officeDocument/2006/relationships/hyperlink" Target="javascript:ObtenerBoletaPdf('10630809001633B46361',%20'15108');" TargetMode="External"/><Relationship Id="rId2" Type="http://schemas.openxmlformats.org/officeDocument/2006/relationships/image" Target="../media/image1.gif"/><Relationship Id="rId16" Type="http://schemas.openxmlformats.org/officeDocument/2006/relationships/hyperlink" Target="javascript:ObtenerBoletaPdf('0448572100313E04B5B9',%20'15160');" TargetMode="External"/><Relationship Id="rId29" Type="http://schemas.openxmlformats.org/officeDocument/2006/relationships/hyperlink" Target="javascript:ObtenerBoletaPdf('07811988000283BC2476',%20'15108');" TargetMode="External"/><Relationship Id="rId11" Type="http://schemas.openxmlformats.org/officeDocument/2006/relationships/hyperlink" Target="javascript:ObtenerBoletaPdf('1063080900166ABF56B9',%20'15108');" TargetMode="External"/><Relationship Id="rId24" Type="http://schemas.openxmlformats.org/officeDocument/2006/relationships/hyperlink" Target="javascript:ObtenerBoletaPdf('0781198800027479F7F6',%20'15108');" TargetMode="External"/><Relationship Id="rId32" Type="http://schemas.openxmlformats.org/officeDocument/2006/relationships/hyperlink" Target="javascript:ObtenerBoletaPdf('2203913100004EAC16A7',%20'15160');" TargetMode="External"/><Relationship Id="rId37" Type="http://schemas.openxmlformats.org/officeDocument/2006/relationships/hyperlink" Target="javascript:ObtenerBoletaPdf('22039131000082C73BAC',%20'15160');" TargetMode="External"/><Relationship Id="rId40" Type="http://schemas.openxmlformats.org/officeDocument/2006/relationships/hyperlink" Target="javascript:ObtenerBoletaPdf('0781198800031FC211E8',%20'15108');" TargetMode="External"/><Relationship Id="rId45" Type="http://schemas.openxmlformats.org/officeDocument/2006/relationships/hyperlink" Target="javascript:ObtenerBoletaPdf('13611773001615843F00',%20'16165');" TargetMode="External"/><Relationship Id="rId53" Type="http://schemas.openxmlformats.org/officeDocument/2006/relationships/hyperlink" Target="javascript:ObtenerBoletaPdf('044857210032143584C6',%20'15160');" TargetMode="External"/><Relationship Id="rId58" Type="http://schemas.openxmlformats.org/officeDocument/2006/relationships/hyperlink" Target="javascript:ObtenerBoletaPdf('1361177300162CA14E9C',%20'16165');" TargetMode="External"/><Relationship Id="rId5" Type="http://schemas.openxmlformats.org/officeDocument/2006/relationships/hyperlink" Target="javascript:ObtenerBoletaPdf('0448572100311441A632',%20'15160');" TargetMode="External"/><Relationship Id="rId61" Type="http://schemas.openxmlformats.org/officeDocument/2006/relationships/hyperlink" Target="javascript:ObtenerBoletaPdf('1572223700137F9B5AA9',%20'15151');" TargetMode="External"/><Relationship Id="rId19" Type="http://schemas.openxmlformats.org/officeDocument/2006/relationships/hyperlink" Target="javascript:ObtenerBoletaPdf('07811988000262175E68',%20'15108');" TargetMode="External"/><Relationship Id="rId14" Type="http://schemas.openxmlformats.org/officeDocument/2006/relationships/hyperlink" Target="javascript:ObtenerBoletaPdf('1162911500093E0C6B04',%20'16301');" TargetMode="External"/><Relationship Id="rId22" Type="http://schemas.openxmlformats.org/officeDocument/2006/relationships/hyperlink" Target="javascript:ObtenerBoletaPdf('136117730015706A21A2',%20'16165');" TargetMode="External"/><Relationship Id="rId27" Type="http://schemas.openxmlformats.org/officeDocument/2006/relationships/hyperlink" Target="javascript:ObtenerBoletaPdf('13611773001594C913E3',%20'16165');" TargetMode="External"/><Relationship Id="rId30" Type="http://schemas.openxmlformats.org/officeDocument/2006/relationships/hyperlink" Target="javascript:ObtenerBoletaPdf('0768236800488682883D',%20'14127');" TargetMode="External"/><Relationship Id="rId35" Type="http://schemas.openxmlformats.org/officeDocument/2006/relationships/hyperlink" Target="javascript:ObtenerBoletaPdf('076823680049221DDA7F',%20'14127');" TargetMode="External"/><Relationship Id="rId43" Type="http://schemas.openxmlformats.org/officeDocument/2006/relationships/hyperlink" Target="javascript:ObtenerBoletaPdf('22039131000108542ECA',%20'15160');" TargetMode="External"/><Relationship Id="rId48" Type="http://schemas.openxmlformats.org/officeDocument/2006/relationships/hyperlink" Target="javascript:ObtenerBoletaPdf('22039131000111B2EB47',%20'15160');" TargetMode="External"/><Relationship Id="rId56" Type="http://schemas.openxmlformats.org/officeDocument/2006/relationships/hyperlink" Target="javascript:ObtenerBoletaPdf('22039131000156E34793',%20'15160');" TargetMode="External"/><Relationship Id="rId8" Type="http://schemas.openxmlformats.org/officeDocument/2006/relationships/hyperlink" Target="javascript:ObtenerBoletaPdf('07682368004719947B38',%20'14127');" TargetMode="External"/><Relationship Id="rId51" Type="http://schemas.openxmlformats.org/officeDocument/2006/relationships/hyperlink" Target="javascript:ObtenerBoletaPdf('0768236800503C7AF295',%20'14127');" TargetMode="External"/><Relationship Id="rId3" Type="http://schemas.openxmlformats.org/officeDocument/2006/relationships/hyperlink" Target="javascript:ObtenerBoletaPdf('076823680046866531A7',%20'14127');" TargetMode="External"/><Relationship Id="rId12" Type="http://schemas.openxmlformats.org/officeDocument/2006/relationships/hyperlink" Target="javascript:ObtenerBoletaPdf('0768236800473437B316',%20'14127');" TargetMode="External"/><Relationship Id="rId17" Type="http://schemas.openxmlformats.org/officeDocument/2006/relationships/hyperlink" Target="javascript:ObtenerBoletaPdf('1063080900172FE9699A',%20'15108');" TargetMode="External"/><Relationship Id="rId25" Type="http://schemas.openxmlformats.org/officeDocument/2006/relationships/hyperlink" Target="javascript:ObtenerBoletaPdf('0448572100315017818B',%20'15160');" TargetMode="External"/><Relationship Id="rId33" Type="http://schemas.openxmlformats.org/officeDocument/2006/relationships/hyperlink" Target="javascript:ObtenerBoletaPdf('04485721003171FF8BE0',%20'15160');" TargetMode="External"/><Relationship Id="rId38" Type="http://schemas.openxmlformats.org/officeDocument/2006/relationships/hyperlink" Target="javascript:ObtenerBoletaPdf('1361177300160326147E',%20'16165');" TargetMode="External"/><Relationship Id="rId46" Type="http://schemas.openxmlformats.org/officeDocument/2006/relationships/hyperlink" Target="javascript:ObtenerBoletaPdf('07811988000320DD9336',%20'15108');" TargetMode="External"/><Relationship Id="rId59" Type="http://schemas.openxmlformats.org/officeDocument/2006/relationships/hyperlink" Target="javascript:ObtenerBoletaPdf('16032028001630782DAB',%20'16301');" TargetMode="External"/><Relationship Id="rId20" Type="http://schemas.openxmlformats.org/officeDocument/2006/relationships/hyperlink" Target="javascript:ObtenerBoletaPdf('07682368004797F9C841',%20'14127');" TargetMode="External"/><Relationship Id="rId41" Type="http://schemas.openxmlformats.org/officeDocument/2006/relationships/hyperlink" Target="javascript:ObtenerBoletaPdf('0768236800496D369657',%20'14127');" TargetMode="External"/><Relationship Id="rId54" Type="http://schemas.openxmlformats.org/officeDocument/2006/relationships/hyperlink" Target="javascript:ObtenerBoletaPdf('0768236800508B1CB809',%20'14127');" TargetMode="External"/><Relationship Id="rId1" Type="http://schemas.openxmlformats.org/officeDocument/2006/relationships/hyperlink" Target="javascript:ObtenerBoletaPdf('078119880002389B4595',%20'15108');" TargetMode="External"/><Relationship Id="rId6" Type="http://schemas.openxmlformats.org/officeDocument/2006/relationships/hyperlink" Target="javascript:ObtenerBoletaPdf('08772592000572CA9FAF',%20'15108');" TargetMode="External"/><Relationship Id="rId15" Type="http://schemas.openxmlformats.org/officeDocument/2006/relationships/hyperlink" Target="javascript:ObtenerBoletaPdf('17701243000544DF773A',%20'15108');" TargetMode="External"/><Relationship Id="rId23" Type="http://schemas.openxmlformats.org/officeDocument/2006/relationships/hyperlink" Target="javascript:ObtenerBoletaPdf('0768236800481922B617',%20'14127');" TargetMode="External"/><Relationship Id="rId28" Type="http://schemas.openxmlformats.org/officeDocument/2006/relationships/hyperlink" Target="javascript:ObtenerBoletaPdf('07682368004852FA2D64',%20'14127');" TargetMode="External"/><Relationship Id="rId36" Type="http://schemas.openxmlformats.org/officeDocument/2006/relationships/hyperlink" Target="javascript:ObtenerBoletaPdf('078119880003002E37DB',%20'15108');" TargetMode="External"/><Relationship Id="rId49" Type="http://schemas.openxmlformats.org/officeDocument/2006/relationships/hyperlink" Target="javascript:ObtenerBoletaPdf('044857210032056F4B21',%20'15160');" TargetMode="External"/><Relationship Id="rId57" Type="http://schemas.openxmlformats.org/officeDocument/2006/relationships/hyperlink" Target="javascript:ObtenerBoletaPdf('0448572100322066721A',%20'15160');" TargetMode="External"/><Relationship Id="rId10" Type="http://schemas.openxmlformats.org/officeDocument/2006/relationships/hyperlink" Target="javascript:ObtenerBoletaPdf('0448572100312C9B7653',%20'15160');" TargetMode="External"/><Relationship Id="rId31" Type="http://schemas.openxmlformats.org/officeDocument/2006/relationships/hyperlink" Target="javascript:ObtenerBoletaPdf('0781198800029971FAC1',%20'15108');" TargetMode="External"/><Relationship Id="rId44" Type="http://schemas.openxmlformats.org/officeDocument/2006/relationships/hyperlink" Target="javascript:ObtenerBoletaPdf('044857210031984A2EED',%20'15160');" TargetMode="External"/><Relationship Id="rId52" Type="http://schemas.openxmlformats.org/officeDocument/2006/relationships/hyperlink" Target="javascript:ObtenerBoletaPdf('22039131000133C5A05E',%20'15160');" TargetMode="External"/><Relationship Id="rId60" Type="http://schemas.openxmlformats.org/officeDocument/2006/relationships/hyperlink" Target="javascript:ObtenerBoletaPdf('0949781000350AF4D10F',%20'14111');" TargetMode="External"/><Relationship Id="rId4" Type="http://schemas.openxmlformats.org/officeDocument/2006/relationships/hyperlink" Target="javascript:ObtenerBoletaPdf('0669430700200EFCFEF4',%20'15103');" TargetMode="External"/><Relationship Id="rId9" Type="http://schemas.openxmlformats.org/officeDocument/2006/relationships/hyperlink" Target="javascript:ObtenerBoletaPdf('0781198800024D06161D',%20'15108');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s://zeus.sii.cl/cvc_cgi/bte/bte_indiv_cons3?C65759930001134324489" TargetMode="External"/><Relationship Id="rId13" Type="http://schemas.openxmlformats.org/officeDocument/2006/relationships/hyperlink" Target="https://zeus.sii.cl/cvc_cgi/bte/bte_indiv_cons3?C6575993000118C4A5804" TargetMode="External"/><Relationship Id="rId18" Type="http://schemas.openxmlformats.org/officeDocument/2006/relationships/hyperlink" Target="https://zeus.sii.cl/cvc_cgi/bte/bte_indiv_cons3?C6575993000123B251464" TargetMode="External"/><Relationship Id="rId3" Type="http://schemas.openxmlformats.org/officeDocument/2006/relationships/hyperlink" Target="https://zeus.sii.cl/cvc_cgi/bte/bte_indiv_cons3?C6575993000108AA3EFEE" TargetMode="External"/><Relationship Id="rId21" Type="http://schemas.openxmlformats.org/officeDocument/2006/relationships/hyperlink" Target="https://zeus.sii.cl/cvc_cgi/bte/bte_indiv_cons3?C6575993000126E615D12" TargetMode="External"/><Relationship Id="rId7" Type="http://schemas.openxmlformats.org/officeDocument/2006/relationships/hyperlink" Target="https://zeus.sii.cl/cvc_cgi/bte/bte_indiv_cons3?C6575993000112D77F278" TargetMode="External"/><Relationship Id="rId12" Type="http://schemas.openxmlformats.org/officeDocument/2006/relationships/hyperlink" Target="https://zeus.sii.cl/cvc_cgi/bte/bte_indiv_cons3?C6575993000117612239F" TargetMode="External"/><Relationship Id="rId17" Type="http://schemas.openxmlformats.org/officeDocument/2006/relationships/hyperlink" Target="https://zeus.sii.cl/cvc_cgi/bte/bte_indiv_cons3?C657599300012283D9D65" TargetMode="External"/><Relationship Id="rId2" Type="http://schemas.openxmlformats.org/officeDocument/2006/relationships/image" Target="../media/image2.gif"/><Relationship Id="rId16" Type="http://schemas.openxmlformats.org/officeDocument/2006/relationships/hyperlink" Target="https://zeus.sii.cl/cvc_cgi/bte/bte_indiv_cons3?C65759930001213B69EE2" TargetMode="External"/><Relationship Id="rId20" Type="http://schemas.openxmlformats.org/officeDocument/2006/relationships/hyperlink" Target="https://zeus.sii.cl/cvc_cgi/bte/bte_indiv_cons3?C6575993000125D1E8326" TargetMode="External"/><Relationship Id="rId1" Type="http://schemas.openxmlformats.org/officeDocument/2006/relationships/hyperlink" Target="https://zeus.sii.cl/cvc_cgi/bte/bte_indiv_cons3?C6575993000107BB25F96" TargetMode="External"/><Relationship Id="rId6" Type="http://schemas.openxmlformats.org/officeDocument/2006/relationships/hyperlink" Target="https://zeus.sii.cl/cvc_cgi/bte/bte_indiv_cons3?C6575993000111455E1EB" TargetMode="External"/><Relationship Id="rId11" Type="http://schemas.openxmlformats.org/officeDocument/2006/relationships/hyperlink" Target="https://zeus.sii.cl/cvc_cgi/bte/bte_indiv_cons3?C6575993000116F9EE98E" TargetMode="External"/><Relationship Id="rId5" Type="http://schemas.openxmlformats.org/officeDocument/2006/relationships/hyperlink" Target="https://zeus.sii.cl/cvc_cgi/bte/bte_indiv_cons3?C65759930001101F77C14" TargetMode="External"/><Relationship Id="rId15" Type="http://schemas.openxmlformats.org/officeDocument/2006/relationships/hyperlink" Target="https://zeus.sii.cl/cvc_cgi/bte/bte_indiv_cons3?C65759930001206707DCD" TargetMode="External"/><Relationship Id="rId10" Type="http://schemas.openxmlformats.org/officeDocument/2006/relationships/hyperlink" Target="https://zeus.sii.cl/cvc_cgi/bte/bte_indiv_cons3?C65759930001158AFCEED" TargetMode="External"/><Relationship Id="rId19" Type="http://schemas.openxmlformats.org/officeDocument/2006/relationships/hyperlink" Target="https://zeus.sii.cl/cvc_cgi/bte/bte_indiv_cons3?C65759930001241DECDD0" TargetMode="External"/><Relationship Id="rId4" Type="http://schemas.openxmlformats.org/officeDocument/2006/relationships/hyperlink" Target="https://zeus.sii.cl/cvc_cgi/bte/bte_indiv_cons3?C6575993000109EC3D8A1" TargetMode="External"/><Relationship Id="rId9" Type="http://schemas.openxmlformats.org/officeDocument/2006/relationships/hyperlink" Target="https://zeus.sii.cl/cvc_cgi/bte/bte_indiv_cons3?C657599300011474EC4B4" TargetMode="External"/><Relationship Id="rId14" Type="http://schemas.openxmlformats.org/officeDocument/2006/relationships/hyperlink" Target="https://zeus.sii.cl/cvc_cgi/bte/bte_indiv_cons3?C6575993000119DF51836" TargetMode="External"/><Relationship Id="rId22" Type="http://schemas.openxmlformats.org/officeDocument/2006/relationships/hyperlink" Target="https://zeus.sii.cl/cvc_cgi/bte/bte_indiv_cons3?C657599300012745E9793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s://zeus.sii.cl/cvc_cgi/bte/bte_indiv_cons3?C657599300003995FA2C" TargetMode="External"/><Relationship Id="rId13" Type="http://schemas.openxmlformats.org/officeDocument/2006/relationships/hyperlink" Target="https://zeus.sii.cl/cvc_cgi/bte/bte_indiv_cons3?C6575993000044D78472" TargetMode="External"/><Relationship Id="rId18" Type="http://schemas.openxmlformats.org/officeDocument/2006/relationships/hyperlink" Target="https://zeus.sii.cl/cvc_cgi/bte/bte_indiv_cons3?C6575993000049E4E49E" TargetMode="External"/><Relationship Id="rId26" Type="http://schemas.openxmlformats.org/officeDocument/2006/relationships/hyperlink" Target="https://zeus.sii.cl/cvc_cgi/bte/bte_indiv_cons3?C65759930000920E62E8A" TargetMode="External"/><Relationship Id="rId3" Type="http://schemas.openxmlformats.org/officeDocument/2006/relationships/hyperlink" Target="https://zeus.sii.cl/cvc_cgi/bte/bte_indiv_cons3?C6575993000034C578D5" TargetMode="External"/><Relationship Id="rId21" Type="http://schemas.openxmlformats.org/officeDocument/2006/relationships/hyperlink" Target="https://zeus.sii.cl/cvc_cgi/bte/bte_indiv_cons3?C6575993000052B3F930" TargetMode="External"/><Relationship Id="rId7" Type="http://schemas.openxmlformats.org/officeDocument/2006/relationships/hyperlink" Target="https://zeus.sii.cl/cvc_cgi/bte/bte_indiv_cons3?C65759930000380D1E88" TargetMode="External"/><Relationship Id="rId12" Type="http://schemas.openxmlformats.org/officeDocument/2006/relationships/hyperlink" Target="https://zeus.sii.cl/cvc_cgi/bte/bte_indiv_cons3?C6575993000043AEB255" TargetMode="External"/><Relationship Id="rId17" Type="http://schemas.openxmlformats.org/officeDocument/2006/relationships/hyperlink" Target="https://zeus.sii.cl/cvc_cgi/bte/bte_indiv_cons3?C6575993000048FD286D" TargetMode="External"/><Relationship Id="rId25" Type="http://schemas.openxmlformats.org/officeDocument/2006/relationships/hyperlink" Target="https://zeus.sii.cl/cvc_cgi/bte/bte_indiv_cons3?C65759930000687E879CB" TargetMode="External"/><Relationship Id="rId2" Type="http://schemas.openxmlformats.org/officeDocument/2006/relationships/image" Target="../media/image3.png"/><Relationship Id="rId16" Type="http://schemas.openxmlformats.org/officeDocument/2006/relationships/hyperlink" Target="https://zeus.sii.cl/cvc_cgi/bte/bte_indiv_cons3?C6575993000047A0CCD0" TargetMode="External"/><Relationship Id="rId20" Type="http://schemas.openxmlformats.org/officeDocument/2006/relationships/hyperlink" Target="https://zeus.sii.cl/cvc_cgi/bte/bte_indiv_cons3?C657599300005153A2E9" TargetMode="External"/><Relationship Id="rId1" Type="http://schemas.openxmlformats.org/officeDocument/2006/relationships/hyperlink" Target="https://zeus.sii.cl/cvc_cgi/bte/bte_indiv_cons3?C65759930000332262A4" TargetMode="External"/><Relationship Id="rId6" Type="http://schemas.openxmlformats.org/officeDocument/2006/relationships/hyperlink" Target="https://zeus.sii.cl/cvc_cgi/bte/bte_indiv_cons3?C657599300003773D77F" TargetMode="External"/><Relationship Id="rId11" Type="http://schemas.openxmlformats.org/officeDocument/2006/relationships/hyperlink" Target="https://zeus.sii.cl/cvc_cgi/bte/bte_indiv_cons3?C65759930000426974C2" TargetMode="External"/><Relationship Id="rId24" Type="http://schemas.openxmlformats.org/officeDocument/2006/relationships/hyperlink" Target="https://zeus.sii.cl/cvc_cgi/bte/bte_indiv_cons3?C6575993000067B27C402" TargetMode="External"/><Relationship Id="rId5" Type="http://schemas.openxmlformats.org/officeDocument/2006/relationships/hyperlink" Target="https://zeus.sii.cl/cvc_cgi/bte/bte_indiv_cons3?C6575993000036A2B592" TargetMode="External"/><Relationship Id="rId15" Type="http://schemas.openxmlformats.org/officeDocument/2006/relationships/hyperlink" Target="https://zeus.sii.cl/cvc_cgi/bte/bte_indiv_cons3?C65759930000466BF93D" TargetMode="External"/><Relationship Id="rId23" Type="http://schemas.openxmlformats.org/officeDocument/2006/relationships/hyperlink" Target="https://zeus.sii.cl/cvc_cgi/bte/bte_indiv_cons3?C6575993000066FEDB9E5" TargetMode="External"/><Relationship Id="rId10" Type="http://schemas.openxmlformats.org/officeDocument/2006/relationships/hyperlink" Target="https://zeus.sii.cl/cvc_cgi/bte/bte_indiv_cons3?C6575993000041B05223" TargetMode="External"/><Relationship Id="rId19" Type="http://schemas.openxmlformats.org/officeDocument/2006/relationships/hyperlink" Target="https://zeus.sii.cl/cvc_cgi/bte/bte_indiv_cons3?C65759930000508FD35D" TargetMode="External"/><Relationship Id="rId4" Type="http://schemas.openxmlformats.org/officeDocument/2006/relationships/hyperlink" Target="https://zeus.sii.cl/cvc_cgi/bte/bte_indiv_cons3?C65759930000352F5C99" TargetMode="External"/><Relationship Id="rId9" Type="http://schemas.openxmlformats.org/officeDocument/2006/relationships/hyperlink" Target="https://zeus.sii.cl/cvc_cgi/bte/bte_indiv_cons3?C657599300004013928F" TargetMode="External"/><Relationship Id="rId14" Type="http://schemas.openxmlformats.org/officeDocument/2006/relationships/hyperlink" Target="https://zeus.sii.cl/cvc_cgi/bte/bte_indiv_cons3?C6575993000045557A49" TargetMode="External"/><Relationship Id="rId22" Type="http://schemas.openxmlformats.org/officeDocument/2006/relationships/hyperlink" Target="https://zeus.sii.cl/cvc_cgi/bte/bte_indiv_cons3?C6575993000053567B46" TargetMode="External"/><Relationship Id="rId27" Type="http://schemas.openxmlformats.org/officeDocument/2006/relationships/hyperlink" Target="https://zeus.sii.cl/cvc_cgi/bte/bte_indiv_cons3?C657599300009316858E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160020</xdr:colOff>
      <xdr:row>2</xdr:row>
      <xdr:rowOff>15240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160020</xdr:colOff>
      <xdr:row>3</xdr:row>
      <xdr:rowOff>15240</xdr:rowOff>
    </xdr:to>
    <xdr:pic>
      <xdr:nvPicPr>
        <xdr:cNvPr id="3" name="Imagen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160020</xdr:colOff>
      <xdr:row>4</xdr:row>
      <xdr:rowOff>15240</xdr:rowOff>
    </xdr:to>
    <xdr:pic>
      <xdr:nvPicPr>
        <xdr:cNvPr id="4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674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160020</xdr:colOff>
      <xdr:row>5</xdr:row>
      <xdr:rowOff>15240</xdr:rowOff>
    </xdr:to>
    <xdr:pic>
      <xdr:nvPicPr>
        <xdr:cNvPr id="5" name="Imagen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86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160020</xdr:colOff>
      <xdr:row>6</xdr:row>
      <xdr:rowOff>15240</xdr:rowOff>
    </xdr:to>
    <xdr:pic>
      <xdr:nvPicPr>
        <xdr:cNvPr id="6" name="Imagen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298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160020</xdr:colOff>
      <xdr:row>13</xdr:row>
      <xdr:rowOff>15240</xdr:rowOff>
    </xdr:to>
    <xdr:pic>
      <xdr:nvPicPr>
        <xdr:cNvPr id="7" name="Imagen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410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160020</xdr:colOff>
      <xdr:row>14</xdr:row>
      <xdr:rowOff>15240</xdr:rowOff>
    </xdr:to>
    <xdr:pic>
      <xdr:nvPicPr>
        <xdr:cNvPr id="8" name="Imagen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222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160020</xdr:colOff>
      <xdr:row>15</xdr:row>
      <xdr:rowOff>15240</xdr:rowOff>
    </xdr:to>
    <xdr:pic>
      <xdr:nvPicPr>
        <xdr:cNvPr id="9" name="Imagen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034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160020</xdr:colOff>
      <xdr:row>16</xdr:row>
      <xdr:rowOff>15240</xdr:rowOff>
    </xdr:to>
    <xdr:pic>
      <xdr:nvPicPr>
        <xdr:cNvPr id="10" name="Imagen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846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160020</xdr:colOff>
      <xdr:row>17</xdr:row>
      <xdr:rowOff>15240</xdr:rowOff>
    </xdr:to>
    <xdr:pic>
      <xdr:nvPicPr>
        <xdr:cNvPr id="11" name="Imagen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658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160020</xdr:colOff>
      <xdr:row>24</xdr:row>
      <xdr:rowOff>15240</xdr:rowOff>
    </xdr:to>
    <xdr:pic>
      <xdr:nvPicPr>
        <xdr:cNvPr id="12" name="Imagen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770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160020</xdr:colOff>
      <xdr:row>25</xdr:row>
      <xdr:rowOff>15240</xdr:rowOff>
    </xdr:to>
    <xdr:pic>
      <xdr:nvPicPr>
        <xdr:cNvPr id="13" name="Imagen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160020</xdr:colOff>
      <xdr:row>26</xdr:row>
      <xdr:rowOff>15240</xdr:rowOff>
    </xdr:to>
    <xdr:pic>
      <xdr:nvPicPr>
        <xdr:cNvPr id="14" name="Imagen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394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160020</xdr:colOff>
      <xdr:row>27</xdr:row>
      <xdr:rowOff>15240</xdr:rowOff>
    </xdr:to>
    <xdr:pic>
      <xdr:nvPicPr>
        <xdr:cNvPr id="15" name="Imagen 1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5206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160020</xdr:colOff>
      <xdr:row>28</xdr:row>
      <xdr:rowOff>15240</xdr:rowOff>
    </xdr:to>
    <xdr:pic>
      <xdr:nvPicPr>
        <xdr:cNvPr id="16" name="Imagen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5018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160020</xdr:colOff>
      <xdr:row>29</xdr:row>
      <xdr:rowOff>15240</xdr:rowOff>
    </xdr:to>
    <xdr:pic>
      <xdr:nvPicPr>
        <xdr:cNvPr id="17" name="Imagen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830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160020</xdr:colOff>
      <xdr:row>30</xdr:row>
      <xdr:rowOff>15240</xdr:rowOff>
    </xdr:to>
    <xdr:pic>
      <xdr:nvPicPr>
        <xdr:cNvPr id="18" name="Imagen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64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160020</xdr:colOff>
      <xdr:row>36</xdr:row>
      <xdr:rowOff>15240</xdr:rowOff>
    </xdr:to>
    <xdr:pic>
      <xdr:nvPicPr>
        <xdr:cNvPr id="19" name="Imagen 1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9704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160020</xdr:colOff>
      <xdr:row>37</xdr:row>
      <xdr:rowOff>15240</xdr:rowOff>
    </xdr:to>
    <xdr:pic>
      <xdr:nvPicPr>
        <xdr:cNvPr id="20" name="Imagen 1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160020</xdr:colOff>
      <xdr:row>38</xdr:row>
      <xdr:rowOff>15240</xdr:rowOff>
    </xdr:to>
    <xdr:pic>
      <xdr:nvPicPr>
        <xdr:cNvPr id="21" name="Imagen 2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9328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160020</xdr:colOff>
      <xdr:row>39</xdr:row>
      <xdr:rowOff>15240</xdr:rowOff>
    </xdr:to>
    <xdr:pic>
      <xdr:nvPicPr>
        <xdr:cNvPr id="22" name="Imagen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140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160020</xdr:colOff>
      <xdr:row>45</xdr:row>
      <xdr:rowOff>15240</xdr:rowOff>
    </xdr:to>
    <xdr:pic>
      <xdr:nvPicPr>
        <xdr:cNvPr id="28" name="Imagen 2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420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160020</xdr:colOff>
      <xdr:row>46</xdr:row>
      <xdr:rowOff>15240</xdr:rowOff>
    </xdr:to>
    <xdr:pic>
      <xdr:nvPicPr>
        <xdr:cNvPr id="29" name="Imagen 28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4014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160020</xdr:colOff>
      <xdr:row>47</xdr:row>
      <xdr:rowOff>15240</xdr:rowOff>
    </xdr:to>
    <xdr:pic>
      <xdr:nvPicPr>
        <xdr:cNvPr id="30" name="Imagen 29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3826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160020</xdr:colOff>
      <xdr:row>48</xdr:row>
      <xdr:rowOff>15240</xdr:rowOff>
    </xdr:to>
    <xdr:pic>
      <xdr:nvPicPr>
        <xdr:cNvPr id="31" name="Imagen 30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3638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160020</xdr:colOff>
      <xdr:row>49</xdr:row>
      <xdr:rowOff>15240</xdr:rowOff>
    </xdr:to>
    <xdr:pic>
      <xdr:nvPicPr>
        <xdr:cNvPr id="32" name="Imagen 31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160020</xdr:colOff>
      <xdr:row>55</xdr:row>
      <xdr:rowOff>15240</xdr:rowOff>
    </xdr:to>
    <xdr:pic>
      <xdr:nvPicPr>
        <xdr:cNvPr id="33" name="Imagen 32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851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160020</xdr:colOff>
      <xdr:row>56</xdr:row>
      <xdr:rowOff>15240</xdr:rowOff>
    </xdr:to>
    <xdr:pic>
      <xdr:nvPicPr>
        <xdr:cNvPr id="34" name="Imagen 33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8324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160020</xdr:colOff>
      <xdr:row>62</xdr:row>
      <xdr:rowOff>15240</xdr:rowOff>
    </xdr:to>
    <xdr:pic>
      <xdr:nvPicPr>
        <xdr:cNvPr id="35" name="Imagen 34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3386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160020</xdr:colOff>
      <xdr:row>63</xdr:row>
      <xdr:rowOff>15240</xdr:rowOff>
    </xdr:to>
    <xdr:pic>
      <xdr:nvPicPr>
        <xdr:cNvPr id="36" name="Imagen 3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3198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160020</xdr:colOff>
      <xdr:row>64</xdr:row>
      <xdr:rowOff>15240</xdr:rowOff>
    </xdr:to>
    <xdr:pic>
      <xdr:nvPicPr>
        <xdr:cNvPr id="37" name="Imagen 3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3010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160020</xdr:colOff>
      <xdr:row>65</xdr:row>
      <xdr:rowOff>15240</xdr:rowOff>
    </xdr:to>
    <xdr:pic>
      <xdr:nvPicPr>
        <xdr:cNvPr id="38" name="Imagen 3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282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160020</xdr:colOff>
      <xdr:row>66</xdr:row>
      <xdr:rowOff>15240</xdr:rowOff>
    </xdr:to>
    <xdr:pic>
      <xdr:nvPicPr>
        <xdr:cNvPr id="39" name="Imagen 38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634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160020</xdr:colOff>
      <xdr:row>73</xdr:row>
      <xdr:rowOff>15240</xdr:rowOff>
    </xdr:to>
    <xdr:pic>
      <xdr:nvPicPr>
        <xdr:cNvPr id="40" name="Imagen 39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6746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160020</xdr:colOff>
      <xdr:row>74</xdr:row>
      <xdr:rowOff>15240</xdr:rowOff>
    </xdr:to>
    <xdr:pic>
      <xdr:nvPicPr>
        <xdr:cNvPr id="41" name="Imagen 4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6558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160020</xdr:colOff>
      <xdr:row>75</xdr:row>
      <xdr:rowOff>15240</xdr:rowOff>
    </xdr:to>
    <xdr:pic>
      <xdr:nvPicPr>
        <xdr:cNvPr id="42" name="Imagen 41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6370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160020</xdr:colOff>
      <xdr:row>76</xdr:row>
      <xdr:rowOff>15240</xdr:rowOff>
    </xdr:to>
    <xdr:pic>
      <xdr:nvPicPr>
        <xdr:cNvPr id="43" name="Imagen 42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618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160020</xdr:colOff>
      <xdr:row>77</xdr:row>
      <xdr:rowOff>15240</xdr:rowOff>
    </xdr:to>
    <xdr:pic>
      <xdr:nvPicPr>
        <xdr:cNvPr id="44" name="Imagen 4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5994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160020</xdr:colOff>
      <xdr:row>83</xdr:row>
      <xdr:rowOff>15240</xdr:rowOff>
    </xdr:to>
    <xdr:pic>
      <xdr:nvPicPr>
        <xdr:cNvPr id="45" name="Imagen 4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1056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160020</xdr:colOff>
      <xdr:row>84</xdr:row>
      <xdr:rowOff>15240</xdr:rowOff>
    </xdr:to>
    <xdr:pic>
      <xdr:nvPicPr>
        <xdr:cNvPr id="46" name="Imagen 4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0868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160020</xdr:colOff>
      <xdr:row>84</xdr:row>
      <xdr:rowOff>15240</xdr:rowOff>
    </xdr:to>
    <xdr:pic>
      <xdr:nvPicPr>
        <xdr:cNvPr id="47" name="Imagen 46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0680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160020</xdr:colOff>
      <xdr:row>85</xdr:row>
      <xdr:rowOff>15240</xdr:rowOff>
    </xdr:to>
    <xdr:pic>
      <xdr:nvPicPr>
        <xdr:cNvPr id="48" name="Imagen 47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049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160020</xdr:colOff>
      <xdr:row>86</xdr:row>
      <xdr:rowOff>15240</xdr:rowOff>
    </xdr:to>
    <xdr:pic>
      <xdr:nvPicPr>
        <xdr:cNvPr id="49" name="Imagen 48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0304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160020</xdr:colOff>
      <xdr:row>87</xdr:row>
      <xdr:rowOff>15240</xdr:rowOff>
    </xdr:to>
    <xdr:pic>
      <xdr:nvPicPr>
        <xdr:cNvPr id="50" name="Imagen 49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116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160020</xdr:colOff>
      <xdr:row>92</xdr:row>
      <xdr:rowOff>160020</xdr:rowOff>
    </xdr:to>
    <xdr:pic>
      <xdr:nvPicPr>
        <xdr:cNvPr id="51" name="Imagen 50" descr="https://loa.sii.cl/IMT/img/pdf.gif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5128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160020</xdr:colOff>
      <xdr:row>93</xdr:row>
      <xdr:rowOff>160020</xdr:rowOff>
    </xdr:to>
    <xdr:pic>
      <xdr:nvPicPr>
        <xdr:cNvPr id="52" name="Imagen 51" descr="https://loa.sii.cl/IMT/img/pdf.gif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4178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160020</xdr:colOff>
      <xdr:row>94</xdr:row>
      <xdr:rowOff>160020</xdr:rowOff>
    </xdr:to>
    <xdr:pic>
      <xdr:nvPicPr>
        <xdr:cNvPr id="53" name="Imagen 52" descr="https://loa.sii.cl/IMT/img/pdf.gif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3228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160020</xdr:colOff>
      <xdr:row>95</xdr:row>
      <xdr:rowOff>160020</xdr:rowOff>
    </xdr:to>
    <xdr:pic>
      <xdr:nvPicPr>
        <xdr:cNvPr id="54" name="Imagen 53" descr="https://loa.sii.cl/IMT/img/pdf.gif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2278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160020</xdr:colOff>
      <xdr:row>101</xdr:row>
      <xdr:rowOff>160020</xdr:rowOff>
    </xdr:to>
    <xdr:pic>
      <xdr:nvPicPr>
        <xdr:cNvPr id="55" name="Imagen 54" descr="https://loa.sii.cl/IMT/img/pdf.gif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2570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160020</xdr:colOff>
      <xdr:row>102</xdr:row>
      <xdr:rowOff>160020</xdr:rowOff>
    </xdr:to>
    <xdr:pic>
      <xdr:nvPicPr>
        <xdr:cNvPr id="56" name="Imagen 55" descr="https://loa.sii.cl/IMT/img/pdf.gif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1620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160020</xdr:colOff>
      <xdr:row>103</xdr:row>
      <xdr:rowOff>160020</xdr:rowOff>
    </xdr:to>
    <xdr:pic>
      <xdr:nvPicPr>
        <xdr:cNvPr id="57" name="Imagen 56" descr="https://loa.sii.cl/IMT/img/pdf.gif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0670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160020</xdr:colOff>
      <xdr:row>104</xdr:row>
      <xdr:rowOff>160020</xdr:rowOff>
    </xdr:to>
    <xdr:pic>
      <xdr:nvPicPr>
        <xdr:cNvPr id="58" name="Imagen 57" descr="https://loa.sii.cl/IMT/img/pdf.gif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9720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161925</xdr:colOff>
      <xdr:row>109</xdr:row>
      <xdr:rowOff>161925</xdr:rowOff>
    </xdr:to>
    <xdr:pic>
      <xdr:nvPicPr>
        <xdr:cNvPr id="59" name="Imagen 58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453E86B5-9539-45C6-BC3F-C02C8293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403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161925</xdr:colOff>
      <xdr:row>110</xdr:row>
      <xdr:rowOff>161925</xdr:rowOff>
    </xdr:to>
    <xdr:pic>
      <xdr:nvPicPr>
        <xdr:cNvPr id="60" name="Imagen 59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B63A5715-C132-494B-B198-DFBDEF93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308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161925</xdr:colOff>
      <xdr:row>111</xdr:row>
      <xdr:rowOff>161925</xdr:rowOff>
    </xdr:to>
    <xdr:pic>
      <xdr:nvPicPr>
        <xdr:cNvPr id="61" name="Imagen 60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B258FD0D-390B-4071-84B7-E598E4BA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161925</xdr:colOff>
      <xdr:row>112</xdr:row>
      <xdr:rowOff>161925</xdr:rowOff>
    </xdr:to>
    <xdr:pic>
      <xdr:nvPicPr>
        <xdr:cNvPr id="62" name="Imagen 61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84BB619-A948-4CBB-97A0-9C36C732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118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161925</xdr:colOff>
      <xdr:row>113</xdr:row>
      <xdr:rowOff>161925</xdr:rowOff>
    </xdr:to>
    <xdr:pic>
      <xdr:nvPicPr>
        <xdr:cNvPr id="63" name="Imagen 62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19748E86-C3D7-4EF4-AB04-B01F77C67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023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161925</xdr:colOff>
      <xdr:row>114</xdr:row>
      <xdr:rowOff>161925</xdr:rowOff>
    </xdr:to>
    <xdr:pic>
      <xdr:nvPicPr>
        <xdr:cNvPr id="64" name="Imagen 63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C371BE82-40C4-436D-8EFB-A35C75CCF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928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161925</xdr:colOff>
      <xdr:row>115</xdr:row>
      <xdr:rowOff>161925</xdr:rowOff>
    </xdr:to>
    <xdr:pic>
      <xdr:nvPicPr>
        <xdr:cNvPr id="65" name="Imagen 64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622A3F1F-1713-4529-B4E2-5EE0FDC0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833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161925</xdr:colOff>
      <xdr:row>116</xdr:row>
      <xdr:rowOff>161925</xdr:rowOff>
    </xdr:to>
    <xdr:pic>
      <xdr:nvPicPr>
        <xdr:cNvPr id="66" name="Imagen 65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91E009E-40A6-4512-8A75-9AA3C2E3E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738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0</xdr:col>
      <xdr:colOff>160020</xdr:colOff>
      <xdr:row>21</xdr:row>
      <xdr:rowOff>160020</xdr:rowOff>
    </xdr:to>
    <xdr:pic>
      <xdr:nvPicPr>
        <xdr:cNvPr id="27" name="Imagen 26" descr="Ver boleta en formato htm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86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160020</xdr:colOff>
      <xdr:row>22</xdr:row>
      <xdr:rowOff>160020</xdr:rowOff>
    </xdr:to>
    <xdr:pic>
      <xdr:nvPicPr>
        <xdr:cNvPr id="28" name="Imagen 27" descr="Ver boleta en formato html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91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160020</xdr:colOff>
      <xdr:row>27</xdr:row>
      <xdr:rowOff>160020</xdr:rowOff>
    </xdr:to>
    <xdr:pic>
      <xdr:nvPicPr>
        <xdr:cNvPr id="29" name="Imagen 28" descr="Ver boleta en formato htm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16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160020</xdr:colOff>
      <xdr:row>32</xdr:row>
      <xdr:rowOff>160020</xdr:rowOff>
    </xdr:to>
    <xdr:pic>
      <xdr:nvPicPr>
        <xdr:cNvPr id="30" name="Imagen 29" descr="Ver boleta en formato htm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41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160020</xdr:colOff>
      <xdr:row>33</xdr:row>
      <xdr:rowOff>160020</xdr:rowOff>
    </xdr:to>
    <xdr:pic>
      <xdr:nvPicPr>
        <xdr:cNvPr id="31" name="Imagen 30" descr="Ver boleta en formato htm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46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160020</xdr:colOff>
      <xdr:row>34</xdr:row>
      <xdr:rowOff>160020</xdr:rowOff>
    </xdr:to>
    <xdr:pic>
      <xdr:nvPicPr>
        <xdr:cNvPr id="32" name="Imagen 31" descr="Ver boleta en formato html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751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160020</xdr:colOff>
      <xdr:row>39</xdr:row>
      <xdr:rowOff>160020</xdr:rowOff>
    </xdr:to>
    <xdr:pic>
      <xdr:nvPicPr>
        <xdr:cNvPr id="10" name="Imagen 9" descr="Ver boleta en formato html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71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160020</xdr:colOff>
      <xdr:row>40</xdr:row>
      <xdr:rowOff>160020</xdr:rowOff>
    </xdr:to>
    <xdr:pic>
      <xdr:nvPicPr>
        <xdr:cNvPr id="11" name="Imagen 10" descr="Ver boleta en formato html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76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160020</xdr:colOff>
      <xdr:row>45</xdr:row>
      <xdr:rowOff>160020</xdr:rowOff>
    </xdr:to>
    <xdr:pic>
      <xdr:nvPicPr>
        <xdr:cNvPr id="12" name="Imagen 11" descr="Ver boleta en formato html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801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160020</xdr:colOff>
      <xdr:row>46</xdr:row>
      <xdr:rowOff>160020</xdr:rowOff>
    </xdr:to>
    <xdr:pic>
      <xdr:nvPicPr>
        <xdr:cNvPr id="13" name="Imagen 12" descr="Ver boleta en formato html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06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160020</xdr:colOff>
      <xdr:row>47</xdr:row>
      <xdr:rowOff>160020</xdr:rowOff>
    </xdr:to>
    <xdr:pic>
      <xdr:nvPicPr>
        <xdr:cNvPr id="14" name="Imagen 13" descr="Ver boleta en formato html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611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160020</xdr:colOff>
      <xdr:row>52</xdr:row>
      <xdr:rowOff>160020</xdr:rowOff>
    </xdr:to>
    <xdr:pic>
      <xdr:nvPicPr>
        <xdr:cNvPr id="15" name="Imagen 14" descr="Ver boleta en formato html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946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160020</xdr:colOff>
      <xdr:row>53</xdr:row>
      <xdr:rowOff>160020</xdr:rowOff>
    </xdr:to>
    <xdr:pic>
      <xdr:nvPicPr>
        <xdr:cNvPr id="16" name="Imagen 15" descr="Ver boleta en formato html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851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160020</xdr:colOff>
      <xdr:row>54</xdr:row>
      <xdr:rowOff>160020</xdr:rowOff>
    </xdr:to>
    <xdr:pic>
      <xdr:nvPicPr>
        <xdr:cNvPr id="17" name="Imagen 16" descr="Ver boleta en formato html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756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160020</xdr:colOff>
      <xdr:row>59</xdr:row>
      <xdr:rowOff>160020</xdr:rowOff>
    </xdr:to>
    <xdr:pic>
      <xdr:nvPicPr>
        <xdr:cNvPr id="18" name="Imagen 17" descr="Ver boleta en formato html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471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160020</xdr:colOff>
      <xdr:row>60</xdr:row>
      <xdr:rowOff>160020</xdr:rowOff>
    </xdr:to>
    <xdr:pic>
      <xdr:nvPicPr>
        <xdr:cNvPr id="19" name="Imagen 18" descr="Ver boleta en formato html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76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160020</xdr:colOff>
      <xdr:row>61</xdr:row>
      <xdr:rowOff>160020</xdr:rowOff>
    </xdr:to>
    <xdr:pic>
      <xdr:nvPicPr>
        <xdr:cNvPr id="20" name="Imagen 19" descr="Ver boleta en formato html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28120"/>
          <a:ext cx="1600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161925</xdr:colOff>
      <xdr:row>66</xdr:row>
      <xdr:rowOff>161925</xdr:rowOff>
    </xdr:to>
    <xdr:pic>
      <xdr:nvPicPr>
        <xdr:cNvPr id="21" name="Imagen 20" descr="Ver boleta en formato html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EC3DE364-5566-42AF-A114-3736B720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161925</xdr:colOff>
      <xdr:row>67</xdr:row>
      <xdr:rowOff>161925</xdr:rowOff>
    </xdr:to>
    <xdr:pic>
      <xdr:nvPicPr>
        <xdr:cNvPr id="22" name="Imagen 21" descr="Ver boleta en formato html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D095509D-2EF9-40DA-B0BC-9ECDD54D0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161925</xdr:colOff>
      <xdr:row>68</xdr:row>
      <xdr:rowOff>161925</xdr:rowOff>
    </xdr:to>
    <xdr:pic>
      <xdr:nvPicPr>
        <xdr:cNvPr id="23" name="Imagen 22" descr="Ver boleta en formato html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45AC6AE0-B443-42C8-81B5-1B661637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161925</xdr:colOff>
      <xdr:row>69</xdr:row>
      <xdr:rowOff>161925</xdr:rowOff>
    </xdr:to>
    <xdr:pic>
      <xdr:nvPicPr>
        <xdr:cNvPr id="24" name="Imagen 23" descr="Ver boleta en formato html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7A8F381-70F4-4B77-A22A-302683C9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16" name="1 Imagen" descr="Ver boleta en formato htm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2C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17" name="2 Imagen" descr="Ver boleta en formato html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2D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18" name="3 Imagen" descr="Ver boleta en formato htm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2E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19" name="4 Imagen" descr="Ver boleta en formato htm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F00-00002F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20" name="5 Imagen" descr="Ver boleta en formato htm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F00-000030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21" name="6 Imagen" descr="Ver boleta en formato html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F00-000031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22" name="7 Imagen" descr="Ver boleta en formato html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F00-000032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23" name="8 Imagen" descr="Ver boleta en formato html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F00-000033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24" name="9 Imagen" descr="Ver boleta en formato html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F00-000034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25" name="10 Imagen" descr="Ver boleta en formato html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F00-000035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26" name="11 Imagen" descr="Ver boleta en formato html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F00-000036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27" name="12 Imagen" descr="Ver boleta en formato html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F00-000037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28" name="13 Imagen" descr="Ver boleta en formato html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F00-000038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29" name="14 Imagen" descr="Ver boleta en formato html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1F00-000039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30" name="19 Imagen" descr="Ver boleta en formato html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1F00-00003A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31" name="20 Imagen" descr="Ver boleta en formato html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F00-00003B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32" name="21 Imagen" descr="Ver boleta en formato html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1F00-00003C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33" name="22 Imagen" descr="Ver boleta en formato html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1F00-00003D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34" name="42 Imagen" descr="Ver boleta en formato html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1F00-00003E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35" name="43 Imagen" descr="Ver boleta en formato html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F00-00003F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36" name="44 Imagen" descr="Ver boleta en formato html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1F00-000040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37" name="45 Imagen" descr="Ver boleta en formato html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1F00-000041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38" name="49 Imagen" descr="Ver boleta en formato html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1F00-000042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39" name="50 Imagen" descr="Ver boleta en formato html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1F00-000043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40" name="51 Imagen" descr="Ver boleta en formato html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1F00-000044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41" name="Imagen 29" descr="Ver boleta en formato html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1F00-000045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42" name="Imagen 30" descr="Ver boleta en formato html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1F00-000046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198120</xdr:colOff>
      <xdr:row>15</xdr:row>
      <xdr:rowOff>0</xdr:rowOff>
    </xdr:to>
    <xdr:pic>
      <xdr:nvPicPr>
        <xdr:cNvPr id="265543" name="Imagen 31" descr="Ver boleta en formato html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1F00-000047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56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198120</xdr:colOff>
      <xdr:row>27</xdr:row>
      <xdr:rowOff>0</xdr:rowOff>
    </xdr:to>
    <xdr:pic>
      <xdr:nvPicPr>
        <xdr:cNvPr id="265544" name="Imagen 32" descr="Ver boleta en formato html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1F00-000048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060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198120</xdr:colOff>
      <xdr:row>46</xdr:row>
      <xdr:rowOff>7620</xdr:rowOff>
    </xdr:to>
    <xdr:pic>
      <xdr:nvPicPr>
        <xdr:cNvPr id="265545" name="Imagen 32" descr="Ver boleta en formato html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1F00-0000490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5152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blo\Parroquia\Balance%20PSAH%20Ene-Dic%202020%20(Revisi&#243;n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lazaro/Downloads/Nueva%20carpeta/Balance%20PSAH%20a&#241;o%202021%20(Marzo%20Previ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 Admin."/>
      <sheetName val="Diario"/>
      <sheetName val="Balance mensual administracion"/>
      <sheetName val="Blce Admin mensual"/>
      <sheetName val="Modelos"/>
      <sheetName val="Conciliación Adm."/>
      <sheetName val="Bce Tributario"/>
      <sheetName val="Libro De Compras 2020"/>
      <sheetName val="Honorarios"/>
      <sheetName val="3ros"/>
      <sheetName val="Anticipo y Retenciones"/>
      <sheetName val="Plan"/>
      <sheetName val="Obras"/>
      <sheetName val="131"/>
      <sheetName val="1130"/>
      <sheetName val="1216"/>
      <sheetName val="1217"/>
      <sheetName val="1218"/>
      <sheetName val="1219"/>
      <sheetName val="1220"/>
      <sheetName val="140"/>
      <sheetName val="Relacionadas"/>
      <sheetName val="201"/>
      <sheetName val="202"/>
      <sheetName val="203"/>
      <sheetName val="204"/>
      <sheetName val="222"/>
      <sheetName val="223"/>
      <sheetName val="224"/>
      <sheetName val="227"/>
      <sheetName val="228"/>
      <sheetName val="229"/>
      <sheetName val="230"/>
      <sheetName val="Otros"/>
      <sheetName val="TD Conciliaciones"/>
      <sheetName val="Conciliación Security Cali"/>
      <sheetName val="Conciliación Cali Chile"/>
      <sheetName val="Balance mensual CALI"/>
      <sheetName val="Blce CALI mensual"/>
      <sheetName val="Resultado Cali"/>
      <sheetName val="Resultado Consolidado"/>
      <sheetName val="Blce Consolidado"/>
      <sheetName val="Analisis Adm."/>
      <sheetName val="Analisis Cali"/>
      <sheetName val="Analisis Consolidado"/>
      <sheetName val="Costos Activados"/>
      <sheetName val="Inversiones"/>
      <sheetName val="Pablo Cer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F19" t="str">
            <v>138-01</v>
          </cell>
          <cell r="G19" t="str">
            <v>ITO</v>
          </cell>
        </row>
        <row r="20">
          <cell r="F20" t="str">
            <v>138-02</v>
          </cell>
          <cell r="G20" t="str">
            <v>Proyecto Electrico</v>
          </cell>
        </row>
        <row r="21">
          <cell r="F21" t="str">
            <v>138-03</v>
          </cell>
          <cell r="G21" t="str">
            <v>Jardines</v>
          </cell>
        </row>
        <row r="24">
          <cell r="F24" t="str">
            <v>138-04</v>
          </cell>
          <cell r="G24" t="str">
            <v>Calculista</v>
          </cell>
        </row>
        <row r="25">
          <cell r="F25" t="str">
            <v>138-05</v>
          </cell>
          <cell r="G25" t="str">
            <v>Topografia</v>
          </cell>
        </row>
        <row r="26">
          <cell r="F26" t="str">
            <v>138-06</v>
          </cell>
          <cell r="G26" t="str">
            <v>Manejo Residuos</v>
          </cell>
        </row>
        <row r="27">
          <cell r="F27" t="str">
            <v>138-07</v>
          </cell>
          <cell r="G27" t="str">
            <v>Acústica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 Admin."/>
      <sheetName val="Balance mensual administracion"/>
      <sheetName val="Blce Admin mensual"/>
      <sheetName val="Conciliación Adm."/>
      <sheetName val="Diario Adm"/>
      <sheetName val="Hoja1"/>
      <sheetName val="TD Adm"/>
      <sheetName val="Modelo Centralización"/>
      <sheetName val="Honorarios Terceros"/>
      <sheetName val="Relac.Adm"/>
      <sheetName val="Relac.Cali"/>
      <sheetName val="Honorarios2021"/>
      <sheetName val="Bce Tributario"/>
      <sheetName val="Plan"/>
      <sheetName val="Diario Cali"/>
      <sheetName val="Libro De Compras 2021"/>
      <sheetName val="Proveedores"/>
      <sheetName val="TD Cali"/>
      <sheetName val="Conciliación Chile Cali"/>
      <sheetName val="Conciliación Security Cali"/>
      <sheetName val="Resultado Cali"/>
      <sheetName val="Balance mensual CALI"/>
      <sheetName val="Blce CALI mensual"/>
      <sheetName val="Modelos"/>
      <sheetName val="3ros"/>
      <sheetName val="Anticipo y Retenciones"/>
      <sheetName val="Resultado Consolidado"/>
      <sheetName val="Blce Consolidado"/>
      <sheetName val="Analisis Adm."/>
      <sheetName val="Analisis Cali"/>
      <sheetName val="Analisis Consolidado"/>
      <sheetName val="Costos Activados"/>
      <sheetName val="Inversiones"/>
      <sheetName val="Pablo Cerda"/>
      <sheetName val="Conciliación Santander Cal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>
            <v>110</v>
          </cell>
          <cell r="B1" t="str">
            <v>Disponible Administración</v>
          </cell>
        </row>
        <row r="2">
          <cell r="A2">
            <v>115</v>
          </cell>
          <cell r="B2" t="str">
            <v>Disponible Cali</v>
          </cell>
        </row>
        <row r="3">
          <cell r="A3">
            <v>112</v>
          </cell>
          <cell r="B3" t="str">
            <v>Fondo por Rendir Cali</v>
          </cell>
        </row>
        <row r="4">
          <cell r="A4">
            <v>113</v>
          </cell>
          <cell r="B4" t="str">
            <v>Depósito a plazo Cali Banco Santander</v>
          </cell>
        </row>
        <row r="5">
          <cell r="A5">
            <v>116</v>
          </cell>
          <cell r="B5" t="str">
            <v>Disponible CALI Security</v>
          </cell>
        </row>
        <row r="6">
          <cell r="A6">
            <v>117</v>
          </cell>
          <cell r="B6" t="str">
            <v>Disponible CALI Santander</v>
          </cell>
        </row>
        <row r="7">
          <cell r="A7">
            <v>114</v>
          </cell>
          <cell r="B7" t="str">
            <v>Fondo por Rendir Admistración</v>
          </cell>
        </row>
        <row r="8">
          <cell r="A8">
            <v>118</v>
          </cell>
          <cell r="B8" t="str">
            <v>Depósito a plazo Cali Banco Security</v>
          </cell>
        </row>
        <row r="9">
          <cell r="A9">
            <v>119</v>
          </cell>
          <cell r="B9" t="str">
            <v>FM Cali Banco Security</v>
          </cell>
        </row>
        <row r="10">
          <cell r="A10">
            <v>120</v>
          </cell>
          <cell r="B10" t="str">
            <v>Fondo Mutuo Administración</v>
          </cell>
        </row>
        <row r="11">
          <cell r="A11">
            <v>125</v>
          </cell>
          <cell r="B11" t="str">
            <v>Depósito a plazo Cali</v>
          </cell>
        </row>
        <row r="12">
          <cell r="A12">
            <v>130</v>
          </cell>
          <cell r="B12" t="str">
            <v>Garantias Administración</v>
          </cell>
        </row>
        <row r="13">
          <cell r="A13">
            <v>131</v>
          </cell>
          <cell r="B13" t="str">
            <v>Arriendos Anticipados</v>
          </cell>
        </row>
        <row r="14">
          <cell r="A14">
            <v>132</v>
          </cell>
          <cell r="B14" t="str">
            <v>Préstamos  Fundación Administración</v>
          </cell>
        </row>
        <row r="15">
          <cell r="A15">
            <v>133</v>
          </cell>
          <cell r="B15" t="str">
            <v>Préstamos  Fundación Cali</v>
          </cell>
        </row>
        <row r="16">
          <cell r="A16">
            <v>135</v>
          </cell>
          <cell r="B16" t="str">
            <v>Arquitectura</v>
          </cell>
        </row>
        <row r="17">
          <cell r="A17">
            <v>136</v>
          </cell>
          <cell r="B17" t="str">
            <v>Obras en Construcción</v>
          </cell>
        </row>
        <row r="18">
          <cell r="A18">
            <v>1361</v>
          </cell>
          <cell r="B18" t="str">
            <v>Adicionales Obras en Construcción</v>
          </cell>
        </row>
        <row r="19">
          <cell r="A19">
            <v>1362</v>
          </cell>
          <cell r="B19" t="str">
            <v>Contribuciones</v>
          </cell>
        </row>
        <row r="20">
          <cell r="A20">
            <v>137</v>
          </cell>
          <cell r="B20" t="str">
            <v>Anticipo Construcción</v>
          </cell>
        </row>
        <row r="21">
          <cell r="A21">
            <v>138</v>
          </cell>
          <cell r="B21" t="str">
            <v>Proyectos Especialidades</v>
          </cell>
        </row>
        <row r="22">
          <cell r="A22">
            <v>140</v>
          </cell>
          <cell r="B22" t="str">
            <v>Provisión Cuentas por cobrar</v>
          </cell>
        </row>
        <row r="23">
          <cell r="A23">
            <v>141</v>
          </cell>
          <cell r="B23" t="str">
            <v>Cuentas por Cobrar a Administración</v>
          </cell>
        </row>
        <row r="24">
          <cell r="A24">
            <v>142</v>
          </cell>
          <cell r="B24" t="str">
            <v>Cuentas por Cobrar a CALI (Colectas)</v>
          </cell>
        </row>
        <row r="25">
          <cell r="A25">
            <v>143</v>
          </cell>
          <cell r="B25" t="str">
            <v>Cuentas por Cobrar a CALI (Canastas)</v>
          </cell>
        </row>
        <row r="26">
          <cell r="A26">
            <v>144</v>
          </cell>
          <cell r="B26" t="str">
            <v>Cuentas por Cobrar a Santander</v>
          </cell>
        </row>
        <row r="27">
          <cell r="A27">
            <v>145</v>
          </cell>
          <cell r="B27" t="str">
            <v>Muebles</v>
          </cell>
        </row>
        <row r="28">
          <cell r="A28">
            <v>146</v>
          </cell>
          <cell r="B28" t="str">
            <v>Equipos de Oficina</v>
          </cell>
        </row>
        <row r="29">
          <cell r="A29">
            <v>150</v>
          </cell>
          <cell r="B29" t="str">
            <v>Fray Andresito</v>
          </cell>
        </row>
        <row r="30">
          <cell r="A30">
            <v>151</v>
          </cell>
          <cell r="B30" t="str">
            <v>Las Cabras</v>
          </cell>
        </row>
        <row r="31">
          <cell r="A31">
            <v>201</v>
          </cell>
          <cell r="B31" t="str">
            <v>1% por pagar</v>
          </cell>
        </row>
        <row r="32">
          <cell r="A32">
            <v>202</v>
          </cell>
          <cell r="B32" t="str">
            <v>Arzobispado por pagar</v>
          </cell>
        </row>
        <row r="33">
          <cell r="A33">
            <v>203</v>
          </cell>
          <cell r="B33" t="str">
            <v>Recaudadoras por pagar</v>
          </cell>
        </row>
        <row r="34">
          <cell r="A34">
            <v>204</v>
          </cell>
          <cell r="B34" t="str">
            <v>Retención Honorarios Cali</v>
          </cell>
        </row>
        <row r="35">
          <cell r="A35">
            <v>205</v>
          </cell>
          <cell r="B35" t="str">
            <v>Honorarios por pagar Cali</v>
          </cell>
        </row>
        <row r="36">
          <cell r="A36">
            <v>210</v>
          </cell>
          <cell r="B36" t="str">
            <v>Retenciones Construcción</v>
          </cell>
        </row>
        <row r="37">
          <cell r="A37">
            <v>215</v>
          </cell>
          <cell r="B37" t="str">
            <v>Cuenta por Pagar a Cali</v>
          </cell>
        </row>
        <row r="38">
          <cell r="A38">
            <v>216</v>
          </cell>
          <cell r="B38" t="str">
            <v>Cuenta por Pagar a Administración Colectas</v>
          </cell>
        </row>
        <row r="39">
          <cell r="A39">
            <v>217</v>
          </cell>
          <cell r="B39" t="str">
            <v>Cuenta por Pagar a Administración Canastas</v>
          </cell>
        </row>
        <row r="40">
          <cell r="A40">
            <v>218</v>
          </cell>
          <cell r="B40" t="str">
            <v>Cuenta por Pagar a Cali Santander</v>
          </cell>
        </row>
        <row r="41">
          <cell r="A41">
            <v>220</v>
          </cell>
          <cell r="B41" t="str">
            <v>Fondos Pastoral Juvenil</v>
          </cell>
        </row>
        <row r="42">
          <cell r="A42">
            <v>221</v>
          </cell>
          <cell r="B42" t="str">
            <v>Cheque a Fecha (F.Mutuo) y Otros</v>
          </cell>
        </row>
        <row r="43">
          <cell r="A43">
            <v>222</v>
          </cell>
          <cell r="B43" t="str">
            <v>Honorarios por pagar Administración</v>
          </cell>
        </row>
        <row r="44">
          <cell r="A44">
            <v>223</v>
          </cell>
          <cell r="B44" t="str">
            <v>Ret. Hon.  e Impto. Unico Administración</v>
          </cell>
        </row>
        <row r="45">
          <cell r="A45">
            <v>224</v>
          </cell>
          <cell r="B45" t="str">
            <v>Cotizaciones por Pagar</v>
          </cell>
        </row>
        <row r="46">
          <cell r="A46">
            <v>225</v>
          </cell>
          <cell r="B46" t="str">
            <v>Sueldos por Pagar</v>
          </cell>
        </row>
        <row r="47">
          <cell r="A47">
            <v>226</v>
          </cell>
          <cell r="B47" t="str">
            <v>Provisión Honorarios Administración</v>
          </cell>
        </row>
        <row r="48">
          <cell r="A48">
            <v>227</v>
          </cell>
          <cell r="B48" t="str">
            <v>Provisión Honorarios Cali</v>
          </cell>
        </row>
        <row r="49">
          <cell r="A49">
            <v>228</v>
          </cell>
          <cell r="B49" t="str">
            <v>Proveedores CALI</v>
          </cell>
        </row>
        <row r="50">
          <cell r="A50">
            <v>229</v>
          </cell>
          <cell r="B50" t="str">
            <v>Provisiones Administración</v>
          </cell>
        </row>
        <row r="51">
          <cell r="A51">
            <v>230</v>
          </cell>
          <cell r="B51" t="str">
            <v>Proveedores Administración</v>
          </cell>
        </row>
        <row r="52">
          <cell r="A52">
            <v>231</v>
          </cell>
          <cell r="B52" t="str">
            <v xml:space="preserve"> Fondos Pastoral Social</v>
          </cell>
        </row>
        <row r="53">
          <cell r="A53">
            <v>232</v>
          </cell>
          <cell r="B53" t="str">
            <v>Préstamo Arzobispado</v>
          </cell>
        </row>
        <row r="54">
          <cell r="A54">
            <v>300</v>
          </cell>
          <cell r="B54" t="str">
            <v>Capital Administración</v>
          </cell>
        </row>
        <row r="55">
          <cell r="A55">
            <v>301</v>
          </cell>
          <cell r="B55" t="str">
            <v>Capital Cali</v>
          </cell>
        </row>
        <row r="56">
          <cell r="A56">
            <v>310</v>
          </cell>
          <cell r="B56" t="str">
            <v>Resultado Acumulado Cali</v>
          </cell>
        </row>
        <row r="57">
          <cell r="A57">
            <v>311</v>
          </cell>
          <cell r="B57" t="str">
            <v>Resultado Acumulado Adm.</v>
          </cell>
        </row>
        <row r="58">
          <cell r="A58">
            <v>1130</v>
          </cell>
          <cell r="B58" t="str">
            <v>Disponible Ch. Fecha</v>
          </cell>
        </row>
        <row r="59">
          <cell r="A59">
            <v>1216</v>
          </cell>
          <cell r="B59" t="str">
            <v>Otros Valores Recaudadoras</v>
          </cell>
        </row>
        <row r="60">
          <cell r="A60">
            <v>1217</v>
          </cell>
          <cell r="B60" t="str">
            <v>Otros Valores -Oficina y Transferencias (248)</v>
          </cell>
        </row>
        <row r="61">
          <cell r="A61">
            <v>1218</v>
          </cell>
          <cell r="B61" t="str">
            <v>Otros Valores Tarjeta de Credito</v>
          </cell>
        </row>
        <row r="62">
          <cell r="A62">
            <v>1219</v>
          </cell>
          <cell r="B62" t="str">
            <v>Otros Valores Arzobispado (248)</v>
          </cell>
        </row>
        <row r="63">
          <cell r="A63">
            <v>1220</v>
          </cell>
          <cell r="B63" t="str">
            <v>Otros Valores Arzobispado (249)</v>
          </cell>
        </row>
        <row r="64">
          <cell r="A64">
            <v>1221</v>
          </cell>
          <cell r="B64" t="str">
            <v>Valores por Cobrar Arzobispado Año Anterior</v>
          </cell>
        </row>
        <row r="65">
          <cell r="A65">
            <v>1222</v>
          </cell>
          <cell r="B65" t="str">
            <v>Otros Valores -Oficina y Transferencias (249)</v>
          </cell>
        </row>
        <row r="67">
          <cell r="B67" t="str">
            <v>PLAN DE CUENTAS PSAH 2019</v>
          </cell>
        </row>
        <row r="68">
          <cell r="B68" t="str">
            <v>ADMINISTRACION y CALI 1%</v>
          </cell>
        </row>
        <row r="71">
          <cell r="A71">
            <v>3000</v>
          </cell>
          <cell r="B71" t="str">
            <v>INGRESOS</v>
          </cell>
        </row>
        <row r="73">
          <cell r="A73">
            <v>3100</v>
          </cell>
          <cell r="B73" t="str">
            <v>COLECTAS</v>
          </cell>
        </row>
        <row r="74">
          <cell r="A74">
            <v>3110</v>
          </cell>
          <cell r="B74" t="str">
            <v>Colectas Normales</v>
          </cell>
        </row>
        <row r="75">
          <cell r="A75">
            <v>3120</v>
          </cell>
          <cell r="B75" t="str">
            <v>Colectas Especiales</v>
          </cell>
        </row>
        <row r="77">
          <cell r="A77">
            <v>3200</v>
          </cell>
          <cell r="B77" t="str">
            <v>DONACIONES</v>
          </cell>
        </row>
        <row r="78">
          <cell r="A78">
            <v>3210</v>
          </cell>
          <cell r="B78" t="str">
            <v>Donacion Construccion</v>
          </cell>
        </row>
        <row r="79">
          <cell r="A79">
            <v>3220</v>
          </cell>
          <cell r="B79" t="str">
            <v>Otras Donaciones</v>
          </cell>
        </row>
        <row r="80">
          <cell r="A80">
            <v>3230</v>
          </cell>
          <cell r="B80" t="str">
            <v>Aportes STM</v>
          </cell>
        </row>
        <row r="81">
          <cell r="A81">
            <v>3300</v>
          </cell>
          <cell r="B81" t="str">
            <v>SERVICIOS PARROQUIALES</v>
          </cell>
        </row>
        <row r="82">
          <cell r="A82">
            <v>3310</v>
          </cell>
          <cell r="B82" t="str">
            <v>Librería</v>
          </cell>
        </row>
        <row r="83">
          <cell r="A83">
            <v>3320</v>
          </cell>
          <cell r="B83" t="str">
            <v>Matrimonios</v>
          </cell>
        </row>
        <row r="84">
          <cell r="A84">
            <v>3330</v>
          </cell>
          <cell r="B84" t="str">
            <v>Funerales</v>
          </cell>
        </row>
        <row r="85">
          <cell r="A85">
            <v>3340</v>
          </cell>
          <cell r="B85" t="str">
            <v>Misas</v>
          </cell>
        </row>
        <row r="86">
          <cell r="A86">
            <v>3350</v>
          </cell>
          <cell r="B86" t="str">
            <v>Bautizos</v>
          </cell>
        </row>
        <row r="87">
          <cell r="A87">
            <v>3360</v>
          </cell>
          <cell r="B87" t="str">
            <v>Otros</v>
          </cell>
        </row>
        <row r="89">
          <cell r="A89">
            <v>3400</v>
          </cell>
          <cell r="B89" t="str">
            <v>INGRESOS PASTORALES</v>
          </cell>
        </row>
        <row r="90">
          <cell r="A90">
            <v>3410</v>
          </cell>
          <cell r="B90" t="str">
            <v>Pastoral Familiar</v>
          </cell>
        </row>
        <row r="91">
          <cell r="A91">
            <v>3420</v>
          </cell>
          <cell r="B91" t="str">
            <v>Pastoral Novios</v>
          </cell>
        </row>
        <row r="92">
          <cell r="A92">
            <v>3430</v>
          </cell>
          <cell r="B92" t="str">
            <v>Pastoral Bautismal</v>
          </cell>
        </row>
        <row r="93">
          <cell r="A93">
            <v>3440</v>
          </cell>
          <cell r="B93" t="str">
            <v>Pastoral Liturgia</v>
          </cell>
        </row>
        <row r="94">
          <cell r="A94">
            <v>3450</v>
          </cell>
          <cell r="B94" t="str">
            <v>Pastoral Social</v>
          </cell>
        </row>
        <row r="95">
          <cell r="A95">
            <v>3451</v>
          </cell>
          <cell r="B95" t="str">
            <v>Ayuda Solidaria</v>
          </cell>
        </row>
        <row r="96">
          <cell r="A96">
            <v>3452</v>
          </cell>
          <cell r="B96" t="str">
            <v>Becas</v>
          </cell>
        </row>
        <row r="97">
          <cell r="A97">
            <v>3453</v>
          </cell>
          <cell r="B97" t="str">
            <v>Cajas de navidad</v>
          </cell>
        </row>
        <row r="98">
          <cell r="A98">
            <v>3460</v>
          </cell>
          <cell r="B98" t="str">
            <v>Pastoral Salud</v>
          </cell>
        </row>
        <row r="99">
          <cell r="A99">
            <v>3470</v>
          </cell>
          <cell r="B99" t="str">
            <v>Pastoral Juvenil</v>
          </cell>
        </row>
        <row r="100">
          <cell r="A100">
            <v>3480</v>
          </cell>
          <cell r="B100" t="str">
            <v>Pastoral Comunicacional</v>
          </cell>
        </row>
        <row r="102">
          <cell r="A102">
            <v>3500</v>
          </cell>
          <cell r="B102" t="str">
            <v>OTROS INGRESOS</v>
          </cell>
        </row>
        <row r="103">
          <cell r="A103">
            <v>3510</v>
          </cell>
          <cell r="B103" t="str">
            <v>Venta activos</v>
          </cell>
        </row>
        <row r="104">
          <cell r="A104">
            <v>3520</v>
          </cell>
          <cell r="B104" t="str">
            <v>Otros Ingreso</v>
          </cell>
        </row>
        <row r="105">
          <cell r="A105">
            <v>3521</v>
          </cell>
          <cell r="B105" t="str">
            <v>1% Administración</v>
          </cell>
        </row>
        <row r="107">
          <cell r="A107">
            <v>3600</v>
          </cell>
          <cell r="B107" t="str">
            <v>APORTES 1%</v>
          </cell>
        </row>
        <row r="108">
          <cell r="A108">
            <v>3610</v>
          </cell>
          <cell r="B108" t="str">
            <v>Cali  Arzobispado</v>
          </cell>
        </row>
        <row r="109">
          <cell r="A109">
            <v>3611</v>
          </cell>
          <cell r="B109" t="str">
            <v>Cali  Arzobispado (249)</v>
          </cell>
        </row>
        <row r="110">
          <cell r="A110">
            <v>3620</v>
          </cell>
          <cell r="B110" t="str">
            <v>Cali Recaudadores</v>
          </cell>
        </row>
        <row r="111">
          <cell r="A111">
            <v>3621</v>
          </cell>
          <cell r="B111" t="str">
            <v>Cali Recaudadores (249)</v>
          </cell>
        </row>
        <row r="112">
          <cell r="A112">
            <v>3630</v>
          </cell>
          <cell r="B112" t="str">
            <v>Cali Oficina Parroquial</v>
          </cell>
        </row>
        <row r="113">
          <cell r="A113">
            <v>3631</v>
          </cell>
          <cell r="B113" t="str">
            <v>Cali Oficina Parroquial (249)</v>
          </cell>
        </row>
        <row r="114">
          <cell r="A114">
            <v>3640</v>
          </cell>
          <cell r="B114" t="str">
            <v>Cali Tarjetas de Creditos</v>
          </cell>
        </row>
        <row r="115">
          <cell r="A115">
            <v>3641</v>
          </cell>
          <cell r="B115" t="str">
            <v>Cali Tarjetas de Creditos (249)</v>
          </cell>
        </row>
        <row r="116">
          <cell r="A116">
            <v>3650</v>
          </cell>
          <cell r="B116" t="str">
            <v>Cali Transferencias y Depósitos Directos</v>
          </cell>
        </row>
        <row r="117">
          <cell r="A117">
            <v>3651</v>
          </cell>
          <cell r="B117" t="str">
            <v>Cali Transferencias y Depósitos Directos (249)</v>
          </cell>
        </row>
        <row r="118">
          <cell r="A118">
            <v>3660</v>
          </cell>
          <cell r="B118" t="str">
            <v>Cali Otros</v>
          </cell>
        </row>
        <row r="119">
          <cell r="A119">
            <v>6003</v>
          </cell>
          <cell r="B119" t="str">
            <v>Donaciones No Cali</v>
          </cell>
        </row>
        <row r="121">
          <cell r="A121">
            <v>3700</v>
          </cell>
          <cell r="B121" t="str">
            <v>INGRESOS FUNDACION</v>
          </cell>
        </row>
        <row r="124">
          <cell r="A124">
            <v>4000</v>
          </cell>
          <cell r="B124" t="str">
            <v>EGRESOS</v>
          </cell>
        </row>
        <row r="126">
          <cell r="A126">
            <v>4100</v>
          </cell>
          <cell r="B126" t="str">
            <v xml:space="preserve">EGRESOS 1% </v>
          </cell>
        </row>
        <row r="127">
          <cell r="A127">
            <v>4110</v>
          </cell>
          <cell r="B127" t="str">
            <v>Aporte Papal</v>
          </cell>
        </row>
        <row r="128">
          <cell r="A128">
            <v>4120</v>
          </cell>
          <cell r="B128" t="str">
            <v>Aporte Arzobispado</v>
          </cell>
        </row>
        <row r="129">
          <cell r="A129">
            <v>4130</v>
          </cell>
          <cell r="B129" t="str">
            <v>Aporte Vicaria</v>
          </cell>
        </row>
        <row r="130">
          <cell r="A130">
            <v>4140</v>
          </cell>
          <cell r="B130" t="str">
            <v>Comisiones Cali Recaudadores</v>
          </cell>
        </row>
        <row r="131">
          <cell r="A131">
            <v>4150</v>
          </cell>
          <cell r="B131" t="str">
            <v>Comisiones Cali Tarjetas de Creditos</v>
          </cell>
        </row>
        <row r="132">
          <cell r="A132">
            <v>4160</v>
          </cell>
          <cell r="B132" t="str">
            <v>Comisiones Cali Arzobispado</v>
          </cell>
        </row>
        <row r="133">
          <cell r="A133">
            <v>4170</v>
          </cell>
          <cell r="B133" t="str">
            <v>Cali otros</v>
          </cell>
        </row>
        <row r="134">
          <cell r="A134">
            <v>4171</v>
          </cell>
          <cell r="B134" t="str">
            <v xml:space="preserve">        Campaña 1%</v>
          </cell>
        </row>
        <row r="135">
          <cell r="A135">
            <v>4172</v>
          </cell>
          <cell r="B135" t="str">
            <v>Saludo Navideño /Calendario</v>
          </cell>
        </row>
        <row r="137">
          <cell r="A137">
            <v>4200</v>
          </cell>
          <cell r="B137" t="str">
            <v>ADMINISTRACION</v>
          </cell>
        </row>
        <row r="138">
          <cell r="A138">
            <v>4210</v>
          </cell>
          <cell r="B138" t="str">
            <v>Sueldos</v>
          </cell>
        </row>
        <row r="139">
          <cell r="A139">
            <v>4211</v>
          </cell>
          <cell r="B139" t="str">
            <v>Auxiliares de Aseo</v>
          </cell>
        </row>
        <row r="140">
          <cell r="A140">
            <v>4212</v>
          </cell>
          <cell r="B140" t="str">
            <v>Sacerdotes</v>
          </cell>
        </row>
        <row r="141">
          <cell r="A141">
            <v>4213</v>
          </cell>
          <cell r="B141" t="str">
            <v>Secretarias y Administración</v>
          </cell>
        </row>
        <row r="142">
          <cell r="A142">
            <v>4220</v>
          </cell>
          <cell r="B142" t="str">
            <v>Honorarios</v>
          </cell>
        </row>
        <row r="143">
          <cell r="A143">
            <v>4221</v>
          </cell>
          <cell r="B143" t="str">
            <v xml:space="preserve">          Contables-Administración</v>
          </cell>
        </row>
        <row r="144">
          <cell r="A144">
            <v>4222</v>
          </cell>
          <cell r="B144" t="str">
            <v xml:space="preserve">          Proceso 1%</v>
          </cell>
        </row>
        <row r="145">
          <cell r="A145">
            <v>4223</v>
          </cell>
          <cell r="B145" t="str">
            <v xml:space="preserve">         Comunicaciones</v>
          </cell>
        </row>
        <row r="146">
          <cell r="A146">
            <v>4224</v>
          </cell>
          <cell r="B146" t="str">
            <v xml:space="preserve">         Jardinero</v>
          </cell>
        </row>
        <row r="147">
          <cell r="A147">
            <v>4230</v>
          </cell>
          <cell r="B147" t="str">
            <v>Cotizaciones</v>
          </cell>
        </row>
        <row r="148">
          <cell r="A148">
            <v>4231</v>
          </cell>
          <cell r="B148" t="str">
            <v>Auxiliares, secretarias y administración</v>
          </cell>
        </row>
        <row r="149">
          <cell r="A149">
            <v>4232</v>
          </cell>
          <cell r="B149" t="str">
            <v>Sacerdote</v>
          </cell>
        </row>
        <row r="151">
          <cell r="A151">
            <v>4300</v>
          </cell>
          <cell r="B151" t="str">
            <v>OFICINA PARROQUIAL</v>
          </cell>
        </row>
        <row r="152">
          <cell r="A152">
            <v>4310</v>
          </cell>
          <cell r="B152" t="str">
            <v>Arriendos / Dividendos</v>
          </cell>
        </row>
        <row r="153">
          <cell r="A153">
            <v>4320</v>
          </cell>
          <cell r="B153" t="str">
            <v>Servicios</v>
          </cell>
        </row>
        <row r="154">
          <cell r="A154">
            <v>4321</v>
          </cell>
          <cell r="B154" t="str">
            <v>Electricidad</v>
          </cell>
        </row>
        <row r="155">
          <cell r="A155">
            <v>4322</v>
          </cell>
          <cell r="B155" t="str">
            <v>Agua</v>
          </cell>
        </row>
        <row r="156">
          <cell r="A156">
            <v>4323</v>
          </cell>
          <cell r="B156" t="str">
            <v>Telefonía, Internet (VTR, Entel)</v>
          </cell>
        </row>
        <row r="157">
          <cell r="A157">
            <v>4324</v>
          </cell>
          <cell r="B157" t="str">
            <v>Gas</v>
          </cell>
        </row>
        <row r="158">
          <cell r="A158">
            <v>4325</v>
          </cell>
          <cell r="B158" t="str">
            <v>Alarma (ADT)</v>
          </cell>
        </row>
        <row r="159">
          <cell r="A159">
            <v>4326</v>
          </cell>
          <cell r="B159" t="str">
            <v>Seguros</v>
          </cell>
        </row>
        <row r="160">
          <cell r="A160">
            <v>4327</v>
          </cell>
          <cell r="B160" t="str">
            <v>Sistemas Comp.</v>
          </cell>
        </row>
        <row r="161">
          <cell r="A161">
            <v>4330</v>
          </cell>
          <cell r="B161" t="str">
            <v>Correo</v>
          </cell>
        </row>
        <row r="162">
          <cell r="A162">
            <v>4331</v>
          </cell>
          <cell r="B162" t="str">
            <v>Cali</v>
          </cell>
        </row>
        <row r="163">
          <cell r="A163">
            <v>4332</v>
          </cell>
          <cell r="B163" t="str">
            <v>Oficina</v>
          </cell>
        </row>
        <row r="164">
          <cell r="A164">
            <v>4340</v>
          </cell>
          <cell r="B164" t="str">
            <v>Caja Chica</v>
          </cell>
        </row>
        <row r="165">
          <cell r="A165">
            <v>4350</v>
          </cell>
          <cell r="B165" t="str">
            <v>Reuniones</v>
          </cell>
        </row>
        <row r="166">
          <cell r="A166">
            <v>4361</v>
          </cell>
          <cell r="B166" t="str">
            <v>Vacaciones</v>
          </cell>
        </row>
        <row r="167">
          <cell r="A167">
            <v>4370</v>
          </cell>
        </row>
        <row r="169">
          <cell r="A169">
            <v>4400</v>
          </cell>
          <cell r="B169" t="str">
            <v>ARTICULOS DE OFICINA</v>
          </cell>
        </row>
        <row r="170">
          <cell r="A170">
            <v>4410</v>
          </cell>
          <cell r="B170" t="str">
            <v>Librería</v>
          </cell>
        </row>
        <row r="171">
          <cell r="A171">
            <v>4420</v>
          </cell>
          <cell r="B171" t="str">
            <v>Aseo y Limpieza</v>
          </cell>
        </row>
        <row r="172">
          <cell r="A172">
            <v>4430</v>
          </cell>
          <cell r="B172" t="str">
            <v>Varios</v>
          </cell>
        </row>
        <row r="174">
          <cell r="A174">
            <v>4500</v>
          </cell>
          <cell r="B174" t="str">
            <v>MANTENCION</v>
          </cell>
        </row>
        <row r="175">
          <cell r="A175">
            <v>4510</v>
          </cell>
          <cell r="B175" t="str">
            <v>Oficina Parroquial</v>
          </cell>
        </row>
        <row r="176">
          <cell r="A176">
            <v>4520</v>
          </cell>
          <cell r="B176" t="str">
            <v>Templo</v>
          </cell>
        </row>
        <row r="177">
          <cell r="A177">
            <v>4530</v>
          </cell>
          <cell r="B177" t="str">
            <v>Casa Sacerdote</v>
          </cell>
        </row>
        <row r="178">
          <cell r="A178">
            <v>4600</v>
          </cell>
          <cell r="B178" t="str">
            <v>GASTOS PASTORALES</v>
          </cell>
        </row>
        <row r="179">
          <cell r="A179">
            <v>4610</v>
          </cell>
          <cell r="B179" t="str">
            <v>Pastoral Familiar</v>
          </cell>
        </row>
        <row r="180">
          <cell r="A180">
            <v>4620</v>
          </cell>
          <cell r="B180" t="str">
            <v>Pastoral Novios</v>
          </cell>
        </row>
        <row r="181">
          <cell r="A181">
            <v>4630</v>
          </cell>
          <cell r="B181" t="str">
            <v>Pastoral Bautismal</v>
          </cell>
        </row>
        <row r="182">
          <cell r="A182">
            <v>4640</v>
          </cell>
          <cell r="B182" t="str">
            <v>Pastoral Liturgia</v>
          </cell>
        </row>
        <row r="183">
          <cell r="A183">
            <v>4641</v>
          </cell>
          <cell r="B183" t="str">
            <v xml:space="preserve">             Capellanías </v>
          </cell>
        </row>
        <row r="184">
          <cell r="A184">
            <v>4642</v>
          </cell>
          <cell r="B184" t="str">
            <v xml:space="preserve">             Misas (Hojas, vino, hostias, coro)</v>
          </cell>
        </row>
        <row r="185">
          <cell r="A185">
            <v>4643</v>
          </cell>
          <cell r="B185" t="str">
            <v xml:space="preserve">             Otros</v>
          </cell>
        </row>
        <row r="186">
          <cell r="A186">
            <v>4650</v>
          </cell>
          <cell r="B186" t="str">
            <v>Pastoral Social</v>
          </cell>
        </row>
        <row r="187">
          <cell r="A187">
            <v>4651</v>
          </cell>
          <cell r="B187" t="str">
            <v xml:space="preserve">             Becas</v>
          </cell>
        </row>
        <row r="188">
          <cell r="A188">
            <v>4652</v>
          </cell>
          <cell r="B188" t="str">
            <v xml:space="preserve">             Cerro Navia </v>
          </cell>
        </row>
        <row r="189">
          <cell r="A189">
            <v>4653</v>
          </cell>
          <cell r="B189" t="str">
            <v xml:space="preserve">            Ayuda Solidaria</v>
          </cell>
        </row>
        <row r="190">
          <cell r="A190">
            <v>4654</v>
          </cell>
          <cell r="B190" t="str">
            <v xml:space="preserve">            Parroquia Santa Maria</v>
          </cell>
        </row>
        <row r="191">
          <cell r="A191">
            <v>4660</v>
          </cell>
          <cell r="B191" t="str">
            <v>Pastoral Salud</v>
          </cell>
        </row>
        <row r="192">
          <cell r="A192">
            <v>4670</v>
          </cell>
          <cell r="B192" t="str">
            <v>Pastoral Juvenil</v>
          </cell>
        </row>
        <row r="193">
          <cell r="A193">
            <v>4680</v>
          </cell>
          <cell r="B193" t="str">
            <v>Pastoral Comunicacional</v>
          </cell>
        </row>
        <row r="195">
          <cell r="A195">
            <v>4700</v>
          </cell>
          <cell r="B195" t="str">
            <v>GASTOS DE REPRESENTACION</v>
          </cell>
        </row>
        <row r="197">
          <cell r="A197">
            <v>4800</v>
          </cell>
          <cell r="B197" t="str">
            <v>EVENTOS Y CELEBRACIONES</v>
          </cell>
        </row>
        <row r="198">
          <cell r="A198">
            <v>4810</v>
          </cell>
          <cell r="B198" t="str">
            <v>Encuentros y convivencias</v>
          </cell>
        </row>
        <row r="199">
          <cell r="A199">
            <v>4820</v>
          </cell>
          <cell r="B199" t="str">
            <v>Navidad</v>
          </cell>
        </row>
        <row r="200">
          <cell r="A200">
            <v>4821</v>
          </cell>
          <cell r="B200" t="str">
            <v>Regalos Navidad</v>
          </cell>
        </row>
        <row r="201">
          <cell r="A201">
            <v>4822</v>
          </cell>
          <cell r="B201" t="str">
            <v>Caja de Navidad</v>
          </cell>
        </row>
        <row r="202">
          <cell r="A202">
            <v>4830</v>
          </cell>
          <cell r="B202" t="str">
            <v>Dia San Alberto Hurtado</v>
          </cell>
        </row>
        <row r="203">
          <cell r="A203">
            <v>4840</v>
          </cell>
          <cell r="B203" t="str">
            <v>Mes de Maria</v>
          </cell>
        </row>
        <row r="204">
          <cell r="A204">
            <v>4850</v>
          </cell>
          <cell r="B204" t="str">
            <v>Semana Santa</v>
          </cell>
        </row>
        <row r="205">
          <cell r="A205">
            <v>4860</v>
          </cell>
          <cell r="B205" t="str">
            <v>Otros</v>
          </cell>
        </row>
        <row r="206">
          <cell r="A206">
            <v>4861</v>
          </cell>
          <cell r="B206" t="str">
            <v>Curso Biblia</v>
          </cell>
        </row>
        <row r="207">
          <cell r="A207">
            <v>4900</v>
          </cell>
          <cell r="B207" t="str">
            <v>APORTES INSTITUCIONES</v>
          </cell>
        </row>
        <row r="208">
          <cell r="A208">
            <v>4910</v>
          </cell>
          <cell r="B208" t="str">
            <v>Casa de Dios</v>
          </cell>
        </row>
        <row r="209">
          <cell r="A209">
            <v>4920</v>
          </cell>
          <cell r="B209" t="str">
            <v>Incami</v>
          </cell>
        </row>
        <row r="210">
          <cell r="A210">
            <v>4930</v>
          </cell>
          <cell r="B210" t="str">
            <v>Obras Misionales</v>
          </cell>
        </row>
        <row r="211">
          <cell r="A211">
            <v>4940</v>
          </cell>
          <cell r="B211" t="str">
            <v>Seminario Mayor</v>
          </cell>
        </row>
        <row r="212">
          <cell r="A212">
            <v>4941</v>
          </cell>
          <cell r="B212" t="str">
            <v>Obolo de San Pedro</v>
          </cell>
        </row>
        <row r="213">
          <cell r="A213">
            <v>4950</v>
          </cell>
          <cell r="B213" t="str">
            <v>Cuaresma</v>
          </cell>
        </row>
        <row r="214">
          <cell r="A214">
            <v>4960</v>
          </cell>
          <cell r="B214" t="str">
            <v>Fundacion San Carlos de Apoquindo</v>
          </cell>
        </row>
        <row r="215">
          <cell r="A215">
            <v>4970</v>
          </cell>
          <cell r="B215" t="str">
            <v>Santos Lugares</v>
          </cell>
        </row>
        <row r="216">
          <cell r="A216">
            <v>4980</v>
          </cell>
          <cell r="B216" t="str">
            <v>Colecta Obalo de San Pedro</v>
          </cell>
        </row>
        <row r="217">
          <cell r="A217">
            <v>5000</v>
          </cell>
          <cell r="B217" t="str">
            <v>GASTOS FINANCIEROS</v>
          </cell>
        </row>
        <row r="219">
          <cell r="A219">
            <v>6000</v>
          </cell>
          <cell r="B219" t="str">
            <v>INGRESOS FINANCIEROS</v>
          </cell>
        </row>
        <row r="220">
          <cell r="A220">
            <v>6001</v>
          </cell>
          <cell r="B220" t="str">
            <v>Intereses Financieros Administración</v>
          </cell>
        </row>
        <row r="221">
          <cell r="A221">
            <v>6002</v>
          </cell>
          <cell r="B221" t="str">
            <v>Intereses Financieros Cali</v>
          </cell>
        </row>
        <row r="223">
          <cell r="A223">
            <v>7000</v>
          </cell>
          <cell r="B223" t="str">
            <v>GASTOS CONSTRUCCION PARROQUIA</v>
          </cell>
        </row>
        <row r="224">
          <cell r="A224">
            <v>7001</v>
          </cell>
          <cell r="B224" t="str">
            <v>Variación UF Anticipo y Retenciones</v>
          </cell>
        </row>
        <row r="225">
          <cell r="A225">
            <v>7100</v>
          </cell>
          <cell r="B225" t="str">
            <v>INSPECCION</v>
          </cell>
        </row>
        <row r="226">
          <cell r="A226">
            <v>8000</v>
          </cell>
          <cell r="B226" t="str">
            <v>GASTOS FUNDACION</v>
          </cell>
        </row>
        <row r="228">
          <cell r="A228">
            <v>9000</v>
          </cell>
          <cell r="B228" t="str">
            <v>CASA SACERDOTES</v>
          </cell>
        </row>
        <row r="229">
          <cell r="A229">
            <v>9010</v>
          </cell>
          <cell r="B229" t="str">
            <v>Sueldos</v>
          </cell>
        </row>
        <row r="230">
          <cell r="A230">
            <v>9011</v>
          </cell>
          <cell r="B230" t="str">
            <v>Sueldo Sacerdotes</v>
          </cell>
        </row>
        <row r="231">
          <cell r="A231">
            <v>9012</v>
          </cell>
          <cell r="B231" t="str">
            <v>Sueldo Nana</v>
          </cell>
        </row>
        <row r="232">
          <cell r="A232">
            <v>9013</v>
          </cell>
          <cell r="B232" t="str">
            <v>Sueldo Jardinero</v>
          </cell>
        </row>
        <row r="233">
          <cell r="A233">
            <v>9020</v>
          </cell>
          <cell r="B233" t="str">
            <v>Servicios</v>
          </cell>
        </row>
        <row r="234">
          <cell r="A234">
            <v>9021</v>
          </cell>
          <cell r="B234" t="str">
            <v>Luz</v>
          </cell>
        </row>
        <row r="235">
          <cell r="A235">
            <v>9022</v>
          </cell>
          <cell r="B235" t="str">
            <v>Agua</v>
          </cell>
        </row>
        <row r="236">
          <cell r="A236">
            <v>9023</v>
          </cell>
          <cell r="B236" t="str">
            <v>ADT</v>
          </cell>
        </row>
        <row r="237">
          <cell r="A237">
            <v>9024</v>
          </cell>
          <cell r="B237" t="str">
            <v>VTR</v>
          </cell>
        </row>
        <row r="238">
          <cell r="A238">
            <v>9025</v>
          </cell>
          <cell r="B238" t="str">
            <v>Gas</v>
          </cell>
        </row>
        <row r="239">
          <cell r="A239">
            <v>9030</v>
          </cell>
          <cell r="B239" t="str">
            <v>Cotizaciones</v>
          </cell>
        </row>
        <row r="240">
          <cell r="A240">
            <v>9031</v>
          </cell>
          <cell r="B240" t="str">
            <v>Sacerdotes</v>
          </cell>
        </row>
        <row r="241">
          <cell r="A241">
            <v>9032</v>
          </cell>
          <cell r="B241" t="str">
            <v>Nana</v>
          </cell>
        </row>
        <row r="242">
          <cell r="A242">
            <v>9040</v>
          </cell>
          <cell r="B242" t="str">
            <v>Mantención y arreglos</v>
          </cell>
        </row>
        <row r="243">
          <cell r="A243">
            <v>9041</v>
          </cell>
          <cell r="B243" t="str">
            <v>Arriendo Casa Sacerdotes</v>
          </cell>
        </row>
        <row r="244">
          <cell r="A244">
            <v>9042</v>
          </cell>
          <cell r="B244" t="str">
            <v>Aporte a Casa Sacerdotes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blo" refreshedDate="44577.588122800924" createdVersion="6" refreshedVersion="7" minRefreshableVersion="3" recordCount="10801" xr:uid="{00000000-000A-0000-FFFF-FFFF00000000}">
  <cacheSource type="worksheet">
    <worksheetSource ref="A1:N1048576" sheet="Diario Cali"/>
  </cacheSource>
  <cacheFields count="14">
    <cacheField name="Fecha" numFmtId="0">
      <sharedItems containsNonDate="0" containsDate="1" containsString="0" containsBlank="1" minDate="2021-01-01T00:00:00" maxDate="2022-01-01T00:00:00"/>
    </cacheField>
    <cacheField name="Mes" numFmtId="0">
      <sharedItems containsString="0" containsBlank="1" containsNumber="1" containsInteger="1" minValue="1" maxValue="12" count="13">
        <n v="1"/>
        <m/>
        <n v="2"/>
        <n v="3"/>
        <n v="4"/>
        <n v="5"/>
        <n v="6"/>
        <n v="7"/>
        <n v="8"/>
        <n v="9"/>
        <n v="10"/>
        <n v="11"/>
        <n v="12"/>
      </sharedItems>
    </cacheField>
    <cacheField name="Código" numFmtId="0">
      <sharedItems containsString="0" containsBlank="1" containsNumber="1" containsInteger="1" minValue="113" maxValue="9999" count="59">
        <n v="115"/>
        <n v="116"/>
        <n v="118"/>
        <n v="119"/>
        <n v="1130"/>
        <n v="1218"/>
        <n v="133"/>
        <n v="135"/>
        <n v="136"/>
        <n v="1361"/>
        <n v="1362"/>
        <n v="137"/>
        <n v="138"/>
        <n v="141"/>
        <n v="201"/>
        <n v="202"/>
        <n v="203"/>
        <n v="204"/>
        <n v="210"/>
        <n v="216"/>
        <n v="217"/>
        <n v="301"/>
        <n v="310"/>
        <m/>
        <n v="4130"/>
        <n v="1222"/>
        <n v="3210"/>
        <n v="1217"/>
        <n v="4171"/>
        <n v="1216"/>
        <n v="4150"/>
        <n v="4170"/>
        <n v="3620"/>
        <n v="3621"/>
        <n v="3630"/>
        <n v="3631"/>
        <n v="3640"/>
        <n v="3641"/>
        <n v="4120"/>
        <n v="4140"/>
        <n v="4110"/>
        <n v="3610"/>
        <n v="3611"/>
        <n v="4160"/>
        <n v="1219"/>
        <n v="1220"/>
        <n v="125"/>
        <n v="6002"/>
        <n v="228"/>
        <n v="4331"/>
        <n v="227"/>
        <n v="117"/>
        <n v="205"/>
        <n v="113"/>
        <n v="7000"/>
        <n v="233"/>
        <n v="4222"/>
        <n v="1223" u="1"/>
        <n v="9999" u="1"/>
      </sharedItems>
    </cacheField>
    <cacheField name="Cuenta" numFmtId="0">
      <sharedItems containsBlank="1" count="59">
        <s v="Disponible Cali"/>
        <s v="Disponible CALI Security"/>
        <s v="Depósito a plazo Cali Banco Security"/>
        <s v="FM Cali Banco Security"/>
        <s v="Disponible Ch. Fecha"/>
        <s v="Otros Valores Tarjeta de Credito"/>
        <s v="Préstamos  Fundación Cali"/>
        <s v="Arquitectura"/>
        <s v="Obras en Construcción"/>
        <s v="Adicionales Obras en Construcción"/>
        <s v="Contribuciones"/>
        <s v="Anticipo Construcción"/>
        <s v="Proyectos Especialidades"/>
        <s v="Cuentas por Cobrar a Administración"/>
        <s v="1% por pagar"/>
        <s v="Arzobispado por pagar"/>
        <s v="Recaudadoras por pagar"/>
        <s v="Retención Honorarios Cali"/>
        <s v="Retenciones Construcción"/>
        <s v="Cuenta por Pagar a Administración Colectas"/>
        <s v="Cuenta por Pagar a Administración Canastas"/>
        <s v="Capital Cali"/>
        <s v="Resultado Acumulado Cali"/>
        <m/>
        <s v="Aporte Vicaria"/>
        <s v="Otros Valores -Oficina y Transferencias (249)"/>
        <s v="Donacion Construccion"/>
        <s v="Otros Valores -Oficina y Transferencias (248)"/>
        <s v="        Campaña 1%"/>
        <s v="Otros Valores Recaudadoras"/>
        <s v="Comisiones Cali Tarjetas de Creditos"/>
        <s v="Cali otros"/>
        <s v="Cali Recaudadores"/>
        <s v="Cali Recaudadores (249)"/>
        <s v="Cali Oficina Parroquial"/>
        <s v="Cali Oficina Parroquial (249)"/>
        <s v="Cali Tarjetas de Creditos"/>
        <s v="Cali Tarjetas de Creditos (249)"/>
        <s v="Aporte Arzobispado"/>
        <s v="Comisiones Cali Recaudadores"/>
        <s v="Aporte Papal"/>
        <s v="Cali  Arzobispado"/>
        <s v="Cali  Arzobispado (249)"/>
        <s v="Comisiones Cali Arzobispado"/>
        <s v="Otros Valores Arzobispado (248)"/>
        <s v="Otros Valores Arzobispado (249)"/>
        <s v="Depósito a plazo Cali"/>
        <s v="Intereses Financieros Cali"/>
        <s v="Proveedores CALI"/>
        <s v="Cali"/>
        <s v="Provisión Honorarios Cali"/>
        <s v="Disponible CALI Santander"/>
        <s v="Honorarios por pagar Cali"/>
        <s v="Depósito a plazo Cali Banco Santander"/>
        <s v="GASTOS CONSTRUCCION PARROQUIA"/>
        <s v="Otras Provisiones (Proyecto Especificos)"/>
        <s v="          Proceso 1%"/>
        <s v="otros proyectos " u="1"/>
        <s v="Otras Recaudaciones (Proyecto Especificos)" u="1"/>
      </sharedItems>
    </cacheField>
    <cacheField name="Monto" numFmtId="0">
      <sharedItems containsString="0" containsBlank="1" containsNumber="1" minValue="-2338583950" maxValue="1039317900"/>
    </cacheField>
    <cacheField name="Debe" numFmtId="0">
      <sharedItems containsString="0" containsBlank="1" containsNumber="1" minValue="-46890" maxValue="1039317900"/>
    </cacheField>
    <cacheField name="Haber" numFmtId="0">
      <sharedItems containsString="0" containsBlank="1" containsNumber="1" containsInteger="1" minValue="-46890" maxValue="2338583950"/>
    </cacheField>
    <cacheField name="Glosa" numFmtId="0">
      <sharedItems containsBlank="1" containsMixedTypes="1" containsNumber="1" containsInteger="1" minValue="0" maxValue="0" count="738">
        <s v="Asiento Apertura 2021"/>
        <m/>
        <s v="T.G.R."/>
        <s v="Aporte Esc.de Verano Vic.Cordillera"/>
        <s v="Benjamin Gutierrez / 249"/>
        <s v="Italo Lubiano / Azul"/>
        <s v="Arantxa Ereche T&amp; / 249"/>
        <s v="Emilio Deik M / Azul"/>
        <s v="Fabian Rodriguez / 248"/>
        <s v="Juan Sebastian Davila M / Azul"/>
        <s v="Juan Pablo Ríos Ross / 249"/>
        <s v="M. Dominguez / 248"/>
        <s v="Traspaso a Cta, Administración"/>
        <s v="Transf. ElMestizo, Premio Campaña Diciembre"/>
        <s v="Enrique Ferrer / 248"/>
        <s v="Ricardo Cañas C / 249"/>
        <s v="Fco.Javier Campos / Azul"/>
        <s v="Josefina Claude / 249"/>
        <s v="Segio Rodriguez / Azul"/>
        <s v="Jorge Claude / 249"/>
        <s v="Paulina Grez/ 249"/>
        <s v="Florencia Garcia / 248"/>
        <s v="R. Casas del Valle / 248"/>
        <s v="Patricia Romero / Azul"/>
        <s v="I. Ureta / 248"/>
        <s v="Maria Dolores Rioseco / 249"/>
        <s v="Enrique Brahm / 249"/>
        <s v="Raul Strappa / 249"/>
        <s v="Franciasco Salazar /249"/>
        <s v="Patrick Horn / Azul"/>
        <n v="0"/>
        <s v="Ana Maria Ugarte / 249"/>
        <s v="Matías Ubilla /249"/>
        <s v="Jose M. Ureta C / 249"/>
        <s v="Ignacio Prat / 249"/>
        <s v="Karina Rabino  / Azul"/>
        <s v="Abono  TBK por DCT"/>
        <s v="Alberto Altermatt C. / 249"/>
        <s v="Soledad Celis / 249 "/>
        <s v="Maria Jose Muñoz / 249"/>
        <s v="Fca. Orrego / 249"/>
        <s v="Ana Maria Reyes"/>
        <s v="JAVE / Azul"/>
        <s v="Maria del Pilar Herrera / Azul"/>
        <s v="Abono TBK Azules Dic/2020"/>
        <s v="Jose T. Poblete  /248"/>
        <s v="Felipe Walker  / Azul"/>
        <s v="Juan Rafael Arnaiz / 249"/>
        <s v="Jose Miguel Wielandt V / Azul"/>
        <s v="Abono TBK 248 y 249 Diciembre/2020"/>
        <s v="Carlos Barriga / 248"/>
        <s v="D. Vassiliu / 248"/>
        <s v="M.Luz Montt / 249"/>
        <s v="Comisión Pagos Nom. Bco.Chile"/>
        <s v="Fco. Larraín Cruzat"/>
        <s v="Mauricio Hargous / 249"/>
        <s v="Monica Barañao / 249"/>
        <s v="Monica Barañao / Azul"/>
        <s v="Emilio Deik / Azul"/>
        <s v="Horacio Cartagena / 249"/>
        <s v="M. Solange Vinet / Azul"/>
        <s v="Enrique Hurtado / 249"/>
        <s v="Carmen Gloria Rivas / 248"/>
        <s v="Julio Rendic L / Azul"/>
        <s v="Leonardo Robles / 248"/>
        <s v="Recaudadora"/>
        <s v="Maria Elisa Cruzat Silva / 248"/>
        <s v="Mario Vinagre / Azul"/>
        <s v="Santiago Doña V / 249"/>
        <s v="Maria Graciela Garrida / Azul"/>
        <s v="Maria Graciela Garrida / 249"/>
        <s v="Marcela Pinto Z / Azul"/>
        <s v="M.Cristina Valenzuela / 248"/>
        <s v="Rendicion CALI Recaudado Diciembre/20"/>
        <s v=" G. de la Vega Hon. Diciembre"/>
        <s v="Hon. Angelica Sepulveda"/>
        <s v="Bernardita Egaña /249"/>
        <s v="Patricio Abalos / 248"/>
        <s v="Constanza Vicuña /Azul"/>
        <s v="S.Villegas /249"/>
        <s v="Abono Raimundo Sanchez TBK Azul DCT"/>
        <s v="Inversiones Los Bumps Dos Ltda./Azul"/>
        <s v="M.Alejandra de la Lastra /249"/>
        <s v="Jose Miguel Guzman M / 248"/>
        <s v="Luis Dominguez / 248"/>
        <s v="Verónica Sapag Puelma / 249"/>
        <s v="Carmen Gloria Ovalle / 249"/>
        <s v="Francisco Sanhueza / Azul"/>
        <s v="Abono TBK Azules Ene/2021"/>
        <s v="Abono TBK 248 y 249 Ene/2021"/>
        <s v="Adm.e Inv. Convento Viejo Ltda"/>
        <s v="Jorge Rodriguez W / Azul"/>
        <s v="Joaquin Izcue / Azul"/>
        <s v="Adriana Gonzalez / 249"/>
        <s v="Horacio Figueroa TBK 249 DCT"/>
        <s v="José M. Perz de Castro / 249"/>
        <s v="Carlos Barriga /248"/>
        <s v="Juan Pabl oRios /249"/>
        <s v="Matias Silva / Azul"/>
        <s v="Isabel Guarda / 249"/>
        <s v="Arantxa Ereche / 249"/>
        <s v="Macarena Galvez / 249"/>
        <s v="Dev.a Fund.aporte Inversiones Los Bumps"/>
        <s v="Dev.a Fund.aporte Inv.Convento inversiones Los Bumps"/>
        <s v="Trasp.a Cta. Adm. Dev. Colectas"/>
        <s v="Pedro Vicuña / Azul"/>
        <s v="Carlos Lecaros / 249"/>
        <s v="Fernando Rosati / Azul"/>
        <s v="Centralización Recaudación Enero"/>
        <s v="Cheques  Fecha del mes"/>
        <s v="Intereses Devengados DAP Chile"/>
        <s v="Intereses Devengados DAP Security"/>
        <s v="Intereses DevengadosFFMM Security"/>
        <s v="Comisión Pagos Nom. Bco.Security"/>
        <s v="Rescate FF.MM Security"/>
        <s v="DyF Proy.yMontajes Electricos"/>
        <s v="Reembolso Contrib.4a.Cta.2020"/>
        <s v="F.2829 EE.PP. N°6 TASCO"/>
        <s v="F,5877 Coz y Cia. ITO"/>
        <s v="Fundación el Rodeo (Fam.Ossandon)"/>
        <s v="Comer y Beber"/>
        <s v="Toma Depòsito a Plazo"/>
        <s v="Depòsitos Adm, Cali Enero Azul"/>
        <s v="Depòsitos Adm, Cali Enero 249"/>
        <s v="Maria Muzio (Jul - Dic)"/>
        <s v="Depositos en Administraciòn de Cali"/>
        <s v="UF 435,88 EP 6 TASCO"/>
        <s v="UF 4358,75 EP 6 TASCO"/>
        <s v="UF 217.94 EP 6 TASCO"/>
        <s v="PROYECTOS Y CONSTRUCCIONES TASCO LIMITADA"/>
        <s v="F,5887 Coz y Cia. ITO"/>
        <s v="F,5808 Coz y Cia. ITO"/>
        <s v="Benjamín Gutierrez Perlwitz / 249"/>
        <s v="Raimundo Barros / 249"/>
        <s v="Rafael Marín Jordán/azul"/>
        <s v="Ricardo Fernández Oyarzún / Azul "/>
        <s v="Henry Comber Sigall / Azul"/>
        <s v="María del Pilar Herrera/ azul "/>
        <s v="José L. Barros / 248"/>
        <s v="Horacio Cartagena Fagerstrom/249"/>
        <s v="Colecta Pablo Irarrazaval Mena"/>
        <s v="Felipe Barros / 249"/>
        <s v="Ana María Ugarte / 249"/>
        <s v="Matías Rafael Ubilla Silva / 249"/>
        <s v="Enrique José Manuel Ferrer/248"/>
        <s v="Ricardo Cañas Cambiaso / 249"/>
        <s v="Fco.Javier Campos González/Azul"/>
        <s v="Sergio Rodríguez Oro / Azul"/>
        <s v="María Paulina Grez / 249"/>
        <s v="Florencia García /248 "/>
        <s v="Colecta CELIS CELEDON MARIA SOLEDAD"/>
        <s v="Macarena Gálvez Roa / 249"/>
        <s v="Arzobispado de Stgo Diciembre / 248"/>
        <s v="Arzobispado de Stgo Diciembre / 249"/>
        <s v="Colecta Ignacio Ureta L."/>
        <s v="I. Ureta / 248 "/>
        <s v="María Luz Montt Díaz / 249"/>
        <s v="M. Domínguez / 248"/>
        <s v="María Dolores Rioseco Rodríguez/249"/>
        <s v="DCT (S.GuerreroV.M$20 y M.JoseGuridi M$10)"/>
        <s v="Enrique Brahm García / 249"/>
        <s v="Patricia Romero Navarro / Azul"/>
        <s v="Patricio René Latorrre Sepúlveda/Azul"/>
        <s v="Francisco Salazar González / 249"/>
        <s v="Patrick Reginald Horn Garcia / Azul"/>
        <s v="Fca. Orrego/249"/>
        <s v="Carmen Mónica Barañao Rojas/249"/>
        <s v="Carmen Mónica Barañao Rojas/Azul"/>
        <s v="Karina Rabino de Alonso /Azul"/>
        <s v="José Miguel Ureta Cardoen / 249"/>
        <s v="Marcela Rebeca Pinto Zepeda / Azul"/>
        <s v="Matías Izquierdo Menéndez / Azul"/>
        <s v="Com.Bco.Chile"/>
        <s v="José Antonio Vicuña Illanes / Azul"/>
        <s v="Oscar Guarda Barros / 249"/>
        <s v="M.Alejandra de la Lastra J./249"/>
        <s v="Juan Rafael Arnaiz Johnson / 249"/>
        <s v="Colecta Raimundo Barros"/>
        <s v="Mauricio Hargous Larraín / 249"/>
        <s v="María Luz Parodi Gil / 249"/>
        <s v="Marie Solange Vinet Homar / Azul"/>
        <s v="DCT (Francisco Rivera M$50)"/>
        <s v="DCT (Patricio Escudero MM$1)"/>
        <s v="Ana María Allende Z y P.Olea ch/f"/>
        <s v="2 Gift Card a Rest. Ají Seco CALI Ene."/>
        <s v="Enrique Hurtado Ruiz-Tagle / 249"/>
        <s v="Alejandra Pérez Fabres / 249"/>
        <s v="Pago F29 Enero por Adm."/>
        <s v="María Pía Laura Parodi Gil / 249"/>
        <s v="Hon.Ene/21 Campaña Hazte Parte - Francisco Lopez Blanc"/>
        <s v="Marcelo Brito León / Azul"/>
        <s v="M.Cristina Valenzuela L./248 "/>
        <s v="Italo Lubiano Tassara/Azul"/>
        <s v="M.Graciela Garrido C. / Azul"/>
        <s v="M.Graciela Garrido C. / 249"/>
        <s v="Bernardita Mujica Gutierrez  / 249"/>
        <s v="Bernardita Egaña Baraona  / 249"/>
        <s v="Daniela Lubiano/azul"/>
        <s v="GODOY CAMUS CARLOS IGNACIO/248"/>
        <s v="Carmen Gloria Rivas Varas / 248"/>
        <s v="Colecta GAETE OLIVARES JORGE EDUARDO"/>
        <s v="S. Villegas / 249"/>
        <s v="D. Vassiliu /248 "/>
        <s v="Luis  E. Domínguez / 248"/>
        <s v="T/C Azules Febrero 2021"/>
        <s v="Fabián Rodríguez Ch. / 248 "/>
        <s v="Francisco Sanhueza /Azul"/>
        <s v="Raúl Strappa Varas / 249 (Dic y Ene)"/>
        <s v="Ren CALI Enero 2021 Arzobispado de Santiago"/>
        <s v=" G. de la Vega Hon. Enero"/>
        <s v="BE 166 Campaña Hazte Parte - Francisco Lopez Blanc"/>
        <s v="Apertura Cta Cte Santander"/>
        <s v="Joaquín Izcue Elgart / Azul"/>
        <s v="José Tomás Poblete Jara / 248"/>
        <s v="TOMA DAP SECURITY"/>
        <s v="COM.PAGOS MASIVOS OTROS BANCOS"/>
        <s v="Ana María Reyes Garín / 248"/>
        <s v="Benjamin Herrera Riesco/azul"/>
        <s v="Benjamín Herrera Riesco/azul"/>
        <s v="Cyril Hodgson Larrain / Azul"/>
        <s v="Hugo Rosende Álvarez / 249"/>
        <s v="Jaime Andrés Court Viviani/249"/>
        <s v="Maria Elena de Castro Espinosa/249"/>
        <s v="Sebastian Lagos Valdivieso/Azul"/>
        <s v="APERTURA CTA CTE SANTADER"/>
        <s v="RESCATE FF.MM. SECURITY"/>
        <s v="UF 500,31 EP 1 TASCO"/>
        <s v="UF 5003,17 EP 1 TASCO"/>
        <s v="UF 250,16 EP 1 TASCO"/>
        <s v="F.2854 EE.PP. N°7 TASCO"/>
        <s v="F.2315 Proy.Manejo Residuos EE.PP4"/>
        <s v="F,5921 Coz y Cia. ITO"/>
        <s v="CH a Fecha angelica sepulveda"/>
        <s v="Centralización Recaudación Febrero"/>
        <s v="Arzobispado de Stgo / 248"/>
        <s v="Arzobispado de Stgo / 249"/>
        <s v="Isabel Margarita Guarda Larrañaga/249"/>
        <s v="Colecta Jorge Claude"/>
        <s v="Carlos Lecaros Price / 249"/>
        <s v="José Miguel Guzmán Morandé/248"/>
        <s v="Matías Silva Olmos / Azul"/>
        <s v="Pedro Vicuña Illanes / Azul"/>
        <s v="Jorge Hernán Rodríguez Wilson/Azul"/>
        <s v="Rec.A.Sepulveda"/>
        <s v="Colecta Claudia Larenas Munita"/>
        <s v="Francisca Chadwick Irarrázaval/249"/>
        <s v="María José Muñoz Reinoso / 249"/>
        <s v="Horacio Figueroa Diesel/249(M$60)"/>
        <s v="Jorge Manzur Araya /Azul (M$20)"/>
        <s v="Hon.FEB/21 Campaña Hazte Parte"/>
        <s v="Comision CALI  Recaudado FEB/21"/>
        <s v="Patricio Abalos /248"/>
        <s v="José Ignacio Wielandt Vergara/ Azul"/>
        <s v="Jorge Awad M. / Azul"/>
        <s v="María José Guridi Hogge /Azul (M$26)"/>
        <s v="248 y 249 Febrero 2021"/>
        <s v="Marie Solange Vinet Homar / 249"/>
        <s v="Juan Sebastian Dávila Montaner/Azul"/>
        <s v="Pago F29 Febrero por Adm."/>
        <s v="P/pago Fact. en Bco.Security"/>
        <s v="Devolución CALI Cobrado en Exceso"/>
        <s v="Isabel Margarita Cortés Testart/249"/>
        <s v="Luis  E. Domínguez Larraín / Azul"/>
        <s v="Alberto Ureta /Azul"/>
        <s v="Colecta M.del Pilar Bustamante Solar"/>
        <s v="Cambio DAP a FM"/>
        <s v="Carmen Gloria Ovalle de la Cuadra/ 249"/>
        <s v="Raúl Strappa Varas / 249 "/>
        <s v="Nicolás Ríos Rivas / 249 (año)"/>
        <s v="Magdalena Alessandri Cruzat / Azul"/>
        <s v="Andrea Bonnefont Bellolio/Azul (M$10)"/>
        <s v="Pedro Jaime Iriberry Macdonald/ CURSO "/>
        <s v="Antonio Tuset Jorrat /Azul"/>
        <s v="Marcela Errázuriz León / Azul"/>
        <s v="Arzobispado Febrero / 248"/>
        <s v="Arzobispado Febrero / 249"/>
        <s v="T/C Azules Marzo 2021"/>
        <s v="José Miguel Pérez de Castro Z./249"/>
        <s v="Pedro Armando Alvarez Marin/249"/>
        <s v="Cristobal Eyzaguirre Baeza / Azul"/>
        <s v="Fernanda Labarca / Azul (M$50)"/>
        <s v="Herman Chadwick Larraín / Azul"/>
        <s v="María Consuelo Fuenzalida Walker/249"/>
        <s v="Arzobispado Rendición CALI Febrero 2021"/>
        <s v=" G. de la Vega  BE 314 Febrero"/>
        <s v=" G. de la Vega Hon. Marzo"/>
        <s v="Francisco Lopez Blanc Marzo/21 Campaña Hazte Parte"/>
        <s v="Abonos Transbank 248 y 249 Marzo 2021"/>
        <s v="Francisco Larraín Cruzat/azul"/>
        <s v="María Luisa Ilharreborde Illanes / Azul"/>
        <s v="Ramiro Young / Azul (M$500)"/>
        <s v="Dep NN"/>
        <s v="DAP B. Santander"/>
        <s v="UF 328,52 EP 8 TASCO"/>
        <s v="UF 3285,12 EP 8 TASCO"/>
        <s v="UF 164,26 EP 8 TASCO"/>
        <s v="Fact. 5921 ITO Ene/21"/>
        <s v="Fact. 5973 ITO Feb/21"/>
        <s v="Centralización Recaudación Marzo"/>
        <s v="Eduardo Calvimontes Candia/azul"/>
        <s v="Jorge Manzur Araya / Azul"/>
        <s v="María Elena de Castro Espinosa/249"/>
        <s v="Mercedes Cisternas Pérez/Azul"/>
        <s v="Sandra Rivadeneira Almonacid/Azul"/>
        <s v="Yolanda Haase Baeza / 249"/>
        <s v="Intereses Devengados DAP Santander"/>
        <s v="José Tomás Guzmán Rencoret / Azul"/>
        <s v="Carlos Enrique Blanco Plummer / 249"/>
        <s v="María Virginia Fernández Oyarzún / 249"/>
        <s v="Carlos Enrique Celis Celedón / Azul"/>
        <s v="Martín Fuenzalida Izquierdo / 249 "/>
        <s v="248 y 249 Marzo 2021"/>
        <s v="Juan Gabriel Navarro Gutiérrez / Azul"/>
        <s v="Francisco Javier Lathrop Velasco/Azul"/>
        <s v="Pedro Pablo Bossay Kretschmer/Azul"/>
        <s v="Ignacio Santa María Mujica / 249"/>
        <s v="María Teresa Ibañez Vial / 249"/>
        <s v="DCT Cristian Jirón Palma /Azul "/>
        <s v="Ignacio Prat Mendoza/249"/>
        <s v="Colecta Pedro Armando Alvarez Marin"/>
        <s v="Pablo Eyzaguirre Chadwick/248 (E-F-M)"/>
        <s v="María Macarena Besa Prieto/248"/>
        <s v="Pedro Irarrázaval / 248"/>
        <s v="Canasta M.Soledad Celis Celedón"/>
        <s v="Juan Manuel Gutiérrez Philippi / 248"/>
        <s v="Rendicion CALI Marzo 2021"/>
        <s v="BE 314 Guillermo De La Vega Ivovich"/>
        <s v="BE 479 Miria Angélica Sepúlveda"/>
        <s v="Traspaso inversion en Bco. Security"/>
        <s v="Juan Manuel Gutiérrez Philippi / 249"/>
        <s v="Colecta NN"/>
        <s v="Comision bancaria"/>
        <s v="Colecta GODOY CAMUS CARLOS IGNACIO"/>
        <s v="Ricardo Cruzat Ochagavia / Azul"/>
        <s v="Antonio Jorge Gana de Landa / 249"/>
        <s v="Marcio Almeida Dos Santos / Azul"/>
        <s v="Arzobispado de Stgo Marzo / 248"/>
        <s v="Arzobispado de Stgo Marzo / 249"/>
        <s v="Guillermo Rosende Álvarez / 248"/>
        <s v="Traspaso Cta. CALI a Adm"/>
        <s v="María Raquel Domeyco Matte / Azul"/>
        <s v="Abono Transbank 248 y 249 abril 2021"/>
        <s v="Arantxa Ereche Tuzzini/249"/>
        <s v="Colecta Gustavo Tocornal R-T"/>
        <s v="T/C Azules Abril 2021"/>
        <s v="Rescate DAP"/>
        <s v="UF 495,59 EP 9 TASCO"/>
        <s v="UF 5012,86 EP 9 TASCO"/>
        <s v="UF 247,79 EP 9 TASCO"/>
        <s v="F.2916 EE.PP. N°9 TASCO"/>
        <s v="Fact. 6016 ITO Mar/21"/>
        <s v="BE-63 Hardy Guillermo Alejandro Hipp - Proyecto Seguridad"/>
        <s v="Cargo Tasacion PSAH"/>
        <s v="Centralización Recaudación Abril"/>
        <s v="Benjamin Herrera Riesco / azul"/>
        <s v="Eduardo Calvimontes Candia / azul"/>
        <s v="Eduardo Castro De La Barra /249"/>
        <s v="Hilda Dougnac Rodríguez / Azul"/>
        <s v="Ingrid Maria Nielsen Galli /azul"/>
        <s v="Jaime Andres Court Viviani /249"/>
        <s v="María Isabel Grez Armanet/Azul"/>
        <s v="Sebastian Lagos Valdivieso / Azul"/>
        <s v="Ana María Rabagliati Grunwald / 249"/>
        <s v="Santiago Ireneo Doña Vial / 249"/>
        <s v="María Carolina Marín Montes / 249"/>
        <s v="Canastas M. Soledad Celis Celedon"/>
        <s v="Colecta Carmen Monica Barañao Rojas"/>
        <s v="María Angélica Pérez-Villamil /249"/>
        <s v="Antonio Tuset Jorrat / 248"/>
        <s v="José Antonio Vicuña Errázuriz / Azul"/>
        <s v="Raúl Strappa Varas / 249 (abr y may)"/>
        <s v="DCT (M.JoseGuridi M$10)"/>
        <s v="Patricio Oelckers Álvarez / 249"/>
        <s v="Jorge Schmidt Girotti / Azul"/>
        <s v="Juan Carlos Latorre Díaz / Azul"/>
        <s v="Colecta Cecilia Larrain"/>
        <s v="Colecta Marcelo Galvez"/>
        <s v="Horacio Figueroa Diesel/249 (M$50 DCT)"/>
        <s v="Marcelo Osvaldo Gálvez Moya / Azul"/>
        <s v="2 Gift Card a Rest. Le Due Torri CALI Marzo"/>
        <s v="Rendición CALI Arzobispado de Santiago Marzo 2021"/>
        <s v="F.489 Sobres y Carta Campaña Hazte Parte"/>
        <s v="BE-481 MARIA ANGELICA SEPULVEDA TORO  "/>
        <s v="P/FF.MM. en B.Security"/>
        <s v="Colecta M. del Pilar Bustamante Solar"/>
        <s v="Canastas Carmen Mónica Barañao Rojas"/>
        <s v="Pedro Irarrázaval/M.Mercedes Calvo Montt/248"/>
        <s v="3 Gift Card a Rest. Majestic Kenndy"/>
        <s v="José Eugenio Figueroa Basaure/248"/>
        <s v="248 y 249 mayo 2021"/>
        <s v="Arzobispado de Stgo Abril / 248"/>
        <s v="Arzobispado de Stgo Abril / 249"/>
        <s v="BE-315 G. de la Vega Abril"/>
        <s v="F.315 Mandatos Rojos (2000)"/>
        <s v="T/C Azules Mayo 2021"/>
        <s v="José Antonio Alliende Wielandt/ Azul"/>
        <s v="Rescate FM"/>
        <s v="Traspaso a Santander"/>
        <s v="Tóma DAP Santander"/>
        <s v="UF 849,89 EP 10 TASCO"/>
        <s v="UF 6063,74 EP 10 TASCO"/>
        <s v="UF 312,92 EP 10 TASCO"/>
        <s v="F.2930 EE.PP. N°10 TASCO"/>
        <s v="Fact. 6113 ITO Abr/21"/>
        <s v="Centralización Recaudación Mayo"/>
        <s v="Carlos Celis Celedón / Azul"/>
        <s v="Ingrid María Nielsen Galli/Azul "/>
        <s v="María Teresa Gil Gómez / 249"/>
        <s v="Maria Del Pilar Ferrer Parrague/248"/>
        <s v="Jacqueline Dale / 249"/>
        <s v="Maria Andrea Muzio C. /249"/>
        <s v="Maria Macarena Besa Prieto /248"/>
        <s v="Manuel Achondo Reñasco / 249"/>
        <s v="Paga Prestamo Fund.SanCarlos de Apoquindo"/>
        <s v="Sofía Guerrero V. / 249 D.C.T.($40.000)"/>
        <s v="María José Valdés Valdés / 249"/>
        <s v="María Loreto Naranjo de Lucca/ Azul"/>
        <s v="Pablo Eyzaguirre Chadwick/248 (A-M-J)"/>
        <s v="Pamela Daniels Sánchez /Azul (M$25)"/>
        <s v="Carlos Barriga Apparcel /248"/>
        <s v="Carlos Alberto Fonck Limann / Azul"/>
        <s v="Luis Alberto Cruz Guzmán  / 248"/>
        <s v="NN / Azul"/>
        <s v="Patricia Honorato /249 ($7000)"/>
        <s v="Bernardita Jara Infante/Azul (MM$1)"/>
        <s v="Raimundo Tocornal Laso / 249"/>
        <s v="Rend. CALI Mayol 21 Arzobispado de Santiago"/>
        <s v="BE-316 GUILLERMO DE LA VEGA  Mayo"/>
        <s v="BE-485 Ma Angélica Depúlveda"/>
        <s v="Trasp.a Cta. Security"/>
        <s v="José Miguel Valdivieso Gandarillas/Azul"/>
        <s v="Luis Felipe Zanolli De Solminihac/249"/>
        <s v="Felipe Hargous Larraín / 249"/>
        <s v="Carmen Matus Mesa / 249"/>
        <s v="Canastas María Virginia Fernández Oyarzún"/>
        <s v="T/C Azules Junio 2021"/>
        <s v="Arzobispado de Stgo Mayo / 248"/>
        <s v="Arzobispado de Stgo Mayo / 249"/>
        <s v="Canasta Alivia Oyarzun Saldias"/>
        <s v="248 y 249 junio 2021"/>
        <s v="Rescate DAP Security"/>
        <s v="Toma FF. MM. Security"/>
        <s v="UF 943,44 EP 11 TASCO"/>
        <s v="UF 8022,07 EP 11 TASCO"/>
        <s v="UF 347,37 EP 11 TASCO"/>
        <s v="F.2973 EE.PP. N°12 TASCO"/>
        <s v="Fact. 6238 ITO Junio/21"/>
        <s v="Rescata DAP Anticipado"/>
        <s v="Empalme Enel(p/rendir TASCO) "/>
        <s v="ABONO RECAUDACION PAC"/>
        <s v="Centralización Recaudación Junio"/>
        <s v="Pago F29 Marzo por Administración"/>
        <s v="Pago F29 Abril por Administración"/>
        <s v="Pago F29 Mayo por Administración"/>
        <s v="Carlos Celis Celedon / Azul"/>
        <s v="Ingrid Maria Nielsen Galli / Azul"/>
        <s v="Hilda Dougnac Rodriguez / Azul"/>
        <s v="Maria Cristina Herrera Peralta / 248"/>
        <s v="Maria Elena de Castro Espinosa / 249"/>
        <s v="Eduardo Calvimontes/ Azul"/>
        <s v="Hugo Rosende Alvarez / 249"/>
        <s v="Maria de los Angeles Herrera Soler / 249"/>
        <s v="Maria de la Luz Garces Larenas"/>
        <s v="Eduardo Castro de la Barra / 249"/>
        <s v="Jaime Andres Court Viviani / 249"/>
        <s v="Ana María Allende Zañartu/ 248"/>
        <s v="Provisiona Honorarios Junio Guillermo de la Vega"/>
        <s v="Cheque A Fecha Junio"/>
        <s v="Jorge Aguirre Moltedo/249 (M$15)"/>
        <s v="Catalina Adriasola Gibson / Azul"/>
        <s v="Alfonso José Guzmán Cruzat / Azul"/>
        <s v="Selim Guillermo Abara Elías / Azul"/>
        <s v="Rec.A.Sepulveda Junio"/>
        <s v="Choc. La Fête, Fact.47848"/>
        <s v="Jose Adolfo Ochagavia Vial / Azul"/>
        <s v="Adriana Fernández Correa / Azul"/>
        <s v="Canastas M.Soledad Celis Celedón"/>
        <s v="1 Gift Card La Cabrera premio Camp.Hazte Parte"/>
        <s v="Anticipo 50% 150 letreros Campaña Hazte Parte"/>
        <s v="Sofía Guerrero V. / 249 D.C.T.($20.000)"/>
        <s v="Rend. CALI Junio 21"/>
        <s v="BE-488 Maria Angelica Sepulveda"/>
        <s v="Colecta Pilar Bustamante"/>
        <s v="Devolución Trasp.a Cta. Security"/>
        <s v="Pablo Botteselle De La Fuente / 249"/>
        <s v="Colecta Silvia Villegas"/>
        <s v="Héctor Manuel Gómez Brain / Azul"/>
        <s v="3 Gift Card R.Pinpilinpausha premio Camp.Hazte Parte"/>
        <s v="F,39143 Lienzo en Obra Campaña Hazte Parte"/>
        <s v="Abono Transbank 248 y 249 julio 2021"/>
        <s v="Arzobispado de Stgo Junio / 248"/>
        <s v="Arzobispado de Stgo Junio / 249"/>
        <s v="Ana María Balmaceda Ovalle / Azul"/>
        <s v="Clemencia Cecilia Gómez Pérez / Azul"/>
        <s v="T/C Azules Julio 2021"/>
        <s v="BE-317 GUILLERMO DE LA VEGA"/>
        <s v="C&amp;P Asesores - Asesoria Contable Enero 2021"/>
        <s v="Selim Guillermo Abara Elías / 249"/>
        <s v="IVA COMISIONES"/>
        <s v="Rescate FF.MM"/>
        <s v="UF 578,97 EP 12TASCO"/>
        <s v="UF 4130,77 EP 12 TASCO"/>
        <s v="UF 213,17 EP 12 TASCO"/>
        <s v="Fact. 391  EE.PP.N°5"/>
        <s v="COM.SERV.PAC JUNIO 2021 14 TRX."/>
        <s v="Ana Maria Reyes Garin / 248"/>
        <s v="Fernando Arcuch Salum /Azul "/>
        <s v="Impto.Ret Adm. Junio /2021"/>
        <s v="Maria Cristina Herrera Peralta /248"/>
        <s v="Maria Teresa Gil Gomez / 249"/>
        <s v="Pamela Daniels Sanchez/ Azul"/>
        <s v="Centralización Recaudación Julio"/>
        <s v="CHEQUE A FECHA"/>
        <s v="Pedro Irarrázaval/248"/>
        <s v="Renato Guidio Rezende de Castro/ 249"/>
        <s v="Juan Pablo Munita Morgan / Azul"/>
        <s v="248 y 249 julio 2021"/>
        <s v="Colecta Arnaldo Gorziglia Balbi"/>
        <s v="Rebeca Ayala Marfil / Azul"/>
        <s v="Saldo F.865, 150 letreros Campaña Hazte Parte"/>
        <s v="Patricia Romero Espinosa / 249"/>
        <s v="Melania Espinosa / 249"/>
        <s v="Marina Espinosa / 249"/>
        <s v="Pablo Eyzaguirre Chadwick/248 (J-A-S)"/>
        <s v="Colecta Marcela Rebeca Pinto Zepeda"/>
        <s v="Macarena del Rosario Arriagada Álvarez/ Azul"/>
        <s v="Julian Elorrieta Decombe / 249 (16142091-3) "/>
        <s v="Rend. CALI Julio/21"/>
        <s v="BE-318 Guillermo de la Vega Ivovich"/>
        <s v="BE-492 Maria Angelica Sepulveda Toro"/>
        <s v="3 Gift Card  Gastronomia del Alto SpA"/>
        <s v="Elena García Huidobro E. /Azul"/>
        <s v="Mónica Harseim /azul"/>
        <s v="Colecta Carlos Gerardo Anwandter Grallert"/>
        <s v="Maria Cristina Prieto Larrain / Azul"/>
        <s v="Germán Undurraga Ossa / Azul (M$50)"/>
        <s v="248 y 249 agosto 2021"/>
        <s v="T/C Azules Agosto 2021"/>
        <s v="Arzobispado de Stgo Julio / 248"/>
        <s v="Arzobispado de Stgo Julio / 249"/>
        <s v="Ana María Larraín Cruz / Azul"/>
        <s v="Ana María Alvarez Toro  / Azul"/>
        <s v="Eduardo Andrés León Rojas / Azul"/>
        <s v="Impto.Ret Adm. Julio/2021"/>
        <s v="María Asunción Lavín Infante/249"/>
        <s v="María Cristina Herrera Peralta/248"/>
        <s v="María de los Ángeles Herrera Soler/249"/>
        <s v="Paulina Inés Olea de la Cerda/248"/>
        <s v="Centralización Recaudación Agosto"/>
        <s v="UF 498,71 EP 13 TASCO"/>
        <s v="UF 183,61,51 EP 13 TASCO"/>
        <s v="UF 3558,15 EP 13 TASCO"/>
        <s v="Fact. 2995  EE.PP.N°13"/>
        <s v="Fact. 6271 ITO Julio/21"/>
        <s v="COM.SERV.PAC JULIO 2021 19 TRX."/>
        <s v="ABONO RECAUDACION PAC /249 "/>
        <s v="Regulariza Proveedores "/>
        <s v="Regularizacion Diferencia Arzobispado"/>
        <s v="M. Dominguez /248"/>
        <s v="María Verónica Letelier Benítez / Azul"/>
        <s v="Pedro Armando Alvarez Marin/250"/>
        <s v="María Soledad Errázuriz Cortés / Azul"/>
        <s v="Carolina Reyes Dermer / 249 D.C.T.(M$17)10306033-8"/>
        <s v="M.Soledad Errázuriz Cortés/249  DCT(M$13)13658366-2"/>
        <s v="Juan Guillermo Rodríguez Aris/DCT Azul(M$100)8868030-8"/>
        <s v="Blanca Lira Correa / 249"/>
        <s v="Rend. CALI Agosto/21 Arzobispado de Santiago"/>
        <s v="BE-318 GUILLERMO DE LA VEGA ASESORIA 1% AGOSTO 2021"/>
        <s v="BE-492 Maria Angelica Sepulveda Toro COMISION CALI JUL 21"/>
        <s v="3 Gift Card Gastronomica El Alero SpA"/>
        <s v="Colecta Juana Jazmin Hevia"/>
        <s v="Gustavo Adolfo Walsen Arangua / Azul"/>
        <s v="María Soledad Piderit Brito / 249"/>
        <s v="T/C Azules Septiembre 2021 Abono Transbank"/>
        <s v="Arzobispado de Stgo Agosto / 248"/>
        <s v="Arzobispado de Stgo Agosto / 249"/>
        <s v="María Loreto Izquierdo Vial / 249 (M$125)"/>
        <s v="BE-318 GUILLERMO DE LA VEGA ASESORIA 1% AGOSTO"/>
        <s v="Raimundo Monge Zegers /Azul"/>
        <s v="Traspaso desde Cta. Bco.Santander"/>
        <s v="Fact. 2728, EE.PP.N°3 (Proy.Paviment.Acceso PSAH)"/>
        <s v="Fact. 6330, EE.PP. N° 21, ITO Agosto/21"/>
        <s v="Fact. 3022, EE.PP. N°14 rev.1"/>
        <s v="Fact. 3030, EE.PP. N° 2 Obras Extra"/>
        <s v="UF 1041,60 EP 14 TASCO"/>
        <s v="UF 383,51 EP 14 TASCO"/>
        <s v="UF 7431,51 EP 14 TASCO"/>
        <s v="Rescata DAP"/>
        <s v="COM.SERV.PAC AGOSTO 2021 28 TRX."/>
        <s v="Keryma Felmer Echeverria / 249(Ago)"/>
        <s v="Keryma Felmer Echeverria / 249(Jul)"/>
        <s v="Keryma Felmer Echeverria / 249(Set)"/>
        <s v="Marina Espinosa Pérez / 249"/>
        <s v="Mario Melo / Azul"/>
        <s v="Mario Melo /Azul"/>
        <s v="Melania Espinosa Pérez / 249"/>
        <s v="CHEQUE A FECHA SEPTIEMBRE"/>
        <s v="Nicolás Gajardo Retamal  / Azul"/>
        <s v="248 y 249 septiembre 2021"/>
        <s v="Juan Bautista Duhart Charles / Azul"/>
        <s v="Carolina Guridi Gubbins / 249"/>
        <s v="T/C Azules Septiembre 2021"/>
        <s v="Rec. Sept. (ch/f)"/>
        <s v="Adriana Fernández Correa / 249"/>
        <s v="Eugenia Muñoz Quezada /DCT Azul (M$1000)"/>
        <s v="Andrés Fuentes Barañao/Azul"/>
        <s v="Rafael Vergara Illanes / 249"/>
        <s v="Pedro Ríos Dempster / 249 (Sept-Dic/2021)"/>
        <s v="Pablo Antonio Medina Herrera / Azul"/>
        <s v="BE-499 MARIA ANGELICA SEPULVEDA"/>
        <s v="Nicolás Errázuriz Salinas / Azul"/>
        <s v="Isabel Romero / Azul"/>
        <s v="NN"/>
        <s v="M.Josefina Walker Vial/DCT Azul (M$200)"/>
        <s v="T/C Azules Octubre 2021"/>
        <s v="Arzobispado de Stgo Septiembre / 248"/>
        <s v="Arzobispado de Stgo Septiembre / 249"/>
        <s v="Rend. CALI Septiembre/21 Arzobispado de Santiago"/>
        <s v="Osasun Com. Ltda. (RUT:76668530-7)"/>
        <s v="Fact. 2774, EE.PP.N°4(Proy.Paviment.Acceso PSAH)"/>
        <s v="Fact. 6409, EE.PP. N° 22, ITO Sept./21"/>
        <s v="Fact. 3048, EE.PP. N° 15"/>
        <s v="Fact. 429  EE.PP.N°6"/>
        <s v="UF 234,08 EP 15 TASCO"/>
        <s v="UF 86,18 EP 15 TASCO"/>
        <s v="UF 1670,05 EP 15 TASCO"/>
        <s v="COM.SERV.PAC SEPT. 2021 32 TRX."/>
        <s v="Abono Venc. DAP "/>
        <s v="Toma DAP a 35 ds."/>
        <s v="Centralización Recaudación Octubre"/>
        <s v="Impto.Ret Adm. Septiembre/2021"/>
        <s v="Keryma Felmer Echeverria / 249"/>
        <s v="CHEQUE A FECHA "/>
        <s v="Be 320 Guillermo de la Vega Ivovich  Asesoria 1% Septiembre 2021"/>
        <s v="Andrés Munita Izquierdo / Azul"/>
        <s v="Guillermo Correa Tocornal / Azul"/>
        <s v="CALI Recaudadora Octubre"/>
        <s v="Pablo Eyzaguirre Chadwick/248 (O-N-D)"/>
        <s v="Wilfred Arturo Spikin Valdivia / 249"/>
        <s v="248 y 249 octubre 2021"/>
        <s v="Patricia Valdés Grandón / 249 (Mandato del 05/11)"/>
        <s v="Maria Elisa Cruzat Silva / 248 (Ago-Sept)"/>
        <s v="Carolina Reyes Dermer / 249 D.C.T.(M$16)10306033-8"/>
        <s v="Caja Navidad Sergio Rodriguez Oro"/>
        <s v="BE-503 Maria Angelica Sepulveda"/>
        <s v="Ren.Gtos Notariales (Firma Escrit. Hipoteca Ptmo)"/>
        <s v="Caja Navidad DCT"/>
        <s v="Caja Navidad POS"/>
        <s v="248 y 249 noviembre 2021"/>
        <s v="Tarjetas Azules"/>
        <s v="Santiago Ríos García / 249"/>
        <s v="Caja Navidad Soledad Celis"/>
        <s v="Arzobispado de Santiago Rend. CALI Oct./21"/>
        <s v="Arzobispado de Santiago Rend. CALI Oct./21 Diferencia"/>
        <s v="Be 321 Guillermo de la Vega Ivovich  Asesoria 1% Octubre 2021"/>
        <s v="Arzobispado de Stgo Octubre / 248"/>
        <s v="Arzobispado de Stgo Octubre / 249"/>
        <s v="María Ignacia Lewin Urzúa ($20.000) "/>
        <s v="Centralización Recaudación Noviembre"/>
        <s v="Carolina Jacir Manterola ($30000)"/>
        <s v="Francisca Orrego Benavente / 249"/>
        <s v="Impto.Ret Adm. Octubre/2021"/>
        <s v="Maria Carolina Reyes Detmer ($17000)"/>
        <s v="María Olga Rodríguez Olivos ($10000)"/>
        <s v="Maria Paz Rauch Varas ($15000)"/>
        <s v="Maria Rebeca Perez Ferrada($30000)"/>
        <s v="María Sofía Wulf Le May ($50.000)"/>
        <s v="Patricia Honorato Valdés ($10000) /249"/>
        <s v="Ricardo Fernández Oyarzún / 249"/>
        <s v="Rita Vasquez Godoy ($10000)"/>
        <s v="Sonia Andrea Varas Mujica/249 (Jun)"/>
        <s v="COM.SERV.PAC SEPT. 2021 34 TRX."/>
        <s v="Toma DAP a 32 ds."/>
        <s v="DAP B.Santander"/>
        <s v="F.  NV2889020 Enel (Empalme PSAH)"/>
        <s v="Fact. 6495, EE.PP. N° 23, ITO Oct./21"/>
        <s v="Fact. 3075, EE.PP. N° 16"/>
        <s v="Fact. 440  EE.PP.N°7"/>
        <s v="UF 491,44 EP 16 TASCO"/>
        <s v="UF 180,94 EP 16 TASCO"/>
        <s v="UF 2946,47 EP 16 TASCO"/>
        <s v="PLAN EXTRA SOCIEDAD (UF 0.1800)"/>
        <s v="MANDATOS PAC SANTANDER NOVIEMBRE"/>
        <s v="CHEQUE A FECHA RECAUDADORA NOVIEMBRE"/>
        <s v="RECLASIFICA DIFERENCIA 248 "/>
        <s v="Alessandro Bizzarri Carvallo /249 "/>
        <s v="José Francisco Vargas Serrano/249 D.C.T.(M$70)15376972-9"/>
        <s v="San Jóse, Tomas Alcalde"/>
        <s v="San Jóse Tomas Alcalde"/>
        <s v="Caja Navidad Carlos Alberto Fonck Limann"/>
        <s v="Rosario Riveaux Aris / DCT Azul (M$15)"/>
        <s v="Sofía de León ($25.000) RUT:14.698.174-7"/>
        <s v="Raúl Strappa Varas / 249 (Nov- dic) "/>
        <s v="Gastos CBRS Hipoteca -Bco.Santander"/>
        <s v="IV Medios 2020 Col.Cumbres (Carolinas Reyes)"/>
        <s v="Maria Elisa Cruzat Silva / 248 "/>
        <s v="Arriendo POS"/>
        <s v="San Jóse Guillermo Rosende Alvarez"/>
        <s v="Germán Undurraga Ossa / Azul (M$100)"/>
        <s v="Gustavo Pavez / Azul 250"/>
        <s v="María Loreto Marín Estevez / Azul"/>
        <s v="María Bernardita León Martínez / 249"/>
        <s v="Fernando Barroilhet Diez(M$50)RUT:14123234-7"/>
        <s v="Patricio Escudero H.(M$45)"/>
        <s v="Eugenia Muñoz Quezada (M$45)"/>
        <s v="BE-508 Maria Angelica Sepulveda Toro"/>
        <s v="Arzobispado de Santiago Rend. CALI NOV./21"/>
        <s v="Be 322 Guillermo de la Vega Ivovich  Asesoria 1% Octubre 2021"/>
        <s v="Deposito no Reconocido"/>
        <s v="Ajuste TBK "/>
        <s v="T/C Azules Diciembre 2021"/>
        <s v="Rend. CALI Oct./21"/>
        <s v="Eugenio Camus Camus / Azul (M$800)"/>
        <s v="Carmen Camus Mesa / 248"/>
        <s v="Arzobispado de Stgo Noviembre / 248"/>
        <s v="Arzobispado de Stgo Noviembre / 249"/>
        <s v="Toma DAP a 30 ds."/>
        <s v="Traspaso Fondos B.Security"/>
        <s v="Fact. 6579 del 30/11/2021, EE.PP. N° 24, ITO Noviembre 2021."/>
        <s v="Fact. 3113 del 30/11/2021, EE.PP. N°3 Obras Extra"/>
        <s v="Fact. 3112 del 30/11/2021, EE.PP. N°17"/>
        <s v="Fact. 453 del 02/12/2021, EE.PP. N° 8 Adicionales Arquitectura"/>
        <s v="UF 742,91 EP 17 TASCO"/>
        <s v="UF 273,53 EP 17 TASCO"/>
        <s v="UF 5.300,49 EP 17 TASCO"/>
        <s v="Centralización Recaudación Diciembre"/>
        <s v="Ana María Toro Irarrázaval / Azul"/>
        <s v="Daniel Campos S. ($8.000)"/>
        <s v="Impto.Ret Adm. Noviembre/2021"/>
        <s v="Jaime Andrés Court Viviani /249"/>
        <s v="Juan Pablo Guzmán Bauzá ($30000)"/>
        <s v="Magdalena Fernández. ($20.000)"/>
        <s v="Maria Carolina Reyes Detmer ($17000) /249"/>
        <s v="María Olga Rodríguez Olivos ($10000) /249"/>
        <s v="María Sofía Wulf Le May ($50.000) /249"/>
        <s v="Patricio Walker Cruchaga / Azul"/>
        <s v="Rita Vasquez Godoy ($10000) /249"/>
        <s v="Regularizaciones menores"/>
      </sharedItems>
    </cacheField>
    <cacheField name="C. Costo" numFmtId="0">
      <sharedItems containsBlank="1"/>
    </cacheField>
    <cacheField name="RUT Proveedor" numFmtId="0">
      <sharedItems containsBlank="1"/>
    </cacheField>
    <cacheField name="Nombre Proveedor" numFmtId="0">
      <sharedItems containsBlank="1"/>
    </cacheField>
    <cacheField name="N° Factura" numFmtId="0">
      <sharedItems containsString="0" containsBlank="1" containsNumber="1" containsInteger="1" minValue="284" maxValue="23412621"/>
    </cacheField>
    <cacheField name="Det. Servicio" numFmtId="0">
      <sharedItems containsBlank="1" containsMixedTypes="1" containsNumber="1" containsInteger="1" minValue="8446557" maxValue="8446557"/>
    </cacheField>
    <cacheField name="Detalle" numFmtId="0">
      <sharedItems containsBlank="1" count="9">
        <m/>
        <s v=""/>
        <s v="Proyecto Electrico"/>
        <s v="ITO"/>
        <s v="Tasco Empalme"/>
        <s v="San Jóse"/>
        <s v="sillas" u="1"/>
        <s v="san jose" u="1"/>
        <s v="mari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SAH" refreshedDate="44594.475245601854" createdVersion="6" refreshedVersion="7" minRefreshableVersion="3" recordCount="8587" xr:uid="{00000000-000A-0000-FFFF-FFFF09000000}">
  <cacheSource type="worksheet">
    <worksheetSource name="Tabla_3"/>
  </cacheSource>
  <cacheFields count="16">
    <cacheField name="Fecha" numFmtId="0">
      <sharedItems containsNonDate="0" containsDate="1" containsString="0" containsBlank="1" minDate="2021-01-01T00:00:00" maxDate="2021-12-31T00:00:00"/>
    </cacheField>
    <cacheField name="Mes" numFmtId="0">
      <sharedItems containsString="0" containsBlank="1" containsNumber="1" containsInteger="1" minValue="1" maxValue="12" count="13">
        <n v="1"/>
        <m/>
        <n v="2"/>
        <n v="3"/>
        <n v="4"/>
        <n v="5"/>
        <n v="6"/>
        <n v="7"/>
        <n v="8"/>
        <n v="9"/>
        <n v="10"/>
        <n v="11"/>
        <n v="12"/>
      </sharedItems>
    </cacheField>
    <cacheField name="Código" numFmtId="0">
      <sharedItems containsBlank="1" containsMixedTypes="1" containsNumber="1" containsInteger="1" minValue="110" maxValue="9011" count="65">
        <n v="110"/>
        <n v="114"/>
        <n v="120"/>
        <n v="130"/>
        <n v="132"/>
        <n v="140"/>
        <n v="215"/>
        <n v="220"/>
        <n v="222"/>
        <n v="223"/>
        <n v="224"/>
        <n v="225"/>
        <n v="229"/>
        <n v="231"/>
        <n v="300"/>
        <n v="311"/>
        <n v="142"/>
        <n v="143"/>
        <m/>
        <n v="3110"/>
        <n v="3340"/>
        <n v="3450"/>
        <n v="4321"/>
        <n v="4860"/>
        <n v="3350"/>
        <n v="4310"/>
        <n v="4324"/>
        <n v="4323"/>
        <n v="4223"/>
        <n v="4325"/>
        <n v="3320"/>
        <n v="4326"/>
        <n v="4224"/>
        <n v="4643"/>
        <n v="4680"/>
        <n v="4650"/>
        <n v="4231"/>
        <n v="9011"/>
        <n v="4322"/>
        <n v="4641"/>
        <n v="4340"/>
        <n v="3120"/>
        <n v="3360"/>
        <n v="4210"/>
        <n v="4861"/>
        <n v="3520"/>
        <n v="4430"/>
        <n v="4420"/>
        <n v="4950"/>
        <s v=" "/>
        <n v="226"/>
        <n v="4810"/>
        <n v="4642"/>
        <n v="4410"/>
        <n v="4221"/>
        <n v="3453"/>
        <n v="4822"/>
        <n v="4510"/>
        <n v="4820"/>
        <n v="230"/>
        <n v="4653" u="1"/>
        <n v="141" u="1"/>
        <n v="3210" u="1"/>
        <n v="4213" u="1"/>
        <n v="216" u="1"/>
      </sharedItems>
    </cacheField>
    <cacheField name="Cuenta" numFmtId="0">
      <sharedItems containsBlank="1" count="62">
        <s v="Disponible Administración"/>
        <s v="Fondo por Rendir Admistración"/>
        <s v="Fondo Mutuo Administración"/>
        <s v="Garantias Administración"/>
        <s v="Préstamos  Fundación Administración"/>
        <s v="Provisión Cuentas por cobrar"/>
        <s v="Cuenta por Pagar a Cali"/>
        <s v="Fondos Pastoral Juvenil"/>
        <s v="Honorarios por pagar Administración"/>
        <s v="Ret. Hon.  e Impto. Unico Administración"/>
        <s v="Cotizaciones por Pagar"/>
        <s v="Sueldos por Pagar"/>
        <s v="Provisiones Administración"/>
        <s v=" Fondos Pastoral Social"/>
        <s v="Capital Administración"/>
        <s v="Resultado Acumulado Adm."/>
        <s v="Cuentas por Cobrar a CALI (Colectas)"/>
        <s v="Cuentas por Cobrar a CALI (Canastas)"/>
        <m/>
        <s v="Colectas Normales"/>
        <s v="Misas"/>
        <s v="Pastoral Social"/>
        <s v="Electricidad"/>
        <s v="Otros"/>
        <s v="Bautizos"/>
        <s v="Arriendos / Dividendos"/>
        <s v="Gas"/>
        <s v="Telefonía, Internet (VTR, Entel)"/>
        <s v="         Comunicaciones"/>
        <s v="Alarma (ADT)"/>
        <s v="Matrimonios"/>
        <s v="Seguros"/>
        <s v="         Jardinero"/>
        <s v="             Otros"/>
        <s v="Pastoral Comunicacional"/>
        <s v="Auxiliares, secretarias y administración"/>
        <s v="Sueldo Sacerdotes"/>
        <s v="Agua"/>
        <s v="             Capellanías "/>
        <s v="Caja Chica"/>
        <s v="Colectas Especiales"/>
        <s v="Sueldos"/>
        <s v="Curso Biblia"/>
        <s v="Otros Ingreso"/>
        <s v="Varios"/>
        <s v="Aseo y Limpieza"/>
        <s v="Cuaresma"/>
        <s v="Provisión Honorarios Administración"/>
        <s v="Encuentros y convivencias"/>
        <s v="             Misas (Hojas, vino, hostias, coro)"/>
        <s v="Librería"/>
        <s v="          Contables-Administración"/>
        <s v="Cajas de navidad"/>
        <s v="Caja de Navidad"/>
        <s v="Oficina Parroquial"/>
        <s v="Navidad"/>
        <s v="Proveedores Administración"/>
        <s v="Donacion Construccion" u="1"/>
        <s v="Secretarias y Administración" u="1"/>
        <s v="            Ayuda Solidaria" u="1"/>
        <s v="Cuentas por Cobrar a Administración" u="1"/>
        <s v="Cuenta por Pagar a Administración Colectas" u="1"/>
      </sharedItems>
    </cacheField>
    <cacheField name="Monto" numFmtId="0">
      <sharedItems containsString="0" containsBlank="1" containsNumber="1" containsInteger="1" minValue="-110822645" maxValue="118607614"/>
    </cacheField>
    <cacheField name="Debe" numFmtId="0">
      <sharedItems containsString="0" containsBlank="1" containsNumber="1" containsInteger="1" minValue="0" maxValue="118607614"/>
    </cacheField>
    <cacheField name="Haber" numFmtId="0">
      <sharedItems containsString="0" containsBlank="1" containsNumber="1" containsInteger="1" minValue="0" maxValue="110822645"/>
    </cacheField>
    <cacheField name="Glosa" numFmtId="0">
      <sharedItems containsBlank="1" containsMixedTypes="1" containsNumber="1" containsInteger="1" minValue="0" maxValue="0" count="1127">
        <s v="Asiento Apertura 2021"/>
        <s v="Asiento Apertura 2021  Honorarios Pablo Cerda"/>
        <s v="Asiento Apertura 2021  Provisiona Gastos Navidad 2020"/>
        <s v="Asiento Apertura 2021 Retenciones No Emitidas V. Galland"/>
        <m/>
        <s v="Colecta 29 Transferencias"/>
        <s v="Misas 2 Transferencias"/>
        <s v="Canastas 1 Transferencias"/>
        <s v="María Elena de Castro Espinosa/249"/>
        <s v="PAC Enel"/>
        <s v="Aporte Especial Vicaria P.Social"/>
        <s v="Dev. Pago pollos Error Cta.Cte."/>
        <s v="Hilda Dougnac Rodríguez / Azul"/>
        <s v="Traspaso desde Cta. CALI"/>
        <s v="Colecta 7 Transferencias"/>
        <s v="PAC Aguas Cordillera"/>
        <s v="Keryma Felmer Echeverria/Azul"/>
        <s v="Colecta 4 Transferencias"/>
        <s v="Jaime Andrés Court Viviani/249"/>
        <s v="Comisión Pagos Nom. Bco.Chile"/>
        <s v="Colecta 2 Transferencias"/>
        <s v="Don.Bautizos 1 Transferencias"/>
        <s v="Arriendo Enero Casa Pastoral"/>
        <s v="PAC Metrogas Oficina"/>
        <s v="Colecta 13 Transferencias"/>
        <s v="Hugo Rosende Álvarez / 249"/>
        <s v="Maria Muzio (Jul - Dic)"/>
        <s v="T.G.R."/>
        <s v="Previred EE.Parroquia"/>
        <s v="Previred P. Pedro"/>
        <s v="Don.Bautizos 2 Transferencias"/>
        <s v="PAC VTR,"/>
        <s v="Carlos Celis Celedón / Azul"/>
        <s v="Colecta 1 Transferencias"/>
        <s v="Misas 1 Transferencias"/>
        <s v="Eugenio Camus /Azul"/>
        <s v="BH23 Hon M.Jara Nov y Dic/2020"/>
        <s v="BH  R,Vicuña Reparacion WC Ofic."/>
        <s v="Aporte Esc.de Verano Vic.Cordillera"/>
        <s v="Diferencia Arriendo Enero 2021"/>
        <s v="PAC Entel"/>
        <s v="PAC ADT"/>
        <s v="Enrique Torrealba x 450 pollos"/>
        <s v="Caritas Insumos Campaña CNH"/>
        <s v="Servicefood 46 Cajas 1alimentos"/>
        <s v="BH156 Rodrigo Vidal Curso Biblia  R,Vicuña Reparacion WC Ofic."/>
        <s v="Colecta 8 Transferencias"/>
        <s v="Colecta 5 Transferencias"/>
        <s v="Don. Matrimonio"/>
        <s v="Colecta 3 Transferencias"/>
        <s v="Colecta 11 Transferencias"/>
        <s v="PAC Aseguradora Porvenir"/>
        <s v="Misas 3 Transferencias"/>
        <s v="Juan Carlos Varela Morgan/Azul"/>
        <s v="Yolanda Haase Baeza / 249"/>
        <s v="Hilda Dougnac Rodriguez /Azul"/>
        <s v="Trasp.a Cta. Adm. Dev. Colectas"/>
        <s v="Abono  TBK por DCT"/>
        <s v="Diferencia Atrastre Cali Administraciòn"/>
        <s v="Rem.V.Arriagada Ene 21"/>
        <s v="Rem.M.Reñasco Ene 21"/>
        <s v="Rem.Katherine Farias Ene 21"/>
        <s v="Rem.R.Valdés Ene 21"/>
        <s v="Rem.P.Rios Oct.Ene 21"/>
        <s v="Nomina Sueldos 29/01/21"/>
        <s v="BH Eduardo Plaza At. Jardines"/>
        <s v="BH Jorge Yvenes Mant. Casa"/>
        <s v="B.Te. Dorlly Cardenas Sanitzacion Bautizos"/>
        <s v="F.739 Areopago Ene/21"/>
        <s v="Servicefood 16 Cajas Alimentos"/>
        <s v="Centralización Enero"/>
        <s v="Nomina Proveedores 29/01/2021"/>
        <s v="Centraliza Remuneraciones"/>
        <s v="Colecta Manuel Uzal C"/>
        <s v="Colecta Olga Salinas Burgos"/>
        <s v="Colecta Maria Urrutia Cruz"/>
        <s v="Colecta Sebastian Rios"/>
        <s v="Benjamin Herrera Riesco/azul"/>
        <s v="Colecta Rafael Marin Jordan"/>
        <s v="Colecta Jose Perez de Cruz"/>
        <s v="Maria Elena de Castro Espinosa/249"/>
        <s v="Colecta Hildea Dougnac"/>
        <s v="Benjamín Herrera Riesco/azul"/>
        <s v="Colecta Maria Magdalena Castillo Vial"/>
        <s v="Colecta Fernando Varela"/>
        <s v="Colecta Gonzalo Contardo M"/>
        <s v="Colecta Keryma Felmer Echeverria"/>
        <s v="Dep. Colecta 27,28,29/01/01 Col Cordillera"/>
        <s v="Misa Keryma Felmer Echeverria"/>
        <s v="Misa Sonia Schmidt Salgado"/>
        <s v="Colecta SERVICIOS E INVERSIONES VARIOS SPA"/>
        <s v="Canasta SERVICIOS E INVERSIONES VARIOS SPA"/>
        <s v="Colecta Martin Besfamille"/>
        <s v="Colecta Maria Jose Fernandez Cifuentes"/>
        <s v="Colecta Luis Larenas Vergara"/>
        <s v="Colecta Maria Isabel Vial R"/>
        <s v="Colecta DCT"/>
        <s v="Colecta Mercedes CisternaS Pérez"/>
        <s v="Colecta Carlos Anwandter"/>
        <s v="Colecta Paula Fernandez"/>
        <s v="Colecta Alberto Ureta A."/>
        <s v="Pago Agua Of. Parroquial"/>
        <s v="Colecta Jose Miguel Carafi"/>
        <s v="Colecta Maria Car Rios"/>
        <s v="Colecta Jaime Andrés Court Viviani"/>
        <s v="Colecta Carmen Barañao"/>
        <s v="Don. Matrimonio Alfonso Ruiz-Tagle Cruz"/>
        <s v="Colecta Silvia Bozzo"/>
        <s v="Arriendo Febrero Casa Pastoral"/>
        <s v="Boletas no Emitidas 2020 Galland"/>
        <s v="Colecta Luis Ignacio Marín Jordán"/>
        <s v="Colecta Andres Vial Infante"/>
        <s v="Colecta Patricia Andrea Lorca Koch"/>
        <s v="Colecta Sofia Vives Ekdahl"/>
        <s v="Colecta Sebastian Rios "/>
        <s v="Colecta Jose Perez de Castro"/>
        <s v="Colecta Francisco Arteaga Errazuriz"/>
        <s v="Colecta Hilda Dougnac R"/>
        <s v="Colecta Isabel Tejeda Videla"/>
        <s v="Colecta Maria Josefina Jofre M"/>
        <s v="Colecta Maria Teresa Gil Gomez"/>
        <s v="Colecta DCT M.Jose Guridi"/>
        <s v="Dep. Colecta 1 al 7/02 Col Cordillera"/>
        <s v="Colecta Maria Francisca Llona Tagle"/>
        <s v="Colecta Christel Felmer Valdivielso"/>
        <s v="Colecta Isabel Guarda Larranaga"/>
        <s v="Colecta Rodrigo Eduardo Duran Cuinas"/>
        <s v="Colecta Ernesto Estanislao Hevia Perez"/>
        <s v="Misa M.de los Angeles Palma"/>
        <s v="Capellanias 1a.quincena Feb/21"/>
        <s v="Rend. Compra Utiles escritorio"/>
        <s v="Anticipo Remuneración Feb/21"/>
        <s v="Colecta Eduardo Calvimontes Candia"/>
        <s v="Bautizo Eugenio Spencer Contreras"/>
        <s v="Colecta Edita Gonzalez Marquez"/>
        <s v="Colecta Andrés Lagos Ch."/>
        <s v="Colecta Dep. Colecta 8 al 14/02 Col Cordillera"/>
        <s v="Colecta DCT (JAV20/A.Stehr20/M.Muzio3)"/>
        <s v="Colecta DCT (Matias Honorato M$20)"/>
        <s v="Colecta German Rios Dempster"/>
        <s v="Colecta Guido Albornoz Gomez"/>
        <s v="Ana María Reyes Garín / 248"/>
        <s v="Sebastian Lagos Valdivieso/Azul"/>
        <s v="Colecta Maria Jose Urrutía Cruz"/>
        <s v="Colecta Carolina Guridi G"/>
        <s v="Colecta Carmen Gloria Ruvas"/>
        <s v="Colecta Maria Corte"/>
        <s v="Colecta Maria Magdalena Castillo Vail"/>
        <s v="Colecta Miguel Etchegaray"/>
        <s v="Dep Colecta 15 al 21/2 Col Cordillera"/>
        <s v="Colecta DCT Maite Larrañaga"/>
        <s v="PAC Porvenir"/>
        <s v="Colecta Cyril Hodgson Larrain"/>
        <s v="Cyril Hodgson Larrain / Azul"/>
        <s v="F.739 Serv. Ene 21"/>
        <s v="Capellanias 2a. Quincena Feb/21"/>
        <s v="Rem. Pedro Rios Dempster"/>
        <s v="Rem. Veronica Arriagada Soto"/>
        <s v="Rem. Maria de los Angeles Renasco Mandiola"/>
        <s v="Rem. Katherinne Andrea Farías Cuevas"/>
        <s v="Rem. Rafael Valdes Searle"/>
        <s v="Colecta Pablo Garcia"/>
        <s v="Colecta Jose Luis Bustamante G"/>
        <s v="Colecta Ximena Garcia"/>
        <s v="Colecta CELIS CELEDON MARIA SOLEDAD"/>
        <s v="Colecta GAETE OLIVARES JORGE EDUARDO"/>
        <s v="Colecta Ignacio Ureta L."/>
        <s v="Colecta Pablo Irarrazaval Mena"/>
        <s v="Colecta Raimundo Barros"/>
        <s v="BH Nº24 MARIA INES JARA LAMAS "/>
        <s v="Centraliza Remuneraciones Asignación"/>
        <s v="Colecta José Miguel Pérez de Castro Z."/>
        <s v="Colecta Francisco Guillen"/>
        <s v="Colecta Ricardo Fernandez"/>
        <s v="Colecta Felipe Valbuena Valdivielso"/>
        <s v="Colecta Sebastian Lagos Valdivieso/Azul"/>
        <s v="Bautizo M.Eugenia Juarez"/>
        <s v="Bautizo M.Jose Campama D"/>
        <s v="Bautizo Matias Galvez"/>
        <s v="Dep. Colecta 22 al 28/02 Col Cordillera"/>
        <s v="Misa Gerardo del Villar"/>
        <s v="Colecta Carmen Gloria Rivas Varas "/>
        <s v="Colecta M.Angelica Arancibia Larenas"/>
        <s v="Colecta José Antonio Marín Jordán"/>
        <s v="Colecta Carlos Mackena Iñiguez"/>
        <s v="Colecta Maria Car Rios R"/>
        <s v="Colecta Luis Marin J."/>
        <s v="Colecta Juan Muzio Muzio"/>
        <s v="Colecta Dep. Colecta 02/03 Col Cordillera"/>
        <s v="Colecta Dep. Colecta 28/02 Col Cordillera"/>
        <s v="Bautizo Maria Ignacia Mozo Fuenzalida"/>
        <s v="Colecta Sandra Rivadeneira"/>
        <s v="Agua Of.Parroquial"/>
        <s v="Colecta Jorge Aguirre Moltedo"/>
        <s v="Colecta Ximena Suspichiatti"/>
        <s v="Arriendo Marzo 2021 Casa Parroquial"/>
        <s v="Colecta Sandra Socias R"/>
        <s v="Colecta Luis Larenas Vergara "/>
        <s v="Colecta IGNACIO URETA LARENAS"/>
        <s v="Misa Roberto Vergara Ossa"/>
        <s v="Colecta Francisco Guimpert"/>
        <s v="Colecta Maria Jose Urrutia Cruz "/>
        <s v="Colecta Ismael Correa Vigneaux"/>
        <s v="Dep. Colecta 3 al 7/03 Col Cordillera"/>
        <s v="Bautizo Fernando Errazuriz"/>
        <s v="Bautizo Maria Jose Searle"/>
        <s v="Colecta Cristian Huidobro Lermanda"/>
        <s v="NN"/>
        <s v="Com.Bco.Chile"/>
        <s v="Mercedes Cisternas Pérez/Azul"/>
        <s v="Bautizo Mariana Garcia"/>
        <s v="PAC VTR OFICINA"/>
        <s v="PAC METROGAS"/>
        <s v="Bautizo Fernando Zuazo"/>
        <s v="Bautizo Constanza Baeza"/>
        <s v="Bautizo Matias Moreno"/>
        <s v="Bautizo Eduardo Boys M"/>
        <s v="Colecta Eduardo Boys M"/>
        <s v="Colecta Beatriz Herrera S"/>
        <s v="Colecta M. Fca. Llona Tagle"/>
        <s v="Colecta Estefania Vergara"/>
        <s v="BH Nº25 MARIA INES JARA LAMAS "/>
        <s v="BH Nº93 JAVIERA EUGENIA VASQUEZ PAREDE"/>
        <s v="Taxi Padre Go"/>
        <s v="PAC ADT "/>
        <s v="Colecta Jaime Gonzalez Fabres"/>
        <s v="Colecta Juan Fco. Urmeneta"/>
        <s v="Colecta Guillermo Turner Olea"/>
        <s v="Colecta Maria Jose Guridi H"/>
        <s v="Colecta Franscisco Arteaga Errazuriz"/>
        <s v="Colecta Maria Valdes"/>
        <s v="Colecta Ricardo Cañas Cambiaso"/>
        <s v="Colecta Sebastian Claro Edwards"/>
        <s v="Colecta Cristian Bravo Palma"/>
        <s v="Colecta M.Magdalena Castillo"/>
        <s v="Misa Maria Jose Muñoz"/>
        <s v="Bautizo Fca. Alvarado"/>
        <s v="Bautizo Jose Miguel Lekaude"/>
        <s v="Bautizo Josefina Morande"/>
        <s v="Bautizo Maria Jose Prat"/>
        <s v="Colecta Oscar Guarda"/>
        <s v="Misa Yolanda Haase Baeza"/>
        <s v="Matrimonio Juan Pablo Loyola Mellado"/>
        <s v="Misa"/>
        <s v="Bautizo Felipe Hubner"/>
        <s v="Matrimonio Magdalena Herrera R (Valera-Herrera)"/>
        <s v="Colecta Carmen Gloria Rivas Varas"/>
        <s v="Dep. Colecta  Col Cordillera"/>
        <s v="Curso Biblia Sofia Vives Ekdahl"/>
        <s v="Matrimonio Olea Wenke"/>
        <s v="Colecta Hilda Dougnac"/>
        <s v="Colecta Maria Jose Urrutia Cruz"/>
        <s v="Colecta M. Veronica Guarda A"/>
        <s v="Colecta Cristobal Villar Martino"/>
        <s v="Colecta Carlos Ricci Ferrer"/>
        <s v="Colecta Andres Lagos Ch."/>
        <s v="Colecta Marie Christel Felmer"/>
        <s v="Colecta Felipe Yañez"/>
        <s v="Dep. Colecta 20 y 21/03 Col Cordillera"/>
        <s v="Misa pghuidobroe@gmail.com"/>
        <s v="Colecta Cuaresma N.N"/>
        <s v="Colecta Alicia Oyarzun"/>
        <s v="Colecta Mane Jara"/>
        <s v="Pedro Jaime Iriberry Macdonald/ CURSO "/>
        <s v="Curso Biblia Mane Jara"/>
        <s v="Colecta Maria Isabel Grez Armanet"/>
        <s v="Colecta Maria Loreto Valenzuela Arata"/>
        <s v="Colecta Antonia"/>
        <s v="Curso Jorge Larrañaga"/>
        <s v="Colecta Andrea Rolla"/>
        <s v="Bautizo "/>
        <s v="Curso Biblia Reinaldo Bascur Llona"/>
        <s v="Colecta Gonzalo Nieto Valdes"/>
        <s v="Colecta Josefina Vial"/>
        <s v="Colecta Maria Teresa Palma"/>
        <s v="Colecta Roberto Vergara Ossa"/>
        <s v="Colecta luz Maria Galilea Fresno"/>
        <s v="Jorge Manzur Araya / Azul"/>
        <s v="Sandra Rivadeneira Almonacid/Azul"/>
        <s v="Colecta Jaime Lubascher"/>
        <s v="Colecta Rosita Silva"/>
        <s v="Colecta Luis Eduardo Montes M"/>
        <s v="Colecta Maria Del Pilar Rios Dempster"/>
        <s v="Colecta Trinidad Barriga Cruzat"/>
        <s v="Colecta NN"/>
        <s v="Colecta Mercedes Cisternas Perez"/>
        <s v="Rem.V.Arriagada Mar 21"/>
        <s v="Rem.M.Reñasco Mar 21"/>
        <s v="Rem.Katherine Farias Mar 21"/>
        <s v="Rem.R.Valdés Mar 21"/>
        <s v="Rem.P.Rios Oct.Mar 21"/>
        <s v="Nomina Sueldos 30/03/21"/>
        <s v="F.761 Serv. Mar 21"/>
        <s v="Rend.Caja Chica"/>
        <s v="Serv. At. Jardines Feb y Mar"/>
        <s v="Cuaresma Pablo Garcia"/>
        <s v="Colecta Beltran Sergio Larrain Aspillaga"/>
        <s v="Eduardo Calvimontes Candia/azul"/>
        <s v="Aporte Olla Comun P.Sta.Teresa /Capilla SAH Pte.Alto"/>
        <s v="Colecta Coti/Colecta Col. Cordillera"/>
        <s v="Colecta Pamela Alvarado Valenzuela"/>
        <s v="PAC ENEL OFICINA"/>
        <s v="Colecta Jose Luis Bustamante"/>
        <s v="Colecta Claudia Larenas Munita"/>
        <s v="Colecta Jorge Claude"/>
        <s v="Colecta M.del Pilar Bustamante Solar"/>
        <s v="Colecta N.N"/>
        <s v="Colecta Raimundo Sanchez Hanisch"/>
        <s v="Colecta Ricardo Cañas "/>
        <s v="Colecta Juan Pablo Oryan"/>
        <s v="Misa Sonia Schmidt/R. Carrasco"/>
        <s v="Colecta Marcela Nuñez"/>
        <s v="PAC AGUA OFICINA"/>
        <s v="Colecta Juan Carlos Cornejo"/>
        <s v="Colecta Rosa Maria Gutierrez Carvajal"/>
        <s v="Misa Veronica Rojas"/>
        <s v="Colecta Veronica Rojas"/>
        <s v="Colecta Jose Antonio Marin Jordan"/>
        <s v="Colecta Maria Elena De Castro Espinosa/249"/>
        <s v="Colecta Juan Arnaiz"/>
        <s v="Curso Bibila Ana Maria Alvarez Toro"/>
        <s v="Eduardo Calvimontes Candia / azul"/>
        <s v="Misa Andrea Aguilera"/>
        <s v="Colecta Jaime Andres Court Viviani"/>
        <s v="Jaime Andres Court Viviani /249"/>
        <s v="Colecta Maria Catalina Vera Atri"/>
        <s v="Canastas SERVICIOS E INVERSIONES VARIOS SPA"/>
        <s v="Colecta Maria De la Luz Garces Larenas"/>
        <s v="Colecta Giorgo Sertsios"/>
        <s v="Bautizo Isidora Gutierrez"/>
        <s v="Arriendo Abril 2021 Oficina "/>
        <s v="Impto. Ret Adm. Marzo /2021"/>
        <s v="Prevision EE. PSAH"/>
        <s v="Prevision EE. PSAH P. Pedro"/>
        <s v="Misa Christel Felmer Valdivielso"/>
        <s v="Colecta Claudio Jiron"/>
        <s v="Colecta Leonardo Robles Copello"/>
        <s v="Curso Biblia Jose Miguel Carafi Melero"/>
        <s v="Misa Katherine Nicolau"/>
        <s v="Colecta Maria Luz Parodi Gil"/>
        <s v="Colecta Carlos Felix Mackenna Iniguez"/>
        <s v="Colecta Ana Maria Alvarez T"/>
        <s v="Benjamin Herrera Riesco / azul"/>
        <s v="Canastas Ricardo Fernandez"/>
        <s v="Misa DCT"/>
        <s v="Canastas Cristian Jiron"/>
        <s v="Canasta M.Alejandro Valenzuela"/>
        <s v="Canasta Nora Alejandra Aranda"/>
        <s v="Curso Biblia Jorge Larrañaga"/>
        <s v="Colecta Jorge Larrañaga"/>
        <s v="Canasta Carmen Paz Cruz"/>
        <s v="Canastas Monica Charme"/>
        <s v="Canasta Mane Jara"/>
        <s v="Canasta M. Cecilia Laso"/>
        <s v="Canasta Francisco Guimpert"/>
        <s v="Canasta M.Magdalena Antunez"/>
        <s v="Canasta Magdalena Devilat"/>
        <s v="Canasta Marcela Nuñez"/>
        <s v="Canasta Francisco Messina"/>
        <s v="Canasta Blanca Browne"/>
        <s v="María Isabel Grez Armanet/Azul"/>
        <s v="Canasta Cristian Espinosa"/>
        <s v="Colecta Ernesto Hevia"/>
        <s v="Canasta Maria Luisa Rojas Cruz"/>
        <s v="Colecta Maria Luisa Rojas Cruz"/>
        <s v="Canasta Sofia Vives Ekdahl"/>
        <s v="Colecta Marcela Maria Wielandt Necochea"/>
        <s v="PAC ENTEL OFICINA"/>
        <s v="BH26, Hon Marzo /2021 Maria Ines Jara Lama"/>
        <s v="F.384397 por 90 Cajas Servicefood SpA"/>
        <s v="Canasta Pamela Alvarado Valenzuela "/>
        <s v="Canasta Ana Maria Alvarez T"/>
        <s v="Colecta Yolanda Hasse"/>
        <s v="Canasta Yolanda Hasse"/>
        <s v="Yolanda Hasse Baeza /249"/>
        <s v="Canasta Andrés van Wersch Calderón"/>
        <s v="Canasta Hilda Dougnac"/>
        <s v="Colecta M. Gabriela Aequeros E."/>
        <s v="Misa M. De Los Angeles Palma"/>
        <s v="Canasta Maria Garcia"/>
        <s v="Colecta Misas Presencial"/>
        <s v="Colecta Gustavo Irarrazaval"/>
        <s v="Colecta Alexander Stehr"/>
        <s v="Canasta Alejandro Gutierrez"/>
        <s v="Colecta Ana Gloria Awad Yazigi"/>
        <s v="Canasta Maria Teresa Santelices Puelma"/>
        <s v="Colecta Maria Teresa Santelices Puelma"/>
        <s v="Colecta Constanza Illanes"/>
        <s v="Canasta Oscar Guarda"/>
        <s v="Colecta Ingrid Maria Nielsen Galli"/>
        <s v="Canasta Ingrid Maria Nielsen Galli"/>
        <s v="Ingrid Maria Nielsen Galli /azul"/>
        <s v="Colecta Marcio Almeida Dos Santos"/>
        <s v="Colecta Pedro Irureta"/>
        <s v="Canasta Sandra Rivadeneira"/>
        <s v="Canasta Juan Luis Hurtado"/>
        <s v="Canasta Ignacio Ureta Larenas"/>
        <s v="Colecta Karina Rabino"/>
        <s v="Dep. Colecta Col. Cordillera (Coti)"/>
        <s v="Colecta Luis Montes"/>
        <s v="Colecta Luz Maria Almarza B"/>
        <s v="Canasta Jaime Gonzalez fabres"/>
        <s v="Canasta Manuel Uzal C"/>
        <s v="Traspaso Cta. CALI a Adm"/>
        <s v="Colecta Maria Fca. Llona"/>
        <s v="Colecta Carmen Gloria Rios Rivas"/>
        <s v="Canasta Pablo Garcia"/>
        <s v="Curso Biblia Maria Luisa Toso Loyola"/>
        <s v="Canasta Fco. Campos"/>
        <s v="Colecta M. Loreto Naranjo"/>
        <s v="Sebastian Lagos Valdivieso / Azul"/>
        <s v="Canasta Benjamin Andrighetti A."/>
        <s v="Canasta Helena Quiñones F."/>
        <s v="Canasta Carmen Gloria Ovalle"/>
        <s v="Canastas Hugo Rosende "/>
        <s v="Colecta Hugo Rosende "/>
        <s v="Canasta M. Angelica Arancibia Larenas"/>
        <s v="Eduardo Castro De La Barra /249"/>
        <s v="Colecta Col. Cordillera"/>
        <s v="Colecta Marcela Bengoa"/>
        <s v="Canasta Marcela Bengoa"/>
        <s v="María Macarena Besa Prieto/248"/>
        <s v="Colecta Maite Compra Dolares"/>
        <s v="Canasta Francisco Rodriguez B."/>
        <s v="F.769 Serv. Abr.21"/>
        <s v="F.131 32hr. Balance 30/12/20"/>
        <s v="F. por 24 Cajas Pte.Alto "/>
        <s v="Devolucion Sueldo Rafael Valdes Searle"/>
        <s v="BE-157 Rodrigo Vidal Paiva Curso Biblia"/>
        <s v="Colecta Pedro Armando Alvarez Marin"/>
        <s v="Colecta GODOY CAMUS CARLOS IGNACIO"/>
        <s v="Colecta Gustavo Tocornal R-T"/>
        <s v="Canasta M.Soledad Celis Celedón"/>
        <s v="Canastas Jaime Carafí Melero"/>
        <s v="Colecta Maria del Pilar Ríos D."/>
        <s v="Misa Sonia Schmidt / R. Carrasco"/>
        <s v="Colecta Susana Ruiz Tagle Cox"/>
        <s v="Curso Maria Soledad Toso Loyola"/>
        <s v="Canastas Monica Gibson Z."/>
        <s v="Colecta M. Angelica Arancibia Larenas"/>
        <s v="Canasta Carmen Gloria Rivas Varas"/>
        <s v="Misa Carmen Gloria Rivas Varas"/>
        <s v="Canasta Ricardo Fernandez"/>
        <s v="Canastas Carmen Gloria Gomez P"/>
        <s v="Colecta Carmen Gloria Gomez P"/>
        <s v="Canasta Francisco Arteaga Errazuriz"/>
        <s v="Canasta Andrea Rolla"/>
        <s v="Canastas Alejandro Gutierrez"/>
        <s v="Canastas Ignacio Ureta Larenas"/>
        <s v="Colecta Felipe Varela Venegas"/>
        <s v="Dep. Colecta Col. Cordillera"/>
        <s v="Ingrid María Nielsen Galli/Azul "/>
        <s v="Canastas Maria Rosa Masjuan G."/>
        <s v="Colecta Patricio Latapiat H"/>
        <s v="Curso Ana Maria Alvarez Toro"/>
        <s v="Sueldo Rafael Valdes Searle Abril"/>
        <s v="Arriendo Mayo 2021 Claudio Valedez Searle"/>
        <s v="Curso Sofia Vives Ekdahl"/>
        <s v="Bautizo Maria Fca. Lazcano"/>
        <s v="Colecta Fca. Orrego"/>
        <s v="Canasta Cyril Hodgson Larrain"/>
        <s v="Bautizo Maite Larrañaga"/>
        <s v="Colecta Maite Larrañaga"/>
        <s v="Bautizo Maria Jose Blanco Calderon"/>
        <s v="PAC Aguas Cordillera Oficina"/>
        <s v="Canasta Carolina Hernandez Bustos"/>
        <s v="María Teresa Gil Gómez / 249"/>
        <s v="Colecta Maria Veronica Rios D."/>
        <s v="Colecta Maria Jose Blanco Calderon"/>
        <s v="Canasta M. Fca. Rojas G."/>
        <s v="Colecta Gabriela Sousa"/>
        <s v="Colecta Alicia Bahamondes"/>
        <s v="Bautizo Stgo. Paut"/>
        <s v="TGR. Impuesto Boletas"/>
        <s v="TGR. Impuesto Unico"/>
        <s v="TGR Pago Impuestos"/>
        <s v="Prevision P. Pedro"/>
        <s v="PAC Gas Oficina"/>
        <s v="Colecta Ana Maria Awad"/>
        <s v="Canasta Luz Maria Galilea Fresno"/>
        <s v="Canasta Gerardo Del Villar"/>
        <s v="Canasta Sonia Andrea Varas Mujica"/>
        <s v="Canasta DCT"/>
        <s v="Canastas Ana Maria Alvarez T"/>
        <s v="Canastas Juan Muzio Muzio"/>
        <s v="Com. Bco. Chile"/>
        <s v="Colecta Col. Cordillera "/>
        <s v="Canastas Mane Jara"/>
        <s v="Colecta Maria Naranjo"/>
        <s v="Curso Jose Miguel Carafi Melero"/>
        <s v="Canastas Maria Cecilia Laso R"/>
        <s v="PAC VTR"/>
        <s v="Canastas Maria Angelica Arancibia"/>
        <s v="Canastas Raimundo Barros Montaner"/>
        <s v="Bautizo Maria Paz Wiegand Lavin"/>
        <s v="Canastas Marcela Nuñez"/>
        <s v="Canastas DCT ( I. Ureta)"/>
        <s v="Colecta Ximena Suspichatti"/>
        <s v="Canastas N.N."/>
        <s v="Bautizo Maria Jose Gualda"/>
        <s v="BE-27 MARIA INES JARA LAMA HON ABRIL/21"/>
        <s v="F-392392 SERVICEFOOD"/>
        <s v="F-2514 REPARACION PC VERONICA"/>
        <s v="GASTO SANITIZACION BAUTIZO"/>
        <s v="CANASTAS ISABEL TEJEDA VIDELA"/>
        <s v="Colecta Carmen Covarrubias"/>
        <s v="Canastas Maria Cristina Sarasa Corral"/>
        <s v="Canastas DCT (Sebastian Davila)"/>
        <s v="Canastas M. Teresa Zegers Aldunate"/>
        <s v="Maria Del Pilar Ferrer Parrague/248"/>
        <s v="Canastas"/>
        <s v="Canastas Lucia Riesgo Valdes"/>
        <s v="Canastas Jaime Lubascher"/>
        <s v="Canastas Sergio Rodriguez O"/>
        <s v="Canastas Tomas Alcalde H"/>
        <s v="Misa Veronica Arriagada"/>
        <s v="Canastas Raul Lagomarsino"/>
        <s v="Canastas Bernandita Jara"/>
        <s v="Canastas Maria Soledad Toso L"/>
        <s v="Canastas Alicia Bahamondes"/>
        <s v="Canastas Eduardo Calvimontes"/>
        <s v="Canastas Osvaldo Fuenzalida"/>
        <s v="Canastas Jaime Gonzalez Fabre"/>
        <s v="Canastas Trinidad Barriga Cruzat"/>
        <s v="Canastas Patricio Latapiat H"/>
        <s v="Jacqueline Dale / 249"/>
        <s v="Canastas Juan Carlos Cornejo"/>
        <s v="Colecta Juan Rafael Arnaiz"/>
        <s v="Canastas Gonzalo Contardo M"/>
        <s v="Canastas Claudia Riba"/>
        <s v="Canastas Juan Davila M"/>
        <s v="Curso Mane Jara"/>
        <s v="Curso Pedro Iriberry Mc."/>
        <s v="Curso Reinaldo Bascur Llona"/>
        <s v="Canastas Paula Salazar Tello"/>
        <s v="Canastas M. Angelica Arancibia"/>
        <s v="Canastas M. Emilia Caballero"/>
        <s v="Canastas DCT"/>
        <s v="Canastas Francisco Rodriguez B."/>
        <s v="Canastas Jose Maria Rodriguez B."/>
        <s v="F-780 Serv Mayo 2021 Areopago"/>
        <s v="F-393113 Servicefood"/>
        <s v="BE-159 Rodigo Vidal Paiva"/>
        <s v="BE-107 Dorlly Cardenas Lindart"/>
        <s v="BE-108 Eduardo Plaza Rivera"/>
        <s v="Sueldos Mayo 2021"/>
        <s v="Sueldo Pedro Rios Dempster"/>
        <s v="Sueldo Veronica Arriagada Soto"/>
        <s v="Sueldo Maria de los Angeles Renasco Mandiola"/>
        <s v="Sueldo Katherinne Farias Cuevas"/>
        <s v="Sueldo Rafael Valdes Searle"/>
        <s v="Canastas Francisco Guimpert"/>
        <s v="Maria Andrea Muzio C. /249"/>
        <s v="Canastas Maria Fca. Llona"/>
        <s v="Maria Macarena Besa Prieto /248"/>
        <s v="Canastas Pablo Garcia"/>
        <s v="Bautizo"/>
        <s v="Colecta Carmen Monica Barañao Rojas"/>
        <s v="Colecta Cecilia Larrain"/>
        <s v="Colecta Marcelo Galvez"/>
        <s v="Colecta M. del Pilar Bustamante Solar"/>
        <s v="Canastas M. Soledad Celis Celedon"/>
        <s v="Canastas Carmen Mónica Barañao Rojas"/>
        <s v="Colecta Luis Ignacio Marin Jordan"/>
        <s v="Curso Biblia Maria Soledad Toso Loyola"/>
        <s v="Canastas Luis Larenas Vergara"/>
        <s v="Misa Sonia Schmidt"/>
        <s v="Carlos Celis Celedon / Azul"/>
        <s v="Colecta Ingrid Maria Nielsen"/>
        <s v="Canastas Ingrid Maria Nielsen Galli"/>
        <s v="Ingrid Maria Nielsen Galli / Azul"/>
        <s v="Canastas NN"/>
        <s v="Dev. Asignacion Familiar"/>
        <s v="Canastas Francisca Orrego Benavente"/>
        <s v="Canastas Blanco del Prado Fernandez Aguilera"/>
        <s v="Curso Maria Luisa Toso Loyola"/>
        <s v="Paga Ptmo.Fundación San Carlos de Ap. "/>
        <s v="Ana Maria Allende Zañartu / 248"/>
        <s v="Canastas Samuel Barros"/>
        <s v="Arriendo Junio 2021 Claudio Cortes Arriagada"/>
        <s v="Impto.Ret Adm. Mayo /2021"/>
        <s v="Previsión EE.PSAH"/>
        <s v="Previsión P.Pedro"/>
        <s v="Renovacion Zoom"/>
        <s v="Hilda Dougnac Rodriguez / Azul"/>
        <s v="Curso Biblia"/>
        <s v="Maria Cristina Herrera Peralta / 248"/>
        <s v="Canastas Lucia Riesco Valdes"/>
        <s v="Maria Elena de Castro Espinosa / 249"/>
        <s v="Eduardo Calvimontes/ Azul"/>
        <s v="Misa Ximena Suspichiatti"/>
        <s v="Colecta Carlos Barriga A."/>
        <s v="Canastas Tomas Alcalde H."/>
        <s v="Canastas Cyril Hodgson Larrain"/>
        <s v="Colecta Sebastian Lagos V."/>
        <s v="Bautizo Cristian Ananias"/>
        <s v="Canastas Bernardita Arce/M.Ines Valdes"/>
        <s v="Hugo Rosende Alvarez / 249"/>
        <s v="Canastas Maria Luisa Rojas Cruz"/>
        <s v="Canastas Cristian Espinosa"/>
        <s v="Colecta Jose Miguel Perez de Castro Z."/>
        <s v="Canastas Leonardo Robles Copello"/>
        <s v="Canastas Carmen Luz Lecaros I."/>
        <s v="Canastas Ricardo Cañas Cambiaso"/>
        <s v="Misa Carmen Luz Gomez"/>
        <s v="Misa M. Isabel Rodriguez F."/>
        <s v="Canastas Pablo Eyzaguire Ch."/>
        <s v="BE-28 Maria Jara Lama"/>
        <s v="Cuaresma de Fraternidad 2021"/>
        <s v="Rend C/Chica Rafael Valdes Searle"/>
        <s v="BTE-109 Dorlly Cardenas Lindarte"/>
        <s v="Maria de los Angeles Herrera Soler / 249"/>
        <s v="Colecta Maria Virginia Escala"/>
        <s v="Canastas Maria Virginia Escala"/>
        <s v="Canastas Sonia Andrea Varas Mujica"/>
        <s v="Colecta Yolanda Haase Baeza"/>
        <s v="Canastas Yolanda Haase Baeza"/>
        <s v="Colecta Maria Cecilia Bernat"/>
        <s v="Canastas Maria Piedad Guerrero P."/>
        <s v="Canastas Carmen Gloria Ovalle"/>
        <s v="Colecta Rafael Marin Jordan "/>
        <s v="Canastas Francisco Arteaga Errazuriz."/>
        <s v="Canastas Luz Maria Galilea Fresno"/>
        <s v="Canastas Carmen Gloria Rivas Varas"/>
        <s v="Canastas Maria Carolina Rendic L."/>
        <s v="Bautizo Asuncion Echavarri"/>
        <s v="Canastas Jaime Gonzalez Fabres"/>
        <s v="Canastas Maria de la Luz Garces Larenas"/>
        <s v="Maria de la Luz Garces Larenas"/>
        <s v="Canastas Manuel Uzal C"/>
        <s v="Colecta Maria Loreto Valenzuelo Arata"/>
        <s v="Canastas Maria Teresa Santelices Puelma"/>
        <s v="Canastas Carolina Hernandez Bustos"/>
        <s v="Canastas Keryma Felmer Echeverria"/>
        <s v="Canastas Constanza Illanes"/>
        <s v="Colecta Alicia Vial Gomez"/>
        <s v="Canastas Jaime Carafi Melero"/>
        <s v="Transferencia ERROR Francisco Guimpert"/>
        <s v="F-787 Serv. Jun.21 -ND75 Aeropago"/>
        <s v="F-397077 Servicefood SpA"/>
        <s v="Devolucion Error Transferencia Francisco Guimpert C."/>
        <s v="Sueldos Junio 2021"/>
        <s v="Colecta Mariana Sandoya Salvetto"/>
        <s v="Eduardo Castro de la Barra / 249"/>
        <s v="Jaime Andres Court Viviani / 249"/>
        <s v="Devolucion Error En Transferencia"/>
        <s v="Canastas María Virginia Fernández Oyarzún"/>
        <s v="Canasta Alivia Oyarzun Saldias"/>
        <s v="Canastas Jaime Carafi/ Memoria Sra, Silvia"/>
        <s v="Colecta Maria Gloria Urrutia Cruz"/>
        <s v="Misa Vesna Vukic"/>
        <s v="Misa Rodrigo Carrasco"/>
        <s v="Bautizo Montserrat Lemus M."/>
        <s v="Canasta Lucia Riesco Valdes"/>
        <s v="I. Ureta / 248 "/>
        <s v="Ana María Allende Zañartu/ 248"/>
        <s v="Canastas Hilda Dougnac"/>
        <s v="Colecta Sara Concha G."/>
        <s v="Pamela Daniels Sanchez/ Azul"/>
        <s v="Colecta M. Teresa Zegers Aldunate"/>
        <s v="Maria Teresa Gil Gomez / 249"/>
        <s v="Ana Maria Reyes Garin / 248"/>
        <s v="Maria Cristina Herrera Peralta /248"/>
        <s v="Claudio Cortes Arriagada Arriendo Julio 2021"/>
        <s v="Impto.Ret Adm. Junio /2021"/>
        <s v="Canastas Guido Albornoz Gomez"/>
        <s v="Colecta Maria del Pilar Rios D."/>
        <s v="Bautizo Francisco Cood Ferrer"/>
        <s v="Misa Isabel Grez"/>
        <s v="Canastas Sofia Vives Ekdahl"/>
        <s v="Colecta Tomas Arsenio Alcalde Herrera"/>
        <s v="Canastas Veronica Aurora Ballician Astorga"/>
        <s v="Be-29 Maria Ines Jara Lama Junio/2021"/>
        <s v="Be-4 Diseño Web"/>
        <s v="BTe-110 Gastos Dorlly Cardenas Lindarte"/>
        <s v="Rend. Caja Chica Abr-Jul Veronica Arriagada Soto"/>
        <s v="Devolucion Transf. Fco Guimpert"/>
        <s v="Rend. Compra seguro Covid EE."/>
        <s v="PAC ADT OFICINA"/>
        <s v="Bautizo Anne Marie Dufeau"/>
        <s v="Bautizo Paul Weinreich Bermeosolo"/>
        <s v="Bautizo Pablo Fuentes"/>
        <s v="Colecta Mercado Pago"/>
        <s v="PAC ASEGURADORA POR VENIR"/>
        <s v="Colecta Constanza Fonseca E"/>
        <s v="Colecta Jose Miguel Perez de Castro Z"/>
        <s v="Colecta Mariz Loreto Valenzuela Arata"/>
        <s v="Dep. Colecta Col. Cordillera "/>
        <s v="Bautizo Nicolas Aspillaga Pumarino"/>
        <s v="Misa Maria Corte"/>
        <s v="Bautizo Andres Ignacio Kanacri Carafi"/>
        <s v="Bautizo Gonzalo Laborde Correa"/>
        <s v="F.799 Serv. Julio21"/>
        <s v="Compra 96 Cajas Servicefood SpA"/>
        <s v="BE-270 Cristian Moral Caroca"/>
        <s v="Capellania 4 Misas Jul/21 Sebastianus Go"/>
        <s v="Dev. Error en pago Curso Biblia"/>
        <s v="BTE-111 Dorlly Cardenas Lindarte"/>
        <s v="BTE-112 Eduardo Plaza Rivera"/>
        <s v="Sueldos Julio 2021"/>
        <s v="Dia del Niño Mané Jara"/>
        <s v="Dia del Niño Marcela Nuñez"/>
        <s v="Dia del Niño Maria Rebeca Antunez"/>
        <s v="Dia del Niño Rodrigo Duran"/>
        <s v="Fernando Arcuch Salum /Azul "/>
        <s v="Dia del Niño Karina Rabino"/>
        <s v="Dia del Niño Carmen Gloria Ovalle"/>
        <s v="Bautizo Maria Pia Cubillos Guzman"/>
        <s v="Colecta Pilar Bustamante"/>
        <s v="Colecta Silvia Villegas"/>
        <s v="Canastas M.Soledad Celis Celedón"/>
        <s v="Colecta Maria Macarena Besa Prieto"/>
        <s v="María de los Ángeles Herrera Soler/249"/>
        <s v="Canasta Juan Muzio Muzio"/>
        <s v="Colecta Rafael Cañas Cambiaso"/>
        <s v="Dia del Niño Maria Angelica Arancibia"/>
        <s v="María Asunción Lavín Infante/249"/>
        <s v="Canastas Sandra Rivadeneira"/>
        <s v="Colecta Andres Delpiano Barros"/>
        <s v="Misa Elena Calvo Alessandri"/>
        <s v="Dia del Niño Sofia Vives Ekdahl"/>
        <s v="Misa Rodrigo Carrasco "/>
        <s v="Bautizo Anne Marie Duffeu"/>
        <s v="Dia del Niño NN"/>
        <s v="Dev.Asignación Familiar"/>
        <s v="Dia del Niño Maria Garcia"/>
        <s v="Dia del Niño Carmen Lecaros l."/>
        <s v="Colecta Felipe Hargous"/>
        <s v="Colectas SERVICIOS E INVERSIONES VARIOS SPA"/>
        <s v="Dia del Niño SERVICIOS E INVERSIONES VARIOS SPA"/>
        <s v="Dia del Niño Elena Calvo Alessandri"/>
        <s v="Dia del Niño Pablo Garcia"/>
        <s v="Dia del Niño Cristobal Nanning Buzeta"/>
        <s v="Paulina Inés Olea de la Cerda/248"/>
        <s v="Dia del Niño Eduardo Calvimontes"/>
        <s v="Colecta Ingrid María Nielsen Galli"/>
        <s v="Canastas Ingrid María Nielsen Galli"/>
        <s v="Dia del Niño Carmen Barañao"/>
        <s v="Dia del Niño Sonia Andrea Varas Mujica"/>
        <s v="Claudio Cortes Arriagada Arriendo Agosto 2021"/>
        <s v="Impto.Ret Adm. Julio/2021"/>
        <s v="Becas Francisco Guimpert Corvalan"/>
        <s v="Dia del Niño Francisco Guimpert Corvalan"/>
        <s v="Dia del Niño Oscar Guarda"/>
        <s v="Colecta POS"/>
        <s v="Marcio Almeida Dos Santos / Azul"/>
        <s v="Bautizo Andres Kanacri"/>
        <s v="Colecta Col.Cordillera"/>
        <s v="Dia del Niño Juan Muzio Muzio"/>
        <s v="María Cristina Herrera Peralta/248"/>
        <s v="Dia del Niño Maria Teresa Lily Santelices Puelma"/>
        <s v="Eduardo Andrés León Rojas / Azul"/>
        <s v="Curso Vivian Edith Araya Jofre"/>
        <s v="Colecta Ana Gloria Awad Yazigi "/>
        <s v="Colecta Veronica Villegas"/>
        <s v="Don.Efectivo Pastoral Social LIDER"/>
        <s v="Dia del Niño Maite Larrañaga"/>
        <s v="Dia del Niño Cyril Hodgson Larrain"/>
        <s v="Dia del Niño Renato Flores"/>
        <s v="Misa Clemencia Perez"/>
        <s v="BE-30 MARIA INES JARA LAMAS  "/>
        <s v="BTE-113 SERV SANITIZACION BAUTI"/>
        <s v="BE-8 RAIMUNDO RODRIGUEZ POZO"/>
        <s v="BE-160 RODRIGO VIDAL PAIVA"/>
        <s v="Rend. Compra webcam Veronica Arriagada Soto"/>
        <s v="Rend. Caja Impr.Volantes Rafael Valdes Searle"/>
        <s v="Capellania 6 Misas Ago/21 Sebastianus Go"/>
        <s v="Capellania 1 Misa Ago/21 Congregacion Legionarios de Chile"/>
        <s v="Capellania 4 Misas Ago/21 Cesar Augusto Fernandez"/>
        <s v="Capellania 1 Misa Ago/21 Fernando Herrera Nava"/>
        <s v="Capellania 1 Misa Ago/21 Felipe Izquierdo Ibañez"/>
        <s v="Capellania 3 Misas Ago/21 Carlos Hernan Garces Voisenat"/>
        <s v="Capellania 1 Misa Ago/21 Gabriel Barcena"/>
        <s v="Dia del Niño Marcela Ferreiro C."/>
        <s v="Colecta Maria del Pilar Bustamante"/>
        <s v="Matrimonio POS"/>
        <s v="Bautizo Isidora Harz"/>
        <s v="Bautizo Ignacio Concha Arrau"/>
        <s v="Rend.Gastos Día del Niño Past. Social"/>
        <s v="Dev.Beca pag.F.Guimpert el 05/08"/>
        <s v="Bautizo Nicolas Ortega"/>
        <s v="Bautizo POS"/>
        <s v="Bautizo Jose Antonio Fighetti Beas"/>
        <s v="Bautizo Maria Francisca Concha Arrau"/>
        <s v="Servicefood SpA"/>
        <s v="Capellania 8 Misas Jul/21"/>
        <s v="Capellania 6 Misas Ago/21"/>
        <s v="Capellania 1 Misa Ago/21"/>
        <s v="Capellania 3 Misas Ago/21"/>
        <s v="Capellania 2 Misa Ago/21"/>
        <s v="BTE-114 DORLLY CLARET CARDENAS LINDARTE"/>
        <s v="SUELDO M. De los Angeles Renasco Mandiola"/>
        <s v="Ana María Alvarez Toro  / Azul"/>
        <s v="Colecta Arnaldo Gorziglia Balbi"/>
        <s v="Colecta Marcela Rebeca Pinto Zepeda"/>
        <s v="Colecta Carlos Gerardo Anwandter Grallert"/>
        <s v="Colecta Carlos Contardo M"/>
        <s v="Colecta Fca. Orrego "/>
        <s v="Colecta Gastón Novoa Dapelo"/>
        <s v="Colecta Alvaro Lavin Cruz"/>
        <s v="PAC AGUAS ANDINAS"/>
        <s v="Mario Melo / Azul"/>
        <s v="Arriendo Septiembre 2021 Claudio Cortes Arriagada"/>
        <s v="Rend.Caja Chica Abr-Jul"/>
        <s v="Gastos Pastoral Social"/>
        <s v="Bautizo Juan Andres Baracatt Vicente"/>
        <s v="Colecta Alejandro Gutierrez"/>
        <s v="Mario Melo /Azul"/>
        <s v="Colecta Nancy Valenzuela"/>
        <s v="Colecta Jaime Valdes D."/>
        <s v="Colecta Patricia Andres Lorca Koch"/>
        <s v="Colecta Claudia Ximena Peredo"/>
        <s v="Colecta Eduardo Calvimontes"/>
        <s v="CARGO POS"/>
        <s v="Bautizo Catalina Loreto Gonzalez Perez"/>
        <s v="Colecta Of. Y Rezagado UC"/>
        <s v="Chanchitos Mes de la Solidaridad"/>
        <s v="Keryma Felmer Echeverria / 249(Jul)"/>
        <s v="Keryma Felmer Echeverria / 249(Ago)"/>
        <s v="Keryma Felmer Echeverria / 249(Set)"/>
        <s v="Bautizo Rodrigo Barros"/>
        <s v="Misa Anita M. Alvarez"/>
        <s v="BE-31 MARIA INES JARA LAMA"/>
        <s v="BTE-113 DORLLY CARDENAS LINDARTE"/>
        <s v="BE-10 RAIMUNDO RODRIGUEZ POZO"/>
        <s v="Rend. Gtos.Aniversario Campamento"/>
        <s v="Capellania 2 Misas Sebastianus GO"/>
        <s v="Capellania 2 Misas Cesar Augusto Fernandez"/>
        <s v="Capellania 1 Misas Carlos Hernan Garces Voisenat"/>
        <s v="Capellania 3 Misas Gabriel Barcena"/>
        <s v="Misa M. de los Angeles Morrison"/>
        <s v="Colecta Pablo Irarrazaval"/>
        <s v="Colecta Andres de la Barra Correa"/>
        <s v="Bautizo Maria Sofia Grob"/>
        <s v="Marina Espinosa Pérez / 249"/>
        <s v="Melania Espinosa Pérez / 249"/>
        <s v="Patricia Romero Espinosa / 249"/>
        <s v="Bautizo Maria del Rosario Carafi"/>
        <s v="Colecta Paula Fernandez "/>
        <s v="Bautizo Jhonny Alexander Quintero Diaz"/>
        <s v="F.825 Serv. Set.21 Areopago Comunicaciones"/>
        <s v="Compra 96 Cajas Winkler Ltda."/>
        <s v="BTE-115 DORLLY CARDENAS LINDARTE"/>
        <s v="BTE-117 EDUARDO PLAZA RIVERA"/>
        <s v="Remuneraciones Pedro Rios Dempster"/>
        <s v="Remuneraciones Veronica Arriagada Soto"/>
        <s v="Remuneraciones M.de los Angeles Renasco Mandiola"/>
        <s v="Remuneraciones Katherinne Farias Cuevas"/>
        <s v="Remuneraciones Rafael Valdes Searle"/>
        <s v="Colecta Juana Jazmin Hevia"/>
        <s v="Nicolás Gajardo Retamal  / Azul"/>
        <s v="Bautizo Magdalena Toro Carafí"/>
        <s v="Colecta Jorge Claude Bourdel"/>
        <s v="POS"/>
        <s v="Colecta Maria Car Rios Ramirez"/>
        <s v="Colecta Raul Lagomarsino"/>
        <s v="BE-161 Curso Biblia Rodrigo Vidal"/>
        <s v="Keryma Felmer Echeverria / 249"/>
        <s v="Colecta Pablo Irarrázaval Mena"/>
        <s v="Colecta Francisca Orrego Benavente"/>
        <s v="Matrimonio"/>
        <s v="Colecta Col.Cordillera y Cumbres"/>
        <s v="Arriendo Octubre 2021 Claudio Cortes Arriagada"/>
        <s v="Gastos Celebraciones Andrea Varas Mujica"/>
        <s v="Hostias OC 041021"/>
        <s v="Impto.Ret Adm. Septiembre/2021"/>
        <s v="Bautizo Camila Del Pilar Ramirez Gundelach"/>
        <s v="Colecta Maria Elena de Castro Espinosa"/>
        <s v="Misa Carmen Gloria Rivas V."/>
        <s v="Bautizo Sebastian Mobarec Katunaric"/>
        <s v="BE-32 MARIA INES JARA LAMA"/>
        <s v="BTE-118 DORLLY CARDENAS LINDARTE"/>
        <s v="BE-11 RAIMUNDO RODRIGUEZ POZO"/>
        <s v="F.769 Exp.Matrim. (200)"/>
        <s v="Bautizo Fadyle Abulias Segovia"/>
        <s v="Bautizo Gonzalo Miguel Aguilera Moya"/>
        <s v="Colecta Eduardo Cristian Sanchez Vicuña"/>
        <s v="Colecta JAVE"/>
        <s v="Bautizo Raffaela Corte Antonelli"/>
        <s v="Bautizo Mariana Garcia Schmidt"/>
        <s v="Bautizo M. Paz Ramos Polanco"/>
        <s v="F.837 Serv. Oct.21"/>
        <s v="Compra Batería Notebook Adm"/>
        <s v="Capellanía Diácono Octubre/21"/>
        <s v="Aporte Bautizos Oct. Col.Cumbres"/>
        <s v="Capellanía 2 Misas Oct.21"/>
        <s v="Capellanía 3 Misas Oct.22"/>
        <s v="BTE 120 DORLLY CLARET CARDENAS LINDARTE"/>
        <s v="BTE 119 EDUARDO ENRIQUE PLAZA RIVERA"/>
        <s v="Colecta María Car Ríos Ramirez"/>
        <s v="Colecta"/>
        <s v="Colecta Maria Del Pilar Ferrer Parrague"/>
        <s v="Patricia Honorato Valdés ($10000) /249"/>
        <s v="Colecta Cyril Hodgson Larraín"/>
        <s v="Francisca Orrego Benavente / 249"/>
        <s v="Arriendo Noviembre 2021 Claudio Cortes Arriagada"/>
        <s v="Rend. Gastos Impresos Mes de María"/>
        <s v="F.154  Balance Febrero y Marzo 2021"/>
        <s v="F.63 Mantención Sistema Riego Jardines"/>
        <s v="Donacion Bautizo"/>
        <s v="Impto.Ret Adm. Octubre/2021"/>
        <s v="Caja Navidad Maria Josefina Jofre M"/>
        <s v="Caja Navidad Macarena"/>
        <s v="Caja Navidad Florencia Gutierrez"/>
        <s v="Caja Navidad Luz Galilea"/>
        <s v="Caja Navidad Cristian Alvara"/>
        <s v="Caja Navidad M. Rosario Valenzuela"/>
        <s v="Caja Navidad Alejandro Gutierrez"/>
        <s v="Ricardo Fernández Oyarzún / 249"/>
        <s v="Caja Navidad POS"/>
        <s v="Caja Navidad Ignacio Cisternas"/>
        <s v="Sonia Andrea Varas Mujica/249 (Jun)"/>
        <s v="Caja Navidad Juan Puga"/>
        <s v="Caja Navidad Juan Carlos Cornejo"/>
        <s v="Caja Navidad Carmen Gloria"/>
        <s v="Bautizo Daniela Constanza Thomsen Cornejo"/>
        <s v="Caja Navidad Francisca Santiago Livesey"/>
        <s v="Caja Navidad Cecilia Lilian Capujto Plaza"/>
        <s v="Caja Navidad Lorena Isabel Hirmas Adams"/>
        <s v="Caja Navidad Catalina Patricia Rodriguez Merino"/>
        <s v="Caja Navidad Ana Maria Toro Irarrazaval"/>
        <s v="Caja Chica POS"/>
        <s v="Caja Navidad Maria Francisca Stranger"/>
        <s v="Bautiizo Veronica Burnier"/>
        <s v="Bautizo Rodrigo Arrieta"/>
        <s v="Caja Navidad J.P.O´Ryan"/>
        <s v="Caja Navidad Maria Angelica Brautigam Perez-villamil"/>
        <s v="Misa Carmen Gloria Gomez Perez"/>
        <s v="Caja Navidad Jaime Carafi Melero"/>
        <s v="Colecta Jaime Carafi Melero"/>
        <s v="María Sofía Wulf Le May ($50.000)"/>
        <s v="Maria Carolina Reyes Detmer ($17000)"/>
        <s v="Caja Navidad Catalina Rodriguez Merino"/>
        <s v="Bautizo Francisco Sanhueza Prats"/>
        <s v="Caja Navidad Maria Madrid"/>
        <s v="Carolina Jacir Manterola ($30000)"/>
        <s v="Caja Navidad Lorena Barria"/>
        <s v="Bautizo Gustavo Pozo"/>
        <s v="Caja Navidad Claudia Aguirre"/>
        <s v="Caja Navidad Jaime Fco. Gonzalez F"/>
        <s v="Caja Navidad Ana"/>
        <s v="Caja Navidad Maria Vicuña"/>
        <s v="Caja Navidad Rodrigo Urzua"/>
        <s v="Caja Navidad Ricardo Fernandez Oyarzun"/>
        <s v="Caja Navidad Maria del Pilar Fernandez Larrain"/>
        <s v="Caja Navidad Cristian Mir B"/>
        <s v="Caja Navidad Rosario Joannon Grez"/>
        <s v="Bautizo Fiametta Bonati"/>
        <s v="Caja Navidad Horacio Canessa Zapico"/>
        <s v="Misa Horacio Canessa Zapico"/>
        <s v="Rita Vasquez Godoy ($10000)"/>
        <s v="Maria Paz Rauch Varas ($15000)"/>
        <s v="Matrimonio José Pedro Laso (Post. Argollas)"/>
        <s v="Matrimonio Alejandro Perez"/>
        <s v="BE-33 Maria Ines Jara Lama"/>
        <s v="BTE-121 Dorlly Cardenas Lindarte"/>
        <s v="BE-13 Raimunod Rodriguez Pozo"/>
        <s v="Monasterio Del Carmen de San José"/>
        <s v="Veronica Arriagada Soto"/>
        <s v="Caja Navidad Maria Carolina Irarrazabal"/>
        <s v="Caja Navidad Maria Veronica Tamayo"/>
        <s v="Caja Navidad DCT"/>
        <s v="María Olga Rodríguez Olivos ($10000)"/>
        <s v="No identificada"/>
        <s v="Caja Navidad Karina Fortin"/>
        <s v="Caja Navidad Carla Ghigliotto"/>
        <s v="Caja Navidad Jorge Ayala Marfil"/>
        <s v="Caja Navidad Patricia Maria Bordeu Plate"/>
        <s v="Caja Navidad Consuelo Saez"/>
        <s v="Caja Navidad Andrea Rossana de Pol Martin"/>
        <s v="Caja Navidad Raimundo Andres Barros Montaner"/>
        <s v="Caja Navidad Rafael Andres Marin"/>
        <s v="Colecta Maria Luisa Vial"/>
        <s v="Caja Navidad Macarena Tagle"/>
        <s v="Caja Navidad Pedro Alvarez"/>
        <s v="Caja Navidad Adiana del Carmen Charles Heufemann"/>
        <s v="Caja Navidad Gonzalo Nazar Miranda"/>
        <s v="Caja Navidad Erica Salvaj"/>
        <s v="Caja Navidad Maria Fca. Celis"/>
        <s v="Caja Navidad Maria Fca. Guillen"/>
        <s v="Caja Navidad Maria Teresa Gil Gomez"/>
        <s v="Maria Rebeca Perez Ferrada($30000)"/>
        <s v="Caja Navidad Iñigo Diaz Cuevas"/>
        <s v="Caja Navidad Olga Emperatriz Salinas Burgos"/>
        <s v="Caja Navidad Hector Cristian Canevaro Jaramillo"/>
        <s v="Caja Navidad Daniela Ryan"/>
        <s v="Matrimonio Carmen Gloria Gutierrez"/>
        <s v="Bautizo Varios"/>
        <s v="Caja Navidad Yolanda Haase Baeza"/>
        <s v="Caja Navidad PAC Porvenir"/>
        <s v="Caja Navidad Sergio Daniel Barreiro Teigido"/>
        <s v="Bautizo Felipe Andres Serey"/>
        <s v="Caja Navidad Carolina Javiera Cepeda Cubillos"/>
        <s v="Bautizo Carlos Eduardo Binder Echevarria"/>
        <s v="Caja Navidad Magdalena"/>
        <s v="Caja Navidad Carolina del Valle"/>
        <s v="Caja Navidad Francesca"/>
        <s v="Caja Navidad Pedro Macaya Barrera"/>
        <s v="Caja Navidad Carolina Alejandr Cesped"/>
        <s v="Bautizo Carolina Baraona Arteaga"/>
        <s v="Caja Navidad Jose Miguel Carafi"/>
        <s v="Caja Navidad Dep. Oficina"/>
        <s v="Caja Navidad Cristian Espinosa"/>
        <s v="F.848 Serv. Nov.21"/>
        <s v="Compra Volantes CNH"/>
        <s v="Capellanía Noviembre"/>
        <s v="Capellania 2 Misas Nov/21"/>
        <s v="F.155 del 27/10/21"/>
        <s v="BTE-122 DORLLY CLARET CARDENAS LINDARTE"/>
        <s v="BTE-123 EDUARDO ENRIQUE PLAZA RIVERA"/>
        <s v="Caja Navidad Ingrid Zaghira"/>
        <s v="Caja Navidad Maria Cristina Ide"/>
        <s v="Bautizo Magdalena Brahn Smart"/>
        <s v="Caja Navidad Sergio Rodriguez Oro"/>
        <s v="Caja Navidad Soledad Celis"/>
        <s v="Reclasifica y reduce provision "/>
        <s v="Caja Navidad Maria Victoria Matassi"/>
        <s v="Bautizo Maria Jesus Lamarca"/>
        <s v="Bautizo Magdalena Szederkenyl"/>
        <s v="Caja Navidad Cyril Hodgson Larrain"/>
        <s v="Caja Navidad Paola Honorato"/>
        <s v="Caja Navidad Javiera Carreño"/>
        <s v="Caja Navidad Constanza Venegas"/>
        <s v="Caja Navidad Juan Muzio Muzio"/>
        <s v="Caja Navidad Javiera Teresa Carreno Rojas"/>
        <s v="Colecta Capilla U.de Los Andes (Nov.21)"/>
        <s v="Caja Navidad Valentina Paz Gaete Momberg"/>
        <s v="Caja Navidad Juan Pablo Albornoz"/>
        <s v="Caja Navidad Tomas Alcalde Herrera"/>
        <s v="Caja Navidad Eduardo Andres Herrera Ahlers"/>
        <s v="Caja Navidad Blanca Caprioli"/>
        <s v="Caja Navidad Eduardo Calvimontes"/>
        <s v="Colecta Patricia Lorca"/>
        <s v="Bautizo María del Pilar Otaegui "/>
        <s v="Caja Navidad Rita Vasquez Godoy"/>
        <s v="Caja Navidad Rita Barría Vasquez"/>
        <s v="Caja Navidad Sofia de Leon"/>
        <s v="Caja Navidad Patricia Lorca"/>
        <s v="Caja Navidad Ernesto Hevia"/>
        <s v="Juan Pablo Guzmán Bauzá ($30000)"/>
        <s v="Caja Navidad Jurgen Grollmus"/>
        <s v="Curso Biblia Vivian Edith Araya Jofré"/>
        <s v="Caja Navidad Sofia Vives Ekdahl"/>
        <s v="Caja Navidad Andrea De Pol"/>
        <s v="Caja Navidad Maria"/>
        <s v="Caja Navidad Jorge Garnham M"/>
        <s v="Ana María Toro Irarrázaval / Azul"/>
        <s v="Daniel Campos S. ($8.000)"/>
        <s v="Claudio Cortes Arriagada Arriendo Noviembre 2021"/>
        <s v="Impto.Ret Adm. Noviembre/2021"/>
        <s v="Caja Navidad Elenna Ines Jordan"/>
        <s v="Jaime Andrés Court Viviani /249"/>
        <s v="Curso María Soledad Toso Loyola"/>
        <s v="Maria Jose Urrutia Cruz"/>
        <s v="Caja Navidad Maria Fca. Llona"/>
        <s v="Caja Navidad Macarena Del Real Squella"/>
        <s v="Caja Navidad Carmen Gloria Rios Rivas"/>
        <s v="Caja Navidad Karla Andrea Benavides Barreau"/>
        <s v="Caja Navidad Maria Macarena Sotomayor Valenzuela"/>
        <s v="Bautizo Catalina Venegas"/>
        <s v="Caja Navidad Roberto Lecaros Price"/>
        <s v="Dep. Oficiina"/>
        <s v="Misa Catalina Gana"/>
        <s v="Misa Macarena Del Real Squella"/>
        <s v="Colecta Maria Beatriz Eliana Tobar Cuadra"/>
        <s v="Caja Navidad Maria Beatriz Eliana Tobar Cuadra"/>
        <s v="Colecta Keryma Andrea Felmer Echeverria"/>
        <s v="Rita Vasquez Godoy ($10000) /249"/>
        <s v="Maria Carolina Reyes Detmer ($17000) /249"/>
        <s v="María Olga Rodríguez Olivos ($10000) /249"/>
        <s v="María Sofía Wulf Le May ($50.000) /249"/>
        <s v="Caja Navidad Bernardita Veronica Rodriguez "/>
        <s v="Bautizo Maria Ignacia Faz"/>
        <s v="BE-34 Maria Ines Jara Lama"/>
        <s v="BTE-124 DORLLY CLARET CARDENAS LINDARTE"/>
        <s v="BE-15 RAIMUNDO RODRIGUEZ POZO"/>
        <s v="F.157 del 15/12/21"/>
        <s v="Compra NB Lenovo S145C13/4G"/>
        <s v="Anticipo Miguel Angel Yañes Reparacion Ptas.Casa Pastoral"/>
        <s v="Caja Navidad Daniela Elena Schmidt-hebbel Busch"/>
        <s v="Colecta Jose Manuel Poblete Vicuna"/>
        <s v="Caja Navidad Blanca Josefina Browne Puga"/>
        <s v="Caja Navidad Maria Teresa Lily Santelices Puelma"/>
        <s v="Caja Navidad Carmen Gloria Gomez Perez"/>
        <s v="Matrimonio Francisco Javier Albornoz Cruz"/>
        <s v="Curso Carmen Gloria Rios Rivas"/>
        <s v="Caja Navidad Juan Carlos Cornejo (Dep .error CNH) "/>
        <s v="Caja Navidad Andrea Paulina Leon Gonzalez"/>
        <s v="Colecta Carolina Guridi Gubbins"/>
        <s v="Colecta Carmen Gloria Ríos Rivas"/>
        <s v="Compra Afiches e Impresos"/>
        <s v="449 CNH C.Navia,Pte.Alto Las Cabras"/>
        <s v="Donación para Cenas de Navidad"/>
        <s v="Donación excedentes CNH 2021"/>
        <s v="Bte.125 Miguel Angel Yañez Millán"/>
        <s v="Sociedad Alvarez Fact. 480, Aseo Misa Navidad"/>
        <s v="Anticipo Serv.Aseo Misa Navidad, Spcoedad Alvarez Fact. 480"/>
        <s v="BH163 Instalacion Citofono y Enchufes"/>
        <s v="Patricio Walker Cruchaga / Azul"/>
        <s v="F.9364; Entradas Misa Navidad"/>
        <s v="Colecta Fernando Leon"/>
        <s v="Colecta Jose Binimelis De Dios"/>
        <s v="Coelcta Jorge Claude Bourdel"/>
        <s v="Magdalena Fernández. ($20.000)"/>
        <s v="Colecta Pablo Ignacio Garcia Prieto"/>
        <s v="Colecta Misa de Navidad 24/12/2021"/>
        <s v="Colecta Alejandra Bañados"/>
        <s v="F.861 Serv. Dic.21"/>
        <s v="Capellanía Diciembre"/>
        <s v="BTE-126 DORLLY CLARET CARDENAS LINDARTE"/>
        <s v="Be 160 Rodrigo Vidal Paiva Curso Biblia"/>
        <s v="BTE 127 Eduardo Plaza"/>
        <s v="Pago 3 Cancheros Estadio(BH Leonardo Vera b350)"/>
        <s v="Saldo F.480 Aseo (-Anticipo 23/12)"/>
        <s v="Error Nómina en Dorlly Cárdenas"/>
        <s v="F.1277 (Flete Tarima Misa Navidad)"/>
        <s v="BE-137 ALEXIS JOAQUIN GAETE MARCOLETA "/>
        <s v="Mudanza OficinaC.Litoria a La Posada"/>
        <s v="Rendición Gastos Misa Navidad"/>
        <s v="Caja Navidad Carlos Alberto Fonck Limann"/>
        <s v="Ajustes Menores"/>
        <s v="Provisión Honorarios Contabilidad Octubre - Diciembre"/>
        <s v="Reg. Dif. Fundación"/>
        <s v="Provisión Misa Navidad"/>
        <s v="Provisión Pastoral Social"/>
        <s v="Provisión Curso Biblia"/>
        <n v="0"/>
      </sharedItems>
    </cacheField>
    <cacheField name="C. Costo" numFmtId="0">
      <sharedItems containsBlank="1"/>
    </cacheField>
    <cacheField name="RUT Proveedor" numFmtId="0">
      <sharedItems containsNonDate="0" containsString="0" containsBlank="1"/>
    </cacheField>
    <cacheField name="Nombre Proveedor" numFmtId="0">
      <sharedItems containsNonDate="0" containsString="0" containsBlank="1"/>
    </cacheField>
    <cacheField name="N° Factura" numFmtId="0">
      <sharedItems containsNonDate="0" containsString="0" containsBlank="1"/>
    </cacheField>
    <cacheField name="Det. Servicio" numFmtId="0">
      <sharedItems containsNonDate="0" containsString="0" containsBlank="1"/>
    </cacheField>
    <cacheField name="Detalle" numFmtId="0">
      <sharedItems containsBlank="1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SAH" refreshedDate="44594.475301041668" createdVersion="7" refreshedVersion="7" minRefreshableVersion="3" recordCount="10802" xr:uid="{00000000-000A-0000-FFFF-FFFF03000000}">
  <cacheSource type="worksheet">
    <worksheetSource ref="A1:I1048576" sheet="Diario Cali"/>
  </cacheSource>
  <cacheFields count="9">
    <cacheField name="Fecha" numFmtId="0">
      <sharedItems containsNonDate="0" containsDate="1" containsString="0" containsBlank="1" minDate="2021-01-01T00:00:00" maxDate="2022-01-01T00:00:00"/>
    </cacheField>
    <cacheField name="Mes" numFmtId="0">
      <sharedItems containsString="0" containsBlank="1" containsNumber="1" containsInteger="1" minValue="0" maxValue="12" count="14">
        <n v="1"/>
        <m/>
        <n v="2"/>
        <n v="3"/>
        <n v="4"/>
        <n v="5"/>
        <n v="6"/>
        <n v="7"/>
        <n v="8"/>
        <n v="9"/>
        <n v="10"/>
        <n v="11"/>
        <n v="12"/>
        <n v="0" u="1"/>
      </sharedItems>
    </cacheField>
    <cacheField name="Código" numFmtId="0">
      <sharedItems containsString="0" containsBlank="1" containsNumber="1" containsInteger="1" minValue="113" maxValue="9999" count="77">
        <n v="115"/>
        <n v="116"/>
        <n v="118"/>
        <n v="119"/>
        <n v="1130"/>
        <n v="1218"/>
        <n v="133"/>
        <n v="135"/>
        <n v="136"/>
        <n v="1361"/>
        <n v="1362"/>
        <n v="137"/>
        <n v="138"/>
        <n v="141"/>
        <n v="201"/>
        <n v="202"/>
        <n v="203"/>
        <n v="204"/>
        <n v="210"/>
        <n v="216"/>
        <n v="217"/>
        <n v="301"/>
        <n v="310"/>
        <m/>
        <n v="4130"/>
        <n v="1222"/>
        <n v="3210"/>
        <n v="1217"/>
        <n v="4171"/>
        <n v="1216"/>
        <n v="4150"/>
        <n v="4170"/>
        <n v="3620"/>
        <n v="3621"/>
        <n v="3630"/>
        <n v="3631"/>
        <n v="3640"/>
        <n v="3641"/>
        <n v="4120"/>
        <n v="4140"/>
        <n v="4110"/>
        <n v="3610"/>
        <n v="3611"/>
        <n v="4160"/>
        <n v="1219"/>
        <n v="1220"/>
        <n v="125"/>
        <n v="6002"/>
        <n v="228"/>
        <n v="4331"/>
        <n v="227"/>
        <n v="117"/>
        <n v="205"/>
        <n v="113"/>
        <n v="233"/>
        <n v="4222"/>
        <n v="7001"/>
        <n v="142" u="1"/>
        <n v="3110" u="1"/>
        <n v="3451" u="1"/>
        <n v="218" u="1"/>
        <n v="4231" u="1"/>
        <n v="3360" u="1"/>
        <n v="215" u="1"/>
        <n v="4221" u="1"/>
        <n v="3650" u="1"/>
        <n v="6003" u="1"/>
        <n v="1223" u="1"/>
        <n v="3310" u="1"/>
        <n v="7000" u="1"/>
        <n v="3651" u="1"/>
        <n v="126" u="1"/>
        <n v="3450" u="1"/>
        <n v="9999" u="1"/>
        <n v="4860" u="1"/>
        <n v="4321" u="1"/>
        <n v="1221" u="1"/>
      </sharedItems>
    </cacheField>
    <cacheField name="Cuenta" numFmtId="0">
      <sharedItems containsBlank="1" count="78">
        <s v="Disponible Cali"/>
        <s v="Disponible CALI Security"/>
        <s v="Depósito a plazo Cali Banco Security"/>
        <s v="FM Cali Banco Security"/>
        <s v="Disponible Ch. Fecha"/>
        <s v="Otros Valores Tarjeta de Credito"/>
        <s v="Préstamos  Fundación Cali"/>
        <s v="Arquitectura"/>
        <s v="Obras en Construcción"/>
        <s v="Adicionales Obras en Construcción"/>
        <s v="Contribuciones"/>
        <s v="Anticipo Construcción"/>
        <s v="Proyectos Especialidades"/>
        <s v="Cuentas por Cobrar a Administración"/>
        <s v="1% por pagar"/>
        <s v="Arzobispado por pagar"/>
        <s v="Recaudadoras por pagar"/>
        <s v="Retención Honorarios Cali"/>
        <s v="Retenciones Construcción"/>
        <s v="Cuenta por Pagar a Administración Colectas"/>
        <s v="Cuenta por Pagar a Administración Canastas"/>
        <s v="Capital Cali"/>
        <s v="Resultado Acumulado Cali"/>
        <m/>
        <s v="Aporte Vicaria"/>
        <s v="Otros Valores -Oficina y Transferencias (249)"/>
        <s v="Donacion Construccion"/>
        <s v="Otros Valores -Oficina y Transferencias (248)"/>
        <s v="        Campaña 1%"/>
        <s v="Otros Valores Recaudadoras"/>
        <s v="Comisiones Cali Tarjetas de Creditos"/>
        <s v="Cali otros"/>
        <s v="Cali Recaudadores"/>
        <s v="Cali Recaudadores (249)"/>
        <s v="Cali Oficina Parroquial"/>
        <s v="Cali Oficina Parroquial (249)"/>
        <s v="Cali Tarjetas de Creditos"/>
        <s v="Cali Tarjetas de Creditos (249)"/>
        <s v="Aporte Arzobispado"/>
        <s v="Comisiones Cali Recaudadores"/>
        <s v="Aporte Papal"/>
        <s v="Cali  Arzobispado"/>
        <s v="Cali  Arzobispado (249)"/>
        <s v="Comisiones Cali Arzobispado"/>
        <s v="Otros Valores Arzobispado (248)"/>
        <s v="Otros Valores Arzobispado (249)"/>
        <s v="Depósito a plazo Cali"/>
        <s v="Intereses Financieros Cali"/>
        <s v="Proveedores CALI"/>
        <s v="Cali"/>
        <s v="Provisión Honorarios Cali"/>
        <s v="Disponible CALI Santander"/>
        <s v="Honorarios por pagar Cali"/>
        <s v="Depósito a plazo Cali Banco Santander"/>
        <s v="Otras Provisiones (Proyecto Especificos)"/>
        <s v="          Proceso 1%"/>
        <s v="Variación UF Anticipo y Retenciones"/>
        <s v="Donaciones No Cali" u="1"/>
        <e v="#N/A" u="1"/>
        <s v="Electricidad" u="1"/>
        <s v="Valores por Cobrar Arzobispado Año Anterior" u="1"/>
        <s v="Cuenta por Pagar a Cali Santander" u="1"/>
        <s v="Proveedores" u="1"/>
        <s v="Pastoral Social" u="1"/>
        <s v="Ayuda Solidaria" u="1"/>
        <s v="otros proyectos " u="1"/>
        <s v="Otras Recaudaciones (Proyecto Especificos)" u="1"/>
        <s v="Cali Transferencias y Depósitos Directos (249)" u="1"/>
        <s v="Cuentas por Cobrar a CALI (Colectas)" u="1"/>
        <s v="Auxiliares, secretarias y administración" u="1"/>
        <s v="GASTOS CONSTRUCCION PARROQUIA" u="1"/>
        <s v="Cali Transferencias y Depósitos Directos" u="1"/>
        <s v="Colectas Normales" u="1"/>
        <s v="          Contables-Administración" u="1"/>
        <s v="Librería" u="1"/>
        <s v="Cuenta por Pagar a Cali" u="1"/>
        <s v="Otros Valores -Oficina y Transferencias" u="1"/>
        <s v="Otros" u="1"/>
      </sharedItems>
    </cacheField>
    <cacheField name="Monto" numFmtId="0">
      <sharedItems containsString="0" containsBlank="1" containsNumber="1" minValue="-2338583640" maxValue="1039317900"/>
    </cacheField>
    <cacheField name="Debe" numFmtId="0">
      <sharedItems containsString="0" containsBlank="1" containsNumber="1" minValue="-46890" maxValue="1039317900"/>
    </cacheField>
    <cacheField name="Haber" numFmtId="0">
      <sharedItems containsString="0" containsBlank="1" containsNumber="1" minValue="-46890" maxValue="2338583640"/>
    </cacheField>
    <cacheField name="Glosa" numFmtId="0">
      <sharedItems containsBlank="1" containsMixedTypes="1" containsNumber="1" containsInteger="1" minValue="0" maxValue="0" count="741">
        <s v="Asiento Apertura 2021"/>
        <m/>
        <s v="T.G.R."/>
        <s v="Aporte Esc.de Verano Vic.Cordillera"/>
        <s v="Benjamin Gutierrez / 249"/>
        <s v="Italo Lubiano / Azul"/>
        <s v="Arantxa Ereche T&amp; / 249"/>
        <s v="Emilio Deik M / Azul"/>
        <s v="Fabian Rodriguez / 248"/>
        <s v="Juan Sebastian Davila M / Azul"/>
        <s v="Juan Pablo Ríos Ross / 249"/>
        <s v="M. Dominguez / 248"/>
        <s v="Traspaso a Cta, Administración"/>
        <s v="Transf. ElMestizo, Premio Campaña Diciembre"/>
        <s v="Enrique Ferrer / 248"/>
        <s v="Ricardo Cañas C / 249"/>
        <s v="Fco.Javier Campos / Azul"/>
        <s v="Josefina Claude / 249"/>
        <s v="Segio Rodriguez / Azul"/>
        <s v="Jorge Claude / 249"/>
        <s v="Paulina Grez/ 249"/>
        <s v="Florencia Garcia / 248"/>
        <s v="R. Casas del Valle / 248"/>
        <s v="Patricia Romero / Azul"/>
        <s v="I. Ureta / 248"/>
        <s v="Maria Dolores Rioseco / 249"/>
        <s v="Enrique Brahm / 249"/>
        <s v="Raul Strappa / 249"/>
        <s v="Franciasco Salazar /249"/>
        <s v="Patrick Horn / Azul"/>
        <n v="0"/>
        <s v="Ana Maria Ugarte / 249"/>
        <s v="Matías Ubilla /249"/>
        <s v="Jose M. Ureta C / 249"/>
        <s v="Ignacio Prat / 249"/>
        <s v="Karina Rabino  / Azul"/>
        <s v="Abono  TBK por DCT"/>
        <s v="Alberto Altermatt C. / 249"/>
        <s v="Soledad Celis / 249 "/>
        <s v="Maria Jose Muñoz / 249"/>
        <s v="Fca. Orrego / 249"/>
        <s v="Ana Maria Reyes"/>
        <s v="JAVE / Azul"/>
        <s v="Maria del Pilar Herrera / Azul"/>
        <s v="Abono TBK Azules Dic/2020"/>
        <s v="Jose T. Poblete  /248"/>
        <s v="Felipe Walker  / Azul"/>
        <s v="Juan Rafael Arnaiz / 249"/>
        <s v="Jose Miguel Wielandt V / Azul"/>
        <s v="Abono TBK 248 y 249 Diciembre/2020"/>
        <s v="Carlos Barriga / 248"/>
        <s v="D. Vassiliu / 248"/>
        <s v="M.Luz Montt / 249"/>
        <s v="Comisión Pagos Nom. Bco.Chile"/>
        <s v="Fco. Larraín Cruzat"/>
        <s v="Mauricio Hargous / 249"/>
        <s v="Monica Barañao / 249"/>
        <s v="Monica Barañao / Azul"/>
        <s v="Emilio Deik / Azul"/>
        <s v="Horacio Cartagena / 249"/>
        <s v="M. Solange Vinet / Azul"/>
        <s v="Enrique Hurtado / 249"/>
        <s v="Carmen Gloria Rivas / 248"/>
        <s v="Julio Rendic L / Azul"/>
        <s v="Leonardo Robles / 248"/>
        <s v="Recaudadora"/>
        <s v="Maria Elisa Cruzat Silva / 248"/>
        <s v="Mario Vinagre / Azul"/>
        <s v="Santiago Doña V / 249"/>
        <s v="Maria Graciela Garrida / Azul"/>
        <s v="Maria Graciela Garrida / 249"/>
        <s v="Marcela Pinto Z / Azul"/>
        <s v="M.Cristina Valenzuela / 248"/>
        <s v="Rendicion CALI Recaudado Diciembre/20"/>
        <s v=" G. de la Vega Hon. Diciembre"/>
        <s v="Hon. Angelica Sepulveda"/>
        <s v="Bernardita Egaña /249"/>
        <s v="Patricio Abalos / 248"/>
        <s v="Constanza Vicuña /Azul"/>
        <s v="S.Villegas /249"/>
        <s v="Abono Raimundo Sanchez TBK Azul DCT"/>
        <s v="Inversiones Los Bumps Dos Ltda./Azul"/>
        <s v="M.Alejandra de la Lastra /249"/>
        <s v="Jose Miguel Guzman M / 248"/>
        <s v="Luis Dominguez / 248"/>
        <s v="Verónica Sapag Puelma / 249"/>
        <s v="Carmen Gloria Ovalle / 249"/>
        <s v="Francisco Sanhueza / Azul"/>
        <s v="Abono TBK Azules Ene/2021"/>
        <s v="Abono TBK 248 y 249 Ene/2021"/>
        <s v="Adm.e Inv. Convento Viejo Ltda"/>
        <s v="Jorge Rodriguez W / Azul"/>
        <s v="Joaquin Izcue / Azul"/>
        <s v="Adriana Gonzalez / 249"/>
        <s v="Horacio Figueroa TBK 249 DCT"/>
        <s v="José M. Perz de Castro / 249"/>
        <s v="Carlos Barriga /248"/>
        <s v="Juan Pabl oRios /249"/>
        <s v="Matias Silva / Azul"/>
        <s v="Isabel Guarda / 249"/>
        <s v="Arantxa Ereche / 249"/>
        <s v="Macarena Galvez / 249"/>
        <s v="Dev.a Fund.aporte Inversiones Los Bumps"/>
        <s v="Dev.a Fund.aporte Inv.Convento inversiones Los Bumps"/>
        <s v="Trasp.a Cta. Adm. Dev. Colectas"/>
        <s v="Pedro Vicuña / Azul"/>
        <s v="Carlos Lecaros / 249"/>
        <s v="Fernando Rosati / Azul"/>
        <s v="Centralización Recaudación Enero"/>
        <s v="Cheques  Fecha del mes"/>
        <s v="Intereses Devengados DAP Chile"/>
        <s v="Intereses Devengados DAP Security"/>
        <s v="Intereses DevengadosFFMM Security"/>
        <s v="Comisión Pagos Nom. Bco.Security"/>
        <s v="Rescate FF.MM Security"/>
        <s v="DyF Proy.yMontajes Electricos"/>
        <s v="Reembolso Contrib.4a.Cta.2020"/>
        <s v="F.2829 EE.PP. N°6 TASCO"/>
        <s v="F,5877 Coz y Cia. ITO"/>
        <s v="Fundación el Rodeo (Fam.Ossandon)"/>
        <s v="Comer y Beber"/>
        <s v="Toma Depòsito a Plazo"/>
        <s v="Depòsitos Adm, Cali Enero Azul"/>
        <s v="Depòsitos Adm, Cali Enero 249"/>
        <s v="Maria Muzio (Jul - Dic)"/>
        <s v="Depositos en Administraciòn de Cali"/>
        <s v="UF 435,88 EP 6 TASCO"/>
        <s v="UF 4358,75 EP 6 TASCO"/>
        <s v="UF 217.94 EP 6 TASCO"/>
        <s v="PROYECTOS Y CONSTRUCCIONES TASCO LIMITADA"/>
        <s v="F,5887 Coz y Cia. ITO"/>
        <s v="F,5808 Coz y Cia. ITO"/>
        <s v="Benjamín Gutierrez Perlwitz / 249"/>
        <s v="Raimundo Barros / 249"/>
        <s v="Rafael Marín Jordán/azul"/>
        <s v="Ricardo Fernández Oyarzún / Azul "/>
        <s v="Henry Comber Sigall / Azul"/>
        <s v="María del Pilar Herrera/ azul "/>
        <s v="José L. Barros / 248"/>
        <s v="Horacio Cartagena Fagerstrom/249"/>
        <s v="Colecta Pablo Irarrazaval Mena"/>
        <s v="Felipe Barros / 249"/>
        <s v="Ana María Ugarte / 249"/>
        <s v="Matías Rafael Ubilla Silva / 249"/>
        <s v="Enrique José Manuel Ferrer/248"/>
        <s v="Ricardo Cañas Cambiaso / 249"/>
        <s v="Fco.Javier Campos González/Azul"/>
        <s v="Sergio Rodríguez Oro / Azul"/>
        <s v="María Paulina Grez / 249"/>
        <s v="Florencia García /248 "/>
        <s v="Colecta CELIS CELEDON MARIA SOLEDAD"/>
        <s v="Macarena Gálvez Roa / 249"/>
        <s v="Arzobispado de Stgo Diciembre / 248"/>
        <s v="Arzobispado de Stgo Diciembre / 249"/>
        <s v="Colecta Ignacio Ureta L."/>
        <s v="I. Ureta / 248 "/>
        <s v="María Luz Montt Díaz / 249"/>
        <s v="M. Domínguez / 248"/>
        <s v="María Dolores Rioseco Rodríguez/249"/>
        <s v="DCT (S.GuerreroV.M$20 y M.JoseGuridi M$10)"/>
        <s v="Enrique Brahm García / 249"/>
        <s v="Patricia Romero Navarro / Azul"/>
        <s v="Patricio René Latorrre Sepúlveda/Azul"/>
        <s v="Francisco Salazar González / 249"/>
        <s v="Patrick Reginald Horn Garcia / Azul"/>
        <s v="Fca. Orrego/249"/>
        <s v="Carmen Mónica Barañao Rojas/249"/>
        <s v="Carmen Mónica Barañao Rojas/Azul"/>
        <s v="Karina Rabino de Alonso /Azul"/>
        <s v="José Miguel Ureta Cardoen / 249"/>
        <s v="Marcela Rebeca Pinto Zepeda / Azul"/>
        <s v="Matías Izquierdo Menéndez / Azul"/>
        <s v="Com.Bco.Chile"/>
        <s v="José Antonio Vicuña Illanes / Azul"/>
        <s v="Oscar Guarda Barros / 249"/>
        <s v="M.Alejandra de la Lastra J./249"/>
        <s v="Juan Rafael Arnaiz Johnson / 249"/>
        <s v="Colecta Raimundo Barros"/>
        <s v="Mauricio Hargous Larraín / 249"/>
        <s v="María Luz Parodi Gil / 249"/>
        <s v="Marie Solange Vinet Homar / Azul"/>
        <s v="DCT (Francisco Rivera M$50)"/>
        <s v="DCT (Patricio Escudero MM$1)"/>
        <s v="Ana María Allende Z y P.Olea ch/f"/>
        <s v="2 Gift Card a Rest. Ají Seco CALI Ene."/>
        <s v="Enrique Hurtado Ruiz-Tagle / 249"/>
        <s v="Alejandra Pérez Fabres / 249"/>
        <s v="Pago F29 Enero por Adm."/>
        <s v="María Pía Laura Parodi Gil / 249"/>
        <s v="Hon.Ene/21 Campaña Hazte Parte - Francisco Lopez Blanc"/>
        <s v="Marcelo Brito León / Azul"/>
        <s v="M.Cristina Valenzuela L./248 "/>
        <s v="Italo Lubiano Tassara/Azul"/>
        <s v="M.Graciela Garrido C. / Azul"/>
        <s v="M.Graciela Garrido C. / 249"/>
        <s v="Bernardita Mujica Gutierrez  / 249"/>
        <s v="Bernardita Egaña Baraona  / 249"/>
        <s v="Daniela Lubiano/azul"/>
        <s v="GODOY CAMUS CARLOS IGNACIO/248"/>
        <s v="Carmen Gloria Rivas Varas / 248"/>
        <s v="Colecta GAETE OLIVARES JORGE EDUARDO"/>
        <s v="S. Villegas / 249"/>
        <s v="D. Vassiliu /248 "/>
        <s v="Luis  E. Domínguez / 248"/>
        <s v="T/C Azules Febrero 2021"/>
        <s v="Fabián Rodríguez Ch. / 248 "/>
        <s v="Francisco Sanhueza /Azul"/>
        <s v="Raúl Strappa Varas / 249 (Dic y Ene)"/>
        <s v="Ren CALI Enero 2021 Arzobispado de Santiago"/>
        <s v=" G. de la Vega Hon. Enero"/>
        <s v="BE 166 Campaña Hazte Parte - Francisco Lopez Blanc"/>
        <s v="Apertura Cta Cte Santander"/>
        <s v="Joaquín Izcue Elgart / Azul"/>
        <s v="José Tomás Poblete Jara / 248"/>
        <s v="TOMA DAP SECURITY"/>
        <s v="COM.PAGOS MASIVOS OTROS BANCOS"/>
        <s v="Ana María Reyes Garín / 248"/>
        <s v="Benjamin Herrera Riesco/azul"/>
        <s v="Benjamín Herrera Riesco/azul"/>
        <s v="Cyril Hodgson Larrain / Azul"/>
        <s v="Hugo Rosende Álvarez / 249"/>
        <s v="Jaime Andrés Court Viviani/249"/>
        <s v="Maria Elena de Castro Espinosa/249"/>
        <s v="Sebastian Lagos Valdivieso/Azul"/>
        <s v="APERTURA CTA CTE SANTADER"/>
        <s v="RESCATE FF.MM. SECURITY"/>
        <s v="UF 500,31 EP 1 TASCO"/>
        <s v="UF 5003,17 EP 1 TASCO"/>
        <s v="UF 250,16 EP 1 TASCO"/>
        <s v="F.2854 EE.PP. N°7 TASCO"/>
        <s v="F.2315 Proy.Manejo Residuos EE.PP4"/>
        <s v="F,5921 Coz y Cia. ITO"/>
        <s v="CH a Fecha angelica sepulveda"/>
        <s v="Centralización Recaudación Febrero"/>
        <s v="Arzobispado de Stgo / 248"/>
        <s v="Arzobispado de Stgo / 249"/>
        <s v="Isabel Margarita Guarda Larrañaga/249"/>
        <s v="Colecta Jorge Claude"/>
        <s v="Carlos Lecaros Price / 249"/>
        <s v="José Miguel Guzmán Morandé/248"/>
        <s v="Matías Silva Olmos / Azul"/>
        <s v="Pedro Vicuña Illanes / Azul"/>
        <s v="Jorge Hernán Rodríguez Wilson/Azul"/>
        <s v="Rec.A.Sepulveda"/>
        <s v="Colecta Claudia Larenas Munita"/>
        <s v="Francisca Chadwick Irarrázaval/249"/>
        <s v="María José Muñoz Reinoso / 249"/>
        <s v="Horacio Figueroa Diesel/249(M$60)"/>
        <s v="Jorge Manzur Araya /Azul (M$20)"/>
        <s v="Hon.FEB/21 Campaña Hazte Parte"/>
        <s v="Comision CALI  Recaudado FEB/21"/>
        <s v="Patricio Abalos /248"/>
        <s v="José Ignacio Wielandt Vergara/ Azul"/>
        <s v="Jorge Awad M. / Azul"/>
        <s v="María José Guridi Hogge /Azul (M$26)"/>
        <s v="248 y 249 Febrero 2021"/>
        <s v="Marie Solange Vinet Homar / 249"/>
        <s v="Juan Sebastian Dávila Montaner/Azul"/>
        <s v="Pago F29 Febrero por Adm."/>
        <s v="P/pago Fact. en Bco.Security"/>
        <s v="Devolución CALI Cobrado en Exceso"/>
        <s v="Isabel Margarita Cortés Testart/249"/>
        <s v="Luis  E. Domínguez Larraín / Azul"/>
        <s v="Alberto Ureta /Azul"/>
        <s v="Colecta M.del Pilar Bustamante Solar"/>
        <s v="Cambio DAP a FM"/>
        <s v="Carmen Gloria Ovalle de la Cuadra/ 249"/>
        <s v="Raúl Strappa Varas / 249 "/>
        <s v="Nicolás Ríos Rivas / 249 (año)"/>
        <s v="Magdalena Alessandri Cruzat / Azul"/>
        <s v="Andrea Bonnefont Bellolio/Azul (M$10)"/>
        <s v="Pedro Jaime Iriberry Macdonald/ CURSO "/>
        <s v="Antonio Tuset Jorrat /Azul"/>
        <s v="Marcela Errázuriz León / Azul"/>
        <s v="Arzobispado Febrero / 248"/>
        <s v="Arzobispado Febrero / 249"/>
        <s v="T/C Azules Marzo 2021"/>
        <s v="José Miguel Pérez de Castro Z./249"/>
        <s v="Pedro Armando Alvarez Marin/249"/>
        <s v="Cristobal Eyzaguirre Baeza / Azul"/>
        <s v="Fernanda Labarca / Azul (M$50)"/>
        <s v="Herman Chadwick Larraín / Azul"/>
        <s v="María Consuelo Fuenzalida Walker/249"/>
        <s v="Arzobispado Rendición CALI Febrero 2021"/>
        <s v=" G. de la Vega  BE 314 Febrero"/>
        <s v=" G. de la Vega Hon. Marzo"/>
        <s v="Francisco Lopez Blanc Marzo/21 Campaña Hazte Parte"/>
        <s v="Abonos Transbank 248 y 249 Marzo 2021"/>
        <s v="Francisco Larraín Cruzat/azul"/>
        <s v="María Luisa Ilharreborde Illanes / Azul"/>
        <s v="Ramiro Young / Azul (M$500)"/>
        <s v="Dep NN"/>
        <s v="DAP B. Santander"/>
        <s v="UF 328,52 EP 8 TASCO"/>
        <s v="UF 3285,12 EP 8 TASCO"/>
        <s v="UF 164,26 EP 8 TASCO"/>
        <s v="Fact. 5921 ITO Ene/21"/>
        <s v="Fact. 5973 ITO Feb/21"/>
        <s v="Centralización Recaudación Marzo"/>
        <s v="Eduardo Calvimontes Candia/azul"/>
        <s v="Jorge Manzur Araya / Azul"/>
        <s v="María Elena de Castro Espinosa/249"/>
        <s v="Mercedes Cisternas Pérez/Azul"/>
        <s v="Sandra Rivadeneira Almonacid/Azul"/>
        <s v="Yolanda Haase Baeza / 249"/>
        <s v="Intereses Devengados DAP Santander"/>
        <s v="José Tomás Guzmán Rencoret / Azul"/>
        <s v="Carlos Enrique Blanco Plummer / 249"/>
        <s v="María Virginia Fernández Oyarzún / 249"/>
        <s v="Carlos Enrique Celis Celedón / Azul"/>
        <s v="Martín Fuenzalida Izquierdo / 249 "/>
        <s v="248 y 249 Marzo 2021"/>
        <s v="Juan Gabriel Navarro Gutiérrez / Azul"/>
        <s v="Francisco Javier Lathrop Velasco/Azul"/>
        <s v="Pedro Pablo Bossay Kretschmer/Azul"/>
        <s v="Ignacio Santa María Mujica / 249"/>
        <s v="María Teresa Ibañez Vial / 249"/>
        <s v="DCT Cristian Jirón Palma /Azul "/>
        <s v="Ignacio Prat Mendoza/249"/>
        <s v="Colecta Pedro Armando Alvarez Marin"/>
        <s v="Pablo Eyzaguirre Chadwick/248 (E-F-M)"/>
        <s v="María Macarena Besa Prieto/248"/>
        <s v="Pedro Irarrázaval / 248"/>
        <s v="Canasta M.Soledad Celis Celedón"/>
        <s v="Juan Manuel Gutiérrez Philippi / 248"/>
        <s v="Rendicion CALI Marzo 2021"/>
        <s v="BE 314 Guillermo De La Vega Ivovich"/>
        <s v="BE 479 Miria Angélica Sepúlveda"/>
        <s v="Traspaso inversion en Bco. Security"/>
        <s v="Juan Manuel Gutiérrez Philippi / 249"/>
        <s v="Colecta NN"/>
        <s v="Comision bancaria"/>
        <s v="Colecta GODOY CAMUS CARLOS IGNACIO"/>
        <s v="Ricardo Cruzat Ochagavia / Azul"/>
        <s v="Antonio Jorge Gana de Landa / 249"/>
        <s v="Marcio Almeida Dos Santos / Azul"/>
        <s v="Arzobispado de Stgo Marzo / 248"/>
        <s v="Arzobispado de Stgo Marzo / 249"/>
        <s v="Guillermo Rosende Álvarez / 248"/>
        <s v="Traspaso Cta. CALI a Adm"/>
        <s v="María Raquel Domeyco Matte / Azul"/>
        <s v="Abono Transbank 248 y 249 abril 2021"/>
        <s v="Arantxa Ereche Tuzzini/249"/>
        <s v="Colecta Gustavo Tocornal R-T"/>
        <s v="T/C Azules Abril 2021"/>
        <s v="Rescate DAP"/>
        <s v="UF 495,59 EP 9 TASCO"/>
        <s v="UF 5012,86 EP 9 TASCO"/>
        <s v="UF 247,79 EP 9 TASCO"/>
        <s v="F.2916 EE.PP. N°9 TASCO"/>
        <s v="Fact. 6016 ITO Mar/21"/>
        <s v="BE-63 Hardy Guillermo Alejandro Hipp - Proyecto Seguridad"/>
        <s v="Cargo Tasacion PSAH"/>
        <s v="Centralización Recaudación Abril"/>
        <s v="Benjamin Herrera Riesco / azul"/>
        <s v="Eduardo Calvimontes Candia / azul"/>
        <s v="Eduardo Castro De La Barra /249"/>
        <s v="Hilda Dougnac Rodríguez / Azul"/>
        <s v="Ingrid Maria Nielsen Galli /azul"/>
        <s v="Jaime Andres Court Viviani /249"/>
        <s v="María Isabel Grez Armanet/Azul"/>
        <s v="Sebastian Lagos Valdivieso / Azul"/>
        <s v="Ana María Rabagliati Grunwald / 249"/>
        <s v="Santiago Ireneo Doña Vial / 249"/>
        <s v="María Carolina Marín Montes / 249"/>
        <s v="Canastas M. Soledad Celis Celedon"/>
        <s v="Colecta Carmen Monica Barañao Rojas"/>
        <s v="María Angélica Pérez-Villamil /249"/>
        <s v="Antonio Tuset Jorrat / 248"/>
        <s v="José Antonio Vicuña Errázuriz / Azul"/>
        <s v="Raúl Strappa Varas / 249 (abr y may)"/>
        <s v="DCT (M.JoseGuridi M$10)"/>
        <s v="Patricio Oelckers Álvarez / 249"/>
        <s v="Jorge Schmidt Girotti / Azul"/>
        <s v="Juan Carlos Latorre Díaz / Azul"/>
        <s v="Colecta Cecilia Larrain"/>
        <s v="Colecta Marcelo Galvez"/>
        <s v="Horacio Figueroa Diesel/249 (M$50 DCT)"/>
        <s v="Marcelo Osvaldo Gálvez Moya / Azul"/>
        <s v="2 Gift Card a Rest. Le Due Torri CALI Marzo"/>
        <s v="Rendición CALI Arzobispado de Santiago Marzo 2021"/>
        <s v="F.489 Sobres y Carta Campaña Hazte Parte"/>
        <s v="BE-481 MARIA ANGELICA SEPULVEDA TORO  "/>
        <s v="P/FF.MM. en B.Security"/>
        <s v="Colecta M. del Pilar Bustamante Solar"/>
        <s v="Canastas Carmen Mónica Barañao Rojas"/>
        <s v="Pedro Irarrázaval/M.Mercedes Calvo Montt/248"/>
        <s v="3 Gift Card a Rest. Majestic Kenndy"/>
        <s v="José Eugenio Figueroa Basaure/248"/>
        <s v="248 y 249 mayo 2021"/>
        <s v="Arzobispado de Stgo Abril / 248"/>
        <s v="Arzobispado de Stgo Abril / 249"/>
        <s v="BE-315 G. de la Vega Abril"/>
        <s v="F.315 Mandatos Rojos (2000)"/>
        <s v="T/C Azules Mayo 2021"/>
        <s v="José Antonio Alliende Wielandt/ Azul"/>
        <s v="Rescate FM"/>
        <s v="Traspaso a Santander"/>
        <s v="Tóma DAP Santander"/>
        <s v="UF 849,89 EP 10 TASCO"/>
        <s v="UF 6063,74 EP 10 TASCO"/>
        <s v="UF 312,92 EP 10 TASCO"/>
        <s v="F.2930 EE.PP. N°10 TASCO"/>
        <s v="Fact. 6113 ITO Abr/21"/>
        <s v="Centralización Recaudación Mayo"/>
        <s v="Carlos Celis Celedón / Azul"/>
        <s v="Ingrid María Nielsen Galli/Azul "/>
        <s v="María Teresa Gil Gómez / 249"/>
        <s v="Maria Del Pilar Ferrer Parrague/248"/>
        <s v="Jacqueline Dale / 249"/>
        <s v="Maria Andrea Muzio C. /249"/>
        <s v="Maria Macarena Besa Prieto /248"/>
        <s v="Manuel Achondo Reñasco / 249"/>
        <s v="Paga Prestamo Fund.SanCarlos de Apoquindo"/>
        <s v="Sofía Guerrero V. / 249 D.C.T.($40.000)"/>
        <s v="María José Valdés Valdés / 249"/>
        <s v="María Loreto Naranjo de Lucca/ Azul"/>
        <s v="Pablo Eyzaguirre Chadwick/248 (A-M-J)"/>
        <s v="Pamela Daniels Sánchez /Azul (M$25)"/>
        <s v="Carlos Barriga Apparcel /248"/>
        <s v="Carlos Alberto Fonck Limann / Azul"/>
        <s v="Luis Alberto Cruz Guzmán  / 248"/>
        <s v="NN / Azul"/>
        <s v="Patricia Honorato /249 ($7000)"/>
        <s v="Bernardita Jara Infante/Azul (MM$1)"/>
        <s v="Raimundo Tocornal Laso / 249"/>
        <s v="Rend. CALI Mayol 21 Arzobispado de Santiago"/>
        <s v="BE-316 GUILLERMO DE LA VEGA  Mayo"/>
        <s v="BE-485 Ma Angélica Depúlveda"/>
        <s v="Trasp.a Cta. Security"/>
        <s v="José Miguel Valdivieso Gandarillas/Azul"/>
        <s v="Luis Felipe Zanolli De Solminihac/249"/>
        <s v="Felipe Hargous Larraín / 249"/>
        <s v="Carmen Matus Mesa / 249"/>
        <s v="Canastas María Virginia Fernández Oyarzún"/>
        <s v="T/C Azules Junio 2021"/>
        <s v="Arzobispado de Stgo Mayo / 248"/>
        <s v="Arzobispado de Stgo Mayo / 249"/>
        <s v="Canasta Alivia Oyarzun Saldias"/>
        <s v="248 y 249 junio 2021"/>
        <s v="Rescate DAP Security"/>
        <s v="Toma FF. MM. Security"/>
        <s v="UF 943,44 EP 11 TASCO"/>
        <s v="UF 8022,07 EP 11 TASCO"/>
        <s v="UF 347,37 EP 11 TASCO"/>
        <s v="F.2973 EE.PP. N°12 TASCO"/>
        <s v="Fact. 6238 ITO Junio/21"/>
        <s v="Rescata DAP Anticipado"/>
        <s v="Empalme Enel(p/rendir TASCO) "/>
        <s v="ABONO RECAUDACION PAC"/>
        <s v="Centralización Recaudación Junio"/>
        <s v="Pago F29 Marzo por Administración"/>
        <s v="Pago F29 Abril por Administración"/>
        <s v="Pago F29 Mayo por Administración"/>
        <s v="Carlos Celis Celedon / Azul"/>
        <s v="Ingrid Maria Nielsen Galli / Azul"/>
        <s v="Hilda Dougnac Rodriguez / Azul"/>
        <s v="Maria Cristina Herrera Peralta / 248"/>
        <s v="Maria Elena de Castro Espinosa / 249"/>
        <s v="Eduardo Calvimontes/ Azul"/>
        <s v="Hugo Rosende Alvarez / 249"/>
        <s v="Maria de los Angeles Herrera Soler / 249"/>
        <s v="Maria de la Luz Garces Larenas"/>
        <s v="Eduardo Castro de la Barra / 249"/>
        <s v="Jaime Andres Court Viviani / 249"/>
        <s v="Ana María Allende Zañartu/ 248"/>
        <s v="Provisiona Honorarios Junio Guillermo de la Vega"/>
        <s v="Cheque A Fecha Junio"/>
        <s v="Jorge Aguirre Moltedo/249 (M$15)"/>
        <s v="Catalina Adriasola Gibson / Azul"/>
        <s v="Alfonso José Guzmán Cruzat / Azul"/>
        <s v="Selim Guillermo Abara Elías / Azul"/>
        <s v="Rec.A.Sepulveda Junio"/>
        <s v="Choc. La Fête, Fact.47848"/>
        <s v="Jose Adolfo Ochagavia Vial / Azul"/>
        <s v="Adriana Fernández Correa / Azul"/>
        <s v="Canastas M.Soledad Celis Celedón"/>
        <s v="1 Gift Card La Cabrera premio Camp.Hazte Parte"/>
        <s v="Anticipo 50% 150 letreros Campaña Hazte Parte"/>
        <s v="Sofía Guerrero V. / 249 D.C.T.($20.000)"/>
        <s v="Rend. CALI Junio 21"/>
        <s v="BE-488 Maria Angelica Sepulveda"/>
        <s v="Colecta Pilar Bustamante"/>
        <s v="Devolución Trasp.a Cta. Security"/>
        <s v="Pablo Botteselle De La Fuente / 249"/>
        <s v="Colecta Silvia Villegas"/>
        <s v="Héctor Manuel Gómez Brain / Azul"/>
        <s v="3 Gift Card R.Pinpilinpausha premio Camp.Hazte Parte"/>
        <s v="F,39143 Lienzo en Obra Campaña Hazte Parte"/>
        <s v="Abono Transbank 248 y 249 julio 2021"/>
        <s v="Arzobispado de Stgo Junio / 248"/>
        <s v="Arzobispado de Stgo Junio / 249"/>
        <s v="Ana María Balmaceda Ovalle / Azul"/>
        <s v="Clemencia Cecilia Gómez Pérez / Azul"/>
        <s v="T/C Azules Julio 2021"/>
        <s v="BE-317 GUILLERMO DE LA VEGA"/>
        <s v="C&amp;P Asesores - Asesoria Contable Enero 2021"/>
        <s v="Selim Guillermo Abara Elías / 249"/>
        <s v="IVA COMISIONES"/>
        <s v="Rescate FF.MM"/>
        <s v="UF 578,97 EP 12TASCO"/>
        <s v="UF 4130,77 EP 12 TASCO"/>
        <s v="UF 213,17 EP 12 TASCO"/>
        <s v="Fact. 391  EE.PP.N°5"/>
        <s v="COM.SERV.PAC JUNIO 2021 14 TRX."/>
        <s v="Ana Maria Reyes Garin / 248"/>
        <s v="Fernando Arcuch Salum /Azul "/>
        <s v="Impto.Ret Adm. Junio /2021"/>
        <s v="Maria Cristina Herrera Peralta /248"/>
        <s v="Maria Teresa Gil Gomez / 249"/>
        <s v="Pamela Daniels Sanchez/ Azul"/>
        <s v="Centralización Recaudación Julio"/>
        <s v="CHEQUE A FECHA"/>
        <s v="Pedro Irarrázaval/248"/>
        <s v="Renato Guidio Rezende de Castro/ 249"/>
        <s v="Juan Pablo Munita Morgan / Azul"/>
        <s v="248 y 249 julio 2021"/>
        <s v="Colecta Arnaldo Gorziglia Balbi"/>
        <s v="Rebeca Ayala Marfil / Azul"/>
        <s v="Saldo F.865, 150 letreros Campaña Hazte Parte"/>
        <s v="Patricia Romero Espinosa / 249"/>
        <s v="Melania Espinosa / 249"/>
        <s v="Marina Espinosa / 249"/>
        <s v="Pablo Eyzaguirre Chadwick/248 (J-A-S)"/>
        <s v="Colecta Marcela Rebeca Pinto Zepeda"/>
        <s v="Macarena del Rosario Arriagada Álvarez/ Azul"/>
        <s v="Julian Elorrieta Decombe / 249 (16142091-3) "/>
        <s v="Rend. CALI Julio/21"/>
        <s v="BE-318 Guillermo de la Vega Ivovich"/>
        <s v="BE-492 Maria Angelica Sepulveda Toro"/>
        <s v="3 Gift Card  Gastronomia del Alto SpA"/>
        <s v="Elena García Huidobro E. /Azul"/>
        <s v="Mónica Harseim /azul"/>
        <s v="Colecta Carlos Gerardo Anwandter Grallert"/>
        <s v="Maria Cristina Prieto Larrain / Azul"/>
        <s v="Germán Undurraga Ossa / Azul (M$50)"/>
        <s v="248 y 249 agosto 2021"/>
        <s v="T/C Azules Agosto 2021"/>
        <s v="Arzobispado de Stgo Julio / 248"/>
        <s v="Arzobispado de Stgo Julio / 249"/>
        <s v="Ana María Larraín Cruz / Azul"/>
        <s v="Ana María Alvarez Toro  / Azul"/>
        <s v="Eduardo Andrés León Rojas / Azul"/>
        <s v="Impto.Ret Adm. Julio/2021"/>
        <s v="María Asunción Lavín Infante/249"/>
        <s v="María Cristina Herrera Peralta/248"/>
        <s v="María de los Ángeles Herrera Soler/249"/>
        <s v="Paulina Inés Olea de la Cerda/248"/>
        <s v="Centralización Recaudación Agosto"/>
        <s v="UF 498,71 EP 13 TASCO"/>
        <s v="UF 183,61,51 EP 13 TASCO"/>
        <s v="UF 3558,15 EP 13 TASCO"/>
        <s v="Fact. 2995  EE.PP.N°13"/>
        <s v="Fact. 6271 ITO Julio/21"/>
        <s v="COM.SERV.PAC JULIO 2021 19 TRX."/>
        <s v="ABONO RECAUDACION PAC /249 "/>
        <s v="Regulariza Proveedores "/>
        <s v="Regularizacion Diferencia Arzobispado"/>
        <s v="M. Dominguez /248"/>
        <s v="María Verónica Letelier Benítez / Azul"/>
        <s v="Pedro Armando Alvarez Marin/250"/>
        <s v="María Soledad Errázuriz Cortés / Azul"/>
        <s v="Carolina Reyes Dermer / 249 D.C.T.(M$17)10306033-8"/>
        <s v="M.Soledad Errázuriz Cortés/249  DCT(M$13)13658366-2"/>
        <s v="Juan Guillermo Rodríguez Aris/DCT Azul(M$100)8868030-8"/>
        <s v="Blanca Lira Correa / 249"/>
        <s v="Rend. CALI Agosto/21 Arzobispado de Santiago"/>
        <s v="BE-318 GUILLERMO DE LA VEGA ASESORIA 1% AGOSTO 2021"/>
        <s v="BE-492 Maria Angelica Sepulveda Toro COMISION CALI JUL 21"/>
        <s v="3 Gift Card Gastronomica El Alero SpA"/>
        <s v="Colecta Juana Jazmin Hevia"/>
        <s v="Gustavo Adolfo Walsen Arangua / Azul"/>
        <s v="María Soledad Piderit Brito / 249"/>
        <s v="T/C Azules Septiembre 2021 Abono Transbank"/>
        <s v="Arzobispado de Stgo Agosto / 248"/>
        <s v="Arzobispado de Stgo Agosto / 249"/>
        <s v="María Loreto Izquierdo Vial / 249 (M$125)"/>
        <s v="BE-318 GUILLERMO DE LA VEGA ASESORIA 1% AGOSTO"/>
        <s v="Raimundo Monge Zegers /Azul"/>
        <s v="Traspaso desde Cta. Bco.Santander"/>
        <s v="Fact. 2728, EE.PP.N°3 (Proy.Paviment.Acceso PSAH)"/>
        <s v="Fact. 6330, EE.PP. N° 21, ITO Agosto/21"/>
        <s v="Fact. 3022, EE.PP. N°14 rev.1"/>
        <s v="Fact. 3030, EE.PP. N° 2 Obras Extra"/>
        <s v="UF 1041,60 EP 14 TASCO"/>
        <s v="UF 383,51 EP 14 TASCO"/>
        <s v="UF 7431,51 EP 14 TASCO"/>
        <s v="Rescata DAP"/>
        <s v="COM.SERV.PAC AGOSTO 2021 28 TRX."/>
        <s v="Keryma Felmer Echeverria / 249(Ago)"/>
        <s v="Keryma Felmer Echeverria / 249(Jul)"/>
        <s v="Keryma Felmer Echeverria / 249(Set)"/>
        <s v="Marina Espinosa Pérez / 249"/>
        <s v="Mario Melo / Azul"/>
        <s v="Mario Melo /Azul"/>
        <s v="Melania Espinosa Pérez / 249"/>
        <s v="CHEQUE A FECHA SEPTIEMBRE"/>
        <s v="Nicolás Gajardo Retamal  / Azul"/>
        <s v="248 y 249 septiembre 2021"/>
        <s v="Juan Bautista Duhart Charles / Azul"/>
        <s v="Carolina Guridi Gubbins / 249"/>
        <s v="T/C Azules Septiembre 2021"/>
        <s v="Rec. Sept. (ch/f)"/>
        <s v="Adriana Fernández Correa / 249"/>
        <s v="Eugenia Muñoz Quezada /DCT Azul (M$1000)"/>
        <s v="Andrés Fuentes Barañao/Azul"/>
        <s v="Rafael Vergara Illanes / 249"/>
        <s v="Pedro Ríos Dempster / 249 (Sept-Dic/2021)"/>
        <s v="Pablo Antonio Medina Herrera / Azul"/>
        <s v="BE-499 MARIA ANGELICA SEPULVEDA"/>
        <s v="Nicolás Errázuriz Salinas / Azul"/>
        <s v="Isabel Romero / Azul"/>
        <s v="NN"/>
        <s v="M.Josefina Walker Vial/DCT Azul (M$200)"/>
        <s v="T/C Azules Octubre 2021"/>
        <s v="Arzobispado de Stgo Septiembre / 248"/>
        <s v="Arzobispado de Stgo Septiembre / 249"/>
        <s v="Rend. CALI Septiembre/21 Arzobispado de Santiago"/>
        <s v="Osasun Com. Ltda. (RUT:76668530-7)"/>
        <s v="Fact. 2774, EE.PP.N°4(Proy.Paviment.Acceso PSAH)"/>
        <s v="Fact. 6409, EE.PP. N° 22, ITO Sept./21"/>
        <s v="Fact. 3048, EE.PP. N° 15"/>
        <s v="Fact. 429  EE.PP.N°6"/>
        <s v="UF 234,08 EP 15 TASCO"/>
        <s v="UF 86,18 EP 15 TASCO"/>
        <s v="UF 1670,05 EP 15 TASCO"/>
        <s v="COM.SERV.PAC SEPT. 2021 32 TRX."/>
        <s v="Abono Venc. DAP "/>
        <s v="Toma DAP a 35 ds."/>
        <s v="Centralización Recaudación Octubre"/>
        <s v="Impto.Ret Adm. Septiembre/2021"/>
        <s v="Keryma Felmer Echeverria / 249"/>
        <s v="CHEQUE A FECHA "/>
        <s v="Be 320 Guillermo de la Vega Ivovich  Asesoria 1% Septiembre 2021"/>
        <s v="Andrés Munita Izquierdo / Azul"/>
        <s v="Guillermo Correa Tocornal / Azul"/>
        <s v="CALI Recaudadora Octubre"/>
        <s v="Pablo Eyzaguirre Chadwick/248 (O-N-D)"/>
        <s v="Wilfred Arturo Spikin Valdivia / 249"/>
        <s v="248 y 249 octubre 2021"/>
        <s v="Patricia Valdés Grandón / 249 (Mandato del 05/11)"/>
        <s v="Maria Elisa Cruzat Silva / 248 (Ago-Sept)"/>
        <s v="Carolina Reyes Dermer / 249 D.C.T.(M$16)10306033-8"/>
        <s v="Caja Navidad Sergio Rodriguez Oro"/>
        <s v="BE-503 Maria Angelica Sepulveda"/>
        <s v="Ren.Gtos Notariales (Firma Escrit. Hipoteca Ptmo)"/>
        <s v="Caja Navidad DCT"/>
        <s v="Caja Navidad POS"/>
        <s v="248 y 249 noviembre 2021"/>
        <s v="Tarjetas Azules"/>
        <s v="Santiago Ríos García / 249"/>
        <s v="Caja Navidad Soledad Celis"/>
        <s v="Arzobispado de Santiago Rend. CALI Oct./21"/>
        <s v="Arzobispado de Santiago Rend. CALI Oct./21 Diferencia"/>
        <s v="Be 321 Guillermo de la Vega Ivovich  Asesoria 1% Octubre 2021"/>
        <s v="Arzobispado de Stgo Octubre / 248"/>
        <s v="Arzobispado de Stgo Octubre / 249"/>
        <s v="María Ignacia Lewin Urzúa ($20.000) "/>
        <s v="Centralización Recaudación Noviembre"/>
        <s v="Carolina Jacir Manterola ($30000)"/>
        <s v="Francisca Orrego Benavente / 249"/>
        <s v="Impto.Ret Adm. Octubre/2021"/>
        <s v="Maria Carolina Reyes Detmer ($17000)"/>
        <s v="María Olga Rodríguez Olivos ($10000)"/>
        <s v="Maria Paz Rauch Varas ($15000)"/>
        <s v="Maria Rebeca Perez Ferrada($30000)"/>
        <s v="María Sofía Wulf Le May ($50.000)"/>
        <s v="Patricia Honorato Valdés ($10000) /249"/>
        <s v="Ricardo Fernández Oyarzún / 249"/>
        <s v="Rita Vasquez Godoy ($10000)"/>
        <s v="Sonia Andrea Varas Mujica/249 (Jun)"/>
        <s v="COM.SERV.PAC SEPT. 2021 34 TRX."/>
        <s v="Toma DAP a 32 ds."/>
        <s v="DAP B.Santander"/>
        <s v="F.  NV2889020 Enel (Empalme PSAH)"/>
        <s v="Fact. 6495, EE.PP. N° 23, ITO Oct./21"/>
        <s v="Fact. 3075, EE.PP. N° 16"/>
        <s v="Fact. 440  EE.PP.N°7"/>
        <s v="UF 491,44 EP 16 TASCO"/>
        <s v="UF 180,94 EP 16 TASCO"/>
        <s v="UF 2946,47 EP 16 TASCO"/>
        <s v="PLAN EXTRA SOCIEDAD (UF 0.1800)"/>
        <s v="MANDATOS PAC SANTANDER NOVIEMBRE"/>
        <s v="CHEQUE A FECHA RECAUDADORA NOVIEMBRE"/>
        <s v="RECLASIFICA DIFERENCIA 248 "/>
        <s v="Alessandro Bizzarri Carvallo /249 "/>
        <s v="José Francisco Vargas Serrano/249 D.C.T.(M$70)15376972-9"/>
        <s v="San Jóse, Tomas Alcalde"/>
        <s v="San Jóse Tomas Alcalde"/>
        <s v="Caja Navidad Carlos Alberto Fonck Limann"/>
        <s v="Rosario Riveaux Aris / DCT Azul (M$15)"/>
        <s v="Sofía de León ($25.000) RUT:14.698.174-7"/>
        <s v="Raúl Strappa Varas / 249 (Nov- dic) "/>
        <s v="Gastos CBRS Hipoteca -Bco.Santander"/>
        <s v="IV Medios 2020 Col.Cumbres (Carolinas Reyes)"/>
        <s v="Maria Elisa Cruzat Silva / 248 "/>
        <s v="Arriendo POS"/>
        <s v="San Jóse Guillermo Rosende Alvarez"/>
        <s v="Germán Undurraga Ossa / Azul (M$100)"/>
        <s v="Gustavo Pavez / Azul 250"/>
        <s v="María Loreto Marín Estevez / Azul"/>
        <s v="María Bernardita León Martínez / 249"/>
        <s v="Fernando Barroilhet Diez(M$50)RUT:14123234-7"/>
        <s v="Patricio Escudero H.(M$45)"/>
        <s v="Eugenia Muñoz Quezada (M$45)"/>
        <s v="BE-508 Maria Angelica Sepulveda Toro"/>
        <s v="Arzobispado de Santiago Rend. CALI NOV./21"/>
        <s v="Be 322 Guillermo de la Vega Ivovich  Asesoria 1% Octubre 2021"/>
        <s v="Deposito no Reconocido"/>
        <s v="Ajuste TBK "/>
        <s v="T/C Azules Diciembre 2021"/>
        <s v="Rend. CALI Oct./21"/>
        <s v="Eugenio Camus Camus / Azul (M$800)"/>
        <s v="Carmen Camus Mesa / 248"/>
        <s v="Arzobispado de Stgo Noviembre / 248"/>
        <s v="Arzobispado de Stgo Noviembre / 249"/>
        <s v="Toma DAP a 30 ds."/>
        <s v="Traspaso Fondos B.Security"/>
        <s v="Fact. 6579 del 30/11/2021, EE.PP. N° 24, ITO Noviembre 2021."/>
        <s v="Fact. 3113 del 30/11/2021, EE.PP. N°3 Obras Extra"/>
        <s v="Fact. 3112 del 30/11/2021, EE.PP. N°17"/>
        <s v="Fact. 453 del 02/12/2021, EE.PP. N° 8 Adicionales Arquitectura"/>
        <s v="UF 742,91 EP 17 TASCO"/>
        <s v="UF 273,53 EP 17 TASCO"/>
        <s v="UF 5.300,49 EP 17 TASCO"/>
        <s v="Centralización Recaudación Diciembre"/>
        <s v="Ana María Toro Irarrázaval / Azul"/>
        <s v="Daniel Campos S. ($8.000)"/>
        <s v="Impto.Ret Adm. Noviembre/2021"/>
        <s v="Jaime Andrés Court Viviani /249"/>
        <s v="Juan Pablo Guzmán Bauzá ($30000)"/>
        <s v="Magdalena Fernández. ($20.000)"/>
        <s v="Maria Carolina Reyes Detmer ($17000) /249"/>
        <s v="María Olga Rodríguez Olivos ($10000) /249"/>
        <s v="María Sofía Wulf Le May ($50.000) /249"/>
        <s v="Patricio Walker Cruchaga / Azul"/>
        <s v="Rita Vasquez Godoy ($10000) /249"/>
        <s v="Regularizaciones menores"/>
        <s v="Actualiza Saldo Anticipo Tasc"/>
        <s v="Actualiza Saldo Retención Tasc"/>
        <s v="CTAS POR COBRAR A ADM"/>
      </sharedItems>
    </cacheField>
    <cacheField name="C. Cost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01">
  <r>
    <d v="2021-01-01T00:00:00"/>
    <x v="0"/>
    <x v="0"/>
    <x v="0"/>
    <n v="12855940"/>
    <n v="12855940"/>
    <n v="0"/>
    <x v="0"/>
    <s v="Cali"/>
    <m/>
    <m/>
    <m/>
    <m/>
    <x v="0"/>
  </r>
  <r>
    <d v="2021-01-01T00:00:00"/>
    <x v="0"/>
    <x v="1"/>
    <x v="1"/>
    <n v="2243143"/>
    <n v="2243143"/>
    <n v="0"/>
    <x v="0"/>
    <s v="Cali"/>
    <m/>
    <m/>
    <m/>
    <m/>
    <x v="0"/>
  </r>
  <r>
    <d v="2021-01-01T00:00:00"/>
    <x v="0"/>
    <x v="2"/>
    <x v="2"/>
    <n v="1039317900"/>
    <n v="1039317900"/>
    <n v="0"/>
    <x v="0"/>
    <s v="Cali"/>
    <m/>
    <m/>
    <m/>
    <m/>
    <x v="0"/>
  </r>
  <r>
    <d v="2021-01-01T00:00:00"/>
    <x v="0"/>
    <x v="3"/>
    <x v="3"/>
    <n v="418001289"/>
    <n v="418001289"/>
    <n v="0"/>
    <x v="0"/>
    <s v="Cali"/>
    <m/>
    <m/>
    <m/>
    <m/>
    <x v="0"/>
  </r>
  <r>
    <d v="2021-01-01T00:00:00"/>
    <x v="0"/>
    <x v="4"/>
    <x v="4"/>
    <n v="166000"/>
    <n v="166000"/>
    <n v="0"/>
    <x v="0"/>
    <s v="Cali"/>
    <m/>
    <m/>
    <m/>
    <m/>
    <x v="0"/>
  </r>
  <r>
    <d v="2021-01-01T00:00:00"/>
    <x v="0"/>
    <x v="5"/>
    <x v="5"/>
    <n v="8846511"/>
    <n v="8846511"/>
    <n v="0"/>
    <x v="0"/>
    <s v="Cali"/>
    <m/>
    <m/>
    <m/>
    <m/>
    <x v="0"/>
  </r>
  <r>
    <d v="2021-01-01T00:00:00"/>
    <x v="0"/>
    <x v="6"/>
    <x v="6"/>
    <n v="3000000"/>
    <n v="3000000"/>
    <n v="0"/>
    <x v="0"/>
    <s v="Cali"/>
    <m/>
    <m/>
    <m/>
    <m/>
    <x v="1"/>
  </r>
  <r>
    <d v="2021-01-01T00:00:00"/>
    <x v="0"/>
    <x v="7"/>
    <x v="7"/>
    <n v="45575499"/>
    <n v="45575499"/>
    <n v="0"/>
    <x v="0"/>
    <s v="Cali"/>
    <m/>
    <m/>
    <m/>
    <m/>
    <x v="1"/>
  </r>
  <r>
    <d v="2021-01-01T00:00:00"/>
    <x v="0"/>
    <x v="8"/>
    <x v="8"/>
    <n v="926724594"/>
    <n v="926724594"/>
    <n v="0"/>
    <x v="0"/>
    <s v="Cali"/>
    <m/>
    <m/>
    <m/>
    <m/>
    <x v="1"/>
  </r>
  <r>
    <d v="2021-01-01T00:00:00"/>
    <x v="0"/>
    <x v="9"/>
    <x v="9"/>
    <n v="22540273"/>
    <n v="22540273"/>
    <n v="0"/>
    <x v="0"/>
    <s v="Cali"/>
    <m/>
    <m/>
    <m/>
    <m/>
    <x v="1"/>
  </r>
  <r>
    <d v="2021-01-01T00:00:00"/>
    <x v="0"/>
    <x v="10"/>
    <x v="10"/>
    <n v="4836183"/>
    <n v="4836183"/>
    <n v="0"/>
    <x v="0"/>
    <s v="Cali"/>
    <m/>
    <m/>
    <m/>
    <m/>
    <x v="1"/>
  </r>
  <r>
    <d v="2021-01-01T00:00:00"/>
    <x v="0"/>
    <x v="11"/>
    <x v="11"/>
    <n v="420960472"/>
    <n v="420960472"/>
    <n v="0"/>
    <x v="0"/>
    <s v="Cali"/>
    <m/>
    <m/>
    <m/>
    <m/>
    <x v="1"/>
  </r>
  <r>
    <d v="2021-01-01T00:00:00"/>
    <x v="0"/>
    <x v="12"/>
    <x v="12"/>
    <n v="43145258"/>
    <n v="43145258"/>
    <n v="0"/>
    <x v="0"/>
    <s v="Cali"/>
    <m/>
    <m/>
    <m/>
    <m/>
    <x v="1"/>
  </r>
  <r>
    <d v="2021-01-01T00:00:00"/>
    <x v="0"/>
    <x v="13"/>
    <x v="13"/>
    <n v="110822645"/>
    <n v="110822645"/>
    <n v="0"/>
    <x v="0"/>
    <s v="Cali"/>
    <m/>
    <m/>
    <m/>
    <m/>
    <x v="1"/>
  </r>
  <r>
    <d v="2021-01-01T00:00:00"/>
    <x v="0"/>
    <x v="14"/>
    <x v="14"/>
    <n v="-183911"/>
    <n v="0"/>
    <n v="183911"/>
    <x v="0"/>
    <s v="Cali"/>
    <m/>
    <m/>
    <m/>
    <m/>
    <x v="1"/>
  </r>
  <r>
    <d v="2021-01-01T00:00:00"/>
    <x v="0"/>
    <x v="15"/>
    <x v="15"/>
    <n v="-3091523"/>
    <n v="0"/>
    <n v="3091523"/>
    <x v="0"/>
    <s v="Cali"/>
    <m/>
    <m/>
    <m/>
    <m/>
    <x v="1"/>
  </r>
  <r>
    <d v="2021-01-01T00:00:00"/>
    <x v="0"/>
    <x v="16"/>
    <x v="16"/>
    <n v="-78408"/>
    <n v="0"/>
    <n v="78408"/>
    <x v="0"/>
    <s v="Cali"/>
    <m/>
    <m/>
    <m/>
    <m/>
    <x v="0"/>
  </r>
  <r>
    <d v="2021-01-01T00:00:00"/>
    <x v="0"/>
    <x v="17"/>
    <x v="17"/>
    <n v="-326103"/>
    <n v="0"/>
    <n v="326103"/>
    <x v="0"/>
    <s v="Cali"/>
    <m/>
    <m/>
    <m/>
    <m/>
    <x v="1"/>
  </r>
  <r>
    <d v="2021-01-01T00:00:00"/>
    <x v="0"/>
    <x v="18"/>
    <x v="18"/>
    <n v="-30054942"/>
    <n v="0"/>
    <n v="30054942"/>
    <x v="0"/>
    <s v="Cali"/>
    <m/>
    <m/>
    <m/>
    <m/>
    <x v="1"/>
  </r>
  <r>
    <d v="2021-01-01T00:00:00"/>
    <x v="0"/>
    <x v="19"/>
    <x v="19"/>
    <n v="-1943069"/>
    <n v="0"/>
    <n v="1943069"/>
    <x v="0"/>
    <s v="Cali"/>
    <m/>
    <m/>
    <m/>
    <m/>
    <x v="1"/>
  </r>
  <r>
    <d v="2021-01-01T00:00:00"/>
    <x v="0"/>
    <x v="20"/>
    <x v="20"/>
    <n v="-595000"/>
    <n v="0"/>
    <n v="595000"/>
    <x v="0"/>
    <s v="Cali"/>
    <m/>
    <m/>
    <m/>
    <m/>
    <x v="1"/>
  </r>
  <r>
    <d v="2021-01-01T00:00:00"/>
    <x v="0"/>
    <x v="21"/>
    <x v="21"/>
    <n v="-684178804"/>
    <n v="0"/>
    <n v="684178804"/>
    <x v="0"/>
    <s v="Cali"/>
    <m/>
    <m/>
    <m/>
    <m/>
    <x v="0"/>
  </r>
  <r>
    <d v="2021-01-01T00:00:00"/>
    <x v="0"/>
    <x v="22"/>
    <x v="22"/>
    <n v="-2338583950"/>
    <n v="0"/>
    <n v="2338583950"/>
    <x v="0"/>
    <s v="Cali"/>
    <m/>
    <m/>
    <m/>
    <m/>
    <x v="1"/>
  </r>
  <r>
    <m/>
    <x v="1"/>
    <x v="23"/>
    <x v="23"/>
    <m/>
    <m/>
    <m/>
    <x v="1"/>
    <m/>
    <m/>
    <m/>
    <m/>
    <m/>
    <x v="0"/>
  </r>
  <r>
    <d v="2021-01-11T00:00:00"/>
    <x v="0"/>
    <x v="17"/>
    <x v="17"/>
    <n v="326103"/>
    <n v="326103"/>
    <n v="0"/>
    <x v="2"/>
    <s v="Cali"/>
    <m/>
    <m/>
    <m/>
    <m/>
    <x v="0"/>
  </r>
  <r>
    <d v="2021-01-11T00:00:00"/>
    <x v="0"/>
    <x v="13"/>
    <x v="13"/>
    <n v="-326103"/>
    <n v="0"/>
    <n v="326103"/>
    <x v="2"/>
    <s v="Cali"/>
    <m/>
    <m/>
    <m/>
    <m/>
    <x v="0"/>
  </r>
  <r>
    <m/>
    <x v="1"/>
    <x v="23"/>
    <x v="23"/>
    <m/>
    <m/>
    <m/>
    <x v="1"/>
    <m/>
    <m/>
    <m/>
    <m/>
    <m/>
    <x v="0"/>
  </r>
  <r>
    <d v="2021-01-15T00:00:00"/>
    <x v="0"/>
    <x v="24"/>
    <x v="24"/>
    <n v="20000"/>
    <n v="20000"/>
    <n v="0"/>
    <x v="3"/>
    <s v="Cali"/>
    <m/>
    <m/>
    <m/>
    <m/>
    <x v="0"/>
  </r>
  <r>
    <d v="2021-01-15T00:00:00"/>
    <x v="0"/>
    <x v="13"/>
    <x v="13"/>
    <n v="-20000"/>
    <m/>
    <n v="20000"/>
    <x v="3"/>
    <s v="Cali"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20000"/>
    <n v="20000"/>
    <n v="0"/>
    <x v="4"/>
    <s v="Cali"/>
    <m/>
    <m/>
    <m/>
    <m/>
    <x v="0"/>
  </r>
  <r>
    <d v="2021-01-04T00:00:00"/>
    <x v="0"/>
    <x v="25"/>
    <x v="25"/>
    <n v="-20000"/>
    <m/>
    <n v="20000"/>
    <x v="4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150000"/>
    <n v="150000"/>
    <n v="0"/>
    <x v="5"/>
    <s v="Cali"/>
    <m/>
    <m/>
    <m/>
    <m/>
    <x v="0"/>
  </r>
  <r>
    <d v="2021-01-04T00:00:00"/>
    <x v="0"/>
    <x v="26"/>
    <x v="26"/>
    <n v="-150000"/>
    <m/>
    <n v="150000"/>
    <x v="5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17500"/>
    <n v="17500"/>
    <n v="0"/>
    <x v="6"/>
    <s v="Cali"/>
    <m/>
    <m/>
    <m/>
    <m/>
    <x v="0"/>
  </r>
  <r>
    <d v="2021-01-04T00:00:00"/>
    <x v="0"/>
    <x v="25"/>
    <x v="25"/>
    <n v="-17500"/>
    <m/>
    <n v="17500"/>
    <x v="6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250000"/>
    <n v="250000"/>
    <n v="0"/>
    <x v="7"/>
    <s v="Cali"/>
    <m/>
    <m/>
    <m/>
    <m/>
    <x v="0"/>
  </r>
  <r>
    <d v="2021-01-04T00:00:00"/>
    <x v="0"/>
    <x v="26"/>
    <x v="26"/>
    <n v="-250000"/>
    <m/>
    <n v="250000"/>
    <x v="7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15000"/>
    <n v="15000"/>
    <n v="0"/>
    <x v="8"/>
    <s v="Cali"/>
    <m/>
    <m/>
    <m/>
    <m/>
    <x v="0"/>
  </r>
  <r>
    <d v="2021-01-04T00:00:00"/>
    <x v="0"/>
    <x v="27"/>
    <x v="27"/>
    <n v="-15000"/>
    <m/>
    <n v="15000"/>
    <x v="8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70000"/>
    <n v="70000"/>
    <n v="0"/>
    <x v="9"/>
    <s v="Cali"/>
    <m/>
    <m/>
    <m/>
    <m/>
    <x v="0"/>
  </r>
  <r>
    <d v="2021-01-04T00:00:00"/>
    <x v="0"/>
    <x v="26"/>
    <x v="26"/>
    <n v="-70000"/>
    <m/>
    <n v="70000"/>
    <x v="9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24000"/>
    <n v="24000"/>
    <n v="0"/>
    <x v="10"/>
    <s v="Cali"/>
    <m/>
    <m/>
    <m/>
    <m/>
    <x v="0"/>
  </r>
  <r>
    <d v="2021-01-04T00:00:00"/>
    <x v="0"/>
    <x v="25"/>
    <x v="25"/>
    <n v="-24000"/>
    <m/>
    <n v="24000"/>
    <x v="10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40000"/>
    <n v="40000"/>
    <n v="0"/>
    <x v="11"/>
    <s v="Cali"/>
    <m/>
    <m/>
    <m/>
    <m/>
    <x v="0"/>
  </r>
  <r>
    <d v="2021-01-04T00:00:00"/>
    <x v="0"/>
    <x v="27"/>
    <x v="27"/>
    <n v="-40000"/>
    <m/>
    <n v="40000"/>
    <x v="11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13"/>
    <x v="13"/>
    <n v="3000000"/>
    <n v="3000000"/>
    <n v="0"/>
    <x v="12"/>
    <s v="Cali"/>
    <m/>
    <m/>
    <m/>
    <m/>
    <x v="0"/>
  </r>
  <r>
    <d v="2021-01-04T00:00:00"/>
    <x v="0"/>
    <x v="0"/>
    <x v="0"/>
    <n v="-3000000"/>
    <n v="0"/>
    <n v="3000000"/>
    <x v="12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0"/>
    <n v="0"/>
    <n v="0"/>
    <x v="13"/>
    <s v="Cali"/>
    <m/>
    <m/>
    <m/>
    <m/>
    <x v="0"/>
  </r>
  <r>
    <d v="2021-01-04T00:00:00"/>
    <x v="0"/>
    <x v="28"/>
    <x v="28"/>
    <n v="0"/>
    <m/>
    <n v="0"/>
    <x v="13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48000"/>
    <n v="48000"/>
    <n v="0"/>
    <x v="14"/>
    <s v="Cali"/>
    <m/>
    <m/>
    <m/>
    <m/>
    <x v="0"/>
  </r>
  <r>
    <d v="2021-01-04T00:00:00"/>
    <x v="0"/>
    <x v="27"/>
    <x v="27"/>
    <n v="-48000"/>
    <m/>
    <n v="48000"/>
    <x v="14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40000"/>
    <n v="40000"/>
    <n v="0"/>
    <x v="15"/>
    <s v="Cali"/>
    <m/>
    <m/>
    <m/>
    <m/>
    <x v="0"/>
  </r>
  <r>
    <d v="2021-01-04T00:00:00"/>
    <x v="0"/>
    <x v="25"/>
    <x v="25"/>
    <n v="-40000"/>
    <m/>
    <n v="40000"/>
    <x v="15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20000"/>
    <n v="20000"/>
    <n v="0"/>
    <x v="16"/>
    <s v="Cali"/>
    <m/>
    <m/>
    <m/>
    <m/>
    <x v="0"/>
  </r>
  <r>
    <d v="2021-01-04T00:00:00"/>
    <x v="0"/>
    <x v="26"/>
    <x v="26"/>
    <n v="-20000"/>
    <m/>
    <n v="20000"/>
    <x v="16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20000"/>
    <n v="20000"/>
    <n v="0"/>
    <x v="17"/>
    <s v="Cali"/>
    <m/>
    <m/>
    <m/>
    <m/>
    <x v="0"/>
  </r>
  <r>
    <d v="2021-01-04T00:00:00"/>
    <x v="0"/>
    <x v="25"/>
    <x v="25"/>
    <n v="-20000"/>
    <m/>
    <n v="20000"/>
    <x v="17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30000"/>
    <n v="30000"/>
    <n v="0"/>
    <x v="18"/>
    <s v="Cali"/>
    <m/>
    <m/>
    <m/>
    <m/>
    <x v="0"/>
  </r>
  <r>
    <d v="2021-01-04T00:00:00"/>
    <x v="0"/>
    <x v="26"/>
    <x v="26"/>
    <n v="-30000"/>
    <m/>
    <n v="30000"/>
    <x v="18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50000"/>
    <n v="50000"/>
    <n v="0"/>
    <x v="19"/>
    <s v="Cali"/>
    <m/>
    <m/>
    <m/>
    <m/>
    <x v="0"/>
  </r>
  <r>
    <d v="2021-01-04T00:00:00"/>
    <x v="0"/>
    <x v="25"/>
    <x v="25"/>
    <n v="-50000"/>
    <m/>
    <n v="50000"/>
    <x v="19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15000"/>
    <n v="15000"/>
    <n v="0"/>
    <x v="20"/>
    <s v="Cali"/>
    <m/>
    <m/>
    <m/>
    <m/>
    <x v="0"/>
  </r>
  <r>
    <d v="2021-01-04T00:00:00"/>
    <x v="0"/>
    <x v="25"/>
    <x v="25"/>
    <n v="-15000"/>
    <m/>
    <n v="15000"/>
    <x v="20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25000"/>
    <n v="25000"/>
    <n v="0"/>
    <x v="21"/>
    <s v="Cali"/>
    <m/>
    <m/>
    <m/>
    <m/>
    <x v="0"/>
  </r>
  <r>
    <d v="2021-01-04T00:00:00"/>
    <x v="0"/>
    <x v="27"/>
    <x v="27"/>
    <n v="-25000"/>
    <m/>
    <n v="25000"/>
    <x v="21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80000"/>
    <n v="80000"/>
    <n v="0"/>
    <x v="22"/>
    <s v="Cali"/>
    <m/>
    <m/>
    <m/>
    <m/>
    <x v="0"/>
  </r>
  <r>
    <d v="2021-01-04T00:00:00"/>
    <x v="0"/>
    <x v="27"/>
    <x v="27"/>
    <n v="-80000"/>
    <m/>
    <n v="80000"/>
    <x v="22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45000"/>
    <n v="45000"/>
    <n v="0"/>
    <x v="23"/>
    <s v="Cali"/>
    <m/>
    <m/>
    <m/>
    <m/>
    <x v="0"/>
  </r>
  <r>
    <d v="2021-01-04T00:00:00"/>
    <x v="0"/>
    <x v="26"/>
    <x v="26"/>
    <n v="-45000"/>
    <m/>
    <n v="45000"/>
    <x v="23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100000"/>
    <n v="100000"/>
    <n v="0"/>
    <x v="24"/>
    <s v="Cali"/>
    <m/>
    <m/>
    <m/>
    <m/>
    <x v="0"/>
  </r>
  <r>
    <d v="2021-01-04T00:00:00"/>
    <x v="0"/>
    <x v="27"/>
    <x v="27"/>
    <n v="-100000"/>
    <m/>
    <n v="100000"/>
    <x v="24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25000"/>
    <n v="25000"/>
    <n v="0"/>
    <x v="25"/>
    <s v="Cali"/>
    <m/>
    <m/>
    <m/>
    <m/>
    <x v="0"/>
  </r>
  <r>
    <d v="2021-01-04T00:00:00"/>
    <x v="0"/>
    <x v="25"/>
    <x v="25"/>
    <n v="-25000"/>
    <m/>
    <n v="25000"/>
    <x v="25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55000"/>
    <n v="55000"/>
    <n v="0"/>
    <x v="26"/>
    <s v="Cali"/>
    <m/>
    <m/>
    <m/>
    <m/>
    <x v="0"/>
  </r>
  <r>
    <d v="2021-01-04T00:00:00"/>
    <x v="0"/>
    <x v="25"/>
    <x v="25"/>
    <n v="-55000"/>
    <m/>
    <n v="55000"/>
    <x v="26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40000"/>
    <n v="40000"/>
    <n v="0"/>
    <x v="27"/>
    <s v="Cali"/>
    <m/>
    <m/>
    <m/>
    <m/>
    <x v="0"/>
  </r>
  <r>
    <d v="2021-01-04T00:00:00"/>
    <x v="0"/>
    <x v="25"/>
    <x v="25"/>
    <n v="-40000"/>
    <m/>
    <n v="40000"/>
    <x v="27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50000"/>
    <n v="50000"/>
    <n v="0"/>
    <x v="28"/>
    <s v="Cali"/>
    <m/>
    <m/>
    <m/>
    <m/>
    <x v="0"/>
  </r>
  <r>
    <d v="2021-01-04T00:00:00"/>
    <x v="0"/>
    <x v="25"/>
    <x v="25"/>
    <n v="-50000"/>
    <m/>
    <n v="50000"/>
    <x v="28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30000"/>
    <n v="30000"/>
    <n v="0"/>
    <x v="29"/>
    <s v="Cali"/>
    <m/>
    <m/>
    <m/>
    <m/>
    <x v="0"/>
  </r>
  <r>
    <d v="2021-01-04T00:00:00"/>
    <x v="0"/>
    <x v="26"/>
    <x v="26"/>
    <n v="-30000"/>
    <m/>
    <n v="30000"/>
    <x v="29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5000"/>
    <n v="5000"/>
    <n v="0"/>
    <x v="1"/>
    <s v="Cali"/>
    <m/>
    <m/>
    <m/>
    <m/>
    <x v="0"/>
  </r>
  <r>
    <d v="2021-01-04T00:00:00"/>
    <x v="0"/>
    <x v="19"/>
    <x v="19"/>
    <n v="-5000"/>
    <m/>
    <n v="5000"/>
    <x v="30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8000"/>
    <n v="8000"/>
    <n v="0"/>
    <x v="1"/>
    <s v="Cali"/>
    <m/>
    <m/>
    <m/>
    <m/>
    <x v="0"/>
  </r>
  <r>
    <d v="2021-01-04T00:00:00"/>
    <x v="0"/>
    <x v="19"/>
    <x v="19"/>
    <n v="-8000"/>
    <m/>
    <n v="8000"/>
    <x v="30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10000"/>
    <n v="10000"/>
    <n v="0"/>
    <x v="31"/>
    <s v="Cali"/>
    <m/>
    <m/>
    <m/>
    <m/>
    <x v="0"/>
  </r>
  <r>
    <d v="2021-01-04T00:00:00"/>
    <x v="0"/>
    <x v="25"/>
    <x v="25"/>
    <n v="-10000"/>
    <m/>
    <n v="10000"/>
    <x v="31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50000"/>
    <n v="50000"/>
    <n v="0"/>
    <x v="32"/>
    <s v="Cali"/>
    <m/>
    <m/>
    <m/>
    <m/>
    <x v="0"/>
  </r>
  <r>
    <d v="2021-01-04T00:00:00"/>
    <x v="0"/>
    <x v="25"/>
    <x v="25"/>
    <n v="-50000"/>
    <m/>
    <n v="50000"/>
    <x v="32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150000"/>
    <n v="150000"/>
    <n v="0"/>
    <x v="33"/>
    <s v="Cali"/>
    <m/>
    <m/>
    <m/>
    <m/>
    <x v="0"/>
  </r>
  <r>
    <d v="2021-01-04T00:00:00"/>
    <x v="0"/>
    <x v="25"/>
    <x v="25"/>
    <n v="-150000"/>
    <m/>
    <n v="150000"/>
    <x v="33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10000"/>
    <n v="10000"/>
    <n v="0"/>
    <x v="34"/>
    <s v="Cali"/>
    <m/>
    <m/>
    <m/>
    <m/>
    <x v="0"/>
  </r>
  <r>
    <d v="2021-01-04T00:00:00"/>
    <x v="0"/>
    <x v="25"/>
    <x v="25"/>
    <n v="-10000"/>
    <m/>
    <n v="10000"/>
    <x v="34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20000"/>
    <n v="20000"/>
    <n v="0"/>
    <x v="35"/>
    <s v="Cali"/>
    <m/>
    <m/>
    <m/>
    <m/>
    <x v="0"/>
  </r>
  <r>
    <d v="2021-01-04T00:00:00"/>
    <x v="0"/>
    <x v="26"/>
    <x v="26"/>
    <n v="-20000"/>
    <m/>
    <n v="20000"/>
    <x v="35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4907"/>
    <n v="4907"/>
    <n v="0"/>
    <x v="36"/>
    <s v="Cali"/>
    <m/>
    <m/>
    <m/>
    <m/>
    <x v="0"/>
  </r>
  <r>
    <d v="2021-01-04T00:00:00"/>
    <x v="0"/>
    <x v="19"/>
    <x v="19"/>
    <n v="-4907"/>
    <m/>
    <n v="4907"/>
    <x v="36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70000"/>
    <n v="70000"/>
    <n v="0"/>
    <x v="37"/>
    <s v="Cali"/>
    <m/>
    <m/>
    <m/>
    <m/>
    <x v="0"/>
  </r>
  <r>
    <d v="2021-01-04T00:00:00"/>
    <x v="0"/>
    <x v="25"/>
    <x v="25"/>
    <n v="-70000"/>
    <m/>
    <n v="70000"/>
    <x v="37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20000"/>
    <n v="20000"/>
    <n v="0"/>
    <x v="38"/>
    <s v="Cali"/>
    <m/>
    <m/>
    <m/>
    <m/>
    <x v="0"/>
  </r>
  <r>
    <d v="2021-01-04T00:00:00"/>
    <x v="0"/>
    <x v="25"/>
    <x v="25"/>
    <n v="-20000"/>
    <m/>
    <n v="20000"/>
    <x v="38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0"/>
    <x v="0"/>
    <n v="12000"/>
    <n v="12000"/>
    <n v="0"/>
    <x v="1"/>
    <s v="Cali"/>
    <m/>
    <m/>
    <m/>
    <m/>
    <x v="0"/>
  </r>
  <r>
    <d v="2021-01-04T00:00:00"/>
    <x v="0"/>
    <x v="19"/>
    <x v="19"/>
    <n v="-12000"/>
    <m/>
    <n v="12000"/>
    <x v="30"/>
    <s v="Cali"/>
    <m/>
    <m/>
    <m/>
    <m/>
    <x v="0"/>
  </r>
  <r>
    <m/>
    <x v="1"/>
    <x v="23"/>
    <x v="23"/>
    <m/>
    <m/>
    <m/>
    <x v="1"/>
    <m/>
    <m/>
    <m/>
    <m/>
    <m/>
    <x v="0"/>
  </r>
  <r>
    <d v="2021-01-05T00:00:00"/>
    <x v="0"/>
    <x v="0"/>
    <x v="0"/>
    <n v="20000"/>
    <n v="20000"/>
    <n v="0"/>
    <x v="39"/>
    <s v="Cali"/>
    <m/>
    <m/>
    <m/>
    <m/>
    <x v="0"/>
  </r>
  <r>
    <d v="2021-01-05T00:00:00"/>
    <x v="0"/>
    <x v="25"/>
    <x v="25"/>
    <n v="-20000"/>
    <m/>
    <n v="20000"/>
    <x v="39"/>
    <s v="Cali"/>
    <m/>
    <m/>
    <m/>
    <m/>
    <x v="0"/>
  </r>
  <r>
    <m/>
    <x v="1"/>
    <x v="23"/>
    <x v="23"/>
    <m/>
    <m/>
    <m/>
    <x v="1"/>
    <m/>
    <m/>
    <m/>
    <m/>
    <m/>
    <x v="0"/>
  </r>
  <r>
    <d v="2021-01-05T00:00:00"/>
    <x v="0"/>
    <x v="0"/>
    <x v="0"/>
    <n v="20000"/>
    <n v="20000"/>
    <n v="0"/>
    <x v="40"/>
    <s v="Cali"/>
    <m/>
    <m/>
    <m/>
    <m/>
    <x v="0"/>
  </r>
  <r>
    <d v="2021-01-05T00:00:00"/>
    <x v="0"/>
    <x v="25"/>
    <x v="25"/>
    <n v="-20000"/>
    <m/>
    <n v="20000"/>
    <x v="40"/>
    <s v="Cali"/>
    <m/>
    <m/>
    <m/>
    <m/>
    <x v="0"/>
  </r>
  <r>
    <m/>
    <x v="1"/>
    <x v="23"/>
    <x v="23"/>
    <m/>
    <m/>
    <m/>
    <x v="1"/>
    <m/>
    <m/>
    <m/>
    <m/>
    <m/>
    <x v="0"/>
  </r>
  <r>
    <d v="2021-01-05T00:00:00"/>
    <x v="0"/>
    <x v="0"/>
    <x v="0"/>
    <n v="15000"/>
    <n v="15000"/>
    <n v="0"/>
    <x v="41"/>
    <s v="Cali"/>
    <m/>
    <m/>
    <m/>
    <m/>
    <x v="0"/>
  </r>
  <r>
    <d v="2021-01-05T00:00:00"/>
    <x v="0"/>
    <x v="29"/>
    <x v="29"/>
    <n v="-15000"/>
    <m/>
    <n v="15000"/>
    <x v="41"/>
    <s v="Cali"/>
    <m/>
    <m/>
    <m/>
    <m/>
    <x v="0"/>
  </r>
  <r>
    <m/>
    <x v="1"/>
    <x v="23"/>
    <x v="23"/>
    <m/>
    <m/>
    <m/>
    <x v="1"/>
    <m/>
    <m/>
    <m/>
    <m/>
    <m/>
    <x v="0"/>
  </r>
  <r>
    <d v="2021-01-05T00:00:00"/>
    <x v="0"/>
    <x v="0"/>
    <x v="0"/>
    <n v="50000"/>
    <n v="50000"/>
    <n v="0"/>
    <x v="42"/>
    <s v="Cali"/>
    <m/>
    <m/>
    <m/>
    <m/>
    <x v="0"/>
  </r>
  <r>
    <d v="2021-01-05T00:00:00"/>
    <x v="0"/>
    <x v="26"/>
    <x v="26"/>
    <n v="-50000"/>
    <m/>
    <n v="50000"/>
    <x v="42"/>
    <s v="Cali"/>
    <m/>
    <m/>
    <m/>
    <m/>
    <x v="0"/>
  </r>
  <r>
    <m/>
    <x v="1"/>
    <x v="23"/>
    <x v="23"/>
    <m/>
    <m/>
    <m/>
    <x v="1"/>
    <m/>
    <m/>
    <m/>
    <m/>
    <m/>
    <x v="0"/>
  </r>
  <r>
    <d v="2021-01-05T00:00:00"/>
    <x v="0"/>
    <x v="0"/>
    <x v="0"/>
    <n v="10000"/>
    <n v="10000"/>
    <n v="0"/>
    <x v="43"/>
    <s v="Cali"/>
    <m/>
    <m/>
    <m/>
    <m/>
    <x v="0"/>
  </r>
  <r>
    <d v="2021-01-05T00:00:00"/>
    <x v="0"/>
    <x v="26"/>
    <x v="26"/>
    <n v="-10000"/>
    <m/>
    <n v="10000"/>
    <x v="43"/>
    <s v="Cali"/>
    <m/>
    <m/>
    <m/>
    <m/>
    <x v="0"/>
  </r>
  <r>
    <m/>
    <x v="1"/>
    <x v="23"/>
    <x v="23"/>
    <m/>
    <m/>
    <m/>
    <x v="1"/>
    <m/>
    <m/>
    <m/>
    <m/>
    <m/>
    <x v="0"/>
  </r>
  <r>
    <d v="2021-01-05T00:00:00"/>
    <x v="0"/>
    <x v="0"/>
    <x v="0"/>
    <n v="1435887"/>
    <n v="1435887"/>
    <n v="0"/>
    <x v="44"/>
    <s v="Cali"/>
    <m/>
    <m/>
    <m/>
    <m/>
    <x v="0"/>
  </r>
  <r>
    <d v="2021-01-05T00:00:00"/>
    <x v="0"/>
    <x v="30"/>
    <x v="30"/>
    <n v="0"/>
    <n v="0"/>
    <n v="0"/>
    <x v="44"/>
    <s v="Cali"/>
    <m/>
    <m/>
    <m/>
    <m/>
    <x v="0"/>
  </r>
  <r>
    <d v="2021-01-05T00:00:00"/>
    <x v="0"/>
    <x v="26"/>
    <x v="26"/>
    <n v="-1435887"/>
    <n v="0"/>
    <n v="1435887"/>
    <x v="44"/>
    <s v="Cali"/>
    <m/>
    <m/>
    <m/>
    <m/>
    <x v="0"/>
  </r>
  <r>
    <m/>
    <x v="1"/>
    <x v="23"/>
    <x v="23"/>
    <m/>
    <m/>
    <m/>
    <x v="1"/>
    <m/>
    <m/>
    <m/>
    <m/>
    <m/>
    <x v="0"/>
  </r>
  <r>
    <d v="2021-01-05T00:00:00"/>
    <x v="0"/>
    <x v="0"/>
    <x v="0"/>
    <n v="14721"/>
    <n v="14721"/>
    <n v="0"/>
    <x v="36"/>
    <s v="Cali"/>
    <m/>
    <m/>
    <m/>
    <m/>
    <x v="0"/>
  </r>
  <r>
    <d v="2021-01-05T00:00:00"/>
    <x v="0"/>
    <x v="19"/>
    <x v="19"/>
    <n v="-14721"/>
    <m/>
    <n v="14721"/>
    <x v="36"/>
    <s v="Cali"/>
    <m/>
    <m/>
    <m/>
    <m/>
    <x v="0"/>
  </r>
  <r>
    <m/>
    <x v="1"/>
    <x v="23"/>
    <x v="23"/>
    <m/>
    <m/>
    <m/>
    <x v="1"/>
    <m/>
    <m/>
    <m/>
    <m/>
    <m/>
    <x v="0"/>
  </r>
  <r>
    <d v="2021-01-05T00:00:00"/>
    <x v="0"/>
    <x v="0"/>
    <x v="0"/>
    <n v="60000"/>
    <n v="60000"/>
    <n v="0"/>
    <x v="45"/>
    <s v="Cali"/>
    <m/>
    <m/>
    <m/>
    <m/>
    <x v="0"/>
  </r>
  <r>
    <d v="2021-01-05T00:00:00"/>
    <x v="0"/>
    <x v="29"/>
    <x v="29"/>
    <n v="-60000"/>
    <m/>
    <n v="60000"/>
    <x v="45"/>
    <s v="Cali"/>
    <m/>
    <m/>
    <m/>
    <m/>
    <x v="0"/>
  </r>
  <r>
    <m/>
    <x v="1"/>
    <x v="23"/>
    <x v="23"/>
    <m/>
    <m/>
    <m/>
    <x v="1"/>
    <m/>
    <m/>
    <m/>
    <m/>
    <m/>
    <x v="0"/>
  </r>
  <r>
    <d v="2021-01-05T00:00:00"/>
    <x v="0"/>
    <x v="0"/>
    <x v="0"/>
    <n v="59000"/>
    <n v="59000"/>
    <n v="0"/>
    <x v="1"/>
    <s v="Cali"/>
    <m/>
    <m/>
    <m/>
    <m/>
    <x v="0"/>
  </r>
  <r>
    <d v="2021-01-05T00:00:00"/>
    <x v="0"/>
    <x v="4"/>
    <x v="4"/>
    <n v="-59000"/>
    <m/>
    <n v="59000"/>
    <x v="30"/>
    <s v="Cali"/>
    <m/>
    <m/>
    <m/>
    <m/>
    <x v="0"/>
  </r>
  <r>
    <m/>
    <x v="1"/>
    <x v="23"/>
    <x v="23"/>
    <m/>
    <m/>
    <m/>
    <x v="1"/>
    <m/>
    <m/>
    <m/>
    <m/>
    <m/>
    <x v="0"/>
  </r>
  <r>
    <d v="2021-01-06T00:00:00"/>
    <x v="0"/>
    <x v="0"/>
    <x v="0"/>
    <n v="120000"/>
    <n v="120000"/>
    <n v="0"/>
    <x v="46"/>
    <s v="Cali"/>
    <m/>
    <m/>
    <m/>
    <m/>
    <x v="0"/>
  </r>
  <r>
    <d v="2021-01-06T00:00:00"/>
    <x v="0"/>
    <x v="26"/>
    <x v="26"/>
    <n v="-120000"/>
    <m/>
    <n v="120000"/>
    <x v="46"/>
    <s v="Cali"/>
    <m/>
    <m/>
    <m/>
    <m/>
    <x v="0"/>
  </r>
  <r>
    <m/>
    <x v="1"/>
    <x v="23"/>
    <x v="23"/>
    <m/>
    <m/>
    <m/>
    <x v="1"/>
    <m/>
    <m/>
    <m/>
    <m/>
    <m/>
    <x v="0"/>
  </r>
  <r>
    <d v="2021-01-06T00:00:00"/>
    <x v="0"/>
    <x v="0"/>
    <x v="0"/>
    <n v="40000"/>
    <n v="40000"/>
    <n v="0"/>
    <x v="47"/>
    <s v="Cali"/>
    <m/>
    <m/>
    <m/>
    <m/>
    <x v="0"/>
  </r>
  <r>
    <d v="2021-01-06T00:00:00"/>
    <x v="0"/>
    <x v="25"/>
    <x v="25"/>
    <n v="-40000"/>
    <m/>
    <n v="40000"/>
    <x v="47"/>
    <s v="Cali"/>
    <m/>
    <m/>
    <m/>
    <m/>
    <x v="0"/>
  </r>
  <r>
    <m/>
    <x v="1"/>
    <x v="23"/>
    <x v="23"/>
    <m/>
    <m/>
    <m/>
    <x v="1"/>
    <m/>
    <m/>
    <m/>
    <m/>
    <m/>
    <x v="0"/>
  </r>
  <r>
    <d v="2021-01-06T00:00:00"/>
    <x v="0"/>
    <x v="0"/>
    <x v="0"/>
    <n v="15000"/>
    <n v="15000"/>
    <n v="0"/>
    <x v="48"/>
    <s v="Cali"/>
    <m/>
    <m/>
    <m/>
    <m/>
    <x v="0"/>
  </r>
  <r>
    <d v="2021-01-06T00:00:00"/>
    <x v="0"/>
    <x v="26"/>
    <x v="26"/>
    <n v="-15000"/>
    <m/>
    <n v="15000"/>
    <x v="48"/>
    <s v="Cali"/>
    <m/>
    <m/>
    <m/>
    <m/>
    <x v="0"/>
  </r>
  <r>
    <m/>
    <x v="1"/>
    <x v="23"/>
    <x v="23"/>
    <m/>
    <m/>
    <m/>
    <x v="1"/>
    <m/>
    <m/>
    <m/>
    <m/>
    <m/>
    <x v="0"/>
  </r>
  <r>
    <d v="2021-01-06T00:00:00"/>
    <x v="0"/>
    <x v="0"/>
    <x v="0"/>
    <n v="8846507"/>
    <n v="8846507"/>
    <n v="0"/>
    <x v="49"/>
    <s v="Cali"/>
    <m/>
    <m/>
    <m/>
    <n v="8446557"/>
    <x v="0"/>
  </r>
  <r>
    <d v="2021-01-06T00:00:00"/>
    <x v="0"/>
    <x v="5"/>
    <x v="5"/>
    <n v="-8846507"/>
    <m/>
    <n v="8846507"/>
    <x v="49"/>
    <s v="Cali"/>
    <m/>
    <m/>
    <m/>
    <m/>
    <x v="0"/>
  </r>
  <r>
    <m/>
    <x v="1"/>
    <x v="23"/>
    <x v="23"/>
    <m/>
    <m/>
    <m/>
    <x v="1"/>
    <m/>
    <m/>
    <m/>
    <m/>
    <m/>
    <x v="0"/>
  </r>
  <r>
    <d v="2021-01-06T00:00:00"/>
    <x v="0"/>
    <x v="0"/>
    <x v="0"/>
    <n v="18000"/>
    <n v="18000"/>
    <n v="0"/>
    <x v="50"/>
    <s v="Cali"/>
    <m/>
    <m/>
    <m/>
    <m/>
    <x v="0"/>
  </r>
  <r>
    <d v="2021-01-06T00:00:00"/>
    <x v="0"/>
    <x v="27"/>
    <x v="27"/>
    <n v="-18000"/>
    <m/>
    <n v="18000"/>
    <x v="50"/>
    <s v="Cali"/>
    <m/>
    <m/>
    <m/>
    <m/>
    <x v="0"/>
  </r>
  <r>
    <m/>
    <x v="1"/>
    <x v="23"/>
    <x v="23"/>
    <m/>
    <m/>
    <m/>
    <x v="1"/>
    <m/>
    <m/>
    <m/>
    <m/>
    <m/>
    <x v="0"/>
  </r>
  <r>
    <d v="2021-01-06T00:00:00"/>
    <x v="0"/>
    <x v="0"/>
    <x v="0"/>
    <n v="55000"/>
    <n v="55000"/>
    <n v="0"/>
    <x v="51"/>
    <s v="Cali"/>
    <m/>
    <m/>
    <m/>
    <m/>
    <x v="0"/>
  </r>
  <r>
    <d v="2021-01-06T00:00:00"/>
    <x v="0"/>
    <x v="27"/>
    <x v="27"/>
    <n v="-55000"/>
    <m/>
    <n v="55000"/>
    <x v="51"/>
    <s v="Cali"/>
    <m/>
    <m/>
    <m/>
    <m/>
    <x v="0"/>
  </r>
  <r>
    <m/>
    <x v="1"/>
    <x v="23"/>
    <x v="23"/>
    <m/>
    <m/>
    <m/>
    <x v="1"/>
    <m/>
    <m/>
    <m/>
    <m/>
    <m/>
    <x v="0"/>
  </r>
  <r>
    <d v="2021-01-06T00:00:00"/>
    <x v="0"/>
    <x v="0"/>
    <x v="0"/>
    <n v="20000"/>
    <n v="20000"/>
    <n v="0"/>
    <x v="52"/>
    <s v="Cali"/>
    <m/>
    <m/>
    <m/>
    <m/>
    <x v="0"/>
  </r>
  <r>
    <d v="2021-01-06T00:00:00"/>
    <x v="0"/>
    <x v="25"/>
    <x v="25"/>
    <n v="-20000"/>
    <m/>
    <n v="20000"/>
    <x v="52"/>
    <s v="Cali"/>
    <m/>
    <m/>
    <m/>
    <m/>
    <x v="0"/>
  </r>
  <r>
    <m/>
    <x v="1"/>
    <x v="23"/>
    <x v="23"/>
    <m/>
    <m/>
    <m/>
    <x v="1"/>
    <m/>
    <m/>
    <m/>
    <m/>
    <m/>
    <x v="0"/>
  </r>
  <r>
    <d v="2021-01-06T00:00:00"/>
    <x v="0"/>
    <x v="31"/>
    <x v="31"/>
    <n v="2076"/>
    <n v="2076"/>
    <n v="0"/>
    <x v="53"/>
    <s v="Cali"/>
    <m/>
    <m/>
    <m/>
    <m/>
    <x v="0"/>
  </r>
  <r>
    <d v="2021-01-06T00:00:00"/>
    <x v="0"/>
    <x v="0"/>
    <x v="0"/>
    <n v="-2076"/>
    <m/>
    <n v="2076"/>
    <x v="53"/>
    <s v="Cali"/>
    <m/>
    <m/>
    <m/>
    <m/>
    <x v="0"/>
  </r>
  <r>
    <m/>
    <x v="1"/>
    <x v="23"/>
    <x v="23"/>
    <m/>
    <m/>
    <m/>
    <x v="1"/>
    <m/>
    <m/>
    <m/>
    <m/>
    <m/>
    <x v="0"/>
  </r>
  <r>
    <d v="2021-01-07T00:00:00"/>
    <x v="0"/>
    <x v="0"/>
    <x v="0"/>
    <n v="2944"/>
    <n v="2944"/>
    <n v="0"/>
    <x v="36"/>
    <s v="Cali"/>
    <m/>
    <m/>
    <m/>
    <m/>
    <x v="0"/>
  </r>
  <r>
    <d v="2021-01-07T00:00:00"/>
    <x v="0"/>
    <x v="19"/>
    <x v="19"/>
    <n v="-2944"/>
    <m/>
    <n v="2944"/>
    <x v="36"/>
    <s v="Cali"/>
    <m/>
    <m/>
    <m/>
    <m/>
    <x v="0"/>
  </r>
  <r>
    <m/>
    <x v="1"/>
    <x v="23"/>
    <x v="23"/>
    <m/>
    <m/>
    <m/>
    <x v="1"/>
    <m/>
    <m/>
    <m/>
    <m/>
    <m/>
    <x v="0"/>
  </r>
  <r>
    <d v="2021-01-07T00:00:00"/>
    <x v="0"/>
    <x v="0"/>
    <x v="0"/>
    <n v="1400000"/>
    <n v="1400000"/>
    <n v="0"/>
    <x v="54"/>
    <s v="Cali"/>
    <m/>
    <m/>
    <m/>
    <m/>
    <x v="0"/>
  </r>
  <r>
    <d v="2021-01-07T00:00:00"/>
    <x v="0"/>
    <x v="26"/>
    <x v="26"/>
    <n v="-1400000"/>
    <m/>
    <n v="1400000"/>
    <x v="54"/>
    <s v="Cali"/>
    <m/>
    <m/>
    <m/>
    <m/>
    <x v="0"/>
  </r>
  <r>
    <m/>
    <x v="1"/>
    <x v="23"/>
    <x v="23"/>
    <m/>
    <m/>
    <m/>
    <x v="1"/>
    <m/>
    <m/>
    <m/>
    <m/>
    <m/>
    <x v="0"/>
  </r>
  <r>
    <d v="2021-01-08T00:00:00"/>
    <x v="0"/>
    <x v="0"/>
    <x v="0"/>
    <n v="40000"/>
    <n v="40000"/>
    <n v="0"/>
    <x v="55"/>
    <s v="Cali"/>
    <m/>
    <m/>
    <m/>
    <m/>
    <x v="0"/>
  </r>
  <r>
    <d v="2021-01-08T00:00:00"/>
    <x v="0"/>
    <x v="25"/>
    <x v="25"/>
    <n v="-40000"/>
    <m/>
    <n v="40000"/>
    <x v="55"/>
    <s v="Cali"/>
    <m/>
    <m/>
    <m/>
    <m/>
    <x v="0"/>
  </r>
  <r>
    <m/>
    <x v="1"/>
    <x v="23"/>
    <x v="23"/>
    <m/>
    <m/>
    <m/>
    <x v="1"/>
    <m/>
    <m/>
    <m/>
    <m/>
    <m/>
    <x v="0"/>
  </r>
  <r>
    <d v="2021-01-08T00:00:00"/>
    <x v="0"/>
    <x v="0"/>
    <x v="0"/>
    <n v="19629"/>
    <n v="19629"/>
    <n v="0"/>
    <x v="36"/>
    <s v="Cali"/>
    <m/>
    <m/>
    <m/>
    <m/>
    <x v="0"/>
  </r>
  <r>
    <d v="2021-01-08T00:00:00"/>
    <x v="0"/>
    <x v="19"/>
    <x v="19"/>
    <n v="-19629"/>
    <m/>
    <n v="19629"/>
    <x v="36"/>
    <s v="Cali"/>
    <m/>
    <m/>
    <m/>
    <m/>
    <x v="0"/>
  </r>
  <r>
    <m/>
    <x v="1"/>
    <x v="23"/>
    <x v="23"/>
    <m/>
    <m/>
    <m/>
    <x v="1"/>
    <m/>
    <m/>
    <m/>
    <m/>
    <m/>
    <x v="0"/>
  </r>
  <r>
    <d v="2021-01-08T00:00:00"/>
    <x v="0"/>
    <x v="0"/>
    <x v="0"/>
    <n v="10000"/>
    <n v="10000"/>
    <n v="0"/>
    <x v="56"/>
    <s v="Cali"/>
    <m/>
    <m/>
    <m/>
    <m/>
    <x v="0"/>
  </r>
  <r>
    <d v="2021-01-08T00:00:00"/>
    <x v="0"/>
    <x v="25"/>
    <x v="25"/>
    <n v="-10000"/>
    <m/>
    <n v="10000"/>
    <x v="56"/>
    <s v="Cali"/>
    <m/>
    <m/>
    <m/>
    <m/>
    <x v="0"/>
  </r>
  <r>
    <m/>
    <x v="1"/>
    <x v="23"/>
    <x v="23"/>
    <m/>
    <m/>
    <m/>
    <x v="1"/>
    <m/>
    <m/>
    <m/>
    <m/>
    <m/>
    <x v="0"/>
  </r>
  <r>
    <d v="2021-01-08T00:00:00"/>
    <x v="0"/>
    <x v="0"/>
    <x v="0"/>
    <n v="10000"/>
    <n v="10000"/>
    <n v="0"/>
    <x v="57"/>
    <s v="Cali"/>
    <m/>
    <m/>
    <m/>
    <m/>
    <x v="0"/>
  </r>
  <r>
    <d v="2021-01-08T00:00:00"/>
    <x v="0"/>
    <x v="26"/>
    <x v="26"/>
    <n v="-10000"/>
    <m/>
    <n v="10000"/>
    <x v="57"/>
    <s v="Cali"/>
    <m/>
    <m/>
    <m/>
    <m/>
    <x v="0"/>
  </r>
  <r>
    <m/>
    <x v="1"/>
    <x v="23"/>
    <x v="23"/>
    <m/>
    <m/>
    <m/>
    <x v="1"/>
    <m/>
    <m/>
    <m/>
    <m/>
    <m/>
    <x v="0"/>
  </r>
  <r>
    <d v="2021-01-11T00:00:00"/>
    <x v="0"/>
    <x v="0"/>
    <x v="0"/>
    <n v="750000"/>
    <n v="750000"/>
    <n v="0"/>
    <x v="58"/>
    <s v="Cali"/>
    <m/>
    <m/>
    <m/>
    <m/>
    <x v="0"/>
  </r>
  <r>
    <d v="2021-01-11T00:00:00"/>
    <x v="0"/>
    <x v="26"/>
    <x v="26"/>
    <n v="-750000"/>
    <m/>
    <n v="750000"/>
    <x v="58"/>
    <s v="Cali"/>
    <m/>
    <m/>
    <m/>
    <m/>
    <x v="0"/>
  </r>
  <r>
    <m/>
    <x v="1"/>
    <x v="23"/>
    <x v="23"/>
    <m/>
    <m/>
    <m/>
    <x v="1"/>
    <m/>
    <m/>
    <m/>
    <m/>
    <m/>
    <x v="0"/>
  </r>
  <r>
    <d v="2021-01-11T00:00:00"/>
    <x v="0"/>
    <x v="0"/>
    <x v="0"/>
    <n v="10000"/>
    <n v="10000"/>
    <n v="0"/>
    <x v="1"/>
    <s v="Cali"/>
    <m/>
    <m/>
    <m/>
    <m/>
    <x v="0"/>
  </r>
  <r>
    <d v="2021-01-11T00:00:00"/>
    <x v="0"/>
    <x v="19"/>
    <x v="19"/>
    <n v="-10000"/>
    <m/>
    <n v="10000"/>
    <x v="30"/>
    <s v="Cali"/>
    <m/>
    <m/>
    <m/>
    <m/>
    <x v="0"/>
  </r>
  <r>
    <m/>
    <x v="1"/>
    <x v="23"/>
    <x v="23"/>
    <m/>
    <m/>
    <m/>
    <x v="1"/>
    <m/>
    <m/>
    <m/>
    <m/>
    <m/>
    <x v="0"/>
  </r>
  <r>
    <d v="2021-01-11T00:00:00"/>
    <x v="0"/>
    <x v="0"/>
    <x v="0"/>
    <n v="30000"/>
    <n v="30000"/>
    <n v="0"/>
    <x v="59"/>
    <s v="Cali"/>
    <m/>
    <m/>
    <m/>
    <m/>
    <x v="0"/>
  </r>
  <r>
    <d v="2021-01-11T00:00:00"/>
    <x v="0"/>
    <x v="25"/>
    <x v="25"/>
    <n v="-30000"/>
    <m/>
    <n v="30000"/>
    <x v="59"/>
    <s v="Cali"/>
    <m/>
    <m/>
    <m/>
    <m/>
    <x v="0"/>
  </r>
  <r>
    <m/>
    <x v="1"/>
    <x v="23"/>
    <x v="23"/>
    <m/>
    <m/>
    <m/>
    <x v="1"/>
    <m/>
    <m/>
    <m/>
    <m/>
    <m/>
    <x v="0"/>
  </r>
  <r>
    <d v="2021-01-11T00:00:00"/>
    <x v="0"/>
    <x v="0"/>
    <x v="0"/>
    <n v="30000"/>
    <n v="30000"/>
    <n v="0"/>
    <x v="60"/>
    <s v="Cali"/>
    <m/>
    <m/>
    <m/>
    <m/>
    <x v="0"/>
  </r>
  <r>
    <d v="2021-01-11T00:00:00"/>
    <x v="0"/>
    <x v="26"/>
    <x v="26"/>
    <n v="-30000"/>
    <m/>
    <n v="30000"/>
    <x v="60"/>
    <s v="Cali"/>
    <m/>
    <m/>
    <m/>
    <m/>
    <x v="0"/>
  </r>
  <r>
    <m/>
    <x v="1"/>
    <x v="23"/>
    <x v="23"/>
    <m/>
    <m/>
    <m/>
    <x v="1"/>
    <m/>
    <m/>
    <m/>
    <m/>
    <m/>
    <x v="0"/>
  </r>
  <r>
    <d v="2021-01-11T00:00:00"/>
    <x v="0"/>
    <x v="0"/>
    <x v="0"/>
    <n v="1500"/>
    <n v="1500"/>
    <n v="0"/>
    <x v="1"/>
    <s v="Cali"/>
    <m/>
    <m/>
    <m/>
    <m/>
    <x v="0"/>
  </r>
  <r>
    <d v="2021-01-11T00:00:00"/>
    <x v="0"/>
    <x v="19"/>
    <x v="19"/>
    <n v="-1500"/>
    <m/>
    <n v="1500"/>
    <x v="1"/>
    <s v="Cali"/>
    <m/>
    <m/>
    <m/>
    <m/>
    <x v="0"/>
  </r>
  <r>
    <m/>
    <x v="1"/>
    <x v="23"/>
    <x v="23"/>
    <m/>
    <m/>
    <m/>
    <x v="1"/>
    <m/>
    <m/>
    <m/>
    <m/>
    <m/>
    <x v="0"/>
  </r>
  <r>
    <d v="2021-01-11T00:00:00"/>
    <x v="0"/>
    <x v="0"/>
    <x v="0"/>
    <n v="50000"/>
    <n v="50000"/>
    <n v="0"/>
    <x v="5"/>
    <s v="Cali"/>
    <m/>
    <m/>
    <m/>
    <m/>
    <x v="0"/>
  </r>
  <r>
    <d v="2021-01-11T00:00:00"/>
    <x v="0"/>
    <x v="26"/>
    <x v="26"/>
    <n v="-50000"/>
    <m/>
    <n v="50000"/>
    <x v="5"/>
    <s v="Cali"/>
    <m/>
    <m/>
    <m/>
    <m/>
    <x v="0"/>
  </r>
  <r>
    <m/>
    <x v="1"/>
    <x v="23"/>
    <x v="23"/>
    <m/>
    <m/>
    <m/>
    <x v="1"/>
    <m/>
    <m/>
    <m/>
    <m/>
    <m/>
    <x v="0"/>
  </r>
  <r>
    <d v="2021-01-11T00:00:00"/>
    <x v="0"/>
    <x v="0"/>
    <x v="0"/>
    <n v="30000"/>
    <n v="30000"/>
    <n v="0"/>
    <x v="61"/>
    <s v="Cali"/>
    <m/>
    <m/>
    <m/>
    <m/>
    <x v="0"/>
  </r>
  <r>
    <d v="2021-01-11T00:00:00"/>
    <x v="0"/>
    <x v="25"/>
    <x v="25"/>
    <n v="-30000"/>
    <m/>
    <n v="30000"/>
    <x v="61"/>
    <s v="Cali"/>
    <m/>
    <m/>
    <m/>
    <m/>
    <x v="0"/>
  </r>
  <r>
    <m/>
    <x v="1"/>
    <x v="23"/>
    <x v="23"/>
    <m/>
    <m/>
    <m/>
    <x v="1"/>
    <m/>
    <m/>
    <m/>
    <m/>
    <m/>
    <x v="0"/>
  </r>
  <r>
    <d v="2021-01-11T00:00:00"/>
    <x v="0"/>
    <x v="0"/>
    <x v="0"/>
    <n v="10000"/>
    <n v="10000"/>
    <n v="0"/>
    <x v="62"/>
    <s v="Cali"/>
    <m/>
    <m/>
    <m/>
    <m/>
    <x v="0"/>
  </r>
  <r>
    <d v="2021-01-11T00:00:00"/>
    <x v="0"/>
    <x v="27"/>
    <x v="27"/>
    <n v="-10000"/>
    <m/>
    <n v="10000"/>
    <x v="62"/>
    <s v="Cali"/>
    <m/>
    <m/>
    <m/>
    <m/>
    <x v="0"/>
  </r>
  <r>
    <m/>
    <x v="1"/>
    <x v="23"/>
    <x v="23"/>
    <m/>
    <m/>
    <m/>
    <x v="1"/>
    <m/>
    <m/>
    <m/>
    <m/>
    <m/>
    <x v="0"/>
  </r>
  <r>
    <d v="2021-01-11T00:00:00"/>
    <x v="0"/>
    <x v="0"/>
    <x v="0"/>
    <n v="500000"/>
    <n v="500000"/>
    <n v="0"/>
    <x v="63"/>
    <s v="Cali"/>
    <m/>
    <m/>
    <m/>
    <m/>
    <x v="0"/>
  </r>
  <r>
    <d v="2021-01-11T00:00:00"/>
    <x v="0"/>
    <x v="26"/>
    <x v="26"/>
    <n v="-500000"/>
    <m/>
    <n v="500000"/>
    <x v="63"/>
    <s v="Cali"/>
    <m/>
    <m/>
    <m/>
    <m/>
    <x v="0"/>
  </r>
  <r>
    <m/>
    <x v="1"/>
    <x v="23"/>
    <x v="23"/>
    <m/>
    <m/>
    <m/>
    <x v="1"/>
    <m/>
    <m/>
    <m/>
    <m/>
    <m/>
    <x v="0"/>
  </r>
  <r>
    <d v="2021-01-11T00:00:00"/>
    <x v="0"/>
    <x v="0"/>
    <x v="0"/>
    <n v="64000"/>
    <n v="64000"/>
    <n v="0"/>
    <x v="64"/>
    <s v="Cali"/>
    <m/>
    <m/>
    <m/>
    <m/>
    <x v="0"/>
  </r>
  <r>
    <d v="2021-01-11T00:00:00"/>
    <x v="0"/>
    <x v="27"/>
    <x v="27"/>
    <n v="-64000"/>
    <m/>
    <n v="64000"/>
    <x v="64"/>
    <s v="Cali"/>
    <m/>
    <m/>
    <m/>
    <m/>
    <x v="0"/>
  </r>
  <r>
    <m/>
    <x v="1"/>
    <x v="23"/>
    <x v="23"/>
    <m/>
    <m/>
    <m/>
    <x v="1"/>
    <m/>
    <m/>
    <m/>
    <m/>
    <m/>
    <x v="0"/>
  </r>
  <r>
    <d v="2021-01-11T00:00:00"/>
    <x v="0"/>
    <x v="0"/>
    <x v="0"/>
    <n v="15000"/>
    <n v="15000"/>
    <n v="0"/>
    <x v="65"/>
    <s v="Cali"/>
    <m/>
    <m/>
    <m/>
    <m/>
    <x v="0"/>
  </r>
  <r>
    <d v="2021-01-11T00:00:00"/>
    <x v="0"/>
    <x v="29"/>
    <x v="29"/>
    <n v="-15000"/>
    <m/>
    <n v="1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1-11T00:00:00"/>
    <x v="0"/>
    <x v="0"/>
    <x v="0"/>
    <n v="14000"/>
    <n v="14000"/>
    <n v="0"/>
    <x v="65"/>
    <s v="Cali"/>
    <m/>
    <m/>
    <m/>
    <m/>
    <x v="0"/>
  </r>
  <r>
    <d v="2021-01-11T00:00:00"/>
    <x v="0"/>
    <x v="29"/>
    <x v="29"/>
    <n v="-14000"/>
    <m/>
    <n v="14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1-11T00:00:00"/>
    <x v="0"/>
    <x v="0"/>
    <x v="0"/>
    <n v="215000"/>
    <n v="215000"/>
    <n v="0"/>
    <x v="65"/>
    <s v="Cali"/>
    <m/>
    <m/>
    <m/>
    <m/>
    <x v="0"/>
  </r>
  <r>
    <d v="2021-01-11T00:00:00"/>
    <x v="0"/>
    <x v="29"/>
    <x v="29"/>
    <n v="-215000"/>
    <m/>
    <n v="21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1-12T00:00:00"/>
    <x v="0"/>
    <x v="0"/>
    <x v="0"/>
    <n v="7400"/>
    <n v="7400"/>
    <n v="0"/>
    <x v="66"/>
    <s v="Cali"/>
    <m/>
    <m/>
    <m/>
    <m/>
    <x v="0"/>
  </r>
  <r>
    <d v="2021-01-12T00:00:00"/>
    <x v="0"/>
    <x v="27"/>
    <x v="27"/>
    <n v="-7400"/>
    <m/>
    <n v="7400"/>
    <x v="66"/>
    <s v="Cali"/>
    <m/>
    <m/>
    <m/>
    <m/>
    <x v="0"/>
  </r>
  <r>
    <m/>
    <x v="1"/>
    <x v="23"/>
    <x v="23"/>
    <m/>
    <m/>
    <m/>
    <x v="1"/>
    <m/>
    <m/>
    <m/>
    <m/>
    <m/>
    <x v="0"/>
  </r>
  <r>
    <d v="2021-01-12T00:00:00"/>
    <x v="0"/>
    <x v="0"/>
    <x v="0"/>
    <n v="9814"/>
    <n v="9814"/>
    <n v="0"/>
    <x v="36"/>
    <s v="Cali"/>
    <m/>
    <m/>
    <m/>
    <m/>
    <x v="0"/>
  </r>
  <r>
    <d v="2021-01-12T00:00:00"/>
    <x v="0"/>
    <x v="19"/>
    <x v="19"/>
    <n v="-9814"/>
    <m/>
    <n v="9814"/>
    <x v="36"/>
    <s v="Cali"/>
    <m/>
    <m/>
    <m/>
    <m/>
    <x v="0"/>
  </r>
  <r>
    <m/>
    <x v="1"/>
    <x v="23"/>
    <x v="23"/>
    <m/>
    <m/>
    <m/>
    <x v="1"/>
    <m/>
    <m/>
    <m/>
    <m/>
    <m/>
    <x v="0"/>
  </r>
  <r>
    <d v="2021-01-12T00:00:00"/>
    <x v="0"/>
    <x v="0"/>
    <x v="0"/>
    <n v="30000000"/>
    <n v="30000000"/>
    <n v="0"/>
    <x v="67"/>
    <s v="Cali"/>
    <m/>
    <m/>
    <m/>
    <m/>
    <x v="0"/>
  </r>
  <r>
    <d v="2021-01-12T00:00:00"/>
    <x v="0"/>
    <x v="26"/>
    <x v="26"/>
    <n v="-30000000"/>
    <m/>
    <n v="30000000"/>
    <x v="67"/>
    <s v="Cali"/>
    <m/>
    <m/>
    <m/>
    <m/>
    <x v="0"/>
  </r>
  <r>
    <m/>
    <x v="1"/>
    <x v="23"/>
    <x v="23"/>
    <m/>
    <m/>
    <m/>
    <x v="1"/>
    <m/>
    <m/>
    <m/>
    <m/>
    <m/>
    <x v="0"/>
  </r>
  <r>
    <d v="2021-01-13T00:00:00"/>
    <x v="0"/>
    <x v="0"/>
    <x v="0"/>
    <n v="100000"/>
    <n v="100000"/>
    <n v="0"/>
    <x v="68"/>
    <s v="Cali"/>
    <m/>
    <m/>
    <m/>
    <m/>
    <x v="0"/>
  </r>
  <r>
    <d v="2021-01-13T00:00:00"/>
    <x v="0"/>
    <x v="25"/>
    <x v="25"/>
    <n v="-100000"/>
    <n v="0"/>
    <n v="100000"/>
    <x v="68"/>
    <s v="Cali"/>
    <m/>
    <m/>
    <m/>
    <m/>
    <x v="0"/>
  </r>
  <r>
    <m/>
    <x v="1"/>
    <x v="23"/>
    <x v="23"/>
    <m/>
    <m/>
    <m/>
    <x v="1"/>
    <m/>
    <m/>
    <m/>
    <m/>
    <m/>
    <x v="0"/>
  </r>
  <r>
    <d v="2021-01-13T00:00:00"/>
    <x v="0"/>
    <x v="0"/>
    <x v="0"/>
    <n v="20000"/>
    <n v="20000"/>
    <n v="0"/>
    <x v="69"/>
    <s v="Cali"/>
    <m/>
    <m/>
    <m/>
    <m/>
    <x v="0"/>
  </r>
  <r>
    <d v="2021-01-13T00:00:00"/>
    <x v="0"/>
    <x v="26"/>
    <x v="26"/>
    <n v="-20000"/>
    <n v="0"/>
    <n v="20000"/>
    <x v="69"/>
    <s v="Cali"/>
    <m/>
    <m/>
    <m/>
    <m/>
    <x v="0"/>
  </r>
  <r>
    <m/>
    <x v="1"/>
    <x v="23"/>
    <x v="23"/>
    <m/>
    <m/>
    <m/>
    <x v="1"/>
    <m/>
    <m/>
    <m/>
    <m/>
    <m/>
    <x v="0"/>
  </r>
  <r>
    <d v="2021-01-13T00:00:00"/>
    <x v="0"/>
    <x v="0"/>
    <x v="0"/>
    <n v="25000"/>
    <n v="25000"/>
    <n v="0"/>
    <x v="70"/>
    <s v="Cali"/>
    <m/>
    <m/>
    <m/>
    <m/>
    <x v="0"/>
  </r>
  <r>
    <d v="2021-01-13T00:00:00"/>
    <x v="0"/>
    <x v="25"/>
    <x v="25"/>
    <n v="-25000"/>
    <n v="0"/>
    <n v="25000"/>
    <x v="70"/>
    <s v="Cali"/>
    <m/>
    <m/>
    <m/>
    <m/>
    <x v="0"/>
  </r>
  <r>
    <m/>
    <x v="1"/>
    <x v="23"/>
    <x v="23"/>
    <m/>
    <m/>
    <m/>
    <x v="1"/>
    <m/>
    <m/>
    <m/>
    <m/>
    <m/>
    <x v="0"/>
  </r>
  <r>
    <d v="2021-01-13T00:00:00"/>
    <x v="0"/>
    <x v="0"/>
    <x v="0"/>
    <n v="50000"/>
    <n v="50000"/>
    <n v="0"/>
    <x v="65"/>
    <s v="Cali"/>
    <m/>
    <m/>
    <m/>
    <m/>
    <x v="0"/>
  </r>
  <r>
    <d v="2021-01-13T00:00:00"/>
    <x v="0"/>
    <x v="29"/>
    <x v="29"/>
    <n v="-50000"/>
    <n v="0"/>
    <n v="5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1-13T00:00:00"/>
    <x v="0"/>
    <x v="0"/>
    <x v="0"/>
    <n v="30000"/>
    <n v="30000"/>
    <n v="0"/>
    <x v="65"/>
    <s v="Cali"/>
    <m/>
    <m/>
    <m/>
    <m/>
    <x v="0"/>
  </r>
  <r>
    <d v="2021-01-13T00:00:00"/>
    <x v="0"/>
    <x v="29"/>
    <x v="29"/>
    <n v="-30000"/>
    <n v="0"/>
    <n v="3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1-14T00:00:00"/>
    <x v="0"/>
    <x v="0"/>
    <x v="0"/>
    <n v="30000"/>
    <n v="30000"/>
    <n v="0"/>
    <x v="71"/>
    <s v="Cali"/>
    <m/>
    <m/>
    <m/>
    <m/>
    <x v="0"/>
  </r>
  <r>
    <d v="2021-01-14T00:00:00"/>
    <x v="0"/>
    <x v="26"/>
    <x v="26"/>
    <n v="-30000"/>
    <n v="0"/>
    <n v="30000"/>
    <x v="71"/>
    <s v="Cali"/>
    <m/>
    <m/>
    <m/>
    <m/>
    <x v="0"/>
  </r>
  <r>
    <m/>
    <x v="1"/>
    <x v="23"/>
    <x v="23"/>
    <m/>
    <m/>
    <m/>
    <x v="1"/>
    <m/>
    <m/>
    <m/>
    <m/>
    <m/>
    <x v="0"/>
  </r>
  <r>
    <d v="2021-01-14T00:00:00"/>
    <x v="0"/>
    <x v="0"/>
    <x v="0"/>
    <n v="9000"/>
    <n v="9000"/>
    <n v="0"/>
    <x v="72"/>
    <s v="Cali"/>
    <m/>
    <m/>
    <m/>
    <m/>
    <x v="0"/>
  </r>
  <r>
    <d v="2021-01-14T00:00:00"/>
    <x v="0"/>
    <x v="27"/>
    <x v="27"/>
    <n v="-9000"/>
    <n v="0"/>
    <n v="9000"/>
    <x v="72"/>
    <s v="Cali"/>
    <m/>
    <m/>
    <m/>
    <m/>
    <x v="0"/>
  </r>
  <r>
    <m/>
    <x v="1"/>
    <x v="23"/>
    <x v="23"/>
    <m/>
    <m/>
    <m/>
    <x v="1"/>
    <m/>
    <m/>
    <m/>
    <m/>
    <m/>
    <x v="0"/>
  </r>
  <r>
    <d v="2021-01-15T00:00:00"/>
    <x v="0"/>
    <x v="15"/>
    <x v="15"/>
    <n v="3150666"/>
    <n v="3150666"/>
    <n v="0"/>
    <x v="73"/>
    <s v="Cali"/>
    <m/>
    <m/>
    <m/>
    <m/>
    <x v="0"/>
  </r>
  <r>
    <d v="2021-01-15T00:00:00"/>
    <x v="0"/>
    <x v="14"/>
    <x v="14"/>
    <n v="124767"/>
    <n v="124767"/>
    <n v="0"/>
    <x v="73"/>
    <s v="Cali"/>
    <m/>
    <m/>
    <m/>
    <m/>
    <x v="0"/>
  </r>
  <r>
    <d v="2021-01-15T00:00:00"/>
    <x v="0"/>
    <x v="0"/>
    <x v="0"/>
    <n v="-3275433"/>
    <n v="0"/>
    <n v="3275433"/>
    <x v="73"/>
    <s v="Cali"/>
    <m/>
    <m/>
    <m/>
    <m/>
    <x v="0"/>
  </r>
  <r>
    <m/>
    <x v="1"/>
    <x v="23"/>
    <x v="23"/>
    <m/>
    <m/>
    <m/>
    <x v="1"/>
    <m/>
    <m/>
    <m/>
    <m/>
    <m/>
    <x v="0"/>
  </r>
  <r>
    <d v="2021-01-15T00:00:00"/>
    <x v="0"/>
    <x v="31"/>
    <x v="31"/>
    <n v="166667"/>
    <n v="166667"/>
    <n v="0"/>
    <x v="74"/>
    <s v="Cali"/>
    <m/>
    <m/>
    <m/>
    <m/>
    <x v="0"/>
  </r>
  <r>
    <d v="2021-01-15T00:00:00"/>
    <x v="0"/>
    <x v="17"/>
    <x v="17"/>
    <n v="-19167"/>
    <n v="0"/>
    <n v="19167"/>
    <x v="74"/>
    <s v="Cali"/>
    <m/>
    <m/>
    <m/>
    <m/>
    <x v="0"/>
  </r>
  <r>
    <d v="2021-01-15T00:00:00"/>
    <x v="0"/>
    <x v="0"/>
    <x v="0"/>
    <n v="-147500"/>
    <n v="0"/>
    <n v="147500"/>
    <x v="74"/>
    <s v="Cali"/>
    <m/>
    <m/>
    <m/>
    <m/>
    <x v="0"/>
  </r>
  <r>
    <m/>
    <x v="1"/>
    <x v="23"/>
    <x v="23"/>
    <m/>
    <m/>
    <m/>
    <x v="1"/>
    <m/>
    <m/>
    <m/>
    <m/>
    <m/>
    <x v="0"/>
  </r>
  <r>
    <d v="2021-01-15T00:00:00"/>
    <x v="0"/>
    <x v="16"/>
    <x v="16"/>
    <n v="78480"/>
    <n v="78480"/>
    <n v="0"/>
    <x v="75"/>
    <s v="Cali"/>
    <m/>
    <m/>
    <m/>
    <m/>
    <x v="0"/>
  </r>
  <r>
    <d v="2021-01-15T00:00:00"/>
    <x v="0"/>
    <x v="17"/>
    <x v="17"/>
    <n v="-9025"/>
    <n v="0"/>
    <n v="9025"/>
    <x v="75"/>
    <s v="Cali"/>
    <m/>
    <m/>
    <m/>
    <m/>
    <x v="0"/>
  </r>
  <r>
    <d v="2021-01-15T00:00:00"/>
    <x v="0"/>
    <x v="0"/>
    <x v="0"/>
    <n v="-69455"/>
    <n v="0"/>
    <n v="69455"/>
    <x v="75"/>
    <s v="Cali"/>
    <m/>
    <m/>
    <m/>
    <m/>
    <x v="0"/>
  </r>
  <r>
    <m/>
    <x v="1"/>
    <x v="23"/>
    <x v="23"/>
    <m/>
    <m/>
    <m/>
    <x v="1"/>
    <m/>
    <m/>
    <m/>
    <m/>
    <m/>
    <x v="0"/>
  </r>
  <r>
    <d v="2021-01-15T00:00:00"/>
    <x v="0"/>
    <x v="0"/>
    <x v="0"/>
    <n v="20000"/>
    <n v="20000"/>
    <n v="0"/>
    <x v="76"/>
    <s v="Cali"/>
    <m/>
    <m/>
    <m/>
    <m/>
    <x v="0"/>
  </r>
  <r>
    <d v="2021-01-15T00:00:00"/>
    <x v="0"/>
    <x v="25"/>
    <x v="25"/>
    <n v="-20000"/>
    <n v="0"/>
    <n v="20000"/>
    <x v="76"/>
    <s v="Cali"/>
    <m/>
    <m/>
    <m/>
    <m/>
    <x v="0"/>
  </r>
  <r>
    <m/>
    <x v="1"/>
    <x v="23"/>
    <x v="23"/>
    <m/>
    <m/>
    <m/>
    <x v="1"/>
    <m/>
    <m/>
    <m/>
    <m/>
    <m/>
    <x v="0"/>
  </r>
  <r>
    <d v="2021-01-15T00:00:00"/>
    <x v="0"/>
    <x v="0"/>
    <x v="0"/>
    <n v="150000"/>
    <n v="150000"/>
    <n v="0"/>
    <x v="77"/>
    <s v="Cali"/>
    <m/>
    <m/>
    <m/>
    <m/>
    <x v="0"/>
  </r>
  <r>
    <d v="2021-01-15T00:00:00"/>
    <x v="0"/>
    <x v="27"/>
    <x v="27"/>
    <n v="-150000"/>
    <n v="0"/>
    <n v="150000"/>
    <x v="77"/>
    <s v="Cali"/>
    <m/>
    <m/>
    <m/>
    <m/>
    <x v="0"/>
  </r>
  <r>
    <m/>
    <x v="1"/>
    <x v="23"/>
    <x v="23"/>
    <m/>
    <m/>
    <m/>
    <x v="1"/>
    <m/>
    <m/>
    <m/>
    <m/>
    <m/>
    <x v="0"/>
  </r>
  <r>
    <d v="2021-01-18T00:00:00"/>
    <x v="0"/>
    <x v="0"/>
    <x v="0"/>
    <n v="8000"/>
    <n v="8000"/>
    <n v="0"/>
    <x v="1"/>
    <s v="Cali"/>
    <m/>
    <m/>
    <m/>
    <m/>
    <x v="0"/>
  </r>
  <r>
    <d v="2021-01-18T00:00:00"/>
    <x v="0"/>
    <x v="19"/>
    <x v="19"/>
    <n v="-8000"/>
    <m/>
    <n v="8000"/>
    <x v="1"/>
    <s v="Cali"/>
    <m/>
    <m/>
    <m/>
    <m/>
    <x v="0"/>
  </r>
  <r>
    <m/>
    <x v="1"/>
    <x v="23"/>
    <x v="23"/>
    <m/>
    <m/>
    <m/>
    <x v="1"/>
    <m/>
    <m/>
    <m/>
    <m/>
    <m/>
    <x v="0"/>
  </r>
  <r>
    <d v="2021-01-18T00:00:00"/>
    <x v="0"/>
    <x v="0"/>
    <x v="0"/>
    <n v="5000"/>
    <n v="5000"/>
    <n v="0"/>
    <x v="1"/>
    <s v="Cali"/>
    <m/>
    <m/>
    <m/>
    <m/>
    <x v="0"/>
  </r>
  <r>
    <d v="2021-01-18T00:00:00"/>
    <x v="0"/>
    <x v="19"/>
    <x v="19"/>
    <n v="-5000"/>
    <m/>
    <n v="5000"/>
    <x v="1"/>
    <s v="Cali"/>
    <m/>
    <m/>
    <m/>
    <m/>
    <x v="0"/>
  </r>
  <r>
    <m/>
    <x v="1"/>
    <x v="23"/>
    <x v="23"/>
    <m/>
    <m/>
    <m/>
    <x v="1"/>
    <m/>
    <m/>
    <m/>
    <m/>
    <m/>
    <x v="0"/>
  </r>
  <r>
    <d v="2021-01-19T00:00:00"/>
    <x v="0"/>
    <x v="0"/>
    <x v="0"/>
    <n v="300000"/>
    <n v="300000"/>
    <n v="0"/>
    <x v="78"/>
    <s v="Cali"/>
    <m/>
    <m/>
    <m/>
    <m/>
    <x v="0"/>
  </r>
  <r>
    <d v="2021-01-19T00:00:00"/>
    <x v="0"/>
    <x v="26"/>
    <x v="26"/>
    <n v="-300000"/>
    <n v="0"/>
    <n v="300000"/>
    <x v="78"/>
    <s v="Cali"/>
    <m/>
    <m/>
    <m/>
    <m/>
    <x v="0"/>
  </r>
  <r>
    <m/>
    <x v="1"/>
    <x v="23"/>
    <x v="23"/>
    <m/>
    <m/>
    <m/>
    <x v="1"/>
    <m/>
    <m/>
    <m/>
    <m/>
    <m/>
    <x v="0"/>
  </r>
  <r>
    <d v="2021-01-20T00:00:00"/>
    <x v="0"/>
    <x v="0"/>
    <x v="0"/>
    <n v="18000"/>
    <n v="18000"/>
    <n v="0"/>
    <x v="79"/>
    <s v="Cali"/>
    <m/>
    <m/>
    <m/>
    <m/>
    <x v="0"/>
  </r>
  <r>
    <d v="2021-01-20T00:00:00"/>
    <x v="0"/>
    <x v="25"/>
    <x v="25"/>
    <n v="-18000"/>
    <n v="0"/>
    <n v="18000"/>
    <x v="79"/>
    <s v="Cali"/>
    <m/>
    <m/>
    <m/>
    <m/>
    <x v="0"/>
  </r>
  <r>
    <m/>
    <x v="1"/>
    <x v="23"/>
    <x v="23"/>
    <m/>
    <m/>
    <m/>
    <x v="1"/>
    <m/>
    <m/>
    <m/>
    <m/>
    <m/>
    <x v="0"/>
  </r>
  <r>
    <d v="2021-01-20T00:00:00"/>
    <x v="0"/>
    <x v="0"/>
    <x v="0"/>
    <n v="1482126"/>
    <n v="1482126"/>
    <n v="0"/>
    <x v="80"/>
    <s v="Cali"/>
    <m/>
    <m/>
    <m/>
    <m/>
    <x v="0"/>
  </r>
  <r>
    <d v="2021-01-20T00:00:00"/>
    <x v="0"/>
    <x v="30"/>
    <x v="30"/>
    <n v="17874"/>
    <n v="17874"/>
    <n v="0"/>
    <x v="80"/>
    <s v="Cali"/>
    <m/>
    <m/>
    <m/>
    <m/>
    <x v="0"/>
  </r>
  <r>
    <d v="2021-01-20T00:00:00"/>
    <x v="0"/>
    <x v="26"/>
    <x v="26"/>
    <n v="-1500000"/>
    <n v="0"/>
    <n v="1500000"/>
    <x v="80"/>
    <s v="Cali"/>
    <m/>
    <m/>
    <m/>
    <m/>
    <x v="0"/>
  </r>
  <r>
    <m/>
    <x v="1"/>
    <x v="23"/>
    <x v="23"/>
    <m/>
    <m/>
    <m/>
    <x v="1"/>
    <m/>
    <m/>
    <m/>
    <m/>
    <m/>
    <x v="0"/>
  </r>
  <r>
    <d v="2021-01-20T00:00:00"/>
    <x v="0"/>
    <x v="0"/>
    <x v="0"/>
    <n v="1000000"/>
    <n v="1000000"/>
    <n v="0"/>
    <x v="81"/>
    <s v="Cali"/>
    <m/>
    <m/>
    <m/>
    <m/>
    <x v="0"/>
  </r>
  <r>
    <d v="2021-01-20T00:00:00"/>
    <x v="0"/>
    <x v="26"/>
    <x v="26"/>
    <n v="-1000000"/>
    <n v="0"/>
    <n v="1000000"/>
    <x v="81"/>
    <s v="Cali"/>
    <m/>
    <m/>
    <m/>
    <m/>
    <x v="0"/>
  </r>
  <r>
    <m/>
    <x v="1"/>
    <x v="23"/>
    <x v="23"/>
    <m/>
    <m/>
    <m/>
    <x v="1"/>
    <m/>
    <m/>
    <m/>
    <m/>
    <m/>
    <x v="0"/>
  </r>
  <r>
    <d v="2021-01-21T00:00:00"/>
    <x v="0"/>
    <x v="0"/>
    <x v="0"/>
    <n v="8000"/>
    <n v="8000"/>
    <n v="0"/>
    <x v="82"/>
    <s v="Cali"/>
    <m/>
    <m/>
    <m/>
    <m/>
    <x v="0"/>
  </r>
  <r>
    <d v="2021-01-21T00:00:00"/>
    <x v="0"/>
    <x v="25"/>
    <x v="25"/>
    <n v="-8000"/>
    <n v="0"/>
    <n v="8000"/>
    <x v="82"/>
    <s v="Cali"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d v="2021-01-22T00:00:00"/>
    <x v="0"/>
    <x v="0"/>
    <x v="0"/>
    <n v="30000"/>
    <n v="30000"/>
    <n v="0"/>
    <x v="83"/>
    <s v="Cali"/>
    <m/>
    <m/>
    <m/>
    <m/>
    <x v="0"/>
  </r>
  <r>
    <d v="2021-01-22T00:00:00"/>
    <x v="0"/>
    <x v="27"/>
    <x v="27"/>
    <n v="-30000"/>
    <n v="0"/>
    <n v="30000"/>
    <x v="83"/>
    <s v="Cali"/>
    <m/>
    <m/>
    <m/>
    <m/>
    <x v="0"/>
  </r>
  <r>
    <m/>
    <x v="1"/>
    <x v="23"/>
    <x v="23"/>
    <m/>
    <m/>
    <m/>
    <x v="1"/>
    <m/>
    <m/>
    <m/>
    <m/>
    <m/>
    <x v="0"/>
  </r>
  <r>
    <d v="2021-01-25T00:00:00"/>
    <x v="0"/>
    <x v="0"/>
    <x v="0"/>
    <n v="30000"/>
    <n v="30000"/>
    <n v="0"/>
    <x v="84"/>
    <s v="Cali"/>
    <m/>
    <m/>
    <m/>
    <m/>
    <x v="0"/>
  </r>
  <r>
    <d v="2021-01-25T00:00:00"/>
    <x v="0"/>
    <x v="27"/>
    <x v="27"/>
    <n v="-30000"/>
    <n v="0"/>
    <n v="30000"/>
    <x v="84"/>
    <s v="Cali"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d v="2021-01-25T00:00:00"/>
    <x v="0"/>
    <x v="0"/>
    <x v="0"/>
    <n v="20000"/>
    <n v="20000"/>
    <n v="0"/>
    <x v="85"/>
    <s v="Cali"/>
    <m/>
    <m/>
    <m/>
    <m/>
    <x v="0"/>
  </r>
  <r>
    <d v="2021-01-25T00:00:00"/>
    <x v="0"/>
    <x v="25"/>
    <x v="25"/>
    <n v="-20000"/>
    <n v="0"/>
    <n v="20000"/>
    <x v="85"/>
    <s v="Cali"/>
    <m/>
    <m/>
    <m/>
    <m/>
    <x v="0"/>
  </r>
  <r>
    <m/>
    <x v="1"/>
    <x v="23"/>
    <x v="23"/>
    <m/>
    <m/>
    <m/>
    <x v="1"/>
    <m/>
    <m/>
    <m/>
    <m/>
    <m/>
    <x v="0"/>
  </r>
  <r>
    <d v="2021-01-25T00:00:00"/>
    <x v="0"/>
    <x v="0"/>
    <x v="0"/>
    <n v="30000"/>
    <n v="30000"/>
    <n v="0"/>
    <x v="86"/>
    <s v="Cali"/>
    <m/>
    <m/>
    <m/>
    <m/>
    <x v="0"/>
  </r>
  <r>
    <d v="2021-01-25T00:00:00"/>
    <x v="0"/>
    <x v="25"/>
    <x v="25"/>
    <n v="-30000"/>
    <n v="0"/>
    <n v="30000"/>
    <x v="86"/>
    <s v="Cali"/>
    <m/>
    <m/>
    <m/>
    <m/>
    <x v="0"/>
  </r>
  <r>
    <m/>
    <x v="1"/>
    <x v="23"/>
    <x v="23"/>
    <m/>
    <m/>
    <m/>
    <x v="1"/>
    <m/>
    <m/>
    <m/>
    <m/>
    <m/>
    <x v="0"/>
  </r>
  <r>
    <d v="2021-01-25T00:00:00"/>
    <x v="0"/>
    <x v="0"/>
    <x v="0"/>
    <n v="10000"/>
    <n v="10000"/>
    <n v="0"/>
    <x v="1"/>
    <s v="Cali"/>
    <m/>
    <m/>
    <m/>
    <m/>
    <x v="0"/>
  </r>
  <r>
    <d v="2021-01-25T00:00:00"/>
    <x v="0"/>
    <x v="19"/>
    <x v="19"/>
    <n v="-10000"/>
    <m/>
    <n v="10000"/>
    <x v="1"/>
    <s v="Cali"/>
    <m/>
    <m/>
    <m/>
    <m/>
    <x v="0"/>
  </r>
  <r>
    <m/>
    <x v="1"/>
    <x v="23"/>
    <x v="23"/>
    <m/>
    <m/>
    <m/>
    <x v="1"/>
    <m/>
    <m/>
    <m/>
    <m/>
    <m/>
    <x v="0"/>
  </r>
  <r>
    <d v="2021-01-25T00:00:00"/>
    <x v="0"/>
    <x v="0"/>
    <x v="0"/>
    <n v="1500"/>
    <n v="1500"/>
    <n v="0"/>
    <x v="1"/>
    <s v="Cali"/>
    <m/>
    <m/>
    <m/>
    <m/>
    <x v="0"/>
  </r>
  <r>
    <d v="2021-01-25T00:00:00"/>
    <x v="0"/>
    <x v="19"/>
    <x v="19"/>
    <n v="-1500"/>
    <m/>
    <n v="1500"/>
    <x v="1"/>
    <s v="Cali"/>
    <m/>
    <m/>
    <m/>
    <m/>
    <x v="0"/>
  </r>
  <r>
    <m/>
    <x v="1"/>
    <x v="23"/>
    <x v="23"/>
    <m/>
    <m/>
    <m/>
    <x v="1"/>
    <m/>
    <m/>
    <m/>
    <m/>
    <m/>
    <x v="0"/>
  </r>
  <r>
    <d v="2021-01-25T00:00:00"/>
    <x v="0"/>
    <x v="0"/>
    <x v="0"/>
    <n v="10000"/>
    <n v="10000"/>
    <n v="0"/>
    <x v="87"/>
    <s v="Cali"/>
    <m/>
    <m/>
    <m/>
    <m/>
    <x v="0"/>
  </r>
  <r>
    <d v="2021-01-25T00:00:00"/>
    <x v="0"/>
    <x v="26"/>
    <x v="26"/>
    <n v="-10000"/>
    <n v="0"/>
    <n v="10000"/>
    <x v="87"/>
    <s v="Cali"/>
    <m/>
    <m/>
    <m/>
    <m/>
    <x v="0"/>
  </r>
  <r>
    <m/>
    <x v="1"/>
    <x v="23"/>
    <x v="23"/>
    <m/>
    <m/>
    <m/>
    <x v="1"/>
    <m/>
    <m/>
    <m/>
    <m/>
    <m/>
    <x v="0"/>
  </r>
  <r>
    <d v="2021-01-25T00:00:00"/>
    <x v="0"/>
    <x v="0"/>
    <x v="0"/>
    <n v="1461147"/>
    <n v="1461147"/>
    <n v="0"/>
    <x v="88"/>
    <s v="Cali"/>
    <m/>
    <m/>
    <m/>
    <m/>
    <x v="0"/>
  </r>
  <r>
    <d v="2021-01-25T00:00:00"/>
    <x v="0"/>
    <x v="30"/>
    <x v="30"/>
    <n v="17597"/>
    <n v="17597"/>
    <n v="0"/>
    <x v="88"/>
    <s v="Cali"/>
    <m/>
    <m/>
    <m/>
    <m/>
    <x v="0"/>
  </r>
  <r>
    <d v="2021-01-25T00:00:00"/>
    <x v="0"/>
    <x v="26"/>
    <x v="26"/>
    <n v="-1478744"/>
    <n v="0"/>
    <n v="1478744"/>
    <x v="88"/>
    <s v="Cali"/>
    <m/>
    <m/>
    <m/>
    <m/>
    <x v="0"/>
  </r>
  <r>
    <m/>
    <x v="1"/>
    <x v="23"/>
    <x v="23"/>
    <m/>
    <m/>
    <m/>
    <x v="1"/>
    <m/>
    <m/>
    <m/>
    <m/>
    <m/>
    <x v="0"/>
  </r>
  <r>
    <d v="2021-01-25T00:00:00"/>
    <x v="0"/>
    <x v="0"/>
    <x v="0"/>
    <n v="9374952"/>
    <n v="9374952"/>
    <n v="0"/>
    <x v="89"/>
    <s v="Cali"/>
    <m/>
    <m/>
    <m/>
    <m/>
    <x v="0"/>
  </r>
  <r>
    <d v="2021-01-25T00:00:00"/>
    <x v="0"/>
    <x v="5"/>
    <x v="5"/>
    <n v="-9374952"/>
    <n v="0"/>
    <n v="9374952"/>
    <x v="89"/>
    <s v="Cali"/>
    <m/>
    <m/>
    <m/>
    <m/>
    <x v="0"/>
  </r>
  <r>
    <m/>
    <x v="1"/>
    <x v="23"/>
    <x v="23"/>
    <m/>
    <m/>
    <m/>
    <x v="1"/>
    <m/>
    <m/>
    <m/>
    <m/>
    <m/>
    <x v="0"/>
  </r>
  <r>
    <d v="2021-01-26T00:00:00"/>
    <x v="0"/>
    <x v="0"/>
    <x v="0"/>
    <n v="29106860"/>
    <n v="29106860"/>
    <n v="0"/>
    <x v="90"/>
    <s v="Cali"/>
    <m/>
    <m/>
    <m/>
    <m/>
    <x v="0"/>
  </r>
  <r>
    <d v="2021-01-26T00:00:00"/>
    <x v="0"/>
    <x v="26"/>
    <x v="26"/>
    <n v="-29106860"/>
    <n v="0"/>
    <n v="29106860"/>
    <x v="90"/>
    <s v="Cali"/>
    <m/>
    <m/>
    <m/>
    <m/>
    <x v="0"/>
  </r>
  <r>
    <m/>
    <x v="1"/>
    <x v="23"/>
    <x v="23"/>
    <m/>
    <m/>
    <m/>
    <x v="1"/>
    <m/>
    <m/>
    <m/>
    <m/>
    <m/>
    <x v="0"/>
  </r>
  <r>
    <d v="2021-01-26T00:00:00"/>
    <x v="0"/>
    <x v="0"/>
    <x v="0"/>
    <n v="200000"/>
    <n v="200000"/>
    <n v="0"/>
    <x v="91"/>
    <s v="Cali"/>
    <m/>
    <m/>
    <m/>
    <m/>
    <x v="0"/>
  </r>
  <r>
    <d v="2021-01-26T00:00:00"/>
    <x v="0"/>
    <x v="26"/>
    <x v="26"/>
    <n v="-200000"/>
    <n v="0"/>
    <n v="200000"/>
    <x v="91"/>
    <s v="Cali"/>
    <m/>
    <m/>
    <m/>
    <m/>
    <x v="0"/>
  </r>
  <r>
    <m/>
    <x v="1"/>
    <x v="23"/>
    <x v="23"/>
    <m/>
    <m/>
    <m/>
    <x v="1"/>
    <m/>
    <m/>
    <m/>
    <m/>
    <m/>
    <x v="0"/>
  </r>
  <r>
    <d v="2021-01-26T00:00:00"/>
    <x v="0"/>
    <x v="0"/>
    <x v="0"/>
    <n v="400000"/>
    <n v="400000"/>
    <n v="0"/>
    <x v="92"/>
    <s v="Cali"/>
    <m/>
    <m/>
    <m/>
    <m/>
    <x v="0"/>
  </r>
  <r>
    <d v="2021-01-26T00:00:00"/>
    <x v="0"/>
    <x v="26"/>
    <x v="26"/>
    <n v="-400000"/>
    <n v="0"/>
    <n v="400000"/>
    <x v="92"/>
    <s v="Cali"/>
    <m/>
    <m/>
    <m/>
    <m/>
    <x v="0"/>
  </r>
  <r>
    <m/>
    <x v="1"/>
    <x v="23"/>
    <x v="23"/>
    <m/>
    <m/>
    <m/>
    <x v="1"/>
    <m/>
    <m/>
    <m/>
    <m/>
    <m/>
    <x v="0"/>
  </r>
  <r>
    <d v="2021-01-26T00:00:00"/>
    <x v="0"/>
    <x v="0"/>
    <x v="0"/>
    <n v="750000"/>
    <n v="750000"/>
    <n v="0"/>
    <x v="93"/>
    <s v="Cali"/>
    <m/>
    <m/>
    <m/>
    <m/>
    <x v="0"/>
  </r>
  <r>
    <d v="2021-01-26T00:00:00"/>
    <x v="0"/>
    <x v="25"/>
    <x v="25"/>
    <n v="-750000"/>
    <n v="0"/>
    <n v="750000"/>
    <x v="93"/>
    <s v="Cali"/>
    <m/>
    <m/>
    <m/>
    <m/>
    <x v="0"/>
  </r>
  <r>
    <m/>
    <x v="1"/>
    <x v="23"/>
    <x v="23"/>
    <m/>
    <m/>
    <m/>
    <x v="1"/>
    <m/>
    <m/>
    <m/>
    <m/>
    <m/>
    <x v="0"/>
  </r>
  <r>
    <d v="2021-01-27T00:00:00"/>
    <x v="0"/>
    <x v="0"/>
    <x v="0"/>
    <n v="150000"/>
    <n v="150000"/>
    <n v="0"/>
    <x v="5"/>
    <s v="Cali"/>
    <m/>
    <m/>
    <m/>
    <m/>
    <x v="0"/>
  </r>
  <r>
    <d v="2021-01-27T00:00:00"/>
    <x v="0"/>
    <x v="26"/>
    <x v="26"/>
    <n v="-150000"/>
    <n v="0"/>
    <n v="150000"/>
    <x v="5"/>
    <s v="Cali"/>
    <m/>
    <m/>
    <m/>
    <m/>
    <x v="0"/>
  </r>
  <r>
    <m/>
    <x v="1"/>
    <x v="23"/>
    <x v="23"/>
    <m/>
    <m/>
    <m/>
    <x v="1"/>
    <m/>
    <m/>
    <m/>
    <m/>
    <m/>
    <x v="0"/>
  </r>
  <r>
    <d v="2021-01-27T00:00:00"/>
    <x v="0"/>
    <x v="0"/>
    <x v="0"/>
    <n v="49405"/>
    <n v="49405"/>
    <n v="0"/>
    <x v="94"/>
    <s v="Cali"/>
    <m/>
    <m/>
    <m/>
    <m/>
    <x v="0"/>
  </r>
  <r>
    <d v="2021-01-27T00:00:00"/>
    <x v="0"/>
    <x v="30"/>
    <x v="30"/>
    <n v="595"/>
    <n v="595"/>
    <n v="0"/>
    <x v="94"/>
    <s v="Cali"/>
    <m/>
    <m/>
    <m/>
    <m/>
    <x v="0"/>
  </r>
  <r>
    <d v="2021-01-27T00:00:00"/>
    <x v="0"/>
    <x v="25"/>
    <x v="25"/>
    <n v="-50000"/>
    <n v="0"/>
    <n v="50000"/>
    <x v="94"/>
    <s v="Cali"/>
    <m/>
    <m/>
    <m/>
    <m/>
    <x v="0"/>
  </r>
  <r>
    <m/>
    <x v="1"/>
    <x v="23"/>
    <x v="23"/>
    <m/>
    <m/>
    <m/>
    <x v="1"/>
    <m/>
    <m/>
    <m/>
    <m/>
    <m/>
    <x v="0"/>
  </r>
  <r>
    <d v="2021-01-27T00:00:00"/>
    <x v="0"/>
    <x v="0"/>
    <x v="0"/>
    <n v="10000"/>
    <n v="10000"/>
    <n v="0"/>
    <x v="95"/>
    <s v="Cali"/>
    <m/>
    <m/>
    <m/>
    <m/>
    <x v="0"/>
  </r>
  <r>
    <d v="2021-01-27T00:00:00"/>
    <x v="0"/>
    <x v="25"/>
    <x v="25"/>
    <n v="-10000"/>
    <n v="0"/>
    <n v="10000"/>
    <x v="95"/>
    <s v="Cali"/>
    <m/>
    <m/>
    <m/>
    <m/>
    <x v="0"/>
  </r>
  <r>
    <m/>
    <x v="1"/>
    <x v="23"/>
    <x v="23"/>
    <m/>
    <m/>
    <m/>
    <x v="1"/>
    <m/>
    <m/>
    <m/>
    <m/>
    <m/>
    <x v="0"/>
  </r>
  <r>
    <d v="2021-01-27T00:00:00"/>
    <x v="0"/>
    <x v="0"/>
    <x v="0"/>
    <n v="18000"/>
    <n v="18000"/>
    <n v="0"/>
    <x v="96"/>
    <s v="Cali"/>
    <m/>
    <m/>
    <m/>
    <m/>
    <x v="0"/>
  </r>
  <r>
    <d v="2021-01-27T00:00:00"/>
    <x v="0"/>
    <x v="27"/>
    <x v="27"/>
    <n v="-18000"/>
    <n v="0"/>
    <n v="18000"/>
    <x v="96"/>
    <s v="Cali"/>
    <m/>
    <m/>
    <m/>
    <m/>
    <x v="0"/>
  </r>
  <r>
    <m/>
    <x v="1"/>
    <x v="23"/>
    <x v="23"/>
    <m/>
    <m/>
    <m/>
    <x v="1"/>
    <m/>
    <m/>
    <m/>
    <m/>
    <m/>
    <x v="0"/>
  </r>
  <r>
    <d v="2021-01-28T00:00:00"/>
    <x v="0"/>
    <x v="0"/>
    <x v="0"/>
    <n v="37000"/>
    <n v="37000"/>
    <n v="0"/>
    <x v="97"/>
    <s v="Cali"/>
    <m/>
    <m/>
    <m/>
    <m/>
    <x v="0"/>
  </r>
  <r>
    <d v="2021-01-28T00:00:00"/>
    <x v="0"/>
    <x v="25"/>
    <x v="25"/>
    <n v="-37000"/>
    <n v="0"/>
    <n v="37000"/>
    <x v="97"/>
    <s v="Cali"/>
    <m/>
    <m/>
    <m/>
    <m/>
    <x v="0"/>
  </r>
  <r>
    <m/>
    <x v="1"/>
    <x v="23"/>
    <x v="23"/>
    <m/>
    <m/>
    <m/>
    <x v="1"/>
    <m/>
    <m/>
    <m/>
    <m/>
    <m/>
    <x v="0"/>
  </r>
  <r>
    <d v="2021-01-28T00:00:00"/>
    <x v="0"/>
    <x v="13"/>
    <x v="13"/>
    <n v="5000000"/>
    <n v="5000000"/>
    <n v="0"/>
    <x v="12"/>
    <s v="Cali"/>
    <m/>
    <m/>
    <m/>
    <m/>
    <x v="0"/>
  </r>
  <r>
    <d v="2021-01-28T00:00:00"/>
    <x v="0"/>
    <x v="0"/>
    <x v="0"/>
    <n v="-5000000"/>
    <n v="0"/>
    <n v="5000000"/>
    <x v="12"/>
    <s v="Cali"/>
    <m/>
    <m/>
    <m/>
    <m/>
    <x v="0"/>
  </r>
  <r>
    <m/>
    <x v="1"/>
    <x v="23"/>
    <x v="23"/>
    <m/>
    <m/>
    <m/>
    <x v="1"/>
    <m/>
    <m/>
    <m/>
    <m/>
    <m/>
    <x v="0"/>
  </r>
  <r>
    <d v="2021-01-28T00:00:00"/>
    <x v="0"/>
    <x v="0"/>
    <x v="0"/>
    <n v="73000"/>
    <n v="73000"/>
    <n v="0"/>
    <x v="98"/>
    <s v="Cali"/>
    <m/>
    <m/>
    <m/>
    <m/>
    <x v="0"/>
  </r>
  <r>
    <d v="2021-01-28T00:00:00"/>
    <x v="0"/>
    <x v="26"/>
    <x v="26"/>
    <n v="-73000"/>
    <n v="0"/>
    <n v="73000"/>
    <x v="98"/>
    <s v="Cali"/>
    <m/>
    <m/>
    <m/>
    <m/>
    <x v="0"/>
  </r>
  <r>
    <m/>
    <x v="1"/>
    <x v="23"/>
    <x v="23"/>
    <m/>
    <m/>
    <m/>
    <x v="1"/>
    <m/>
    <m/>
    <m/>
    <m/>
    <m/>
    <x v="0"/>
  </r>
  <r>
    <d v="2021-01-28T00:00:00"/>
    <x v="0"/>
    <x v="0"/>
    <x v="0"/>
    <n v="20000"/>
    <n v="20000"/>
    <n v="0"/>
    <x v="1"/>
    <s v="Cali"/>
    <m/>
    <m/>
    <m/>
    <m/>
    <x v="0"/>
  </r>
  <r>
    <d v="2021-01-28T00:00:00"/>
    <x v="0"/>
    <x v="19"/>
    <x v="19"/>
    <n v="-20000"/>
    <m/>
    <n v="20000"/>
    <x v="1"/>
    <s v="Cali"/>
    <m/>
    <m/>
    <m/>
    <m/>
    <x v="0"/>
  </r>
  <r>
    <m/>
    <x v="1"/>
    <x v="23"/>
    <x v="23"/>
    <m/>
    <m/>
    <m/>
    <x v="1"/>
    <m/>
    <m/>
    <m/>
    <m/>
    <m/>
    <x v="0"/>
  </r>
  <r>
    <d v="2021-01-28T00:00:00"/>
    <x v="0"/>
    <x v="0"/>
    <x v="0"/>
    <n v="10000"/>
    <n v="10000"/>
    <n v="0"/>
    <x v="99"/>
    <s v="Cali"/>
    <m/>
    <m/>
    <m/>
    <m/>
    <x v="0"/>
  </r>
  <r>
    <d v="2021-01-28T00:00:00"/>
    <x v="0"/>
    <x v="25"/>
    <x v="25"/>
    <n v="-10000"/>
    <n v="0"/>
    <n v="10000"/>
    <x v="99"/>
    <s v="Cali"/>
    <m/>
    <m/>
    <m/>
    <m/>
    <x v="0"/>
  </r>
  <r>
    <m/>
    <x v="1"/>
    <x v="23"/>
    <x v="23"/>
    <m/>
    <m/>
    <m/>
    <x v="1"/>
    <m/>
    <m/>
    <m/>
    <m/>
    <m/>
    <x v="0"/>
  </r>
  <r>
    <d v="2021-01-28T00:00:00"/>
    <x v="0"/>
    <x v="0"/>
    <x v="0"/>
    <n v="150000"/>
    <n v="150000"/>
    <n v="0"/>
    <x v="77"/>
    <s v="Cali"/>
    <m/>
    <m/>
    <m/>
    <m/>
    <x v="0"/>
  </r>
  <r>
    <d v="2021-01-28T00:00:00"/>
    <x v="0"/>
    <x v="27"/>
    <x v="27"/>
    <n v="-150000"/>
    <n v="0"/>
    <n v="150000"/>
    <x v="77"/>
    <s v="Cali"/>
    <m/>
    <m/>
    <m/>
    <m/>
    <x v="0"/>
  </r>
  <r>
    <m/>
    <x v="1"/>
    <x v="23"/>
    <x v="23"/>
    <m/>
    <m/>
    <m/>
    <x v="1"/>
    <m/>
    <m/>
    <m/>
    <m/>
    <m/>
    <x v="0"/>
  </r>
  <r>
    <d v="2021-01-28T00:00:00"/>
    <x v="0"/>
    <x v="0"/>
    <x v="0"/>
    <n v="20000"/>
    <n v="20000"/>
    <n v="0"/>
    <x v="100"/>
    <s v="Cali"/>
    <m/>
    <m/>
    <m/>
    <m/>
    <x v="0"/>
  </r>
  <r>
    <d v="2021-01-28T00:00:00"/>
    <x v="0"/>
    <x v="25"/>
    <x v="25"/>
    <n v="-20000"/>
    <n v="0"/>
    <n v="20000"/>
    <x v="100"/>
    <s v="Cali"/>
    <m/>
    <m/>
    <m/>
    <m/>
    <x v="0"/>
  </r>
  <r>
    <m/>
    <x v="1"/>
    <x v="23"/>
    <x v="23"/>
    <m/>
    <m/>
    <m/>
    <x v="1"/>
    <m/>
    <m/>
    <m/>
    <m/>
    <m/>
    <x v="0"/>
  </r>
  <r>
    <d v="2021-01-28T00:00:00"/>
    <x v="0"/>
    <x v="0"/>
    <x v="0"/>
    <n v="20000"/>
    <n v="20000"/>
    <n v="0"/>
    <x v="101"/>
    <s v="Cali"/>
    <m/>
    <m/>
    <m/>
    <m/>
    <x v="0"/>
  </r>
  <r>
    <d v="2021-01-28T00:00:00"/>
    <x v="0"/>
    <x v="25"/>
    <x v="25"/>
    <n v="-20000"/>
    <n v="0"/>
    <n v="20000"/>
    <x v="101"/>
    <s v="Cali"/>
    <m/>
    <m/>
    <m/>
    <m/>
    <x v="0"/>
  </r>
  <r>
    <m/>
    <x v="1"/>
    <x v="23"/>
    <x v="23"/>
    <m/>
    <m/>
    <m/>
    <x v="1"/>
    <m/>
    <m/>
    <m/>
    <m/>
    <m/>
    <x v="0"/>
  </r>
  <r>
    <d v="2021-01-29T00:00:00"/>
    <x v="0"/>
    <x v="26"/>
    <x v="26"/>
    <n v="1000000"/>
    <n v="1000000"/>
    <n v="0"/>
    <x v="102"/>
    <s v="Cali"/>
    <m/>
    <m/>
    <m/>
    <m/>
    <x v="0"/>
  </r>
  <r>
    <d v="2021-01-29T00:00:00"/>
    <x v="0"/>
    <x v="0"/>
    <x v="0"/>
    <n v="-1000000"/>
    <n v="0"/>
    <n v="1000000"/>
    <x v="102"/>
    <s v="Cali"/>
    <m/>
    <m/>
    <m/>
    <m/>
    <x v="0"/>
  </r>
  <r>
    <m/>
    <x v="1"/>
    <x v="23"/>
    <x v="23"/>
    <m/>
    <m/>
    <m/>
    <x v="1"/>
    <m/>
    <m/>
    <m/>
    <m/>
    <m/>
    <x v="0"/>
  </r>
  <r>
    <d v="2021-01-29T00:00:00"/>
    <x v="0"/>
    <x v="26"/>
    <x v="26"/>
    <n v="29106860"/>
    <n v="29106860"/>
    <n v="0"/>
    <x v="103"/>
    <s v="Cali"/>
    <m/>
    <m/>
    <m/>
    <m/>
    <x v="0"/>
  </r>
  <r>
    <d v="2021-01-29T00:00:00"/>
    <x v="0"/>
    <x v="0"/>
    <x v="0"/>
    <n v="-29106860"/>
    <n v="0"/>
    <n v="29106860"/>
    <x v="103"/>
    <s v="Cali"/>
    <m/>
    <m/>
    <m/>
    <m/>
    <x v="0"/>
  </r>
  <r>
    <m/>
    <x v="1"/>
    <x v="23"/>
    <x v="23"/>
    <m/>
    <m/>
    <m/>
    <x v="1"/>
    <m/>
    <m/>
    <m/>
    <m/>
    <m/>
    <x v="0"/>
  </r>
  <r>
    <d v="2021-01-29T00:00:00"/>
    <x v="0"/>
    <x v="13"/>
    <x v="13"/>
    <n v="118015"/>
    <n v="118015"/>
    <n v="0"/>
    <x v="104"/>
    <s v="Cali"/>
    <m/>
    <m/>
    <m/>
    <m/>
    <x v="0"/>
  </r>
  <r>
    <d v="2021-01-29T00:00:00"/>
    <x v="0"/>
    <x v="0"/>
    <x v="0"/>
    <n v="-118015"/>
    <n v="0"/>
    <n v="118015"/>
    <x v="104"/>
    <s v="Cali"/>
    <m/>
    <m/>
    <m/>
    <m/>
    <x v="0"/>
  </r>
  <r>
    <m/>
    <x v="1"/>
    <x v="23"/>
    <x v="23"/>
    <m/>
    <m/>
    <m/>
    <x v="1"/>
    <m/>
    <m/>
    <m/>
    <m/>
    <m/>
    <x v="0"/>
  </r>
  <r>
    <d v="2021-01-29T00:00:00"/>
    <x v="0"/>
    <x v="1"/>
    <x v="1"/>
    <n v="60000000"/>
    <n v="60000000"/>
    <n v="0"/>
    <x v="12"/>
    <s v="Cali"/>
    <m/>
    <m/>
    <m/>
    <m/>
    <x v="0"/>
  </r>
  <r>
    <d v="2021-01-29T00:00:00"/>
    <x v="0"/>
    <x v="0"/>
    <x v="0"/>
    <n v="-60000000"/>
    <n v="0"/>
    <n v="60000000"/>
    <x v="12"/>
    <s v="Cali"/>
    <m/>
    <m/>
    <m/>
    <m/>
    <x v="0"/>
  </r>
  <r>
    <m/>
    <x v="1"/>
    <x v="23"/>
    <x v="23"/>
    <m/>
    <m/>
    <m/>
    <x v="1"/>
    <m/>
    <m/>
    <m/>
    <m/>
    <m/>
    <x v="0"/>
  </r>
  <r>
    <d v="2021-01-29T00:00:00"/>
    <x v="0"/>
    <x v="0"/>
    <x v="0"/>
    <n v="40000"/>
    <n v="40000"/>
    <n v="0"/>
    <x v="105"/>
    <s v="Cali"/>
    <m/>
    <m/>
    <m/>
    <m/>
    <x v="0"/>
  </r>
  <r>
    <d v="2021-01-29T00:00:00"/>
    <x v="0"/>
    <x v="26"/>
    <x v="26"/>
    <n v="-40000"/>
    <n v="0"/>
    <n v="40000"/>
    <x v="105"/>
    <s v="Cali"/>
    <m/>
    <m/>
    <m/>
    <m/>
    <x v="0"/>
  </r>
  <r>
    <m/>
    <x v="1"/>
    <x v="23"/>
    <x v="23"/>
    <m/>
    <m/>
    <m/>
    <x v="1"/>
    <m/>
    <m/>
    <m/>
    <m/>
    <m/>
    <x v="0"/>
  </r>
  <r>
    <d v="2021-01-29T00:00:00"/>
    <x v="0"/>
    <x v="0"/>
    <x v="0"/>
    <n v="60000"/>
    <n v="60000"/>
    <n v="0"/>
    <x v="106"/>
    <s v="Cali"/>
    <m/>
    <m/>
    <m/>
    <m/>
    <x v="0"/>
  </r>
  <r>
    <d v="2021-01-29T00:00:00"/>
    <x v="0"/>
    <x v="25"/>
    <x v="25"/>
    <n v="-60000"/>
    <n v="0"/>
    <n v="60000"/>
    <x v="106"/>
    <s v="Cali"/>
    <m/>
    <m/>
    <m/>
    <m/>
    <x v="0"/>
  </r>
  <r>
    <m/>
    <x v="1"/>
    <x v="23"/>
    <x v="23"/>
    <m/>
    <m/>
    <m/>
    <x v="1"/>
    <m/>
    <m/>
    <m/>
    <m/>
    <m/>
    <x v="0"/>
  </r>
  <r>
    <d v="2021-01-29T00:00:00"/>
    <x v="0"/>
    <x v="0"/>
    <x v="0"/>
    <n v="100000"/>
    <n v="100000"/>
    <n v="0"/>
    <x v="107"/>
    <s v="Cali"/>
    <m/>
    <m/>
    <m/>
    <m/>
    <x v="0"/>
  </r>
  <r>
    <d v="2021-01-29T00:00:00"/>
    <x v="0"/>
    <x v="26"/>
    <x v="26"/>
    <n v="-100000"/>
    <n v="0"/>
    <n v="100000"/>
    <x v="107"/>
    <s v="Cali"/>
    <m/>
    <m/>
    <m/>
    <m/>
    <x v="0"/>
  </r>
  <r>
    <m/>
    <x v="1"/>
    <x v="23"/>
    <x v="23"/>
    <m/>
    <m/>
    <m/>
    <x v="1"/>
    <m/>
    <m/>
    <m/>
    <m/>
    <m/>
    <x v="0"/>
  </r>
  <r>
    <d v="2021-01-31T00:00:00"/>
    <x v="0"/>
    <x v="32"/>
    <x v="32"/>
    <n v="-419000"/>
    <n v="0"/>
    <n v="419000"/>
    <x v="108"/>
    <s v="Cali"/>
    <m/>
    <m/>
    <m/>
    <m/>
    <x v="0"/>
  </r>
  <r>
    <d v="2021-01-31T00:00:00"/>
    <x v="0"/>
    <x v="33"/>
    <x v="33"/>
    <n v="0"/>
    <n v="0"/>
    <n v="0"/>
    <x v="108"/>
    <s v="Cali"/>
    <m/>
    <m/>
    <m/>
    <m/>
    <x v="0"/>
  </r>
  <r>
    <d v="2021-01-31T00:00:00"/>
    <x v="0"/>
    <x v="34"/>
    <x v="34"/>
    <n v="-909400"/>
    <n v="0"/>
    <n v="909400"/>
    <x v="108"/>
    <s v="Cali"/>
    <m/>
    <m/>
    <m/>
    <m/>
    <x v="0"/>
  </r>
  <r>
    <d v="2021-01-31T00:00:00"/>
    <x v="0"/>
    <x v="35"/>
    <x v="35"/>
    <n v="-2579500"/>
    <n v="0"/>
    <n v="2579500"/>
    <x v="108"/>
    <s v="Cali"/>
    <m/>
    <m/>
    <m/>
    <m/>
    <x v="0"/>
  </r>
  <r>
    <d v="2021-01-31T00:00:00"/>
    <x v="0"/>
    <x v="36"/>
    <x v="36"/>
    <n v="-4406600"/>
    <n v="0"/>
    <n v="4406600"/>
    <x v="108"/>
    <s v="Cali"/>
    <m/>
    <m/>
    <m/>
    <m/>
    <x v="0"/>
  </r>
  <r>
    <d v="2021-01-31T00:00:00"/>
    <x v="0"/>
    <x v="37"/>
    <x v="37"/>
    <n v="-5081258"/>
    <n v="0"/>
    <n v="5081258"/>
    <x v="108"/>
    <s v="Cali"/>
    <m/>
    <m/>
    <m/>
    <m/>
    <x v="0"/>
  </r>
  <r>
    <d v="2021-01-31T00:00:00"/>
    <x v="0"/>
    <x v="29"/>
    <x v="29"/>
    <n v="419000"/>
    <n v="419000"/>
    <n v="0"/>
    <x v="108"/>
    <s v="Cali"/>
    <m/>
    <m/>
    <m/>
    <m/>
    <x v="0"/>
  </r>
  <r>
    <d v="2021-01-31T00:00:00"/>
    <x v="0"/>
    <x v="27"/>
    <x v="27"/>
    <n v="909400"/>
    <n v="909400"/>
    <n v="0"/>
    <x v="108"/>
    <s v="Cali"/>
    <m/>
    <m/>
    <m/>
    <m/>
    <x v="0"/>
  </r>
  <r>
    <d v="2021-01-31T00:00:00"/>
    <x v="0"/>
    <x v="25"/>
    <x v="25"/>
    <n v="2579500"/>
    <n v="2579500"/>
    <n v="0"/>
    <x v="108"/>
    <s v="Cali"/>
    <m/>
    <m/>
    <m/>
    <m/>
    <x v="0"/>
  </r>
  <r>
    <d v="2021-01-31T00:00:00"/>
    <x v="0"/>
    <x v="5"/>
    <x v="5"/>
    <n v="9487858"/>
    <n v="9487858"/>
    <n v="0"/>
    <x v="108"/>
    <s v="Cali"/>
    <m/>
    <m/>
    <m/>
    <m/>
    <x v="0"/>
  </r>
  <r>
    <d v="2021-01-31T00:00:00"/>
    <x v="0"/>
    <x v="15"/>
    <x v="15"/>
    <n v="-2997799"/>
    <n v="0"/>
    <n v="2997799"/>
    <x v="108"/>
    <s v="Cali"/>
    <m/>
    <m/>
    <m/>
    <m/>
    <x v="0"/>
  </r>
  <r>
    <d v="2021-01-31T00:00:00"/>
    <x v="0"/>
    <x v="38"/>
    <x v="38"/>
    <n v="2997799"/>
    <n v="2997799"/>
    <n v="0"/>
    <x v="108"/>
    <s v="Cali"/>
    <m/>
    <m/>
    <m/>
    <m/>
    <x v="0"/>
  </r>
  <r>
    <d v="2021-01-31T00:00:00"/>
    <x v="0"/>
    <x v="16"/>
    <x v="16"/>
    <n v="-50280"/>
    <n v="0"/>
    <n v="50280"/>
    <x v="108"/>
    <s v="Cali"/>
    <m/>
    <m/>
    <m/>
    <m/>
    <x v="0"/>
  </r>
  <r>
    <d v="2021-01-31T00:00:00"/>
    <x v="0"/>
    <x v="14"/>
    <x v="14"/>
    <n v="-133958"/>
    <n v="0"/>
    <n v="133958"/>
    <x v="108"/>
    <s v="Cali"/>
    <m/>
    <m/>
    <m/>
    <m/>
    <x v="0"/>
  </r>
  <r>
    <d v="2021-01-31T00:00:00"/>
    <x v="0"/>
    <x v="39"/>
    <x v="39"/>
    <n v="50280"/>
    <n v="50280"/>
    <n v="0"/>
    <x v="108"/>
    <s v="Cali"/>
    <m/>
    <m/>
    <m/>
    <m/>
    <x v="0"/>
  </r>
  <r>
    <d v="2021-01-31T00:00:00"/>
    <x v="0"/>
    <x v="40"/>
    <x v="40"/>
    <n v="133958"/>
    <n v="133958"/>
    <n v="0"/>
    <x v="108"/>
    <s v="Cali"/>
    <m/>
    <m/>
    <m/>
    <m/>
    <x v="0"/>
  </r>
  <r>
    <d v="2021-01-31T00:00:00"/>
    <x v="0"/>
    <x v="41"/>
    <x v="41"/>
    <n v="-6283561"/>
    <n v="0"/>
    <n v="6283561"/>
    <x v="108"/>
    <s v="Cali"/>
    <m/>
    <m/>
    <m/>
    <m/>
    <x v="0"/>
  </r>
  <r>
    <d v="2021-01-31T00:00:00"/>
    <x v="0"/>
    <x v="42"/>
    <x v="42"/>
    <n v="-2006500"/>
    <n v="0"/>
    <n v="2006500"/>
    <x v="108"/>
    <s v="Cali"/>
    <m/>
    <m/>
    <m/>
    <m/>
    <x v="0"/>
  </r>
  <r>
    <d v="2021-01-31T00:00:00"/>
    <x v="0"/>
    <x v="43"/>
    <x v="43"/>
    <n v="421393"/>
    <n v="421393"/>
    <n v="0"/>
    <x v="108"/>
    <s v="Cali"/>
    <m/>
    <m/>
    <m/>
    <m/>
    <x v="0"/>
  </r>
  <r>
    <d v="2021-01-31T00:00:00"/>
    <x v="0"/>
    <x v="43"/>
    <x v="43"/>
    <n v="50163"/>
    <n v="50163"/>
    <n v="0"/>
    <x v="108"/>
    <s v="Cali"/>
    <m/>
    <m/>
    <m/>
    <m/>
    <x v="0"/>
  </r>
  <r>
    <d v="2021-01-31T00:00:00"/>
    <x v="0"/>
    <x v="38"/>
    <x v="38"/>
    <n v="3479599"/>
    <n v="3479599"/>
    <n v="0"/>
    <x v="108"/>
    <s v="Cali"/>
    <m/>
    <m/>
    <m/>
    <m/>
    <x v="0"/>
  </r>
  <r>
    <d v="2021-01-31T00:00:00"/>
    <x v="0"/>
    <x v="40"/>
    <x v="40"/>
    <n v="62836"/>
    <n v="62836"/>
    <n v="0"/>
    <x v="108"/>
    <s v="Cali"/>
    <m/>
    <m/>
    <m/>
    <m/>
    <x v="0"/>
  </r>
  <r>
    <d v="2021-01-31T00:00:00"/>
    <x v="0"/>
    <x v="40"/>
    <x v="40"/>
    <n v="20065"/>
    <n v="20065"/>
    <n v="0"/>
    <x v="108"/>
    <s v="Cali"/>
    <m/>
    <m/>
    <m/>
    <m/>
    <x v="0"/>
  </r>
  <r>
    <d v="2021-01-31T00:00:00"/>
    <x v="0"/>
    <x v="44"/>
    <x v="44"/>
    <n v="2319733"/>
    <n v="2319733"/>
    <n v="0"/>
    <x v="108"/>
    <s v="Cali"/>
    <m/>
    <m/>
    <m/>
    <m/>
    <x v="0"/>
  </r>
  <r>
    <d v="2021-01-31T00:00:00"/>
    <x v="0"/>
    <x v="45"/>
    <x v="45"/>
    <n v="1936272"/>
    <n v="1936272"/>
    <n v="0"/>
    <x v="108"/>
    <s v="Cali"/>
    <m/>
    <m/>
    <m/>
    <m/>
    <x v="0"/>
  </r>
  <r>
    <d v="2021-01-31T00:00:00"/>
    <x v="0"/>
    <x v="5"/>
    <x v="5"/>
    <n v="-112906"/>
    <n v="0"/>
    <n v="112906"/>
    <x v="108"/>
    <s v="Cali"/>
    <m/>
    <m/>
    <m/>
    <m/>
    <x v="0"/>
  </r>
  <r>
    <d v="2021-01-31T00:00:00"/>
    <x v="0"/>
    <x v="30"/>
    <x v="30"/>
    <n v="112906"/>
    <n v="112906"/>
    <n v="0"/>
    <x v="108"/>
    <s v="Cali"/>
    <m/>
    <m/>
    <m/>
    <m/>
    <x v="0"/>
  </r>
  <r>
    <m/>
    <x v="1"/>
    <x v="23"/>
    <x v="23"/>
    <m/>
    <m/>
    <m/>
    <x v="1"/>
    <m/>
    <m/>
    <m/>
    <m/>
    <m/>
    <x v="0"/>
  </r>
  <r>
    <d v="2021-01-31T00:00:00"/>
    <x v="0"/>
    <x v="4"/>
    <x v="4"/>
    <n v="20000"/>
    <n v="20000"/>
    <n v="0"/>
    <x v="109"/>
    <s v="Cali"/>
    <m/>
    <m/>
    <m/>
    <m/>
    <x v="0"/>
  </r>
  <r>
    <d v="2021-01-31T00:00:00"/>
    <x v="0"/>
    <x v="29"/>
    <x v="29"/>
    <n v="-20000"/>
    <n v="0"/>
    <n v="20000"/>
    <x v="109"/>
    <s v="Cali"/>
    <m/>
    <m/>
    <m/>
    <m/>
    <x v="0"/>
  </r>
  <r>
    <m/>
    <x v="1"/>
    <x v="23"/>
    <x v="23"/>
    <m/>
    <m/>
    <m/>
    <x v="1"/>
    <m/>
    <m/>
    <m/>
    <m/>
    <m/>
    <x v="0"/>
  </r>
  <r>
    <d v="2021-01-31T00:00:00"/>
    <x v="0"/>
    <x v="46"/>
    <x v="46"/>
    <n v="0"/>
    <n v="0"/>
    <n v="0"/>
    <x v="110"/>
    <s v="Cali"/>
    <m/>
    <m/>
    <m/>
    <m/>
    <x v="0"/>
  </r>
  <r>
    <d v="2021-01-31T00:00:00"/>
    <x v="0"/>
    <x v="47"/>
    <x v="47"/>
    <n v="0"/>
    <n v="0"/>
    <n v="0"/>
    <x v="110"/>
    <s v="Cali"/>
    <m/>
    <m/>
    <m/>
    <m/>
    <x v="0"/>
  </r>
  <r>
    <m/>
    <x v="1"/>
    <x v="23"/>
    <x v="23"/>
    <m/>
    <m/>
    <m/>
    <x v="1"/>
    <m/>
    <m/>
    <m/>
    <m/>
    <m/>
    <x v="0"/>
  </r>
  <r>
    <d v="2021-01-31T00:00:00"/>
    <x v="0"/>
    <x v="2"/>
    <x v="2"/>
    <n v="0"/>
    <n v="0"/>
    <n v="0"/>
    <x v="111"/>
    <s v="Cali"/>
    <m/>
    <m/>
    <m/>
    <m/>
    <x v="0"/>
  </r>
  <r>
    <d v="2021-01-31T00:00:00"/>
    <x v="0"/>
    <x v="47"/>
    <x v="47"/>
    <n v="0"/>
    <n v="0"/>
    <n v="0"/>
    <x v="111"/>
    <s v="Cali"/>
    <m/>
    <m/>
    <m/>
    <m/>
    <x v="0"/>
  </r>
  <r>
    <m/>
    <x v="1"/>
    <x v="23"/>
    <x v="23"/>
    <m/>
    <m/>
    <m/>
    <x v="1"/>
    <m/>
    <m/>
    <m/>
    <m/>
    <m/>
    <x v="0"/>
  </r>
  <r>
    <d v="2021-01-31T00:00:00"/>
    <x v="0"/>
    <x v="3"/>
    <x v="3"/>
    <n v="10507"/>
    <n v="10507"/>
    <n v="0"/>
    <x v="112"/>
    <s v="Cali"/>
    <m/>
    <m/>
    <m/>
    <m/>
    <x v="0"/>
  </r>
  <r>
    <d v="2021-01-31T00:00:00"/>
    <x v="0"/>
    <x v="47"/>
    <x v="47"/>
    <n v="-10507"/>
    <n v="0"/>
    <n v="10507"/>
    <x v="112"/>
    <s v="Cali"/>
    <m/>
    <m/>
    <m/>
    <m/>
    <x v="0"/>
  </r>
  <r>
    <m/>
    <x v="1"/>
    <x v="23"/>
    <x v="23"/>
    <m/>
    <m/>
    <m/>
    <x v="1"/>
    <m/>
    <m/>
    <m/>
    <m/>
    <m/>
    <x v="0"/>
  </r>
  <r>
    <d v="2021-01-06T00:00:00"/>
    <x v="0"/>
    <x v="31"/>
    <x v="31"/>
    <n v="3113"/>
    <n v="3113"/>
    <n v="0"/>
    <x v="113"/>
    <s v="Cali"/>
    <m/>
    <m/>
    <m/>
    <m/>
    <x v="0"/>
  </r>
  <r>
    <d v="2021-01-06T00:00:00"/>
    <x v="0"/>
    <x v="1"/>
    <x v="1"/>
    <n v="-3113"/>
    <n v="0"/>
    <n v="3113"/>
    <x v="113"/>
    <s v="Cali"/>
    <m/>
    <m/>
    <m/>
    <m/>
    <x v="0"/>
  </r>
  <r>
    <m/>
    <x v="1"/>
    <x v="23"/>
    <x v="23"/>
    <m/>
    <m/>
    <m/>
    <x v="1"/>
    <m/>
    <m/>
    <m/>
    <m/>
    <m/>
    <x v="0"/>
  </r>
  <r>
    <d v="2021-01-13T00:00:00"/>
    <x v="0"/>
    <x v="1"/>
    <x v="1"/>
    <n v="50000000"/>
    <n v="50000000"/>
    <n v="0"/>
    <x v="114"/>
    <s v="Cali"/>
    <m/>
    <m/>
    <m/>
    <m/>
    <x v="0"/>
  </r>
  <r>
    <d v="2021-01-13T00:00:00"/>
    <x v="0"/>
    <x v="3"/>
    <x v="3"/>
    <n v="-50000000"/>
    <n v="0"/>
    <n v="50000000"/>
    <x v="114"/>
    <s v="Cali"/>
    <m/>
    <m/>
    <m/>
    <m/>
    <x v="0"/>
  </r>
  <r>
    <m/>
    <x v="1"/>
    <x v="23"/>
    <x v="23"/>
    <m/>
    <m/>
    <m/>
    <x v="1"/>
    <m/>
    <m/>
    <m/>
    <m/>
    <m/>
    <x v="0"/>
  </r>
  <r>
    <d v="2021-01-13T00:00:00"/>
    <x v="0"/>
    <x v="1"/>
    <x v="1"/>
    <n v="85000000"/>
    <n v="85000000"/>
    <n v="0"/>
    <x v="114"/>
    <s v="Cali"/>
    <m/>
    <m/>
    <m/>
    <m/>
    <x v="0"/>
  </r>
  <r>
    <d v="2021-01-13T00:00:00"/>
    <x v="0"/>
    <x v="3"/>
    <x v="3"/>
    <n v="-85000000"/>
    <n v="0"/>
    <n v="85000000"/>
    <x v="114"/>
    <s v="Cali"/>
    <m/>
    <m/>
    <m/>
    <m/>
    <x v="0"/>
  </r>
  <r>
    <m/>
    <x v="1"/>
    <x v="23"/>
    <x v="23"/>
    <m/>
    <m/>
    <m/>
    <x v="1"/>
    <m/>
    <m/>
    <m/>
    <m/>
    <m/>
    <x v="0"/>
  </r>
  <r>
    <d v="2021-01-14T00:00:00"/>
    <x v="0"/>
    <x v="48"/>
    <x v="48"/>
    <n v="550938"/>
    <n v="550938"/>
    <n v="0"/>
    <x v="115"/>
    <s v="Cali"/>
    <s v="96800570-7"/>
    <s v="Enel DistribuciÃ³n Chile S.A."/>
    <n v="23412621"/>
    <s v="138-02"/>
    <x v="2"/>
  </r>
  <r>
    <d v="2021-01-14T00:00:00"/>
    <x v="0"/>
    <x v="1"/>
    <x v="1"/>
    <n v="-550938"/>
    <n v="0"/>
    <n v="550938"/>
    <x v="115"/>
    <s v="Cali"/>
    <m/>
    <m/>
    <m/>
    <m/>
    <x v="0"/>
  </r>
  <r>
    <m/>
    <x v="1"/>
    <x v="23"/>
    <x v="23"/>
    <m/>
    <m/>
    <m/>
    <x v="1"/>
    <m/>
    <m/>
    <m/>
    <m/>
    <m/>
    <x v="0"/>
  </r>
  <r>
    <d v="2021-01-14T00:00:00"/>
    <x v="0"/>
    <x v="10"/>
    <x v="10"/>
    <n v="2440824"/>
    <n v="2440824"/>
    <n v="0"/>
    <x v="116"/>
    <s v="Cali"/>
    <m/>
    <m/>
    <m/>
    <m/>
    <x v="0"/>
  </r>
  <r>
    <d v="2021-01-14T00:00:00"/>
    <x v="0"/>
    <x v="1"/>
    <x v="1"/>
    <n v="-2440824"/>
    <n v="0"/>
    <n v="2440824"/>
    <x v="116"/>
    <s v="Cali"/>
    <m/>
    <m/>
    <m/>
    <m/>
    <x v="0"/>
  </r>
  <r>
    <m/>
    <x v="1"/>
    <x v="23"/>
    <x v="23"/>
    <m/>
    <m/>
    <m/>
    <x v="1"/>
    <m/>
    <m/>
    <m/>
    <m/>
    <m/>
    <x v="0"/>
  </r>
  <r>
    <d v="2021-01-14T00:00:00"/>
    <x v="0"/>
    <x v="48"/>
    <x v="48"/>
    <n v="128167387"/>
    <n v="128167387"/>
    <n v="0"/>
    <x v="117"/>
    <s v="Cali"/>
    <s v="80965500-8"/>
    <s v="PROYECTOS Y CONSTRUCCIONES TASCO LIMITADA"/>
    <n v="2829"/>
    <m/>
    <x v="0"/>
  </r>
  <r>
    <d v="2021-01-14T00:00:00"/>
    <x v="0"/>
    <x v="1"/>
    <x v="1"/>
    <n v="-128167387"/>
    <n v="0"/>
    <n v="128167387"/>
    <x v="117"/>
    <s v="Cali"/>
    <m/>
    <m/>
    <m/>
    <m/>
    <x v="0"/>
  </r>
  <r>
    <m/>
    <x v="1"/>
    <x v="23"/>
    <x v="23"/>
    <m/>
    <m/>
    <m/>
    <x v="1"/>
    <m/>
    <m/>
    <m/>
    <m/>
    <m/>
    <x v="0"/>
  </r>
  <r>
    <d v="2021-01-14T00:00:00"/>
    <x v="0"/>
    <x v="48"/>
    <x v="48"/>
    <n v="4215334"/>
    <n v="4215334"/>
    <n v="0"/>
    <x v="118"/>
    <s v="Cali"/>
    <s v="89485200-3"/>
    <s v="COZ Y COMPAÃ‘IA S.A."/>
    <n v="5877"/>
    <s v="138-01"/>
    <x v="3"/>
  </r>
  <r>
    <d v="2021-01-14T00:00:00"/>
    <x v="0"/>
    <x v="1"/>
    <x v="1"/>
    <n v="-4215334"/>
    <n v="0"/>
    <n v="4215334"/>
    <x v="118"/>
    <s v="Cali"/>
    <m/>
    <m/>
    <m/>
    <m/>
    <x v="0"/>
  </r>
  <r>
    <m/>
    <x v="1"/>
    <x v="23"/>
    <x v="23"/>
    <m/>
    <m/>
    <m/>
    <x v="1"/>
    <m/>
    <m/>
    <m/>
    <m/>
    <m/>
    <x v="0"/>
  </r>
  <r>
    <d v="2021-01-29T00:00:00"/>
    <x v="0"/>
    <x v="1"/>
    <x v="1"/>
    <n v="73000000"/>
    <n v="73000000"/>
    <n v="0"/>
    <x v="119"/>
    <s v="Cali"/>
    <m/>
    <m/>
    <m/>
    <m/>
    <x v="0"/>
  </r>
  <r>
    <d v="2021-01-29T00:00:00"/>
    <x v="0"/>
    <x v="26"/>
    <x v="26"/>
    <n v="-73000000"/>
    <n v="0"/>
    <n v="73000000"/>
    <x v="119"/>
    <s v="Cali"/>
    <m/>
    <m/>
    <m/>
    <m/>
    <x v="0"/>
  </r>
  <r>
    <m/>
    <x v="1"/>
    <x v="23"/>
    <x v="23"/>
    <m/>
    <m/>
    <m/>
    <x v="1"/>
    <m/>
    <m/>
    <m/>
    <m/>
    <m/>
    <x v="0"/>
  </r>
  <r>
    <d v="2021-01-04T00:00:00"/>
    <x v="0"/>
    <x v="31"/>
    <x v="31"/>
    <n v="100000"/>
    <n v="100000"/>
    <n v="0"/>
    <x v="120"/>
    <s v="Cali"/>
    <m/>
    <m/>
    <m/>
    <m/>
    <x v="0"/>
  </r>
  <r>
    <d v="2021-01-04T00:00:00"/>
    <x v="0"/>
    <x v="0"/>
    <x v="0"/>
    <n v="-100000"/>
    <n v="0"/>
    <n v="100000"/>
    <x v="120"/>
    <s v="Cali"/>
    <m/>
    <m/>
    <m/>
    <m/>
    <x v="0"/>
  </r>
  <r>
    <m/>
    <x v="1"/>
    <x v="23"/>
    <x v="23"/>
    <m/>
    <m/>
    <m/>
    <x v="1"/>
    <m/>
    <m/>
    <m/>
    <m/>
    <m/>
    <x v="0"/>
  </r>
  <r>
    <d v="2021-01-29T00:00:00"/>
    <x v="0"/>
    <x v="2"/>
    <x v="2"/>
    <n v="60000000"/>
    <n v="60000000"/>
    <n v="0"/>
    <x v="121"/>
    <s v="Cali"/>
    <m/>
    <m/>
    <m/>
    <m/>
    <x v="0"/>
  </r>
  <r>
    <d v="2021-01-29T00:00:00"/>
    <x v="0"/>
    <x v="1"/>
    <x v="1"/>
    <n v="-60000000"/>
    <n v="0"/>
    <n v="60000000"/>
    <x v="121"/>
    <s v="Cali"/>
    <m/>
    <m/>
    <m/>
    <m/>
    <x v="0"/>
  </r>
  <r>
    <m/>
    <x v="1"/>
    <x v="23"/>
    <x v="23"/>
    <m/>
    <m/>
    <m/>
    <x v="1"/>
    <m/>
    <m/>
    <m/>
    <m/>
    <m/>
    <x v="0"/>
  </r>
  <r>
    <d v="2021-01-29T00:00:00"/>
    <x v="0"/>
    <x v="26"/>
    <x v="26"/>
    <n v="-855000"/>
    <n v="0"/>
    <n v="855000"/>
    <x v="122"/>
    <s v="Cali"/>
    <m/>
    <m/>
    <m/>
    <m/>
    <x v="0"/>
  </r>
  <r>
    <d v="2021-01-29T00:00:00"/>
    <x v="0"/>
    <x v="25"/>
    <x v="25"/>
    <n v="-175000"/>
    <n v="0"/>
    <n v="175000"/>
    <x v="123"/>
    <s v="Cali"/>
    <m/>
    <m/>
    <m/>
    <m/>
    <x v="0"/>
  </r>
  <r>
    <d v="2021-01-29T00:00:00"/>
    <x v="0"/>
    <x v="25"/>
    <x v="25"/>
    <n v="-350000"/>
    <n v="0"/>
    <n v="350000"/>
    <x v="124"/>
    <s v="Cali"/>
    <m/>
    <m/>
    <m/>
    <m/>
    <x v="0"/>
  </r>
  <r>
    <d v="2021-01-29T00:00:00"/>
    <x v="0"/>
    <x v="13"/>
    <x v="13"/>
    <n v="1380000"/>
    <n v="1380000"/>
    <n v="0"/>
    <x v="125"/>
    <s v="Cali"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d v="2021-01-30T00:00:00"/>
    <x v="0"/>
    <x v="11"/>
    <x v="11"/>
    <n v="-12671175"/>
    <n v="0"/>
    <n v="12671175"/>
    <x v="126"/>
    <s v="Cali"/>
    <s v="80965500-8"/>
    <s v="PROYECTOS Y CONSTRUCCIONES TASCO LIMITADA"/>
    <n v="2829"/>
    <m/>
    <x v="0"/>
  </r>
  <r>
    <d v="2021-01-30T00:00:00"/>
    <x v="0"/>
    <x v="8"/>
    <x v="8"/>
    <n v="147174150"/>
    <n v="147174150"/>
    <n v="0"/>
    <x v="127"/>
    <s v="Cali"/>
    <s v="80965500-8"/>
    <s v="PROYECTOS Y CONSTRUCCIONES TASCO LIMITADA"/>
    <n v="2829"/>
    <m/>
    <x v="0"/>
  </r>
  <r>
    <d v="2021-01-30T00:00:00"/>
    <x v="0"/>
    <x v="18"/>
    <x v="18"/>
    <n v="-6335588"/>
    <n v="0"/>
    <n v="6335588"/>
    <x v="128"/>
    <s v="Cali"/>
    <s v="80965500-8"/>
    <s v="PROYECTOS Y CONSTRUCCIONES TASCO LIMITADA"/>
    <n v="2829"/>
    <m/>
    <x v="0"/>
  </r>
  <r>
    <d v="2021-01-30T00:00:00"/>
    <x v="0"/>
    <x v="48"/>
    <x v="48"/>
    <n v="-128167387"/>
    <n v="0"/>
    <n v="128167387"/>
    <x v="129"/>
    <s v="Cali"/>
    <s v="80965500-8"/>
    <s v="PROYECTOS Y CONSTRUCCIONES TASCO LIMITADA"/>
    <n v="2829"/>
    <m/>
    <x v="0"/>
  </r>
  <r>
    <m/>
    <x v="1"/>
    <x v="23"/>
    <x v="23"/>
    <m/>
    <m/>
    <m/>
    <x v="1"/>
    <m/>
    <m/>
    <m/>
    <m/>
    <m/>
    <x v="0"/>
  </r>
  <r>
    <d v="2021-01-30T00:00:00"/>
    <x v="0"/>
    <x v="12"/>
    <x v="12"/>
    <n v="4215334"/>
    <n v="4215334"/>
    <n v="0"/>
    <x v="130"/>
    <s v="Cali"/>
    <s v="89485200-3"/>
    <s v="COZ Y COMPAÃ‘IA S.A."/>
    <n v="2829"/>
    <s v="138-01"/>
    <x v="3"/>
  </r>
  <r>
    <d v="2021-01-30T00:00:00"/>
    <x v="0"/>
    <x v="48"/>
    <x v="48"/>
    <n v="-4215334"/>
    <n v="0"/>
    <n v="4215334"/>
    <x v="131"/>
    <s v="Cali"/>
    <s v="89485200-3"/>
    <s v="COZ Y COMPAÃ‘IA S.A."/>
    <n v="2829"/>
    <m/>
    <x v="1"/>
  </r>
  <r>
    <m/>
    <x v="1"/>
    <x v="23"/>
    <x v="23"/>
    <m/>
    <m/>
    <m/>
    <x v="1"/>
    <m/>
    <m/>
    <m/>
    <m/>
    <m/>
    <x v="0"/>
  </r>
  <r>
    <d v="2021-01-30T00:00:00"/>
    <x v="0"/>
    <x v="12"/>
    <x v="12"/>
    <n v="550938"/>
    <n v="550938"/>
    <n v="0"/>
    <x v="115"/>
    <s v="Cali"/>
    <s v="96800570-7"/>
    <s v="Enel DistribuciÃ³n Chile S.A."/>
    <n v="23412621"/>
    <s v="138-02"/>
    <x v="2"/>
  </r>
  <r>
    <d v="2021-01-30T00:00:00"/>
    <x v="0"/>
    <x v="48"/>
    <x v="48"/>
    <n v="-550938"/>
    <n v="0"/>
    <n v="550938"/>
    <x v="115"/>
    <s v="Cali"/>
    <s v="96800570-7"/>
    <s v="Enel DistribuciÃ³n Chile S.A."/>
    <n v="23412621"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20000"/>
    <n v="20000"/>
    <n v="0"/>
    <x v="132"/>
    <s v="Cali"/>
    <m/>
    <m/>
    <m/>
    <m/>
    <x v="0"/>
  </r>
  <r>
    <d v="2021-02-01T00:00:00"/>
    <x v="2"/>
    <x v="25"/>
    <x v="25"/>
    <n v="-20000"/>
    <n v="0"/>
    <n v="20000"/>
    <x v="132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36000"/>
    <n v="36000"/>
    <n v="0"/>
    <x v="133"/>
    <s v="Cali"/>
    <m/>
    <m/>
    <m/>
    <m/>
    <x v="0"/>
  </r>
  <r>
    <d v="2021-02-01T00:00:00"/>
    <x v="2"/>
    <x v="25"/>
    <x v="25"/>
    <n v="-36000"/>
    <n v="0"/>
    <n v="36000"/>
    <x v="133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100000"/>
    <n v="100000"/>
    <n v="0"/>
    <x v="134"/>
    <s v="Cali"/>
    <m/>
    <m/>
    <m/>
    <m/>
    <x v="0"/>
  </r>
  <r>
    <d v="2021-02-01T00:00:00"/>
    <x v="2"/>
    <x v="26"/>
    <x v="26"/>
    <n v="-100000"/>
    <n v="0"/>
    <n v="100000"/>
    <x v="134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50000"/>
    <n v="50000"/>
    <n v="0"/>
    <x v="135"/>
    <s v="Cali"/>
    <m/>
    <m/>
    <m/>
    <m/>
    <x v="0"/>
  </r>
  <r>
    <d v="2021-02-01T00:00:00"/>
    <x v="2"/>
    <x v="26"/>
    <x v="26"/>
    <n v="-50000"/>
    <n v="0"/>
    <n v="50000"/>
    <x v="135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125000"/>
    <n v="125000"/>
    <n v="0"/>
    <x v="136"/>
    <s v="Cali"/>
    <m/>
    <m/>
    <m/>
    <m/>
    <x v="0"/>
  </r>
  <r>
    <d v="2021-02-01T00:00:00"/>
    <x v="2"/>
    <x v="26"/>
    <x v="26"/>
    <n v="-125000"/>
    <n v="0"/>
    <n v="125000"/>
    <x v="136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10000"/>
    <n v="10000"/>
    <n v="0"/>
    <x v="137"/>
    <s v="Cali"/>
    <m/>
    <m/>
    <m/>
    <m/>
    <x v="0"/>
  </r>
  <r>
    <d v="2021-02-01T00:00:00"/>
    <x v="2"/>
    <x v="26"/>
    <x v="26"/>
    <n v="-10000"/>
    <n v="0"/>
    <n v="10000"/>
    <x v="137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25000"/>
    <n v="25000"/>
    <n v="0"/>
    <x v="138"/>
    <s v="Cali"/>
    <m/>
    <m/>
    <m/>
    <m/>
    <x v="0"/>
  </r>
  <r>
    <d v="2021-02-01T00:00:00"/>
    <x v="2"/>
    <x v="27"/>
    <x v="27"/>
    <n v="-25000"/>
    <n v="0"/>
    <n v="25000"/>
    <x v="138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30000"/>
    <n v="30000"/>
    <n v="0"/>
    <x v="139"/>
    <s v="Cali"/>
    <m/>
    <m/>
    <m/>
    <m/>
    <x v="0"/>
  </r>
  <r>
    <d v="2021-02-01T00:00:00"/>
    <x v="2"/>
    <x v="25"/>
    <x v="25"/>
    <n v="-30000"/>
    <n v="0"/>
    <n v="30000"/>
    <x v="139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10000"/>
    <n v="10000"/>
    <n v="0"/>
    <x v="140"/>
    <s v="Cali"/>
    <m/>
    <m/>
    <m/>
    <m/>
    <x v="0"/>
  </r>
  <r>
    <d v="2021-02-01T00:00:00"/>
    <x v="2"/>
    <x v="19"/>
    <x v="19"/>
    <n v="-10000"/>
    <n v="0"/>
    <n v="10000"/>
    <x v="140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120000"/>
    <n v="120000"/>
    <n v="0"/>
    <x v="141"/>
    <s v="Cali"/>
    <m/>
    <m/>
    <m/>
    <m/>
    <x v="0"/>
  </r>
  <r>
    <d v="2021-02-01T00:00:00"/>
    <x v="2"/>
    <x v="25"/>
    <x v="25"/>
    <n v="-120000"/>
    <n v="0"/>
    <n v="120000"/>
    <x v="141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80000"/>
    <n v="80000"/>
    <n v="0"/>
    <x v="22"/>
    <s v="Cali"/>
    <m/>
    <m/>
    <m/>
    <m/>
    <x v="0"/>
  </r>
  <r>
    <d v="2021-02-01T00:00:00"/>
    <x v="2"/>
    <x v="27"/>
    <x v="27"/>
    <n v="-80000"/>
    <n v="0"/>
    <n v="80000"/>
    <x v="22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10000"/>
    <n v="10000"/>
    <n v="0"/>
    <x v="142"/>
    <s v="Cali"/>
    <m/>
    <m/>
    <m/>
    <m/>
    <x v="0"/>
  </r>
  <r>
    <d v="2021-02-01T00:00:00"/>
    <x v="2"/>
    <x v="25"/>
    <x v="25"/>
    <n v="-10000"/>
    <n v="0"/>
    <n v="10000"/>
    <x v="142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50000"/>
    <n v="50000"/>
    <n v="0"/>
    <x v="143"/>
    <s v="Cali"/>
    <m/>
    <m/>
    <m/>
    <m/>
    <x v="0"/>
  </r>
  <r>
    <d v="2021-02-01T00:00:00"/>
    <x v="2"/>
    <x v="25"/>
    <x v="25"/>
    <n v="-50000"/>
    <n v="0"/>
    <n v="50000"/>
    <x v="143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48000"/>
    <n v="48000"/>
    <n v="0"/>
    <x v="144"/>
    <s v="Cali"/>
    <m/>
    <m/>
    <m/>
    <m/>
    <x v="0"/>
  </r>
  <r>
    <d v="2021-02-01T00:00:00"/>
    <x v="2"/>
    <x v="27"/>
    <x v="27"/>
    <n v="-48000"/>
    <n v="0"/>
    <n v="48000"/>
    <x v="144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40000"/>
    <n v="40000"/>
    <n v="0"/>
    <x v="145"/>
    <s v="Cali"/>
    <m/>
    <m/>
    <m/>
    <m/>
    <x v="0"/>
  </r>
  <r>
    <d v="2021-02-01T00:00:00"/>
    <x v="2"/>
    <x v="25"/>
    <x v="25"/>
    <n v="-40000"/>
    <n v="0"/>
    <n v="40000"/>
    <x v="145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20000"/>
    <n v="20000"/>
    <n v="0"/>
    <x v="146"/>
    <s v="Cali"/>
    <m/>
    <m/>
    <m/>
    <m/>
    <x v="0"/>
  </r>
  <r>
    <d v="2021-02-01T00:00:00"/>
    <x v="2"/>
    <x v="26"/>
    <x v="26"/>
    <n v="-20000"/>
    <n v="0"/>
    <n v="20000"/>
    <x v="146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30000"/>
    <n v="30000"/>
    <n v="0"/>
    <x v="147"/>
    <s v="Cali"/>
    <m/>
    <m/>
    <m/>
    <m/>
    <x v="0"/>
  </r>
  <r>
    <d v="2021-02-01T00:00:00"/>
    <x v="2"/>
    <x v="26"/>
    <x v="26"/>
    <n v="-30000"/>
    <n v="0"/>
    <n v="30000"/>
    <x v="147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20000"/>
    <n v="20000"/>
    <n v="0"/>
    <x v="17"/>
    <s v="Cali"/>
    <m/>
    <m/>
    <m/>
    <m/>
    <x v="0"/>
  </r>
  <r>
    <d v="2021-02-01T00:00:00"/>
    <x v="2"/>
    <x v="25"/>
    <x v="25"/>
    <n v="-20000"/>
    <n v="0"/>
    <n v="20000"/>
    <x v="17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50000"/>
    <n v="50000"/>
    <n v="0"/>
    <x v="19"/>
    <s v="Cali"/>
    <m/>
    <m/>
    <m/>
    <m/>
    <x v="0"/>
  </r>
  <r>
    <d v="2021-02-01T00:00:00"/>
    <x v="2"/>
    <x v="25"/>
    <x v="25"/>
    <n v="-50000"/>
    <n v="0"/>
    <n v="50000"/>
    <x v="19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15000"/>
    <n v="15000"/>
    <n v="0"/>
    <x v="148"/>
    <s v="Cali"/>
    <m/>
    <m/>
    <m/>
    <m/>
    <x v="0"/>
  </r>
  <r>
    <d v="2021-02-01T00:00:00"/>
    <x v="2"/>
    <x v="25"/>
    <x v="25"/>
    <n v="-15000"/>
    <n v="0"/>
    <n v="15000"/>
    <x v="148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25000"/>
    <n v="25000"/>
    <n v="0"/>
    <x v="149"/>
    <s v="Cali"/>
    <m/>
    <m/>
    <m/>
    <m/>
    <x v="0"/>
  </r>
  <r>
    <d v="2021-02-01T00:00:00"/>
    <x v="2"/>
    <x v="27"/>
    <x v="27"/>
    <n v="-25000"/>
    <n v="0"/>
    <n v="25000"/>
    <x v="149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25000"/>
    <n v="25000"/>
    <n v="0"/>
    <x v="38"/>
    <s v="Cali"/>
    <m/>
    <m/>
    <m/>
    <m/>
    <x v="0"/>
  </r>
  <r>
    <d v="2021-02-01T00:00:00"/>
    <x v="2"/>
    <x v="25"/>
    <x v="25"/>
    <n v="-25000"/>
    <n v="0"/>
    <n v="25000"/>
    <x v="38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12000"/>
    <n v="12000"/>
    <n v="0"/>
    <x v="150"/>
    <s v="Cali"/>
    <m/>
    <m/>
    <m/>
    <m/>
    <x v="0"/>
  </r>
  <r>
    <d v="2021-02-01T00:00:00"/>
    <x v="2"/>
    <x v="19"/>
    <x v="19"/>
    <n v="-12000"/>
    <n v="0"/>
    <n v="12000"/>
    <x v="150"/>
    <s v="Cali"/>
    <m/>
    <m/>
    <m/>
    <m/>
    <x v="0"/>
  </r>
  <r>
    <m/>
    <x v="1"/>
    <x v="23"/>
    <x v="23"/>
    <m/>
    <m/>
    <m/>
    <x v="1"/>
    <m/>
    <m/>
    <m/>
    <m/>
    <m/>
    <x v="0"/>
  </r>
  <r>
    <d v="2021-02-01T00:00:00"/>
    <x v="2"/>
    <x v="0"/>
    <x v="0"/>
    <n v="20000"/>
    <n v="20000"/>
    <n v="0"/>
    <x v="151"/>
    <s v="Cali"/>
    <m/>
    <m/>
    <m/>
    <m/>
    <x v="0"/>
  </r>
  <r>
    <d v="2021-02-01T00:00:00"/>
    <x v="2"/>
    <x v="25"/>
    <x v="25"/>
    <n v="-20000"/>
    <n v="0"/>
    <n v="20000"/>
    <x v="151"/>
    <s v="Cali"/>
    <m/>
    <m/>
    <m/>
    <m/>
    <x v="0"/>
  </r>
  <r>
    <m/>
    <x v="1"/>
    <x v="23"/>
    <x v="23"/>
    <m/>
    <m/>
    <m/>
    <x v="1"/>
    <m/>
    <m/>
    <m/>
    <m/>
    <m/>
    <x v="0"/>
  </r>
  <r>
    <d v="2021-02-02T00:00:00"/>
    <x v="2"/>
    <x v="0"/>
    <x v="0"/>
    <n v="2319733"/>
    <n v="2319733"/>
    <n v="0"/>
    <x v="152"/>
    <s v="Cali"/>
    <m/>
    <m/>
    <m/>
    <m/>
    <x v="0"/>
  </r>
  <r>
    <d v="2021-02-02T00:00:00"/>
    <x v="2"/>
    <x v="44"/>
    <x v="44"/>
    <n v="-2319733"/>
    <n v="0"/>
    <n v="2319733"/>
    <x v="152"/>
    <s v="Cali"/>
    <m/>
    <m/>
    <m/>
    <m/>
    <x v="0"/>
  </r>
  <r>
    <m/>
    <x v="1"/>
    <x v="23"/>
    <x v="23"/>
    <m/>
    <m/>
    <m/>
    <x v="1"/>
    <m/>
    <m/>
    <m/>
    <m/>
    <m/>
    <x v="0"/>
  </r>
  <r>
    <d v="2021-02-02T00:00:00"/>
    <x v="2"/>
    <x v="0"/>
    <x v="0"/>
    <n v="1936273"/>
    <n v="1936273"/>
    <n v="0"/>
    <x v="153"/>
    <s v="Cali"/>
    <m/>
    <m/>
    <m/>
    <m/>
    <x v="0"/>
  </r>
  <r>
    <d v="2021-02-02T00:00:00"/>
    <x v="2"/>
    <x v="45"/>
    <x v="45"/>
    <n v="-1936273"/>
    <n v="0"/>
    <n v="1936273"/>
    <x v="153"/>
    <s v="Cali"/>
    <m/>
    <m/>
    <m/>
    <m/>
    <x v="0"/>
  </r>
  <r>
    <m/>
    <x v="1"/>
    <x v="23"/>
    <x v="23"/>
    <m/>
    <m/>
    <m/>
    <x v="1"/>
    <m/>
    <m/>
    <m/>
    <m/>
    <m/>
    <x v="0"/>
  </r>
  <r>
    <d v="2021-02-02T00:00:00"/>
    <x v="2"/>
    <x v="0"/>
    <x v="0"/>
    <n v="42000"/>
    <n v="42000"/>
    <n v="0"/>
    <x v="154"/>
    <s v="Cali"/>
    <m/>
    <m/>
    <m/>
    <m/>
    <x v="0"/>
  </r>
  <r>
    <d v="2021-02-02T00:00:00"/>
    <x v="2"/>
    <x v="19"/>
    <x v="19"/>
    <n v="-42000"/>
    <n v="0"/>
    <n v="42000"/>
    <x v="154"/>
    <s v="Cali"/>
    <m/>
    <m/>
    <m/>
    <m/>
    <x v="0"/>
  </r>
  <r>
    <m/>
    <x v="1"/>
    <x v="23"/>
    <x v="23"/>
    <m/>
    <m/>
    <m/>
    <x v="1"/>
    <m/>
    <m/>
    <m/>
    <m/>
    <m/>
    <x v="0"/>
  </r>
  <r>
    <d v="2021-02-02T00:00:00"/>
    <x v="2"/>
    <x v="0"/>
    <x v="0"/>
    <n v="100000"/>
    <n v="100000"/>
    <n v="0"/>
    <x v="155"/>
    <s v="Cali"/>
    <m/>
    <m/>
    <m/>
    <m/>
    <x v="0"/>
  </r>
  <r>
    <d v="2021-02-02T00:00:00"/>
    <x v="2"/>
    <x v="27"/>
    <x v="27"/>
    <n v="-100000"/>
    <n v="0"/>
    <n v="100000"/>
    <x v="155"/>
    <s v="Cali"/>
    <m/>
    <m/>
    <m/>
    <m/>
    <x v="0"/>
  </r>
  <r>
    <m/>
    <x v="1"/>
    <x v="23"/>
    <x v="23"/>
    <m/>
    <m/>
    <m/>
    <x v="1"/>
    <m/>
    <m/>
    <m/>
    <m/>
    <m/>
    <x v="0"/>
  </r>
  <r>
    <d v="2021-02-02T00:00:00"/>
    <x v="2"/>
    <x v="0"/>
    <x v="0"/>
    <n v="20000"/>
    <n v="20000"/>
    <n v="0"/>
    <x v="156"/>
    <s v="Cali"/>
    <m/>
    <m/>
    <m/>
    <m/>
    <x v="0"/>
  </r>
  <r>
    <d v="2021-02-02T00:00:00"/>
    <x v="2"/>
    <x v="25"/>
    <x v="25"/>
    <n v="-20000"/>
    <n v="0"/>
    <n v="20000"/>
    <x v="156"/>
    <s v="Cali"/>
    <m/>
    <m/>
    <m/>
    <m/>
    <x v="0"/>
  </r>
  <r>
    <m/>
    <x v="1"/>
    <x v="23"/>
    <x v="23"/>
    <m/>
    <m/>
    <m/>
    <x v="1"/>
    <m/>
    <m/>
    <m/>
    <m/>
    <m/>
    <x v="0"/>
  </r>
  <r>
    <d v="2021-02-02T00:00:00"/>
    <x v="2"/>
    <x v="0"/>
    <x v="0"/>
    <n v="40000"/>
    <n v="40000"/>
    <n v="0"/>
    <x v="157"/>
    <s v="Cali"/>
    <m/>
    <m/>
    <m/>
    <m/>
    <x v="0"/>
  </r>
  <r>
    <d v="2021-02-02T00:00:00"/>
    <x v="2"/>
    <x v="27"/>
    <x v="27"/>
    <n v="-40000"/>
    <n v="0"/>
    <n v="40000"/>
    <x v="157"/>
    <s v="Cali"/>
    <m/>
    <m/>
    <m/>
    <m/>
    <x v="0"/>
  </r>
  <r>
    <m/>
    <x v="1"/>
    <x v="23"/>
    <x v="23"/>
    <m/>
    <m/>
    <m/>
    <x v="1"/>
    <m/>
    <m/>
    <m/>
    <m/>
    <m/>
    <x v="0"/>
  </r>
  <r>
    <d v="2021-02-02T00:00:00"/>
    <x v="2"/>
    <x v="0"/>
    <x v="0"/>
    <n v="25000"/>
    <n v="25000"/>
    <n v="0"/>
    <x v="158"/>
    <s v="Cali"/>
    <m/>
    <m/>
    <m/>
    <m/>
    <x v="0"/>
  </r>
  <r>
    <d v="2021-02-02T00:00:00"/>
    <x v="2"/>
    <x v="25"/>
    <x v="25"/>
    <n v="-25000"/>
    <n v="0"/>
    <n v="25000"/>
    <x v="158"/>
    <s v="Cali"/>
    <m/>
    <m/>
    <m/>
    <m/>
    <x v="0"/>
  </r>
  <r>
    <m/>
    <x v="1"/>
    <x v="23"/>
    <x v="23"/>
    <m/>
    <m/>
    <m/>
    <x v="1"/>
    <m/>
    <m/>
    <m/>
    <m/>
    <m/>
    <x v="0"/>
  </r>
  <r>
    <d v="2021-02-02T00:00:00"/>
    <x v="2"/>
    <x v="0"/>
    <x v="0"/>
    <n v="29429"/>
    <n v="29429"/>
    <n v="0"/>
    <x v="159"/>
    <s v="Cali"/>
    <m/>
    <m/>
    <m/>
    <m/>
    <x v="0"/>
  </r>
  <r>
    <d v="2021-02-02T00:00:00"/>
    <x v="2"/>
    <x v="49"/>
    <x v="49"/>
    <n v="571"/>
    <n v="571"/>
    <n v="0"/>
    <x v="159"/>
    <s v="Cali"/>
    <m/>
    <m/>
    <m/>
    <m/>
    <x v="0"/>
  </r>
  <r>
    <d v="2021-02-02T00:00:00"/>
    <x v="2"/>
    <x v="25"/>
    <x v="25"/>
    <n v="-30000"/>
    <n v="0"/>
    <n v="30000"/>
    <x v="159"/>
    <s v="Cali"/>
    <m/>
    <m/>
    <m/>
    <m/>
    <x v="0"/>
  </r>
  <r>
    <m/>
    <x v="1"/>
    <x v="23"/>
    <x v="23"/>
    <m/>
    <m/>
    <m/>
    <x v="1"/>
    <m/>
    <m/>
    <m/>
    <m/>
    <m/>
    <x v="0"/>
  </r>
  <r>
    <d v="2021-02-02T00:00:00"/>
    <x v="2"/>
    <x v="0"/>
    <x v="0"/>
    <n v="55000"/>
    <n v="55000"/>
    <n v="0"/>
    <x v="160"/>
    <s v="Cali"/>
    <m/>
    <m/>
    <m/>
    <m/>
    <x v="0"/>
  </r>
  <r>
    <d v="2021-02-02T00:00:00"/>
    <x v="2"/>
    <x v="25"/>
    <x v="25"/>
    <n v="-55000"/>
    <n v="0"/>
    <n v="55000"/>
    <x v="160"/>
    <s v="Cali"/>
    <m/>
    <m/>
    <m/>
    <m/>
    <x v="0"/>
  </r>
  <r>
    <m/>
    <x v="1"/>
    <x v="23"/>
    <x v="23"/>
    <m/>
    <m/>
    <m/>
    <x v="1"/>
    <m/>
    <m/>
    <m/>
    <m/>
    <m/>
    <x v="0"/>
  </r>
  <r>
    <d v="2021-02-02T00:00:00"/>
    <x v="2"/>
    <x v="0"/>
    <x v="0"/>
    <n v="45000"/>
    <n v="45000"/>
    <n v="0"/>
    <x v="161"/>
    <s v="Cali"/>
    <m/>
    <m/>
    <m/>
    <m/>
    <x v="0"/>
  </r>
  <r>
    <d v="2021-02-02T00:00:00"/>
    <x v="2"/>
    <x v="26"/>
    <x v="26"/>
    <n v="-45000"/>
    <n v="0"/>
    <n v="45000"/>
    <x v="161"/>
    <s v="Cali"/>
    <m/>
    <m/>
    <m/>
    <m/>
    <x v="0"/>
  </r>
  <r>
    <m/>
    <x v="1"/>
    <x v="23"/>
    <x v="23"/>
    <m/>
    <m/>
    <m/>
    <x v="1"/>
    <m/>
    <m/>
    <m/>
    <m/>
    <m/>
    <x v="0"/>
  </r>
  <r>
    <d v="2021-02-03T00:00:00"/>
    <x v="2"/>
    <x v="0"/>
    <x v="0"/>
    <n v="500000"/>
    <n v="500000"/>
    <n v="0"/>
    <x v="162"/>
    <s v="Cali"/>
    <m/>
    <m/>
    <m/>
    <m/>
    <x v="0"/>
  </r>
  <r>
    <d v="2021-02-03T00:00:00"/>
    <x v="2"/>
    <x v="26"/>
    <x v="26"/>
    <n v="-500000"/>
    <n v="0"/>
    <n v="500000"/>
    <x v="162"/>
    <s v="Cali"/>
    <m/>
    <m/>
    <m/>
    <m/>
    <x v="0"/>
  </r>
  <r>
    <m/>
    <x v="1"/>
    <x v="23"/>
    <x v="23"/>
    <m/>
    <m/>
    <m/>
    <x v="1"/>
    <m/>
    <m/>
    <m/>
    <m/>
    <m/>
    <x v="0"/>
  </r>
  <r>
    <d v="2021-02-03T00:00:00"/>
    <x v="2"/>
    <x v="0"/>
    <x v="0"/>
    <n v="50000"/>
    <n v="50000"/>
    <n v="0"/>
    <x v="163"/>
    <s v="Cali"/>
    <m/>
    <m/>
    <m/>
    <m/>
    <x v="0"/>
  </r>
  <r>
    <d v="2021-02-03T00:00:00"/>
    <x v="2"/>
    <x v="25"/>
    <x v="25"/>
    <n v="-50000"/>
    <n v="0"/>
    <n v="50000"/>
    <x v="163"/>
    <s v="Cali"/>
    <m/>
    <m/>
    <m/>
    <m/>
    <x v="0"/>
  </r>
  <r>
    <m/>
    <x v="1"/>
    <x v="23"/>
    <x v="23"/>
    <m/>
    <m/>
    <m/>
    <x v="1"/>
    <m/>
    <m/>
    <m/>
    <m/>
    <m/>
    <x v="0"/>
  </r>
  <r>
    <d v="2021-02-03T00:00:00"/>
    <x v="2"/>
    <x v="0"/>
    <x v="0"/>
    <n v="30000"/>
    <n v="30000"/>
    <n v="0"/>
    <x v="164"/>
    <s v="Cali"/>
    <m/>
    <m/>
    <m/>
    <m/>
    <x v="0"/>
  </r>
  <r>
    <d v="2021-02-03T00:00:00"/>
    <x v="2"/>
    <x v="26"/>
    <x v="26"/>
    <n v="-30000"/>
    <n v="0"/>
    <n v="30000"/>
    <x v="164"/>
    <s v="Cali"/>
    <m/>
    <m/>
    <m/>
    <m/>
    <x v="0"/>
  </r>
  <r>
    <m/>
    <x v="1"/>
    <x v="23"/>
    <x v="23"/>
    <m/>
    <m/>
    <m/>
    <x v="1"/>
    <m/>
    <m/>
    <m/>
    <m/>
    <m/>
    <x v="0"/>
  </r>
  <r>
    <d v="2021-02-03T00:00:00"/>
    <x v="2"/>
    <x v="0"/>
    <x v="0"/>
    <n v="70000"/>
    <n v="70000"/>
    <n v="0"/>
    <x v="37"/>
    <s v="Cali"/>
    <m/>
    <m/>
    <m/>
    <m/>
    <x v="0"/>
  </r>
  <r>
    <d v="2021-02-03T00:00:00"/>
    <x v="2"/>
    <x v="25"/>
    <x v="25"/>
    <n v="-70000"/>
    <n v="0"/>
    <n v="70000"/>
    <x v="37"/>
    <s v="Cali"/>
    <m/>
    <m/>
    <m/>
    <m/>
    <x v="0"/>
  </r>
  <r>
    <m/>
    <x v="1"/>
    <x v="23"/>
    <x v="23"/>
    <m/>
    <m/>
    <m/>
    <x v="1"/>
    <m/>
    <m/>
    <m/>
    <m/>
    <m/>
    <x v="0"/>
  </r>
  <r>
    <d v="2021-02-03T00:00:00"/>
    <x v="2"/>
    <x v="0"/>
    <x v="0"/>
    <n v="20000"/>
    <n v="20000"/>
    <n v="0"/>
    <x v="165"/>
    <s v="Cali"/>
    <m/>
    <m/>
    <m/>
    <m/>
    <x v="0"/>
  </r>
  <r>
    <d v="2021-02-03T00:00:00"/>
    <x v="2"/>
    <x v="25"/>
    <x v="25"/>
    <n v="-20000"/>
    <n v="0"/>
    <n v="20000"/>
    <x v="165"/>
    <s v="Cali"/>
    <m/>
    <m/>
    <m/>
    <m/>
    <x v="0"/>
  </r>
  <r>
    <m/>
    <x v="1"/>
    <x v="23"/>
    <x v="23"/>
    <m/>
    <m/>
    <m/>
    <x v="1"/>
    <m/>
    <m/>
    <m/>
    <m/>
    <m/>
    <x v="0"/>
  </r>
  <r>
    <d v="2021-02-04T00:00:00"/>
    <x v="2"/>
    <x v="0"/>
    <x v="0"/>
    <n v="10000"/>
    <n v="10000"/>
    <n v="0"/>
    <x v="166"/>
    <s v="Cali"/>
    <m/>
    <m/>
    <m/>
    <m/>
    <x v="0"/>
  </r>
  <r>
    <d v="2021-02-04T00:00:00"/>
    <x v="2"/>
    <x v="25"/>
    <x v="25"/>
    <n v="-10000"/>
    <n v="0"/>
    <n v="10000"/>
    <x v="166"/>
    <s v="Cali"/>
    <m/>
    <m/>
    <m/>
    <m/>
    <x v="0"/>
  </r>
  <r>
    <m/>
    <x v="1"/>
    <x v="23"/>
    <x v="23"/>
    <m/>
    <m/>
    <m/>
    <x v="1"/>
    <m/>
    <m/>
    <m/>
    <m/>
    <m/>
    <x v="0"/>
  </r>
  <r>
    <d v="2021-02-04T00:00:00"/>
    <x v="2"/>
    <x v="0"/>
    <x v="0"/>
    <n v="10000"/>
    <n v="10000"/>
    <n v="0"/>
    <x v="167"/>
    <s v="Cali"/>
    <m/>
    <m/>
    <m/>
    <m/>
    <x v="0"/>
  </r>
  <r>
    <d v="2021-02-04T00:00:00"/>
    <x v="2"/>
    <x v="26"/>
    <x v="26"/>
    <n v="-10000"/>
    <n v="0"/>
    <n v="10000"/>
    <x v="167"/>
    <s v="Cali"/>
    <m/>
    <m/>
    <m/>
    <m/>
    <x v="0"/>
  </r>
  <r>
    <m/>
    <x v="1"/>
    <x v="23"/>
    <x v="23"/>
    <m/>
    <m/>
    <m/>
    <x v="1"/>
    <m/>
    <m/>
    <m/>
    <m/>
    <m/>
    <x v="0"/>
  </r>
  <r>
    <d v="2021-02-04T00:00:00"/>
    <x v="2"/>
    <x v="0"/>
    <x v="0"/>
    <n v="20000"/>
    <n v="20000"/>
    <n v="0"/>
    <x v="168"/>
    <s v="Cali"/>
    <m/>
    <m/>
    <m/>
    <m/>
    <x v="0"/>
  </r>
  <r>
    <d v="2021-02-04T00:00:00"/>
    <x v="2"/>
    <x v="26"/>
    <x v="26"/>
    <n v="-20000"/>
    <n v="0"/>
    <n v="20000"/>
    <x v="168"/>
    <s v="Cali"/>
    <m/>
    <m/>
    <m/>
    <m/>
    <x v="0"/>
  </r>
  <r>
    <m/>
    <x v="1"/>
    <x v="23"/>
    <x v="23"/>
    <m/>
    <m/>
    <m/>
    <x v="1"/>
    <m/>
    <m/>
    <m/>
    <m/>
    <m/>
    <x v="0"/>
  </r>
  <r>
    <d v="2021-02-04T00:00:00"/>
    <x v="2"/>
    <x v="0"/>
    <x v="0"/>
    <n v="150000"/>
    <n v="150000"/>
    <n v="0"/>
    <x v="169"/>
    <s v="Cali"/>
    <m/>
    <m/>
    <m/>
    <m/>
    <x v="0"/>
  </r>
  <r>
    <d v="2021-02-04T00:00:00"/>
    <x v="2"/>
    <x v="25"/>
    <x v="25"/>
    <n v="-150000"/>
    <n v="0"/>
    <n v="150000"/>
    <x v="169"/>
    <s v="Cali"/>
    <m/>
    <m/>
    <m/>
    <m/>
    <x v="0"/>
  </r>
  <r>
    <m/>
    <x v="1"/>
    <x v="23"/>
    <x v="23"/>
    <m/>
    <m/>
    <m/>
    <x v="1"/>
    <m/>
    <m/>
    <m/>
    <m/>
    <m/>
    <x v="0"/>
  </r>
  <r>
    <d v="2021-02-04T00:00:00"/>
    <x v="2"/>
    <x v="0"/>
    <x v="0"/>
    <n v="30000"/>
    <n v="30000"/>
    <n v="0"/>
    <x v="170"/>
    <s v="Cali"/>
    <m/>
    <m/>
    <m/>
    <m/>
    <x v="0"/>
  </r>
  <r>
    <d v="2021-02-04T00:00:00"/>
    <x v="2"/>
    <x v="26"/>
    <x v="26"/>
    <n v="-30000"/>
    <n v="0"/>
    <n v="30000"/>
    <x v="170"/>
    <s v="Cali"/>
    <m/>
    <m/>
    <m/>
    <m/>
    <x v="0"/>
  </r>
  <r>
    <m/>
    <x v="1"/>
    <x v="23"/>
    <x v="23"/>
    <m/>
    <m/>
    <m/>
    <x v="1"/>
    <m/>
    <m/>
    <m/>
    <m/>
    <m/>
    <x v="0"/>
  </r>
  <r>
    <d v="2021-02-04T00:00:00"/>
    <x v="2"/>
    <x v="0"/>
    <x v="0"/>
    <n v="350000"/>
    <n v="350000"/>
    <n v="0"/>
    <x v="171"/>
    <s v="Cali"/>
    <m/>
    <m/>
    <m/>
    <m/>
    <x v="0"/>
  </r>
  <r>
    <d v="2021-02-04T00:00:00"/>
    <x v="2"/>
    <x v="26"/>
    <x v="26"/>
    <n v="-350000"/>
    <n v="0"/>
    <n v="350000"/>
    <x v="171"/>
    <s v="Cali"/>
    <m/>
    <m/>
    <m/>
    <m/>
    <x v="0"/>
  </r>
  <r>
    <m/>
    <x v="1"/>
    <x v="23"/>
    <x v="23"/>
    <m/>
    <m/>
    <m/>
    <x v="1"/>
    <m/>
    <m/>
    <m/>
    <m/>
    <m/>
    <x v="0"/>
  </r>
  <r>
    <d v="2021-02-04T00:00:00"/>
    <x v="2"/>
    <x v="31"/>
    <x v="31"/>
    <n v="1386"/>
    <n v="1386"/>
    <n v="0"/>
    <x v="172"/>
    <s v="Cali"/>
    <m/>
    <m/>
    <m/>
    <m/>
    <x v="0"/>
  </r>
  <r>
    <d v="2021-02-04T00:00:00"/>
    <x v="2"/>
    <x v="0"/>
    <x v="0"/>
    <n v="-1386"/>
    <n v="0"/>
    <n v="1386"/>
    <x v="172"/>
    <s v="Cali"/>
    <m/>
    <m/>
    <m/>
    <m/>
    <x v="0"/>
  </r>
  <r>
    <m/>
    <x v="1"/>
    <x v="23"/>
    <x v="23"/>
    <m/>
    <m/>
    <m/>
    <x v="1"/>
    <m/>
    <m/>
    <m/>
    <m/>
    <m/>
    <x v="0"/>
  </r>
  <r>
    <d v="2021-02-05T00:00:00"/>
    <x v="2"/>
    <x v="0"/>
    <x v="0"/>
    <n v="50000"/>
    <n v="50000"/>
    <n v="0"/>
    <x v="173"/>
    <s v="Cali"/>
    <m/>
    <m/>
    <m/>
    <m/>
    <x v="0"/>
  </r>
  <r>
    <d v="2021-02-05T00:00:00"/>
    <x v="2"/>
    <x v="26"/>
    <x v="26"/>
    <n v="-50000"/>
    <n v="0"/>
    <n v="50000"/>
    <x v="173"/>
    <s v="Cali"/>
    <m/>
    <m/>
    <m/>
    <m/>
    <x v="0"/>
  </r>
  <r>
    <m/>
    <x v="1"/>
    <x v="23"/>
    <x v="23"/>
    <m/>
    <m/>
    <m/>
    <x v="1"/>
    <m/>
    <m/>
    <m/>
    <m/>
    <m/>
    <x v="0"/>
  </r>
  <r>
    <d v="2021-02-08T00:00:00"/>
    <x v="2"/>
    <x v="0"/>
    <x v="0"/>
    <n v="20000"/>
    <n v="20000"/>
    <n v="0"/>
    <x v="174"/>
    <s v="Cali"/>
    <m/>
    <m/>
    <m/>
    <m/>
    <x v="0"/>
  </r>
  <r>
    <d v="2021-02-08T00:00:00"/>
    <x v="2"/>
    <x v="25"/>
    <x v="25"/>
    <n v="-20000"/>
    <n v="0"/>
    <n v="20000"/>
    <x v="174"/>
    <s v="Cali"/>
    <m/>
    <m/>
    <m/>
    <m/>
    <x v="0"/>
  </r>
  <r>
    <m/>
    <x v="1"/>
    <x v="23"/>
    <x v="23"/>
    <m/>
    <m/>
    <m/>
    <x v="1"/>
    <m/>
    <m/>
    <m/>
    <m/>
    <m/>
    <x v="0"/>
  </r>
  <r>
    <d v="2021-02-08T00:00:00"/>
    <x v="2"/>
    <x v="0"/>
    <x v="0"/>
    <n v="8000"/>
    <n v="8000"/>
    <n v="0"/>
    <x v="175"/>
    <s v="Cali"/>
    <m/>
    <m/>
    <m/>
    <m/>
    <x v="0"/>
  </r>
  <r>
    <d v="2021-02-08T00:00:00"/>
    <x v="2"/>
    <x v="25"/>
    <x v="25"/>
    <n v="-8000"/>
    <n v="0"/>
    <n v="8000"/>
    <x v="175"/>
    <s v="Cali"/>
    <m/>
    <m/>
    <m/>
    <m/>
    <x v="0"/>
  </r>
  <r>
    <m/>
    <x v="1"/>
    <x v="23"/>
    <x v="23"/>
    <m/>
    <m/>
    <m/>
    <x v="1"/>
    <m/>
    <m/>
    <m/>
    <m/>
    <m/>
    <x v="0"/>
  </r>
  <r>
    <d v="2021-02-08T00:00:00"/>
    <x v="2"/>
    <x v="0"/>
    <x v="0"/>
    <n v="40000"/>
    <n v="40000"/>
    <n v="0"/>
    <x v="176"/>
    <s v="Cali"/>
    <m/>
    <m/>
    <m/>
    <m/>
    <x v="0"/>
  </r>
  <r>
    <d v="2021-02-08T00:00:00"/>
    <x v="2"/>
    <x v="25"/>
    <x v="25"/>
    <n v="-40000"/>
    <n v="0"/>
    <n v="40000"/>
    <x v="176"/>
    <s v="Cali"/>
    <m/>
    <m/>
    <m/>
    <m/>
    <x v="0"/>
  </r>
  <r>
    <m/>
    <x v="1"/>
    <x v="23"/>
    <x v="23"/>
    <m/>
    <m/>
    <m/>
    <x v="1"/>
    <m/>
    <m/>
    <m/>
    <m/>
    <m/>
    <x v="0"/>
  </r>
  <r>
    <d v="2021-02-08T00:00:00"/>
    <x v="2"/>
    <x v="0"/>
    <x v="0"/>
    <n v="15000"/>
    <n v="15000"/>
    <n v="0"/>
    <x v="173"/>
    <s v="Cali"/>
    <m/>
    <m/>
    <m/>
    <m/>
    <x v="0"/>
  </r>
  <r>
    <d v="2021-02-08T00:00:00"/>
    <x v="2"/>
    <x v="26"/>
    <x v="26"/>
    <n v="-15000"/>
    <n v="0"/>
    <n v="15000"/>
    <x v="173"/>
    <s v="Cali"/>
    <m/>
    <m/>
    <m/>
    <m/>
    <x v="0"/>
  </r>
  <r>
    <m/>
    <x v="1"/>
    <x v="23"/>
    <x v="23"/>
    <m/>
    <m/>
    <m/>
    <x v="1"/>
    <m/>
    <m/>
    <m/>
    <m/>
    <m/>
    <x v="0"/>
  </r>
  <r>
    <d v="2021-02-08T00:00:00"/>
    <x v="2"/>
    <x v="0"/>
    <x v="0"/>
    <n v="1500"/>
    <n v="1500"/>
    <n v="0"/>
    <x v="177"/>
    <s v="Cali"/>
    <m/>
    <m/>
    <m/>
    <m/>
    <x v="0"/>
  </r>
  <r>
    <d v="2021-02-08T00:00:00"/>
    <x v="2"/>
    <x v="19"/>
    <x v="19"/>
    <n v="-1500"/>
    <n v="0"/>
    <n v="15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2-08T00:00:00"/>
    <x v="2"/>
    <x v="0"/>
    <x v="0"/>
    <n v="40000"/>
    <n v="40000"/>
    <n v="0"/>
    <x v="178"/>
    <s v="Cali"/>
    <m/>
    <m/>
    <m/>
    <m/>
    <x v="0"/>
  </r>
  <r>
    <d v="2021-02-08T00:00:00"/>
    <x v="2"/>
    <x v="25"/>
    <x v="25"/>
    <n v="-40000"/>
    <n v="0"/>
    <n v="40000"/>
    <x v="178"/>
    <s v="Cali"/>
    <m/>
    <m/>
    <m/>
    <m/>
    <x v="0"/>
  </r>
  <r>
    <m/>
    <x v="1"/>
    <x v="23"/>
    <x v="23"/>
    <m/>
    <m/>
    <m/>
    <x v="1"/>
    <m/>
    <m/>
    <m/>
    <m/>
    <m/>
    <x v="0"/>
  </r>
  <r>
    <d v="2021-02-08T00:00:00"/>
    <x v="2"/>
    <x v="0"/>
    <x v="0"/>
    <n v="60000"/>
    <n v="60000"/>
    <n v="0"/>
    <x v="179"/>
    <s v="Cali"/>
    <m/>
    <m/>
    <m/>
    <m/>
    <x v="0"/>
  </r>
  <r>
    <d v="2021-02-08T00:00:00"/>
    <x v="2"/>
    <x v="25"/>
    <x v="25"/>
    <n v="-60000"/>
    <n v="0"/>
    <n v="60000"/>
    <x v="179"/>
    <s v="Cali"/>
    <m/>
    <m/>
    <m/>
    <m/>
    <x v="0"/>
  </r>
  <r>
    <m/>
    <x v="1"/>
    <x v="23"/>
    <x v="23"/>
    <m/>
    <m/>
    <m/>
    <x v="1"/>
    <m/>
    <m/>
    <m/>
    <m/>
    <m/>
    <x v="0"/>
  </r>
  <r>
    <d v="2021-02-09T00:00:00"/>
    <x v="2"/>
    <x v="0"/>
    <x v="0"/>
    <n v="30000"/>
    <n v="30000"/>
    <n v="0"/>
    <x v="180"/>
    <s v="Cali"/>
    <m/>
    <m/>
    <m/>
    <m/>
    <x v="0"/>
  </r>
  <r>
    <d v="2021-02-09T00:00:00"/>
    <x v="2"/>
    <x v="26"/>
    <x v="26"/>
    <n v="-30000"/>
    <n v="0"/>
    <n v="30000"/>
    <x v="180"/>
    <s v="Cali"/>
    <m/>
    <m/>
    <m/>
    <m/>
    <x v="0"/>
  </r>
  <r>
    <m/>
    <x v="1"/>
    <x v="23"/>
    <x v="23"/>
    <m/>
    <m/>
    <m/>
    <x v="1"/>
    <m/>
    <m/>
    <m/>
    <m/>
    <m/>
    <x v="0"/>
  </r>
  <r>
    <d v="2021-02-09T00:00:00"/>
    <x v="2"/>
    <x v="0"/>
    <x v="0"/>
    <n v="1650000"/>
    <n v="1650000"/>
    <n v="0"/>
    <x v="171"/>
    <s v="Cali"/>
    <m/>
    <m/>
    <m/>
    <m/>
    <x v="0"/>
  </r>
  <r>
    <d v="2021-02-09T00:00:00"/>
    <x v="2"/>
    <x v="26"/>
    <x v="26"/>
    <n v="-1650000"/>
    <n v="0"/>
    <n v="1650000"/>
    <x v="171"/>
    <s v="Cali"/>
    <m/>
    <m/>
    <m/>
    <m/>
    <x v="0"/>
  </r>
  <r>
    <m/>
    <x v="1"/>
    <x v="23"/>
    <x v="23"/>
    <m/>
    <m/>
    <m/>
    <x v="1"/>
    <m/>
    <m/>
    <m/>
    <m/>
    <m/>
    <x v="0"/>
  </r>
  <r>
    <d v="2021-02-09T00:00:00"/>
    <x v="2"/>
    <x v="0"/>
    <x v="0"/>
    <n v="49405"/>
    <n v="49405"/>
    <n v="0"/>
    <x v="181"/>
    <s v="Cali"/>
    <m/>
    <m/>
    <m/>
    <m/>
    <x v="0"/>
  </r>
  <r>
    <d v="2021-02-09T00:00:00"/>
    <x v="2"/>
    <x v="49"/>
    <x v="49"/>
    <n v="595"/>
    <n v="595"/>
    <n v="0"/>
    <x v="181"/>
    <s v="Cali"/>
    <m/>
    <m/>
    <m/>
    <m/>
    <x v="0"/>
  </r>
  <r>
    <d v="2021-02-09T00:00:00"/>
    <x v="2"/>
    <x v="25"/>
    <x v="25"/>
    <n v="-50000"/>
    <n v="0"/>
    <n v="50000"/>
    <x v="181"/>
    <s v="Cali"/>
    <m/>
    <m/>
    <m/>
    <m/>
    <x v="0"/>
  </r>
  <r>
    <m/>
    <x v="1"/>
    <x v="23"/>
    <x v="23"/>
    <m/>
    <m/>
    <m/>
    <x v="1"/>
    <m/>
    <m/>
    <m/>
    <m/>
    <m/>
    <x v="0"/>
  </r>
  <r>
    <d v="2021-02-09T00:00:00"/>
    <x v="2"/>
    <x v="0"/>
    <x v="0"/>
    <n v="988100"/>
    <n v="988100"/>
    <n v="0"/>
    <x v="182"/>
    <s v="Cali"/>
    <m/>
    <m/>
    <m/>
    <m/>
    <x v="0"/>
  </r>
  <r>
    <d v="2021-02-09T00:00:00"/>
    <x v="2"/>
    <x v="26"/>
    <x v="26"/>
    <n v="-988100"/>
    <n v="0"/>
    <n v="988100"/>
    <x v="182"/>
    <s v="Cali"/>
    <m/>
    <m/>
    <m/>
    <m/>
    <x v="0"/>
  </r>
  <r>
    <m/>
    <x v="1"/>
    <x v="23"/>
    <x v="23"/>
    <m/>
    <m/>
    <m/>
    <x v="1"/>
    <m/>
    <m/>
    <m/>
    <m/>
    <m/>
    <x v="0"/>
  </r>
  <r>
    <d v="2021-02-09T00:00:00"/>
    <x v="2"/>
    <x v="0"/>
    <x v="0"/>
    <n v="59000"/>
    <n v="59000"/>
    <n v="0"/>
    <x v="183"/>
    <s v="Cali"/>
    <m/>
    <m/>
    <m/>
    <m/>
    <x v="0"/>
  </r>
  <r>
    <d v="2021-02-09T00:00:00"/>
    <x v="2"/>
    <x v="4"/>
    <x v="4"/>
    <n v="-59000"/>
    <n v="0"/>
    <n v="59000"/>
    <x v="183"/>
    <s v="Cali"/>
    <m/>
    <m/>
    <m/>
    <m/>
    <x v="0"/>
  </r>
  <r>
    <m/>
    <x v="1"/>
    <x v="23"/>
    <x v="23"/>
    <m/>
    <m/>
    <m/>
    <x v="1"/>
    <m/>
    <m/>
    <m/>
    <m/>
    <m/>
    <x v="0"/>
  </r>
  <r>
    <d v="2021-02-10T00:00:00"/>
    <x v="2"/>
    <x v="28"/>
    <x v="28"/>
    <n v="100000"/>
    <n v="100000"/>
    <n v="0"/>
    <x v="184"/>
    <s v="Cali"/>
    <m/>
    <m/>
    <m/>
    <m/>
    <x v="0"/>
  </r>
  <r>
    <d v="2021-02-10T00:00:00"/>
    <x v="2"/>
    <x v="0"/>
    <x v="0"/>
    <n v="-100000"/>
    <n v="0"/>
    <n v="100000"/>
    <x v="184"/>
    <s v="Cali"/>
    <m/>
    <m/>
    <m/>
    <m/>
    <x v="0"/>
  </r>
  <r>
    <m/>
    <x v="1"/>
    <x v="23"/>
    <x v="23"/>
    <m/>
    <m/>
    <m/>
    <x v="1"/>
    <m/>
    <m/>
    <m/>
    <m/>
    <m/>
    <x v="0"/>
  </r>
  <r>
    <d v="2021-02-10T00:00:00"/>
    <x v="2"/>
    <x v="0"/>
    <x v="0"/>
    <n v="30000"/>
    <n v="30000"/>
    <n v="0"/>
    <x v="185"/>
    <s v="Cali"/>
    <m/>
    <m/>
    <m/>
    <m/>
    <x v="0"/>
  </r>
  <r>
    <d v="2021-02-10T00:00:00"/>
    <x v="2"/>
    <x v="25"/>
    <x v="25"/>
    <n v="-30000"/>
    <n v="0"/>
    <n v="30000"/>
    <x v="185"/>
    <s v="Cali"/>
    <m/>
    <m/>
    <m/>
    <m/>
    <x v="0"/>
  </r>
  <r>
    <m/>
    <x v="1"/>
    <x v="23"/>
    <x v="23"/>
    <m/>
    <m/>
    <m/>
    <x v="1"/>
    <m/>
    <m/>
    <m/>
    <m/>
    <m/>
    <x v="0"/>
  </r>
  <r>
    <d v="2021-02-10T00:00:00"/>
    <x v="2"/>
    <x v="0"/>
    <x v="0"/>
    <n v="17000"/>
    <n v="17000"/>
    <n v="0"/>
    <x v="186"/>
    <s v="Cali"/>
    <m/>
    <m/>
    <m/>
    <m/>
    <x v="0"/>
  </r>
  <r>
    <d v="2021-02-10T00:00:00"/>
    <x v="2"/>
    <x v="25"/>
    <x v="25"/>
    <n v="-17000"/>
    <n v="0"/>
    <n v="17000"/>
    <x v="186"/>
    <s v="Cali"/>
    <m/>
    <m/>
    <m/>
    <m/>
    <x v="0"/>
  </r>
  <r>
    <m/>
    <x v="1"/>
    <x v="23"/>
    <x v="23"/>
    <m/>
    <m/>
    <m/>
    <x v="1"/>
    <m/>
    <m/>
    <m/>
    <m/>
    <m/>
    <x v="0"/>
  </r>
  <r>
    <d v="2021-02-10T00:00:00"/>
    <x v="2"/>
    <x v="17"/>
    <x v="17"/>
    <n v="28192"/>
    <n v="28192"/>
    <n v="0"/>
    <x v="187"/>
    <s v="Cali"/>
    <m/>
    <m/>
    <m/>
    <m/>
    <x v="0"/>
  </r>
  <r>
    <d v="2021-02-10T00:00:00"/>
    <x v="2"/>
    <x v="13"/>
    <x v="13"/>
    <n v="-28192"/>
    <n v="0"/>
    <n v="28192"/>
    <x v="187"/>
    <s v="Cali"/>
    <m/>
    <m/>
    <m/>
    <m/>
    <x v="0"/>
  </r>
  <r>
    <m/>
    <x v="1"/>
    <x v="23"/>
    <x v="23"/>
    <m/>
    <m/>
    <m/>
    <x v="1"/>
    <m/>
    <m/>
    <m/>
    <m/>
    <m/>
    <x v="0"/>
  </r>
  <r>
    <d v="2021-02-11T00:00:00"/>
    <x v="2"/>
    <x v="0"/>
    <x v="0"/>
    <n v="20000"/>
    <n v="20000"/>
    <n v="0"/>
    <x v="65"/>
    <s v="Cali"/>
    <m/>
    <m/>
    <m/>
    <m/>
    <x v="0"/>
  </r>
  <r>
    <d v="2021-02-11T00:00:00"/>
    <x v="2"/>
    <x v="4"/>
    <x v="4"/>
    <n v="-20000"/>
    <n v="0"/>
    <n v="2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2-11T00:00:00"/>
    <x v="2"/>
    <x v="0"/>
    <x v="0"/>
    <n v="40000"/>
    <n v="40000"/>
    <n v="0"/>
    <x v="65"/>
    <s v="Cali"/>
    <m/>
    <m/>
    <m/>
    <m/>
    <x v="0"/>
  </r>
  <r>
    <d v="2021-02-11T00:00:00"/>
    <x v="2"/>
    <x v="29"/>
    <x v="29"/>
    <n v="-40000"/>
    <n v="0"/>
    <n v="4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2-12T00:00:00"/>
    <x v="2"/>
    <x v="0"/>
    <x v="0"/>
    <n v="30000"/>
    <n v="30000"/>
    <n v="0"/>
    <x v="65"/>
    <s v="Cali"/>
    <m/>
    <m/>
    <m/>
    <m/>
    <x v="0"/>
  </r>
  <r>
    <d v="2021-02-12T00:00:00"/>
    <x v="2"/>
    <x v="29"/>
    <x v="29"/>
    <n v="-30000"/>
    <n v="0"/>
    <n v="3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2-12T00:00:00"/>
    <x v="2"/>
    <x v="0"/>
    <x v="0"/>
    <n v="60000"/>
    <n v="60000"/>
    <n v="0"/>
    <x v="65"/>
    <s v="Cali"/>
    <m/>
    <m/>
    <m/>
    <m/>
    <x v="0"/>
  </r>
  <r>
    <d v="2021-02-12T00:00:00"/>
    <x v="2"/>
    <x v="29"/>
    <x v="29"/>
    <n v="-60000"/>
    <n v="0"/>
    <n v="6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2-12T00:00:00"/>
    <x v="2"/>
    <x v="0"/>
    <x v="0"/>
    <n v="62000"/>
    <n v="62000"/>
    <n v="0"/>
    <x v="65"/>
    <s v="Cali"/>
    <m/>
    <m/>
    <m/>
    <m/>
    <x v="0"/>
  </r>
  <r>
    <d v="2021-02-12T00:00:00"/>
    <x v="2"/>
    <x v="29"/>
    <x v="29"/>
    <n v="-62000"/>
    <n v="0"/>
    <n v="62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2-12T00:00:00"/>
    <x v="2"/>
    <x v="0"/>
    <x v="0"/>
    <n v="20000"/>
    <n v="20000"/>
    <n v="0"/>
    <x v="188"/>
    <s v="Cali"/>
    <m/>
    <m/>
    <m/>
    <m/>
    <x v="0"/>
  </r>
  <r>
    <d v="2021-02-12T00:00:00"/>
    <x v="2"/>
    <x v="29"/>
    <x v="29"/>
    <n v="-20000"/>
    <n v="0"/>
    <n v="20000"/>
    <x v="188"/>
    <s v="Cali"/>
    <m/>
    <m/>
    <m/>
    <m/>
    <x v="0"/>
  </r>
  <r>
    <m/>
    <x v="1"/>
    <x v="23"/>
    <x v="23"/>
    <m/>
    <m/>
    <m/>
    <x v="1"/>
    <m/>
    <m/>
    <m/>
    <m/>
    <m/>
    <x v="0"/>
  </r>
  <r>
    <d v="2021-02-12T00:00:00"/>
    <x v="2"/>
    <x v="0"/>
    <x v="0"/>
    <n v="35000"/>
    <n v="35000"/>
    <n v="0"/>
    <x v="65"/>
    <s v="Cali"/>
    <m/>
    <m/>
    <m/>
    <m/>
    <x v="0"/>
  </r>
  <r>
    <d v="2021-02-12T00:00:00"/>
    <x v="2"/>
    <x v="29"/>
    <x v="29"/>
    <n v="-35000"/>
    <n v="0"/>
    <n v="3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2-15T00:00:00"/>
    <x v="2"/>
    <x v="31"/>
    <x v="31"/>
    <n v="112994"/>
    <n v="112994"/>
    <n v="0"/>
    <x v="189"/>
    <s v="Cali"/>
    <m/>
    <m/>
    <m/>
    <m/>
    <x v="0"/>
  </r>
  <r>
    <d v="2021-02-15T00:00:00"/>
    <x v="2"/>
    <x v="17"/>
    <x v="17"/>
    <n v="-12994"/>
    <n v="0"/>
    <n v="12994"/>
    <x v="189"/>
    <s v="Cali"/>
    <m/>
    <m/>
    <m/>
    <m/>
    <x v="0"/>
  </r>
  <r>
    <d v="2021-02-15T00:00:00"/>
    <x v="2"/>
    <x v="0"/>
    <x v="0"/>
    <n v="-100000"/>
    <n v="0"/>
    <n v="100000"/>
    <x v="189"/>
    <s v="Cali"/>
    <m/>
    <m/>
    <m/>
    <m/>
    <x v="0"/>
  </r>
  <r>
    <m/>
    <x v="1"/>
    <x v="23"/>
    <x v="23"/>
    <m/>
    <m/>
    <m/>
    <x v="1"/>
    <m/>
    <m/>
    <m/>
    <m/>
    <m/>
    <x v="0"/>
  </r>
  <r>
    <d v="2021-02-15T00:00:00"/>
    <x v="2"/>
    <x v="16"/>
    <x v="16"/>
    <n v="50280"/>
    <n v="50280"/>
    <n v="0"/>
    <x v="75"/>
    <s v="Cali"/>
    <m/>
    <m/>
    <m/>
    <m/>
    <x v="0"/>
  </r>
  <r>
    <d v="2021-02-15T00:00:00"/>
    <x v="2"/>
    <x v="17"/>
    <x v="17"/>
    <n v="-5782"/>
    <n v="0"/>
    <n v="5782"/>
    <x v="75"/>
    <s v="Cali"/>
    <m/>
    <m/>
    <m/>
    <m/>
    <x v="0"/>
  </r>
  <r>
    <d v="2021-02-15T00:00:00"/>
    <x v="2"/>
    <x v="0"/>
    <x v="0"/>
    <n v="-44498"/>
    <n v="0"/>
    <n v="44498"/>
    <x v="75"/>
    <s v="Cali"/>
    <m/>
    <m/>
    <m/>
    <m/>
    <x v="0"/>
  </r>
  <r>
    <m/>
    <x v="1"/>
    <x v="23"/>
    <x v="23"/>
    <m/>
    <m/>
    <m/>
    <x v="1"/>
    <m/>
    <m/>
    <m/>
    <m/>
    <m/>
    <x v="0"/>
  </r>
  <r>
    <d v="2021-02-15T00:00:00"/>
    <x v="2"/>
    <x v="0"/>
    <x v="0"/>
    <n v="250000"/>
    <n v="250000"/>
    <n v="0"/>
    <x v="190"/>
    <s v="Cali"/>
    <m/>
    <m/>
    <m/>
    <m/>
    <x v="0"/>
  </r>
  <r>
    <d v="2021-02-15T00:00:00"/>
    <x v="2"/>
    <x v="26"/>
    <x v="26"/>
    <n v="-250000"/>
    <n v="0"/>
    <n v="250000"/>
    <x v="190"/>
    <s v="Cali"/>
    <m/>
    <m/>
    <m/>
    <m/>
    <x v="0"/>
  </r>
  <r>
    <m/>
    <x v="1"/>
    <x v="23"/>
    <x v="23"/>
    <m/>
    <m/>
    <m/>
    <x v="1"/>
    <m/>
    <m/>
    <m/>
    <m/>
    <m/>
    <x v="0"/>
  </r>
  <r>
    <d v="2021-02-15T00:00:00"/>
    <x v="2"/>
    <x v="0"/>
    <x v="0"/>
    <n v="9000"/>
    <n v="9000"/>
    <n v="0"/>
    <x v="191"/>
    <s v="Cali"/>
    <m/>
    <m/>
    <m/>
    <m/>
    <x v="0"/>
  </r>
  <r>
    <d v="2021-02-15T00:00:00"/>
    <x v="2"/>
    <x v="27"/>
    <x v="27"/>
    <n v="-9000"/>
    <n v="0"/>
    <n v="9000"/>
    <x v="191"/>
    <s v="Cali"/>
    <m/>
    <m/>
    <m/>
    <m/>
    <x v="0"/>
  </r>
  <r>
    <m/>
    <x v="1"/>
    <x v="23"/>
    <x v="23"/>
    <m/>
    <m/>
    <m/>
    <x v="1"/>
    <m/>
    <m/>
    <m/>
    <m/>
    <m/>
    <x v="0"/>
  </r>
  <r>
    <d v="2021-02-15T00:00:00"/>
    <x v="2"/>
    <x v="0"/>
    <x v="0"/>
    <n v="10000"/>
    <n v="10000"/>
    <n v="0"/>
    <x v="140"/>
    <s v="Cali"/>
    <m/>
    <m/>
    <m/>
    <m/>
    <x v="0"/>
  </r>
  <r>
    <d v="2021-02-15T00:00:00"/>
    <x v="2"/>
    <x v="19"/>
    <x v="19"/>
    <n v="-10000"/>
    <n v="0"/>
    <n v="10000"/>
    <x v="140"/>
    <s v="Cali"/>
    <m/>
    <m/>
    <m/>
    <m/>
    <x v="0"/>
  </r>
  <r>
    <m/>
    <x v="1"/>
    <x v="23"/>
    <x v="23"/>
    <m/>
    <m/>
    <m/>
    <x v="1"/>
    <m/>
    <m/>
    <m/>
    <m/>
    <m/>
    <x v="0"/>
  </r>
  <r>
    <d v="2021-02-15T00:00:00"/>
    <x v="2"/>
    <x v="0"/>
    <x v="0"/>
    <n v="1500"/>
    <n v="1500"/>
    <n v="0"/>
    <x v="177"/>
    <s v="Cali"/>
    <m/>
    <m/>
    <m/>
    <m/>
    <x v="0"/>
  </r>
  <r>
    <d v="2021-02-15T00:00:00"/>
    <x v="2"/>
    <x v="19"/>
    <x v="19"/>
    <n v="-1500"/>
    <n v="0"/>
    <n v="15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2-15T00:00:00"/>
    <x v="2"/>
    <x v="0"/>
    <x v="0"/>
    <n v="100000"/>
    <n v="100000"/>
    <n v="0"/>
    <x v="192"/>
    <s v="Cali"/>
    <m/>
    <m/>
    <m/>
    <m/>
    <x v="0"/>
  </r>
  <r>
    <d v="2021-02-15T00:00:00"/>
    <x v="2"/>
    <x v="26"/>
    <x v="26"/>
    <n v="-100000"/>
    <n v="0"/>
    <n v="10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02-15T00:00:00"/>
    <x v="2"/>
    <x v="0"/>
    <x v="0"/>
    <n v="20000"/>
    <n v="20000"/>
    <n v="0"/>
    <x v="193"/>
    <s v="Cali"/>
    <m/>
    <m/>
    <m/>
    <m/>
    <x v="0"/>
  </r>
  <r>
    <d v="2021-02-15T00:00:00"/>
    <x v="2"/>
    <x v="25"/>
    <x v="25"/>
    <n v="-20000"/>
    <n v="0"/>
    <n v="20000"/>
    <x v="193"/>
    <s v="Cali"/>
    <m/>
    <m/>
    <m/>
    <m/>
    <x v="0"/>
  </r>
  <r>
    <m/>
    <x v="1"/>
    <x v="23"/>
    <x v="23"/>
    <m/>
    <m/>
    <m/>
    <x v="1"/>
    <m/>
    <m/>
    <m/>
    <m/>
    <m/>
    <x v="0"/>
  </r>
  <r>
    <d v="2021-02-15T00:00:00"/>
    <x v="2"/>
    <x v="0"/>
    <x v="0"/>
    <n v="25000"/>
    <n v="25000"/>
    <n v="0"/>
    <x v="194"/>
    <s v="Cali"/>
    <m/>
    <m/>
    <m/>
    <m/>
    <x v="0"/>
  </r>
  <r>
    <d v="2021-02-15T00:00:00"/>
    <x v="2"/>
    <x v="25"/>
    <x v="25"/>
    <n v="-25000"/>
    <n v="0"/>
    <n v="25000"/>
    <x v="194"/>
    <s v="Cali"/>
    <m/>
    <m/>
    <m/>
    <m/>
    <x v="0"/>
  </r>
  <r>
    <m/>
    <x v="1"/>
    <x v="23"/>
    <x v="23"/>
    <m/>
    <m/>
    <m/>
    <x v="1"/>
    <m/>
    <m/>
    <m/>
    <m/>
    <m/>
    <x v="0"/>
  </r>
  <r>
    <d v="2021-02-15T00:00:00"/>
    <x v="2"/>
    <x v="0"/>
    <x v="0"/>
    <n v="50000"/>
    <n v="50000"/>
    <n v="0"/>
    <x v="195"/>
    <s v="Cali"/>
    <m/>
    <m/>
    <m/>
    <m/>
    <x v="0"/>
  </r>
  <r>
    <d v="2021-02-15T00:00:00"/>
    <x v="2"/>
    <x v="25"/>
    <x v="25"/>
    <n v="-50000"/>
    <n v="0"/>
    <n v="50000"/>
    <x v="195"/>
    <s v="Cali"/>
    <m/>
    <m/>
    <m/>
    <m/>
    <x v="0"/>
  </r>
  <r>
    <m/>
    <x v="1"/>
    <x v="23"/>
    <x v="23"/>
    <m/>
    <m/>
    <m/>
    <x v="1"/>
    <m/>
    <m/>
    <m/>
    <m/>
    <m/>
    <x v="0"/>
  </r>
  <r>
    <d v="2021-02-15T00:00:00"/>
    <x v="2"/>
    <x v="0"/>
    <x v="0"/>
    <n v="20000"/>
    <n v="20000"/>
    <n v="0"/>
    <x v="196"/>
    <s v="Cali"/>
    <m/>
    <m/>
    <m/>
    <m/>
    <x v="0"/>
  </r>
  <r>
    <d v="2021-02-15T00:00:00"/>
    <x v="2"/>
    <x v="25"/>
    <x v="25"/>
    <n v="-20000"/>
    <n v="0"/>
    <n v="20000"/>
    <x v="196"/>
    <s v="Cali"/>
    <m/>
    <m/>
    <m/>
    <m/>
    <x v="0"/>
  </r>
  <r>
    <m/>
    <x v="1"/>
    <x v="23"/>
    <x v="23"/>
    <m/>
    <m/>
    <m/>
    <x v="1"/>
    <m/>
    <m/>
    <m/>
    <m/>
    <m/>
    <x v="0"/>
  </r>
  <r>
    <d v="2021-02-15T00:00:00"/>
    <x v="2"/>
    <x v="0"/>
    <x v="0"/>
    <n v="140000"/>
    <n v="140000"/>
    <n v="0"/>
    <x v="197"/>
    <s v="Cali"/>
    <m/>
    <m/>
    <m/>
    <m/>
    <x v="0"/>
  </r>
  <r>
    <d v="2021-02-15T00:00:00"/>
    <x v="2"/>
    <x v="26"/>
    <x v="26"/>
    <n v="-140000"/>
    <n v="0"/>
    <n v="140000"/>
    <x v="197"/>
    <s v="Cali"/>
    <m/>
    <m/>
    <m/>
    <m/>
    <x v="0"/>
  </r>
  <r>
    <m/>
    <x v="1"/>
    <x v="23"/>
    <x v="23"/>
    <m/>
    <m/>
    <m/>
    <x v="1"/>
    <m/>
    <m/>
    <m/>
    <m/>
    <m/>
    <x v="0"/>
  </r>
  <r>
    <d v="2021-02-15T00:00:00"/>
    <x v="2"/>
    <x v="0"/>
    <x v="0"/>
    <n v="10000"/>
    <n v="10000"/>
    <n v="0"/>
    <x v="198"/>
    <s v="Cali"/>
    <m/>
    <m/>
    <m/>
    <m/>
    <x v="0"/>
  </r>
  <r>
    <d v="2021-02-15T00:00:00"/>
    <x v="2"/>
    <x v="27"/>
    <x v="27"/>
    <n v="-10000"/>
    <n v="0"/>
    <n v="10000"/>
    <x v="198"/>
    <s v="Cali"/>
    <m/>
    <m/>
    <m/>
    <m/>
    <x v="0"/>
  </r>
  <r>
    <m/>
    <x v="1"/>
    <x v="23"/>
    <x v="23"/>
    <m/>
    <m/>
    <m/>
    <x v="1"/>
    <m/>
    <m/>
    <m/>
    <m/>
    <m/>
    <x v="0"/>
  </r>
  <r>
    <d v="2021-02-16T00:00:00"/>
    <x v="2"/>
    <x v="0"/>
    <x v="0"/>
    <n v="10000"/>
    <n v="10000"/>
    <n v="0"/>
    <x v="199"/>
    <s v="Cali"/>
    <m/>
    <m/>
    <m/>
    <m/>
    <x v="0"/>
  </r>
  <r>
    <d v="2021-02-16T00:00:00"/>
    <x v="2"/>
    <x v="27"/>
    <x v="27"/>
    <n v="-10000"/>
    <n v="0"/>
    <n v="10000"/>
    <x v="199"/>
    <s v="Cali"/>
    <m/>
    <m/>
    <m/>
    <m/>
    <x v="0"/>
  </r>
  <r>
    <m/>
    <x v="1"/>
    <x v="23"/>
    <x v="23"/>
    <m/>
    <m/>
    <m/>
    <x v="1"/>
    <m/>
    <m/>
    <m/>
    <m/>
    <m/>
    <x v="0"/>
  </r>
  <r>
    <d v="2021-02-18T00:00:00"/>
    <x v="2"/>
    <x v="0"/>
    <x v="0"/>
    <n v="5000"/>
    <n v="5000"/>
    <n v="0"/>
    <x v="200"/>
    <s v="Cali"/>
    <m/>
    <m/>
    <m/>
    <m/>
    <x v="0"/>
  </r>
  <r>
    <d v="2021-02-18T00:00:00"/>
    <x v="2"/>
    <x v="19"/>
    <x v="19"/>
    <n v="-5000"/>
    <n v="0"/>
    <n v="5000"/>
    <x v="200"/>
    <s v="Cali"/>
    <m/>
    <m/>
    <m/>
    <m/>
    <x v="0"/>
  </r>
  <r>
    <m/>
    <x v="1"/>
    <x v="23"/>
    <x v="23"/>
    <m/>
    <m/>
    <m/>
    <x v="1"/>
    <m/>
    <m/>
    <m/>
    <m/>
    <m/>
    <x v="0"/>
  </r>
  <r>
    <d v="2021-02-19T00:00:00"/>
    <x v="2"/>
    <x v="0"/>
    <x v="0"/>
    <n v="18000"/>
    <n v="18000"/>
    <n v="0"/>
    <x v="201"/>
    <s v="Cali"/>
    <m/>
    <m/>
    <m/>
    <m/>
    <x v="0"/>
  </r>
  <r>
    <d v="2021-02-19T00:00:00"/>
    <x v="2"/>
    <x v="25"/>
    <x v="25"/>
    <n v="-18000"/>
    <n v="0"/>
    <n v="18000"/>
    <x v="201"/>
    <s v="Cali"/>
    <m/>
    <m/>
    <m/>
    <m/>
    <x v="0"/>
  </r>
  <r>
    <m/>
    <x v="1"/>
    <x v="23"/>
    <x v="23"/>
    <m/>
    <m/>
    <m/>
    <x v="1"/>
    <m/>
    <m/>
    <m/>
    <m/>
    <m/>
    <x v="0"/>
  </r>
  <r>
    <d v="2021-02-22T00:00:00"/>
    <x v="2"/>
    <x v="0"/>
    <x v="0"/>
    <n v="55000"/>
    <n v="55000"/>
    <n v="0"/>
    <x v="202"/>
    <s v="Cali"/>
    <m/>
    <m/>
    <m/>
    <m/>
    <x v="0"/>
  </r>
  <r>
    <d v="2021-02-22T00:00:00"/>
    <x v="2"/>
    <x v="27"/>
    <x v="27"/>
    <n v="-55000"/>
    <n v="0"/>
    <n v="55000"/>
    <x v="202"/>
    <s v="Cali"/>
    <m/>
    <m/>
    <m/>
    <m/>
    <x v="0"/>
  </r>
  <r>
    <m/>
    <x v="1"/>
    <x v="23"/>
    <x v="23"/>
    <m/>
    <m/>
    <m/>
    <x v="1"/>
    <m/>
    <m/>
    <m/>
    <m/>
    <m/>
    <x v="0"/>
  </r>
  <r>
    <d v="2021-02-22T00:00:00"/>
    <x v="2"/>
    <x v="0"/>
    <x v="0"/>
    <n v="10000"/>
    <n v="10000"/>
    <n v="0"/>
    <x v="140"/>
    <s v="Cali"/>
    <m/>
    <m/>
    <m/>
    <m/>
    <x v="0"/>
  </r>
  <r>
    <d v="2021-02-22T00:00:00"/>
    <x v="2"/>
    <x v="19"/>
    <x v="19"/>
    <n v="-10000"/>
    <n v="0"/>
    <n v="10000"/>
    <x v="140"/>
    <s v="Cali"/>
    <m/>
    <m/>
    <m/>
    <m/>
    <x v="0"/>
  </r>
  <r>
    <m/>
    <x v="1"/>
    <x v="23"/>
    <x v="23"/>
    <m/>
    <m/>
    <m/>
    <x v="1"/>
    <m/>
    <m/>
    <m/>
    <m/>
    <m/>
    <x v="0"/>
  </r>
  <r>
    <d v="2021-02-23T00:00:00"/>
    <x v="2"/>
    <x v="0"/>
    <x v="0"/>
    <n v="30000"/>
    <n v="30000"/>
    <n v="0"/>
    <x v="203"/>
    <s v="Cali"/>
    <m/>
    <m/>
    <m/>
    <m/>
    <x v="0"/>
  </r>
  <r>
    <d v="2021-02-23T00:00:00"/>
    <x v="2"/>
    <x v="27"/>
    <x v="27"/>
    <n v="-30000"/>
    <n v="0"/>
    <n v="30000"/>
    <x v="203"/>
    <s v="Cali"/>
    <m/>
    <m/>
    <m/>
    <m/>
    <x v="0"/>
  </r>
  <r>
    <m/>
    <x v="1"/>
    <x v="23"/>
    <x v="23"/>
    <m/>
    <m/>
    <m/>
    <x v="1"/>
    <m/>
    <m/>
    <m/>
    <m/>
    <m/>
    <x v="0"/>
  </r>
  <r>
    <d v="2021-02-23T00:00:00"/>
    <x v="2"/>
    <x v="0"/>
    <x v="0"/>
    <n v="20000"/>
    <n v="20000"/>
    <n v="0"/>
    <x v="85"/>
    <s v="Cali"/>
    <m/>
    <m/>
    <m/>
    <m/>
    <x v="0"/>
  </r>
  <r>
    <d v="2021-02-23T00:00:00"/>
    <x v="2"/>
    <x v="25"/>
    <x v="25"/>
    <n v="-20000"/>
    <n v="0"/>
    <n v="20000"/>
    <x v="85"/>
    <s v="Cali"/>
    <m/>
    <m/>
    <m/>
    <m/>
    <x v="0"/>
  </r>
  <r>
    <m/>
    <x v="1"/>
    <x v="23"/>
    <x v="23"/>
    <m/>
    <m/>
    <m/>
    <x v="1"/>
    <m/>
    <m/>
    <m/>
    <m/>
    <m/>
    <x v="0"/>
  </r>
  <r>
    <d v="2021-02-23T00:00:00"/>
    <x v="2"/>
    <x v="0"/>
    <x v="0"/>
    <n v="550000"/>
    <n v="550000"/>
    <n v="0"/>
    <x v="190"/>
    <s v="Cali"/>
    <m/>
    <m/>
    <m/>
    <m/>
    <x v="0"/>
  </r>
  <r>
    <d v="2021-02-23T00:00:00"/>
    <x v="2"/>
    <x v="26"/>
    <x v="26"/>
    <n v="-550000"/>
    <n v="0"/>
    <n v="550000"/>
    <x v="190"/>
    <s v="Cali"/>
    <m/>
    <m/>
    <m/>
    <m/>
    <x v="0"/>
  </r>
  <r>
    <m/>
    <x v="1"/>
    <x v="23"/>
    <x v="23"/>
    <m/>
    <m/>
    <m/>
    <x v="1"/>
    <m/>
    <m/>
    <m/>
    <m/>
    <m/>
    <x v="0"/>
  </r>
  <r>
    <d v="2021-02-25T00:00:00"/>
    <x v="2"/>
    <x v="0"/>
    <x v="0"/>
    <n v="1471920"/>
    <n v="1471920"/>
    <n v="0"/>
    <x v="204"/>
    <s v="Cali"/>
    <m/>
    <m/>
    <m/>
    <m/>
    <x v="0"/>
  </r>
  <r>
    <d v="2021-02-25T00:00:00"/>
    <x v="2"/>
    <x v="26"/>
    <x v="26"/>
    <n v="-1471920"/>
    <n v="0"/>
    <n v="1471920"/>
    <x v="204"/>
    <s v="Cali"/>
    <m/>
    <m/>
    <m/>
    <m/>
    <x v="0"/>
  </r>
  <r>
    <m/>
    <x v="1"/>
    <x v="23"/>
    <x v="23"/>
    <m/>
    <m/>
    <m/>
    <x v="1"/>
    <m/>
    <m/>
    <m/>
    <m/>
    <m/>
    <x v="0"/>
  </r>
  <r>
    <d v="2021-02-25T00:00:00"/>
    <x v="2"/>
    <x v="0"/>
    <x v="0"/>
    <n v="15000"/>
    <n v="15000"/>
    <n v="0"/>
    <x v="205"/>
    <s v="Cali"/>
    <m/>
    <m/>
    <m/>
    <m/>
    <x v="0"/>
  </r>
  <r>
    <d v="2021-02-25T00:00:00"/>
    <x v="2"/>
    <x v="27"/>
    <x v="27"/>
    <n v="-15000"/>
    <n v="0"/>
    <n v="15000"/>
    <x v="205"/>
    <s v="Cali"/>
    <m/>
    <m/>
    <m/>
    <m/>
    <x v="0"/>
  </r>
  <r>
    <m/>
    <x v="1"/>
    <x v="23"/>
    <x v="23"/>
    <m/>
    <m/>
    <m/>
    <x v="1"/>
    <m/>
    <m/>
    <m/>
    <m/>
    <m/>
    <x v="0"/>
  </r>
  <r>
    <d v="2021-02-25T00:00:00"/>
    <x v="2"/>
    <x v="0"/>
    <x v="0"/>
    <n v="10000"/>
    <n v="10000"/>
    <n v="0"/>
    <x v="206"/>
    <s v="Cali"/>
    <m/>
    <m/>
    <m/>
    <m/>
    <x v="0"/>
  </r>
  <r>
    <d v="2021-02-25T00:00:00"/>
    <x v="2"/>
    <x v="26"/>
    <x v="26"/>
    <n v="-10000"/>
    <n v="0"/>
    <n v="10000"/>
    <x v="206"/>
    <s v="Cali"/>
    <m/>
    <m/>
    <m/>
    <m/>
    <x v="0"/>
  </r>
  <r>
    <m/>
    <x v="1"/>
    <x v="23"/>
    <x v="23"/>
    <m/>
    <m/>
    <m/>
    <x v="1"/>
    <m/>
    <m/>
    <m/>
    <m/>
    <m/>
    <x v="0"/>
  </r>
  <r>
    <d v="2021-02-25T00:00:00"/>
    <x v="2"/>
    <x v="0"/>
    <x v="0"/>
    <n v="20000"/>
    <n v="20000"/>
    <n v="0"/>
    <x v="207"/>
    <s v="Cali"/>
    <m/>
    <m/>
    <m/>
    <m/>
    <x v="0"/>
  </r>
  <r>
    <d v="2021-02-25T00:00:00"/>
    <x v="2"/>
    <x v="25"/>
    <x v="25"/>
    <n v="-20000"/>
    <n v="0"/>
    <n v="20000"/>
    <x v="207"/>
    <s v="Cali"/>
    <m/>
    <m/>
    <m/>
    <m/>
    <x v="0"/>
  </r>
  <r>
    <m/>
    <x v="1"/>
    <x v="23"/>
    <x v="23"/>
    <m/>
    <m/>
    <m/>
    <x v="1"/>
    <m/>
    <m/>
    <m/>
    <m/>
    <m/>
    <x v="0"/>
  </r>
  <r>
    <d v="2021-02-25T00:00:00"/>
    <x v="2"/>
    <x v="0"/>
    <x v="0"/>
    <n v="105000"/>
    <n v="105000"/>
    <n v="0"/>
    <x v="65"/>
    <s v="Cali"/>
    <m/>
    <m/>
    <m/>
    <m/>
    <x v="0"/>
  </r>
  <r>
    <d v="2021-02-25T00:00:00"/>
    <x v="2"/>
    <x v="29"/>
    <x v="29"/>
    <n v="-105000"/>
    <n v="0"/>
    <n v="10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2-26T00:00:00"/>
    <x v="2"/>
    <x v="15"/>
    <x v="15"/>
    <n v="2938656"/>
    <n v="2938656"/>
    <n v="0"/>
    <x v="208"/>
    <s v="Cali"/>
    <m/>
    <m/>
    <m/>
    <m/>
    <x v="0"/>
  </r>
  <r>
    <d v="2021-02-26T00:00:00"/>
    <x v="2"/>
    <x v="14"/>
    <x v="14"/>
    <n v="193101"/>
    <n v="193101"/>
    <n v="0"/>
    <x v="208"/>
    <s v="Cali"/>
    <m/>
    <m/>
    <m/>
    <m/>
    <x v="0"/>
  </r>
  <r>
    <d v="2021-02-26T00:00:00"/>
    <x v="2"/>
    <x v="0"/>
    <x v="0"/>
    <n v="-3131757"/>
    <n v="0"/>
    <n v="3131757"/>
    <x v="208"/>
    <s v="Cali"/>
    <m/>
    <m/>
    <m/>
    <m/>
    <x v="0"/>
  </r>
  <r>
    <m/>
    <x v="1"/>
    <x v="23"/>
    <x v="23"/>
    <m/>
    <m/>
    <m/>
    <x v="1"/>
    <m/>
    <m/>
    <m/>
    <m/>
    <m/>
    <x v="0"/>
  </r>
  <r>
    <d v="2021-02-26T00:00:00"/>
    <x v="2"/>
    <x v="31"/>
    <x v="31"/>
    <n v="169492"/>
    <n v="169492"/>
    <n v="0"/>
    <x v="209"/>
    <s v="Cali"/>
    <m/>
    <m/>
    <m/>
    <m/>
    <x v="0"/>
  </r>
  <r>
    <d v="2021-02-26T00:00:00"/>
    <x v="2"/>
    <x v="17"/>
    <x v="17"/>
    <n v="-19492"/>
    <n v="0"/>
    <n v="19492"/>
    <x v="209"/>
    <s v="Cali"/>
    <m/>
    <m/>
    <m/>
    <m/>
    <x v="0"/>
  </r>
  <r>
    <d v="2021-02-26T00:00:00"/>
    <x v="2"/>
    <x v="0"/>
    <x v="0"/>
    <n v="-150000"/>
    <n v="0"/>
    <n v="150000"/>
    <x v="209"/>
    <s v="Cali"/>
    <m/>
    <m/>
    <m/>
    <m/>
    <x v="0"/>
  </r>
  <r>
    <m/>
    <x v="1"/>
    <x v="23"/>
    <x v="23"/>
    <m/>
    <m/>
    <m/>
    <x v="1"/>
    <m/>
    <m/>
    <m/>
    <m/>
    <m/>
    <x v="0"/>
  </r>
  <r>
    <d v="2021-02-25T00:00:00"/>
    <x v="2"/>
    <x v="31"/>
    <x v="31"/>
    <n v="112994"/>
    <n v="112994"/>
    <n v="0"/>
    <x v="210"/>
    <s v="Cali"/>
    <m/>
    <m/>
    <m/>
    <m/>
    <x v="0"/>
  </r>
  <r>
    <d v="2021-02-25T00:00:00"/>
    <x v="2"/>
    <x v="17"/>
    <x v="17"/>
    <n v="-12994"/>
    <n v="0"/>
    <n v="12994"/>
    <x v="210"/>
    <s v="Cali"/>
    <m/>
    <m/>
    <m/>
    <m/>
    <x v="0"/>
  </r>
  <r>
    <d v="2021-02-25T00:00:00"/>
    <x v="2"/>
    <x v="50"/>
    <x v="50"/>
    <n v="-100000"/>
    <n v="0"/>
    <n v="100000"/>
    <x v="210"/>
    <s v="Cali"/>
    <m/>
    <m/>
    <m/>
    <m/>
    <x v="0"/>
  </r>
  <r>
    <m/>
    <x v="1"/>
    <x v="23"/>
    <x v="23"/>
    <m/>
    <m/>
    <m/>
    <x v="1"/>
    <m/>
    <m/>
    <m/>
    <m/>
    <m/>
    <x v="0"/>
  </r>
  <r>
    <d v="2021-02-26T00:00:00"/>
    <x v="2"/>
    <x v="51"/>
    <x v="51"/>
    <n v="2000000"/>
    <n v="2000000"/>
    <n v="0"/>
    <x v="211"/>
    <s v="Cali"/>
    <m/>
    <m/>
    <m/>
    <m/>
    <x v="0"/>
  </r>
  <r>
    <d v="2021-02-26T00:00:00"/>
    <x v="2"/>
    <x v="0"/>
    <x v="0"/>
    <n v="-2000000"/>
    <n v="0"/>
    <n v="2000000"/>
    <x v="211"/>
    <s v="Cali"/>
    <m/>
    <m/>
    <m/>
    <m/>
    <x v="0"/>
  </r>
  <r>
    <m/>
    <x v="1"/>
    <x v="23"/>
    <x v="23"/>
    <m/>
    <m/>
    <m/>
    <x v="1"/>
    <m/>
    <m/>
    <m/>
    <m/>
    <m/>
    <x v="0"/>
  </r>
  <r>
    <d v="2021-02-26T00:00:00"/>
    <x v="2"/>
    <x v="0"/>
    <x v="0"/>
    <n v="400000"/>
    <n v="400000"/>
    <n v="0"/>
    <x v="212"/>
    <s v="Cali"/>
    <m/>
    <m/>
    <m/>
    <m/>
    <x v="0"/>
  </r>
  <r>
    <d v="2021-02-26T00:00:00"/>
    <x v="2"/>
    <x v="26"/>
    <x v="26"/>
    <n v="-400000"/>
    <n v="0"/>
    <n v="400000"/>
    <x v="212"/>
    <s v="Cali"/>
    <m/>
    <m/>
    <m/>
    <m/>
    <x v="0"/>
  </r>
  <r>
    <m/>
    <x v="1"/>
    <x v="23"/>
    <x v="23"/>
    <m/>
    <m/>
    <m/>
    <x v="1"/>
    <m/>
    <m/>
    <m/>
    <m/>
    <m/>
    <x v="0"/>
  </r>
  <r>
    <d v="2021-02-26T00:00:00"/>
    <x v="2"/>
    <x v="0"/>
    <x v="0"/>
    <n v="60000"/>
    <n v="60000"/>
    <n v="0"/>
    <x v="213"/>
    <s v="Cali"/>
    <m/>
    <m/>
    <m/>
    <m/>
    <x v="0"/>
  </r>
  <r>
    <d v="2021-02-26T00:00:00"/>
    <x v="2"/>
    <x v="29"/>
    <x v="29"/>
    <n v="-60000"/>
    <n v="0"/>
    <n v="60000"/>
    <x v="213"/>
    <s v="Cali"/>
    <m/>
    <m/>
    <m/>
    <m/>
    <x v="0"/>
  </r>
  <r>
    <m/>
    <x v="1"/>
    <x v="23"/>
    <x v="23"/>
    <m/>
    <m/>
    <m/>
    <x v="1"/>
    <m/>
    <m/>
    <m/>
    <m/>
    <m/>
    <x v="0"/>
  </r>
  <r>
    <d v="2021-02-26T00:00:00"/>
    <x v="2"/>
    <x v="0"/>
    <x v="0"/>
    <n v="25000"/>
    <n v="25000"/>
    <n v="0"/>
    <x v="138"/>
    <s v="Cali"/>
    <m/>
    <m/>
    <m/>
    <m/>
    <x v="0"/>
  </r>
  <r>
    <d v="2021-02-26T00:00:00"/>
    <x v="2"/>
    <x v="27"/>
    <x v="27"/>
    <n v="-25000"/>
    <n v="0"/>
    <n v="25000"/>
    <x v="138"/>
    <s v="Cali"/>
    <m/>
    <m/>
    <m/>
    <m/>
    <x v="0"/>
  </r>
  <r>
    <m/>
    <x v="1"/>
    <x v="23"/>
    <x v="23"/>
    <m/>
    <m/>
    <m/>
    <x v="1"/>
    <m/>
    <m/>
    <m/>
    <m/>
    <m/>
    <x v="0"/>
  </r>
  <r>
    <d v="2021-02-26T00:00:00"/>
    <x v="2"/>
    <x v="0"/>
    <x v="0"/>
    <n v="64000"/>
    <n v="64000"/>
    <n v="0"/>
    <x v="64"/>
    <s v="Cali"/>
    <m/>
    <m/>
    <m/>
    <m/>
    <x v="0"/>
  </r>
  <r>
    <d v="2021-02-26T00:00:00"/>
    <x v="2"/>
    <x v="27"/>
    <x v="27"/>
    <n v="-64000"/>
    <n v="0"/>
    <n v="64000"/>
    <x v="64"/>
    <s v="Cali"/>
    <m/>
    <m/>
    <m/>
    <m/>
    <x v="0"/>
  </r>
  <r>
    <m/>
    <x v="1"/>
    <x v="23"/>
    <x v="23"/>
    <m/>
    <m/>
    <m/>
    <x v="1"/>
    <m/>
    <m/>
    <m/>
    <m/>
    <m/>
    <x v="0"/>
  </r>
  <r>
    <d v="2021-02-13T00:00:00"/>
    <x v="2"/>
    <x v="2"/>
    <x v="2"/>
    <n v="74000000"/>
    <n v="74000000"/>
    <n v="0"/>
    <x v="214"/>
    <s v="Cali"/>
    <m/>
    <m/>
    <m/>
    <m/>
    <x v="0"/>
  </r>
  <r>
    <d v="2021-02-13T00:00:00"/>
    <x v="2"/>
    <x v="1"/>
    <x v="1"/>
    <n v="-74000000"/>
    <n v="0"/>
    <n v="74000000"/>
    <x v="214"/>
    <s v="Cali"/>
    <m/>
    <m/>
    <m/>
    <m/>
    <x v="0"/>
  </r>
  <r>
    <m/>
    <x v="1"/>
    <x v="23"/>
    <x v="23"/>
    <m/>
    <m/>
    <m/>
    <x v="1"/>
    <m/>
    <m/>
    <m/>
    <m/>
    <m/>
    <x v="0"/>
  </r>
  <r>
    <d v="2021-02-08T00:00:00"/>
    <x v="2"/>
    <x v="31"/>
    <x v="31"/>
    <n v="2097"/>
    <n v="2097"/>
    <n v="0"/>
    <x v="215"/>
    <s v="Cali"/>
    <m/>
    <m/>
    <m/>
    <m/>
    <x v="0"/>
  </r>
  <r>
    <d v="2021-02-08T00:00:00"/>
    <x v="2"/>
    <x v="1"/>
    <x v="1"/>
    <n v="-2097"/>
    <n v="0"/>
    <n v="2097"/>
    <x v="215"/>
    <s v="Cali"/>
    <m/>
    <m/>
    <m/>
    <m/>
    <x v="0"/>
  </r>
  <r>
    <m/>
    <x v="1"/>
    <x v="23"/>
    <x v="23"/>
    <m/>
    <m/>
    <m/>
    <x v="1"/>
    <m/>
    <m/>
    <m/>
    <m/>
    <m/>
    <x v="0"/>
  </r>
  <r>
    <d v="2021-02-08T00:00:00"/>
    <x v="2"/>
    <x v="31"/>
    <x v="31"/>
    <n v="398"/>
    <n v="398"/>
    <n v="0"/>
    <x v="215"/>
    <s v="Cali"/>
    <m/>
    <m/>
    <m/>
    <m/>
    <x v="0"/>
  </r>
  <r>
    <d v="2021-02-08T00:00:00"/>
    <x v="2"/>
    <x v="1"/>
    <x v="1"/>
    <n v="-398"/>
    <n v="0"/>
    <n v="398"/>
    <x v="215"/>
    <s v="Cali"/>
    <m/>
    <m/>
    <m/>
    <m/>
    <x v="0"/>
  </r>
  <r>
    <m/>
    <x v="1"/>
    <x v="23"/>
    <x v="23"/>
    <m/>
    <m/>
    <m/>
    <x v="1"/>
    <m/>
    <m/>
    <m/>
    <m/>
    <m/>
    <x v="0"/>
  </r>
  <r>
    <d v="2021-02-28T00:00:00"/>
    <x v="2"/>
    <x v="13"/>
    <x v="13"/>
    <n v="15000"/>
    <n v="15000"/>
    <n v="0"/>
    <x v="216"/>
    <s v="Cali"/>
    <m/>
    <m/>
    <m/>
    <m/>
    <x v="0"/>
  </r>
  <r>
    <d v="2021-02-28T00:00:00"/>
    <x v="2"/>
    <x v="13"/>
    <x v="13"/>
    <n v="250000"/>
    <n v="250000"/>
    <n v="0"/>
    <x v="217"/>
    <s v="Cali"/>
    <m/>
    <m/>
    <m/>
    <m/>
    <x v="0"/>
  </r>
  <r>
    <d v="2021-02-28T00:00:00"/>
    <x v="2"/>
    <x v="13"/>
    <x v="13"/>
    <n v="100000"/>
    <n v="100000"/>
    <n v="0"/>
    <x v="218"/>
    <s v="Cali"/>
    <m/>
    <m/>
    <m/>
    <m/>
    <x v="0"/>
  </r>
  <r>
    <d v="2021-02-28T00:00:00"/>
    <x v="2"/>
    <x v="13"/>
    <x v="13"/>
    <n v="2000000"/>
    <n v="2000000"/>
    <n v="0"/>
    <x v="219"/>
    <s v="Cali"/>
    <m/>
    <m/>
    <m/>
    <m/>
    <x v="0"/>
  </r>
  <r>
    <d v="2021-02-28T00:00:00"/>
    <x v="2"/>
    <x v="13"/>
    <x v="13"/>
    <n v="200000"/>
    <n v="200000"/>
    <n v="0"/>
    <x v="220"/>
    <s v="Cali"/>
    <m/>
    <m/>
    <m/>
    <m/>
    <x v="0"/>
  </r>
  <r>
    <d v="2021-02-28T00:00:00"/>
    <x v="2"/>
    <x v="13"/>
    <x v="13"/>
    <n v="30000"/>
    <n v="30000"/>
    <n v="0"/>
    <x v="221"/>
    <s v="Cali"/>
    <m/>
    <m/>
    <m/>
    <m/>
    <x v="0"/>
  </r>
  <r>
    <d v="2021-02-28T00:00:00"/>
    <x v="2"/>
    <x v="13"/>
    <x v="13"/>
    <n v="15000"/>
    <n v="15000"/>
    <n v="0"/>
    <x v="222"/>
    <s v="Cali"/>
    <m/>
    <m/>
    <m/>
    <m/>
    <x v="0"/>
  </r>
  <r>
    <d v="2021-02-28T00:00:00"/>
    <x v="2"/>
    <x v="13"/>
    <x v="13"/>
    <n v="15000"/>
    <n v="15000"/>
    <n v="0"/>
    <x v="223"/>
    <s v="Cali"/>
    <m/>
    <m/>
    <m/>
    <m/>
    <x v="0"/>
  </r>
  <r>
    <d v="2021-02-28T00:00:00"/>
    <x v="2"/>
    <x v="29"/>
    <x v="29"/>
    <n v="-15000"/>
    <n v="0"/>
    <n v="15000"/>
    <x v="216"/>
    <s v="Cali"/>
    <m/>
    <m/>
    <m/>
    <m/>
    <x v="0"/>
  </r>
  <r>
    <d v="2021-02-28T00:00:00"/>
    <x v="2"/>
    <x v="26"/>
    <x v="26"/>
    <n v="-250000"/>
    <n v="0"/>
    <n v="250000"/>
    <x v="217"/>
    <s v="Cali"/>
    <m/>
    <m/>
    <m/>
    <m/>
    <x v="0"/>
  </r>
  <r>
    <d v="2021-02-28T00:00:00"/>
    <x v="2"/>
    <x v="26"/>
    <x v="26"/>
    <n v="-100000"/>
    <n v="0"/>
    <n v="100000"/>
    <x v="218"/>
    <s v="Cali"/>
    <m/>
    <m/>
    <m/>
    <m/>
    <x v="0"/>
  </r>
  <r>
    <d v="2021-02-28T00:00:00"/>
    <x v="2"/>
    <x v="26"/>
    <x v="26"/>
    <n v="-2000000"/>
    <n v="0"/>
    <n v="2000000"/>
    <x v="219"/>
    <s v="Cali"/>
    <m/>
    <m/>
    <m/>
    <m/>
    <x v="0"/>
  </r>
  <r>
    <d v="2021-02-28T00:00:00"/>
    <x v="2"/>
    <x v="25"/>
    <x v="25"/>
    <n v="-200000"/>
    <n v="0"/>
    <n v="200000"/>
    <x v="220"/>
    <s v="Cali"/>
    <m/>
    <m/>
    <m/>
    <m/>
    <x v="0"/>
  </r>
  <r>
    <d v="2021-02-28T00:00:00"/>
    <x v="2"/>
    <x v="25"/>
    <x v="25"/>
    <n v="-30000"/>
    <n v="0"/>
    <n v="30000"/>
    <x v="221"/>
    <s v="Cali"/>
    <m/>
    <m/>
    <m/>
    <m/>
    <x v="0"/>
  </r>
  <r>
    <d v="2021-02-28T00:00:00"/>
    <x v="2"/>
    <x v="25"/>
    <x v="25"/>
    <n v="-15000"/>
    <n v="0"/>
    <n v="15000"/>
    <x v="222"/>
    <s v="Cali"/>
    <m/>
    <m/>
    <m/>
    <m/>
    <x v="0"/>
  </r>
  <r>
    <d v="2021-02-28T00:00:00"/>
    <x v="2"/>
    <x v="26"/>
    <x v="26"/>
    <n v="-15000"/>
    <n v="0"/>
    <n v="15000"/>
    <x v="223"/>
    <s v="Cali"/>
    <m/>
    <m/>
    <m/>
    <m/>
    <x v="0"/>
  </r>
  <r>
    <m/>
    <x v="1"/>
    <x v="23"/>
    <x v="23"/>
    <m/>
    <m/>
    <m/>
    <x v="1"/>
    <m/>
    <m/>
    <m/>
    <m/>
    <m/>
    <x v="0"/>
  </r>
  <r>
    <d v="2021-02-26T00:00:00"/>
    <x v="2"/>
    <x v="51"/>
    <x v="51"/>
    <n v="0"/>
    <n v="0"/>
    <n v="0"/>
    <x v="224"/>
    <s v="Cali"/>
    <m/>
    <m/>
    <m/>
    <m/>
    <x v="0"/>
  </r>
  <r>
    <d v="2021-02-26T00:00:00"/>
    <x v="2"/>
    <x v="2"/>
    <x v="2"/>
    <n v="0"/>
    <n v="0"/>
    <n v="0"/>
    <x v="224"/>
    <s v="Cali"/>
    <m/>
    <m/>
    <m/>
    <m/>
    <x v="0"/>
  </r>
  <r>
    <m/>
    <x v="1"/>
    <x v="23"/>
    <x v="23"/>
    <m/>
    <m/>
    <m/>
    <x v="1"/>
    <m/>
    <m/>
    <m/>
    <m/>
    <m/>
    <x v="0"/>
  </r>
  <r>
    <d v="2021-02-11T00:00:00"/>
    <x v="2"/>
    <x v="1"/>
    <x v="1"/>
    <n v="150000000"/>
    <n v="150000000"/>
    <n v="0"/>
    <x v="225"/>
    <s v="Cali"/>
    <m/>
    <m/>
    <m/>
    <m/>
    <x v="0"/>
  </r>
  <r>
    <d v="2021-02-11T00:00:00"/>
    <x v="2"/>
    <x v="3"/>
    <x v="3"/>
    <n v="-150000000"/>
    <n v="0"/>
    <n v="150000000"/>
    <x v="225"/>
    <s v="Cali"/>
    <m/>
    <m/>
    <m/>
    <m/>
    <x v="0"/>
  </r>
  <r>
    <m/>
    <x v="1"/>
    <x v="23"/>
    <x v="23"/>
    <m/>
    <m/>
    <m/>
    <x v="1"/>
    <m/>
    <m/>
    <m/>
    <m/>
    <m/>
    <x v="0"/>
  </r>
  <r>
    <d v="2021-02-15T00:00:00"/>
    <x v="2"/>
    <x v="11"/>
    <x v="11"/>
    <n v="-14570898"/>
    <n v="0"/>
    <n v="14570898"/>
    <x v="226"/>
    <s v="Cali"/>
    <s v="80965500-8"/>
    <s v="PROYECTOS Y CONSTRUCCIONES TASCO LIMITADA"/>
    <n v="2854"/>
    <m/>
    <x v="0"/>
  </r>
  <r>
    <d v="2021-02-15T00:00:00"/>
    <x v="2"/>
    <x v="8"/>
    <x v="8"/>
    <n v="169243211"/>
    <n v="169243211"/>
    <n v="0"/>
    <x v="227"/>
    <s v="Cali"/>
    <s v="80965500-8"/>
    <s v="PROYECTOS Y CONSTRUCCIONES TASCO LIMITADA"/>
    <n v="2854"/>
    <m/>
    <x v="0"/>
  </r>
  <r>
    <d v="2021-02-15T00:00:00"/>
    <x v="2"/>
    <x v="18"/>
    <x v="18"/>
    <n v="-7285595"/>
    <n v="0"/>
    <n v="7285595"/>
    <x v="228"/>
    <s v="Cali"/>
    <s v="80965500-8"/>
    <s v="PROYECTOS Y CONSTRUCCIONES TASCO LIMITADA"/>
    <n v="2854"/>
    <m/>
    <x v="0"/>
  </r>
  <r>
    <d v="2021-02-15T00:00:00"/>
    <x v="2"/>
    <x v="48"/>
    <x v="48"/>
    <n v="-147386718"/>
    <n v="0"/>
    <n v="147386718"/>
    <x v="129"/>
    <s v="Cali"/>
    <s v="80965500-8"/>
    <s v="PROYECTOS Y CONSTRUCCIONES TASCO LIMITADA"/>
    <n v="2854"/>
    <m/>
    <x v="0"/>
  </r>
  <r>
    <m/>
    <x v="1"/>
    <x v="23"/>
    <x v="23"/>
    <m/>
    <m/>
    <m/>
    <x v="1"/>
    <m/>
    <m/>
    <m/>
    <m/>
    <m/>
    <x v="0"/>
  </r>
  <r>
    <d v="2021-02-15T00:00:00"/>
    <x v="2"/>
    <x v="48"/>
    <x v="48"/>
    <n v="147386718"/>
    <n v="147386718"/>
    <n v="0"/>
    <x v="229"/>
    <s v="Cali"/>
    <s v="80965500-8"/>
    <s v="PROYECTOS Y CONSTRUCCIONES TASCO LIMITADA"/>
    <n v="2829"/>
    <m/>
    <x v="0"/>
  </r>
  <r>
    <d v="2021-02-15T00:00:00"/>
    <x v="2"/>
    <x v="1"/>
    <x v="1"/>
    <n v="-147386718"/>
    <n v="0"/>
    <n v="147386718"/>
    <x v="229"/>
    <s v="Cali"/>
    <m/>
    <m/>
    <m/>
    <m/>
    <x v="0"/>
  </r>
  <r>
    <m/>
    <x v="1"/>
    <x v="23"/>
    <x v="23"/>
    <m/>
    <m/>
    <m/>
    <x v="1"/>
    <m/>
    <m/>
    <m/>
    <m/>
    <m/>
    <x v="0"/>
  </r>
  <r>
    <d v="2021-02-25T00:00:00"/>
    <x v="2"/>
    <x v="12"/>
    <x v="12"/>
    <n v="67193"/>
    <n v="67193"/>
    <n v="0"/>
    <x v="230"/>
    <s v="Cali"/>
    <m/>
    <m/>
    <m/>
    <m/>
    <x v="0"/>
  </r>
  <r>
    <d v="2021-02-25T00:00:00"/>
    <x v="2"/>
    <x v="1"/>
    <x v="1"/>
    <n v="-67193"/>
    <n v="0"/>
    <n v="67193"/>
    <x v="230"/>
    <s v="Cali"/>
    <m/>
    <m/>
    <m/>
    <m/>
    <x v="0"/>
  </r>
  <r>
    <m/>
    <x v="1"/>
    <x v="23"/>
    <x v="23"/>
    <m/>
    <m/>
    <m/>
    <x v="1"/>
    <m/>
    <m/>
    <m/>
    <m/>
    <m/>
    <x v="0"/>
  </r>
  <r>
    <d v="2021-02-28T00:00:00"/>
    <x v="2"/>
    <x v="12"/>
    <x v="12"/>
    <n v="4222126"/>
    <n v="4222126"/>
    <n v="0"/>
    <x v="231"/>
    <s v="Cali"/>
    <s v="89485200-3"/>
    <s v="COZ Y COMPAÃ‘IA S.A."/>
    <n v="5921"/>
    <s v="138-01"/>
    <x v="3"/>
  </r>
  <r>
    <d v="2021-02-28T00:00:00"/>
    <x v="2"/>
    <x v="48"/>
    <x v="48"/>
    <n v="-4222126"/>
    <n v="0"/>
    <n v="4222126"/>
    <x v="231"/>
    <s v="Cali"/>
    <s v="89485200-3"/>
    <s v="COZ Y COMPAÃ‘IA S.A."/>
    <n v="5921"/>
    <m/>
    <x v="1"/>
  </r>
  <r>
    <m/>
    <x v="1"/>
    <x v="23"/>
    <x v="23"/>
    <m/>
    <m/>
    <m/>
    <x v="1"/>
    <m/>
    <m/>
    <m/>
    <m/>
    <m/>
    <x v="0"/>
  </r>
  <r>
    <d v="2021-02-28T00:00:00"/>
    <x v="2"/>
    <x v="4"/>
    <x v="4"/>
    <n v="50000"/>
    <n v="50000"/>
    <n v="0"/>
    <x v="232"/>
    <s v="Cali"/>
    <m/>
    <m/>
    <m/>
    <m/>
    <x v="0"/>
  </r>
  <r>
    <d v="2021-02-28T00:00:00"/>
    <x v="2"/>
    <x v="29"/>
    <x v="29"/>
    <n v="-50000"/>
    <n v="0"/>
    <n v="50000"/>
    <x v="232"/>
    <s v="Cali"/>
    <m/>
    <m/>
    <m/>
    <m/>
    <x v="0"/>
  </r>
  <r>
    <m/>
    <x v="1"/>
    <x v="23"/>
    <x v="23"/>
    <m/>
    <m/>
    <m/>
    <x v="1"/>
    <m/>
    <m/>
    <m/>
    <m/>
    <m/>
    <x v="0"/>
  </r>
  <r>
    <d v="2021-02-28T00:00:00"/>
    <x v="2"/>
    <x v="32"/>
    <x v="32"/>
    <n v="-477000"/>
    <n v="0"/>
    <n v="477000"/>
    <x v="233"/>
    <s v="Cali"/>
    <m/>
    <m/>
    <m/>
    <m/>
    <x v="0"/>
  </r>
  <r>
    <d v="2021-02-28T00:00:00"/>
    <x v="2"/>
    <x v="33"/>
    <x v="33"/>
    <n v="0"/>
    <n v="0"/>
    <n v="0"/>
    <x v="233"/>
    <s v="Cali"/>
    <m/>
    <m/>
    <m/>
    <m/>
    <x v="0"/>
  </r>
  <r>
    <d v="2021-02-28T00:00:00"/>
    <x v="2"/>
    <x v="34"/>
    <x v="34"/>
    <n v="-536000"/>
    <n v="0"/>
    <n v="536000"/>
    <x v="233"/>
    <s v="Cali"/>
    <m/>
    <m/>
    <m/>
    <m/>
    <x v="0"/>
  </r>
  <r>
    <d v="2021-02-28T00:00:00"/>
    <x v="2"/>
    <x v="35"/>
    <x v="35"/>
    <n v="-1549000"/>
    <n v="0"/>
    <n v="1549000"/>
    <x v="233"/>
    <s v="Cali"/>
    <m/>
    <m/>
    <m/>
    <m/>
    <x v="0"/>
  </r>
  <r>
    <d v="2021-02-28T00:00:00"/>
    <x v="2"/>
    <x v="36"/>
    <x v="36"/>
    <n v="-4376600"/>
    <n v="0"/>
    <n v="4376600"/>
    <x v="233"/>
    <s v="Cali"/>
    <m/>
    <m/>
    <m/>
    <m/>
    <x v="0"/>
  </r>
  <r>
    <d v="2021-02-28T00:00:00"/>
    <x v="2"/>
    <x v="37"/>
    <x v="37"/>
    <n v="-5001258"/>
    <n v="0"/>
    <n v="5001258"/>
    <x v="233"/>
    <s v="Cali"/>
    <m/>
    <m/>
    <m/>
    <m/>
    <x v="0"/>
  </r>
  <r>
    <d v="2021-02-28T00:00:00"/>
    <x v="2"/>
    <x v="29"/>
    <x v="29"/>
    <n v="477000"/>
    <n v="477000"/>
    <n v="0"/>
    <x v="233"/>
    <s v="Cali"/>
    <m/>
    <m/>
    <m/>
    <m/>
    <x v="0"/>
  </r>
  <r>
    <d v="2021-02-28T00:00:00"/>
    <x v="2"/>
    <x v="27"/>
    <x v="27"/>
    <n v="536000"/>
    <n v="536000"/>
    <n v="0"/>
    <x v="233"/>
    <s v="Cali"/>
    <m/>
    <m/>
    <m/>
    <m/>
    <x v="0"/>
  </r>
  <r>
    <d v="2021-02-28T00:00:00"/>
    <x v="2"/>
    <x v="25"/>
    <x v="25"/>
    <n v="1549000"/>
    <n v="1549000"/>
    <n v="0"/>
    <x v="233"/>
    <s v="Cali"/>
    <m/>
    <m/>
    <m/>
    <m/>
    <x v="0"/>
  </r>
  <r>
    <d v="2021-02-28T00:00:00"/>
    <x v="2"/>
    <x v="5"/>
    <x v="5"/>
    <n v="9377858"/>
    <n v="9377858"/>
    <n v="0"/>
    <x v="233"/>
    <s v="Cali"/>
    <m/>
    <m/>
    <m/>
    <m/>
    <x v="0"/>
  </r>
  <r>
    <d v="2021-02-28T00:00:00"/>
    <x v="2"/>
    <x v="15"/>
    <x v="15"/>
    <n v="-2817252"/>
    <n v="0"/>
    <n v="2817252"/>
    <x v="233"/>
    <s v="Cali"/>
    <m/>
    <m/>
    <m/>
    <m/>
    <x v="0"/>
  </r>
  <r>
    <d v="2021-02-28T00:00:00"/>
    <x v="2"/>
    <x v="38"/>
    <x v="38"/>
    <n v="2817252"/>
    <n v="2817252"/>
    <n v="0"/>
    <x v="233"/>
    <s v="Cali"/>
    <m/>
    <m/>
    <m/>
    <m/>
    <x v="0"/>
  </r>
  <r>
    <d v="2021-02-28T00:00:00"/>
    <x v="2"/>
    <x v="16"/>
    <x v="16"/>
    <n v="-57240"/>
    <n v="0"/>
    <n v="57240"/>
    <x v="233"/>
    <s v="Cali"/>
    <m/>
    <m/>
    <m/>
    <m/>
    <x v="0"/>
  </r>
  <r>
    <d v="2021-02-28T00:00:00"/>
    <x v="2"/>
    <x v="14"/>
    <x v="14"/>
    <n v="-119399"/>
    <n v="0"/>
    <n v="119399"/>
    <x v="233"/>
    <s v="Cali"/>
    <m/>
    <m/>
    <m/>
    <m/>
    <x v="0"/>
  </r>
  <r>
    <d v="2021-02-28T00:00:00"/>
    <x v="2"/>
    <x v="39"/>
    <x v="39"/>
    <n v="57240"/>
    <n v="57240"/>
    <n v="0"/>
    <x v="233"/>
    <s v="Cali"/>
    <m/>
    <m/>
    <m/>
    <m/>
    <x v="0"/>
  </r>
  <r>
    <d v="2021-02-28T00:00:00"/>
    <x v="2"/>
    <x v="40"/>
    <x v="40"/>
    <n v="119399"/>
    <n v="119399"/>
    <n v="0"/>
    <x v="233"/>
    <s v="Cali"/>
    <m/>
    <m/>
    <m/>
    <m/>
    <x v="0"/>
  </r>
  <r>
    <d v="2021-02-28T00:00:00"/>
    <x v="2"/>
    <x v="41"/>
    <x v="41"/>
    <n v="-6067075"/>
    <n v="0"/>
    <n v="6067075"/>
    <x v="233"/>
    <s v="Cali"/>
    <m/>
    <m/>
    <m/>
    <m/>
    <x v="0"/>
  </r>
  <r>
    <d v="2021-02-28T00:00:00"/>
    <x v="2"/>
    <x v="42"/>
    <x v="42"/>
    <n v="-2014500"/>
    <n v="0"/>
    <n v="2014500"/>
    <x v="233"/>
    <s v="Cali"/>
    <m/>
    <m/>
    <m/>
    <m/>
    <x v="0"/>
  </r>
  <r>
    <d v="2021-02-28T00:00:00"/>
    <x v="2"/>
    <x v="43"/>
    <x v="43"/>
    <n v="415382"/>
    <n v="415382"/>
    <n v="0"/>
    <x v="233"/>
    <s v="Cali"/>
    <m/>
    <m/>
    <m/>
    <m/>
    <x v="0"/>
  </r>
  <r>
    <d v="2021-02-28T00:00:00"/>
    <x v="2"/>
    <x v="43"/>
    <x v="43"/>
    <n v="50363"/>
    <n v="50363"/>
    <n v="0"/>
    <x v="233"/>
    <s v="Cali"/>
    <m/>
    <m/>
    <m/>
    <m/>
    <x v="0"/>
  </r>
  <r>
    <d v="2021-02-28T00:00:00"/>
    <x v="2"/>
    <x v="38"/>
    <x v="38"/>
    <n v="3354613"/>
    <n v="3354613"/>
    <n v="0"/>
    <x v="233"/>
    <s v="Cali"/>
    <m/>
    <m/>
    <m/>
    <m/>
    <x v="0"/>
  </r>
  <r>
    <d v="2021-02-28T00:00:00"/>
    <x v="2"/>
    <x v="40"/>
    <x v="40"/>
    <n v="60671"/>
    <n v="60671"/>
    <n v="0"/>
    <x v="233"/>
    <s v="Cali"/>
    <m/>
    <m/>
    <m/>
    <m/>
    <x v="0"/>
  </r>
  <r>
    <d v="2021-02-28T00:00:00"/>
    <x v="2"/>
    <x v="40"/>
    <x v="40"/>
    <n v="20145"/>
    <n v="20145"/>
    <n v="0"/>
    <x v="233"/>
    <s v="Cali"/>
    <m/>
    <m/>
    <m/>
    <m/>
    <x v="0"/>
  </r>
  <r>
    <d v="2021-02-28T00:00:00"/>
    <x v="2"/>
    <x v="44"/>
    <x v="44"/>
    <n v="2236409"/>
    <n v="2236409"/>
    <n v="0"/>
    <x v="233"/>
    <s v="Cali"/>
    <m/>
    <m/>
    <m/>
    <m/>
    <x v="0"/>
  </r>
  <r>
    <d v="2021-02-28T00:00:00"/>
    <x v="2"/>
    <x v="45"/>
    <x v="45"/>
    <n v="1943992"/>
    <n v="1943992"/>
    <n v="0"/>
    <x v="233"/>
    <s v="Cali"/>
    <m/>
    <m/>
    <m/>
    <m/>
    <x v="0"/>
  </r>
  <r>
    <d v="2021-02-28T00:00:00"/>
    <x v="2"/>
    <x v="5"/>
    <x v="5"/>
    <n v="-91997"/>
    <n v="0"/>
    <n v="91997"/>
    <x v="233"/>
    <s v="Cali"/>
    <m/>
    <m/>
    <m/>
    <m/>
    <x v="0"/>
  </r>
  <r>
    <d v="2021-02-28T00:00:00"/>
    <x v="2"/>
    <x v="30"/>
    <x v="30"/>
    <n v="91997"/>
    <n v="91997"/>
    <n v="0"/>
    <x v="233"/>
    <s v="Cali"/>
    <m/>
    <m/>
    <m/>
    <m/>
    <x v="0"/>
  </r>
  <r>
    <m/>
    <x v="1"/>
    <x v="23"/>
    <x v="23"/>
    <m/>
    <m/>
    <m/>
    <x v="1"/>
    <m/>
    <m/>
    <m/>
    <m/>
    <m/>
    <x v="0"/>
  </r>
  <r>
    <d v="2021-02-28T00:00:00"/>
    <x v="2"/>
    <x v="46"/>
    <x v="46"/>
    <n v="0"/>
    <n v="0"/>
    <n v="0"/>
    <x v="110"/>
    <s v="Cali"/>
    <m/>
    <m/>
    <m/>
    <m/>
    <x v="0"/>
  </r>
  <r>
    <d v="2021-02-28T00:00:00"/>
    <x v="2"/>
    <x v="47"/>
    <x v="47"/>
    <n v="0"/>
    <n v="0"/>
    <n v="0"/>
    <x v="110"/>
    <s v="Cali"/>
    <m/>
    <m/>
    <m/>
    <m/>
    <x v="0"/>
  </r>
  <r>
    <m/>
    <x v="1"/>
    <x v="23"/>
    <x v="23"/>
    <m/>
    <m/>
    <m/>
    <x v="1"/>
    <m/>
    <m/>
    <m/>
    <m/>
    <m/>
    <x v="0"/>
  </r>
  <r>
    <d v="2021-02-28T00:00:00"/>
    <x v="2"/>
    <x v="2"/>
    <x v="2"/>
    <n v="779488"/>
    <n v="779488"/>
    <n v="0"/>
    <x v="111"/>
    <s v="Cali"/>
    <m/>
    <m/>
    <m/>
    <m/>
    <x v="0"/>
  </r>
  <r>
    <d v="2021-02-28T00:00:00"/>
    <x v="2"/>
    <x v="47"/>
    <x v="47"/>
    <n v="-779488"/>
    <n v="0"/>
    <n v="779488"/>
    <x v="111"/>
    <s v="Cali"/>
    <m/>
    <m/>
    <m/>
    <m/>
    <x v="0"/>
  </r>
  <r>
    <m/>
    <x v="1"/>
    <x v="23"/>
    <x v="23"/>
    <m/>
    <m/>
    <m/>
    <x v="1"/>
    <m/>
    <m/>
    <m/>
    <m/>
    <m/>
    <x v="0"/>
  </r>
  <r>
    <d v="2021-02-28T00:00:00"/>
    <x v="2"/>
    <x v="3"/>
    <x v="3"/>
    <n v="5213"/>
    <n v="5213"/>
    <n v="0"/>
    <x v="112"/>
    <s v="Cali"/>
    <m/>
    <m/>
    <m/>
    <m/>
    <x v="0"/>
  </r>
  <r>
    <d v="2021-02-28T00:00:00"/>
    <x v="2"/>
    <x v="47"/>
    <x v="47"/>
    <n v="-5213"/>
    <n v="0"/>
    <n v="5213"/>
    <x v="112"/>
    <s v="Cali"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2236409"/>
    <n v="2236409"/>
    <n v="0"/>
    <x v="234"/>
    <s v="Cali"/>
    <m/>
    <m/>
    <m/>
    <m/>
    <x v="0"/>
  </r>
  <r>
    <d v="2021-03-01T00:00:00"/>
    <x v="3"/>
    <x v="44"/>
    <x v="44"/>
    <n v="-2236409"/>
    <n v="0"/>
    <n v="2236409"/>
    <x v="234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1943993"/>
    <n v="1943993"/>
    <n v="0"/>
    <x v="235"/>
    <s v="Cali"/>
    <m/>
    <m/>
    <m/>
    <m/>
    <x v="0"/>
  </r>
  <r>
    <d v="2021-03-01T00:00:00"/>
    <x v="3"/>
    <x v="45"/>
    <x v="45"/>
    <n v="-1943993"/>
    <n v="0"/>
    <n v="1943993"/>
    <x v="235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50000"/>
    <n v="50000"/>
    <n v="0"/>
    <x v="135"/>
    <s v="Cali"/>
    <m/>
    <m/>
    <m/>
    <m/>
    <x v="0"/>
  </r>
  <r>
    <d v="2021-03-01T00:00:00"/>
    <x v="3"/>
    <x v="26"/>
    <x v="26"/>
    <n v="-50000"/>
    <n v="0"/>
    <n v="50000"/>
    <x v="135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10000"/>
    <n v="10000"/>
    <n v="0"/>
    <x v="236"/>
    <s v="Cali"/>
    <m/>
    <m/>
    <m/>
    <m/>
    <x v="0"/>
  </r>
  <r>
    <d v="2021-03-01T00:00:00"/>
    <x v="3"/>
    <x v="25"/>
    <x v="25"/>
    <n v="-10000"/>
    <n v="0"/>
    <n v="10000"/>
    <x v="236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36000"/>
    <n v="36000"/>
    <n v="0"/>
    <x v="133"/>
    <s v="Cali"/>
    <m/>
    <m/>
    <m/>
    <m/>
    <x v="0"/>
  </r>
  <r>
    <d v="2021-03-01T00:00:00"/>
    <x v="3"/>
    <x v="25"/>
    <x v="25"/>
    <n v="-36000"/>
    <n v="0"/>
    <n v="36000"/>
    <x v="133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100000"/>
    <n v="100000"/>
    <n v="0"/>
    <x v="134"/>
    <s v="Cali"/>
    <m/>
    <m/>
    <m/>
    <m/>
    <x v="0"/>
  </r>
  <r>
    <d v="2021-03-01T00:00:00"/>
    <x v="3"/>
    <x v="26"/>
    <x v="26"/>
    <n v="-100000"/>
    <n v="0"/>
    <n v="100000"/>
    <x v="134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20000"/>
    <n v="20000"/>
    <n v="0"/>
    <x v="237"/>
    <s v="Cali"/>
    <m/>
    <m/>
    <m/>
    <m/>
    <x v="0"/>
  </r>
  <r>
    <d v="2021-03-01T00:00:00"/>
    <x v="3"/>
    <x v="19"/>
    <x v="19"/>
    <n v="-20000"/>
    <n v="0"/>
    <n v="20000"/>
    <x v="237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60000"/>
    <n v="60000"/>
    <n v="0"/>
    <x v="238"/>
    <s v="Cali"/>
    <m/>
    <m/>
    <m/>
    <m/>
    <x v="0"/>
  </r>
  <r>
    <d v="2021-03-01T00:00:00"/>
    <x v="3"/>
    <x v="25"/>
    <x v="25"/>
    <n v="-60000"/>
    <n v="0"/>
    <n v="60000"/>
    <x v="238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125000"/>
    <n v="125000"/>
    <n v="0"/>
    <x v="136"/>
    <s v="Cali"/>
    <m/>
    <m/>
    <m/>
    <m/>
    <x v="0"/>
  </r>
  <r>
    <d v="2021-03-01T00:00:00"/>
    <x v="3"/>
    <x v="26"/>
    <x v="26"/>
    <n v="-125000"/>
    <n v="0"/>
    <n v="125000"/>
    <x v="136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30000"/>
    <n v="30000"/>
    <n v="0"/>
    <x v="239"/>
    <s v="Cali"/>
    <m/>
    <m/>
    <m/>
    <m/>
    <x v="0"/>
  </r>
  <r>
    <d v="2021-03-01T00:00:00"/>
    <x v="3"/>
    <x v="27"/>
    <x v="27"/>
    <n v="-30000"/>
    <n v="0"/>
    <n v="30000"/>
    <x v="239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10000"/>
    <n v="10000"/>
    <n v="0"/>
    <x v="140"/>
    <s v="Cali"/>
    <m/>
    <m/>
    <m/>
    <m/>
    <x v="0"/>
  </r>
  <r>
    <d v="2021-03-01T00:00:00"/>
    <x v="3"/>
    <x v="19"/>
    <x v="19"/>
    <n v="-10000"/>
    <n v="0"/>
    <n v="10000"/>
    <x v="140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30000"/>
    <n v="30000"/>
    <n v="0"/>
    <x v="139"/>
    <s v="Cali"/>
    <m/>
    <m/>
    <m/>
    <m/>
    <x v="0"/>
  </r>
  <r>
    <d v="2021-03-01T00:00:00"/>
    <x v="3"/>
    <x v="25"/>
    <x v="25"/>
    <n v="-30000"/>
    <n v="0"/>
    <n v="30000"/>
    <x v="139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20000"/>
    <n v="20000"/>
    <n v="0"/>
    <x v="132"/>
    <s v="Cali"/>
    <m/>
    <m/>
    <m/>
    <m/>
    <x v="0"/>
  </r>
  <r>
    <d v="2021-03-01T00:00:00"/>
    <x v="3"/>
    <x v="25"/>
    <x v="25"/>
    <n v="-20000"/>
    <n v="0"/>
    <n v="20000"/>
    <x v="132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10000"/>
    <n v="10000"/>
    <n v="0"/>
    <x v="137"/>
    <s v="Cali"/>
    <m/>
    <m/>
    <m/>
    <m/>
    <x v="0"/>
  </r>
  <r>
    <d v="2021-03-01T00:00:00"/>
    <x v="3"/>
    <x v="26"/>
    <x v="26"/>
    <n v="-10000"/>
    <n v="0"/>
    <n v="10000"/>
    <x v="137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25000"/>
    <n v="25000"/>
    <n v="0"/>
    <x v="38"/>
    <s v="Cali"/>
    <m/>
    <m/>
    <m/>
    <m/>
    <x v="0"/>
  </r>
  <r>
    <d v="2021-03-01T00:00:00"/>
    <x v="3"/>
    <x v="25"/>
    <x v="25"/>
    <n v="-25000"/>
    <n v="0"/>
    <n v="25000"/>
    <x v="38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12000"/>
    <n v="12000"/>
    <n v="0"/>
    <x v="150"/>
    <s v="Cali"/>
    <m/>
    <m/>
    <m/>
    <m/>
    <x v="0"/>
  </r>
  <r>
    <d v="2021-03-01T00:00:00"/>
    <x v="3"/>
    <x v="19"/>
    <x v="19"/>
    <n v="-12000"/>
    <n v="0"/>
    <n v="12000"/>
    <x v="150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10000"/>
    <n v="10000"/>
    <n v="0"/>
    <x v="142"/>
    <s v="Cali"/>
    <m/>
    <m/>
    <m/>
    <m/>
    <x v="0"/>
  </r>
  <r>
    <d v="2021-03-01T00:00:00"/>
    <x v="3"/>
    <x v="25"/>
    <x v="25"/>
    <n v="-10000"/>
    <n v="0"/>
    <n v="10000"/>
    <x v="142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50000"/>
    <n v="50000"/>
    <n v="0"/>
    <x v="143"/>
    <s v="Cali"/>
    <m/>
    <m/>
    <m/>
    <m/>
    <x v="0"/>
  </r>
  <r>
    <d v="2021-03-01T00:00:00"/>
    <x v="3"/>
    <x v="25"/>
    <x v="25"/>
    <n v="-50000"/>
    <n v="0"/>
    <n v="50000"/>
    <x v="143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73000"/>
    <n v="73000"/>
    <n v="0"/>
    <x v="240"/>
    <s v="Cali"/>
    <m/>
    <m/>
    <m/>
    <m/>
    <x v="0"/>
  </r>
  <r>
    <d v="2021-03-01T00:00:00"/>
    <x v="3"/>
    <x v="26"/>
    <x v="26"/>
    <n v="-73000"/>
    <n v="0"/>
    <n v="73000"/>
    <x v="240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40000"/>
    <n v="40000"/>
    <n v="0"/>
    <x v="241"/>
    <s v="Cali"/>
    <m/>
    <m/>
    <m/>
    <m/>
    <x v="0"/>
  </r>
  <r>
    <d v="2021-03-01T00:00:00"/>
    <x v="3"/>
    <x v="26"/>
    <x v="26"/>
    <n v="-40000"/>
    <n v="0"/>
    <n v="40000"/>
    <x v="241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48000"/>
    <n v="48000"/>
    <n v="0"/>
    <x v="144"/>
    <s v="Cali"/>
    <m/>
    <m/>
    <m/>
    <m/>
    <x v="0"/>
  </r>
  <r>
    <d v="2021-03-01T00:00:00"/>
    <x v="3"/>
    <x v="27"/>
    <x v="27"/>
    <n v="-48000"/>
    <n v="0"/>
    <n v="48000"/>
    <x v="144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40000"/>
    <n v="40000"/>
    <n v="0"/>
    <x v="145"/>
    <s v="Cali"/>
    <m/>
    <m/>
    <m/>
    <m/>
    <x v="0"/>
  </r>
  <r>
    <d v="2021-03-01T00:00:00"/>
    <x v="3"/>
    <x v="25"/>
    <x v="25"/>
    <n v="-40000"/>
    <n v="0"/>
    <n v="40000"/>
    <x v="145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20000"/>
    <n v="20000"/>
    <n v="0"/>
    <x v="17"/>
    <s v="Cali"/>
    <m/>
    <m/>
    <m/>
    <m/>
    <x v="0"/>
  </r>
  <r>
    <d v="2021-03-01T00:00:00"/>
    <x v="3"/>
    <x v="25"/>
    <x v="25"/>
    <n v="-20000"/>
    <n v="0"/>
    <n v="20000"/>
    <x v="17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50000"/>
    <n v="50000"/>
    <n v="0"/>
    <x v="19"/>
    <s v="Cali"/>
    <m/>
    <m/>
    <m/>
    <m/>
    <x v="0"/>
  </r>
  <r>
    <d v="2021-03-01T00:00:00"/>
    <x v="3"/>
    <x v="25"/>
    <x v="25"/>
    <n v="-50000"/>
    <n v="0"/>
    <n v="50000"/>
    <x v="19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30000"/>
    <n v="30000"/>
    <n v="0"/>
    <x v="147"/>
    <s v="Cali"/>
    <m/>
    <m/>
    <m/>
    <m/>
    <x v="0"/>
  </r>
  <r>
    <d v="2021-03-01T00:00:00"/>
    <x v="3"/>
    <x v="26"/>
    <x v="26"/>
    <n v="-30000"/>
    <n v="0"/>
    <n v="30000"/>
    <x v="147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20000"/>
    <n v="20000"/>
    <n v="0"/>
    <x v="146"/>
    <s v="Cali"/>
    <m/>
    <m/>
    <m/>
    <m/>
    <x v="0"/>
  </r>
  <r>
    <d v="2021-03-01T00:00:00"/>
    <x v="3"/>
    <x v="26"/>
    <x v="26"/>
    <n v="-20000"/>
    <n v="0"/>
    <n v="20000"/>
    <x v="146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15000"/>
    <n v="15000"/>
    <n v="0"/>
    <x v="148"/>
    <s v="Cali"/>
    <m/>
    <m/>
    <m/>
    <m/>
    <x v="0"/>
  </r>
  <r>
    <d v="2021-03-01T00:00:00"/>
    <x v="3"/>
    <x v="25"/>
    <x v="25"/>
    <n v="-15000"/>
    <n v="0"/>
    <n v="15000"/>
    <x v="148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200000"/>
    <n v="200000"/>
    <n v="0"/>
    <x v="242"/>
    <s v="Cali"/>
    <m/>
    <m/>
    <m/>
    <m/>
    <x v="0"/>
  </r>
  <r>
    <d v="2021-03-01T00:00:00"/>
    <x v="3"/>
    <x v="26"/>
    <x v="26"/>
    <n v="-200000"/>
    <n v="0"/>
    <n v="200000"/>
    <x v="242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80000"/>
    <n v="80000"/>
    <n v="0"/>
    <x v="22"/>
    <s v="Cali"/>
    <m/>
    <m/>
    <m/>
    <m/>
    <x v="0"/>
  </r>
  <r>
    <d v="2021-03-01T00:00:00"/>
    <x v="3"/>
    <x v="27"/>
    <x v="27"/>
    <n v="-80000"/>
    <n v="0"/>
    <n v="80000"/>
    <x v="22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50000"/>
    <n v="50000"/>
    <n v="0"/>
    <x v="243"/>
    <s v="Cali"/>
    <m/>
    <m/>
    <m/>
    <m/>
    <x v="0"/>
  </r>
  <r>
    <d v="2021-03-01T00:00:00"/>
    <x v="3"/>
    <x v="4"/>
    <x v="4"/>
    <n v="-50000"/>
    <n v="0"/>
    <n v="50000"/>
    <x v="243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40000"/>
    <n v="40000"/>
    <n v="0"/>
    <x v="157"/>
    <s v="Cali"/>
    <m/>
    <m/>
    <m/>
    <m/>
    <x v="0"/>
  </r>
  <r>
    <d v="2021-03-01T00:00:00"/>
    <x v="3"/>
    <x v="27"/>
    <x v="27"/>
    <n v="-40000"/>
    <n v="0"/>
    <n v="40000"/>
    <x v="157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15000"/>
    <n v="15000"/>
    <n v="0"/>
    <x v="205"/>
    <s v="Cali"/>
    <m/>
    <m/>
    <m/>
    <m/>
    <x v="0"/>
  </r>
  <r>
    <d v="2021-03-01T00:00:00"/>
    <x v="3"/>
    <x v="27"/>
    <x v="27"/>
    <n v="-15000"/>
    <n v="0"/>
    <n v="15000"/>
    <x v="205"/>
    <s v="Cali"/>
    <m/>
    <m/>
    <m/>
    <m/>
    <x v="0"/>
  </r>
  <r>
    <m/>
    <x v="1"/>
    <x v="23"/>
    <x v="23"/>
    <m/>
    <m/>
    <m/>
    <x v="1"/>
    <m/>
    <m/>
    <m/>
    <m/>
    <m/>
    <x v="0"/>
  </r>
  <r>
    <d v="2021-03-01T00:00:00"/>
    <x v="3"/>
    <x v="0"/>
    <x v="0"/>
    <n v="30000"/>
    <n v="30000"/>
    <n v="0"/>
    <x v="244"/>
    <s v="Cali"/>
    <m/>
    <m/>
    <m/>
    <m/>
    <x v="0"/>
  </r>
  <r>
    <d v="2021-03-01T00:00:00"/>
    <x v="3"/>
    <x v="19"/>
    <x v="19"/>
    <n v="-30000"/>
    <n v="0"/>
    <n v="30000"/>
    <x v="244"/>
    <s v="Cali"/>
    <m/>
    <m/>
    <m/>
    <m/>
    <x v="0"/>
  </r>
  <r>
    <m/>
    <x v="1"/>
    <x v="23"/>
    <x v="23"/>
    <m/>
    <m/>
    <m/>
    <x v="1"/>
    <m/>
    <m/>
    <m/>
    <m/>
    <m/>
    <x v="0"/>
  </r>
  <r>
    <d v="2021-03-02T00:00:00"/>
    <x v="3"/>
    <x v="0"/>
    <x v="0"/>
    <n v="45000"/>
    <n v="45000"/>
    <n v="0"/>
    <x v="161"/>
    <s v="Cali"/>
    <m/>
    <m/>
    <m/>
    <m/>
    <x v="0"/>
  </r>
  <r>
    <d v="2021-03-02T00:00:00"/>
    <x v="3"/>
    <x v="26"/>
    <x v="26"/>
    <n v="-45000"/>
    <n v="0"/>
    <n v="45000"/>
    <x v="161"/>
    <s v="Cali"/>
    <m/>
    <m/>
    <m/>
    <m/>
    <x v="0"/>
  </r>
  <r>
    <m/>
    <x v="1"/>
    <x v="23"/>
    <x v="23"/>
    <m/>
    <m/>
    <m/>
    <x v="1"/>
    <m/>
    <m/>
    <m/>
    <m/>
    <m/>
    <x v="0"/>
  </r>
  <r>
    <d v="2021-03-02T00:00:00"/>
    <x v="3"/>
    <x v="0"/>
    <x v="0"/>
    <n v="55000"/>
    <n v="55000"/>
    <n v="0"/>
    <x v="160"/>
    <s v="Cali"/>
    <m/>
    <m/>
    <m/>
    <m/>
    <x v="0"/>
  </r>
  <r>
    <d v="2021-03-02T00:00:00"/>
    <x v="3"/>
    <x v="25"/>
    <x v="25"/>
    <n v="-55000"/>
    <n v="0"/>
    <n v="55000"/>
    <x v="160"/>
    <s v="Cali"/>
    <m/>
    <m/>
    <m/>
    <m/>
    <x v="0"/>
  </r>
  <r>
    <m/>
    <x v="1"/>
    <x v="23"/>
    <x v="23"/>
    <m/>
    <m/>
    <m/>
    <x v="1"/>
    <m/>
    <m/>
    <m/>
    <m/>
    <m/>
    <x v="0"/>
  </r>
  <r>
    <d v="2021-03-02T00:00:00"/>
    <x v="3"/>
    <x v="0"/>
    <x v="0"/>
    <n v="10000"/>
    <n v="10000"/>
    <n v="0"/>
    <x v="199"/>
    <s v="Cali"/>
    <m/>
    <m/>
    <m/>
    <m/>
    <x v="0"/>
  </r>
  <r>
    <d v="2021-03-02T00:00:00"/>
    <x v="3"/>
    <x v="27"/>
    <x v="27"/>
    <n v="-10000"/>
    <n v="0"/>
    <n v="10000"/>
    <x v="199"/>
    <s v="Cali"/>
    <m/>
    <m/>
    <m/>
    <m/>
    <x v="0"/>
  </r>
  <r>
    <m/>
    <x v="1"/>
    <x v="23"/>
    <x v="23"/>
    <m/>
    <m/>
    <m/>
    <x v="1"/>
    <m/>
    <m/>
    <m/>
    <m/>
    <m/>
    <x v="0"/>
  </r>
  <r>
    <d v="2021-03-02T00:00:00"/>
    <x v="3"/>
    <x v="0"/>
    <x v="0"/>
    <n v="180000"/>
    <n v="180000"/>
    <n v="0"/>
    <x v="245"/>
    <s v="Cali"/>
    <m/>
    <m/>
    <m/>
    <m/>
    <x v="0"/>
  </r>
  <r>
    <d v="2021-03-02T00:00:00"/>
    <x v="3"/>
    <x v="25"/>
    <x v="25"/>
    <n v="-180000"/>
    <n v="0"/>
    <n v="180000"/>
    <x v="245"/>
    <s v="Cali"/>
    <m/>
    <m/>
    <m/>
    <m/>
    <x v="0"/>
  </r>
  <r>
    <m/>
    <x v="1"/>
    <x v="23"/>
    <x v="23"/>
    <m/>
    <m/>
    <m/>
    <x v="1"/>
    <m/>
    <m/>
    <m/>
    <m/>
    <m/>
    <x v="0"/>
  </r>
  <r>
    <d v="2021-03-02T00:00:00"/>
    <x v="3"/>
    <x v="0"/>
    <x v="0"/>
    <n v="25000"/>
    <n v="25000"/>
    <n v="0"/>
    <x v="158"/>
    <s v="Cali"/>
    <m/>
    <m/>
    <m/>
    <m/>
    <x v="0"/>
  </r>
  <r>
    <d v="2021-03-02T00:00:00"/>
    <x v="3"/>
    <x v="25"/>
    <x v="25"/>
    <n v="-25000"/>
    <n v="0"/>
    <n v="25000"/>
    <x v="158"/>
    <s v="Cali"/>
    <m/>
    <m/>
    <m/>
    <m/>
    <x v="0"/>
  </r>
  <r>
    <m/>
    <x v="1"/>
    <x v="23"/>
    <x v="23"/>
    <m/>
    <m/>
    <m/>
    <x v="1"/>
    <m/>
    <m/>
    <m/>
    <m/>
    <m/>
    <x v="0"/>
  </r>
  <r>
    <d v="2021-03-02T00:00:00"/>
    <x v="3"/>
    <x v="0"/>
    <x v="0"/>
    <n v="20000"/>
    <n v="20000"/>
    <n v="0"/>
    <x v="246"/>
    <s v="Cali"/>
    <m/>
    <m/>
    <m/>
    <m/>
    <x v="0"/>
  </r>
  <r>
    <d v="2021-03-02T00:00:00"/>
    <x v="3"/>
    <x v="25"/>
    <x v="25"/>
    <n v="-20000"/>
    <n v="0"/>
    <n v="20000"/>
    <x v="246"/>
    <s v="Cali"/>
    <m/>
    <m/>
    <m/>
    <m/>
    <x v="0"/>
  </r>
  <r>
    <m/>
    <x v="1"/>
    <x v="23"/>
    <x v="23"/>
    <m/>
    <m/>
    <m/>
    <x v="1"/>
    <m/>
    <m/>
    <m/>
    <m/>
    <m/>
    <x v="0"/>
  </r>
  <r>
    <d v="2021-03-02T00:00:00"/>
    <x v="3"/>
    <x v="0"/>
    <x v="0"/>
    <n v="50000"/>
    <n v="50000"/>
    <n v="0"/>
    <x v="163"/>
    <s v="Cali"/>
    <m/>
    <m/>
    <m/>
    <m/>
    <x v="0"/>
  </r>
  <r>
    <d v="2021-03-02T00:00:00"/>
    <x v="3"/>
    <x v="25"/>
    <x v="25"/>
    <n v="-50000"/>
    <n v="0"/>
    <n v="50000"/>
    <x v="163"/>
    <s v="Cali"/>
    <m/>
    <m/>
    <m/>
    <m/>
    <x v="0"/>
  </r>
  <r>
    <m/>
    <x v="1"/>
    <x v="23"/>
    <x v="23"/>
    <m/>
    <m/>
    <m/>
    <x v="1"/>
    <m/>
    <m/>
    <m/>
    <m/>
    <m/>
    <x v="0"/>
  </r>
  <r>
    <d v="2021-03-03T00:00:00"/>
    <x v="3"/>
    <x v="0"/>
    <x v="0"/>
    <n v="37000"/>
    <n v="37000"/>
    <n v="0"/>
    <x v="10"/>
    <s v="Cali"/>
    <m/>
    <m/>
    <m/>
    <m/>
    <x v="0"/>
  </r>
  <r>
    <d v="2021-03-03T00:00:00"/>
    <x v="3"/>
    <x v="25"/>
    <x v="25"/>
    <n v="-37000"/>
    <n v="0"/>
    <n v="37000"/>
    <x v="10"/>
    <s v="Cali"/>
    <m/>
    <m/>
    <m/>
    <m/>
    <x v="0"/>
  </r>
  <r>
    <m/>
    <x v="1"/>
    <x v="23"/>
    <x v="23"/>
    <m/>
    <m/>
    <m/>
    <x v="1"/>
    <m/>
    <m/>
    <m/>
    <m/>
    <m/>
    <x v="0"/>
  </r>
  <r>
    <d v="2021-03-03T00:00:00"/>
    <x v="3"/>
    <x v="0"/>
    <x v="0"/>
    <n v="30000"/>
    <n v="30000"/>
    <n v="0"/>
    <x v="164"/>
    <s v="Cali"/>
    <m/>
    <m/>
    <m/>
    <m/>
    <x v="0"/>
  </r>
  <r>
    <d v="2021-03-03T00:00:00"/>
    <x v="3"/>
    <x v="26"/>
    <x v="26"/>
    <n v="-30000"/>
    <n v="0"/>
    <n v="30000"/>
    <x v="164"/>
    <s v="Cali"/>
    <m/>
    <m/>
    <m/>
    <m/>
    <x v="0"/>
  </r>
  <r>
    <m/>
    <x v="1"/>
    <x v="23"/>
    <x v="23"/>
    <m/>
    <m/>
    <m/>
    <x v="1"/>
    <m/>
    <m/>
    <m/>
    <m/>
    <m/>
    <x v="0"/>
  </r>
  <r>
    <d v="2021-03-03T00:00:00"/>
    <x v="3"/>
    <x v="0"/>
    <x v="0"/>
    <n v="59286"/>
    <n v="59286"/>
    <n v="0"/>
    <x v="247"/>
    <s v="Cali"/>
    <m/>
    <m/>
    <m/>
    <m/>
    <x v="0"/>
  </r>
  <r>
    <d v="2021-03-03T00:00:00"/>
    <x v="3"/>
    <x v="49"/>
    <x v="49"/>
    <n v="714"/>
    <n v="714"/>
    <n v="0"/>
    <x v="247"/>
    <s v="Cali"/>
    <m/>
    <m/>
    <m/>
    <m/>
    <x v="0"/>
  </r>
  <r>
    <d v="2021-03-03T00:00:00"/>
    <x v="3"/>
    <x v="25"/>
    <x v="25"/>
    <n v="-60000"/>
    <n v="0"/>
    <n v="60000"/>
    <x v="247"/>
    <s v="Cali"/>
    <m/>
    <m/>
    <m/>
    <m/>
    <x v="0"/>
  </r>
  <r>
    <m/>
    <x v="1"/>
    <x v="23"/>
    <x v="23"/>
    <m/>
    <m/>
    <m/>
    <x v="1"/>
    <m/>
    <m/>
    <m/>
    <m/>
    <m/>
    <x v="0"/>
  </r>
  <r>
    <d v="2021-03-03T00:00:00"/>
    <x v="3"/>
    <x v="0"/>
    <x v="0"/>
    <n v="19600"/>
    <n v="19600"/>
    <n v="0"/>
    <x v="248"/>
    <s v="Cali"/>
    <m/>
    <m/>
    <m/>
    <m/>
    <x v="0"/>
  </r>
  <r>
    <d v="2021-03-03T00:00:00"/>
    <x v="3"/>
    <x v="26"/>
    <x v="26"/>
    <n v="-19600"/>
    <n v="0"/>
    <n v="19600"/>
    <x v="248"/>
    <s v="Cali"/>
    <m/>
    <m/>
    <m/>
    <m/>
    <x v="0"/>
  </r>
  <r>
    <m/>
    <x v="1"/>
    <x v="23"/>
    <x v="23"/>
    <m/>
    <m/>
    <m/>
    <x v="1"/>
    <m/>
    <m/>
    <m/>
    <m/>
    <m/>
    <x v="0"/>
  </r>
  <r>
    <d v="2021-03-03T00:00:00"/>
    <x v="3"/>
    <x v="0"/>
    <x v="0"/>
    <n v="20000"/>
    <n v="20000"/>
    <n v="0"/>
    <x v="165"/>
    <s v="Cali"/>
    <m/>
    <m/>
    <m/>
    <m/>
    <x v="0"/>
  </r>
  <r>
    <d v="2021-03-03T00:00:00"/>
    <x v="3"/>
    <x v="25"/>
    <x v="25"/>
    <n v="-20000"/>
    <n v="0"/>
    <n v="20000"/>
    <x v="165"/>
    <s v="Cali"/>
    <m/>
    <m/>
    <m/>
    <m/>
    <x v="0"/>
  </r>
  <r>
    <m/>
    <x v="1"/>
    <x v="23"/>
    <x v="23"/>
    <m/>
    <m/>
    <m/>
    <x v="1"/>
    <m/>
    <m/>
    <m/>
    <m/>
    <m/>
    <x v="0"/>
  </r>
  <r>
    <d v="2021-03-04T00:00:00"/>
    <x v="3"/>
    <x v="0"/>
    <x v="0"/>
    <n v="20000"/>
    <n v="20000"/>
    <n v="0"/>
    <x v="168"/>
    <s v="Cali"/>
    <m/>
    <m/>
    <m/>
    <m/>
    <x v="0"/>
  </r>
  <r>
    <d v="2021-03-04T00:00:00"/>
    <x v="3"/>
    <x v="26"/>
    <x v="26"/>
    <n v="-20000"/>
    <n v="0"/>
    <n v="20000"/>
    <x v="168"/>
    <s v="Cali"/>
    <m/>
    <m/>
    <m/>
    <m/>
    <x v="0"/>
  </r>
  <r>
    <m/>
    <x v="1"/>
    <x v="23"/>
    <x v="23"/>
    <m/>
    <m/>
    <m/>
    <x v="1"/>
    <m/>
    <m/>
    <m/>
    <m/>
    <m/>
    <x v="0"/>
  </r>
  <r>
    <d v="2021-03-04T00:00:00"/>
    <x v="3"/>
    <x v="0"/>
    <x v="0"/>
    <n v="150000"/>
    <n v="150000"/>
    <n v="0"/>
    <x v="169"/>
    <s v="Cali"/>
    <m/>
    <m/>
    <m/>
    <m/>
    <x v="0"/>
  </r>
  <r>
    <d v="2021-03-04T00:00:00"/>
    <x v="3"/>
    <x v="25"/>
    <x v="25"/>
    <n v="-150000"/>
    <n v="0"/>
    <n v="150000"/>
    <x v="169"/>
    <s v="Cali"/>
    <m/>
    <m/>
    <m/>
    <m/>
    <x v="0"/>
  </r>
  <r>
    <m/>
    <x v="1"/>
    <x v="23"/>
    <x v="23"/>
    <m/>
    <m/>
    <m/>
    <x v="1"/>
    <m/>
    <m/>
    <m/>
    <m/>
    <m/>
    <x v="0"/>
  </r>
  <r>
    <d v="2021-03-04T00:00:00"/>
    <x v="3"/>
    <x v="0"/>
    <x v="0"/>
    <n v="70000"/>
    <n v="70000"/>
    <n v="0"/>
    <x v="37"/>
    <s v="Cali"/>
    <m/>
    <m/>
    <m/>
    <m/>
    <x v="0"/>
  </r>
  <r>
    <d v="2021-03-04T00:00:00"/>
    <x v="3"/>
    <x v="25"/>
    <x v="25"/>
    <n v="-70000"/>
    <n v="0"/>
    <n v="70000"/>
    <x v="37"/>
    <s v="Cali"/>
    <m/>
    <m/>
    <m/>
    <m/>
    <x v="0"/>
  </r>
  <r>
    <m/>
    <x v="1"/>
    <x v="23"/>
    <x v="23"/>
    <m/>
    <m/>
    <m/>
    <x v="1"/>
    <m/>
    <m/>
    <m/>
    <m/>
    <m/>
    <x v="0"/>
  </r>
  <r>
    <d v="2021-03-04T00:00:00"/>
    <x v="3"/>
    <x v="0"/>
    <x v="0"/>
    <n v="25000"/>
    <n v="25000"/>
    <n v="0"/>
    <x v="149"/>
    <s v="Cali"/>
    <m/>
    <m/>
    <m/>
    <m/>
    <x v="0"/>
  </r>
  <r>
    <d v="2021-03-04T00:00:00"/>
    <x v="3"/>
    <x v="27"/>
    <x v="27"/>
    <n v="-25000"/>
    <n v="0"/>
    <n v="25000"/>
    <x v="149"/>
    <s v="Cali"/>
    <m/>
    <m/>
    <m/>
    <m/>
    <x v="0"/>
  </r>
  <r>
    <m/>
    <x v="1"/>
    <x v="23"/>
    <x v="23"/>
    <m/>
    <m/>
    <m/>
    <x v="1"/>
    <m/>
    <m/>
    <m/>
    <m/>
    <m/>
    <x v="0"/>
  </r>
  <r>
    <d v="2021-03-04T00:00:00"/>
    <x v="3"/>
    <x v="0"/>
    <x v="0"/>
    <n v="20000"/>
    <n v="20000"/>
    <n v="0"/>
    <x v="151"/>
    <s v="Cali"/>
    <m/>
    <m/>
    <m/>
    <m/>
    <x v="0"/>
  </r>
  <r>
    <d v="2021-03-04T00:00:00"/>
    <x v="3"/>
    <x v="25"/>
    <x v="25"/>
    <n v="-20000"/>
    <n v="0"/>
    <n v="20000"/>
    <x v="151"/>
    <s v="Cali"/>
    <m/>
    <m/>
    <m/>
    <m/>
    <x v="0"/>
  </r>
  <r>
    <m/>
    <x v="1"/>
    <x v="23"/>
    <x v="23"/>
    <m/>
    <m/>
    <m/>
    <x v="1"/>
    <m/>
    <m/>
    <m/>
    <m/>
    <m/>
    <x v="0"/>
  </r>
  <r>
    <d v="2021-03-05T00:00:00"/>
    <x v="3"/>
    <x v="50"/>
    <x v="50"/>
    <n v="100000"/>
    <n v="100000"/>
    <n v="0"/>
    <x v="249"/>
    <s v="Cali"/>
    <m/>
    <m/>
    <m/>
    <m/>
    <x v="0"/>
  </r>
  <r>
    <d v="2021-03-05T00:00:00"/>
    <x v="3"/>
    <x v="0"/>
    <x v="0"/>
    <n v="-100000"/>
    <n v="0"/>
    <n v="100000"/>
    <x v="249"/>
    <s v="Cali"/>
    <m/>
    <m/>
    <m/>
    <m/>
    <x v="0"/>
  </r>
  <r>
    <m/>
    <x v="1"/>
    <x v="23"/>
    <x v="23"/>
    <m/>
    <m/>
    <m/>
    <x v="1"/>
    <m/>
    <m/>
    <m/>
    <m/>
    <m/>
    <x v="0"/>
  </r>
  <r>
    <d v="2021-03-05T00:00:00"/>
    <x v="3"/>
    <x v="16"/>
    <x v="16"/>
    <n v="57240"/>
    <n v="57240"/>
    <n v="0"/>
    <x v="250"/>
    <s v="Cali"/>
    <m/>
    <m/>
    <m/>
    <m/>
    <x v="0"/>
  </r>
  <r>
    <d v="2021-03-05T00:00:00"/>
    <x v="3"/>
    <x v="17"/>
    <x v="17"/>
    <n v="-6583"/>
    <n v="0"/>
    <n v="6583"/>
    <x v="250"/>
    <s v="Cali"/>
    <m/>
    <m/>
    <m/>
    <m/>
    <x v="0"/>
  </r>
  <r>
    <d v="2021-03-05T00:00:00"/>
    <x v="3"/>
    <x v="0"/>
    <x v="0"/>
    <n v="-50657"/>
    <n v="0"/>
    <n v="50657"/>
    <x v="250"/>
    <s v="Cali"/>
    <m/>
    <m/>
    <m/>
    <m/>
    <x v="0"/>
  </r>
  <r>
    <m/>
    <x v="1"/>
    <x v="23"/>
    <x v="23"/>
    <m/>
    <m/>
    <m/>
    <x v="1"/>
    <m/>
    <m/>
    <m/>
    <m/>
    <m/>
    <x v="0"/>
  </r>
  <r>
    <d v="2021-03-05T00:00:00"/>
    <x v="3"/>
    <x v="0"/>
    <x v="0"/>
    <n v="120000"/>
    <n v="120000"/>
    <n v="0"/>
    <x v="141"/>
    <s v="Cali"/>
    <m/>
    <m/>
    <m/>
    <m/>
    <x v="0"/>
  </r>
  <r>
    <d v="2021-03-05T00:00:00"/>
    <x v="3"/>
    <x v="25"/>
    <x v="25"/>
    <n v="-120000"/>
    <n v="0"/>
    <n v="120000"/>
    <x v="141"/>
    <s v="Cali"/>
    <m/>
    <m/>
    <m/>
    <m/>
    <x v="0"/>
  </r>
  <r>
    <m/>
    <x v="1"/>
    <x v="23"/>
    <x v="23"/>
    <m/>
    <m/>
    <m/>
    <x v="1"/>
    <m/>
    <m/>
    <m/>
    <m/>
    <m/>
    <x v="0"/>
  </r>
  <r>
    <d v="2021-03-05T00:00:00"/>
    <x v="3"/>
    <x v="0"/>
    <x v="0"/>
    <n v="150000"/>
    <n v="150000"/>
    <n v="0"/>
    <x v="251"/>
    <s v="Cali"/>
    <m/>
    <m/>
    <m/>
    <m/>
    <x v="0"/>
  </r>
  <r>
    <d v="2021-03-05T00:00:00"/>
    <x v="3"/>
    <x v="27"/>
    <x v="27"/>
    <n v="-150000"/>
    <n v="0"/>
    <n v="150000"/>
    <x v="251"/>
    <s v="Cali"/>
    <m/>
    <m/>
    <m/>
    <m/>
    <x v="0"/>
  </r>
  <r>
    <m/>
    <x v="1"/>
    <x v="23"/>
    <x v="23"/>
    <m/>
    <m/>
    <m/>
    <x v="1"/>
    <m/>
    <m/>
    <m/>
    <m/>
    <m/>
    <x v="0"/>
  </r>
  <r>
    <d v="2021-03-05T00:00:00"/>
    <x v="3"/>
    <x v="0"/>
    <x v="0"/>
    <n v="50000"/>
    <n v="50000"/>
    <n v="0"/>
    <x v="173"/>
    <s v="Cali"/>
    <m/>
    <m/>
    <m/>
    <m/>
    <x v="0"/>
  </r>
  <r>
    <d v="2021-03-05T00:00:00"/>
    <x v="3"/>
    <x v="26"/>
    <x v="26"/>
    <n v="-50000"/>
    <n v="0"/>
    <n v="50000"/>
    <x v="173"/>
    <s v="Cali"/>
    <m/>
    <m/>
    <m/>
    <m/>
    <x v="0"/>
  </r>
  <r>
    <m/>
    <x v="1"/>
    <x v="23"/>
    <x v="23"/>
    <m/>
    <m/>
    <m/>
    <x v="1"/>
    <m/>
    <m/>
    <m/>
    <m/>
    <m/>
    <x v="0"/>
  </r>
  <r>
    <d v="2021-03-05T00:00:00"/>
    <x v="3"/>
    <x v="0"/>
    <x v="0"/>
    <n v="100000"/>
    <n v="100000"/>
    <n v="0"/>
    <x v="155"/>
    <s v="Cali"/>
    <m/>
    <m/>
    <m/>
    <m/>
    <x v="0"/>
  </r>
  <r>
    <d v="2021-03-05T00:00:00"/>
    <x v="3"/>
    <x v="27"/>
    <x v="27"/>
    <n v="-100000"/>
    <n v="0"/>
    <n v="100000"/>
    <x v="155"/>
    <s v="Cali"/>
    <m/>
    <m/>
    <m/>
    <m/>
    <x v="0"/>
  </r>
  <r>
    <m/>
    <x v="1"/>
    <x v="23"/>
    <x v="23"/>
    <m/>
    <m/>
    <m/>
    <x v="1"/>
    <m/>
    <m/>
    <m/>
    <m/>
    <m/>
    <x v="0"/>
  </r>
  <r>
    <d v="2021-03-05T00:00:00"/>
    <x v="3"/>
    <x v="0"/>
    <x v="0"/>
    <n v="24000"/>
    <n v="24000"/>
    <n v="0"/>
    <x v="243"/>
    <s v="Cali"/>
    <m/>
    <m/>
    <m/>
    <m/>
    <x v="0"/>
  </r>
  <r>
    <d v="2021-03-05T00:00:00"/>
    <x v="3"/>
    <x v="4"/>
    <x v="4"/>
    <n v="-24000"/>
    <n v="0"/>
    <n v="24000"/>
    <x v="243"/>
    <s v="Cali"/>
    <m/>
    <m/>
    <m/>
    <m/>
    <x v="0"/>
  </r>
  <r>
    <m/>
    <x v="1"/>
    <x v="23"/>
    <x v="23"/>
    <m/>
    <m/>
    <m/>
    <x v="1"/>
    <m/>
    <m/>
    <m/>
    <m/>
    <m/>
    <x v="0"/>
  </r>
  <r>
    <d v="2021-03-08T00:00:00"/>
    <x v="3"/>
    <x v="0"/>
    <x v="0"/>
    <n v="40000"/>
    <n v="40000"/>
    <n v="0"/>
    <x v="178"/>
    <s v="Cali"/>
    <m/>
    <m/>
    <m/>
    <m/>
    <x v="0"/>
  </r>
  <r>
    <d v="2021-03-08T00:00:00"/>
    <x v="3"/>
    <x v="25"/>
    <x v="25"/>
    <n v="-40000"/>
    <n v="0"/>
    <n v="40000"/>
    <x v="178"/>
    <s v="Cali"/>
    <m/>
    <m/>
    <m/>
    <m/>
    <x v="0"/>
  </r>
  <r>
    <m/>
    <x v="1"/>
    <x v="23"/>
    <x v="23"/>
    <m/>
    <m/>
    <m/>
    <x v="1"/>
    <m/>
    <m/>
    <m/>
    <m/>
    <m/>
    <x v="0"/>
  </r>
  <r>
    <d v="2021-03-08T00:00:00"/>
    <x v="3"/>
    <x v="0"/>
    <x v="0"/>
    <n v="40000"/>
    <n v="40000"/>
    <n v="0"/>
    <x v="176"/>
    <s v="Cali"/>
    <m/>
    <m/>
    <m/>
    <m/>
    <x v="0"/>
  </r>
  <r>
    <d v="2021-03-08T00:00:00"/>
    <x v="3"/>
    <x v="25"/>
    <x v="25"/>
    <n v="-40000"/>
    <n v="0"/>
    <n v="40000"/>
    <x v="176"/>
    <s v="Cali"/>
    <m/>
    <m/>
    <m/>
    <m/>
    <x v="0"/>
  </r>
  <r>
    <m/>
    <x v="1"/>
    <x v="23"/>
    <x v="23"/>
    <m/>
    <m/>
    <m/>
    <x v="1"/>
    <m/>
    <m/>
    <m/>
    <m/>
    <m/>
    <x v="0"/>
  </r>
  <r>
    <d v="2021-03-08T00:00:00"/>
    <x v="3"/>
    <x v="0"/>
    <x v="0"/>
    <n v="15000"/>
    <n v="15000"/>
    <n v="0"/>
    <x v="252"/>
    <s v="Cali"/>
    <m/>
    <m/>
    <m/>
    <m/>
    <x v="0"/>
  </r>
  <r>
    <d v="2021-03-08T00:00:00"/>
    <x v="3"/>
    <x v="26"/>
    <x v="26"/>
    <n v="-15000"/>
    <n v="0"/>
    <n v="15000"/>
    <x v="252"/>
    <s v="Cali"/>
    <m/>
    <m/>
    <m/>
    <m/>
    <x v="0"/>
  </r>
  <r>
    <m/>
    <x v="1"/>
    <x v="23"/>
    <x v="23"/>
    <m/>
    <m/>
    <m/>
    <x v="1"/>
    <m/>
    <m/>
    <m/>
    <m/>
    <m/>
    <x v="0"/>
  </r>
  <r>
    <d v="2021-03-08T00:00:00"/>
    <x v="3"/>
    <x v="0"/>
    <x v="0"/>
    <n v="10000"/>
    <n v="10000"/>
    <n v="0"/>
    <x v="140"/>
    <s v="Cali"/>
    <m/>
    <m/>
    <m/>
    <m/>
    <x v="0"/>
  </r>
  <r>
    <d v="2021-03-08T00:00:00"/>
    <x v="3"/>
    <x v="19"/>
    <x v="19"/>
    <n v="-10000"/>
    <n v="0"/>
    <n v="10000"/>
    <x v="140"/>
    <s v="Cali"/>
    <m/>
    <m/>
    <m/>
    <m/>
    <x v="0"/>
  </r>
  <r>
    <m/>
    <x v="1"/>
    <x v="23"/>
    <x v="23"/>
    <m/>
    <m/>
    <m/>
    <x v="1"/>
    <m/>
    <m/>
    <m/>
    <m/>
    <m/>
    <x v="0"/>
  </r>
  <r>
    <d v="2021-03-08T00:00:00"/>
    <x v="3"/>
    <x v="0"/>
    <x v="0"/>
    <n v="2000"/>
    <n v="2000"/>
    <n v="0"/>
    <x v="177"/>
    <s v="Cali"/>
    <m/>
    <m/>
    <m/>
    <m/>
    <x v="0"/>
  </r>
  <r>
    <d v="2021-03-08T00:00:00"/>
    <x v="3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3-08T00:00:00"/>
    <x v="3"/>
    <x v="0"/>
    <x v="0"/>
    <n v="10000"/>
    <n v="10000"/>
    <n v="0"/>
    <x v="166"/>
    <s v="Cali"/>
    <m/>
    <m/>
    <m/>
    <m/>
    <x v="0"/>
  </r>
  <r>
    <d v="2021-03-08T00:00:00"/>
    <x v="3"/>
    <x v="25"/>
    <x v="25"/>
    <n v="-10000"/>
    <n v="0"/>
    <n v="10000"/>
    <x v="166"/>
    <s v="Cali"/>
    <m/>
    <m/>
    <m/>
    <m/>
    <x v="0"/>
  </r>
  <r>
    <m/>
    <x v="1"/>
    <x v="23"/>
    <x v="23"/>
    <m/>
    <m/>
    <m/>
    <x v="1"/>
    <m/>
    <m/>
    <m/>
    <m/>
    <m/>
    <x v="0"/>
  </r>
  <r>
    <d v="2021-03-08T00:00:00"/>
    <x v="3"/>
    <x v="0"/>
    <x v="0"/>
    <n v="10000"/>
    <n v="10000"/>
    <n v="0"/>
    <x v="167"/>
    <s v="Cali"/>
    <m/>
    <m/>
    <m/>
    <m/>
    <x v="0"/>
  </r>
  <r>
    <d v="2021-03-08T00:00:00"/>
    <x v="3"/>
    <x v="26"/>
    <x v="26"/>
    <n v="-10000"/>
    <n v="0"/>
    <n v="10000"/>
    <x v="167"/>
    <s v="Cali"/>
    <m/>
    <m/>
    <m/>
    <m/>
    <x v="0"/>
  </r>
  <r>
    <m/>
    <x v="1"/>
    <x v="23"/>
    <x v="23"/>
    <m/>
    <m/>
    <m/>
    <x v="1"/>
    <m/>
    <m/>
    <m/>
    <m/>
    <m/>
    <x v="0"/>
  </r>
  <r>
    <d v="2021-03-08T00:00:00"/>
    <x v="3"/>
    <x v="0"/>
    <x v="0"/>
    <n v="60000"/>
    <n v="60000"/>
    <n v="0"/>
    <x v="202"/>
    <s v="Cali"/>
    <m/>
    <m/>
    <m/>
    <m/>
    <x v="0"/>
  </r>
  <r>
    <d v="2021-03-08T00:00:00"/>
    <x v="3"/>
    <x v="27"/>
    <x v="27"/>
    <n v="-60000"/>
    <n v="0"/>
    <n v="60000"/>
    <x v="202"/>
    <s v="Cali"/>
    <m/>
    <m/>
    <m/>
    <m/>
    <x v="0"/>
  </r>
  <r>
    <m/>
    <x v="1"/>
    <x v="23"/>
    <x v="23"/>
    <m/>
    <m/>
    <m/>
    <x v="1"/>
    <m/>
    <m/>
    <m/>
    <m/>
    <m/>
    <x v="0"/>
  </r>
  <r>
    <d v="2021-03-08T00:00:00"/>
    <x v="3"/>
    <x v="0"/>
    <x v="0"/>
    <n v="64000"/>
    <n v="64000"/>
    <n v="0"/>
    <x v="64"/>
    <s v="Cali"/>
    <m/>
    <m/>
    <m/>
    <m/>
    <x v="0"/>
  </r>
  <r>
    <d v="2021-03-08T00:00:00"/>
    <x v="3"/>
    <x v="27"/>
    <x v="27"/>
    <n v="-64000"/>
    <n v="0"/>
    <n v="64000"/>
    <x v="64"/>
    <s v="Cali"/>
    <m/>
    <m/>
    <m/>
    <m/>
    <x v="0"/>
  </r>
  <r>
    <m/>
    <x v="1"/>
    <x v="23"/>
    <x v="23"/>
    <m/>
    <m/>
    <m/>
    <x v="1"/>
    <m/>
    <m/>
    <m/>
    <m/>
    <m/>
    <x v="0"/>
  </r>
  <r>
    <d v="2021-03-08T00:00:00"/>
    <x v="3"/>
    <x v="0"/>
    <x v="0"/>
    <n v="10000"/>
    <n v="10000"/>
    <n v="0"/>
    <x v="198"/>
    <s v="Cali"/>
    <m/>
    <m/>
    <m/>
    <m/>
    <x v="0"/>
  </r>
  <r>
    <d v="2021-03-08T00:00:00"/>
    <x v="3"/>
    <x v="27"/>
    <x v="27"/>
    <n v="-10000"/>
    <n v="0"/>
    <n v="10000"/>
    <x v="198"/>
    <s v="Cali"/>
    <m/>
    <m/>
    <m/>
    <m/>
    <x v="0"/>
  </r>
  <r>
    <m/>
    <x v="1"/>
    <x v="23"/>
    <x v="23"/>
    <m/>
    <m/>
    <m/>
    <x v="1"/>
    <m/>
    <m/>
    <m/>
    <m/>
    <m/>
    <x v="0"/>
  </r>
  <r>
    <d v="2021-03-08T00:00:00"/>
    <x v="3"/>
    <x v="0"/>
    <x v="0"/>
    <n v="1000000"/>
    <n v="1000000"/>
    <n v="0"/>
    <x v="253"/>
    <s v="Cali"/>
    <m/>
    <m/>
    <m/>
    <m/>
    <x v="0"/>
  </r>
  <r>
    <d v="2021-03-08T00:00:00"/>
    <x v="3"/>
    <x v="26"/>
    <x v="26"/>
    <n v="-1000000"/>
    <n v="0"/>
    <n v="1000000"/>
    <x v="253"/>
    <s v="Cali"/>
    <m/>
    <m/>
    <m/>
    <m/>
    <x v="0"/>
  </r>
  <r>
    <m/>
    <x v="1"/>
    <x v="23"/>
    <x v="23"/>
    <m/>
    <m/>
    <m/>
    <x v="1"/>
    <m/>
    <m/>
    <m/>
    <m/>
    <m/>
    <x v="0"/>
  </r>
  <r>
    <d v="2021-03-09T00:00:00"/>
    <x v="3"/>
    <x v="0"/>
    <x v="0"/>
    <n v="30000"/>
    <n v="30000"/>
    <n v="0"/>
    <x v="170"/>
    <s v="Cali"/>
    <m/>
    <m/>
    <m/>
    <m/>
    <x v="0"/>
  </r>
  <r>
    <d v="2021-03-09T00:00:00"/>
    <x v="3"/>
    <x v="26"/>
    <x v="26"/>
    <n v="-30000"/>
    <n v="0"/>
    <n v="30000"/>
    <x v="170"/>
    <s v="Cali"/>
    <m/>
    <m/>
    <m/>
    <m/>
    <x v="0"/>
  </r>
  <r>
    <m/>
    <x v="1"/>
    <x v="23"/>
    <x v="23"/>
    <m/>
    <m/>
    <m/>
    <x v="1"/>
    <m/>
    <m/>
    <m/>
    <m/>
    <m/>
    <x v="0"/>
  </r>
  <r>
    <d v="2021-03-09T00:00:00"/>
    <x v="3"/>
    <x v="0"/>
    <x v="0"/>
    <n v="25480"/>
    <n v="25480"/>
    <n v="0"/>
    <x v="254"/>
    <s v="Cali"/>
    <m/>
    <m/>
    <m/>
    <m/>
    <x v="0"/>
  </r>
  <r>
    <d v="2021-03-09T00:00:00"/>
    <x v="3"/>
    <x v="26"/>
    <x v="26"/>
    <n v="-25480"/>
    <n v="0"/>
    <n v="25480"/>
    <x v="254"/>
    <s v="Cali"/>
    <m/>
    <m/>
    <m/>
    <m/>
    <x v="0"/>
  </r>
  <r>
    <m/>
    <x v="1"/>
    <x v="23"/>
    <x v="23"/>
    <m/>
    <m/>
    <m/>
    <x v="1"/>
    <m/>
    <m/>
    <m/>
    <m/>
    <m/>
    <x v="0"/>
  </r>
  <r>
    <d v="2021-03-09T00:00:00"/>
    <x v="3"/>
    <x v="31"/>
    <x v="31"/>
    <n v="1742"/>
    <n v="1742"/>
    <n v="0"/>
    <x v="172"/>
    <s v="Cali"/>
    <m/>
    <m/>
    <m/>
    <m/>
    <x v="0"/>
  </r>
  <r>
    <d v="2021-03-09T00:00:00"/>
    <x v="3"/>
    <x v="0"/>
    <x v="0"/>
    <n v="-1742"/>
    <n v="0"/>
    <n v="1742"/>
    <x v="172"/>
    <s v="Cali"/>
    <m/>
    <m/>
    <m/>
    <m/>
    <x v="0"/>
  </r>
  <r>
    <m/>
    <x v="1"/>
    <x v="23"/>
    <x v="23"/>
    <m/>
    <m/>
    <m/>
    <x v="1"/>
    <m/>
    <m/>
    <m/>
    <m/>
    <m/>
    <x v="0"/>
  </r>
  <r>
    <d v="2021-03-10T00:00:00"/>
    <x v="3"/>
    <x v="0"/>
    <x v="0"/>
    <n v="150000"/>
    <n v="150000"/>
    <n v="0"/>
    <x v="192"/>
    <s v="Cali"/>
    <m/>
    <m/>
    <m/>
    <m/>
    <x v="0"/>
  </r>
  <r>
    <d v="2021-03-10T00:00:00"/>
    <x v="3"/>
    <x v="26"/>
    <x v="26"/>
    <n v="-150000"/>
    <n v="0"/>
    <n v="15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03-10T00:00:00"/>
    <x v="3"/>
    <x v="0"/>
    <x v="0"/>
    <n v="30000"/>
    <n v="30000"/>
    <n v="0"/>
    <x v="185"/>
    <s v="Cali"/>
    <m/>
    <m/>
    <m/>
    <m/>
    <x v="0"/>
  </r>
  <r>
    <d v="2021-03-10T00:00:00"/>
    <x v="3"/>
    <x v="25"/>
    <x v="25"/>
    <n v="-30000"/>
    <n v="0"/>
    <n v="30000"/>
    <x v="185"/>
    <s v="Cali"/>
    <m/>
    <m/>
    <m/>
    <m/>
    <x v="0"/>
  </r>
  <r>
    <m/>
    <x v="1"/>
    <x v="23"/>
    <x v="23"/>
    <m/>
    <m/>
    <m/>
    <x v="1"/>
    <m/>
    <m/>
    <m/>
    <m/>
    <m/>
    <x v="0"/>
  </r>
  <r>
    <d v="2021-03-10T00:00:00"/>
    <x v="3"/>
    <x v="0"/>
    <x v="0"/>
    <n v="17000"/>
    <n v="17000"/>
    <n v="0"/>
    <x v="186"/>
    <s v="Cali"/>
    <m/>
    <m/>
    <m/>
    <m/>
    <x v="0"/>
  </r>
  <r>
    <d v="2021-03-10T00:00:00"/>
    <x v="3"/>
    <x v="25"/>
    <x v="25"/>
    <n v="-17000"/>
    <n v="0"/>
    <n v="17000"/>
    <x v="186"/>
    <s v="Cali"/>
    <m/>
    <m/>
    <m/>
    <m/>
    <x v="0"/>
  </r>
  <r>
    <m/>
    <x v="1"/>
    <x v="23"/>
    <x v="23"/>
    <m/>
    <m/>
    <m/>
    <x v="1"/>
    <m/>
    <m/>
    <m/>
    <m/>
    <m/>
    <x v="0"/>
  </r>
  <r>
    <d v="2021-03-10T00:00:00"/>
    <x v="3"/>
    <x v="0"/>
    <x v="0"/>
    <n v="9285861"/>
    <n v="9285861"/>
    <n v="0"/>
    <x v="255"/>
    <s v="Cali"/>
    <m/>
    <m/>
    <m/>
    <m/>
    <x v="0"/>
  </r>
  <r>
    <d v="2021-03-10T00:00:00"/>
    <x v="3"/>
    <x v="5"/>
    <x v="5"/>
    <n v="-9285861"/>
    <n v="0"/>
    <n v="9285861"/>
    <x v="255"/>
    <s v="Cali"/>
    <m/>
    <m/>
    <m/>
    <m/>
    <x v="0"/>
  </r>
  <r>
    <m/>
    <x v="1"/>
    <x v="23"/>
    <x v="23"/>
    <m/>
    <m/>
    <m/>
    <x v="1"/>
    <m/>
    <m/>
    <m/>
    <m/>
    <m/>
    <x v="0"/>
  </r>
  <r>
    <d v="2021-03-11T00:00:00"/>
    <x v="3"/>
    <x v="0"/>
    <x v="0"/>
    <n v="30000"/>
    <n v="30000"/>
    <n v="0"/>
    <x v="256"/>
    <s v="Cali"/>
    <m/>
    <m/>
    <m/>
    <m/>
    <x v="0"/>
  </r>
  <r>
    <d v="2021-03-11T00:00:00"/>
    <x v="3"/>
    <x v="25"/>
    <x v="25"/>
    <n v="-30000"/>
    <n v="0"/>
    <n v="30000"/>
    <x v="256"/>
    <s v="Cali"/>
    <m/>
    <m/>
    <m/>
    <m/>
    <x v="0"/>
  </r>
  <r>
    <m/>
    <x v="1"/>
    <x v="23"/>
    <x v="23"/>
    <m/>
    <m/>
    <m/>
    <x v="1"/>
    <m/>
    <m/>
    <m/>
    <m/>
    <m/>
    <x v="0"/>
  </r>
  <r>
    <d v="2021-03-11T00:00:00"/>
    <x v="3"/>
    <x v="0"/>
    <x v="0"/>
    <n v="10000"/>
    <n v="10000"/>
    <n v="0"/>
    <x v="191"/>
    <s v="Cali"/>
    <m/>
    <m/>
    <m/>
    <m/>
    <x v="0"/>
  </r>
  <r>
    <d v="2021-03-11T00:00:00"/>
    <x v="3"/>
    <x v="27"/>
    <x v="27"/>
    <n v="-10000"/>
    <n v="0"/>
    <n v="10000"/>
    <x v="191"/>
    <s v="Cali"/>
    <m/>
    <m/>
    <m/>
    <m/>
    <x v="0"/>
  </r>
  <r>
    <m/>
    <x v="1"/>
    <x v="23"/>
    <x v="23"/>
    <m/>
    <m/>
    <m/>
    <x v="1"/>
    <m/>
    <m/>
    <m/>
    <m/>
    <m/>
    <x v="0"/>
  </r>
  <r>
    <d v="2021-03-11T00:00:00"/>
    <x v="3"/>
    <x v="0"/>
    <x v="0"/>
    <n v="10000"/>
    <n v="10000"/>
    <n v="0"/>
    <x v="188"/>
    <s v="Cali"/>
    <m/>
    <m/>
    <m/>
    <m/>
    <x v="0"/>
  </r>
  <r>
    <d v="2021-03-11T00:00:00"/>
    <x v="3"/>
    <x v="29"/>
    <x v="29"/>
    <n v="-10000"/>
    <n v="0"/>
    <n v="10000"/>
    <x v="188"/>
    <s v="Cali"/>
    <m/>
    <m/>
    <m/>
    <m/>
    <x v="0"/>
  </r>
  <r>
    <m/>
    <x v="1"/>
    <x v="23"/>
    <x v="23"/>
    <m/>
    <m/>
    <m/>
    <x v="1"/>
    <m/>
    <m/>
    <m/>
    <m/>
    <m/>
    <x v="0"/>
  </r>
  <r>
    <d v="2021-03-12T00:00:00"/>
    <x v="3"/>
    <x v="0"/>
    <x v="0"/>
    <n v="70000"/>
    <n v="70000"/>
    <n v="0"/>
    <x v="257"/>
    <s v="Cali"/>
    <m/>
    <m/>
    <m/>
    <m/>
    <x v="0"/>
  </r>
  <r>
    <d v="2021-03-12T00:00:00"/>
    <x v="3"/>
    <x v="26"/>
    <x v="26"/>
    <n v="-70000"/>
    <n v="0"/>
    <n v="70000"/>
    <x v="257"/>
    <s v="Cali"/>
    <m/>
    <m/>
    <m/>
    <m/>
    <x v="0"/>
  </r>
  <r>
    <m/>
    <x v="1"/>
    <x v="23"/>
    <x v="23"/>
    <m/>
    <m/>
    <m/>
    <x v="1"/>
    <m/>
    <m/>
    <m/>
    <m/>
    <m/>
    <x v="0"/>
  </r>
  <r>
    <d v="2021-03-12T00:00:00"/>
    <x v="3"/>
    <x v="17"/>
    <x v="17"/>
    <n v="51262"/>
    <n v="51262"/>
    <n v="0"/>
    <x v="258"/>
    <s v="Cali"/>
    <m/>
    <m/>
    <m/>
    <m/>
    <x v="0"/>
  </r>
  <r>
    <d v="2021-03-12T00:00:00"/>
    <x v="3"/>
    <x v="13"/>
    <x v="13"/>
    <n v="-51262"/>
    <n v="0"/>
    <n v="51262"/>
    <x v="258"/>
    <s v="Cali"/>
    <m/>
    <m/>
    <m/>
    <m/>
    <x v="0"/>
  </r>
  <r>
    <m/>
    <x v="1"/>
    <x v="23"/>
    <x v="23"/>
    <m/>
    <m/>
    <m/>
    <x v="1"/>
    <m/>
    <m/>
    <m/>
    <m/>
    <m/>
    <x v="0"/>
  </r>
  <r>
    <d v="2021-03-12T00:00:00"/>
    <x v="3"/>
    <x v="1"/>
    <x v="1"/>
    <n v="5000000"/>
    <n v="5000000"/>
    <n v="0"/>
    <x v="259"/>
    <s v="Cali"/>
    <m/>
    <m/>
    <m/>
    <m/>
    <x v="0"/>
  </r>
  <r>
    <d v="2021-03-12T00:00:00"/>
    <x v="3"/>
    <x v="0"/>
    <x v="0"/>
    <n v="-5000000"/>
    <n v="0"/>
    <n v="5000000"/>
    <x v="259"/>
    <s v="Cali"/>
    <m/>
    <m/>
    <m/>
    <m/>
    <x v="0"/>
  </r>
  <r>
    <m/>
    <x v="1"/>
    <x v="23"/>
    <x v="23"/>
    <m/>
    <m/>
    <m/>
    <x v="1"/>
    <m/>
    <m/>
    <m/>
    <m/>
    <m/>
    <x v="0"/>
  </r>
  <r>
    <d v="2021-03-12T00:00:00"/>
    <x v="3"/>
    <x v="1"/>
    <x v="1"/>
    <n v="5000000"/>
    <n v="5000000"/>
    <n v="0"/>
    <x v="259"/>
    <s v="Cali"/>
    <m/>
    <m/>
    <m/>
    <m/>
    <x v="0"/>
  </r>
  <r>
    <d v="2021-03-12T00:00:00"/>
    <x v="3"/>
    <x v="0"/>
    <x v="0"/>
    <n v="-5000000"/>
    <n v="0"/>
    <n v="5000000"/>
    <x v="259"/>
    <s v="Cali"/>
    <m/>
    <m/>
    <m/>
    <m/>
    <x v="0"/>
  </r>
  <r>
    <m/>
    <x v="1"/>
    <x v="23"/>
    <x v="23"/>
    <m/>
    <m/>
    <m/>
    <x v="1"/>
    <m/>
    <m/>
    <m/>
    <m/>
    <m/>
    <x v="0"/>
  </r>
  <r>
    <d v="2021-03-12T00:00:00"/>
    <x v="3"/>
    <x v="1"/>
    <x v="1"/>
    <n v="5000000"/>
    <n v="5000000"/>
    <n v="0"/>
    <x v="259"/>
    <s v="Cali"/>
    <m/>
    <m/>
    <m/>
    <m/>
    <x v="0"/>
  </r>
  <r>
    <d v="2021-03-12T00:00:00"/>
    <x v="3"/>
    <x v="0"/>
    <x v="0"/>
    <n v="-5000000"/>
    <n v="0"/>
    <n v="5000000"/>
    <x v="259"/>
    <s v="Cali"/>
    <m/>
    <m/>
    <m/>
    <m/>
    <x v="0"/>
  </r>
  <r>
    <m/>
    <x v="1"/>
    <x v="23"/>
    <x v="23"/>
    <m/>
    <m/>
    <m/>
    <x v="1"/>
    <m/>
    <m/>
    <m/>
    <m/>
    <m/>
    <x v="0"/>
  </r>
  <r>
    <d v="2021-03-12T00:00:00"/>
    <x v="3"/>
    <x v="1"/>
    <x v="1"/>
    <n v="5000000"/>
    <n v="5000000"/>
    <n v="0"/>
    <x v="259"/>
    <s v="Cali"/>
    <m/>
    <m/>
    <m/>
    <m/>
    <x v="0"/>
  </r>
  <r>
    <d v="2021-03-12T00:00:00"/>
    <x v="3"/>
    <x v="0"/>
    <x v="0"/>
    <n v="-5000000"/>
    <n v="0"/>
    <n v="5000000"/>
    <x v="259"/>
    <s v="Cali"/>
    <m/>
    <m/>
    <m/>
    <m/>
    <x v="0"/>
  </r>
  <r>
    <m/>
    <x v="1"/>
    <x v="23"/>
    <x v="23"/>
    <m/>
    <m/>
    <m/>
    <x v="1"/>
    <m/>
    <m/>
    <m/>
    <m/>
    <m/>
    <x v="0"/>
  </r>
  <r>
    <d v="2021-03-12T00:00:00"/>
    <x v="3"/>
    <x v="1"/>
    <x v="1"/>
    <n v="5000000"/>
    <n v="5000000"/>
    <n v="0"/>
    <x v="259"/>
    <s v="Cali"/>
    <m/>
    <m/>
    <m/>
    <m/>
    <x v="0"/>
  </r>
  <r>
    <d v="2021-03-12T00:00:00"/>
    <x v="3"/>
    <x v="0"/>
    <x v="0"/>
    <n v="-5000000"/>
    <n v="0"/>
    <n v="5000000"/>
    <x v="259"/>
    <s v="Cali"/>
    <m/>
    <m/>
    <m/>
    <m/>
    <x v="0"/>
  </r>
  <r>
    <m/>
    <x v="1"/>
    <x v="23"/>
    <x v="23"/>
    <m/>
    <m/>
    <m/>
    <x v="1"/>
    <m/>
    <m/>
    <m/>
    <m/>
    <m/>
    <x v="0"/>
  </r>
  <r>
    <d v="2021-03-12T00:00:00"/>
    <x v="3"/>
    <x v="31"/>
    <x v="31"/>
    <n v="200000"/>
    <n v="200000"/>
    <n v="0"/>
    <x v="260"/>
    <s v="Cali"/>
    <m/>
    <m/>
    <m/>
    <m/>
    <x v="0"/>
  </r>
  <r>
    <d v="2021-03-12T00:00:00"/>
    <x v="3"/>
    <x v="0"/>
    <x v="0"/>
    <n v="-200000"/>
    <n v="0"/>
    <n v="200000"/>
    <x v="260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0"/>
    <x v="0"/>
    <n v="7000"/>
    <n v="7000"/>
    <n v="0"/>
    <x v="261"/>
    <s v="Cali"/>
    <m/>
    <m/>
    <m/>
    <m/>
    <x v="0"/>
  </r>
  <r>
    <d v="2021-03-15T00:00:00"/>
    <x v="3"/>
    <x v="25"/>
    <x v="25"/>
    <n v="-7000"/>
    <n v="0"/>
    <n v="7000"/>
    <x v="261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0"/>
    <x v="0"/>
    <n v="200000"/>
    <n v="200000"/>
    <n v="0"/>
    <x v="262"/>
    <s v="Cali"/>
    <m/>
    <m/>
    <m/>
    <m/>
    <x v="0"/>
  </r>
  <r>
    <d v="2021-03-15T00:00:00"/>
    <x v="3"/>
    <x v="26"/>
    <x v="26"/>
    <n v="-200000"/>
    <n v="0"/>
    <n v="200000"/>
    <x v="262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0"/>
    <x v="0"/>
    <n v="30000"/>
    <n v="30000"/>
    <n v="0"/>
    <x v="139"/>
    <s v="Cali"/>
    <m/>
    <m/>
    <m/>
    <m/>
    <x v="0"/>
  </r>
  <r>
    <d v="2021-03-15T00:00:00"/>
    <x v="3"/>
    <x v="25"/>
    <x v="25"/>
    <n v="-30000"/>
    <n v="0"/>
    <n v="30000"/>
    <x v="139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0"/>
    <x v="0"/>
    <n v="10000"/>
    <n v="10000"/>
    <n v="0"/>
    <x v="140"/>
    <s v="Cali"/>
    <m/>
    <m/>
    <m/>
    <m/>
    <x v="0"/>
  </r>
  <r>
    <d v="2021-03-15T00:00:00"/>
    <x v="3"/>
    <x v="19"/>
    <x v="19"/>
    <n v="-10000"/>
    <n v="0"/>
    <n v="10000"/>
    <x v="140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0"/>
    <x v="0"/>
    <n v="350000"/>
    <n v="350000"/>
    <n v="0"/>
    <x v="263"/>
    <s v="Cali"/>
    <m/>
    <m/>
    <m/>
    <m/>
    <x v="0"/>
  </r>
  <r>
    <d v="2021-03-15T00:00:00"/>
    <x v="3"/>
    <x v="26"/>
    <x v="26"/>
    <n v="-350000"/>
    <n v="0"/>
    <n v="350000"/>
    <x v="263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0"/>
    <x v="0"/>
    <n v="20000"/>
    <n v="20000"/>
    <n v="0"/>
    <x v="193"/>
    <s v="Cali"/>
    <m/>
    <m/>
    <m/>
    <m/>
    <x v="0"/>
  </r>
  <r>
    <d v="2021-03-15T00:00:00"/>
    <x v="3"/>
    <x v="26"/>
    <x v="26"/>
    <n v="-20000"/>
    <n v="0"/>
    <n v="20000"/>
    <x v="193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0"/>
    <x v="0"/>
    <n v="25000"/>
    <n v="25000"/>
    <n v="0"/>
    <x v="194"/>
    <s v="Cali"/>
    <m/>
    <m/>
    <m/>
    <m/>
    <x v="0"/>
  </r>
  <r>
    <d v="2021-03-15T00:00:00"/>
    <x v="3"/>
    <x v="25"/>
    <x v="25"/>
    <n v="-25000"/>
    <n v="0"/>
    <n v="25000"/>
    <x v="194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0"/>
    <x v="0"/>
    <n v="5000"/>
    <n v="5000"/>
    <n v="0"/>
    <x v="264"/>
    <s v="Cali"/>
    <m/>
    <m/>
    <m/>
    <m/>
    <x v="0"/>
  </r>
  <r>
    <d v="2021-03-15T00:00:00"/>
    <x v="3"/>
    <x v="19"/>
    <x v="19"/>
    <n v="-5000"/>
    <n v="0"/>
    <n v="5000"/>
    <x v="264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0"/>
    <x v="0"/>
    <n v="50000"/>
    <n v="50000"/>
    <n v="0"/>
    <x v="195"/>
    <s v="Cali"/>
    <m/>
    <m/>
    <m/>
    <m/>
    <x v="0"/>
  </r>
  <r>
    <d v="2021-03-15T00:00:00"/>
    <x v="3"/>
    <x v="25"/>
    <x v="25"/>
    <n v="-50000"/>
    <n v="0"/>
    <n v="50000"/>
    <x v="195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0"/>
    <x v="0"/>
    <n v="20000"/>
    <n v="20000"/>
    <n v="0"/>
    <x v="196"/>
    <s v="Cali"/>
    <m/>
    <m/>
    <m/>
    <m/>
    <x v="0"/>
  </r>
  <r>
    <d v="2021-03-15T00:00:00"/>
    <x v="3"/>
    <x v="25"/>
    <x v="25"/>
    <n v="-20000"/>
    <n v="0"/>
    <n v="20000"/>
    <x v="196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0"/>
    <x v="0"/>
    <n v="290000"/>
    <n v="290000"/>
    <n v="0"/>
    <x v="65"/>
    <s v="Cali"/>
    <m/>
    <m/>
    <m/>
    <m/>
    <x v="0"/>
  </r>
  <r>
    <d v="2021-03-15T00:00:00"/>
    <x v="3"/>
    <x v="29"/>
    <x v="29"/>
    <n v="-290000"/>
    <n v="0"/>
    <n v="29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0"/>
    <x v="0"/>
    <n v="42000"/>
    <n v="42000"/>
    <n v="0"/>
    <x v="65"/>
    <s v="Cali"/>
    <m/>
    <m/>
    <m/>
    <m/>
    <x v="0"/>
  </r>
  <r>
    <d v="2021-03-15T00:00:00"/>
    <x v="3"/>
    <x v="29"/>
    <x v="29"/>
    <n v="-42000"/>
    <n v="0"/>
    <n v="42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0"/>
    <x v="0"/>
    <n v="115000"/>
    <n v="115000"/>
    <n v="0"/>
    <x v="65"/>
    <s v="Cali"/>
    <m/>
    <m/>
    <m/>
    <m/>
    <x v="0"/>
  </r>
  <r>
    <d v="2021-03-15T00:00:00"/>
    <x v="3"/>
    <x v="29"/>
    <x v="29"/>
    <n v="-115000"/>
    <n v="0"/>
    <n v="11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3"/>
    <x v="3"/>
    <n v="60045000"/>
    <n v="60045000"/>
    <n v="0"/>
    <x v="265"/>
    <s v="Cali"/>
    <m/>
    <m/>
    <m/>
    <m/>
    <x v="0"/>
  </r>
  <r>
    <d v="2021-03-15T00:00:00"/>
    <x v="3"/>
    <x v="2"/>
    <x v="2"/>
    <n v="-60045000"/>
    <n v="0"/>
    <n v="60045000"/>
    <x v="265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3"/>
    <x v="3"/>
    <n v="74051800"/>
    <n v="74051800"/>
    <n v="0"/>
    <x v="265"/>
    <s v="Cali"/>
    <m/>
    <m/>
    <m/>
    <m/>
    <x v="0"/>
  </r>
  <r>
    <d v="2021-03-15T00:00:00"/>
    <x v="3"/>
    <x v="2"/>
    <x v="2"/>
    <n v="-74051800"/>
    <n v="0"/>
    <n v="74051800"/>
    <x v="265"/>
    <s v="Cali"/>
    <m/>
    <m/>
    <m/>
    <m/>
    <x v="0"/>
  </r>
  <r>
    <m/>
    <x v="1"/>
    <x v="23"/>
    <x v="23"/>
    <m/>
    <m/>
    <m/>
    <x v="1"/>
    <m/>
    <m/>
    <m/>
    <m/>
    <m/>
    <x v="0"/>
  </r>
  <r>
    <d v="2021-03-16T00:00:00"/>
    <x v="3"/>
    <x v="0"/>
    <x v="0"/>
    <n v="20000"/>
    <n v="20000"/>
    <n v="0"/>
    <x v="156"/>
    <s v="Cali"/>
    <m/>
    <m/>
    <m/>
    <m/>
    <x v="0"/>
  </r>
  <r>
    <d v="2021-03-16T00:00:00"/>
    <x v="3"/>
    <x v="25"/>
    <x v="25"/>
    <n v="-20000"/>
    <n v="0"/>
    <n v="20000"/>
    <x v="156"/>
    <s v="Cali"/>
    <m/>
    <m/>
    <m/>
    <m/>
    <x v="0"/>
  </r>
  <r>
    <m/>
    <x v="1"/>
    <x v="23"/>
    <x v="23"/>
    <m/>
    <m/>
    <m/>
    <x v="1"/>
    <m/>
    <m/>
    <m/>
    <m/>
    <m/>
    <x v="0"/>
  </r>
  <r>
    <d v="2021-03-16T00:00:00"/>
    <x v="3"/>
    <x v="0"/>
    <x v="0"/>
    <n v="1150000"/>
    <n v="1150000"/>
    <n v="0"/>
    <x v="263"/>
    <s v="Cali"/>
    <m/>
    <m/>
    <m/>
    <m/>
    <x v="0"/>
  </r>
  <r>
    <d v="2021-03-16T00:00:00"/>
    <x v="3"/>
    <x v="26"/>
    <x v="26"/>
    <n v="-1150000"/>
    <n v="0"/>
    <n v="1150000"/>
    <x v="263"/>
    <s v="Cali"/>
    <m/>
    <m/>
    <m/>
    <m/>
    <x v="0"/>
  </r>
  <r>
    <m/>
    <x v="1"/>
    <x v="23"/>
    <x v="23"/>
    <m/>
    <m/>
    <m/>
    <x v="1"/>
    <m/>
    <m/>
    <m/>
    <m/>
    <m/>
    <x v="0"/>
  </r>
  <r>
    <d v="2021-03-16T00:00:00"/>
    <x v="3"/>
    <x v="0"/>
    <x v="0"/>
    <n v="15000"/>
    <n v="15000"/>
    <n v="0"/>
    <x v="216"/>
    <s v="Cali"/>
    <m/>
    <m/>
    <m/>
    <m/>
    <x v="0"/>
  </r>
  <r>
    <d v="2021-03-16T00:00:00"/>
    <x v="3"/>
    <x v="29"/>
    <x v="29"/>
    <n v="-15000"/>
    <n v="0"/>
    <n v="15000"/>
    <x v="216"/>
    <s v="Cali"/>
    <m/>
    <m/>
    <m/>
    <m/>
    <x v="0"/>
  </r>
  <r>
    <m/>
    <x v="1"/>
    <x v="23"/>
    <x v="23"/>
    <m/>
    <m/>
    <m/>
    <x v="1"/>
    <m/>
    <m/>
    <m/>
    <m/>
    <m/>
    <x v="0"/>
  </r>
  <r>
    <d v="2021-03-16T00:00:00"/>
    <x v="3"/>
    <x v="0"/>
    <x v="0"/>
    <n v="20000"/>
    <n v="20000"/>
    <n v="0"/>
    <x v="174"/>
    <s v="Cali"/>
    <m/>
    <m/>
    <m/>
    <m/>
    <x v="0"/>
  </r>
  <r>
    <d v="2021-03-16T00:00:00"/>
    <x v="3"/>
    <x v="25"/>
    <x v="25"/>
    <n v="-20000"/>
    <n v="0"/>
    <n v="20000"/>
    <x v="174"/>
    <s v="Cali"/>
    <m/>
    <m/>
    <m/>
    <m/>
    <x v="0"/>
  </r>
  <r>
    <m/>
    <x v="1"/>
    <x v="23"/>
    <x v="23"/>
    <m/>
    <m/>
    <m/>
    <x v="1"/>
    <m/>
    <m/>
    <m/>
    <m/>
    <m/>
    <x v="0"/>
  </r>
  <r>
    <d v="2021-03-18T00:00:00"/>
    <x v="3"/>
    <x v="0"/>
    <x v="0"/>
    <n v="10000"/>
    <n v="10000"/>
    <n v="0"/>
    <x v="199"/>
    <s v="Cali"/>
    <m/>
    <m/>
    <m/>
    <m/>
    <x v="0"/>
  </r>
  <r>
    <d v="2021-03-18T00:00:00"/>
    <x v="3"/>
    <x v="27"/>
    <x v="27"/>
    <n v="-10000"/>
    <n v="0"/>
    <n v="10000"/>
    <x v="199"/>
    <s v="Cali"/>
    <m/>
    <m/>
    <m/>
    <m/>
    <x v="0"/>
  </r>
  <r>
    <m/>
    <x v="1"/>
    <x v="23"/>
    <x v="23"/>
    <m/>
    <m/>
    <m/>
    <x v="1"/>
    <m/>
    <m/>
    <m/>
    <m/>
    <m/>
    <x v="0"/>
  </r>
  <r>
    <d v="2021-03-22T00:00:00"/>
    <x v="3"/>
    <x v="0"/>
    <x v="0"/>
    <n v="50000"/>
    <n v="50000"/>
    <n v="0"/>
    <x v="65"/>
    <s v="Cali"/>
    <m/>
    <m/>
    <m/>
    <m/>
    <x v="0"/>
  </r>
  <r>
    <d v="2021-03-22T00:00:00"/>
    <x v="3"/>
    <x v="29"/>
    <x v="29"/>
    <n v="-50000"/>
    <n v="0"/>
    <n v="5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3-22T00:00:00"/>
    <x v="3"/>
    <x v="0"/>
    <x v="0"/>
    <n v="60000"/>
    <n v="60000"/>
    <n v="0"/>
    <x v="65"/>
    <s v="Cali"/>
    <m/>
    <m/>
    <m/>
    <m/>
    <x v="0"/>
  </r>
  <r>
    <d v="2021-03-22T00:00:00"/>
    <x v="3"/>
    <x v="29"/>
    <x v="29"/>
    <n v="-60000"/>
    <n v="0"/>
    <n v="6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3-22T00:00:00"/>
    <x v="3"/>
    <x v="0"/>
    <x v="0"/>
    <n v="18000"/>
    <n v="18000"/>
    <n v="0"/>
    <x v="201"/>
    <s v="Cali"/>
    <m/>
    <m/>
    <m/>
    <m/>
    <x v="0"/>
  </r>
  <r>
    <d v="2021-03-22T00:00:00"/>
    <x v="3"/>
    <x v="25"/>
    <x v="25"/>
    <n v="-18000"/>
    <n v="0"/>
    <n v="18000"/>
    <x v="201"/>
    <s v="Cali"/>
    <m/>
    <m/>
    <m/>
    <m/>
    <x v="0"/>
  </r>
  <r>
    <m/>
    <x v="1"/>
    <x v="23"/>
    <x v="23"/>
    <m/>
    <m/>
    <m/>
    <x v="1"/>
    <m/>
    <m/>
    <m/>
    <m/>
    <m/>
    <x v="0"/>
  </r>
  <r>
    <d v="2021-03-22T00:00:00"/>
    <x v="3"/>
    <x v="0"/>
    <x v="0"/>
    <n v="2000"/>
    <n v="2000"/>
    <n v="0"/>
    <x v="177"/>
    <s v="Cali"/>
    <m/>
    <m/>
    <m/>
    <m/>
    <x v="0"/>
  </r>
  <r>
    <d v="2021-03-22T00:00:00"/>
    <x v="3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3-22T00:00:00"/>
    <x v="3"/>
    <x v="0"/>
    <x v="0"/>
    <n v="8000"/>
    <n v="8000"/>
    <n v="0"/>
    <x v="140"/>
    <s v="Cali"/>
    <m/>
    <m/>
    <m/>
    <m/>
    <x v="0"/>
  </r>
  <r>
    <d v="2021-03-22T00:00:00"/>
    <x v="3"/>
    <x v="19"/>
    <x v="19"/>
    <n v="-8000"/>
    <n v="0"/>
    <n v="8000"/>
    <x v="140"/>
    <s v="Cali"/>
    <m/>
    <m/>
    <m/>
    <m/>
    <x v="0"/>
  </r>
  <r>
    <m/>
    <x v="1"/>
    <x v="23"/>
    <x v="23"/>
    <m/>
    <m/>
    <m/>
    <x v="1"/>
    <m/>
    <m/>
    <m/>
    <m/>
    <m/>
    <x v="0"/>
  </r>
  <r>
    <d v="2021-03-22T00:00:00"/>
    <x v="3"/>
    <x v="0"/>
    <x v="0"/>
    <n v="30000"/>
    <n v="30000"/>
    <n v="0"/>
    <x v="266"/>
    <s v="Cali"/>
    <m/>
    <m/>
    <m/>
    <m/>
    <x v="0"/>
  </r>
  <r>
    <d v="2021-03-22T00:00:00"/>
    <x v="3"/>
    <x v="25"/>
    <x v="25"/>
    <n v="-30000"/>
    <n v="0"/>
    <n v="30000"/>
    <x v="266"/>
    <s v="Cali"/>
    <m/>
    <m/>
    <m/>
    <m/>
    <x v="0"/>
  </r>
  <r>
    <m/>
    <x v="1"/>
    <x v="23"/>
    <x v="23"/>
    <m/>
    <m/>
    <m/>
    <x v="1"/>
    <m/>
    <m/>
    <m/>
    <m/>
    <m/>
    <x v="0"/>
  </r>
  <r>
    <d v="2021-03-22T00:00:00"/>
    <x v="3"/>
    <x v="0"/>
    <x v="0"/>
    <n v="100000"/>
    <n v="100000"/>
    <n v="0"/>
    <x v="192"/>
    <s v="Cali"/>
    <m/>
    <m/>
    <m/>
    <m/>
    <x v="0"/>
  </r>
  <r>
    <d v="2021-03-22T00:00:00"/>
    <x v="3"/>
    <x v="26"/>
    <x v="26"/>
    <n v="-100000"/>
    <n v="0"/>
    <n v="10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03-22T00:00:00"/>
    <x v="3"/>
    <x v="0"/>
    <x v="0"/>
    <n v="20000"/>
    <n v="20000"/>
    <n v="0"/>
    <x v="267"/>
    <s v="Cali"/>
    <m/>
    <m/>
    <m/>
    <m/>
    <x v="0"/>
  </r>
  <r>
    <d v="2021-03-22T00:00:00"/>
    <x v="3"/>
    <x v="25"/>
    <x v="25"/>
    <n v="-20000"/>
    <n v="0"/>
    <n v="20000"/>
    <x v="267"/>
    <s v="Cali"/>
    <m/>
    <m/>
    <m/>
    <m/>
    <x v="0"/>
  </r>
  <r>
    <m/>
    <x v="1"/>
    <x v="23"/>
    <x v="23"/>
    <m/>
    <m/>
    <m/>
    <x v="1"/>
    <m/>
    <m/>
    <m/>
    <m/>
    <m/>
    <x v="0"/>
  </r>
  <r>
    <d v="2021-03-23T00:00:00"/>
    <x v="3"/>
    <x v="0"/>
    <x v="0"/>
    <n v="120000"/>
    <n v="120000"/>
    <n v="0"/>
    <x v="268"/>
    <s v="Cali"/>
    <m/>
    <m/>
    <m/>
    <m/>
    <x v="0"/>
  </r>
  <r>
    <d v="2021-03-23T00:00:00"/>
    <x v="3"/>
    <x v="25"/>
    <x v="25"/>
    <n v="-120000"/>
    <n v="0"/>
    <n v="120000"/>
    <x v="268"/>
    <s v="Cali"/>
    <m/>
    <m/>
    <m/>
    <m/>
    <x v="0"/>
  </r>
  <r>
    <m/>
    <x v="1"/>
    <x v="23"/>
    <x v="23"/>
    <m/>
    <m/>
    <m/>
    <x v="1"/>
    <m/>
    <m/>
    <m/>
    <m/>
    <m/>
    <x v="0"/>
  </r>
  <r>
    <d v="2021-03-23T00:00:00"/>
    <x v="3"/>
    <x v="0"/>
    <x v="0"/>
    <n v="30000"/>
    <n v="30000"/>
    <n v="0"/>
    <x v="203"/>
    <s v="Cali"/>
    <m/>
    <m/>
    <m/>
    <m/>
    <x v="0"/>
  </r>
  <r>
    <d v="2021-03-23T00:00:00"/>
    <x v="3"/>
    <x v="27"/>
    <x v="27"/>
    <n v="-30000"/>
    <n v="0"/>
    <n v="30000"/>
    <x v="203"/>
    <s v="Cali"/>
    <m/>
    <m/>
    <m/>
    <m/>
    <x v="0"/>
  </r>
  <r>
    <m/>
    <x v="1"/>
    <x v="23"/>
    <x v="23"/>
    <m/>
    <m/>
    <m/>
    <x v="1"/>
    <m/>
    <m/>
    <m/>
    <m/>
    <m/>
    <x v="0"/>
  </r>
  <r>
    <d v="2021-03-23T00:00:00"/>
    <x v="3"/>
    <x v="0"/>
    <x v="0"/>
    <n v="20000"/>
    <n v="20000"/>
    <n v="0"/>
    <x v="85"/>
    <s v="Cali"/>
    <m/>
    <m/>
    <m/>
    <m/>
    <x v="0"/>
  </r>
  <r>
    <d v="2021-03-23T00:00:00"/>
    <x v="3"/>
    <x v="25"/>
    <x v="25"/>
    <n v="-20000"/>
    <n v="0"/>
    <n v="20000"/>
    <x v="85"/>
    <s v="Cali"/>
    <m/>
    <m/>
    <m/>
    <m/>
    <x v="0"/>
  </r>
  <r>
    <m/>
    <x v="1"/>
    <x v="23"/>
    <x v="23"/>
    <m/>
    <m/>
    <m/>
    <x v="1"/>
    <m/>
    <m/>
    <m/>
    <m/>
    <m/>
    <x v="0"/>
  </r>
  <r>
    <d v="2021-03-23T00:00:00"/>
    <x v="3"/>
    <x v="0"/>
    <x v="0"/>
    <n v="100000"/>
    <n v="100000"/>
    <n v="0"/>
    <x v="269"/>
    <s v="Cali"/>
    <m/>
    <m/>
    <m/>
    <m/>
    <x v="0"/>
  </r>
  <r>
    <d v="2021-03-23T00:00:00"/>
    <x v="3"/>
    <x v="26"/>
    <x v="26"/>
    <n v="-100000"/>
    <n v="0"/>
    <n v="100000"/>
    <x v="269"/>
    <s v="Cali"/>
    <m/>
    <m/>
    <m/>
    <m/>
    <x v="0"/>
  </r>
  <r>
    <m/>
    <x v="1"/>
    <x v="23"/>
    <x v="23"/>
    <m/>
    <m/>
    <m/>
    <x v="1"/>
    <m/>
    <m/>
    <m/>
    <m/>
    <m/>
    <x v="0"/>
  </r>
  <r>
    <d v="2021-03-23T00:00:00"/>
    <x v="3"/>
    <x v="0"/>
    <x v="0"/>
    <n v="9800"/>
    <n v="9800"/>
    <n v="0"/>
    <x v="270"/>
    <s v="Cali"/>
    <m/>
    <m/>
    <m/>
    <m/>
    <x v="0"/>
  </r>
  <r>
    <d v="2021-03-23T00:00:00"/>
    <x v="3"/>
    <x v="26"/>
    <x v="26"/>
    <n v="-9800"/>
    <n v="0"/>
    <n v="9800"/>
    <x v="270"/>
    <s v="Cali"/>
    <m/>
    <m/>
    <m/>
    <m/>
    <x v="0"/>
  </r>
  <r>
    <m/>
    <x v="1"/>
    <x v="23"/>
    <x v="23"/>
    <m/>
    <m/>
    <m/>
    <x v="1"/>
    <m/>
    <m/>
    <m/>
    <m/>
    <m/>
    <x v="0"/>
  </r>
  <r>
    <d v="2021-03-24T00:00:00"/>
    <x v="3"/>
    <x v="0"/>
    <x v="0"/>
    <n v="50000"/>
    <n v="50000"/>
    <n v="0"/>
    <x v="271"/>
    <s v="Cali"/>
    <m/>
    <m/>
    <m/>
    <m/>
    <x v="0"/>
  </r>
  <r>
    <d v="2021-03-24T00:00:00"/>
    <x v="3"/>
    <x v="13"/>
    <x v="13"/>
    <n v="-50000"/>
    <n v="0"/>
    <n v="50000"/>
    <x v="271"/>
    <s v="Cali"/>
    <m/>
    <m/>
    <m/>
    <m/>
    <x v="0"/>
  </r>
  <r>
    <m/>
    <x v="1"/>
    <x v="23"/>
    <x v="23"/>
    <m/>
    <m/>
    <m/>
    <x v="1"/>
    <m/>
    <m/>
    <m/>
    <m/>
    <m/>
    <x v="0"/>
  </r>
  <r>
    <d v="2021-03-24T00:00:00"/>
    <x v="3"/>
    <x v="0"/>
    <x v="0"/>
    <n v="5000000"/>
    <n v="5000000"/>
    <n v="0"/>
    <x v="272"/>
    <s v="Cali"/>
    <m/>
    <m/>
    <m/>
    <m/>
    <x v="0"/>
  </r>
  <r>
    <d v="2021-03-24T00:00:00"/>
    <x v="3"/>
    <x v="26"/>
    <x v="26"/>
    <n v="-5000000"/>
    <n v="0"/>
    <n v="5000000"/>
    <x v="272"/>
    <s v="Cali"/>
    <m/>
    <m/>
    <m/>
    <m/>
    <x v="0"/>
  </r>
  <r>
    <m/>
    <x v="1"/>
    <x v="23"/>
    <x v="23"/>
    <m/>
    <m/>
    <m/>
    <x v="1"/>
    <m/>
    <m/>
    <m/>
    <m/>
    <m/>
    <x v="0"/>
  </r>
  <r>
    <d v="2021-03-25T00:00:00"/>
    <x v="3"/>
    <x v="0"/>
    <x v="0"/>
    <n v="10000"/>
    <n v="10000"/>
    <n v="0"/>
    <x v="206"/>
    <s v="Cali"/>
    <m/>
    <m/>
    <m/>
    <m/>
    <x v="0"/>
  </r>
  <r>
    <d v="2021-03-25T00:00:00"/>
    <x v="3"/>
    <x v="26"/>
    <x v="26"/>
    <n v="-10000"/>
    <n v="0"/>
    <n v="10000"/>
    <x v="206"/>
    <s v="Cali"/>
    <m/>
    <m/>
    <m/>
    <m/>
    <x v="0"/>
  </r>
  <r>
    <m/>
    <x v="1"/>
    <x v="23"/>
    <x v="23"/>
    <m/>
    <m/>
    <m/>
    <x v="1"/>
    <m/>
    <m/>
    <m/>
    <m/>
    <m/>
    <x v="0"/>
  </r>
  <r>
    <d v="2021-03-25T00:00:00"/>
    <x v="3"/>
    <x v="0"/>
    <x v="0"/>
    <n v="100000"/>
    <n v="100000"/>
    <n v="0"/>
    <x v="273"/>
    <s v="Cali"/>
    <m/>
    <m/>
    <m/>
    <m/>
    <x v="0"/>
  </r>
  <r>
    <d v="2021-03-25T00:00:00"/>
    <x v="3"/>
    <x v="26"/>
    <x v="26"/>
    <n v="-100000"/>
    <n v="0"/>
    <n v="100000"/>
    <x v="273"/>
    <s v="Cali"/>
    <m/>
    <m/>
    <m/>
    <m/>
    <x v="0"/>
  </r>
  <r>
    <m/>
    <x v="1"/>
    <x v="23"/>
    <x v="23"/>
    <m/>
    <m/>
    <m/>
    <x v="1"/>
    <m/>
    <m/>
    <m/>
    <m/>
    <m/>
    <x v="0"/>
  </r>
  <r>
    <d v="2021-03-26T00:00:00"/>
    <x v="3"/>
    <x v="0"/>
    <x v="0"/>
    <n v="1813252"/>
    <n v="1813252"/>
    <n v="0"/>
    <x v="274"/>
    <s v="Cali"/>
    <m/>
    <m/>
    <m/>
    <m/>
    <x v="0"/>
  </r>
  <r>
    <d v="2021-03-26T00:00:00"/>
    <x v="3"/>
    <x v="44"/>
    <x v="44"/>
    <n v="-1813252"/>
    <n v="0"/>
    <n v="1813252"/>
    <x v="274"/>
    <s v="Cali"/>
    <m/>
    <m/>
    <m/>
    <m/>
    <x v="0"/>
  </r>
  <r>
    <m/>
    <x v="1"/>
    <x v="23"/>
    <x v="23"/>
    <m/>
    <m/>
    <m/>
    <x v="1"/>
    <m/>
    <m/>
    <m/>
    <m/>
    <m/>
    <x v="0"/>
  </r>
  <r>
    <d v="2021-03-26T00:00:00"/>
    <x v="3"/>
    <x v="0"/>
    <x v="0"/>
    <n v="2038563"/>
    <n v="2038563"/>
    <n v="0"/>
    <x v="275"/>
    <s v="Cali"/>
    <m/>
    <m/>
    <m/>
    <m/>
    <x v="0"/>
  </r>
  <r>
    <d v="2021-03-26T00:00:00"/>
    <x v="3"/>
    <x v="45"/>
    <x v="45"/>
    <n v="-2038563"/>
    <n v="0"/>
    <n v="2038563"/>
    <x v="275"/>
    <s v="Cali"/>
    <m/>
    <m/>
    <m/>
    <m/>
    <x v="0"/>
  </r>
  <r>
    <m/>
    <x v="1"/>
    <x v="23"/>
    <x v="23"/>
    <m/>
    <m/>
    <m/>
    <x v="1"/>
    <m/>
    <m/>
    <m/>
    <m/>
    <m/>
    <x v="0"/>
  </r>
  <r>
    <d v="2021-03-26T00:00:00"/>
    <x v="3"/>
    <x v="0"/>
    <x v="0"/>
    <n v="400000"/>
    <n v="400000"/>
    <n v="0"/>
    <x v="212"/>
    <s v="Cali"/>
    <m/>
    <m/>
    <m/>
    <m/>
    <x v="0"/>
  </r>
  <r>
    <d v="2021-03-26T00:00:00"/>
    <x v="3"/>
    <x v="26"/>
    <x v="26"/>
    <n v="-400000"/>
    <n v="0"/>
    <n v="400000"/>
    <x v="212"/>
    <s v="Cali"/>
    <m/>
    <m/>
    <m/>
    <m/>
    <x v="0"/>
  </r>
  <r>
    <m/>
    <x v="1"/>
    <x v="23"/>
    <x v="23"/>
    <m/>
    <m/>
    <m/>
    <x v="1"/>
    <m/>
    <m/>
    <m/>
    <m/>
    <m/>
    <x v="0"/>
  </r>
  <r>
    <d v="2021-03-26T00:00:00"/>
    <x v="3"/>
    <x v="0"/>
    <x v="0"/>
    <n v="1472635"/>
    <n v="1472635"/>
    <n v="0"/>
    <x v="276"/>
    <s v="Cali"/>
    <m/>
    <m/>
    <m/>
    <m/>
    <x v="0"/>
  </r>
  <r>
    <d v="2021-03-26T00:00:00"/>
    <x v="3"/>
    <x v="26"/>
    <x v="26"/>
    <n v="-1472635"/>
    <n v="0"/>
    <n v="1472635"/>
    <x v="276"/>
    <s v="Cali"/>
    <m/>
    <m/>
    <m/>
    <m/>
    <x v="0"/>
  </r>
  <r>
    <m/>
    <x v="1"/>
    <x v="23"/>
    <x v="23"/>
    <m/>
    <m/>
    <m/>
    <x v="1"/>
    <m/>
    <m/>
    <m/>
    <m/>
    <m/>
    <x v="0"/>
  </r>
  <r>
    <d v="2021-03-26T00:00:00"/>
    <x v="3"/>
    <x v="0"/>
    <x v="0"/>
    <n v="30000"/>
    <n v="30000"/>
    <n v="0"/>
    <x v="239"/>
    <s v="Cali"/>
    <m/>
    <m/>
    <m/>
    <m/>
    <x v="0"/>
  </r>
  <r>
    <d v="2021-03-26T00:00:00"/>
    <x v="3"/>
    <x v="27"/>
    <x v="27"/>
    <n v="-30000"/>
    <n v="0"/>
    <n v="30000"/>
    <x v="239"/>
    <s v="Cali"/>
    <m/>
    <m/>
    <m/>
    <m/>
    <x v="0"/>
  </r>
  <r>
    <m/>
    <x v="1"/>
    <x v="23"/>
    <x v="23"/>
    <m/>
    <m/>
    <m/>
    <x v="1"/>
    <m/>
    <m/>
    <m/>
    <m/>
    <m/>
    <x v="0"/>
  </r>
  <r>
    <d v="2021-03-26T00:00:00"/>
    <x v="3"/>
    <x v="0"/>
    <x v="0"/>
    <n v="10000"/>
    <n v="10000"/>
    <n v="0"/>
    <x v="277"/>
    <s v="Cali"/>
    <m/>
    <m/>
    <m/>
    <m/>
    <x v="0"/>
  </r>
  <r>
    <d v="2021-03-26T00:00:00"/>
    <x v="3"/>
    <x v="25"/>
    <x v="25"/>
    <n v="-10000"/>
    <n v="0"/>
    <n v="10000"/>
    <x v="277"/>
    <s v="Cali"/>
    <m/>
    <m/>
    <m/>
    <m/>
    <x v="0"/>
  </r>
  <r>
    <m/>
    <x v="1"/>
    <x v="23"/>
    <x v="23"/>
    <m/>
    <m/>
    <m/>
    <x v="1"/>
    <m/>
    <m/>
    <m/>
    <m/>
    <m/>
    <x v="0"/>
  </r>
  <r>
    <d v="2021-03-29T00:00:00"/>
    <x v="3"/>
    <x v="0"/>
    <x v="0"/>
    <n v="1500000"/>
    <n v="1500000"/>
    <n v="0"/>
    <x v="278"/>
    <s v="Cali"/>
    <m/>
    <m/>
    <m/>
    <m/>
    <x v="0"/>
  </r>
  <r>
    <d v="2021-03-29T00:00:00"/>
    <x v="3"/>
    <x v="25"/>
    <x v="25"/>
    <n v="-1500000"/>
    <n v="0"/>
    <n v="1500000"/>
    <x v="278"/>
    <s v="Cali"/>
    <m/>
    <m/>
    <m/>
    <m/>
    <x v="0"/>
  </r>
  <r>
    <m/>
    <x v="1"/>
    <x v="23"/>
    <x v="23"/>
    <m/>
    <m/>
    <m/>
    <x v="1"/>
    <m/>
    <m/>
    <m/>
    <m/>
    <m/>
    <x v="0"/>
  </r>
  <r>
    <d v="2021-03-29T00:00:00"/>
    <x v="3"/>
    <x v="0"/>
    <x v="0"/>
    <n v="2000"/>
    <n v="2000"/>
    <n v="0"/>
    <x v="177"/>
    <s v="Cali"/>
    <m/>
    <m/>
    <m/>
    <m/>
    <x v="0"/>
  </r>
  <r>
    <d v="2021-03-29T00:00:00"/>
    <x v="3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3-29T00:00:00"/>
    <x v="3"/>
    <x v="0"/>
    <x v="0"/>
    <n v="20000"/>
    <n v="20000"/>
    <n v="0"/>
    <x v="237"/>
    <s v="Cali"/>
    <m/>
    <m/>
    <m/>
    <m/>
    <x v="0"/>
  </r>
  <r>
    <d v="2021-03-29T00:00:00"/>
    <x v="3"/>
    <x v="19"/>
    <x v="19"/>
    <n v="-20000"/>
    <n v="0"/>
    <n v="20000"/>
    <x v="237"/>
    <s v="Cali"/>
    <m/>
    <m/>
    <m/>
    <m/>
    <x v="0"/>
  </r>
  <r>
    <m/>
    <x v="1"/>
    <x v="23"/>
    <x v="23"/>
    <m/>
    <m/>
    <m/>
    <x v="1"/>
    <m/>
    <m/>
    <m/>
    <m/>
    <m/>
    <x v="0"/>
  </r>
  <r>
    <d v="2021-03-29T00:00:00"/>
    <x v="3"/>
    <x v="0"/>
    <x v="0"/>
    <n v="10000"/>
    <n v="10000"/>
    <n v="0"/>
    <x v="236"/>
    <s v="Cali"/>
    <m/>
    <m/>
    <m/>
    <m/>
    <x v="0"/>
  </r>
  <r>
    <d v="2021-03-29T00:00:00"/>
    <x v="3"/>
    <x v="25"/>
    <x v="25"/>
    <n v="-10000"/>
    <n v="0"/>
    <n v="10000"/>
    <x v="236"/>
    <s v="Cali"/>
    <m/>
    <m/>
    <m/>
    <m/>
    <x v="0"/>
  </r>
  <r>
    <m/>
    <x v="1"/>
    <x v="23"/>
    <x v="23"/>
    <m/>
    <m/>
    <m/>
    <x v="1"/>
    <m/>
    <m/>
    <m/>
    <m/>
    <m/>
    <x v="0"/>
  </r>
  <r>
    <d v="2021-03-29T00:00:00"/>
    <x v="3"/>
    <x v="0"/>
    <x v="0"/>
    <n v="125000"/>
    <n v="125000"/>
    <n v="0"/>
    <x v="136"/>
    <s v="Cali"/>
    <m/>
    <m/>
    <m/>
    <m/>
    <x v="0"/>
  </r>
  <r>
    <d v="2021-03-29T00:00:00"/>
    <x v="3"/>
    <x v="26"/>
    <x v="26"/>
    <n v="-125000"/>
    <n v="0"/>
    <n v="125000"/>
    <x v="136"/>
    <s v="Cali"/>
    <m/>
    <m/>
    <m/>
    <m/>
    <x v="0"/>
  </r>
  <r>
    <m/>
    <x v="1"/>
    <x v="23"/>
    <x v="23"/>
    <m/>
    <m/>
    <m/>
    <x v="1"/>
    <m/>
    <m/>
    <m/>
    <m/>
    <m/>
    <x v="0"/>
  </r>
  <r>
    <d v="2021-03-29T00:00:00"/>
    <x v="3"/>
    <x v="0"/>
    <x v="0"/>
    <n v="10000"/>
    <n v="10000"/>
    <n v="0"/>
    <x v="140"/>
    <s v="Cali"/>
    <m/>
    <m/>
    <m/>
    <m/>
    <x v="0"/>
  </r>
  <r>
    <d v="2021-03-29T00:00:00"/>
    <x v="3"/>
    <x v="19"/>
    <x v="19"/>
    <n v="-10000"/>
    <n v="0"/>
    <n v="10000"/>
    <x v="140"/>
    <s v="Cali"/>
    <m/>
    <m/>
    <m/>
    <m/>
    <x v="0"/>
  </r>
  <r>
    <m/>
    <x v="1"/>
    <x v="23"/>
    <x v="23"/>
    <m/>
    <m/>
    <m/>
    <x v="1"/>
    <m/>
    <m/>
    <m/>
    <m/>
    <m/>
    <x v="0"/>
  </r>
  <r>
    <d v="2021-03-29T00:00:00"/>
    <x v="3"/>
    <x v="0"/>
    <x v="0"/>
    <n v="5000"/>
    <n v="5000"/>
    <n v="0"/>
    <x v="200"/>
    <s v="Cali"/>
    <m/>
    <m/>
    <m/>
    <m/>
    <x v="0"/>
  </r>
  <r>
    <d v="2021-03-29T00:00:00"/>
    <x v="3"/>
    <x v="19"/>
    <x v="19"/>
    <n v="-5000"/>
    <n v="0"/>
    <n v="5000"/>
    <x v="200"/>
    <s v="Cali"/>
    <m/>
    <m/>
    <m/>
    <m/>
    <x v="0"/>
  </r>
  <r>
    <m/>
    <x v="1"/>
    <x v="23"/>
    <x v="23"/>
    <m/>
    <m/>
    <m/>
    <x v="1"/>
    <m/>
    <m/>
    <m/>
    <m/>
    <m/>
    <x v="0"/>
  </r>
  <r>
    <d v="2021-03-29T00:00:00"/>
    <x v="3"/>
    <x v="0"/>
    <x v="0"/>
    <n v="350000"/>
    <n v="350000"/>
    <n v="0"/>
    <x v="279"/>
    <s v="Cali"/>
    <m/>
    <m/>
    <m/>
    <m/>
    <x v="0"/>
  </r>
  <r>
    <d v="2021-03-29T00:00:00"/>
    <x v="3"/>
    <x v="26"/>
    <x v="26"/>
    <n v="-350000"/>
    <n v="0"/>
    <n v="350000"/>
    <x v="279"/>
    <s v="Cali"/>
    <m/>
    <m/>
    <m/>
    <m/>
    <x v="0"/>
  </r>
  <r>
    <m/>
    <x v="1"/>
    <x v="23"/>
    <x v="23"/>
    <m/>
    <m/>
    <m/>
    <x v="1"/>
    <m/>
    <m/>
    <m/>
    <m/>
    <m/>
    <x v="0"/>
  </r>
  <r>
    <d v="2021-03-29T00:00:00"/>
    <x v="3"/>
    <x v="0"/>
    <x v="0"/>
    <n v="73000"/>
    <n v="73000"/>
    <n v="0"/>
    <x v="240"/>
    <s v="Cali"/>
    <m/>
    <m/>
    <m/>
    <m/>
    <x v="0"/>
  </r>
  <r>
    <d v="2021-03-29T00:00:00"/>
    <x v="3"/>
    <x v="26"/>
    <x v="26"/>
    <n v="-73000"/>
    <n v="0"/>
    <n v="73000"/>
    <x v="240"/>
    <s v="Cali"/>
    <m/>
    <m/>
    <m/>
    <m/>
    <x v="0"/>
  </r>
  <r>
    <m/>
    <x v="1"/>
    <x v="23"/>
    <x v="23"/>
    <m/>
    <m/>
    <m/>
    <x v="1"/>
    <m/>
    <m/>
    <m/>
    <m/>
    <m/>
    <x v="0"/>
  </r>
  <r>
    <d v="2021-03-29T00:00:00"/>
    <x v="3"/>
    <x v="0"/>
    <x v="0"/>
    <n v="40000"/>
    <n v="40000"/>
    <n v="0"/>
    <x v="241"/>
    <s v="Cali"/>
    <m/>
    <m/>
    <m/>
    <m/>
    <x v="0"/>
  </r>
  <r>
    <d v="2021-03-29T00:00:00"/>
    <x v="3"/>
    <x v="26"/>
    <x v="26"/>
    <n v="-40000"/>
    <n v="0"/>
    <n v="40000"/>
    <x v="241"/>
    <s v="Cali"/>
    <m/>
    <m/>
    <m/>
    <m/>
    <x v="0"/>
  </r>
  <r>
    <m/>
    <x v="1"/>
    <x v="23"/>
    <x v="23"/>
    <m/>
    <m/>
    <m/>
    <x v="1"/>
    <m/>
    <m/>
    <m/>
    <m/>
    <m/>
    <x v="0"/>
  </r>
  <r>
    <d v="2021-03-29T00:00:00"/>
    <x v="3"/>
    <x v="0"/>
    <x v="0"/>
    <n v="60000"/>
    <n v="60000"/>
    <n v="0"/>
    <x v="238"/>
    <s v="Cali"/>
    <m/>
    <m/>
    <m/>
    <m/>
    <x v="0"/>
  </r>
  <r>
    <d v="2021-03-29T00:00:00"/>
    <x v="3"/>
    <x v="25"/>
    <x v="25"/>
    <n v="-60000"/>
    <n v="0"/>
    <n v="60000"/>
    <x v="238"/>
    <s v="Cali"/>
    <m/>
    <m/>
    <m/>
    <m/>
    <x v="0"/>
  </r>
  <r>
    <m/>
    <x v="1"/>
    <x v="23"/>
    <x v="23"/>
    <m/>
    <m/>
    <m/>
    <x v="1"/>
    <m/>
    <m/>
    <m/>
    <m/>
    <m/>
    <x v="0"/>
  </r>
  <r>
    <d v="2021-03-29T00:00:00"/>
    <x v="3"/>
    <x v="0"/>
    <x v="0"/>
    <n v="49405"/>
    <n v="49405"/>
    <n v="0"/>
    <x v="280"/>
    <s v="Cali"/>
    <m/>
    <m/>
    <m/>
    <m/>
    <x v="0"/>
  </r>
  <r>
    <d v="2021-03-29T00:00:00"/>
    <x v="3"/>
    <x v="26"/>
    <x v="26"/>
    <n v="-49405"/>
    <n v="0"/>
    <n v="49405"/>
    <x v="280"/>
    <s v="Cali"/>
    <m/>
    <m/>
    <m/>
    <m/>
    <x v="0"/>
  </r>
  <r>
    <m/>
    <x v="1"/>
    <x v="23"/>
    <x v="23"/>
    <m/>
    <m/>
    <m/>
    <x v="1"/>
    <m/>
    <m/>
    <m/>
    <m/>
    <m/>
    <x v="0"/>
  </r>
  <r>
    <d v="2021-03-29T00:00:00"/>
    <x v="3"/>
    <x v="0"/>
    <x v="0"/>
    <n v="25000"/>
    <n v="25000"/>
    <n v="0"/>
    <x v="138"/>
    <s v="Cali"/>
    <m/>
    <m/>
    <m/>
    <m/>
    <x v="0"/>
  </r>
  <r>
    <d v="2021-03-29T00:00:00"/>
    <x v="3"/>
    <x v="27"/>
    <x v="27"/>
    <n v="-25000"/>
    <n v="0"/>
    <n v="25000"/>
    <x v="138"/>
    <s v="Cali"/>
    <m/>
    <m/>
    <m/>
    <m/>
    <x v="0"/>
  </r>
  <r>
    <m/>
    <x v="1"/>
    <x v="23"/>
    <x v="23"/>
    <m/>
    <m/>
    <m/>
    <x v="1"/>
    <m/>
    <m/>
    <m/>
    <m/>
    <m/>
    <x v="0"/>
  </r>
  <r>
    <d v="2021-03-30T00:00:00"/>
    <x v="3"/>
    <x v="0"/>
    <x v="0"/>
    <n v="100000"/>
    <n v="100000"/>
    <n v="0"/>
    <x v="281"/>
    <s v="Cali"/>
    <m/>
    <m/>
    <m/>
    <m/>
    <x v="0"/>
  </r>
  <r>
    <d v="2021-03-30T00:00:00"/>
    <x v="3"/>
    <x v="26"/>
    <x v="26"/>
    <n v="-100000"/>
    <n v="0"/>
    <n v="100000"/>
    <x v="281"/>
    <s v="Cali"/>
    <m/>
    <m/>
    <m/>
    <m/>
    <x v="0"/>
  </r>
  <r>
    <m/>
    <x v="1"/>
    <x v="23"/>
    <x v="23"/>
    <m/>
    <m/>
    <m/>
    <x v="1"/>
    <m/>
    <m/>
    <m/>
    <m/>
    <m/>
    <x v="0"/>
  </r>
  <r>
    <d v="2021-03-30T00:00:00"/>
    <x v="3"/>
    <x v="0"/>
    <x v="0"/>
    <n v="15000"/>
    <n v="15000"/>
    <n v="0"/>
    <x v="137"/>
    <s v="Cali"/>
    <m/>
    <m/>
    <m/>
    <m/>
    <x v="0"/>
  </r>
  <r>
    <d v="2021-03-30T00:00:00"/>
    <x v="3"/>
    <x v="26"/>
    <x v="26"/>
    <n v="-15000"/>
    <n v="0"/>
    <n v="15000"/>
    <x v="137"/>
    <s v="Cali"/>
    <m/>
    <m/>
    <m/>
    <m/>
    <x v="0"/>
  </r>
  <r>
    <m/>
    <x v="1"/>
    <x v="23"/>
    <x v="23"/>
    <m/>
    <m/>
    <m/>
    <x v="1"/>
    <m/>
    <m/>
    <m/>
    <m/>
    <m/>
    <x v="0"/>
  </r>
  <r>
    <d v="2021-03-30T00:00:00"/>
    <x v="3"/>
    <x v="0"/>
    <x v="0"/>
    <n v="15000"/>
    <n v="15000"/>
    <n v="0"/>
    <x v="282"/>
    <s v="Cali"/>
    <m/>
    <m/>
    <m/>
    <m/>
    <x v="0"/>
  </r>
  <r>
    <d v="2021-03-30T00:00:00"/>
    <x v="3"/>
    <x v="25"/>
    <x v="25"/>
    <n v="-15000"/>
    <n v="0"/>
    <n v="15000"/>
    <x v="282"/>
    <s v="Cali"/>
    <m/>
    <m/>
    <m/>
    <m/>
    <x v="0"/>
  </r>
  <r>
    <m/>
    <x v="1"/>
    <x v="23"/>
    <x v="23"/>
    <m/>
    <m/>
    <m/>
    <x v="1"/>
    <m/>
    <m/>
    <m/>
    <m/>
    <m/>
    <x v="0"/>
  </r>
  <r>
    <d v="2021-03-30T00:00:00"/>
    <x v="3"/>
    <x v="14"/>
    <x v="14"/>
    <n v="119399"/>
    <n v="119399"/>
    <n v="0"/>
    <x v="283"/>
    <s v="Cali"/>
    <m/>
    <m/>
    <m/>
    <m/>
    <x v="0"/>
  </r>
  <r>
    <d v="2021-03-30T00:00:00"/>
    <x v="3"/>
    <x v="15"/>
    <x v="15"/>
    <n v="2817251"/>
    <n v="2817251"/>
    <n v="0"/>
    <x v="283"/>
    <s v="Cali"/>
    <m/>
    <m/>
    <m/>
    <m/>
    <x v="0"/>
  </r>
  <r>
    <d v="2021-03-30T00:00:00"/>
    <x v="3"/>
    <x v="0"/>
    <x v="0"/>
    <n v="-2936650"/>
    <n v="0"/>
    <n v="2936650"/>
    <x v="283"/>
    <s v="Cali"/>
    <m/>
    <m/>
    <m/>
    <m/>
    <x v="0"/>
  </r>
  <r>
    <m/>
    <x v="1"/>
    <x v="23"/>
    <x v="23"/>
    <m/>
    <m/>
    <m/>
    <x v="1"/>
    <m/>
    <m/>
    <m/>
    <m/>
    <m/>
    <x v="0"/>
  </r>
  <r>
    <d v="2021-03-30T00:00:00"/>
    <x v="3"/>
    <x v="31"/>
    <x v="31"/>
    <n v="677966"/>
    <n v="677966"/>
    <n v="0"/>
    <x v="284"/>
    <s v="Cali"/>
    <m/>
    <m/>
    <m/>
    <m/>
    <x v="0"/>
  </r>
  <r>
    <d v="2021-03-30T00:00:00"/>
    <x v="3"/>
    <x v="17"/>
    <x v="17"/>
    <n v="-77966"/>
    <n v="0"/>
    <n v="77966"/>
    <x v="284"/>
    <s v="Cali"/>
    <m/>
    <m/>
    <m/>
    <m/>
    <x v="0"/>
  </r>
  <r>
    <d v="2021-03-30T00:00:00"/>
    <x v="3"/>
    <x v="52"/>
    <x v="52"/>
    <n v="-600000"/>
    <n v="0"/>
    <n v="600000"/>
    <x v="284"/>
    <s v="Cali"/>
    <m/>
    <m/>
    <m/>
    <m/>
    <x v="0"/>
  </r>
  <r>
    <m/>
    <x v="1"/>
    <x v="23"/>
    <x v="23"/>
    <m/>
    <m/>
    <m/>
    <x v="1"/>
    <m/>
    <m/>
    <m/>
    <m/>
    <m/>
    <x v="0"/>
  </r>
  <r>
    <d v="2021-03-30T00:00:00"/>
    <x v="3"/>
    <x v="31"/>
    <x v="31"/>
    <n v="169492"/>
    <n v="169492"/>
    <n v="0"/>
    <x v="285"/>
    <s v="Cali"/>
    <m/>
    <m/>
    <m/>
    <m/>
    <x v="0"/>
  </r>
  <r>
    <d v="2021-03-30T00:00:00"/>
    <x v="3"/>
    <x v="17"/>
    <x v="17"/>
    <n v="-19492"/>
    <n v="0"/>
    <n v="19492"/>
    <x v="285"/>
    <s v="Cali"/>
    <m/>
    <m/>
    <m/>
    <m/>
    <x v="0"/>
  </r>
  <r>
    <d v="2021-03-30T00:00:00"/>
    <x v="3"/>
    <x v="0"/>
    <x v="0"/>
    <n v="-150000"/>
    <n v="0"/>
    <n v="150000"/>
    <x v="285"/>
    <s v="Cali"/>
    <m/>
    <m/>
    <m/>
    <m/>
    <x v="0"/>
  </r>
  <r>
    <m/>
    <x v="1"/>
    <x v="23"/>
    <x v="23"/>
    <m/>
    <m/>
    <m/>
    <x v="1"/>
    <m/>
    <m/>
    <m/>
    <m/>
    <m/>
    <x v="0"/>
  </r>
  <r>
    <d v="2021-03-30T00:00:00"/>
    <x v="3"/>
    <x v="31"/>
    <x v="31"/>
    <n v="112994"/>
    <n v="112994"/>
    <n v="0"/>
    <x v="286"/>
    <s v="Cali"/>
    <m/>
    <m/>
    <m/>
    <m/>
    <x v="0"/>
  </r>
  <r>
    <d v="2021-03-30T00:00:00"/>
    <x v="3"/>
    <x v="17"/>
    <x v="17"/>
    <n v="-12994"/>
    <n v="0"/>
    <n v="12994"/>
    <x v="286"/>
    <s v="Cali"/>
    <m/>
    <m/>
    <m/>
    <m/>
    <x v="0"/>
  </r>
  <r>
    <d v="2021-03-30T00:00:00"/>
    <x v="3"/>
    <x v="0"/>
    <x v="0"/>
    <n v="-100000"/>
    <n v="0"/>
    <n v="100000"/>
    <x v="286"/>
    <s v="Cali"/>
    <m/>
    <m/>
    <m/>
    <m/>
    <x v="0"/>
  </r>
  <r>
    <m/>
    <x v="1"/>
    <x v="23"/>
    <x v="23"/>
    <m/>
    <m/>
    <m/>
    <x v="1"/>
    <m/>
    <m/>
    <m/>
    <m/>
    <m/>
    <x v="0"/>
  </r>
  <r>
    <d v="2021-03-30T00:00:00"/>
    <x v="3"/>
    <x v="0"/>
    <x v="0"/>
    <n v="50000"/>
    <n v="50000"/>
    <n v="0"/>
    <x v="135"/>
    <s v="Cali"/>
    <m/>
    <m/>
    <m/>
    <m/>
    <x v="0"/>
  </r>
  <r>
    <d v="2021-03-30T00:00:00"/>
    <x v="3"/>
    <x v="26"/>
    <x v="26"/>
    <n v="-50000"/>
    <n v="0"/>
    <n v="50000"/>
    <x v="135"/>
    <s v="Cali"/>
    <m/>
    <m/>
    <m/>
    <m/>
    <x v="0"/>
  </r>
  <r>
    <m/>
    <x v="1"/>
    <x v="23"/>
    <x v="23"/>
    <m/>
    <m/>
    <m/>
    <x v="1"/>
    <m/>
    <m/>
    <m/>
    <m/>
    <m/>
    <x v="0"/>
  </r>
  <r>
    <d v="2021-03-30T00:00:00"/>
    <x v="3"/>
    <x v="0"/>
    <x v="0"/>
    <n v="36000"/>
    <n v="36000"/>
    <n v="0"/>
    <x v="133"/>
    <s v="Cali"/>
    <m/>
    <m/>
    <m/>
    <m/>
    <x v="0"/>
  </r>
  <r>
    <d v="2021-03-30T00:00:00"/>
    <x v="3"/>
    <x v="25"/>
    <x v="25"/>
    <n v="-36000"/>
    <n v="0"/>
    <n v="36000"/>
    <x v="133"/>
    <s v="Cali"/>
    <m/>
    <m/>
    <m/>
    <m/>
    <x v="0"/>
  </r>
  <r>
    <m/>
    <x v="1"/>
    <x v="23"/>
    <x v="23"/>
    <m/>
    <m/>
    <m/>
    <x v="1"/>
    <m/>
    <m/>
    <m/>
    <m/>
    <m/>
    <x v="0"/>
  </r>
  <r>
    <d v="2021-03-30T00:00:00"/>
    <x v="3"/>
    <x v="0"/>
    <x v="0"/>
    <n v="100000"/>
    <n v="100000"/>
    <n v="0"/>
    <x v="134"/>
    <s v="Cali"/>
    <m/>
    <m/>
    <m/>
    <m/>
    <x v="0"/>
  </r>
  <r>
    <d v="2021-03-30T00:00:00"/>
    <x v="3"/>
    <x v="26"/>
    <x v="26"/>
    <n v="-100000"/>
    <n v="0"/>
    <n v="100000"/>
    <x v="134"/>
    <s v="Cali"/>
    <m/>
    <m/>
    <m/>
    <m/>
    <x v="0"/>
  </r>
  <r>
    <m/>
    <x v="1"/>
    <x v="23"/>
    <x v="23"/>
    <m/>
    <m/>
    <m/>
    <x v="1"/>
    <m/>
    <m/>
    <m/>
    <m/>
    <m/>
    <x v="0"/>
  </r>
  <r>
    <d v="2021-03-30T00:00:00"/>
    <x v="3"/>
    <x v="0"/>
    <x v="0"/>
    <n v="9537988"/>
    <n v="9537988"/>
    <n v="0"/>
    <x v="287"/>
    <s v="Cali"/>
    <m/>
    <m/>
    <m/>
    <m/>
    <x v="0"/>
  </r>
  <r>
    <d v="2021-03-30T00:00:00"/>
    <x v="3"/>
    <x v="5"/>
    <x v="5"/>
    <n v="-9537988"/>
    <n v="0"/>
    <n v="9537988"/>
    <x v="287"/>
    <s v="Cali"/>
    <m/>
    <m/>
    <m/>
    <m/>
    <x v="0"/>
  </r>
  <r>
    <m/>
    <x v="1"/>
    <x v="23"/>
    <x v="23"/>
    <m/>
    <m/>
    <m/>
    <x v="1"/>
    <m/>
    <m/>
    <m/>
    <m/>
    <m/>
    <x v="0"/>
  </r>
  <r>
    <d v="2021-03-30T00:00:00"/>
    <x v="3"/>
    <x v="0"/>
    <x v="0"/>
    <n v="150000"/>
    <n v="150000"/>
    <n v="0"/>
    <x v="281"/>
    <s v="Cali"/>
    <m/>
    <m/>
    <m/>
    <m/>
    <x v="0"/>
  </r>
  <r>
    <d v="2021-03-30T00:00:00"/>
    <x v="3"/>
    <x v="26"/>
    <x v="26"/>
    <n v="-150000"/>
    <n v="0"/>
    <n v="150000"/>
    <x v="281"/>
    <s v="Cali"/>
    <m/>
    <m/>
    <m/>
    <m/>
    <x v="0"/>
  </r>
  <r>
    <m/>
    <x v="1"/>
    <x v="23"/>
    <x v="23"/>
    <m/>
    <m/>
    <m/>
    <x v="1"/>
    <m/>
    <m/>
    <m/>
    <m/>
    <m/>
    <x v="0"/>
  </r>
  <r>
    <d v="2021-03-30T00:00:00"/>
    <x v="3"/>
    <x v="0"/>
    <x v="0"/>
    <n v="1200000"/>
    <n v="1200000"/>
    <n v="0"/>
    <x v="288"/>
    <s v="Cali"/>
    <m/>
    <m/>
    <m/>
    <m/>
    <x v="0"/>
  </r>
  <r>
    <d v="2021-03-30T00:00:00"/>
    <x v="3"/>
    <x v="26"/>
    <x v="26"/>
    <n v="-1200000"/>
    <n v="0"/>
    <n v="1200000"/>
    <x v="288"/>
    <s v="Cali"/>
    <m/>
    <m/>
    <m/>
    <m/>
    <x v="0"/>
  </r>
  <r>
    <m/>
    <x v="1"/>
    <x v="23"/>
    <x v="23"/>
    <m/>
    <m/>
    <m/>
    <x v="1"/>
    <m/>
    <m/>
    <m/>
    <m/>
    <m/>
    <x v="0"/>
  </r>
  <r>
    <d v="2021-03-30T00:00:00"/>
    <x v="3"/>
    <x v="0"/>
    <x v="0"/>
    <n v="15000"/>
    <n v="15000"/>
    <n v="0"/>
    <x v="205"/>
    <s v="Cali"/>
    <m/>
    <m/>
    <m/>
    <m/>
    <x v="0"/>
  </r>
  <r>
    <d v="2021-03-30T00:00:00"/>
    <x v="3"/>
    <x v="27"/>
    <x v="27"/>
    <n v="-15000"/>
    <n v="0"/>
    <n v="15000"/>
    <x v="205"/>
    <s v="Cali"/>
    <m/>
    <m/>
    <m/>
    <m/>
    <x v="0"/>
  </r>
  <r>
    <m/>
    <x v="1"/>
    <x v="23"/>
    <x v="23"/>
    <m/>
    <m/>
    <m/>
    <x v="1"/>
    <m/>
    <m/>
    <m/>
    <m/>
    <m/>
    <x v="0"/>
  </r>
  <r>
    <d v="2021-03-31T00:00:00"/>
    <x v="3"/>
    <x v="0"/>
    <x v="0"/>
    <n v="2150000"/>
    <n v="2150000"/>
    <n v="0"/>
    <x v="279"/>
    <s v="Cali"/>
    <m/>
    <m/>
    <m/>
    <m/>
    <x v="0"/>
  </r>
  <r>
    <d v="2021-03-31T00:00:00"/>
    <x v="3"/>
    <x v="26"/>
    <x v="26"/>
    <n v="-2150000"/>
    <n v="0"/>
    <n v="2150000"/>
    <x v="279"/>
    <s v="Cali"/>
    <m/>
    <m/>
    <m/>
    <m/>
    <x v="0"/>
  </r>
  <r>
    <m/>
    <x v="1"/>
    <x v="23"/>
    <x v="23"/>
    <m/>
    <m/>
    <m/>
    <x v="1"/>
    <m/>
    <m/>
    <m/>
    <m/>
    <m/>
    <x v="0"/>
  </r>
  <r>
    <d v="2021-03-31T00:00:00"/>
    <x v="3"/>
    <x v="0"/>
    <x v="0"/>
    <n v="14000"/>
    <n v="14000"/>
    <n v="0"/>
    <x v="289"/>
    <s v="Cali"/>
    <m/>
    <m/>
    <m/>
    <m/>
    <x v="0"/>
  </r>
  <r>
    <d v="2021-03-31T00:00:00"/>
    <x v="3"/>
    <x v="26"/>
    <x v="26"/>
    <n v="-14000"/>
    <n v="0"/>
    <n v="14000"/>
    <x v="289"/>
    <s v="Cali"/>
    <m/>
    <m/>
    <m/>
    <m/>
    <x v="0"/>
  </r>
  <r>
    <m/>
    <x v="1"/>
    <x v="23"/>
    <x v="23"/>
    <m/>
    <m/>
    <m/>
    <x v="1"/>
    <m/>
    <m/>
    <m/>
    <m/>
    <m/>
    <x v="0"/>
  </r>
  <r>
    <d v="2021-03-31T00:00:00"/>
    <x v="3"/>
    <x v="0"/>
    <x v="0"/>
    <n v="494050"/>
    <n v="494050"/>
    <n v="0"/>
    <x v="290"/>
    <s v="Cali"/>
    <m/>
    <m/>
    <m/>
    <m/>
    <x v="0"/>
  </r>
  <r>
    <d v="2021-03-31T00:00:00"/>
    <x v="3"/>
    <x v="26"/>
    <x v="26"/>
    <n v="-494050"/>
    <n v="0"/>
    <n v="494050"/>
    <x v="290"/>
    <s v="Cali"/>
    <m/>
    <m/>
    <m/>
    <m/>
    <x v="0"/>
  </r>
  <r>
    <m/>
    <x v="1"/>
    <x v="23"/>
    <x v="23"/>
    <m/>
    <m/>
    <m/>
    <x v="1"/>
    <m/>
    <m/>
    <m/>
    <m/>
    <m/>
    <x v="0"/>
  </r>
  <r>
    <d v="2021-03-31T00:00:00"/>
    <x v="3"/>
    <x v="0"/>
    <x v="0"/>
    <n v="20000"/>
    <n v="20000"/>
    <n v="0"/>
    <x v="246"/>
    <s v="Cali"/>
    <m/>
    <m/>
    <m/>
    <m/>
    <x v="0"/>
  </r>
  <r>
    <d v="2021-03-31T00:00:00"/>
    <x v="3"/>
    <x v="25"/>
    <x v="25"/>
    <n v="-20000"/>
    <n v="0"/>
    <n v="20000"/>
    <x v="246"/>
    <s v="Cali"/>
    <m/>
    <m/>
    <m/>
    <m/>
    <x v="0"/>
  </r>
  <r>
    <m/>
    <x v="1"/>
    <x v="23"/>
    <x v="23"/>
    <m/>
    <m/>
    <m/>
    <x v="1"/>
    <m/>
    <m/>
    <m/>
    <m/>
    <m/>
    <x v="0"/>
  </r>
  <r>
    <d v="2021-03-31T00:00:00"/>
    <x v="3"/>
    <x v="0"/>
    <x v="0"/>
    <n v="20000"/>
    <n v="20000"/>
    <n v="0"/>
    <x v="132"/>
    <s v="Cali"/>
    <m/>
    <m/>
    <m/>
    <m/>
    <x v="0"/>
  </r>
  <r>
    <d v="2021-03-31T00:00:00"/>
    <x v="3"/>
    <x v="25"/>
    <x v="25"/>
    <n v="-20000"/>
    <n v="0"/>
    <n v="20000"/>
    <x v="132"/>
    <s v="Cali"/>
    <m/>
    <m/>
    <m/>
    <m/>
    <x v="0"/>
  </r>
  <r>
    <m/>
    <x v="1"/>
    <x v="23"/>
    <x v="23"/>
    <m/>
    <m/>
    <m/>
    <x v="1"/>
    <m/>
    <m/>
    <m/>
    <m/>
    <m/>
    <x v="0"/>
  </r>
  <r>
    <d v="2021-03-12T00:00:00"/>
    <x v="3"/>
    <x v="51"/>
    <x v="51"/>
    <n v="29400000"/>
    <n v="29400000"/>
    <n v="0"/>
    <x v="291"/>
    <s v="Cali"/>
    <m/>
    <m/>
    <m/>
    <m/>
    <x v="0"/>
  </r>
  <r>
    <d v="2021-03-12T00:00:00"/>
    <x v="3"/>
    <x v="26"/>
    <x v="26"/>
    <n v="-29400000"/>
    <n v="0"/>
    <n v="29400000"/>
    <x v="291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53"/>
    <x v="53"/>
    <n v="30000000"/>
    <n v="30000000"/>
    <n v="0"/>
    <x v="292"/>
    <s v="Cali"/>
    <m/>
    <m/>
    <m/>
    <m/>
    <x v="0"/>
  </r>
  <r>
    <d v="2021-03-15T00:00:00"/>
    <x v="3"/>
    <x v="51"/>
    <x v="51"/>
    <n v="-30000000"/>
    <n v="0"/>
    <n v="30000000"/>
    <x v="292"/>
    <s v="Cali"/>
    <m/>
    <m/>
    <m/>
    <m/>
    <x v="0"/>
  </r>
  <r>
    <m/>
    <x v="1"/>
    <x v="23"/>
    <x v="23"/>
    <m/>
    <m/>
    <m/>
    <x v="1"/>
    <m/>
    <m/>
    <m/>
    <m/>
    <m/>
    <x v="0"/>
  </r>
  <r>
    <d v="2021-03-08T00:00:00"/>
    <x v="3"/>
    <x v="31"/>
    <x v="31"/>
    <n v="527"/>
    <n v="527"/>
    <n v="0"/>
    <x v="215"/>
    <s v="Cali"/>
    <m/>
    <m/>
    <m/>
    <m/>
    <x v="0"/>
  </r>
  <r>
    <d v="2021-03-08T00:00:00"/>
    <x v="3"/>
    <x v="1"/>
    <x v="1"/>
    <n v="-527"/>
    <n v="0"/>
    <n v="527"/>
    <x v="215"/>
    <s v="Cali"/>
    <s v="80965500-8"/>
    <s v="PROYECTOS Y CONSTRUCCIONES TASCO LIMITADA"/>
    <n v="2884"/>
    <m/>
    <x v="0"/>
  </r>
  <r>
    <m/>
    <x v="1"/>
    <x v="23"/>
    <x v="23"/>
    <m/>
    <m/>
    <m/>
    <x v="1"/>
    <m/>
    <s v="80965500-8"/>
    <s v="PROYECTOS Y CONSTRUCCIONES TASCO LIMITADA"/>
    <n v="2884"/>
    <m/>
    <x v="0"/>
  </r>
  <r>
    <d v="2021-03-08T00:00:00"/>
    <x v="3"/>
    <x v="31"/>
    <x v="31"/>
    <n v="100"/>
    <n v="100"/>
    <n v="0"/>
    <x v="215"/>
    <s v="Cali"/>
    <s v="80965500-8"/>
    <s v="PROYECTOS Y CONSTRUCCIONES TASCO LIMITADA"/>
    <n v="2884"/>
    <m/>
    <x v="0"/>
  </r>
  <r>
    <d v="2021-03-08T00:00:00"/>
    <x v="3"/>
    <x v="1"/>
    <x v="1"/>
    <n v="-100"/>
    <n v="0"/>
    <n v="100"/>
    <x v="215"/>
    <s v="Cali"/>
    <s v="80965500-8"/>
    <s v="PROYECTOS Y CONSTRUCCIONES TASCO LIMITADA"/>
    <n v="2884"/>
    <m/>
    <x v="0"/>
  </r>
  <r>
    <m/>
    <x v="1"/>
    <x v="23"/>
    <x v="23"/>
    <m/>
    <m/>
    <m/>
    <x v="1"/>
    <m/>
    <m/>
    <m/>
    <m/>
    <m/>
    <x v="0"/>
  </r>
  <r>
    <d v="2021-03-12T00:00:00"/>
    <x v="3"/>
    <x v="1"/>
    <x v="1"/>
    <n v="80000000"/>
    <n v="80000000"/>
    <n v="0"/>
    <x v="225"/>
    <s v="Cali"/>
    <s v="80965500-8"/>
    <s v="PROYECTOS Y CONSTRUCCIONES TASCO LIMITADA"/>
    <n v="284"/>
    <m/>
    <x v="0"/>
  </r>
  <r>
    <d v="2021-03-12T00:00:00"/>
    <x v="3"/>
    <x v="3"/>
    <x v="3"/>
    <n v="-80000000"/>
    <n v="0"/>
    <n v="80000000"/>
    <x v="225"/>
    <s v="Cali"/>
    <s v="80965500-8"/>
    <s v="PROYECTOS Y CONSTRUCCIONES TASCO LIMITADA"/>
    <n v="284"/>
    <m/>
    <x v="0"/>
  </r>
  <r>
    <m/>
    <x v="1"/>
    <x v="23"/>
    <x v="23"/>
    <m/>
    <m/>
    <m/>
    <x v="1"/>
    <m/>
    <m/>
    <m/>
    <m/>
    <m/>
    <x v="0"/>
  </r>
  <r>
    <d v="2021-03-15T00:00:00"/>
    <x v="3"/>
    <x v="11"/>
    <x v="11"/>
    <n v="-9621480"/>
    <n v="0"/>
    <n v="9621480"/>
    <x v="293"/>
    <s v="Cali"/>
    <s v="89485200-3"/>
    <s v="COZ Y COMPAÃ‘IA S.A."/>
    <n v="5921"/>
    <m/>
    <x v="0"/>
  </r>
  <r>
    <d v="2021-03-15T00:00:00"/>
    <x v="3"/>
    <x v="8"/>
    <x v="8"/>
    <n v="111750674"/>
    <n v="111750674"/>
    <n v="0"/>
    <x v="294"/>
    <s v="Cali"/>
    <m/>
    <m/>
    <m/>
    <m/>
    <x v="0"/>
  </r>
  <r>
    <d v="2021-03-15T00:00:00"/>
    <x v="3"/>
    <x v="18"/>
    <x v="18"/>
    <n v="-4810745"/>
    <n v="0"/>
    <n v="4810745"/>
    <x v="295"/>
    <s v="Cali"/>
    <m/>
    <m/>
    <m/>
    <m/>
    <x v="0"/>
  </r>
  <r>
    <d v="2021-03-15T00:00:00"/>
    <x v="3"/>
    <x v="48"/>
    <x v="48"/>
    <n v="-97318449"/>
    <n v="0"/>
    <n v="97318449"/>
    <x v="129"/>
    <s v="Cali"/>
    <s v="89485200-3"/>
    <s v="COZ Y COMPAÃ‘IA S.A."/>
    <n v="5973"/>
    <s v="138-01"/>
    <x v="3"/>
  </r>
  <r>
    <m/>
    <x v="1"/>
    <x v="23"/>
    <x v="23"/>
    <m/>
    <m/>
    <m/>
    <x v="1"/>
    <m/>
    <s v="89485200-3"/>
    <s v="COZ Y COMPAÃ‘IA S.A."/>
    <n v="5973"/>
    <m/>
    <x v="1"/>
  </r>
  <r>
    <d v="2021-03-15T00:00:00"/>
    <x v="3"/>
    <x v="48"/>
    <x v="48"/>
    <n v="97318449"/>
    <n v="97318449"/>
    <n v="0"/>
    <x v="229"/>
    <s v="Cali"/>
    <m/>
    <m/>
    <m/>
    <m/>
    <x v="0"/>
  </r>
  <r>
    <d v="2021-03-15T00:00:00"/>
    <x v="3"/>
    <x v="1"/>
    <x v="1"/>
    <n v="-97318449"/>
    <n v="0"/>
    <n v="97318449"/>
    <x v="229"/>
    <s v="Cali"/>
    <s v="89485200-3"/>
    <s v="COZ Y COMPAÃ‘IA S.A."/>
    <n v="5973"/>
    <m/>
    <x v="0"/>
  </r>
  <r>
    <m/>
    <x v="1"/>
    <x v="23"/>
    <x v="23"/>
    <m/>
    <m/>
    <m/>
    <x v="1"/>
    <m/>
    <m/>
    <m/>
    <m/>
    <m/>
    <x v="1"/>
  </r>
  <r>
    <d v="2021-03-15T00:00:00"/>
    <x v="3"/>
    <x v="48"/>
    <x v="48"/>
    <n v="4222126"/>
    <n v="4222126"/>
    <n v="0"/>
    <x v="296"/>
    <s v="Cali"/>
    <m/>
    <m/>
    <m/>
    <m/>
    <x v="0"/>
  </r>
  <r>
    <d v="2021-03-15T00:00:00"/>
    <x v="3"/>
    <x v="1"/>
    <x v="1"/>
    <n v="-4222126"/>
    <n v="0"/>
    <n v="4222126"/>
    <x v="230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12"/>
    <x v="12"/>
    <n v="4243498"/>
    <n v="4243498"/>
    <n v="0"/>
    <x v="297"/>
    <s v="Cali"/>
    <m/>
    <m/>
    <m/>
    <m/>
    <x v="0"/>
  </r>
  <r>
    <d v="2021-03-15T00:00:00"/>
    <x v="3"/>
    <x v="48"/>
    <x v="48"/>
    <n v="-4243498"/>
    <n v="0"/>
    <n v="4243498"/>
    <x v="297"/>
    <s v="Cali"/>
    <m/>
    <m/>
    <m/>
    <m/>
    <x v="0"/>
  </r>
  <r>
    <m/>
    <x v="1"/>
    <x v="23"/>
    <x v="23"/>
    <m/>
    <m/>
    <m/>
    <x v="1"/>
    <m/>
    <m/>
    <m/>
    <m/>
    <m/>
    <x v="0"/>
  </r>
  <r>
    <d v="2021-03-15T00:00:00"/>
    <x v="3"/>
    <x v="48"/>
    <x v="48"/>
    <n v="4243498"/>
    <n v="4243498"/>
    <n v="0"/>
    <x v="297"/>
    <s v="Cali"/>
    <m/>
    <m/>
    <m/>
    <m/>
    <x v="0"/>
  </r>
  <r>
    <d v="2021-03-15T00:00:00"/>
    <x v="3"/>
    <x v="1"/>
    <x v="1"/>
    <n v="-4243498"/>
    <n v="0"/>
    <n v="4243498"/>
    <x v="297"/>
    <s v="Cali"/>
    <m/>
    <m/>
    <m/>
    <m/>
    <x v="0"/>
  </r>
  <r>
    <m/>
    <x v="1"/>
    <x v="23"/>
    <x v="23"/>
    <m/>
    <m/>
    <m/>
    <x v="1"/>
    <m/>
    <m/>
    <m/>
    <m/>
    <m/>
    <x v="0"/>
  </r>
  <r>
    <d v="2021-03-31T00:00:00"/>
    <x v="3"/>
    <x v="32"/>
    <x v="32"/>
    <n v="-582000"/>
    <n v="0"/>
    <n v="582000"/>
    <x v="298"/>
    <s v="Cali"/>
    <m/>
    <m/>
    <m/>
    <m/>
    <x v="0"/>
  </r>
  <r>
    <d v="2021-03-31T00:00:00"/>
    <x v="3"/>
    <x v="33"/>
    <x v="33"/>
    <n v="0"/>
    <n v="0"/>
    <n v="0"/>
    <x v="298"/>
    <s v="Cali"/>
    <m/>
    <m/>
    <m/>
    <m/>
    <x v="0"/>
  </r>
  <r>
    <d v="2021-03-31T00:00:00"/>
    <x v="3"/>
    <x v="34"/>
    <x v="34"/>
    <n v="-752000"/>
    <n v="0"/>
    <n v="752000"/>
    <x v="298"/>
    <s v="Cali"/>
    <m/>
    <m/>
    <m/>
    <m/>
    <x v="0"/>
  </r>
  <r>
    <d v="2021-03-31T00:00:00"/>
    <x v="3"/>
    <x v="35"/>
    <x v="35"/>
    <n v="-3656000"/>
    <n v="0"/>
    <n v="3656000"/>
    <x v="298"/>
    <s v="Cali"/>
    <m/>
    <m/>
    <m/>
    <m/>
    <x v="0"/>
  </r>
  <r>
    <d v="2021-03-31T00:00:00"/>
    <x v="3"/>
    <x v="36"/>
    <x v="36"/>
    <n v="-4374600"/>
    <n v="0"/>
    <n v="4374600"/>
    <x v="298"/>
    <s v="Cali"/>
    <m/>
    <m/>
    <m/>
    <m/>
    <x v="0"/>
  </r>
  <r>
    <d v="2021-03-31T00:00:00"/>
    <x v="3"/>
    <x v="37"/>
    <x v="37"/>
    <n v="-5408258"/>
    <n v="0"/>
    <n v="5408258"/>
    <x v="298"/>
    <s v="Cali"/>
    <m/>
    <m/>
    <m/>
    <m/>
    <x v="0"/>
  </r>
  <r>
    <d v="2021-03-31T00:00:00"/>
    <x v="3"/>
    <x v="29"/>
    <x v="29"/>
    <n v="582000"/>
    <n v="582000"/>
    <n v="0"/>
    <x v="298"/>
    <s v="Cali"/>
    <m/>
    <m/>
    <m/>
    <m/>
    <x v="0"/>
  </r>
  <r>
    <d v="2021-03-31T00:00:00"/>
    <x v="3"/>
    <x v="27"/>
    <x v="27"/>
    <n v="752000"/>
    <n v="752000"/>
    <n v="0"/>
    <x v="298"/>
    <s v="Cali"/>
    <m/>
    <m/>
    <m/>
    <m/>
    <x v="0"/>
  </r>
  <r>
    <d v="2021-03-31T00:00:00"/>
    <x v="3"/>
    <x v="25"/>
    <x v="25"/>
    <n v="3656000"/>
    <n v="3656000"/>
    <n v="0"/>
    <x v="298"/>
    <s v="Cali"/>
    <m/>
    <m/>
    <m/>
    <m/>
    <x v="0"/>
  </r>
  <r>
    <d v="2021-03-31T00:00:00"/>
    <x v="3"/>
    <x v="5"/>
    <x v="5"/>
    <n v="9782858"/>
    <n v="9782858"/>
    <n v="0"/>
    <x v="298"/>
    <s v="Cali"/>
    <m/>
    <m/>
    <m/>
    <m/>
    <x v="0"/>
  </r>
  <r>
    <d v="2021-03-31T00:00:00"/>
    <x v="3"/>
    <x v="15"/>
    <x v="15"/>
    <n v="-2983999"/>
    <n v="0"/>
    <n v="2983999"/>
    <x v="298"/>
    <s v="Cali"/>
    <m/>
    <m/>
    <m/>
    <m/>
    <x v="0"/>
  </r>
  <r>
    <d v="2021-03-31T00:00:00"/>
    <x v="3"/>
    <x v="38"/>
    <x v="38"/>
    <n v="2983999"/>
    <n v="2983999"/>
    <n v="0"/>
    <x v="298"/>
    <s v="Cali"/>
    <m/>
    <m/>
    <m/>
    <m/>
    <x v="0"/>
  </r>
  <r>
    <d v="2021-03-31T00:00:00"/>
    <x v="3"/>
    <x v="16"/>
    <x v="16"/>
    <n v="-69840"/>
    <n v="0"/>
    <n v="69840"/>
    <x v="298"/>
    <s v="Cali"/>
    <m/>
    <m/>
    <m/>
    <m/>
    <x v="0"/>
  </r>
  <r>
    <d v="2021-03-31T00:00:00"/>
    <x v="3"/>
    <x v="14"/>
    <x v="14"/>
    <n v="-147729"/>
    <n v="0"/>
    <n v="147729"/>
    <x v="298"/>
    <s v="Cali"/>
    <m/>
    <m/>
    <m/>
    <m/>
    <x v="0"/>
  </r>
  <r>
    <d v="2021-03-31T00:00:00"/>
    <x v="3"/>
    <x v="39"/>
    <x v="39"/>
    <n v="69840"/>
    <n v="69840"/>
    <n v="0"/>
    <x v="298"/>
    <s v="Cali"/>
    <m/>
    <m/>
    <m/>
    <m/>
    <x v="0"/>
  </r>
  <r>
    <d v="2021-03-31T00:00:00"/>
    <x v="3"/>
    <x v="40"/>
    <x v="40"/>
    <n v="147729"/>
    <n v="147729"/>
    <n v="0"/>
    <x v="298"/>
    <s v="Cali"/>
    <m/>
    <m/>
    <m/>
    <m/>
    <x v="0"/>
  </r>
  <r>
    <d v="2021-03-31T00:00:00"/>
    <x v="3"/>
    <x v="41"/>
    <x v="41"/>
    <n v="-4900254"/>
    <n v="0"/>
    <n v="4900254"/>
    <x v="298"/>
    <s v="Cali"/>
    <m/>
    <m/>
    <m/>
    <m/>
    <x v="0"/>
  </r>
  <r>
    <d v="2021-03-31T00:00:00"/>
    <x v="3"/>
    <x v="42"/>
    <x v="42"/>
    <n v="-2112500"/>
    <n v="0"/>
    <n v="2112500"/>
    <x v="298"/>
    <s v="Cali"/>
    <m/>
    <m/>
    <m/>
    <m/>
    <x v="0"/>
  </r>
  <r>
    <d v="2021-03-31T00:00:00"/>
    <x v="3"/>
    <x v="43"/>
    <x v="43"/>
    <n v="318122"/>
    <n v="318122"/>
    <n v="0"/>
    <x v="298"/>
    <s v="Cali"/>
    <m/>
    <m/>
    <m/>
    <m/>
    <x v="0"/>
  </r>
  <r>
    <d v="2021-03-31T00:00:00"/>
    <x v="3"/>
    <x v="43"/>
    <x v="43"/>
    <n v="52813"/>
    <n v="52813"/>
    <n v="0"/>
    <x v="298"/>
    <s v="Cali"/>
    <m/>
    <m/>
    <m/>
    <m/>
    <x v="0"/>
  </r>
  <r>
    <d v="2021-03-31T00:00:00"/>
    <x v="3"/>
    <x v="38"/>
    <x v="38"/>
    <n v="2719877"/>
    <n v="2719877"/>
    <n v="0"/>
    <x v="298"/>
    <s v="Cali"/>
    <m/>
    <m/>
    <m/>
    <m/>
    <x v="0"/>
  </r>
  <r>
    <d v="2021-03-31T00:00:00"/>
    <x v="3"/>
    <x v="40"/>
    <x v="40"/>
    <n v="49003"/>
    <n v="49003"/>
    <n v="0"/>
    <x v="298"/>
    <s v="Cali"/>
    <m/>
    <m/>
    <m/>
    <m/>
    <x v="0"/>
  </r>
  <r>
    <d v="2021-03-31T00:00:00"/>
    <x v="3"/>
    <x v="40"/>
    <x v="40"/>
    <n v="21125"/>
    <n v="21125"/>
    <n v="0"/>
    <x v="298"/>
    <s v="Cali"/>
    <m/>
    <m/>
    <m/>
    <m/>
    <x v="0"/>
  </r>
  <r>
    <d v="2021-03-31T00:00:00"/>
    <x v="3"/>
    <x v="44"/>
    <x v="44"/>
    <n v="1813252"/>
    <n v="1813252"/>
    <n v="0"/>
    <x v="298"/>
    <s v="Cali"/>
    <m/>
    <m/>
    <m/>
    <m/>
    <x v="0"/>
  </r>
  <r>
    <d v="2021-03-31T00:00:00"/>
    <x v="3"/>
    <x v="45"/>
    <x v="45"/>
    <n v="2038562"/>
    <n v="2038562"/>
    <n v="0"/>
    <x v="298"/>
    <s v="Cali"/>
    <m/>
    <m/>
    <m/>
    <m/>
    <x v="0"/>
  </r>
  <r>
    <d v="2021-03-31T00:00:00"/>
    <x v="3"/>
    <x v="5"/>
    <x v="5"/>
    <n v="-244870"/>
    <n v="0"/>
    <n v="244870"/>
    <x v="298"/>
    <s v="Cali"/>
    <m/>
    <m/>
    <m/>
    <m/>
    <x v="0"/>
  </r>
  <r>
    <d v="2021-03-31T00:00:00"/>
    <x v="3"/>
    <x v="30"/>
    <x v="30"/>
    <n v="244870"/>
    <n v="244870"/>
    <n v="0"/>
    <x v="298"/>
    <s v="Cali"/>
    <m/>
    <m/>
    <m/>
    <m/>
    <x v="0"/>
  </r>
  <r>
    <m/>
    <x v="1"/>
    <x v="23"/>
    <x v="23"/>
    <m/>
    <m/>
    <m/>
    <x v="1"/>
    <m/>
    <m/>
    <m/>
    <m/>
    <m/>
    <x v="0"/>
  </r>
  <r>
    <d v="2021-03-31T00:00:00"/>
    <x v="3"/>
    <x v="13"/>
    <x v="13"/>
    <n v="20000"/>
    <n v="20000"/>
    <n v="0"/>
    <x v="223"/>
    <s v="Cali"/>
    <m/>
    <m/>
    <m/>
    <m/>
    <x v="0"/>
  </r>
  <r>
    <d v="2021-03-31T00:00:00"/>
    <x v="3"/>
    <x v="13"/>
    <x v="13"/>
    <n v="60000"/>
    <n v="60000"/>
    <n v="0"/>
    <x v="299"/>
    <s v="Cali"/>
    <m/>
    <m/>
    <m/>
    <m/>
    <x v="0"/>
  </r>
  <r>
    <d v="2021-03-31T00:00:00"/>
    <x v="3"/>
    <x v="13"/>
    <x v="13"/>
    <n v="30000"/>
    <n v="30000"/>
    <n v="0"/>
    <x v="221"/>
    <s v="Cali"/>
    <m/>
    <m/>
    <m/>
    <m/>
    <x v="0"/>
  </r>
  <r>
    <d v="2021-03-31T00:00:00"/>
    <x v="3"/>
    <x v="13"/>
    <x v="13"/>
    <n v="20000"/>
    <n v="20000"/>
    <n v="0"/>
    <x v="300"/>
    <s v="Cali"/>
    <m/>
    <m/>
    <m/>
    <m/>
    <x v="0"/>
  </r>
  <r>
    <d v="2021-03-31T00:00:00"/>
    <x v="3"/>
    <x v="13"/>
    <x v="13"/>
    <n v="15000"/>
    <n v="15000"/>
    <n v="0"/>
    <x v="301"/>
    <s v="Cali"/>
    <m/>
    <m/>
    <m/>
    <m/>
    <x v="0"/>
  </r>
  <r>
    <d v="2021-03-31T00:00:00"/>
    <x v="3"/>
    <x v="13"/>
    <x v="13"/>
    <n v="100000"/>
    <n v="100000"/>
    <n v="0"/>
    <x v="302"/>
    <s v="Cali"/>
    <m/>
    <m/>
    <m/>
    <m/>
    <x v="0"/>
  </r>
  <r>
    <d v="2021-03-31T00:00:00"/>
    <x v="3"/>
    <x v="13"/>
    <x v="13"/>
    <n v="250000"/>
    <n v="250000"/>
    <n v="0"/>
    <x v="303"/>
    <s v="Cali"/>
    <m/>
    <m/>
    <m/>
    <m/>
    <x v="0"/>
  </r>
  <r>
    <d v="2021-03-31T00:00:00"/>
    <x v="3"/>
    <x v="13"/>
    <x v="13"/>
    <n v="120000"/>
    <n v="120000"/>
    <n v="0"/>
    <x v="304"/>
    <s v="Cali"/>
    <m/>
    <m/>
    <m/>
    <m/>
    <x v="0"/>
  </r>
  <r>
    <d v="2021-03-31T00:00:00"/>
    <x v="3"/>
    <x v="26"/>
    <x v="26"/>
    <n v="-20000"/>
    <n v="0"/>
    <n v="20000"/>
    <x v="223"/>
    <s v="Cali"/>
    <m/>
    <m/>
    <m/>
    <m/>
    <x v="0"/>
  </r>
  <r>
    <d v="2021-03-31T00:00:00"/>
    <x v="3"/>
    <x v="26"/>
    <x v="26"/>
    <n v="-60000"/>
    <n v="0"/>
    <n v="60000"/>
    <x v="299"/>
    <s v="Cali"/>
    <m/>
    <m/>
    <m/>
    <m/>
    <x v="0"/>
  </r>
  <r>
    <d v="2021-03-31T00:00:00"/>
    <x v="3"/>
    <x v="25"/>
    <x v="25"/>
    <n v="-30000"/>
    <n v="0"/>
    <n v="30000"/>
    <x v="221"/>
    <s v="Cali"/>
    <m/>
    <m/>
    <m/>
    <m/>
    <x v="0"/>
  </r>
  <r>
    <d v="2021-03-31T00:00:00"/>
    <x v="3"/>
    <x v="26"/>
    <x v="26"/>
    <n v="-20000"/>
    <n v="0"/>
    <n v="20000"/>
    <x v="300"/>
    <s v="Cali"/>
    <m/>
    <m/>
    <m/>
    <m/>
    <x v="0"/>
  </r>
  <r>
    <d v="2021-03-31T00:00:00"/>
    <x v="3"/>
    <x v="25"/>
    <x v="25"/>
    <n v="-15000"/>
    <n v="0"/>
    <n v="15000"/>
    <x v="301"/>
    <s v="Cali"/>
    <m/>
    <m/>
    <m/>
    <m/>
    <x v="0"/>
  </r>
  <r>
    <d v="2021-03-31T00:00:00"/>
    <x v="3"/>
    <x v="26"/>
    <x v="26"/>
    <n v="-100000"/>
    <n v="0"/>
    <n v="100000"/>
    <x v="302"/>
    <s v="Cali"/>
    <m/>
    <m/>
    <m/>
    <m/>
    <x v="0"/>
  </r>
  <r>
    <d v="2021-03-31T00:00:00"/>
    <x v="3"/>
    <x v="26"/>
    <x v="26"/>
    <n v="-250000"/>
    <n v="0"/>
    <n v="250000"/>
    <x v="303"/>
    <s v="Cali"/>
    <m/>
    <m/>
    <m/>
    <m/>
    <x v="0"/>
  </r>
  <r>
    <d v="2021-03-31T00:00:00"/>
    <x v="3"/>
    <x v="25"/>
    <x v="25"/>
    <n v="-120000"/>
    <n v="0"/>
    <n v="120000"/>
    <x v="304"/>
    <s v="Cali"/>
    <m/>
    <m/>
    <m/>
    <m/>
    <x v="0"/>
  </r>
  <r>
    <d v="2021-03-31T00:00:00"/>
    <x v="3"/>
    <x v="13"/>
    <x v="13"/>
    <n v="100000"/>
    <n v="100000"/>
    <n v="0"/>
    <x v="220"/>
    <s v="Cali"/>
    <m/>
    <m/>
    <m/>
    <m/>
    <x v="0"/>
  </r>
  <r>
    <d v="2021-03-31T00:00:00"/>
    <x v="3"/>
    <x v="25"/>
    <x v="25"/>
    <n v="-100000"/>
    <n v="0"/>
    <n v="100000"/>
    <x v="220"/>
    <s v="Cali"/>
    <m/>
    <m/>
    <m/>
    <m/>
    <x v="0"/>
  </r>
  <r>
    <m/>
    <x v="1"/>
    <x v="23"/>
    <x v="23"/>
    <m/>
    <m/>
    <m/>
    <x v="1"/>
    <m/>
    <m/>
    <m/>
    <m/>
    <m/>
    <x v="0"/>
  </r>
  <r>
    <d v="2021-03-31T00:00:00"/>
    <x v="3"/>
    <x v="46"/>
    <x v="46"/>
    <n v="0"/>
    <n v="0"/>
    <n v="0"/>
    <x v="110"/>
    <s v="Cali"/>
    <m/>
    <m/>
    <m/>
    <m/>
    <x v="0"/>
  </r>
  <r>
    <d v="2021-03-31T00:00:00"/>
    <x v="3"/>
    <x v="47"/>
    <x v="47"/>
    <n v="0"/>
    <n v="0"/>
    <n v="0"/>
    <x v="110"/>
    <s v="Cali"/>
    <m/>
    <m/>
    <m/>
    <m/>
    <x v="0"/>
  </r>
  <r>
    <m/>
    <x v="1"/>
    <x v="23"/>
    <x v="23"/>
    <m/>
    <m/>
    <m/>
    <x v="1"/>
    <m/>
    <m/>
    <m/>
    <m/>
    <m/>
    <x v="0"/>
  </r>
  <r>
    <d v="2021-03-31T00:00:00"/>
    <x v="3"/>
    <x v="2"/>
    <x v="2"/>
    <n v="651519"/>
    <n v="651519"/>
    <n v="0"/>
    <x v="111"/>
    <s v="Cali"/>
    <m/>
    <m/>
    <m/>
    <m/>
    <x v="0"/>
  </r>
  <r>
    <d v="2021-03-31T00:00:00"/>
    <x v="3"/>
    <x v="47"/>
    <x v="47"/>
    <n v="-651519"/>
    <n v="0"/>
    <n v="651519"/>
    <x v="111"/>
    <s v="Cali"/>
    <m/>
    <m/>
    <m/>
    <m/>
    <x v="0"/>
  </r>
  <r>
    <m/>
    <x v="1"/>
    <x v="23"/>
    <x v="23"/>
    <m/>
    <m/>
    <m/>
    <x v="1"/>
    <m/>
    <m/>
    <m/>
    <m/>
    <m/>
    <x v="0"/>
  </r>
  <r>
    <d v="2021-03-31T00:00:00"/>
    <x v="3"/>
    <x v="3"/>
    <x v="3"/>
    <n v="4793"/>
    <n v="4793"/>
    <n v="0"/>
    <x v="112"/>
    <s v="Cali"/>
    <m/>
    <m/>
    <m/>
    <m/>
    <x v="0"/>
  </r>
  <r>
    <d v="2021-03-31T00:00:00"/>
    <x v="3"/>
    <x v="47"/>
    <x v="47"/>
    <n v="-4793"/>
    <n v="0"/>
    <n v="4793"/>
    <x v="112"/>
    <s v="Cali"/>
    <m/>
    <m/>
    <m/>
    <m/>
    <x v="0"/>
  </r>
  <r>
    <m/>
    <x v="1"/>
    <x v="23"/>
    <x v="23"/>
    <m/>
    <m/>
    <m/>
    <x v="1"/>
    <m/>
    <m/>
    <m/>
    <m/>
    <m/>
    <x v="0"/>
  </r>
  <r>
    <d v="2021-03-31T00:00:00"/>
    <x v="3"/>
    <x v="53"/>
    <x v="53"/>
    <n v="0"/>
    <n v="0"/>
    <n v="0"/>
    <x v="305"/>
    <s v="Cali"/>
    <m/>
    <m/>
    <m/>
    <m/>
    <x v="0"/>
  </r>
  <r>
    <d v="2021-03-31T00:00:00"/>
    <x v="3"/>
    <x v="47"/>
    <x v="47"/>
    <n v="0"/>
    <n v="0"/>
    <n v="0"/>
    <x v="305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40000"/>
    <n v="40000"/>
    <n v="0"/>
    <x v="11"/>
    <s v="Cali"/>
    <m/>
    <m/>
    <m/>
    <m/>
    <x v="0"/>
  </r>
  <r>
    <d v="2021-04-01T00:00:00"/>
    <x v="4"/>
    <x v="27"/>
    <x v="27"/>
    <n v="-40000"/>
    <n v="0"/>
    <n v="40000"/>
    <x v="11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37000"/>
    <n v="37000"/>
    <n v="0"/>
    <x v="10"/>
    <s v="Cali"/>
    <m/>
    <m/>
    <m/>
    <m/>
    <x v="0"/>
  </r>
  <r>
    <d v="2021-04-01T00:00:00"/>
    <x v="4"/>
    <x v="25"/>
    <x v="25"/>
    <n v="-37000"/>
    <n v="0"/>
    <n v="37000"/>
    <x v="10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10000"/>
    <n v="10000"/>
    <n v="0"/>
    <x v="142"/>
    <s v="Cali"/>
    <m/>
    <m/>
    <m/>
    <m/>
    <x v="0"/>
  </r>
  <r>
    <d v="2021-04-01T00:00:00"/>
    <x v="4"/>
    <x v="25"/>
    <x v="25"/>
    <n v="-10000"/>
    <n v="0"/>
    <n v="10000"/>
    <x v="142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50000"/>
    <n v="50000"/>
    <n v="0"/>
    <x v="143"/>
    <s v="Cali"/>
    <m/>
    <m/>
    <m/>
    <m/>
    <x v="0"/>
  </r>
  <r>
    <d v="2021-04-01T00:00:00"/>
    <x v="4"/>
    <x v="25"/>
    <x v="25"/>
    <n v="-50000"/>
    <n v="0"/>
    <n v="50000"/>
    <x v="143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48000"/>
    <n v="48000"/>
    <n v="0"/>
    <x v="144"/>
    <s v="Cali"/>
    <m/>
    <m/>
    <m/>
    <m/>
    <x v="0"/>
  </r>
  <r>
    <d v="2021-04-01T00:00:00"/>
    <x v="4"/>
    <x v="27"/>
    <x v="27"/>
    <n v="-48000"/>
    <n v="0"/>
    <n v="48000"/>
    <x v="144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40000"/>
    <n v="40000"/>
    <n v="0"/>
    <x v="145"/>
    <s v="Cali"/>
    <m/>
    <m/>
    <m/>
    <m/>
    <x v="0"/>
  </r>
  <r>
    <d v="2021-04-01T00:00:00"/>
    <x v="4"/>
    <x v="25"/>
    <x v="25"/>
    <n v="-40000"/>
    <n v="0"/>
    <n v="40000"/>
    <x v="145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20000"/>
    <n v="20000"/>
    <n v="0"/>
    <x v="146"/>
    <s v="Cali"/>
    <m/>
    <m/>
    <m/>
    <m/>
    <x v="0"/>
  </r>
  <r>
    <d v="2021-04-01T00:00:00"/>
    <x v="4"/>
    <x v="26"/>
    <x v="26"/>
    <n v="-20000"/>
    <n v="0"/>
    <n v="20000"/>
    <x v="146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20000"/>
    <n v="20000"/>
    <n v="0"/>
    <x v="17"/>
    <s v="Cali"/>
    <m/>
    <m/>
    <m/>
    <m/>
    <x v="0"/>
  </r>
  <r>
    <d v="2021-04-01T00:00:00"/>
    <x v="4"/>
    <x v="25"/>
    <x v="25"/>
    <n v="-20000"/>
    <n v="0"/>
    <n v="20000"/>
    <x v="17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50000"/>
    <n v="50000"/>
    <n v="0"/>
    <x v="19"/>
    <s v="Cali"/>
    <m/>
    <m/>
    <m/>
    <m/>
    <x v="0"/>
  </r>
  <r>
    <d v="2021-04-01T00:00:00"/>
    <x v="4"/>
    <x v="25"/>
    <x v="25"/>
    <n v="-50000"/>
    <n v="0"/>
    <n v="50000"/>
    <x v="19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30000"/>
    <n v="30000"/>
    <n v="0"/>
    <x v="147"/>
    <s v="Cali"/>
    <m/>
    <m/>
    <m/>
    <m/>
    <x v="0"/>
  </r>
  <r>
    <d v="2021-04-01T00:00:00"/>
    <x v="4"/>
    <x v="26"/>
    <x v="26"/>
    <n v="-30000"/>
    <n v="0"/>
    <n v="30000"/>
    <x v="147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15000"/>
    <n v="15000"/>
    <n v="0"/>
    <x v="148"/>
    <s v="Cali"/>
    <m/>
    <m/>
    <m/>
    <m/>
    <x v="0"/>
  </r>
  <r>
    <d v="2021-04-01T00:00:00"/>
    <x v="4"/>
    <x v="25"/>
    <x v="25"/>
    <n v="-15000"/>
    <n v="0"/>
    <n v="15000"/>
    <x v="148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3000000"/>
    <n v="3000000"/>
    <n v="0"/>
    <x v="306"/>
    <s v="Cali"/>
    <m/>
    <m/>
    <m/>
    <m/>
    <x v="0"/>
  </r>
  <r>
    <d v="2021-04-01T00:00:00"/>
    <x v="4"/>
    <x v="26"/>
    <x v="26"/>
    <n v="-3000000"/>
    <n v="0"/>
    <n v="3000000"/>
    <x v="306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30000"/>
    <n v="30000"/>
    <n v="0"/>
    <x v="307"/>
    <s v="Cali"/>
    <m/>
    <m/>
    <m/>
    <m/>
    <x v="0"/>
  </r>
  <r>
    <d v="2021-04-01T00:00:00"/>
    <x v="4"/>
    <x v="25"/>
    <x v="25"/>
    <n v="-30000"/>
    <n v="0"/>
    <n v="30000"/>
    <x v="307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100000"/>
    <n v="100000"/>
    <n v="0"/>
    <x v="155"/>
    <s v="Cali"/>
    <m/>
    <m/>
    <m/>
    <m/>
    <x v="0"/>
  </r>
  <r>
    <d v="2021-04-01T00:00:00"/>
    <x v="4"/>
    <x v="27"/>
    <x v="27"/>
    <n v="-100000"/>
    <n v="0"/>
    <n v="100000"/>
    <x v="155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10000"/>
    <n v="10000"/>
    <n v="0"/>
    <x v="308"/>
    <s v="Cali"/>
    <m/>
    <m/>
    <m/>
    <m/>
    <x v="0"/>
  </r>
  <r>
    <d v="2021-04-01T00:00:00"/>
    <x v="4"/>
    <x v="25"/>
    <x v="25"/>
    <n v="-10000"/>
    <n v="0"/>
    <n v="10000"/>
    <x v="308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80000"/>
    <n v="80000"/>
    <n v="0"/>
    <x v="22"/>
    <s v="Cali"/>
    <m/>
    <m/>
    <m/>
    <m/>
    <x v="0"/>
  </r>
  <r>
    <d v="2021-04-01T00:00:00"/>
    <x v="4"/>
    <x v="27"/>
    <x v="27"/>
    <n v="-80000"/>
    <n v="0"/>
    <n v="80000"/>
    <x v="22"/>
    <s v="Cali"/>
    <m/>
    <m/>
    <m/>
    <m/>
    <x v="0"/>
  </r>
  <r>
    <m/>
    <x v="1"/>
    <x v="23"/>
    <x v="23"/>
    <m/>
    <m/>
    <m/>
    <x v="1"/>
    <m/>
    <m/>
    <m/>
    <m/>
    <m/>
    <x v="0"/>
  </r>
  <r>
    <d v="2021-04-01T00:00:00"/>
    <x v="4"/>
    <x v="0"/>
    <x v="0"/>
    <n v="20000"/>
    <n v="20000"/>
    <n v="0"/>
    <x v="174"/>
    <s v="Cali"/>
    <m/>
    <m/>
    <m/>
    <m/>
    <x v="0"/>
  </r>
  <r>
    <d v="2021-04-01T00:00:00"/>
    <x v="4"/>
    <x v="25"/>
    <x v="25"/>
    <n v="-20000"/>
    <n v="0"/>
    <n v="20000"/>
    <x v="174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45000"/>
    <n v="45000"/>
    <n v="0"/>
    <x v="161"/>
    <s v="Cali"/>
    <m/>
    <m/>
    <m/>
    <m/>
    <x v="0"/>
  </r>
  <r>
    <d v="2021-04-05T00:00:00"/>
    <x v="4"/>
    <x v="26"/>
    <x v="26"/>
    <n v="-45000"/>
    <n v="0"/>
    <n v="45000"/>
    <x v="161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50000"/>
    <n v="50000"/>
    <n v="0"/>
    <x v="163"/>
    <s v="Cali"/>
    <m/>
    <m/>
    <m/>
    <m/>
    <x v="0"/>
  </r>
  <r>
    <d v="2021-04-05T00:00:00"/>
    <x v="4"/>
    <x v="25"/>
    <x v="25"/>
    <n v="-50000"/>
    <n v="0"/>
    <n v="50000"/>
    <x v="163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25000"/>
    <n v="25000"/>
    <n v="0"/>
    <x v="158"/>
    <s v="Cali"/>
    <m/>
    <m/>
    <m/>
    <m/>
    <x v="0"/>
  </r>
  <r>
    <d v="2021-04-05T00:00:00"/>
    <x v="4"/>
    <x v="25"/>
    <x v="25"/>
    <n v="-25000"/>
    <n v="0"/>
    <n v="25000"/>
    <x v="158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65000"/>
    <n v="65000"/>
    <n v="0"/>
    <x v="160"/>
    <s v="Cali"/>
    <m/>
    <m/>
    <m/>
    <m/>
    <x v="0"/>
  </r>
  <r>
    <d v="2021-04-05T00:00:00"/>
    <x v="4"/>
    <x v="25"/>
    <x v="25"/>
    <n v="-65000"/>
    <n v="0"/>
    <n v="65000"/>
    <x v="160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30000"/>
    <n v="30000"/>
    <n v="0"/>
    <x v="309"/>
    <s v="Cali"/>
    <m/>
    <m/>
    <m/>
    <m/>
    <x v="0"/>
  </r>
  <r>
    <d v="2021-04-05T00:00:00"/>
    <x v="4"/>
    <x v="26"/>
    <x v="26"/>
    <n v="-30000"/>
    <n v="0"/>
    <n v="30000"/>
    <x v="309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100000"/>
    <n v="100000"/>
    <n v="0"/>
    <x v="192"/>
    <s v="Cali"/>
    <m/>
    <m/>
    <m/>
    <m/>
    <x v="0"/>
  </r>
  <r>
    <d v="2021-04-05T00:00:00"/>
    <x v="4"/>
    <x v="26"/>
    <x v="26"/>
    <n v="-100000"/>
    <n v="0"/>
    <n v="10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25000"/>
    <n v="25000"/>
    <n v="0"/>
    <x v="38"/>
    <s v="Cali"/>
    <m/>
    <m/>
    <m/>
    <m/>
    <x v="0"/>
  </r>
  <r>
    <d v="2021-04-05T00:00:00"/>
    <x v="4"/>
    <x v="25"/>
    <x v="25"/>
    <n v="-25000"/>
    <n v="0"/>
    <n v="25000"/>
    <x v="38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12000"/>
    <n v="12000"/>
    <n v="0"/>
    <x v="150"/>
    <s v="Cali"/>
    <m/>
    <m/>
    <m/>
    <m/>
    <x v="0"/>
  </r>
  <r>
    <d v="2021-04-05T00:00:00"/>
    <x v="4"/>
    <x v="19"/>
    <x v="19"/>
    <n v="-12000"/>
    <n v="0"/>
    <n v="12000"/>
    <x v="150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20000"/>
    <n v="20000"/>
    <n v="0"/>
    <x v="175"/>
    <s v="Cali"/>
    <m/>
    <m/>
    <m/>
    <m/>
    <x v="0"/>
  </r>
  <r>
    <d v="2021-04-05T00:00:00"/>
    <x v="4"/>
    <x v="25"/>
    <x v="25"/>
    <n v="-20000"/>
    <n v="0"/>
    <n v="20000"/>
    <x v="175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30000"/>
    <n v="30000"/>
    <n v="0"/>
    <x v="164"/>
    <s v="Cali"/>
    <m/>
    <m/>
    <m/>
    <m/>
    <x v="0"/>
  </r>
  <r>
    <d v="2021-04-05T00:00:00"/>
    <x v="4"/>
    <x v="26"/>
    <x v="26"/>
    <n v="-30000"/>
    <n v="0"/>
    <n v="30000"/>
    <x v="164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70000"/>
    <n v="70000"/>
    <n v="0"/>
    <x v="37"/>
    <s v="Cali"/>
    <m/>
    <m/>
    <m/>
    <m/>
    <x v="0"/>
  </r>
  <r>
    <d v="2021-04-05T00:00:00"/>
    <x v="4"/>
    <x v="25"/>
    <x v="25"/>
    <n v="-70000"/>
    <n v="0"/>
    <n v="70000"/>
    <x v="37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200000"/>
    <n v="200000"/>
    <n v="0"/>
    <x v="242"/>
    <s v="Cali"/>
    <m/>
    <m/>
    <m/>
    <m/>
    <x v="0"/>
  </r>
  <r>
    <d v="2021-04-05T00:00:00"/>
    <x v="4"/>
    <x v="26"/>
    <x v="26"/>
    <n v="-200000"/>
    <n v="0"/>
    <n v="200000"/>
    <x v="242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20000"/>
    <n v="20000"/>
    <n v="0"/>
    <x v="168"/>
    <s v="Cali"/>
    <m/>
    <m/>
    <m/>
    <m/>
    <x v="0"/>
  </r>
  <r>
    <d v="2021-04-05T00:00:00"/>
    <x v="4"/>
    <x v="26"/>
    <x v="26"/>
    <n v="-20000"/>
    <n v="0"/>
    <n v="20000"/>
    <x v="168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150000"/>
    <n v="150000"/>
    <n v="0"/>
    <x v="169"/>
    <s v="Cali"/>
    <m/>
    <m/>
    <m/>
    <m/>
    <x v="0"/>
  </r>
  <r>
    <d v="2021-04-05T00:00:00"/>
    <x v="4"/>
    <x v="25"/>
    <x v="25"/>
    <n v="-150000"/>
    <n v="0"/>
    <n v="150000"/>
    <x v="169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10000"/>
    <n v="10000"/>
    <n v="0"/>
    <x v="191"/>
    <s v="Cali"/>
    <m/>
    <m/>
    <m/>
    <m/>
    <x v="0"/>
  </r>
  <r>
    <d v="2021-04-05T00:00:00"/>
    <x v="4"/>
    <x v="27"/>
    <x v="27"/>
    <n v="-10000"/>
    <n v="0"/>
    <n v="10000"/>
    <x v="191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12000"/>
    <n v="12000"/>
    <n v="0"/>
    <x v="310"/>
    <s v="Cali"/>
    <m/>
    <m/>
    <m/>
    <m/>
    <x v="0"/>
  </r>
  <r>
    <d v="2021-04-05T00:00:00"/>
    <x v="4"/>
    <x v="25"/>
    <x v="25"/>
    <n v="-12000"/>
    <n v="0"/>
    <n v="12000"/>
    <x v="310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50000"/>
    <n v="50000"/>
    <n v="0"/>
    <x v="173"/>
    <s v="Cali"/>
    <m/>
    <m/>
    <m/>
    <m/>
    <x v="0"/>
  </r>
  <r>
    <d v="2021-04-05T00:00:00"/>
    <x v="4"/>
    <x v="26"/>
    <x v="26"/>
    <n v="-50000"/>
    <n v="0"/>
    <n v="50000"/>
    <x v="173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10000"/>
    <n v="10000"/>
    <n v="0"/>
    <x v="199"/>
    <s v="Cali"/>
    <m/>
    <m/>
    <m/>
    <m/>
    <x v="0"/>
  </r>
  <r>
    <d v="2021-04-05T00:00:00"/>
    <x v="4"/>
    <x v="27"/>
    <x v="27"/>
    <n v="-10000"/>
    <n v="0"/>
    <n v="10000"/>
    <x v="199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128453"/>
    <n v="128453"/>
    <n v="0"/>
    <x v="311"/>
    <s v="Cali"/>
    <m/>
    <m/>
    <m/>
    <m/>
    <x v="0"/>
  </r>
  <r>
    <d v="2021-04-05T00:00:00"/>
    <x v="4"/>
    <x v="26"/>
    <x v="26"/>
    <n v="-128453"/>
    <n v="0"/>
    <n v="128453"/>
    <x v="311"/>
    <s v="Cali"/>
    <m/>
    <m/>
    <m/>
    <m/>
    <x v="0"/>
  </r>
  <r>
    <m/>
    <x v="1"/>
    <x v="23"/>
    <x v="23"/>
    <m/>
    <m/>
    <m/>
    <x v="1"/>
    <m/>
    <m/>
    <m/>
    <m/>
    <m/>
    <x v="0"/>
  </r>
  <r>
    <d v="2021-04-05T00:00:00"/>
    <x v="4"/>
    <x v="0"/>
    <x v="0"/>
    <n v="20000"/>
    <n v="20000"/>
    <n v="0"/>
    <x v="151"/>
    <s v="Cali"/>
    <m/>
    <m/>
    <m/>
    <m/>
    <x v="0"/>
  </r>
  <r>
    <d v="2021-04-05T00:00:00"/>
    <x v="4"/>
    <x v="25"/>
    <x v="25"/>
    <n v="-20000"/>
    <n v="0"/>
    <n v="20000"/>
    <x v="151"/>
    <s v="Cali"/>
    <m/>
    <m/>
    <m/>
    <m/>
    <x v="0"/>
  </r>
  <r>
    <m/>
    <x v="1"/>
    <x v="23"/>
    <x v="23"/>
    <m/>
    <m/>
    <m/>
    <x v="1"/>
    <m/>
    <m/>
    <m/>
    <m/>
    <m/>
    <x v="0"/>
  </r>
  <r>
    <d v="2021-04-06T00:00:00"/>
    <x v="4"/>
    <x v="0"/>
    <x v="0"/>
    <n v="350000"/>
    <n v="350000"/>
    <n v="0"/>
    <x v="312"/>
    <s v="Cali"/>
    <m/>
    <m/>
    <m/>
    <m/>
    <x v="0"/>
  </r>
  <r>
    <d v="2021-04-06T00:00:00"/>
    <x v="4"/>
    <x v="26"/>
    <x v="26"/>
    <n v="-350000"/>
    <n v="0"/>
    <n v="350000"/>
    <x v="312"/>
    <s v="Cali"/>
    <m/>
    <m/>
    <m/>
    <m/>
    <x v="0"/>
  </r>
  <r>
    <m/>
    <x v="1"/>
    <x v="23"/>
    <x v="23"/>
    <m/>
    <m/>
    <m/>
    <x v="1"/>
    <m/>
    <m/>
    <m/>
    <m/>
    <m/>
    <x v="0"/>
  </r>
  <r>
    <d v="2021-04-06T00:00:00"/>
    <x v="4"/>
    <x v="0"/>
    <x v="0"/>
    <n v="300000"/>
    <n v="300000"/>
    <n v="0"/>
    <x v="313"/>
    <s v="Cali"/>
    <m/>
    <m/>
    <m/>
    <m/>
    <x v="0"/>
  </r>
  <r>
    <d v="2021-04-06T00:00:00"/>
    <x v="4"/>
    <x v="26"/>
    <x v="26"/>
    <n v="-300000"/>
    <n v="0"/>
    <n v="300000"/>
    <x v="313"/>
    <s v="Cali"/>
    <m/>
    <m/>
    <m/>
    <m/>
    <x v="0"/>
  </r>
  <r>
    <m/>
    <x v="1"/>
    <x v="23"/>
    <x v="23"/>
    <m/>
    <m/>
    <m/>
    <x v="1"/>
    <m/>
    <m/>
    <m/>
    <m/>
    <m/>
    <x v="0"/>
  </r>
  <r>
    <d v="2021-04-06T00:00:00"/>
    <x v="4"/>
    <x v="0"/>
    <x v="0"/>
    <n v="250000"/>
    <n v="250000"/>
    <n v="0"/>
    <x v="314"/>
    <s v="Cali"/>
    <m/>
    <m/>
    <m/>
    <m/>
    <x v="0"/>
  </r>
  <r>
    <d v="2021-04-06T00:00:00"/>
    <x v="4"/>
    <x v="26"/>
    <x v="26"/>
    <n v="-250000"/>
    <n v="0"/>
    <n v="250000"/>
    <x v="314"/>
    <s v="Cali"/>
    <m/>
    <m/>
    <m/>
    <m/>
    <x v="0"/>
  </r>
  <r>
    <m/>
    <x v="1"/>
    <x v="23"/>
    <x v="23"/>
    <m/>
    <m/>
    <m/>
    <x v="1"/>
    <m/>
    <m/>
    <m/>
    <m/>
    <m/>
    <x v="0"/>
  </r>
  <r>
    <d v="2021-04-06T00:00:00"/>
    <x v="4"/>
    <x v="0"/>
    <x v="0"/>
    <n v="105000"/>
    <n v="105000"/>
    <n v="0"/>
    <x v="315"/>
    <s v="Cali"/>
    <m/>
    <m/>
    <m/>
    <m/>
    <x v="0"/>
  </r>
  <r>
    <d v="2021-04-06T00:00:00"/>
    <x v="4"/>
    <x v="25"/>
    <x v="25"/>
    <n v="-105000"/>
    <n v="0"/>
    <n v="105000"/>
    <x v="315"/>
    <s v="Cali"/>
    <m/>
    <m/>
    <m/>
    <m/>
    <x v="0"/>
  </r>
  <r>
    <m/>
    <x v="1"/>
    <x v="23"/>
    <x v="23"/>
    <m/>
    <m/>
    <m/>
    <x v="1"/>
    <m/>
    <m/>
    <m/>
    <m/>
    <m/>
    <x v="0"/>
  </r>
  <r>
    <d v="2021-04-06T00:00:00"/>
    <x v="4"/>
    <x v="0"/>
    <x v="0"/>
    <n v="20000"/>
    <n v="20000"/>
    <n v="0"/>
    <x v="165"/>
    <s v="Cali"/>
    <m/>
    <m/>
    <m/>
    <m/>
    <x v="0"/>
  </r>
  <r>
    <d v="2021-04-06T00:00:00"/>
    <x v="4"/>
    <x v="25"/>
    <x v="25"/>
    <n v="-20000"/>
    <n v="0"/>
    <n v="20000"/>
    <x v="165"/>
    <s v="Cali"/>
    <m/>
    <m/>
    <m/>
    <m/>
    <x v="0"/>
  </r>
  <r>
    <m/>
    <x v="1"/>
    <x v="23"/>
    <x v="23"/>
    <m/>
    <m/>
    <m/>
    <x v="1"/>
    <m/>
    <m/>
    <m/>
    <m/>
    <m/>
    <x v="0"/>
  </r>
  <r>
    <d v="2021-04-06T00:00:00"/>
    <x v="4"/>
    <x v="0"/>
    <x v="0"/>
    <n v="18000"/>
    <n v="18000"/>
    <n v="0"/>
    <x v="66"/>
    <s v="Cali"/>
    <m/>
    <m/>
    <m/>
    <m/>
    <x v="0"/>
  </r>
  <r>
    <d v="2021-04-06T00:00:00"/>
    <x v="4"/>
    <x v="27"/>
    <x v="27"/>
    <n v="-18000"/>
    <n v="0"/>
    <n v="18000"/>
    <x v="66"/>
    <s v="Cali"/>
    <m/>
    <m/>
    <m/>
    <m/>
    <x v="0"/>
  </r>
  <r>
    <m/>
    <x v="1"/>
    <x v="23"/>
    <x v="23"/>
    <m/>
    <m/>
    <m/>
    <x v="1"/>
    <m/>
    <m/>
    <m/>
    <m/>
    <m/>
    <x v="0"/>
  </r>
  <r>
    <d v="2021-04-06T00:00:00"/>
    <x v="4"/>
    <x v="0"/>
    <x v="0"/>
    <n v="40000"/>
    <n v="40000"/>
    <n v="0"/>
    <x v="176"/>
    <s v="Cali"/>
    <m/>
    <m/>
    <m/>
    <m/>
    <x v="0"/>
  </r>
  <r>
    <d v="2021-04-06T00:00:00"/>
    <x v="4"/>
    <x v="25"/>
    <x v="25"/>
    <n v="-40000"/>
    <n v="0"/>
    <n v="40000"/>
    <x v="176"/>
    <s v="Cali"/>
    <m/>
    <m/>
    <m/>
    <m/>
    <x v="0"/>
  </r>
  <r>
    <m/>
    <x v="1"/>
    <x v="23"/>
    <x v="23"/>
    <m/>
    <m/>
    <m/>
    <x v="1"/>
    <m/>
    <m/>
    <m/>
    <m/>
    <m/>
    <x v="0"/>
  </r>
  <r>
    <d v="2021-04-06T00:00:00"/>
    <x v="4"/>
    <x v="0"/>
    <x v="0"/>
    <n v="15000"/>
    <n v="15000"/>
    <n v="0"/>
    <x v="252"/>
    <s v="Cali"/>
    <m/>
    <m/>
    <m/>
    <m/>
    <x v="0"/>
  </r>
  <r>
    <d v="2021-04-06T00:00:00"/>
    <x v="4"/>
    <x v="26"/>
    <x v="26"/>
    <n v="-15000"/>
    <n v="0"/>
    <n v="15000"/>
    <x v="252"/>
    <s v="Cali"/>
    <m/>
    <m/>
    <m/>
    <m/>
    <x v="0"/>
  </r>
  <r>
    <m/>
    <x v="1"/>
    <x v="23"/>
    <x v="23"/>
    <m/>
    <m/>
    <m/>
    <x v="1"/>
    <m/>
    <m/>
    <m/>
    <m/>
    <m/>
    <x v="0"/>
  </r>
  <r>
    <d v="2021-04-06T00:00:00"/>
    <x v="4"/>
    <x v="0"/>
    <x v="0"/>
    <n v="10000"/>
    <n v="10000"/>
    <n v="0"/>
    <x v="166"/>
    <s v="Cali"/>
    <m/>
    <m/>
    <m/>
    <m/>
    <x v="0"/>
  </r>
  <r>
    <d v="2021-04-06T00:00:00"/>
    <x v="4"/>
    <x v="25"/>
    <x v="25"/>
    <n v="-10000"/>
    <n v="0"/>
    <n v="10000"/>
    <x v="166"/>
    <s v="Cali"/>
    <m/>
    <m/>
    <m/>
    <m/>
    <x v="0"/>
  </r>
  <r>
    <m/>
    <x v="1"/>
    <x v="23"/>
    <x v="23"/>
    <m/>
    <m/>
    <m/>
    <x v="1"/>
    <m/>
    <m/>
    <m/>
    <m/>
    <m/>
    <x v="0"/>
  </r>
  <r>
    <d v="2021-04-06T00:00:00"/>
    <x v="4"/>
    <x v="0"/>
    <x v="0"/>
    <n v="10000"/>
    <n v="10000"/>
    <n v="0"/>
    <x v="167"/>
    <s v="Cali"/>
    <m/>
    <m/>
    <m/>
    <m/>
    <x v="0"/>
  </r>
  <r>
    <d v="2021-04-06T00:00:00"/>
    <x v="4"/>
    <x v="26"/>
    <x v="26"/>
    <n v="-10000"/>
    <n v="0"/>
    <n v="10000"/>
    <x v="167"/>
    <s v="Cali"/>
    <m/>
    <m/>
    <m/>
    <m/>
    <x v="0"/>
  </r>
  <r>
    <m/>
    <x v="1"/>
    <x v="23"/>
    <x v="23"/>
    <m/>
    <m/>
    <m/>
    <x v="1"/>
    <m/>
    <m/>
    <m/>
    <m/>
    <m/>
    <x v="0"/>
  </r>
  <r>
    <d v="2021-04-06T00:00:00"/>
    <x v="4"/>
    <x v="0"/>
    <x v="0"/>
    <n v="2200000"/>
    <n v="2200000"/>
    <n v="0"/>
    <x v="313"/>
    <s v="Cali"/>
    <m/>
    <m/>
    <m/>
    <m/>
    <x v="0"/>
  </r>
  <r>
    <d v="2021-04-06T00:00:00"/>
    <x v="4"/>
    <x v="26"/>
    <x v="26"/>
    <n v="-2200000"/>
    <n v="0"/>
    <n v="2200000"/>
    <x v="313"/>
    <s v="Cali"/>
    <m/>
    <m/>
    <m/>
    <m/>
    <x v="0"/>
  </r>
  <r>
    <m/>
    <x v="1"/>
    <x v="23"/>
    <x v="23"/>
    <m/>
    <m/>
    <m/>
    <x v="1"/>
    <m/>
    <m/>
    <m/>
    <m/>
    <m/>
    <x v="0"/>
  </r>
  <r>
    <d v="2021-04-07T00:00:00"/>
    <x v="4"/>
    <x v="0"/>
    <x v="0"/>
    <n v="15000"/>
    <n v="15000"/>
    <n v="0"/>
    <x v="216"/>
    <s v="Cali"/>
    <m/>
    <m/>
    <m/>
    <m/>
    <x v="0"/>
  </r>
  <r>
    <d v="2021-04-07T00:00:00"/>
    <x v="4"/>
    <x v="29"/>
    <x v="29"/>
    <n v="-15000"/>
    <n v="0"/>
    <n v="15000"/>
    <x v="216"/>
    <s v="Cali"/>
    <m/>
    <m/>
    <m/>
    <m/>
    <x v="0"/>
  </r>
  <r>
    <m/>
    <x v="1"/>
    <x v="23"/>
    <x v="23"/>
    <m/>
    <m/>
    <m/>
    <x v="1"/>
    <m/>
    <m/>
    <m/>
    <m/>
    <m/>
    <x v="0"/>
  </r>
  <r>
    <d v="2021-04-07T00:00:00"/>
    <x v="4"/>
    <x v="0"/>
    <x v="0"/>
    <n v="850000"/>
    <n v="850000"/>
    <n v="0"/>
    <x v="312"/>
    <s v="Cali"/>
    <m/>
    <m/>
    <m/>
    <m/>
    <x v="0"/>
  </r>
  <r>
    <d v="2021-04-07T00:00:00"/>
    <x v="4"/>
    <x v="26"/>
    <x v="26"/>
    <n v="-850000"/>
    <n v="0"/>
    <n v="850000"/>
    <x v="312"/>
    <s v="Cali"/>
    <m/>
    <m/>
    <m/>
    <m/>
    <x v="0"/>
  </r>
  <r>
    <m/>
    <x v="1"/>
    <x v="23"/>
    <x v="23"/>
    <m/>
    <m/>
    <m/>
    <x v="1"/>
    <m/>
    <m/>
    <m/>
    <m/>
    <m/>
    <x v="0"/>
  </r>
  <r>
    <d v="2021-04-07T00:00:00"/>
    <x v="4"/>
    <x v="0"/>
    <x v="0"/>
    <n v="75000"/>
    <n v="75000"/>
    <n v="0"/>
    <x v="316"/>
    <s v="Cali"/>
    <m/>
    <m/>
    <m/>
    <m/>
    <x v="0"/>
  </r>
  <r>
    <d v="2021-04-07T00:00:00"/>
    <x v="4"/>
    <x v="25"/>
    <x v="25"/>
    <n v="-75000"/>
    <n v="0"/>
    <n v="75000"/>
    <x v="316"/>
    <s v="Cali"/>
    <m/>
    <m/>
    <m/>
    <m/>
    <x v="0"/>
  </r>
  <r>
    <m/>
    <x v="1"/>
    <x v="23"/>
    <x v="23"/>
    <m/>
    <m/>
    <m/>
    <x v="1"/>
    <m/>
    <m/>
    <m/>
    <m/>
    <m/>
    <x v="0"/>
  </r>
  <r>
    <d v="2021-04-07T00:00:00"/>
    <x v="4"/>
    <x v="0"/>
    <x v="0"/>
    <n v="3750000"/>
    <n v="3750000"/>
    <n v="0"/>
    <x v="314"/>
    <s v="Cali"/>
    <m/>
    <m/>
    <m/>
    <m/>
    <x v="0"/>
  </r>
  <r>
    <d v="2021-04-07T00:00:00"/>
    <x v="4"/>
    <x v="26"/>
    <x v="26"/>
    <n v="-3750000"/>
    <n v="0"/>
    <n v="3750000"/>
    <x v="314"/>
    <s v="Cali"/>
    <m/>
    <m/>
    <m/>
    <m/>
    <x v="0"/>
  </r>
  <r>
    <m/>
    <x v="1"/>
    <x v="23"/>
    <x v="23"/>
    <m/>
    <m/>
    <m/>
    <x v="1"/>
    <m/>
    <m/>
    <m/>
    <m/>
    <m/>
    <x v="0"/>
  </r>
  <r>
    <d v="2021-04-07T00:00:00"/>
    <x v="4"/>
    <x v="0"/>
    <x v="0"/>
    <n v="29461"/>
    <n v="29461"/>
    <n v="0"/>
    <x v="159"/>
    <s v="Cali"/>
    <m/>
    <m/>
    <m/>
    <m/>
    <x v="0"/>
  </r>
  <r>
    <d v="2021-04-07T00:00:00"/>
    <x v="4"/>
    <x v="49"/>
    <x v="49"/>
    <n v="539"/>
    <n v="539"/>
    <n v="0"/>
    <x v="159"/>
    <s v="Cali"/>
    <m/>
    <m/>
    <m/>
    <m/>
    <x v="0"/>
  </r>
  <r>
    <d v="2021-04-07T00:00:00"/>
    <x v="4"/>
    <x v="25"/>
    <x v="25"/>
    <n v="-30000"/>
    <n v="0"/>
    <n v="30000"/>
    <x v="159"/>
    <s v="Cali"/>
    <m/>
    <m/>
    <m/>
    <m/>
    <x v="0"/>
  </r>
  <r>
    <m/>
    <x v="1"/>
    <x v="23"/>
    <x v="23"/>
    <m/>
    <m/>
    <m/>
    <x v="1"/>
    <m/>
    <m/>
    <m/>
    <m/>
    <m/>
    <x v="0"/>
  </r>
  <r>
    <d v="2021-04-07T00:00:00"/>
    <x v="4"/>
    <x v="0"/>
    <x v="0"/>
    <n v="9820"/>
    <n v="9820"/>
    <n v="0"/>
    <x v="317"/>
    <s v="Cali"/>
    <m/>
    <m/>
    <m/>
    <m/>
    <x v="0"/>
  </r>
  <r>
    <d v="2021-04-07T00:00:00"/>
    <x v="4"/>
    <x v="26"/>
    <x v="26"/>
    <n v="-9820"/>
    <n v="0"/>
    <n v="9820"/>
    <x v="317"/>
    <s v="Cali"/>
    <m/>
    <m/>
    <m/>
    <m/>
    <x v="0"/>
  </r>
  <r>
    <m/>
    <x v="1"/>
    <x v="23"/>
    <x v="23"/>
    <m/>
    <m/>
    <m/>
    <x v="1"/>
    <m/>
    <m/>
    <m/>
    <m/>
    <m/>
    <x v="0"/>
  </r>
  <r>
    <d v="2021-04-07T00:00:00"/>
    <x v="4"/>
    <x v="0"/>
    <x v="0"/>
    <n v="64000"/>
    <n v="64000"/>
    <n v="0"/>
    <x v="64"/>
    <s v="Cali"/>
    <m/>
    <m/>
    <m/>
    <m/>
    <x v="0"/>
  </r>
  <r>
    <d v="2021-04-07T00:00:00"/>
    <x v="4"/>
    <x v="27"/>
    <x v="27"/>
    <n v="-64000"/>
    <n v="0"/>
    <n v="64000"/>
    <x v="64"/>
    <s v="Cali"/>
    <m/>
    <m/>
    <m/>
    <m/>
    <x v="0"/>
  </r>
  <r>
    <m/>
    <x v="1"/>
    <x v="23"/>
    <x v="23"/>
    <m/>
    <m/>
    <m/>
    <x v="1"/>
    <m/>
    <m/>
    <m/>
    <m/>
    <m/>
    <x v="0"/>
  </r>
  <r>
    <d v="2021-04-08T00:00:00"/>
    <x v="4"/>
    <x v="0"/>
    <x v="0"/>
    <n v="30000"/>
    <n v="30000"/>
    <n v="0"/>
    <x v="179"/>
    <s v="Cali"/>
    <m/>
    <m/>
    <m/>
    <m/>
    <x v="0"/>
  </r>
  <r>
    <d v="2021-04-08T00:00:00"/>
    <x v="4"/>
    <x v="25"/>
    <x v="25"/>
    <n v="-30000"/>
    <n v="0"/>
    <n v="30000"/>
    <x v="179"/>
    <s v="Cali"/>
    <m/>
    <m/>
    <m/>
    <m/>
    <x v="0"/>
  </r>
  <r>
    <m/>
    <x v="1"/>
    <x v="23"/>
    <x v="23"/>
    <m/>
    <m/>
    <m/>
    <x v="1"/>
    <m/>
    <m/>
    <m/>
    <m/>
    <m/>
    <x v="0"/>
  </r>
  <r>
    <d v="2021-04-09T00:00:00"/>
    <x v="4"/>
    <x v="0"/>
    <x v="0"/>
    <n v="150000"/>
    <n v="150000"/>
    <n v="0"/>
    <x v="251"/>
    <s v="Cali"/>
    <m/>
    <m/>
    <m/>
    <m/>
    <x v="0"/>
  </r>
  <r>
    <d v="2021-04-09T00:00:00"/>
    <x v="4"/>
    <x v="27"/>
    <x v="27"/>
    <n v="-150000"/>
    <n v="0"/>
    <n v="150000"/>
    <x v="251"/>
    <s v="Cali"/>
    <m/>
    <m/>
    <m/>
    <m/>
    <x v="0"/>
  </r>
  <r>
    <m/>
    <x v="1"/>
    <x v="23"/>
    <x v="23"/>
    <m/>
    <m/>
    <m/>
    <x v="1"/>
    <m/>
    <m/>
    <m/>
    <m/>
    <m/>
    <x v="0"/>
  </r>
  <r>
    <d v="2021-04-09T00:00:00"/>
    <x v="4"/>
    <x v="0"/>
    <x v="0"/>
    <n v="60000"/>
    <n v="60000"/>
    <n v="0"/>
    <x v="202"/>
    <s v="Cali"/>
    <m/>
    <m/>
    <m/>
    <m/>
    <x v="0"/>
  </r>
  <r>
    <d v="2021-04-09T00:00:00"/>
    <x v="4"/>
    <x v="27"/>
    <x v="27"/>
    <n v="-60000"/>
    <n v="0"/>
    <n v="60000"/>
    <x v="202"/>
    <s v="Cali"/>
    <m/>
    <m/>
    <m/>
    <m/>
    <x v="0"/>
  </r>
  <r>
    <m/>
    <x v="1"/>
    <x v="23"/>
    <x v="23"/>
    <m/>
    <m/>
    <m/>
    <x v="1"/>
    <m/>
    <m/>
    <m/>
    <m/>
    <m/>
    <x v="0"/>
  </r>
  <r>
    <d v="2021-04-09T00:00:00"/>
    <x v="4"/>
    <x v="0"/>
    <x v="0"/>
    <n v="30000"/>
    <n v="30000"/>
    <n v="0"/>
    <x v="256"/>
    <s v="Cali"/>
    <m/>
    <m/>
    <m/>
    <m/>
    <x v="0"/>
  </r>
  <r>
    <d v="2021-04-09T00:00:00"/>
    <x v="4"/>
    <x v="25"/>
    <x v="25"/>
    <n v="-30000"/>
    <n v="0"/>
    <n v="30000"/>
    <x v="256"/>
    <s v="Cali"/>
    <m/>
    <m/>
    <m/>
    <m/>
    <x v="0"/>
  </r>
  <r>
    <m/>
    <x v="1"/>
    <x v="23"/>
    <x v="23"/>
    <m/>
    <m/>
    <m/>
    <x v="1"/>
    <m/>
    <m/>
    <m/>
    <m/>
    <m/>
    <x v="0"/>
  </r>
  <r>
    <d v="2021-04-09T00:00:00"/>
    <x v="4"/>
    <x v="0"/>
    <x v="0"/>
    <n v="20000"/>
    <n v="20000"/>
    <n v="0"/>
    <x v="318"/>
    <s v="Cali"/>
    <m/>
    <m/>
    <m/>
    <m/>
    <x v="0"/>
  </r>
  <r>
    <d v="2021-04-09T00:00:00"/>
    <x v="4"/>
    <x v="25"/>
    <x v="25"/>
    <n v="-20000"/>
    <n v="0"/>
    <n v="20000"/>
    <x v="318"/>
    <s v="Cali"/>
    <m/>
    <m/>
    <m/>
    <m/>
    <x v="0"/>
  </r>
  <r>
    <m/>
    <x v="1"/>
    <x v="23"/>
    <x v="23"/>
    <m/>
    <m/>
    <m/>
    <x v="1"/>
    <m/>
    <m/>
    <m/>
    <m/>
    <m/>
    <x v="0"/>
  </r>
  <r>
    <d v="2021-04-12T00:00:00"/>
    <x v="4"/>
    <x v="0"/>
    <x v="0"/>
    <n v="30000"/>
    <n v="30000"/>
    <n v="0"/>
    <x v="170"/>
    <s v="Cali"/>
    <m/>
    <m/>
    <m/>
    <m/>
    <x v="0"/>
  </r>
  <r>
    <d v="2021-04-12T00:00:00"/>
    <x v="4"/>
    <x v="26"/>
    <x v="26"/>
    <n v="-30000"/>
    <n v="0"/>
    <n v="30000"/>
    <x v="170"/>
    <s v="Cali"/>
    <m/>
    <m/>
    <m/>
    <m/>
    <x v="0"/>
  </r>
  <r>
    <m/>
    <x v="1"/>
    <x v="23"/>
    <x v="23"/>
    <m/>
    <m/>
    <m/>
    <x v="1"/>
    <m/>
    <m/>
    <m/>
    <m/>
    <m/>
    <x v="0"/>
  </r>
  <r>
    <d v="2021-04-12T00:00:00"/>
    <x v="4"/>
    <x v="0"/>
    <x v="0"/>
    <n v="2500"/>
    <n v="2500"/>
    <n v="0"/>
    <x v="177"/>
    <s v="Cali"/>
    <m/>
    <m/>
    <m/>
    <m/>
    <x v="0"/>
  </r>
  <r>
    <d v="2021-04-12T00:00:00"/>
    <x v="4"/>
    <x v="19"/>
    <x v="19"/>
    <n v="-2500"/>
    <n v="0"/>
    <n v="25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4-12T00:00:00"/>
    <x v="4"/>
    <x v="0"/>
    <x v="0"/>
    <n v="10000"/>
    <n v="10000"/>
    <n v="0"/>
    <x v="140"/>
    <s v="Cali"/>
    <m/>
    <m/>
    <m/>
    <m/>
    <x v="0"/>
  </r>
  <r>
    <d v="2021-04-12T00:00:00"/>
    <x v="4"/>
    <x v="19"/>
    <x v="19"/>
    <n v="-10000"/>
    <n v="0"/>
    <n v="10000"/>
    <x v="140"/>
    <s v="Cali"/>
    <m/>
    <m/>
    <m/>
    <m/>
    <x v="0"/>
  </r>
  <r>
    <m/>
    <x v="1"/>
    <x v="23"/>
    <x v="23"/>
    <m/>
    <m/>
    <m/>
    <x v="1"/>
    <m/>
    <m/>
    <m/>
    <m/>
    <m/>
    <x v="0"/>
  </r>
  <r>
    <d v="2021-04-12T00:00:00"/>
    <x v="4"/>
    <x v="0"/>
    <x v="0"/>
    <n v="30000"/>
    <n v="30000"/>
    <n v="0"/>
    <x v="319"/>
    <s v="Cali"/>
    <m/>
    <m/>
    <m/>
    <m/>
    <x v="0"/>
  </r>
  <r>
    <d v="2021-04-12T00:00:00"/>
    <x v="4"/>
    <x v="19"/>
    <x v="19"/>
    <n v="-30000"/>
    <n v="0"/>
    <n v="30000"/>
    <x v="319"/>
    <s v="Cali"/>
    <m/>
    <m/>
    <m/>
    <m/>
    <x v="0"/>
  </r>
  <r>
    <m/>
    <x v="1"/>
    <x v="23"/>
    <x v="23"/>
    <m/>
    <m/>
    <m/>
    <x v="1"/>
    <m/>
    <m/>
    <m/>
    <m/>
    <m/>
    <x v="0"/>
  </r>
  <r>
    <d v="2021-04-12T00:00:00"/>
    <x v="4"/>
    <x v="0"/>
    <x v="0"/>
    <n v="20000"/>
    <n v="20000"/>
    <n v="0"/>
    <x v="188"/>
    <s v="Cali"/>
    <m/>
    <m/>
    <m/>
    <m/>
    <x v="0"/>
  </r>
  <r>
    <d v="2021-04-12T00:00:00"/>
    <x v="4"/>
    <x v="29"/>
    <x v="29"/>
    <n v="-20000"/>
    <n v="0"/>
    <n v="20000"/>
    <x v="188"/>
    <s v="Cali"/>
    <m/>
    <m/>
    <m/>
    <m/>
    <x v="0"/>
  </r>
  <r>
    <m/>
    <x v="1"/>
    <x v="23"/>
    <x v="23"/>
    <m/>
    <m/>
    <m/>
    <x v="1"/>
    <m/>
    <m/>
    <m/>
    <m/>
    <m/>
    <x v="0"/>
  </r>
  <r>
    <d v="2021-04-12T00:00:00"/>
    <x v="4"/>
    <x v="0"/>
    <x v="0"/>
    <n v="30000"/>
    <n v="30000"/>
    <n v="0"/>
    <x v="185"/>
    <s v="Cali"/>
    <m/>
    <m/>
    <m/>
    <m/>
    <x v="0"/>
  </r>
  <r>
    <d v="2021-04-12T00:00:00"/>
    <x v="4"/>
    <x v="25"/>
    <x v="25"/>
    <n v="-30000"/>
    <n v="0"/>
    <n v="30000"/>
    <x v="185"/>
    <s v="Cali"/>
    <m/>
    <m/>
    <m/>
    <m/>
    <x v="0"/>
  </r>
  <r>
    <m/>
    <x v="1"/>
    <x v="23"/>
    <x v="23"/>
    <m/>
    <m/>
    <m/>
    <x v="1"/>
    <m/>
    <m/>
    <m/>
    <m/>
    <m/>
    <x v="0"/>
  </r>
  <r>
    <d v="2021-04-12T00:00:00"/>
    <x v="4"/>
    <x v="0"/>
    <x v="0"/>
    <n v="17000"/>
    <n v="17000"/>
    <n v="0"/>
    <x v="186"/>
    <s v="Cali"/>
    <m/>
    <m/>
    <m/>
    <m/>
    <x v="0"/>
  </r>
  <r>
    <d v="2021-04-12T00:00:00"/>
    <x v="4"/>
    <x v="25"/>
    <x v="25"/>
    <n v="-17000"/>
    <n v="0"/>
    <n v="17000"/>
    <x v="186"/>
    <s v="Cali"/>
    <m/>
    <m/>
    <m/>
    <m/>
    <x v="0"/>
  </r>
  <r>
    <m/>
    <x v="1"/>
    <x v="23"/>
    <x v="23"/>
    <m/>
    <m/>
    <m/>
    <x v="1"/>
    <m/>
    <m/>
    <m/>
    <m/>
    <m/>
    <x v="0"/>
  </r>
  <r>
    <d v="2021-04-12T00:00:00"/>
    <x v="4"/>
    <x v="0"/>
    <x v="0"/>
    <n v="25000"/>
    <n v="25000"/>
    <n v="0"/>
    <x v="156"/>
    <s v="Cali"/>
    <m/>
    <m/>
    <m/>
    <m/>
    <x v="0"/>
  </r>
  <r>
    <d v="2021-04-12T00:00:00"/>
    <x v="4"/>
    <x v="25"/>
    <x v="25"/>
    <n v="-25000"/>
    <n v="0"/>
    <n v="25000"/>
    <x v="156"/>
    <s v="Cali"/>
    <m/>
    <m/>
    <m/>
    <m/>
    <x v="0"/>
  </r>
  <r>
    <m/>
    <x v="1"/>
    <x v="23"/>
    <x v="23"/>
    <m/>
    <m/>
    <m/>
    <x v="1"/>
    <m/>
    <m/>
    <m/>
    <m/>
    <m/>
    <x v="0"/>
  </r>
  <r>
    <d v="2021-04-13T00:00:00"/>
    <x v="4"/>
    <x v="0"/>
    <x v="0"/>
    <n v="25000"/>
    <n v="25000"/>
    <n v="0"/>
    <x v="149"/>
    <s v="Cali"/>
    <m/>
    <m/>
    <m/>
    <m/>
    <x v="0"/>
  </r>
  <r>
    <d v="2021-04-13T00:00:00"/>
    <x v="4"/>
    <x v="27"/>
    <x v="27"/>
    <n v="-25000"/>
    <n v="0"/>
    <n v="25000"/>
    <x v="149"/>
    <s v="Cali"/>
    <m/>
    <m/>
    <m/>
    <m/>
    <x v="0"/>
  </r>
  <r>
    <m/>
    <x v="1"/>
    <x v="23"/>
    <x v="23"/>
    <m/>
    <m/>
    <m/>
    <x v="1"/>
    <m/>
    <m/>
    <m/>
    <m/>
    <m/>
    <x v="0"/>
  </r>
  <r>
    <d v="2021-04-13T00:00:00"/>
    <x v="4"/>
    <x v="0"/>
    <x v="0"/>
    <n v="36000"/>
    <n v="36000"/>
    <n v="0"/>
    <x v="320"/>
    <s v="Cali"/>
    <m/>
    <m/>
    <m/>
    <m/>
    <x v="0"/>
  </r>
  <r>
    <d v="2021-04-13T00:00:00"/>
    <x v="4"/>
    <x v="27"/>
    <x v="27"/>
    <n v="-36000"/>
    <n v="0"/>
    <n v="36000"/>
    <x v="320"/>
    <s v="Cali"/>
    <m/>
    <m/>
    <m/>
    <m/>
    <x v="0"/>
  </r>
  <r>
    <m/>
    <x v="1"/>
    <x v="23"/>
    <x v="23"/>
    <m/>
    <m/>
    <m/>
    <x v="1"/>
    <m/>
    <m/>
    <m/>
    <m/>
    <m/>
    <x v="0"/>
  </r>
  <r>
    <d v="2021-04-13T00:00:00"/>
    <x v="4"/>
    <x v="0"/>
    <x v="0"/>
    <n v="80000"/>
    <n v="80000"/>
    <n v="0"/>
    <x v="321"/>
    <s v="Cali"/>
    <m/>
    <m/>
    <m/>
    <m/>
    <x v="0"/>
  </r>
  <r>
    <d v="2021-04-13T00:00:00"/>
    <x v="4"/>
    <x v="27"/>
    <x v="27"/>
    <n v="-80000"/>
    <n v="0"/>
    <n v="80000"/>
    <x v="321"/>
    <s v="Cali"/>
    <m/>
    <m/>
    <m/>
    <m/>
    <x v="0"/>
  </r>
  <r>
    <m/>
    <x v="1"/>
    <x v="23"/>
    <x v="23"/>
    <m/>
    <m/>
    <m/>
    <x v="1"/>
    <m/>
    <m/>
    <m/>
    <m/>
    <m/>
    <x v="0"/>
  </r>
  <r>
    <d v="2021-04-13T00:00:00"/>
    <x v="4"/>
    <x v="0"/>
    <x v="0"/>
    <n v="50000"/>
    <n v="50000"/>
    <n v="0"/>
    <x v="322"/>
    <s v="Cali"/>
    <m/>
    <m/>
    <m/>
    <m/>
    <x v="0"/>
  </r>
  <r>
    <d v="2021-04-13T00:00:00"/>
    <x v="4"/>
    <x v="27"/>
    <x v="27"/>
    <n v="-50000"/>
    <n v="0"/>
    <n v="50000"/>
    <x v="322"/>
    <s v="Cali"/>
    <m/>
    <m/>
    <m/>
    <m/>
    <x v="0"/>
  </r>
  <r>
    <m/>
    <x v="1"/>
    <x v="23"/>
    <x v="23"/>
    <m/>
    <m/>
    <m/>
    <x v="1"/>
    <m/>
    <m/>
    <m/>
    <m/>
    <m/>
    <x v="0"/>
  </r>
  <r>
    <d v="2021-04-13T00:00:00"/>
    <x v="4"/>
    <x v="0"/>
    <x v="0"/>
    <n v="20000"/>
    <n v="20000"/>
    <n v="0"/>
    <x v="323"/>
    <s v="Cali"/>
    <m/>
    <m/>
    <m/>
    <m/>
    <x v="0"/>
  </r>
  <r>
    <d v="2021-04-13T00:00:00"/>
    <x v="4"/>
    <x v="20"/>
    <x v="20"/>
    <n v="-20000"/>
    <n v="0"/>
    <n v="20000"/>
    <x v="323"/>
    <s v="Cali"/>
    <m/>
    <m/>
    <m/>
    <m/>
    <x v="0"/>
  </r>
  <r>
    <m/>
    <x v="1"/>
    <x v="23"/>
    <x v="23"/>
    <m/>
    <m/>
    <m/>
    <x v="1"/>
    <m/>
    <m/>
    <m/>
    <m/>
    <m/>
    <x v="0"/>
  </r>
  <r>
    <d v="2021-04-13T00:00:00"/>
    <x v="4"/>
    <x v="0"/>
    <x v="0"/>
    <n v="20000"/>
    <n v="20000"/>
    <n v="0"/>
    <x v="193"/>
    <s v="Cali"/>
    <m/>
    <m/>
    <m/>
    <m/>
    <x v="0"/>
  </r>
  <r>
    <d v="2021-04-13T00:00:00"/>
    <x v="4"/>
    <x v="26"/>
    <x v="26"/>
    <n v="-20000"/>
    <n v="0"/>
    <n v="20000"/>
    <x v="193"/>
    <s v="Cali"/>
    <m/>
    <m/>
    <m/>
    <m/>
    <x v="0"/>
  </r>
  <r>
    <m/>
    <x v="1"/>
    <x v="23"/>
    <x v="23"/>
    <m/>
    <m/>
    <m/>
    <x v="1"/>
    <m/>
    <m/>
    <m/>
    <m/>
    <m/>
    <x v="0"/>
  </r>
  <r>
    <d v="2021-04-13T00:00:00"/>
    <x v="4"/>
    <x v="0"/>
    <x v="0"/>
    <n v="25000"/>
    <n v="25000"/>
    <n v="0"/>
    <x v="194"/>
    <s v="Cali"/>
    <m/>
    <m/>
    <m/>
    <m/>
    <x v="0"/>
  </r>
  <r>
    <d v="2021-04-13T00:00:00"/>
    <x v="4"/>
    <x v="25"/>
    <x v="25"/>
    <n v="-25000"/>
    <n v="0"/>
    <n v="25000"/>
    <x v="194"/>
    <s v="Cali"/>
    <m/>
    <m/>
    <m/>
    <m/>
    <x v="0"/>
  </r>
  <r>
    <m/>
    <x v="1"/>
    <x v="23"/>
    <x v="23"/>
    <m/>
    <m/>
    <m/>
    <x v="1"/>
    <m/>
    <m/>
    <m/>
    <m/>
    <m/>
    <x v="0"/>
  </r>
  <r>
    <d v="2021-04-13T00:00:00"/>
    <x v="4"/>
    <x v="0"/>
    <x v="0"/>
    <n v="7000"/>
    <n v="7000"/>
    <n v="0"/>
    <x v="261"/>
    <s v="Cali"/>
    <m/>
    <m/>
    <m/>
    <m/>
    <x v="0"/>
  </r>
  <r>
    <d v="2021-04-13T00:00:00"/>
    <x v="4"/>
    <x v="25"/>
    <x v="25"/>
    <n v="-7000"/>
    <n v="0"/>
    <n v="7000"/>
    <x v="261"/>
    <s v="Cali"/>
    <m/>
    <m/>
    <m/>
    <m/>
    <x v="0"/>
  </r>
  <r>
    <m/>
    <x v="1"/>
    <x v="23"/>
    <x v="23"/>
    <m/>
    <m/>
    <m/>
    <x v="1"/>
    <m/>
    <m/>
    <m/>
    <m/>
    <m/>
    <x v="0"/>
  </r>
  <r>
    <d v="2021-04-13T00:00:00"/>
    <x v="4"/>
    <x v="0"/>
    <x v="0"/>
    <n v="40000"/>
    <n v="40000"/>
    <n v="0"/>
    <x v="178"/>
    <s v="Cali"/>
    <m/>
    <m/>
    <m/>
    <m/>
    <x v="0"/>
  </r>
  <r>
    <d v="2021-04-13T00:00:00"/>
    <x v="4"/>
    <x v="25"/>
    <x v="25"/>
    <n v="-40000"/>
    <n v="0"/>
    <n v="40000"/>
    <x v="178"/>
    <s v="Cali"/>
    <m/>
    <m/>
    <m/>
    <m/>
    <x v="0"/>
  </r>
  <r>
    <m/>
    <x v="1"/>
    <x v="23"/>
    <x v="23"/>
    <m/>
    <m/>
    <m/>
    <x v="1"/>
    <m/>
    <m/>
    <m/>
    <m/>
    <m/>
    <x v="0"/>
  </r>
  <r>
    <d v="2021-04-14T00:00:00"/>
    <x v="4"/>
    <x v="0"/>
    <x v="0"/>
    <n v="227000"/>
    <n v="227000"/>
    <n v="0"/>
    <x v="65"/>
    <s v="Cali"/>
    <m/>
    <m/>
    <m/>
    <m/>
    <x v="0"/>
  </r>
  <r>
    <d v="2021-04-14T00:00:00"/>
    <x v="4"/>
    <x v="29"/>
    <x v="29"/>
    <n v="-227000"/>
    <n v="0"/>
    <n v="227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4-14T00:00:00"/>
    <x v="4"/>
    <x v="0"/>
    <x v="0"/>
    <n v="65000"/>
    <n v="65000"/>
    <n v="0"/>
    <x v="65"/>
    <s v="Cali"/>
    <m/>
    <m/>
    <m/>
    <m/>
    <x v="0"/>
  </r>
  <r>
    <d v="2021-04-14T00:00:00"/>
    <x v="4"/>
    <x v="29"/>
    <x v="29"/>
    <n v="-65000"/>
    <n v="0"/>
    <n v="6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4-14T00:00:00"/>
    <x v="4"/>
    <x v="0"/>
    <x v="0"/>
    <n v="115000"/>
    <n v="115000"/>
    <n v="0"/>
    <x v="65"/>
    <s v="Cali"/>
    <m/>
    <m/>
    <m/>
    <m/>
    <x v="0"/>
  </r>
  <r>
    <d v="2021-04-14T00:00:00"/>
    <x v="4"/>
    <x v="29"/>
    <x v="29"/>
    <n v="-115000"/>
    <n v="0"/>
    <n v="11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4-15T00:00:00"/>
    <x v="4"/>
    <x v="0"/>
    <x v="0"/>
    <n v="50000"/>
    <n v="50000"/>
    <n v="0"/>
    <x v="195"/>
    <s v="Cali"/>
    <m/>
    <m/>
    <m/>
    <m/>
    <x v="0"/>
  </r>
  <r>
    <d v="2021-04-15T00:00:00"/>
    <x v="4"/>
    <x v="25"/>
    <x v="25"/>
    <n v="-50000"/>
    <n v="0"/>
    <n v="50000"/>
    <x v="195"/>
    <s v="Cali"/>
    <m/>
    <m/>
    <m/>
    <m/>
    <x v="0"/>
  </r>
  <r>
    <m/>
    <x v="1"/>
    <x v="23"/>
    <x v="23"/>
    <m/>
    <m/>
    <m/>
    <x v="1"/>
    <m/>
    <m/>
    <m/>
    <m/>
    <m/>
    <x v="0"/>
  </r>
  <r>
    <d v="2021-04-15T00:00:00"/>
    <x v="4"/>
    <x v="0"/>
    <x v="0"/>
    <n v="20000"/>
    <n v="20000"/>
    <n v="0"/>
    <x v="196"/>
    <s v="Cali"/>
    <m/>
    <m/>
    <m/>
    <m/>
    <x v="0"/>
  </r>
  <r>
    <d v="2021-04-15T00:00:00"/>
    <x v="4"/>
    <x v="25"/>
    <x v="25"/>
    <n v="-20000"/>
    <n v="0"/>
    <n v="20000"/>
    <x v="196"/>
    <s v="Cali"/>
    <m/>
    <m/>
    <m/>
    <m/>
    <x v="0"/>
  </r>
  <r>
    <m/>
    <x v="1"/>
    <x v="23"/>
    <x v="23"/>
    <m/>
    <m/>
    <m/>
    <x v="1"/>
    <m/>
    <m/>
    <m/>
    <m/>
    <m/>
    <x v="0"/>
  </r>
  <r>
    <d v="2021-04-15T00:00:00"/>
    <x v="4"/>
    <x v="0"/>
    <x v="0"/>
    <n v="500000"/>
    <n v="500000"/>
    <n v="0"/>
    <x v="324"/>
    <s v="Cali"/>
    <m/>
    <m/>
    <m/>
    <m/>
    <x v="0"/>
  </r>
  <r>
    <d v="2021-04-15T00:00:00"/>
    <x v="4"/>
    <x v="27"/>
    <x v="27"/>
    <n v="-500000"/>
    <n v="0"/>
    <n v="500000"/>
    <x v="324"/>
    <s v="Cali"/>
    <m/>
    <m/>
    <m/>
    <m/>
    <x v="0"/>
  </r>
  <r>
    <m/>
    <x v="1"/>
    <x v="23"/>
    <x v="23"/>
    <m/>
    <m/>
    <m/>
    <x v="1"/>
    <m/>
    <m/>
    <m/>
    <m/>
    <m/>
    <x v="0"/>
  </r>
  <r>
    <d v="2021-04-15T00:00:00"/>
    <x v="4"/>
    <x v="0"/>
    <x v="0"/>
    <n v="5000"/>
    <n v="5000"/>
    <n v="0"/>
    <x v="264"/>
    <s v="Cali"/>
    <m/>
    <m/>
    <m/>
    <m/>
    <x v="0"/>
  </r>
  <r>
    <d v="2021-04-15T00:00:00"/>
    <x v="4"/>
    <x v="19"/>
    <x v="19"/>
    <n v="-5000"/>
    <n v="0"/>
    <n v="5000"/>
    <x v="264"/>
    <s v="Cali"/>
    <m/>
    <m/>
    <m/>
    <m/>
    <x v="0"/>
  </r>
  <r>
    <m/>
    <x v="1"/>
    <x v="23"/>
    <x v="23"/>
    <m/>
    <m/>
    <m/>
    <x v="1"/>
    <m/>
    <m/>
    <m/>
    <m/>
    <m/>
    <x v="0"/>
  </r>
  <r>
    <d v="2021-04-16T00:00:00"/>
    <x v="4"/>
    <x v="15"/>
    <x v="15"/>
    <n v="2983999"/>
    <n v="2983999"/>
    <n v="0"/>
    <x v="325"/>
    <s v="Cali"/>
    <m/>
    <m/>
    <m/>
    <m/>
    <x v="0"/>
  </r>
  <r>
    <d v="2021-04-16T00:00:00"/>
    <x v="4"/>
    <x v="14"/>
    <x v="14"/>
    <n v="147729"/>
    <n v="147729"/>
    <n v="0"/>
    <x v="325"/>
    <s v="Cali"/>
    <m/>
    <m/>
    <m/>
    <m/>
    <x v="0"/>
  </r>
  <r>
    <d v="2021-04-16T00:00:00"/>
    <x v="4"/>
    <x v="0"/>
    <x v="0"/>
    <n v="-3131728"/>
    <n v="0"/>
    <n v="3131728"/>
    <x v="325"/>
    <s v="Cali"/>
    <m/>
    <m/>
    <m/>
    <m/>
    <x v="0"/>
  </r>
  <r>
    <m/>
    <x v="1"/>
    <x v="23"/>
    <x v="23"/>
    <m/>
    <m/>
    <m/>
    <x v="1"/>
    <m/>
    <m/>
    <m/>
    <m/>
    <m/>
    <x v="0"/>
  </r>
  <r>
    <d v="2021-04-16T00:00:00"/>
    <x v="4"/>
    <x v="52"/>
    <x v="52"/>
    <n v="600000"/>
    <n v="600000"/>
    <n v="0"/>
    <x v="326"/>
    <s v="Cali"/>
    <m/>
    <m/>
    <m/>
    <m/>
    <x v="0"/>
  </r>
  <r>
    <d v="2021-04-16T00:00:00"/>
    <x v="4"/>
    <x v="0"/>
    <x v="0"/>
    <n v="-600000"/>
    <n v="0"/>
    <n v="600000"/>
    <x v="326"/>
    <s v="Cali"/>
    <m/>
    <m/>
    <m/>
    <m/>
    <x v="0"/>
  </r>
  <r>
    <m/>
    <x v="1"/>
    <x v="23"/>
    <x v="23"/>
    <m/>
    <m/>
    <m/>
    <x v="1"/>
    <m/>
    <m/>
    <m/>
    <m/>
    <m/>
    <x v="0"/>
  </r>
  <r>
    <d v="2021-04-16T00:00:00"/>
    <x v="4"/>
    <x v="16"/>
    <x v="16"/>
    <n v="69840"/>
    <n v="69840"/>
    <n v="0"/>
    <x v="327"/>
    <s v="Cali"/>
    <m/>
    <m/>
    <m/>
    <m/>
    <x v="0"/>
  </r>
  <r>
    <d v="2021-04-16T00:00:00"/>
    <x v="4"/>
    <x v="17"/>
    <x v="17"/>
    <n v="-8032"/>
    <n v="0"/>
    <n v="8032"/>
    <x v="327"/>
    <s v="Cali"/>
    <m/>
    <m/>
    <m/>
    <m/>
    <x v="0"/>
  </r>
  <r>
    <d v="2021-04-16T00:00:00"/>
    <x v="4"/>
    <x v="0"/>
    <x v="0"/>
    <n v="-61808"/>
    <n v="0"/>
    <n v="61808"/>
    <x v="327"/>
    <s v="Cali"/>
    <m/>
    <m/>
    <m/>
    <m/>
    <x v="0"/>
  </r>
  <r>
    <m/>
    <x v="1"/>
    <x v="23"/>
    <x v="23"/>
    <m/>
    <m/>
    <m/>
    <x v="1"/>
    <m/>
    <m/>
    <m/>
    <m/>
    <m/>
    <x v="0"/>
  </r>
  <r>
    <d v="2021-04-16T00:00:00"/>
    <x v="4"/>
    <x v="1"/>
    <x v="1"/>
    <n v="35000000"/>
    <n v="35000000"/>
    <n v="0"/>
    <x v="328"/>
    <s v="Cali"/>
    <m/>
    <m/>
    <m/>
    <m/>
    <x v="0"/>
  </r>
  <r>
    <d v="2021-04-16T00:00:00"/>
    <x v="4"/>
    <x v="0"/>
    <x v="0"/>
    <n v="-35000000"/>
    <n v="0"/>
    <n v="35000000"/>
    <x v="328"/>
    <s v="Cali"/>
    <m/>
    <m/>
    <m/>
    <m/>
    <x v="0"/>
  </r>
  <r>
    <m/>
    <x v="1"/>
    <x v="23"/>
    <x v="23"/>
    <m/>
    <m/>
    <m/>
    <x v="1"/>
    <m/>
    <m/>
    <m/>
    <m/>
    <m/>
    <x v="0"/>
  </r>
  <r>
    <d v="2021-04-19T00:00:00"/>
    <x v="4"/>
    <x v="0"/>
    <x v="0"/>
    <n v="40000"/>
    <n v="40000"/>
    <n v="0"/>
    <x v="65"/>
    <s v="Cali"/>
    <m/>
    <m/>
    <m/>
    <m/>
    <x v="0"/>
  </r>
  <r>
    <d v="2021-04-19T00:00:00"/>
    <x v="4"/>
    <x v="29"/>
    <x v="29"/>
    <n v="-40000"/>
    <n v="0"/>
    <n v="4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4-19T00:00:00"/>
    <x v="4"/>
    <x v="0"/>
    <x v="0"/>
    <n v="500000"/>
    <n v="500000"/>
    <n v="0"/>
    <x v="329"/>
    <s v="Cali"/>
    <m/>
    <m/>
    <m/>
    <m/>
    <x v="0"/>
  </r>
  <r>
    <d v="2021-04-19T00:00:00"/>
    <x v="4"/>
    <x v="25"/>
    <x v="25"/>
    <n v="-500000"/>
    <n v="0"/>
    <n v="500000"/>
    <x v="329"/>
    <s v="Cali"/>
    <m/>
    <m/>
    <m/>
    <m/>
    <x v="0"/>
  </r>
  <r>
    <m/>
    <x v="1"/>
    <x v="23"/>
    <x v="23"/>
    <m/>
    <m/>
    <m/>
    <x v="1"/>
    <m/>
    <m/>
    <m/>
    <m/>
    <m/>
    <x v="0"/>
  </r>
  <r>
    <d v="2021-04-19T00:00:00"/>
    <x v="4"/>
    <x v="0"/>
    <x v="0"/>
    <n v="10000"/>
    <n v="10000"/>
    <n v="0"/>
    <x v="198"/>
    <s v="Cali"/>
    <m/>
    <m/>
    <m/>
    <m/>
    <x v="0"/>
  </r>
  <r>
    <d v="2021-04-19T00:00:00"/>
    <x v="4"/>
    <x v="27"/>
    <x v="27"/>
    <n v="-10000"/>
    <n v="0"/>
    <n v="10000"/>
    <x v="198"/>
    <s v="Cali"/>
    <m/>
    <m/>
    <m/>
    <m/>
    <x v="0"/>
  </r>
  <r>
    <m/>
    <x v="1"/>
    <x v="23"/>
    <x v="23"/>
    <m/>
    <m/>
    <m/>
    <x v="1"/>
    <m/>
    <m/>
    <m/>
    <m/>
    <m/>
    <x v="0"/>
  </r>
  <r>
    <d v="2021-04-19T00:00:00"/>
    <x v="4"/>
    <x v="0"/>
    <x v="0"/>
    <n v="2500"/>
    <n v="2500"/>
    <n v="0"/>
    <x v="177"/>
    <s v="Cali"/>
    <m/>
    <m/>
    <m/>
    <m/>
    <x v="0"/>
  </r>
  <r>
    <d v="2021-04-19T00:00:00"/>
    <x v="4"/>
    <x v="19"/>
    <x v="19"/>
    <n v="-2500"/>
    <n v="0"/>
    <n v="25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4-19T00:00:00"/>
    <x v="4"/>
    <x v="0"/>
    <x v="0"/>
    <n v="100000"/>
    <n v="100000"/>
    <n v="0"/>
    <x v="192"/>
    <s v="Cali"/>
    <m/>
    <m/>
    <m/>
    <m/>
    <x v="0"/>
  </r>
  <r>
    <d v="2021-04-19T00:00:00"/>
    <x v="4"/>
    <x v="26"/>
    <x v="26"/>
    <n v="-100000"/>
    <n v="0"/>
    <n v="10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04-19T00:00:00"/>
    <x v="4"/>
    <x v="0"/>
    <x v="0"/>
    <n v="46"/>
    <n v="46"/>
    <n v="0"/>
    <x v="330"/>
    <s v="Cali"/>
    <m/>
    <m/>
    <m/>
    <m/>
    <x v="0"/>
  </r>
  <r>
    <d v="2021-04-19T00:00:00"/>
    <x v="4"/>
    <x v="19"/>
    <x v="19"/>
    <n v="-46"/>
    <n v="0"/>
    <n v="46"/>
    <x v="330"/>
    <s v="Cali"/>
    <m/>
    <m/>
    <m/>
    <m/>
    <x v="0"/>
  </r>
  <r>
    <m/>
    <x v="1"/>
    <x v="23"/>
    <x v="23"/>
    <m/>
    <m/>
    <m/>
    <x v="1"/>
    <m/>
    <m/>
    <m/>
    <m/>
    <m/>
    <x v="0"/>
  </r>
  <r>
    <d v="2021-04-20T00:00:00"/>
    <x v="4"/>
    <x v="0"/>
    <x v="0"/>
    <n v="20000"/>
    <n v="20000"/>
    <n v="0"/>
    <x v="201"/>
    <s v="Cali"/>
    <m/>
    <m/>
    <m/>
    <m/>
    <x v="0"/>
  </r>
  <r>
    <d v="2021-04-20T00:00:00"/>
    <x v="4"/>
    <x v="25"/>
    <x v="25"/>
    <n v="-20000"/>
    <n v="0"/>
    <n v="20000"/>
    <x v="201"/>
    <s v="Cali"/>
    <m/>
    <m/>
    <m/>
    <m/>
    <x v="0"/>
  </r>
  <r>
    <m/>
    <x v="1"/>
    <x v="23"/>
    <x v="23"/>
    <m/>
    <m/>
    <m/>
    <x v="1"/>
    <m/>
    <m/>
    <m/>
    <m/>
    <m/>
    <x v="0"/>
  </r>
  <r>
    <d v="2021-04-20T00:00:00"/>
    <x v="4"/>
    <x v="49"/>
    <x v="49"/>
    <n v="1749"/>
    <n v="1749"/>
    <n v="0"/>
    <x v="331"/>
    <s v="Cali"/>
    <m/>
    <m/>
    <m/>
    <m/>
    <x v="0"/>
  </r>
  <r>
    <d v="2021-04-20T00:00:00"/>
    <x v="4"/>
    <x v="0"/>
    <x v="0"/>
    <n v="-1749"/>
    <n v="0"/>
    <n v="1749"/>
    <x v="331"/>
    <s v="Cali"/>
    <m/>
    <m/>
    <m/>
    <m/>
    <x v="0"/>
  </r>
  <r>
    <m/>
    <x v="1"/>
    <x v="23"/>
    <x v="23"/>
    <m/>
    <m/>
    <m/>
    <x v="1"/>
    <m/>
    <m/>
    <m/>
    <m/>
    <m/>
    <x v="0"/>
  </r>
  <r>
    <d v="2021-04-21T00:00:00"/>
    <x v="4"/>
    <x v="0"/>
    <x v="0"/>
    <n v="40000"/>
    <n v="40000"/>
    <n v="0"/>
    <x v="332"/>
    <s v="Cali"/>
    <m/>
    <m/>
    <m/>
    <m/>
    <x v="0"/>
  </r>
  <r>
    <d v="2021-04-21T00:00:00"/>
    <x v="4"/>
    <x v="19"/>
    <x v="19"/>
    <n v="-40000"/>
    <n v="0"/>
    <n v="40000"/>
    <x v="332"/>
    <s v="Cali"/>
    <m/>
    <m/>
    <m/>
    <m/>
    <x v="0"/>
  </r>
  <r>
    <m/>
    <x v="1"/>
    <x v="23"/>
    <x v="23"/>
    <m/>
    <m/>
    <m/>
    <x v="1"/>
    <m/>
    <m/>
    <m/>
    <m/>
    <m/>
    <x v="0"/>
  </r>
  <r>
    <d v="2021-04-23T00:00:00"/>
    <x v="4"/>
    <x v="0"/>
    <x v="0"/>
    <n v="100000"/>
    <n v="100000"/>
    <n v="0"/>
    <x v="273"/>
    <s v="Cali"/>
    <m/>
    <m/>
    <m/>
    <m/>
    <x v="0"/>
  </r>
  <r>
    <d v="2021-04-23T00:00:00"/>
    <x v="4"/>
    <x v="26"/>
    <x v="26"/>
    <n v="-100000"/>
    <n v="0"/>
    <n v="100000"/>
    <x v="273"/>
    <s v="Cali"/>
    <m/>
    <m/>
    <m/>
    <m/>
    <x v="0"/>
  </r>
  <r>
    <m/>
    <x v="1"/>
    <x v="23"/>
    <x v="23"/>
    <m/>
    <m/>
    <m/>
    <x v="1"/>
    <m/>
    <m/>
    <m/>
    <m/>
    <m/>
    <x v="0"/>
  </r>
  <r>
    <d v="2021-04-23T00:00:00"/>
    <x v="4"/>
    <x v="0"/>
    <x v="0"/>
    <n v="30000"/>
    <n v="30000"/>
    <n v="0"/>
    <x v="203"/>
    <s v="Cali"/>
    <m/>
    <m/>
    <m/>
    <m/>
    <x v="0"/>
  </r>
  <r>
    <d v="2021-04-23T00:00:00"/>
    <x v="4"/>
    <x v="27"/>
    <x v="27"/>
    <n v="-30000"/>
    <n v="0"/>
    <n v="30000"/>
    <x v="203"/>
    <s v="Cali"/>
    <m/>
    <m/>
    <m/>
    <m/>
    <x v="0"/>
  </r>
  <r>
    <m/>
    <x v="1"/>
    <x v="23"/>
    <x v="23"/>
    <m/>
    <m/>
    <m/>
    <x v="1"/>
    <m/>
    <m/>
    <m/>
    <m/>
    <m/>
    <x v="0"/>
  </r>
  <r>
    <d v="2021-04-23T00:00:00"/>
    <x v="4"/>
    <x v="0"/>
    <x v="0"/>
    <n v="100000"/>
    <n v="100000"/>
    <n v="0"/>
    <x v="333"/>
    <s v="Cali"/>
    <m/>
    <m/>
    <m/>
    <m/>
    <x v="0"/>
  </r>
  <r>
    <d v="2021-04-23T00:00:00"/>
    <x v="4"/>
    <x v="26"/>
    <x v="26"/>
    <n v="-100000"/>
    <n v="0"/>
    <n v="100000"/>
    <x v="333"/>
    <s v="Cali"/>
    <m/>
    <m/>
    <m/>
    <m/>
    <x v="0"/>
  </r>
  <r>
    <m/>
    <x v="1"/>
    <x v="23"/>
    <x v="23"/>
    <m/>
    <m/>
    <m/>
    <x v="1"/>
    <m/>
    <m/>
    <m/>
    <m/>
    <m/>
    <x v="0"/>
  </r>
  <r>
    <d v="2021-04-23T00:00:00"/>
    <x v="4"/>
    <x v="0"/>
    <x v="0"/>
    <n v="20000"/>
    <n v="20000"/>
    <n v="0"/>
    <x v="85"/>
    <s v="Cali"/>
    <m/>
    <m/>
    <m/>
    <m/>
    <x v="0"/>
  </r>
  <r>
    <d v="2021-04-23T00:00:00"/>
    <x v="4"/>
    <x v="25"/>
    <x v="25"/>
    <n v="-20000"/>
    <n v="0"/>
    <n v="20000"/>
    <x v="85"/>
    <s v="Cali"/>
    <m/>
    <m/>
    <m/>
    <m/>
    <x v="0"/>
  </r>
  <r>
    <m/>
    <x v="1"/>
    <x v="23"/>
    <x v="23"/>
    <m/>
    <m/>
    <m/>
    <x v="1"/>
    <m/>
    <m/>
    <m/>
    <m/>
    <m/>
    <x v="0"/>
  </r>
  <r>
    <d v="2021-04-26T00:00:00"/>
    <x v="4"/>
    <x v="0"/>
    <x v="0"/>
    <n v="30000"/>
    <n v="30000"/>
    <n v="0"/>
    <x v="266"/>
    <s v="Cali"/>
    <m/>
    <m/>
    <m/>
    <m/>
    <x v="0"/>
  </r>
  <r>
    <d v="2021-04-26T00:00:00"/>
    <x v="4"/>
    <x v="25"/>
    <x v="25"/>
    <n v="-30000"/>
    <n v="0"/>
    <n v="30000"/>
    <x v="266"/>
    <s v="Cali"/>
    <m/>
    <m/>
    <m/>
    <m/>
    <x v="0"/>
  </r>
  <r>
    <m/>
    <x v="1"/>
    <x v="23"/>
    <x v="23"/>
    <m/>
    <m/>
    <m/>
    <x v="1"/>
    <m/>
    <m/>
    <m/>
    <m/>
    <m/>
    <x v="0"/>
  </r>
  <r>
    <d v="2021-04-26T00:00:00"/>
    <x v="4"/>
    <x v="0"/>
    <x v="0"/>
    <n v="200000"/>
    <n v="200000"/>
    <n v="0"/>
    <x v="334"/>
    <s v="Cali"/>
    <m/>
    <m/>
    <m/>
    <m/>
    <x v="0"/>
  </r>
  <r>
    <d v="2021-04-26T00:00:00"/>
    <x v="4"/>
    <x v="25"/>
    <x v="25"/>
    <n v="-200000"/>
    <n v="0"/>
    <n v="200000"/>
    <x v="334"/>
    <s v="Cali"/>
    <m/>
    <m/>
    <m/>
    <m/>
    <x v="0"/>
  </r>
  <r>
    <m/>
    <x v="1"/>
    <x v="23"/>
    <x v="23"/>
    <m/>
    <m/>
    <m/>
    <x v="1"/>
    <m/>
    <m/>
    <m/>
    <m/>
    <m/>
    <x v="0"/>
  </r>
  <r>
    <d v="2021-04-26T00:00:00"/>
    <x v="4"/>
    <x v="0"/>
    <x v="0"/>
    <n v="50000"/>
    <n v="50000"/>
    <n v="0"/>
    <x v="335"/>
    <s v="Cali"/>
    <m/>
    <m/>
    <m/>
    <m/>
    <x v="0"/>
  </r>
  <r>
    <d v="2021-04-26T00:00:00"/>
    <x v="4"/>
    <x v="26"/>
    <x v="26"/>
    <n v="-50000"/>
    <n v="0"/>
    <n v="50000"/>
    <x v="335"/>
    <s v="Cali"/>
    <m/>
    <m/>
    <m/>
    <m/>
    <x v="0"/>
  </r>
  <r>
    <m/>
    <x v="1"/>
    <x v="23"/>
    <x v="23"/>
    <m/>
    <m/>
    <m/>
    <x v="1"/>
    <m/>
    <m/>
    <m/>
    <m/>
    <m/>
    <x v="0"/>
  </r>
  <r>
    <d v="2021-04-26T00:00:00"/>
    <x v="4"/>
    <x v="0"/>
    <x v="0"/>
    <n v="10000"/>
    <n v="10000"/>
    <n v="0"/>
    <x v="140"/>
    <s v="Cali"/>
    <m/>
    <m/>
    <m/>
    <m/>
    <x v="0"/>
  </r>
  <r>
    <d v="2021-04-26T00:00:00"/>
    <x v="4"/>
    <x v="19"/>
    <x v="19"/>
    <n v="-10000"/>
    <n v="0"/>
    <n v="10000"/>
    <x v="140"/>
    <s v="Cali"/>
    <m/>
    <m/>
    <m/>
    <m/>
    <x v="0"/>
  </r>
  <r>
    <m/>
    <x v="1"/>
    <x v="23"/>
    <x v="23"/>
    <m/>
    <m/>
    <m/>
    <x v="1"/>
    <m/>
    <m/>
    <m/>
    <m/>
    <m/>
    <x v="0"/>
  </r>
  <r>
    <d v="2021-04-26T00:00:00"/>
    <x v="4"/>
    <x v="0"/>
    <x v="0"/>
    <n v="10000"/>
    <n v="10000"/>
    <n v="0"/>
    <x v="206"/>
    <s v="Cali"/>
    <m/>
    <m/>
    <m/>
    <m/>
    <x v="0"/>
  </r>
  <r>
    <d v="2021-04-26T00:00:00"/>
    <x v="4"/>
    <x v="26"/>
    <x v="26"/>
    <n v="-10000"/>
    <n v="0"/>
    <n v="10000"/>
    <x v="206"/>
    <s v="Cali"/>
    <m/>
    <m/>
    <m/>
    <m/>
    <x v="0"/>
  </r>
  <r>
    <m/>
    <x v="1"/>
    <x v="23"/>
    <x v="23"/>
    <m/>
    <m/>
    <m/>
    <x v="1"/>
    <m/>
    <m/>
    <m/>
    <m/>
    <m/>
    <x v="0"/>
  </r>
  <r>
    <d v="2021-04-26T00:00:00"/>
    <x v="4"/>
    <x v="0"/>
    <x v="0"/>
    <n v="400000"/>
    <n v="400000"/>
    <n v="0"/>
    <x v="212"/>
    <s v="Cali"/>
    <m/>
    <m/>
    <m/>
    <m/>
    <x v="0"/>
  </r>
  <r>
    <d v="2021-04-26T00:00:00"/>
    <x v="4"/>
    <x v="26"/>
    <x v="26"/>
    <n v="-400000"/>
    <n v="0"/>
    <n v="400000"/>
    <x v="212"/>
    <s v="Cali"/>
    <m/>
    <m/>
    <m/>
    <m/>
    <x v="0"/>
  </r>
  <r>
    <m/>
    <x v="1"/>
    <x v="23"/>
    <x v="23"/>
    <m/>
    <m/>
    <m/>
    <x v="1"/>
    <m/>
    <m/>
    <m/>
    <m/>
    <m/>
    <x v="0"/>
  </r>
  <r>
    <d v="2021-04-26T00:00:00"/>
    <x v="4"/>
    <x v="0"/>
    <x v="0"/>
    <n v="2000"/>
    <n v="2000"/>
    <n v="0"/>
    <x v="177"/>
    <s v="Cali"/>
    <m/>
    <m/>
    <m/>
    <m/>
    <x v="0"/>
  </r>
  <r>
    <d v="2021-04-26T00:00:00"/>
    <x v="4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4-26T00:00:00"/>
    <x v="4"/>
    <x v="0"/>
    <x v="0"/>
    <n v="2208207"/>
    <n v="2208207"/>
    <n v="0"/>
    <x v="336"/>
    <s v="Cali"/>
    <m/>
    <m/>
    <m/>
    <m/>
    <x v="0"/>
  </r>
  <r>
    <d v="2021-04-26T00:00:00"/>
    <x v="4"/>
    <x v="44"/>
    <x v="44"/>
    <n v="-2208207"/>
    <n v="0"/>
    <n v="2208207"/>
    <x v="336"/>
    <s v="Cali"/>
    <m/>
    <m/>
    <m/>
    <m/>
    <x v="0"/>
  </r>
  <r>
    <m/>
    <x v="1"/>
    <x v="23"/>
    <x v="23"/>
    <m/>
    <m/>
    <m/>
    <x v="1"/>
    <m/>
    <m/>
    <m/>
    <m/>
    <m/>
    <x v="0"/>
  </r>
  <r>
    <d v="2021-04-26T00:00:00"/>
    <x v="4"/>
    <x v="0"/>
    <x v="0"/>
    <n v="1949783"/>
    <n v="1949783"/>
    <n v="0"/>
    <x v="337"/>
    <s v="Cali"/>
    <m/>
    <m/>
    <m/>
    <m/>
    <x v="0"/>
  </r>
  <r>
    <d v="2021-04-26T00:00:00"/>
    <x v="4"/>
    <x v="45"/>
    <x v="45"/>
    <n v="-1949783"/>
    <n v="0"/>
    <n v="1949783"/>
    <x v="337"/>
    <s v="Cali"/>
    <m/>
    <m/>
    <m/>
    <m/>
    <x v="0"/>
  </r>
  <r>
    <m/>
    <x v="1"/>
    <x v="23"/>
    <x v="23"/>
    <m/>
    <m/>
    <m/>
    <x v="1"/>
    <m/>
    <m/>
    <m/>
    <m/>
    <m/>
    <x v="0"/>
  </r>
  <r>
    <d v="2021-04-27T00:00:00"/>
    <x v="4"/>
    <x v="0"/>
    <x v="0"/>
    <n v="100000"/>
    <n v="100000"/>
    <n v="0"/>
    <x v="281"/>
    <s v="Cali"/>
    <m/>
    <m/>
    <m/>
    <m/>
    <x v="0"/>
  </r>
  <r>
    <d v="2021-04-27T00:00:00"/>
    <x v="4"/>
    <x v="26"/>
    <x v="26"/>
    <n v="-100000"/>
    <n v="0"/>
    <n v="100000"/>
    <x v="281"/>
    <s v="Cali"/>
    <m/>
    <m/>
    <m/>
    <m/>
    <x v="0"/>
  </r>
  <r>
    <m/>
    <x v="1"/>
    <x v="23"/>
    <x v="23"/>
    <m/>
    <m/>
    <m/>
    <x v="1"/>
    <m/>
    <m/>
    <m/>
    <m/>
    <m/>
    <x v="0"/>
  </r>
  <r>
    <d v="2021-04-27T00:00:00"/>
    <x v="4"/>
    <x v="0"/>
    <x v="0"/>
    <n v="10000"/>
    <n v="10000"/>
    <n v="0"/>
    <x v="277"/>
    <s v="Cali"/>
    <m/>
    <m/>
    <m/>
    <m/>
    <x v="0"/>
  </r>
  <r>
    <d v="2021-04-27T00:00:00"/>
    <x v="4"/>
    <x v="25"/>
    <x v="25"/>
    <n v="-10000"/>
    <n v="0"/>
    <n v="10000"/>
    <x v="277"/>
    <s v="Cali"/>
    <m/>
    <m/>
    <m/>
    <m/>
    <x v="0"/>
  </r>
  <r>
    <m/>
    <x v="1"/>
    <x v="23"/>
    <x v="23"/>
    <m/>
    <m/>
    <m/>
    <x v="1"/>
    <m/>
    <m/>
    <m/>
    <m/>
    <m/>
    <x v="0"/>
  </r>
  <r>
    <d v="2021-04-28T00:00:00"/>
    <x v="4"/>
    <x v="0"/>
    <x v="0"/>
    <n v="200000"/>
    <n v="200000"/>
    <n v="0"/>
    <x v="338"/>
    <s v="Cali"/>
    <m/>
    <m/>
    <m/>
    <m/>
    <x v="0"/>
  </r>
  <r>
    <d v="2021-04-28T00:00:00"/>
    <x v="4"/>
    <x v="27"/>
    <x v="27"/>
    <n v="-200000"/>
    <n v="0"/>
    <n v="200000"/>
    <x v="338"/>
    <s v="Cali"/>
    <m/>
    <m/>
    <m/>
    <m/>
    <x v="0"/>
  </r>
  <r>
    <m/>
    <x v="1"/>
    <x v="23"/>
    <x v="23"/>
    <m/>
    <m/>
    <m/>
    <x v="1"/>
    <m/>
    <m/>
    <m/>
    <m/>
    <m/>
    <x v="0"/>
  </r>
  <r>
    <d v="2021-04-28T00:00:00"/>
    <x v="4"/>
    <x v="13"/>
    <x v="13"/>
    <n v="4000000"/>
    <n v="4000000"/>
    <n v="0"/>
    <x v="339"/>
    <s v="Cali"/>
    <m/>
    <m/>
    <m/>
    <m/>
    <x v="0"/>
  </r>
  <r>
    <d v="2021-04-28T00:00:00"/>
    <x v="4"/>
    <x v="0"/>
    <x v="0"/>
    <n v="-4000000"/>
    <n v="0"/>
    <n v="4000000"/>
    <x v="339"/>
    <s v="Cali"/>
    <m/>
    <m/>
    <m/>
    <m/>
    <x v="0"/>
  </r>
  <r>
    <m/>
    <x v="1"/>
    <x v="23"/>
    <x v="23"/>
    <m/>
    <m/>
    <m/>
    <x v="1"/>
    <m/>
    <m/>
    <m/>
    <m/>
    <m/>
    <x v="0"/>
  </r>
  <r>
    <d v="2021-04-28T00:00:00"/>
    <x v="4"/>
    <x v="0"/>
    <x v="0"/>
    <n v="60000"/>
    <n v="60000"/>
    <n v="0"/>
    <x v="213"/>
    <s v="Cali"/>
    <m/>
    <m/>
    <m/>
    <m/>
    <x v="0"/>
  </r>
  <r>
    <d v="2021-04-28T00:00:00"/>
    <x v="4"/>
    <x v="29"/>
    <x v="29"/>
    <n v="-60000"/>
    <n v="0"/>
    <n v="60000"/>
    <x v="213"/>
    <s v="Cali"/>
    <m/>
    <m/>
    <m/>
    <m/>
    <x v="0"/>
  </r>
  <r>
    <m/>
    <x v="1"/>
    <x v="23"/>
    <x v="23"/>
    <m/>
    <m/>
    <m/>
    <x v="1"/>
    <m/>
    <m/>
    <m/>
    <m/>
    <m/>
    <x v="0"/>
  </r>
  <r>
    <d v="2021-04-28T00:00:00"/>
    <x v="4"/>
    <x v="0"/>
    <x v="0"/>
    <n v="73000"/>
    <n v="73000"/>
    <n v="0"/>
    <x v="240"/>
    <s v="Cali"/>
    <m/>
    <m/>
    <m/>
    <m/>
    <x v="0"/>
  </r>
  <r>
    <d v="2021-04-28T00:00:00"/>
    <x v="4"/>
    <x v="26"/>
    <x v="26"/>
    <n v="-73000"/>
    <n v="0"/>
    <n v="73000"/>
    <x v="240"/>
    <s v="Cali"/>
    <m/>
    <m/>
    <m/>
    <m/>
    <x v="0"/>
  </r>
  <r>
    <m/>
    <x v="1"/>
    <x v="23"/>
    <x v="23"/>
    <m/>
    <m/>
    <m/>
    <x v="1"/>
    <m/>
    <m/>
    <m/>
    <m/>
    <m/>
    <x v="0"/>
  </r>
  <r>
    <d v="2021-04-28T00:00:00"/>
    <x v="4"/>
    <x v="0"/>
    <x v="0"/>
    <n v="20000"/>
    <n v="20000"/>
    <n v="0"/>
    <x v="237"/>
    <s v="Cali"/>
    <m/>
    <m/>
    <m/>
    <m/>
    <x v="0"/>
  </r>
  <r>
    <d v="2021-04-28T00:00:00"/>
    <x v="4"/>
    <x v="19"/>
    <x v="19"/>
    <n v="-20000"/>
    <n v="0"/>
    <n v="20000"/>
    <x v="237"/>
    <s v="Cali"/>
    <m/>
    <m/>
    <m/>
    <m/>
    <x v="0"/>
  </r>
  <r>
    <m/>
    <x v="1"/>
    <x v="23"/>
    <x v="23"/>
    <m/>
    <m/>
    <m/>
    <x v="1"/>
    <m/>
    <m/>
    <m/>
    <m/>
    <m/>
    <x v="0"/>
  </r>
  <r>
    <d v="2021-04-28T00:00:00"/>
    <x v="4"/>
    <x v="0"/>
    <x v="0"/>
    <n v="10000"/>
    <n v="10000"/>
    <n v="0"/>
    <x v="236"/>
    <s v="Cali"/>
    <m/>
    <m/>
    <m/>
    <m/>
    <x v="0"/>
  </r>
  <r>
    <d v="2021-04-28T00:00:00"/>
    <x v="4"/>
    <x v="25"/>
    <x v="25"/>
    <n v="-10000"/>
    <n v="0"/>
    <n v="10000"/>
    <x v="236"/>
    <s v="Cali"/>
    <m/>
    <m/>
    <m/>
    <m/>
    <x v="0"/>
  </r>
  <r>
    <m/>
    <x v="1"/>
    <x v="23"/>
    <x v="23"/>
    <m/>
    <m/>
    <m/>
    <x v="1"/>
    <m/>
    <m/>
    <m/>
    <m/>
    <m/>
    <x v="0"/>
  </r>
  <r>
    <d v="2021-04-28T00:00:00"/>
    <x v="4"/>
    <x v="0"/>
    <x v="0"/>
    <n v="125000"/>
    <n v="125000"/>
    <n v="0"/>
    <x v="136"/>
    <s v="Cali"/>
    <m/>
    <m/>
    <m/>
    <m/>
    <x v="0"/>
  </r>
  <r>
    <d v="2021-04-28T00:00:00"/>
    <x v="4"/>
    <x v="26"/>
    <x v="26"/>
    <n v="-125000"/>
    <n v="0"/>
    <n v="125000"/>
    <x v="136"/>
    <s v="Cali"/>
    <m/>
    <m/>
    <m/>
    <m/>
    <x v="0"/>
  </r>
  <r>
    <m/>
    <x v="1"/>
    <x v="23"/>
    <x v="23"/>
    <m/>
    <m/>
    <m/>
    <x v="1"/>
    <m/>
    <m/>
    <m/>
    <m/>
    <m/>
    <x v="0"/>
  </r>
  <r>
    <d v="2021-04-28T00:00:00"/>
    <x v="4"/>
    <x v="0"/>
    <x v="0"/>
    <n v="40000"/>
    <n v="40000"/>
    <n v="0"/>
    <x v="10"/>
    <s v="Cali"/>
    <m/>
    <m/>
    <m/>
    <m/>
    <x v="0"/>
  </r>
  <r>
    <d v="2021-04-28T00:00:00"/>
    <x v="4"/>
    <x v="25"/>
    <x v="25"/>
    <n v="-40000"/>
    <n v="0"/>
    <n v="40000"/>
    <x v="10"/>
    <s v="Cali"/>
    <m/>
    <m/>
    <m/>
    <m/>
    <x v="0"/>
  </r>
  <r>
    <m/>
    <x v="1"/>
    <x v="23"/>
    <x v="23"/>
    <m/>
    <m/>
    <m/>
    <x v="1"/>
    <m/>
    <m/>
    <m/>
    <m/>
    <m/>
    <x v="0"/>
  </r>
  <r>
    <d v="2021-04-28T00:00:00"/>
    <x v="4"/>
    <x v="0"/>
    <x v="0"/>
    <n v="30000"/>
    <n v="30000"/>
    <n v="0"/>
    <x v="139"/>
    <s v="Cali"/>
    <m/>
    <m/>
    <m/>
    <m/>
    <x v="0"/>
  </r>
  <r>
    <d v="2021-04-28T00:00:00"/>
    <x v="4"/>
    <x v="25"/>
    <x v="25"/>
    <n v="-30000"/>
    <n v="0"/>
    <n v="30000"/>
    <x v="139"/>
    <s v="Cali"/>
    <m/>
    <m/>
    <m/>
    <m/>
    <x v="0"/>
  </r>
  <r>
    <m/>
    <x v="1"/>
    <x v="23"/>
    <x v="23"/>
    <m/>
    <m/>
    <m/>
    <x v="1"/>
    <m/>
    <m/>
    <m/>
    <m/>
    <m/>
    <x v="0"/>
  </r>
  <r>
    <d v="2021-04-28T00:00:00"/>
    <x v="4"/>
    <x v="0"/>
    <x v="0"/>
    <n v="100000"/>
    <n v="100000"/>
    <n v="0"/>
    <x v="340"/>
    <s v="Cali"/>
    <m/>
    <m/>
    <m/>
    <m/>
    <x v="0"/>
  </r>
  <r>
    <d v="2021-04-28T00:00:00"/>
    <x v="4"/>
    <x v="26"/>
    <x v="26"/>
    <n v="-100000"/>
    <n v="0"/>
    <n v="100000"/>
    <x v="340"/>
    <s v="Cali"/>
    <m/>
    <m/>
    <m/>
    <m/>
    <x v="0"/>
  </r>
  <r>
    <m/>
    <x v="1"/>
    <x v="23"/>
    <x v="23"/>
    <m/>
    <m/>
    <m/>
    <x v="1"/>
    <m/>
    <m/>
    <m/>
    <m/>
    <m/>
    <x v="0"/>
  </r>
  <r>
    <d v="2021-04-28T00:00:00"/>
    <x v="4"/>
    <x v="0"/>
    <x v="0"/>
    <n v="25000"/>
    <n v="25000"/>
    <n v="0"/>
    <x v="138"/>
    <s v="Cali"/>
    <m/>
    <m/>
    <m/>
    <m/>
    <x v="0"/>
  </r>
  <r>
    <d v="2021-04-28T00:00:00"/>
    <x v="4"/>
    <x v="27"/>
    <x v="27"/>
    <n v="-25000"/>
    <n v="0"/>
    <n v="25000"/>
    <x v="138"/>
    <s v="Cali"/>
    <m/>
    <m/>
    <m/>
    <m/>
    <x v="0"/>
  </r>
  <r>
    <m/>
    <x v="1"/>
    <x v="23"/>
    <x v="23"/>
    <m/>
    <m/>
    <m/>
    <x v="1"/>
    <m/>
    <m/>
    <m/>
    <m/>
    <m/>
    <x v="0"/>
  </r>
  <r>
    <d v="2021-04-28T00:00:00"/>
    <x v="4"/>
    <x v="0"/>
    <x v="0"/>
    <n v="14000"/>
    <n v="14000"/>
    <n v="0"/>
    <x v="65"/>
    <s v="Cali"/>
    <m/>
    <m/>
    <m/>
    <m/>
    <x v="0"/>
  </r>
  <r>
    <d v="2021-04-28T00:00:00"/>
    <x v="4"/>
    <x v="29"/>
    <x v="29"/>
    <n v="-14000"/>
    <n v="0"/>
    <n v="14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4-28T00:00:00"/>
    <x v="4"/>
    <x v="0"/>
    <x v="0"/>
    <n v="9490559"/>
    <n v="9490559"/>
    <n v="0"/>
    <x v="341"/>
    <s v="Cali"/>
    <m/>
    <m/>
    <m/>
    <m/>
    <x v="0"/>
  </r>
  <r>
    <d v="2021-04-28T00:00:00"/>
    <x v="4"/>
    <x v="5"/>
    <x v="5"/>
    <n v="-9490559"/>
    <n v="0"/>
    <n v="9490559"/>
    <x v="341"/>
    <s v="Cali"/>
    <m/>
    <m/>
    <m/>
    <m/>
    <x v="0"/>
  </r>
  <r>
    <m/>
    <x v="1"/>
    <x v="23"/>
    <x v="23"/>
    <m/>
    <m/>
    <m/>
    <x v="1"/>
    <m/>
    <m/>
    <m/>
    <m/>
    <m/>
    <x v="0"/>
  </r>
  <r>
    <d v="2021-04-28T00:00:00"/>
    <x v="4"/>
    <x v="0"/>
    <x v="0"/>
    <n v="462431"/>
    <n v="462431"/>
    <n v="0"/>
    <x v="341"/>
    <s v="Cali"/>
    <m/>
    <m/>
    <m/>
    <m/>
    <x v="0"/>
  </r>
  <r>
    <d v="2021-04-28T00:00:00"/>
    <x v="4"/>
    <x v="5"/>
    <x v="5"/>
    <n v="-462431"/>
    <n v="0"/>
    <n v="462431"/>
    <x v="341"/>
    <s v="Cali"/>
    <m/>
    <m/>
    <m/>
    <m/>
    <x v="0"/>
  </r>
  <r>
    <m/>
    <x v="1"/>
    <x v="23"/>
    <x v="23"/>
    <m/>
    <m/>
    <m/>
    <x v="1"/>
    <m/>
    <m/>
    <m/>
    <m/>
    <m/>
    <x v="0"/>
  </r>
  <r>
    <d v="2021-04-29T00:00:00"/>
    <x v="4"/>
    <x v="0"/>
    <x v="0"/>
    <n v="40000"/>
    <n v="40000"/>
    <n v="0"/>
    <x v="241"/>
    <s v="Cali"/>
    <m/>
    <m/>
    <m/>
    <m/>
    <x v="0"/>
  </r>
  <r>
    <d v="2021-04-29T00:00:00"/>
    <x v="4"/>
    <x v="26"/>
    <x v="26"/>
    <n v="-40000"/>
    <n v="0"/>
    <n v="40000"/>
    <x v="241"/>
    <s v="Cali"/>
    <m/>
    <m/>
    <m/>
    <m/>
    <x v="0"/>
  </r>
  <r>
    <m/>
    <x v="1"/>
    <x v="23"/>
    <x v="23"/>
    <m/>
    <m/>
    <m/>
    <x v="1"/>
    <m/>
    <m/>
    <m/>
    <m/>
    <m/>
    <x v="0"/>
  </r>
  <r>
    <d v="2021-04-29T00:00:00"/>
    <x v="4"/>
    <x v="0"/>
    <x v="0"/>
    <n v="60000"/>
    <n v="60000"/>
    <n v="0"/>
    <x v="238"/>
    <s v="Cali"/>
    <m/>
    <m/>
    <m/>
    <m/>
    <x v="0"/>
  </r>
  <r>
    <d v="2021-04-29T00:00:00"/>
    <x v="4"/>
    <x v="25"/>
    <x v="25"/>
    <n v="-60000"/>
    <n v="0"/>
    <n v="60000"/>
    <x v="238"/>
    <s v="Cali"/>
    <m/>
    <m/>
    <m/>
    <m/>
    <x v="0"/>
  </r>
  <r>
    <m/>
    <x v="1"/>
    <x v="23"/>
    <x v="23"/>
    <m/>
    <m/>
    <m/>
    <x v="1"/>
    <m/>
    <m/>
    <m/>
    <m/>
    <m/>
    <x v="0"/>
  </r>
  <r>
    <d v="2021-04-29T00:00:00"/>
    <x v="4"/>
    <x v="0"/>
    <x v="0"/>
    <n v="22000"/>
    <n v="22000"/>
    <n v="0"/>
    <x v="342"/>
    <s v="Cali"/>
    <m/>
    <m/>
    <m/>
    <m/>
    <x v="0"/>
  </r>
  <r>
    <d v="2021-04-29T00:00:00"/>
    <x v="4"/>
    <x v="25"/>
    <x v="25"/>
    <n v="-22000"/>
    <n v="0"/>
    <n v="22000"/>
    <x v="342"/>
    <s v="Cali"/>
    <m/>
    <m/>
    <m/>
    <m/>
    <x v="0"/>
  </r>
  <r>
    <m/>
    <x v="1"/>
    <x v="23"/>
    <x v="23"/>
    <m/>
    <m/>
    <m/>
    <x v="1"/>
    <m/>
    <m/>
    <m/>
    <m/>
    <m/>
    <x v="0"/>
  </r>
  <r>
    <d v="2021-04-29T00:00:00"/>
    <x v="4"/>
    <x v="0"/>
    <x v="0"/>
    <n v="50000"/>
    <n v="50000"/>
    <n v="0"/>
    <x v="343"/>
    <s v="Cali"/>
    <m/>
    <m/>
    <m/>
    <m/>
    <x v="0"/>
  </r>
  <r>
    <d v="2021-04-29T00:00:00"/>
    <x v="4"/>
    <x v="19"/>
    <x v="19"/>
    <n v="-50000"/>
    <n v="0"/>
    <n v="50000"/>
    <x v="343"/>
    <s v="Cali"/>
    <m/>
    <m/>
    <m/>
    <m/>
    <x v="0"/>
  </r>
  <r>
    <m/>
    <x v="1"/>
    <x v="23"/>
    <x v="23"/>
    <m/>
    <m/>
    <m/>
    <x v="1"/>
    <m/>
    <m/>
    <m/>
    <m/>
    <m/>
    <x v="0"/>
  </r>
  <r>
    <d v="2021-04-30T00:00:00"/>
    <x v="4"/>
    <x v="0"/>
    <x v="0"/>
    <n v="100000"/>
    <n v="100000"/>
    <n v="0"/>
    <x v="192"/>
    <s v="Cali"/>
    <m/>
    <m/>
    <m/>
    <m/>
    <x v="0"/>
  </r>
  <r>
    <d v="2021-04-30T00:00:00"/>
    <x v="4"/>
    <x v="26"/>
    <x v="26"/>
    <n v="-100000"/>
    <n v="0"/>
    <n v="10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04-30T00:00:00"/>
    <x v="4"/>
    <x v="0"/>
    <x v="0"/>
    <n v="50000"/>
    <n v="50000"/>
    <n v="0"/>
    <x v="135"/>
    <s v="Cali"/>
    <m/>
    <m/>
    <m/>
    <m/>
    <x v="0"/>
  </r>
  <r>
    <d v="2021-04-30T00:00:00"/>
    <x v="4"/>
    <x v="26"/>
    <x v="26"/>
    <n v="-50000"/>
    <n v="0"/>
    <n v="50000"/>
    <x v="135"/>
    <s v="Cali"/>
    <m/>
    <m/>
    <m/>
    <m/>
    <x v="0"/>
  </r>
  <r>
    <m/>
    <x v="1"/>
    <x v="23"/>
    <x v="23"/>
    <m/>
    <m/>
    <m/>
    <x v="1"/>
    <m/>
    <m/>
    <m/>
    <m/>
    <m/>
    <x v="0"/>
  </r>
  <r>
    <d v="2021-04-30T00:00:00"/>
    <x v="4"/>
    <x v="0"/>
    <x v="0"/>
    <n v="36000"/>
    <n v="36000"/>
    <n v="0"/>
    <x v="133"/>
    <s v="Cali"/>
    <m/>
    <m/>
    <m/>
    <m/>
    <x v="0"/>
  </r>
  <r>
    <d v="2021-04-30T00:00:00"/>
    <x v="4"/>
    <x v="25"/>
    <x v="25"/>
    <n v="-36000"/>
    <n v="0"/>
    <n v="36000"/>
    <x v="133"/>
    <s v="Cali"/>
    <m/>
    <m/>
    <m/>
    <m/>
    <x v="0"/>
  </r>
  <r>
    <m/>
    <x v="1"/>
    <x v="23"/>
    <x v="23"/>
    <m/>
    <m/>
    <m/>
    <x v="1"/>
    <m/>
    <m/>
    <m/>
    <m/>
    <m/>
    <x v="0"/>
  </r>
  <r>
    <d v="2021-04-30T00:00:00"/>
    <x v="4"/>
    <x v="0"/>
    <x v="0"/>
    <n v="100000"/>
    <n v="100000"/>
    <n v="0"/>
    <x v="134"/>
    <s v="Cali"/>
    <s v="80965500-8"/>
    <s v="PROYECTOS Y CONSTRUCCIONES TASCO LIMITADA"/>
    <n v="2916"/>
    <m/>
    <x v="0"/>
  </r>
  <r>
    <d v="2021-04-30T00:00:00"/>
    <x v="4"/>
    <x v="26"/>
    <x v="26"/>
    <n v="-100000"/>
    <n v="0"/>
    <n v="100000"/>
    <x v="134"/>
    <s v="Cali"/>
    <s v="80965500-8"/>
    <s v="PROYECTOS Y CONSTRUCCIONES TASCO LIMITADA"/>
    <n v="2916"/>
    <m/>
    <x v="0"/>
  </r>
  <r>
    <m/>
    <x v="1"/>
    <x v="23"/>
    <x v="23"/>
    <m/>
    <m/>
    <m/>
    <x v="1"/>
    <m/>
    <s v="80965500-8"/>
    <s v="PROYECTOS Y CONSTRUCCIONES TASCO LIMITADA"/>
    <n v="2916"/>
    <m/>
    <x v="0"/>
  </r>
  <r>
    <d v="2021-04-30T00:00:00"/>
    <x v="4"/>
    <x v="0"/>
    <x v="0"/>
    <n v="1857994"/>
    <n v="1857994"/>
    <n v="0"/>
    <x v="344"/>
    <s v="Cali"/>
    <s v="80965500-8"/>
    <s v="PROYECTOS Y CONSTRUCCIONES TASCO LIMITADA"/>
    <n v="2916"/>
    <m/>
    <x v="0"/>
  </r>
  <r>
    <d v="2021-04-30T00:00:00"/>
    <x v="4"/>
    <x v="26"/>
    <x v="26"/>
    <n v="-1857994"/>
    <n v="0"/>
    <n v="1857994"/>
    <x v="344"/>
    <s v="Cali"/>
    <m/>
    <m/>
    <m/>
    <m/>
    <x v="0"/>
  </r>
  <r>
    <m/>
    <x v="1"/>
    <x v="23"/>
    <x v="23"/>
    <m/>
    <m/>
    <m/>
    <x v="1"/>
    <m/>
    <s v="80965500-8"/>
    <s v="PROYECTOS Y CONSTRUCCIONES TASCO LIMITADA"/>
    <n v="2916"/>
    <m/>
    <x v="0"/>
  </r>
  <r>
    <d v="2021-04-30T00:00:00"/>
    <x v="4"/>
    <x v="0"/>
    <x v="0"/>
    <n v="10000"/>
    <n v="10000"/>
    <n v="0"/>
    <x v="308"/>
    <s v="Cali"/>
    <s v="80965500-8"/>
    <s v="PROYECTOS Y CONSTRUCCIONES TASCO LIMITADA"/>
    <n v="2916"/>
    <m/>
    <x v="0"/>
  </r>
  <r>
    <d v="2021-04-30T00:00:00"/>
    <x v="4"/>
    <x v="25"/>
    <x v="25"/>
    <n v="-10000"/>
    <n v="0"/>
    <n v="10000"/>
    <x v="308"/>
    <s v="Cali"/>
    <m/>
    <m/>
    <m/>
    <m/>
    <x v="0"/>
  </r>
  <r>
    <m/>
    <x v="1"/>
    <x v="23"/>
    <x v="23"/>
    <m/>
    <m/>
    <m/>
    <x v="1"/>
    <m/>
    <m/>
    <m/>
    <m/>
    <m/>
    <x v="0"/>
  </r>
  <r>
    <d v="2021-04-07T00:00:00"/>
    <x v="4"/>
    <x v="49"/>
    <x v="49"/>
    <n v="1058"/>
    <n v="1058"/>
    <n v="0"/>
    <x v="331"/>
    <s v="Cali"/>
    <m/>
    <m/>
    <m/>
    <m/>
    <x v="0"/>
  </r>
  <r>
    <d v="2021-04-07T00:00:00"/>
    <x v="4"/>
    <x v="1"/>
    <x v="1"/>
    <n v="-1058"/>
    <n v="0"/>
    <n v="1058"/>
    <x v="331"/>
    <s v="Cali"/>
    <m/>
    <m/>
    <m/>
    <m/>
    <x v="0"/>
  </r>
  <r>
    <m/>
    <x v="1"/>
    <x v="23"/>
    <x v="23"/>
    <m/>
    <m/>
    <m/>
    <x v="1"/>
    <m/>
    <m/>
    <m/>
    <m/>
    <m/>
    <x v="0"/>
  </r>
  <r>
    <d v="2021-04-07T00:00:00"/>
    <x v="4"/>
    <x v="49"/>
    <x v="49"/>
    <n v="201"/>
    <n v="201"/>
    <n v="0"/>
    <x v="331"/>
    <s v="Cali"/>
    <m/>
    <m/>
    <m/>
    <m/>
    <x v="0"/>
  </r>
  <r>
    <d v="2021-04-07T00:00:00"/>
    <x v="4"/>
    <x v="1"/>
    <x v="1"/>
    <n v="-201"/>
    <n v="0"/>
    <n v="201"/>
    <x v="331"/>
    <s v="Cali"/>
    <m/>
    <m/>
    <m/>
    <m/>
    <x v="0"/>
  </r>
  <r>
    <m/>
    <x v="1"/>
    <x v="23"/>
    <x v="23"/>
    <m/>
    <m/>
    <m/>
    <x v="1"/>
    <m/>
    <m/>
    <m/>
    <m/>
    <m/>
    <x v="0"/>
  </r>
  <r>
    <d v="2021-04-14T00:00:00"/>
    <x v="4"/>
    <x v="1"/>
    <x v="1"/>
    <n v="150000000"/>
    <n v="150000000"/>
    <n v="0"/>
    <x v="345"/>
    <s v="Cali"/>
    <m/>
    <m/>
    <m/>
    <m/>
    <x v="0"/>
  </r>
  <r>
    <d v="2021-04-14T00:00:00"/>
    <x v="4"/>
    <x v="3"/>
    <x v="3"/>
    <n v="-150000000"/>
    <n v="0"/>
    <n v="150000000"/>
    <x v="345"/>
    <s v="Cali"/>
    <m/>
    <m/>
    <m/>
    <m/>
    <x v="0"/>
  </r>
  <r>
    <m/>
    <x v="1"/>
    <x v="23"/>
    <x v="23"/>
    <m/>
    <m/>
    <m/>
    <x v="1"/>
    <m/>
    <m/>
    <m/>
    <m/>
    <m/>
    <x v="0"/>
  </r>
  <r>
    <d v="2021-04-16T00:00:00"/>
    <x v="4"/>
    <x v="11"/>
    <x v="11"/>
    <n v="-14567745"/>
    <n v="0"/>
    <n v="14567745"/>
    <x v="346"/>
    <s v="Cali"/>
    <m/>
    <m/>
    <m/>
    <m/>
    <x v="0"/>
  </r>
  <r>
    <d v="2021-04-16T00:00:00"/>
    <x v="4"/>
    <x v="8"/>
    <x v="8"/>
    <n v="169203783"/>
    <n v="169203783"/>
    <n v="0"/>
    <x v="347"/>
    <s v="Cali"/>
    <m/>
    <m/>
    <m/>
    <m/>
    <x v="0"/>
  </r>
  <r>
    <d v="2021-04-16T00:00:00"/>
    <x v="4"/>
    <x v="18"/>
    <x v="18"/>
    <n v="-7283730"/>
    <n v="0"/>
    <n v="7283730"/>
    <x v="348"/>
    <s v="Cali"/>
    <m/>
    <m/>
    <m/>
    <m/>
    <x v="0"/>
  </r>
  <r>
    <d v="2021-04-16T00:00:00"/>
    <x v="4"/>
    <x v="48"/>
    <x v="48"/>
    <n v="-147352308"/>
    <n v="0"/>
    <n v="147352308"/>
    <x v="129"/>
    <s v="Cali"/>
    <m/>
    <m/>
    <m/>
    <m/>
    <x v="0"/>
  </r>
  <r>
    <m/>
    <x v="1"/>
    <x v="23"/>
    <x v="23"/>
    <m/>
    <m/>
    <m/>
    <x v="1"/>
    <m/>
    <m/>
    <m/>
    <m/>
    <m/>
    <x v="0"/>
  </r>
  <r>
    <d v="2021-04-16T00:00:00"/>
    <x v="4"/>
    <x v="48"/>
    <x v="48"/>
    <n v="147352308"/>
    <n v="147352308"/>
    <n v="0"/>
    <x v="349"/>
    <s v="Cali"/>
    <m/>
    <m/>
    <m/>
    <m/>
    <x v="0"/>
  </r>
  <r>
    <d v="2021-04-16T00:00:00"/>
    <x v="4"/>
    <x v="1"/>
    <x v="1"/>
    <n v="-147352308"/>
    <n v="0"/>
    <n v="147352308"/>
    <x v="349"/>
    <s v="Cali"/>
    <m/>
    <m/>
    <m/>
    <m/>
    <x v="0"/>
  </r>
  <r>
    <m/>
    <x v="1"/>
    <x v="23"/>
    <x v="23"/>
    <m/>
    <m/>
    <m/>
    <x v="1"/>
    <m/>
    <m/>
    <m/>
    <m/>
    <m/>
    <x v="0"/>
  </r>
  <r>
    <d v="2021-04-16T00:00:00"/>
    <x v="4"/>
    <x v="12"/>
    <x v="12"/>
    <n v="4261968"/>
    <n v="4261968"/>
    <n v="0"/>
    <x v="350"/>
    <s v="Cali"/>
    <m/>
    <m/>
    <m/>
    <m/>
    <x v="0"/>
  </r>
  <r>
    <d v="2021-04-16T00:00:00"/>
    <x v="4"/>
    <x v="1"/>
    <x v="1"/>
    <n v="-4261968"/>
    <n v="0"/>
    <n v="4261968"/>
    <x v="350"/>
    <s v="Cali"/>
    <m/>
    <m/>
    <m/>
    <m/>
    <x v="0"/>
  </r>
  <r>
    <m/>
    <x v="1"/>
    <x v="23"/>
    <x v="23"/>
    <m/>
    <m/>
    <m/>
    <x v="1"/>
    <m/>
    <m/>
    <m/>
    <m/>
    <m/>
    <x v="0"/>
  </r>
  <r>
    <d v="2021-04-16T00:00:00"/>
    <x v="4"/>
    <x v="54"/>
    <x v="54"/>
    <n v="559037"/>
    <n v="559037"/>
    <n v="0"/>
    <x v="351"/>
    <s v="Cali"/>
    <m/>
    <m/>
    <m/>
    <m/>
    <x v="0"/>
  </r>
  <r>
    <d v="2021-04-16T00:00:00"/>
    <x v="4"/>
    <x v="17"/>
    <x v="17"/>
    <n v="-64289"/>
    <n v="0"/>
    <n v="64289"/>
    <x v="351"/>
    <s v="Cali"/>
    <m/>
    <m/>
    <m/>
    <m/>
    <x v="0"/>
  </r>
  <r>
    <d v="2021-04-16T00:00:00"/>
    <x v="4"/>
    <x v="1"/>
    <x v="1"/>
    <n v="-494748"/>
    <n v="0"/>
    <n v="494748"/>
    <x v="351"/>
    <s v="Cali"/>
    <m/>
    <m/>
    <m/>
    <m/>
    <x v="0"/>
  </r>
  <r>
    <m/>
    <x v="1"/>
    <x v="23"/>
    <x v="23"/>
    <m/>
    <m/>
    <m/>
    <x v="1"/>
    <m/>
    <m/>
    <m/>
    <m/>
    <m/>
    <x v="0"/>
  </r>
  <r>
    <d v="2021-04-19T00:00:00"/>
    <x v="4"/>
    <x v="54"/>
    <x v="54"/>
    <n v="730390"/>
    <n v="730390"/>
    <n v="0"/>
    <x v="352"/>
    <s v="Cali"/>
    <m/>
    <m/>
    <m/>
    <m/>
    <x v="0"/>
  </r>
  <r>
    <d v="2021-04-19T00:00:00"/>
    <x v="4"/>
    <x v="51"/>
    <x v="51"/>
    <n v="-730390"/>
    <n v="0"/>
    <n v="730390"/>
    <x v="352"/>
    <s v="Cali"/>
    <m/>
    <m/>
    <m/>
    <m/>
    <x v="0"/>
  </r>
  <r>
    <m/>
    <x v="1"/>
    <x v="23"/>
    <x v="23"/>
    <m/>
    <m/>
    <m/>
    <x v="1"/>
    <m/>
    <m/>
    <m/>
    <m/>
    <m/>
    <x v="0"/>
  </r>
  <r>
    <d v="2021-04-30T00:00:00"/>
    <x v="4"/>
    <x v="32"/>
    <x v="32"/>
    <n v="-556000"/>
    <n v="0"/>
    <n v="556000"/>
    <x v="353"/>
    <s v="Cali"/>
    <m/>
    <m/>
    <m/>
    <m/>
    <x v="0"/>
  </r>
  <r>
    <d v="2021-04-30T00:00:00"/>
    <x v="4"/>
    <x v="33"/>
    <x v="33"/>
    <n v="0"/>
    <n v="0"/>
    <n v="0"/>
    <x v="353"/>
    <s v="Cali"/>
    <m/>
    <m/>
    <m/>
    <m/>
    <x v="0"/>
  </r>
  <r>
    <d v="2021-04-30T00:00:00"/>
    <x v="4"/>
    <x v="34"/>
    <x v="34"/>
    <n v="-1556020"/>
    <n v="0"/>
    <n v="1556020"/>
    <x v="353"/>
    <s v="Cali"/>
    <m/>
    <m/>
    <m/>
    <m/>
    <x v="0"/>
  </r>
  <r>
    <d v="2021-04-30T00:00:00"/>
    <x v="4"/>
    <x v="35"/>
    <x v="35"/>
    <n v="-2496000"/>
    <n v="0"/>
    <n v="2496000"/>
    <x v="353"/>
    <s v="Cali"/>
    <m/>
    <m/>
    <m/>
    <m/>
    <x v="0"/>
  </r>
  <r>
    <d v="2021-04-30T00:00:00"/>
    <x v="4"/>
    <x v="36"/>
    <x v="36"/>
    <n v="-4190600"/>
    <n v="0"/>
    <n v="4190600"/>
    <x v="353"/>
    <s v="Cali"/>
    <m/>
    <m/>
    <m/>
    <m/>
    <x v="0"/>
  </r>
  <r>
    <d v="2021-04-30T00:00:00"/>
    <x v="4"/>
    <x v="37"/>
    <x v="37"/>
    <n v="-5882258"/>
    <n v="0"/>
    <n v="5882258"/>
    <x v="353"/>
    <s v="Cali"/>
    <m/>
    <m/>
    <m/>
    <m/>
    <x v="0"/>
  </r>
  <r>
    <d v="2021-04-30T00:00:00"/>
    <x v="4"/>
    <x v="29"/>
    <x v="29"/>
    <n v="556000"/>
    <n v="556000"/>
    <n v="0"/>
    <x v="353"/>
    <s v="Cali"/>
    <m/>
    <m/>
    <m/>
    <m/>
    <x v="0"/>
  </r>
  <r>
    <d v="2021-04-30T00:00:00"/>
    <x v="4"/>
    <x v="27"/>
    <x v="27"/>
    <n v="1556020"/>
    <n v="1556020"/>
    <n v="0"/>
    <x v="353"/>
    <s v="Cali"/>
    <m/>
    <m/>
    <m/>
    <m/>
    <x v="0"/>
  </r>
  <r>
    <d v="2021-04-30T00:00:00"/>
    <x v="4"/>
    <x v="25"/>
    <x v="25"/>
    <n v="2496000"/>
    <n v="2496000"/>
    <n v="0"/>
    <x v="353"/>
    <s v="Cali"/>
    <m/>
    <m/>
    <m/>
    <m/>
    <x v="0"/>
  </r>
  <r>
    <d v="2021-04-30T00:00:00"/>
    <x v="4"/>
    <x v="5"/>
    <x v="5"/>
    <n v="10072858"/>
    <n v="10072858"/>
    <n v="0"/>
    <x v="353"/>
    <s v="Cali"/>
    <m/>
    <m/>
    <m/>
    <m/>
    <x v="0"/>
  </r>
  <r>
    <d v="2021-04-30T00:00:00"/>
    <x v="4"/>
    <x v="15"/>
    <x v="15"/>
    <n v="-3294506"/>
    <n v="0"/>
    <n v="3294506"/>
    <x v="353"/>
    <s v="Cali"/>
    <m/>
    <m/>
    <m/>
    <m/>
    <x v="0"/>
  </r>
  <r>
    <d v="2021-04-30T00:00:00"/>
    <x v="4"/>
    <x v="38"/>
    <x v="38"/>
    <n v="3294506"/>
    <n v="3294506"/>
    <n v="0"/>
    <x v="353"/>
    <s v="Cali"/>
    <m/>
    <m/>
    <m/>
    <m/>
    <x v="0"/>
  </r>
  <r>
    <d v="2021-04-30T00:00:00"/>
    <x v="4"/>
    <x v="16"/>
    <x v="16"/>
    <n v="-66720"/>
    <n v="0"/>
    <n v="66720"/>
    <x v="353"/>
    <s v="Cali"/>
    <m/>
    <m/>
    <m/>
    <m/>
    <x v="0"/>
  </r>
  <r>
    <d v="2021-04-30T00:00:00"/>
    <x v="4"/>
    <x v="14"/>
    <x v="14"/>
    <n v="-146809"/>
    <n v="0"/>
    <n v="146809"/>
    <x v="353"/>
    <s v="Cali"/>
    <m/>
    <m/>
    <m/>
    <m/>
    <x v="0"/>
  </r>
  <r>
    <d v="2021-04-30T00:00:00"/>
    <x v="4"/>
    <x v="39"/>
    <x v="39"/>
    <n v="66720"/>
    <n v="66720"/>
    <n v="0"/>
    <x v="353"/>
    <s v="Cali"/>
    <m/>
    <m/>
    <m/>
    <m/>
    <x v="0"/>
  </r>
  <r>
    <d v="2021-04-30T00:00:00"/>
    <x v="4"/>
    <x v="40"/>
    <x v="40"/>
    <n v="146809"/>
    <n v="146809"/>
    <n v="0"/>
    <x v="353"/>
    <s v="Cali"/>
    <m/>
    <m/>
    <m/>
    <m/>
    <x v="0"/>
  </r>
  <r>
    <d v="2021-04-30T00:00:00"/>
    <x v="4"/>
    <x v="41"/>
    <x v="41"/>
    <n v="-5991290"/>
    <n v="0"/>
    <n v="5991290"/>
    <x v="353"/>
    <s v="Cali"/>
    <m/>
    <m/>
    <m/>
    <m/>
    <x v="0"/>
  </r>
  <r>
    <d v="2021-04-30T00:00:00"/>
    <x v="4"/>
    <x v="42"/>
    <x v="42"/>
    <n v="-2020500"/>
    <n v="0"/>
    <n v="2020500"/>
    <x v="353"/>
    <s v="Cali"/>
    <m/>
    <m/>
    <m/>
    <m/>
    <x v="0"/>
  </r>
  <r>
    <d v="2021-04-30T00:00:00"/>
    <x v="4"/>
    <x v="43"/>
    <x v="43"/>
    <n v="410830"/>
    <n v="410830"/>
    <n v="0"/>
    <x v="353"/>
    <s v="Cali"/>
    <m/>
    <m/>
    <m/>
    <m/>
    <x v="0"/>
  </r>
  <r>
    <d v="2021-04-30T00:00:00"/>
    <x v="4"/>
    <x v="43"/>
    <x v="43"/>
    <n v="50513"/>
    <n v="50513"/>
    <n v="0"/>
    <x v="353"/>
    <s v="Cali"/>
    <m/>
    <m/>
    <m/>
    <m/>
    <x v="0"/>
  </r>
  <r>
    <d v="2021-04-30T00:00:00"/>
    <x v="4"/>
    <x v="38"/>
    <x v="38"/>
    <n v="3312328"/>
    <n v="3312328"/>
    <n v="0"/>
    <x v="353"/>
    <s v="Cali"/>
    <m/>
    <m/>
    <m/>
    <m/>
    <x v="0"/>
  </r>
  <r>
    <d v="2021-04-30T00:00:00"/>
    <x v="4"/>
    <x v="40"/>
    <x v="40"/>
    <n v="59913"/>
    <n v="59913"/>
    <n v="0"/>
    <x v="353"/>
    <s v="Cali"/>
    <m/>
    <m/>
    <m/>
    <m/>
    <x v="0"/>
  </r>
  <r>
    <d v="2021-04-30T00:00:00"/>
    <x v="4"/>
    <x v="40"/>
    <x v="40"/>
    <n v="20205"/>
    <n v="20205"/>
    <n v="0"/>
    <x v="353"/>
    <s v="Cali"/>
    <m/>
    <m/>
    <m/>
    <m/>
    <x v="0"/>
  </r>
  <r>
    <d v="2021-04-30T00:00:00"/>
    <x v="4"/>
    <x v="44"/>
    <x v="44"/>
    <n v="2208219"/>
    <n v="2208219"/>
    <n v="0"/>
    <x v="353"/>
    <s v="Cali"/>
    <m/>
    <m/>
    <m/>
    <m/>
    <x v="0"/>
  </r>
  <r>
    <d v="2021-04-30T00:00:00"/>
    <x v="4"/>
    <x v="45"/>
    <x v="45"/>
    <n v="1949782"/>
    <n v="1949782"/>
    <n v="0"/>
    <x v="353"/>
    <s v="Cali"/>
    <m/>
    <m/>
    <m/>
    <m/>
    <x v="0"/>
  </r>
  <r>
    <d v="2021-04-30T00:00:00"/>
    <x v="4"/>
    <x v="5"/>
    <x v="5"/>
    <n v="-119867"/>
    <n v="0"/>
    <n v="119867"/>
    <x v="353"/>
    <s v="Cali"/>
    <m/>
    <m/>
    <m/>
    <m/>
    <x v="0"/>
  </r>
  <r>
    <d v="2021-04-30T00:00:00"/>
    <x v="4"/>
    <x v="30"/>
    <x v="30"/>
    <n v="119867"/>
    <n v="119867"/>
    <n v="0"/>
    <x v="353"/>
    <s v="Cali"/>
    <m/>
    <m/>
    <m/>
    <m/>
    <x v="0"/>
  </r>
  <r>
    <m/>
    <x v="1"/>
    <x v="23"/>
    <x v="23"/>
    <m/>
    <m/>
    <m/>
    <x v="1"/>
    <m/>
    <m/>
    <m/>
    <m/>
    <m/>
    <x v="0"/>
  </r>
  <r>
    <d v="2021-04-30T00:00:00"/>
    <x v="4"/>
    <x v="13"/>
    <x v="13"/>
    <n v="200000"/>
    <n v="200000"/>
    <m/>
    <x v="354"/>
    <s v="Cali"/>
    <m/>
    <m/>
    <m/>
    <m/>
    <x v="0"/>
  </r>
  <r>
    <d v="2021-04-30T00:00:00"/>
    <x v="4"/>
    <x v="13"/>
    <x v="13"/>
    <n v="15000"/>
    <n v="15000"/>
    <m/>
    <x v="222"/>
    <s v="Cali"/>
    <m/>
    <m/>
    <m/>
    <m/>
    <x v="0"/>
  </r>
  <r>
    <d v="2021-04-30T00:00:00"/>
    <x v="4"/>
    <x v="13"/>
    <x v="13"/>
    <n v="20000"/>
    <n v="20000"/>
    <m/>
    <x v="355"/>
    <s v="Cali"/>
    <m/>
    <m/>
    <m/>
    <m/>
    <x v="0"/>
  </r>
  <r>
    <d v="2021-04-30T00:00:00"/>
    <x v="4"/>
    <x v="13"/>
    <x v="13"/>
    <n v="40000"/>
    <n v="40000"/>
    <m/>
    <x v="356"/>
    <s v="Cali"/>
    <m/>
    <m/>
    <m/>
    <m/>
    <x v="0"/>
  </r>
  <r>
    <d v="2021-04-30T00:00:00"/>
    <x v="4"/>
    <x v="13"/>
    <x v="13"/>
    <n v="50000"/>
    <n v="50000"/>
    <m/>
    <x v="357"/>
    <s v="Cali"/>
    <m/>
    <m/>
    <m/>
    <m/>
    <x v="0"/>
  </r>
  <r>
    <d v="2021-04-30T00:00:00"/>
    <x v="4"/>
    <x v="13"/>
    <x v="13"/>
    <n v="100000"/>
    <n v="100000"/>
    <m/>
    <x v="220"/>
    <s v="Cali"/>
    <m/>
    <m/>
    <m/>
    <m/>
    <x v="0"/>
  </r>
  <r>
    <d v="2021-04-30T00:00:00"/>
    <x v="4"/>
    <x v="13"/>
    <x v="13"/>
    <n v="20000"/>
    <n v="20000"/>
    <m/>
    <x v="358"/>
    <s v="Cali"/>
    <m/>
    <m/>
    <m/>
    <m/>
    <x v="0"/>
  </r>
  <r>
    <d v="2021-04-30T00:00:00"/>
    <x v="4"/>
    <x v="13"/>
    <x v="13"/>
    <n v="30000"/>
    <n v="30000"/>
    <m/>
    <x v="359"/>
    <s v="Cali"/>
    <m/>
    <m/>
    <m/>
    <m/>
    <x v="0"/>
  </r>
  <r>
    <d v="2021-04-30T00:00:00"/>
    <x v="4"/>
    <x v="13"/>
    <x v="13"/>
    <n v="20000"/>
    <n v="20000"/>
    <m/>
    <x v="360"/>
    <s v="Cali"/>
    <m/>
    <m/>
    <m/>
    <m/>
    <x v="0"/>
  </r>
  <r>
    <d v="2021-04-30T00:00:00"/>
    <x v="4"/>
    <x v="13"/>
    <x v="13"/>
    <n v="20020"/>
    <n v="20020"/>
    <m/>
    <x v="321"/>
    <s v="Cali"/>
    <m/>
    <m/>
    <m/>
    <m/>
    <x v="0"/>
  </r>
  <r>
    <d v="2021-04-30T00:00:00"/>
    <x v="4"/>
    <x v="13"/>
    <x v="13"/>
    <n v="15000"/>
    <n v="15000"/>
    <m/>
    <x v="361"/>
    <s v="Cali"/>
    <m/>
    <m/>
    <m/>
    <m/>
    <x v="0"/>
  </r>
  <r>
    <d v="2021-04-30T00:00:00"/>
    <x v="4"/>
    <x v="13"/>
    <x v="13"/>
    <n v="30000"/>
    <n v="30000"/>
    <m/>
    <x v="304"/>
    <s v="Cali"/>
    <m/>
    <m/>
    <m/>
    <m/>
    <x v="0"/>
  </r>
  <r>
    <d v="2021-04-30T00:00:00"/>
    <x v="4"/>
    <x v="26"/>
    <x v="26"/>
    <n v="-200000"/>
    <n v="0"/>
    <n v="200000"/>
    <x v="354"/>
    <s v="Cali"/>
    <m/>
    <m/>
    <m/>
    <m/>
    <x v="0"/>
  </r>
  <r>
    <d v="2021-04-30T00:00:00"/>
    <x v="4"/>
    <x v="25"/>
    <x v="25"/>
    <n v="-15000"/>
    <n v="0"/>
    <n v="15000"/>
    <x v="222"/>
    <s v="Cali"/>
    <m/>
    <m/>
    <m/>
    <m/>
    <x v="0"/>
  </r>
  <r>
    <d v="2021-04-30T00:00:00"/>
    <x v="4"/>
    <x v="26"/>
    <x v="26"/>
    <n v="-20000"/>
    <n v="0"/>
    <n v="20000"/>
    <x v="355"/>
    <s v="Cali"/>
    <m/>
    <m/>
    <m/>
    <m/>
    <x v="0"/>
  </r>
  <r>
    <d v="2021-04-30T00:00:00"/>
    <x v="4"/>
    <x v="25"/>
    <x v="25"/>
    <n v="-40000"/>
    <n v="0"/>
    <n v="40000"/>
    <x v="356"/>
    <s v="Cali"/>
    <m/>
    <m/>
    <m/>
    <m/>
    <x v="0"/>
  </r>
  <r>
    <d v="2021-04-30T00:00:00"/>
    <x v="4"/>
    <x v="26"/>
    <x v="26"/>
    <n v="-50000"/>
    <n v="0"/>
    <n v="50000"/>
    <x v="357"/>
    <s v="Cali"/>
    <m/>
    <m/>
    <m/>
    <m/>
    <x v="0"/>
  </r>
  <r>
    <d v="2021-04-30T00:00:00"/>
    <x v="4"/>
    <x v="25"/>
    <x v="25"/>
    <n v="-100000"/>
    <n v="0"/>
    <n v="100000"/>
    <x v="220"/>
    <s v="Cali"/>
    <m/>
    <m/>
    <m/>
    <m/>
    <x v="0"/>
  </r>
  <r>
    <d v="2021-04-30T00:00:00"/>
    <x v="4"/>
    <x v="26"/>
    <x v="26"/>
    <n v="-20000"/>
    <n v="0"/>
    <n v="20000"/>
    <x v="358"/>
    <s v="Cali"/>
    <m/>
    <m/>
    <m/>
    <m/>
    <x v="0"/>
  </r>
  <r>
    <d v="2021-04-30T00:00:00"/>
    <x v="4"/>
    <x v="25"/>
    <x v="25"/>
    <n v="-30000"/>
    <n v="0"/>
    <n v="30000"/>
    <x v="359"/>
    <s v="Cali"/>
    <m/>
    <m/>
    <m/>
    <m/>
    <x v="0"/>
  </r>
  <r>
    <d v="2021-04-30T00:00:00"/>
    <x v="4"/>
    <x v="26"/>
    <x v="26"/>
    <n v="-20000"/>
    <n v="0"/>
    <n v="20000"/>
    <x v="360"/>
    <s v="Cali"/>
    <m/>
    <m/>
    <m/>
    <m/>
    <x v="0"/>
  </r>
  <r>
    <d v="2021-04-30T00:00:00"/>
    <x v="4"/>
    <x v="27"/>
    <x v="27"/>
    <n v="-20020"/>
    <n v="0"/>
    <n v="20020"/>
    <x v="321"/>
    <s v="Cali"/>
    <m/>
    <m/>
    <m/>
    <m/>
    <x v="0"/>
  </r>
  <r>
    <d v="2021-04-30T00:00:00"/>
    <x v="4"/>
    <x v="26"/>
    <x v="26"/>
    <n v="-15000"/>
    <n v="0"/>
    <n v="15000"/>
    <x v="361"/>
    <s v="Cali"/>
    <m/>
    <m/>
    <m/>
    <m/>
    <x v="0"/>
  </r>
  <r>
    <d v="2021-04-30T00:00:00"/>
    <x v="4"/>
    <x v="25"/>
    <x v="25"/>
    <n v="-30000"/>
    <n v="0"/>
    <n v="30000"/>
    <x v="304"/>
    <s v="Cali"/>
    <m/>
    <m/>
    <m/>
    <m/>
    <x v="0"/>
  </r>
  <r>
    <m/>
    <x v="1"/>
    <x v="23"/>
    <x v="23"/>
    <m/>
    <m/>
    <m/>
    <x v="1"/>
    <m/>
    <m/>
    <m/>
    <m/>
    <m/>
    <x v="0"/>
  </r>
  <r>
    <d v="2021-04-30T00:00:00"/>
    <x v="4"/>
    <x v="46"/>
    <x v="46"/>
    <n v="0"/>
    <n v="0"/>
    <n v="0"/>
    <x v="110"/>
    <s v="Cali"/>
    <m/>
    <m/>
    <m/>
    <m/>
    <x v="0"/>
  </r>
  <r>
    <d v="2021-04-30T00:00:00"/>
    <x v="4"/>
    <x v="47"/>
    <x v="47"/>
    <n v="0"/>
    <n v="0"/>
    <n v="0"/>
    <x v="110"/>
    <s v="Cali"/>
    <m/>
    <m/>
    <m/>
    <m/>
    <x v="0"/>
  </r>
  <r>
    <m/>
    <x v="1"/>
    <x v="23"/>
    <x v="23"/>
    <m/>
    <m/>
    <m/>
    <x v="1"/>
    <m/>
    <m/>
    <m/>
    <m/>
    <m/>
    <x v="0"/>
  </r>
  <r>
    <d v="2021-04-30T00:00:00"/>
    <x v="4"/>
    <x v="2"/>
    <x v="2"/>
    <n v="520326"/>
    <n v="520326"/>
    <n v="0"/>
    <x v="111"/>
    <s v="Cali"/>
    <m/>
    <m/>
    <m/>
    <m/>
    <x v="0"/>
  </r>
  <r>
    <d v="2021-04-30T00:00:00"/>
    <x v="4"/>
    <x v="47"/>
    <x v="47"/>
    <n v="-520326"/>
    <n v="0"/>
    <n v="520326"/>
    <x v="111"/>
    <s v="Cali"/>
    <m/>
    <m/>
    <m/>
    <m/>
    <x v="0"/>
  </r>
  <r>
    <m/>
    <x v="1"/>
    <x v="23"/>
    <x v="23"/>
    <m/>
    <m/>
    <m/>
    <x v="1"/>
    <m/>
    <m/>
    <m/>
    <m/>
    <m/>
    <x v="0"/>
  </r>
  <r>
    <d v="2021-04-30T00:00:00"/>
    <x v="4"/>
    <x v="3"/>
    <x v="3"/>
    <n v="3233"/>
    <n v="3233"/>
    <n v="0"/>
    <x v="112"/>
    <s v="Cali"/>
    <m/>
    <m/>
    <m/>
    <m/>
    <x v="0"/>
  </r>
  <r>
    <d v="2021-04-30T00:00:00"/>
    <x v="4"/>
    <x v="47"/>
    <x v="47"/>
    <n v="-3233"/>
    <n v="0"/>
    <n v="3233"/>
    <x v="112"/>
    <s v="Cali"/>
    <m/>
    <m/>
    <m/>
    <m/>
    <x v="0"/>
  </r>
  <r>
    <m/>
    <x v="1"/>
    <x v="23"/>
    <x v="23"/>
    <m/>
    <m/>
    <m/>
    <x v="1"/>
    <m/>
    <m/>
    <m/>
    <m/>
    <m/>
    <x v="0"/>
  </r>
  <r>
    <d v="2021-04-30T00:00:00"/>
    <x v="4"/>
    <x v="53"/>
    <x v="53"/>
    <n v="12000"/>
    <n v="12000"/>
    <n v="0"/>
    <x v="305"/>
    <s v="Cali"/>
    <m/>
    <m/>
    <m/>
    <m/>
    <x v="0"/>
  </r>
  <r>
    <d v="2021-04-30T00:00:00"/>
    <x v="4"/>
    <x v="47"/>
    <x v="47"/>
    <n v="-12000"/>
    <n v="0"/>
    <n v="12000"/>
    <x v="305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15000"/>
    <n v="15000"/>
    <n v="0"/>
    <x v="137"/>
    <s v="Cali"/>
    <m/>
    <m/>
    <m/>
    <m/>
    <x v="0"/>
  </r>
  <r>
    <d v="2021-05-03T00:00:00"/>
    <x v="5"/>
    <x v="26"/>
    <x v="26"/>
    <n v="-15000"/>
    <n v="0"/>
    <n v="15000"/>
    <x v="137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30000"/>
    <n v="30000"/>
    <n v="0"/>
    <x v="362"/>
    <s v="Cali"/>
    <m/>
    <m/>
    <m/>
    <m/>
    <x v="0"/>
  </r>
  <r>
    <d v="2021-05-03T00:00:00"/>
    <x v="5"/>
    <x v="29"/>
    <x v="29"/>
    <n v="-30000"/>
    <n v="0"/>
    <n v="30000"/>
    <x v="362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100000"/>
    <n v="100000"/>
    <n v="0"/>
    <x v="363"/>
    <s v="Cali"/>
    <m/>
    <m/>
    <m/>
    <m/>
    <x v="0"/>
  </r>
  <r>
    <d v="2021-05-03T00:00:00"/>
    <x v="5"/>
    <x v="25"/>
    <x v="25"/>
    <n v="-100000"/>
    <n v="0"/>
    <n v="100000"/>
    <x v="363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20000"/>
    <n v="20000"/>
    <n v="0"/>
    <x v="132"/>
    <s v="Cali"/>
    <m/>
    <m/>
    <m/>
    <m/>
    <x v="0"/>
  </r>
  <r>
    <d v="2021-05-03T00:00:00"/>
    <x v="5"/>
    <x v="25"/>
    <x v="25"/>
    <n v="-20000"/>
    <n v="0"/>
    <n v="20000"/>
    <x v="132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48000"/>
    <n v="48000"/>
    <n v="0"/>
    <x v="144"/>
    <s v="Cali"/>
    <m/>
    <m/>
    <m/>
    <m/>
    <x v="0"/>
  </r>
  <r>
    <d v="2021-05-03T00:00:00"/>
    <x v="5"/>
    <x v="27"/>
    <x v="27"/>
    <n v="-48000"/>
    <n v="0"/>
    <n v="48000"/>
    <x v="144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40000"/>
    <n v="40000"/>
    <n v="0"/>
    <x v="145"/>
    <s v="Cali"/>
    <m/>
    <m/>
    <m/>
    <m/>
    <x v="0"/>
  </r>
  <r>
    <d v="2021-05-03T00:00:00"/>
    <x v="5"/>
    <x v="25"/>
    <x v="25"/>
    <n v="-40000"/>
    <n v="0"/>
    <n v="40000"/>
    <x v="145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20000"/>
    <n v="20000"/>
    <n v="0"/>
    <x v="17"/>
    <s v="Cali"/>
    <m/>
    <m/>
    <m/>
    <m/>
    <x v="0"/>
  </r>
  <r>
    <d v="2021-05-03T00:00:00"/>
    <x v="5"/>
    <x v="25"/>
    <x v="25"/>
    <n v="-20000"/>
    <n v="0"/>
    <n v="20000"/>
    <x v="17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50000"/>
    <n v="50000"/>
    <n v="0"/>
    <x v="19"/>
    <s v="Cali"/>
    <m/>
    <m/>
    <m/>
    <m/>
    <x v="0"/>
  </r>
  <r>
    <d v="2021-05-03T00:00:00"/>
    <x v="5"/>
    <x v="25"/>
    <x v="25"/>
    <n v="-50000"/>
    <n v="0"/>
    <n v="50000"/>
    <x v="19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15000"/>
    <n v="15000"/>
    <n v="0"/>
    <x v="364"/>
    <s v="Cali"/>
    <m/>
    <m/>
    <m/>
    <m/>
    <x v="0"/>
  </r>
  <r>
    <d v="2021-05-03T00:00:00"/>
    <x v="5"/>
    <x v="25"/>
    <x v="25"/>
    <n v="-15000"/>
    <n v="0"/>
    <n v="15000"/>
    <x v="364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20000"/>
    <n v="20000"/>
    <n v="0"/>
    <x v="146"/>
    <s v="Cali"/>
    <m/>
    <m/>
    <m/>
    <m/>
    <x v="0"/>
  </r>
  <r>
    <d v="2021-05-03T00:00:00"/>
    <x v="5"/>
    <x v="26"/>
    <x v="26"/>
    <n v="-20000"/>
    <n v="0"/>
    <n v="20000"/>
    <x v="146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30000"/>
    <n v="30000"/>
    <n v="0"/>
    <x v="147"/>
    <s v="Cali"/>
    <m/>
    <m/>
    <m/>
    <m/>
    <x v="0"/>
  </r>
  <r>
    <d v="2021-05-03T00:00:00"/>
    <x v="5"/>
    <x v="26"/>
    <x v="26"/>
    <n v="-30000"/>
    <n v="0"/>
    <n v="30000"/>
    <x v="147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15000"/>
    <n v="15000"/>
    <n v="0"/>
    <x v="148"/>
    <s v="Cali"/>
    <m/>
    <m/>
    <m/>
    <m/>
    <x v="0"/>
  </r>
  <r>
    <d v="2021-05-03T00:00:00"/>
    <x v="5"/>
    <x v="25"/>
    <x v="25"/>
    <n v="-15000"/>
    <n v="0"/>
    <n v="15000"/>
    <x v="148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25000"/>
    <n v="25000"/>
    <n v="0"/>
    <x v="38"/>
    <s v="Cali"/>
    <m/>
    <m/>
    <m/>
    <m/>
    <x v="0"/>
  </r>
  <r>
    <d v="2021-05-03T00:00:00"/>
    <x v="5"/>
    <x v="25"/>
    <x v="25"/>
    <n v="-25000"/>
    <n v="0"/>
    <n v="25000"/>
    <x v="38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12000"/>
    <n v="12000"/>
    <n v="0"/>
    <x v="150"/>
    <s v="Cali"/>
    <m/>
    <m/>
    <m/>
    <m/>
    <x v="0"/>
  </r>
  <r>
    <d v="2021-05-03T00:00:00"/>
    <x v="5"/>
    <x v="19"/>
    <x v="19"/>
    <n v="-12000"/>
    <n v="0"/>
    <n v="12000"/>
    <x v="150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20000"/>
    <n v="20000"/>
    <n v="0"/>
    <x v="365"/>
    <s v="Cali"/>
    <m/>
    <m/>
    <m/>
    <m/>
    <x v="0"/>
  </r>
  <r>
    <d v="2021-05-03T00:00:00"/>
    <x v="5"/>
    <x v="20"/>
    <x v="20"/>
    <n v="-20000"/>
    <n v="0"/>
    <n v="20000"/>
    <x v="365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10000"/>
    <n v="10000"/>
    <n v="0"/>
    <x v="166"/>
    <s v="Cali"/>
    <m/>
    <m/>
    <m/>
    <m/>
    <x v="0"/>
  </r>
  <r>
    <d v="2021-05-03T00:00:00"/>
    <x v="5"/>
    <x v="25"/>
    <x v="25"/>
    <n v="-10000"/>
    <n v="0"/>
    <n v="10000"/>
    <x v="166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10000"/>
    <n v="10000"/>
    <n v="0"/>
    <x v="366"/>
    <s v="Cali"/>
    <m/>
    <m/>
    <m/>
    <m/>
    <x v="0"/>
  </r>
  <r>
    <d v="2021-05-03T00:00:00"/>
    <x v="5"/>
    <x v="19"/>
    <x v="19"/>
    <n v="-10000"/>
    <n v="0"/>
    <n v="10000"/>
    <x v="366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25000"/>
    <n v="25000"/>
    <n v="0"/>
    <x v="158"/>
    <s v="Cali"/>
    <m/>
    <m/>
    <m/>
    <m/>
    <x v="0"/>
  </r>
  <r>
    <d v="2021-05-03T00:00:00"/>
    <x v="5"/>
    <x v="25"/>
    <x v="25"/>
    <n v="-25000"/>
    <n v="0"/>
    <n v="25000"/>
    <x v="158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10000"/>
    <n v="10000"/>
    <n v="0"/>
    <x v="199"/>
    <s v="Cali"/>
    <m/>
    <m/>
    <m/>
    <m/>
    <x v="0"/>
  </r>
  <r>
    <d v="2021-05-03T00:00:00"/>
    <x v="5"/>
    <x v="27"/>
    <x v="27"/>
    <n v="-10000"/>
    <n v="0"/>
    <n v="10000"/>
    <x v="199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2000"/>
    <n v="2000"/>
    <n v="0"/>
    <x v="177"/>
    <s v="Cali"/>
    <m/>
    <m/>
    <m/>
    <m/>
    <x v="0"/>
  </r>
  <r>
    <d v="2021-05-03T00:00:00"/>
    <x v="5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5000"/>
    <n v="5000"/>
    <n v="0"/>
    <x v="367"/>
    <s v="Cali"/>
    <m/>
    <m/>
    <m/>
    <m/>
    <x v="0"/>
  </r>
  <r>
    <d v="2021-05-03T00:00:00"/>
    <x v="5"/>
    <x v="25"/>
    <x v="25"/>
    <n v="-5000"/>
    <n v="0"/>
    <n v="5000"/>
    <x v="367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30000"/>
    <n v="30000"/>
    <n v="0"/>
    <x v="319"/>
    <s v="Cali"/>
    <m/>
    <m/>
    <m/>
    <m/>
    <x v="0"/>
  </r>
  <r>
    <d v="2021-05-03T00:00:00"/>
    <x v="5"/>
    <x v="19"/>
    <x v="19"/>
    <n v="-30000"/>
    <n v="0"/>
    <n v="30000"/>
    <x v="319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60000"/>
    <n v="60000"/>
    <n v="0"/>
    <x v="160"/>
    <s v="Cali"/>
    <m/>
    <m/>
    <m/>
    <m/>
    <x v="0"/>
  </r>
  <r>
    <d v="2021-05-03T00:00:00"/>
    <x v="5"/>
    <x v="25"/>
    <x v="25"/>
    <n v="-60000"/>
    <n v="0"/>
    <n v="60000"/>
    <x v="160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10000"/>
    <n v="10000"/>
    <n v="0"/>
    <x v="191"/>
    <s v="Cali"/>
    <m/>
    <m/>
    <m/>
    <m/>
    <x v="0"/>
  </r>
  <r>
    <d v="2021-05-03T00:00:00"/>
    <x v="5"/>
    <x v="27"/>
    <x v="27"/>
    <n v="-10000"/>
    <n v="0"/>
    <n v="10000"/>
    <x v="191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120000"/>
    <n v="120000"/>
    <n v="0"/>
    <x v="155"/>
    <s v="Cali"/>
    <m/>
    <m/>
    <m/>
    <m/>
    <x v="0"/>
  </r>
  <r>
    <d v="2021-05-03T00:00:00"/>
    <x v="5"/>
    <x v="27"/>
    <x v="27"/>
    <n v="-120000"/>
    <n v="0"/>
    <n v="120000"/>
    <x v="155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10000"/>
    <n v="10000"/>
    <n v="0"/>
    <x v="140"/>
    <s v="Cali"/>
    <m/>
    <m/>
    <m/>
    <m/>
    <x v="0"/>
  </r>
  <r>
    <d v="2021-05-03T00:00:00"/>
    <x v="5"/>
    <x v="19"/>
    <x v="19"/>
    <n v="-10000"/>
    <n v="0"/>
    <n v="10000"/>
    <x v="140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50000"/>
    <n v="50000"/>
    <n v="0"/>
    <x v="163"/>
    <s v="Cali"/>
    <m/>
    <m/>
    <m/>
    <m/>
    <x v="0"/>
  </r>
  <r>
    <d v="2021-05-03T00:00:00"/>
    <x v="5"/>
    <x v="25"/>
    <x v="25"/>
    <n v="-50000"/>
    <n v="0"/>
    <n v="50000"/>
    <x v="163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45000"/>
    <n v="45000"/>
    <n v="0"/>
    <x v="161"/>
    <s v="Cali"/>
    <m/>
    <m/>
    <m/>
    <m/>
    <x v="0"/>
  </r>
  <r>
    <d v="2021-05-03T00:00:00"/>
    <x v="5"/>
    <x v="26"/>
    <x v="26"/>
    <n v="-45000"/>
    <n v="0"/>
    <n v="45000"/>
    <x v="161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10000"/>
    <n v="10000"/>
    <n v="0"/>
    <x v="142"/>
    <s v="Cali"/>
    <m/>
    <m/>
    <m/>
    <m/>
    <x v="0"/>
  </r>
  <r>
    <d v="2021-05-03T00:00:00"/>
    <x v="5"/>
    <x v="25"/>
    <x v="25"/>
    <n v="-10000"/>
    <n v="0"/>
    <n v="10000"/>
    <x v="142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50000"/>
    <n v="50000"/>
    <n v="0"/>
    <x v="143"/>
    <s v="Cali"/>
    <m/>
    <m/>
    <m/>
    <m/>
    <x v="0"/>
  </r>
  <r>
    <d v="2021-05-03T00:00:00"/>
    <x v="5"/>
    <x v="25"/>
    <x v="25"/>
    <n v="-50000"/>
    <n v="0"/>
    <n v="50000"/>
    <x v="143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14000"/>
    <n v="14000"/>
    <n v="0"/>
    <x v="289"/>
    <s v="Cali"/>
    <m/>
    <m/>
    <m/>
    <m/>
    <x v="0"/>
  </r>
  <r>
    <d v="2021-05-03T00:00:00"/>
    <x v="5"/>
    <x v="26"/>
    <x v="26"/>
    <n v="-14000"/>
    <n v="0"/>
    <n v="14000"/>
    <x v="289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12000"/>
    <n v="12000"/>
    <n v="0"/>
    <x v="310"/>
    <s v="Cali"/>
    <m/>
    <m/>
    <m/>
    <m/>
    <x v="0"/>
  </r>
  <r>
    <d v="2021-05-03T00:00:00"/>
    <x v="5"/>
    <x v="25"/>
    <x v="25"/>
    <n v="-12000"/>
    <n v="0"/>
    <n v="12000"/>
    <x v="310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30000"/>
    <n v="30000"/>
    <n v="0"/>
    <x v="164"/>
    <s v="Cali"/>
    <m/>
    <m/>
    <m/>
    <m/>
    <x v="0"/>
  </r>
  <r>
    <d v="2021-05-03T00:00:00"/>
    <x v="5"/>
    <x v="26"/>
    <x v="26"/>
    <n v="-30000"/>
    <n v="0"/>
    <n v="30000"/>
    <x v="164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15000"/>
    <n v="15000"/>
    <n v="0"/>
    <x v="282"/>
    <s v="Cali"/>
    <m/>
    <m/>
    <m/>
    <m/>
    <x v="0"/>
  </r>
  <r>
    <d v="2021-05-03T00:00:00"/>
    <x v="5"/>
    <x v="25"/>
    <x v="25"/>
    <n v="-15000"/>
    <n v="0"/>
    <n v="15000"/>
    <x v="282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80000"/>
    <n v="80000"/>
    <n v="0"/>
    <x v="22"/>
    <s v="Cali"/>
    <m/>
    <m/>
    <m/>
    <m/>
    <x v="0"/>
  </r>
  <r>
    <d v="2021-05-03T00:00:00"/>
    <x v="5"/>
    <x v="27"/>
    <x v="27"/>
    <n v="-80000"/>
    <n v="0"/>
    <n v="80000"/>
    <x v="22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20000"/>
    <n v="20000"/>
    <n v="0"/>
    <x v="151"/>
    <s v="Cali"/>
    <m/>
    <m/>
    <m/>
    <m/>
    <x v="0"/>
  </r>
  <r>
    <d v="2021-05-03T00:00:00"/>
    <x v="5"/>
    <x v="25"/>
    <x v="25"/>
    <n v="-20000"/>
    <n v="0"/>
    <n v="20000"/>
    <x v="151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2421330"/>
    <n v="2421330"/>
    <n v="0"/>
    <x v="368"/>
    <s v="Cali"/>
    <m/>
    <m/>
    <m/>
    <m/>
    <x v="0"/>
  </r>
  <r>
    <d v="2021-05-03T00:00:00"/>
    <x v="5"/>
    <x v="27"/>
    <x v="27"/>
    <n v="-2421330"/>
    <n v="0"/>
    <n v="2421330"/>
    <x v="368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30000"/>
    <n v="30000"/>
    <n v="0"/>
    <x v="307"/>
    <s v="Cali"/>
    <m/>
    <m/>
    <m/>
    <m/>
    <x v="0"/>
  </r>
  <r>
    <d v="2021-05-03T00:00:00"/>
    <x v="5"/>
    <x v="25"/>
    <x v="25"/>
    <n v="-30000"/>
    <n v="0"/>
    <n v="30000"/>
    <x v="307"/>
    <s v="Cali"/>
    <m/>
    <m/>
    <m/>
    <m/>
    <x v="0"/>
  </r>
  <r>
    <m/>
    <x v="1"/>
    <x v="23"/>
    <x v="23"/>
    <m/>
    <m/>
    <m/>
    <x v="1"/>
    <m/>
    <m/>
    <m/>
    <m/>
    <m/>
    <x v="0"/>
  </r>
  <r>
    <d v="2021-05-03T00:00:00"/>
    <x v="5"/>
    <x v="0"/>
    <x v="0"/>
    <n v="40000"/>
    <n v="40000"/>
    <n v="0"/>
    <x v="157"/>
    <s v="Cali"/>
    <m/>
    <m/>
    <m/>
    <m/>
    <x v="0"/>
  </r>
  <r>
    <d v="2021-05-03T00:00:00"/>
    <x v="5"/>
    <x v="27"/>
    <x v="27"/>
    <n v="-40000"/>
    <n v="0"/>
    <n v="40000"/>
    <x v="157"/>
    <s v="Cali"/>
    <m/>
    <m/>
    <m/>
    <m/>
    <x v="0"/>
  </r>
  <r>
    <m/>
    <x v="1"/>
    <x v="23"/>
    <x v="23"/>
    <m/>
    <m/>
    <m/>
    <x v="1"/>
    <m/>
    <m/>
    <m/>
    <m/>
    <m/>
    <x v="0"/>
  </r>
  <r>
    <d v="2021-05-04T00:00:00"/>
    <x v="5"/>
    <x v="0"/>
    <x v="0"/>
    <n v="200000"/>
    <n v="200000"/>
    <n v="0"/>
    <x v="242"/>
    <s v="Cali"/>
    <m/>
    <m/>
    <m/>
    <m/>
    <x v="0"/>
  </r>
  <r>
    <d v="2021-05-04T00:00:00"/>
    <x v="5"/>
    <x v="26"/>
    <x v="26"/>
    <n v="-200000"/>
    <n v="0"/>
    <n v="200000"/>
    <x v="242"/>
    <s v="Cali"/>
    <m/>
    <m/>
    <m/>
    <m/>
    <x v="0"/>
  </r>
  <r>
    <m/>
    <x v="1"/>
    <x v="23"/>
    <x v="23"/>
    <m/>
    <m/>
    <m/>
    <x v="1"/>
    <m/>
    <m/>
    <m/>
    <m/>
    <m/>
    <x v="0"/>
  </r>
  <r>
    <d v="2021-05-04T00:00:00"/>
    <x v="5"/>
    <x v="0"/>
    <x v="0"/>
    <n v="60000"/>
    <n v="60000"/>
    <n v="0"/>
    <x v="369"/>
    <s v="Cali"/>
    <m/>
    <m/>
    <m/>
    <m/>
    <x v="0"/>
  </r>
  <r>
    <d v="2021-05-04T00:00:00"/>
    <x v="5"/>
    <x v="26"/>
    <x v="26"/>
    <n v="-60000"/>
    <n v="0"/>
    <n v="60000"/>
    <x v="369"/>
    <s v="Cali"/>
    <m/>
    <m/>
    <m/>
    <m/>
    <x v="0"/>
  </r>
  <r>
    <m/>
    <x v="1"/>
    <x v="23"/>
    <x v="23"/>
    <m/>
    <m/>
    <m/>
    <x v="1"/>
    <m/>
    <m/>
    <m/>
    <m/>
    <m/>
    <x v="0"/>
  </r>
  <r>
    <d v="2021-05-04T00:00:00"/>
    <x v="5"/>
    <x v="0"/>
    <x v="0"/>
    <n v="40000"/>
    <n v="40000"/>
    <n v="0"/>
    <x v="370"/>
    <s v="Cali"/>
    <m/>
    <m/>
    <m/>
    <m/>
    <x v="0"/>
  </r>
  <r>
    <d v="2021-05-04T00:00:00"/>
    <x v="5"/>
    <x v="25"/>
    <x v="25"/>
    <n v="-40000"/>
    <n v="0"/>
    <n v="40000"/>
    <x v="370"/>
    <s v="Cali"/>
    <m/>
    <m/>
    <m/>
    <m/>
    <x v="0"/>
  </r>
  <r>
    <m/>
    <x v="1"/>
    <x v="23"/>
    <x v="23"/>
    <m/>
    <m/>
    <m/>
    <x v="1"/>
    <m/>
    <m/>
    <m/>
    <m/>
    <m/>
    <x v="0"/>
  </r>
  <r>
    <d v="2021-05-04T00:00:00"/>
    <x v="5"/>
    <x v="0"/>
    <x v="0"/>
    <n v="150000"/>
    <n v="150000"/>
    <n v="0"/>
    <x v="169"/>
    <s v="Cali"/>
    <m/>
    <m/>
    <m/>
    <m/>
    <x v="0"/>
  </r>
  <r>
    <d v="2021-05-04T00:00:00"/>
    <x v="5"/>
    <x v="25"/>
    <x v="25"/>
    <n v="-150000"/>
    <n v="0"/>
    <n v="150000"/>
    <x v="169"/>
    <s v="Cali"/>
    <m/>
    <m/>
    <m/>
    <m/>
    <x v="0"/>
  </r>
  <r>
    <m/>
    <x v="1"/>
    <x v="23"/>
    <x v="23"/>
    <m/>
    <m/>
    <m/>
    <x v="1"/>
    <m/>
    <m/>
    <m/>
    <m/>
    <m/>
    <x v="0"/>
  </r>
  <r>
    <d v="2021-05-04T00:00:00"/>
    <x v="5"/>
    <x v="0"/>
    <x v="0"/>
    <n v="9806"/>
    <n v="9806"/>
    <n v="0"/>
    <x v="371"/>
    <s v="Cali"/>
    <m/>
    <m/>
    <m/>
    <m/>
    <x v="0"/>
  </r>
  <r>
    <d v="2021-05-04T00:00:00"/>
    <x v="5"/>
    <x v="49"/>
    <x v="49"/>
    <n v="194"/>
    <n v="194"/>
    <n v="0"/>
    <x v="371"/>
    <s v="Cali"/>
    <m/>
    <m/>
    <m/>
    <m/>
    <x v="0"/>
  </r>
  <r>
    <d v="2021-05-04T00:00:00"/>
    <x v="5"/>
    <x v="25"/>
    <x v="25"/>
    <n v="-10000"/>
    <n v="0"/>
    <n v="10000"/>
    <x v="371"/>
    <s v="Cali"/>
    <m/>
    <m/>
    <m/>
    <m/>
    <x v="0"/>
  </r>
  <r>
    <m/>
    <x v="1"/>
    <x v="23"/>
    <x v="23"/>
    <m/>
    <m/>
    <m/>
    <x v="1"/>
    <m/>
    <m/>
    <m/>
    <m/>
    <m/>
    <x v="0"/>
  </r>
  <r>
    <d v="2021-05-04T00:00:00"/>
    <x v="5"/>
    <x v="0"/>
    <x v="0"/>
    <n v="70000"/>
    <n v="70000"/>
    <n v="0"/>
    <x v="37"/>
    <s v="Cali"/>
    <m/>
    <m/>
    <m/>
    <m/>
    <x v="0"/>
  </r>
  <r>
    <d v="2021-05-04T00:00:00"/>
    <x v="5"/>
    <x v="25"/>
    <x v="25"/>
    <n v="-70000"/>
    <n v="0"/>
    <n v="70000"/>
    <x v="37"/>
    <s v="Cali"/>
    <m/>
    <m/>
    <m/>
    <m/>
    <x v="0"/>
  </r>
  <r>
    <m/>
    <x v="1"/>
    <x v="23"/>
    <x v="23"/>
    <m/>
    <m/>
    <m/>
    <x v="1"/>
    <m/>
    <m/>
    <m/>
    <m/>
    <m/>
    <x v="0"/>
  </r>
  <r>
    <d v="2021-05-04T00:00:00"/>
    <x v="5"/>
    <x v="0"/>
    <x v="0"/>
    <n v="500000"/>
    <n v="500000"/>
    <n v="0"/>
    <x v="288"/>
    <s v="Cali"/>
    <m/>
    <m/>
    <m/>
    <m/>
    <x v="0"/>
  </r>
  <r>
    <d v="2021-05-04T00:00:00"/>
    <x v="5"/>
    <x v="26"/>
    <x v="26"/>
    <n v="-500000"/>
    <n v="0"/>
    <n v="500000"/>
    <x v="288"/>
    <s v="Cali"/>
    <m/>
    <m/>
    <m/>
    <m/>
    <x v="0"/>
  </r>
  <r>
    <m/>
    <x v="1"/>
    <x v="23"/>
    <x v="23"/>
    <m/>
    <m/>
    <m/>
    <x v="1"/>
    <m/>
    <m/>
    <m/>
    <m/>
    <m/>
    <x v="0"/>
  </r>
  <r>
    <d v="2021-05-05T00:00:00"/>
    <x v="5"/>
    <x v="0"/>
    <x v="0"/>
    <n v="20000"/>
    <n v="20000"/>
    <n v="0"/>
    <x v="165"/>
    <s v="Cali"/>
    <m/>
    <m/>
    <m/>
    <m/>
    <x v="0"/>
  </r>
  <r>
    <d v="2021-05-05T00:00:00"/>
    <x v="5"/>
    <x v="25"/>
    <x v="25"/>
    <n v="-20000"/>
    <n v="0"/>
    <n v="20000"/>
    <x v="165"/>
    <s v="Cali"/>
    <m/>
    <m/>
    <m/>
    <m/>
    <x v="0"/>
  </r>
  <r>
    <m/>
    <x v="1"/>
    <x v="23"/>
    <x v="23"/>
    <m/>
    <m/>
    <m/>
    <x v="1"/>
    <m/>
    <m/>
    <m/>
    <m/>
    <m/>
    <x v="0"/>
  </r>
  <r>
    <d v="2021-05-05T00:00:00"/>
    <x v="5"/>
    <x v="0"/>
    <x v="0"/>
    <n v="75000"/>
    <n v="75000"/>
    <n v="0"/>
    <x v="316"/>
    <s v="Cali"/>
    <m/>
    <m/>
    <m/>
    <m/>
    <x v="0"/>
  </r>
  <r>
    <d v="2021-05-05T00:00:00"/>
    <x v="5"/>
    <x v="25"/>
    <x v="25"/>
    <n v="-75000"/>
    <n v="0"/>
    <n v="75000"/>
    <x v="316"/>
    <s v="Cali"/>
    <m/>
    <m/>
    <m/>
    <m/>
    <x v="0"/>
  </r>
  <r>
    <m/>
    <x v="1"/>
    <x v="23"/>
    <x v="23"/>
    <m/>
    <m/>
    <m/>
    <x v="1"/>
    <m/>
    <m/>
    <m/>
    <m/>
    <m/>
    <x v="0"/>
  </r>
  <r>
    <d v="2021-05-05T00:00:00"/>
    <x v="5"/>
    <x v="0"/>
    <x v="0"/>
    <n v="60000"/>
    <n v="60000"/>
    <n v="0"/>
    <x v="372"/>
    <s v="Cali"/>
    <m/>
    <m/>
    <m/>
    <m/>
    <x v="0"/>
  </r>
  <r>
    <d v="2021-05-05T00:00:00"/>
    <x v="5"/>
    <x v="25"/>
    <x v="25"/>
    <n v="-60000"/>
    <n v="0"/>
    <n v="60000"/>
    <x v="372"/>
    <s v="Cali"/>
    <m/>
    <m/>
    <m/>
    <m/>
    <x v="0"/>
  </r>
  <r>
    <m/>
    <x v="1"/>
    <x v="23"/>
    <x v="23"/>
    <m/>
    <m/>
    <m/>
    <x v="1"/>
    <m/>
    <m/>
    <m/>
    <m/>
    <m/>
    <x v="0"/>
  </r>
  <r>
    <d v="2021-05-05T00:00:00"/>
    <x v="5"/>
    <x v="0"/>
    <x v="0"/>
    <n v="50000"/>
    <n v="50000"/>
    <n v="0"/>
    <x v="173"/>
    <s v="Cali"/>
    <m/>
    <m/>
    <m/>
    <m/>
    <x v="0"/>
  </r>
  <r>
    <d v="2021-05-05T00:00:00"/>
    <x v="5"/>
    <x v="26"/>
    <x v="26"/>
    <n v="-50000"/>
    <n v="0"/>
    <n v="50000"/>
    <x v="173"/>
    <s v="Cali"/>
    <m/>
    <m/>
    <m/>
    <m/>
    <x v="0"/>
  </r>
  <r>
    <m/>
    <x v="1"/>
    <x v="23"/>
    <x v="23"/>
    <m/>
    <m/>
    <m/>
    <x v="1"/>
    <m/>
    <m/>
    <m/>
    <m/>
    <m/>
    <x v="0"/>
  </r>
  <r>
    <d v="2021-05-05T00:00:00"/>
    <x v="5"/>
    <x v="0"/>
    <x v="0"/>
    <n v="40000"/>
    <n v="40000"/>
    <n v="0"/>
    <x v="178"/>
    <s v="Cali"/>
    <m/>
    <m/>
    <m/>
    <m/>
    <x v="0"/>
  </r>
  <r>
    <d v="2021-05-05T00:00:00"/>
    <x v="5"/>
    <x v="25"/>
    <x v="25"/>
    <n v="-40000"/>
    <n v="0"/>
    <n v="40000"/>
    <x v="178"/>
    <s v="Cali"/>
    <m/>
    <m/>
    <m/>
    <m/>
    <x v="0"/>
  </r>
  <r>
    <m/>
    <x v="1"/>
    <x v="23"/>
    <x v="23"/>
    <m/>
    <m/>
    <m/>
    <x v="1"/>
    <m/>
    <m/>
    <m/>
    <m/>
    <m/>
    <x v="0"/>
  </r>
  <r>
    <d v="2021-05-05T00:00:00"/>
    <x v="5"/>
    <x v="0"/>
    <x v="0"/>
    <n v="1000000"/>
    <n v="1000000"/>
    <n v="0"/>
    <x v="253"/>
    <s v="Cali"/>
    <m/>
    <m/>
    <m/>
    <m/>
    <x v="0"/>
  </r>
  <r>
    <d v="2021-05-05T00:00:00"/>
    <x v="5"/>
    <x v="26"/>
    <x v="26"/>
    <n v="-1000000"/>
    <n v="0"/>
    <n v="1000000"/>
    <x v="253"/>
    <s v="Cali"/>
    <m/>
    <m/>
    <m/>
    <m/>
    <x v="0"/>
  </r>
  <r>
    <m/>
    <x v="1"/>
    <x v="23"/>
    <x v="23"/>
    <m/>
    <m/>
    <m/>
    <x v="1"/>
    <m/>
    <m/>
    <m/>
    <m/>
    <m/>
    <x v="0"/>
  </r>
  <r>
    <d v="2021-05-05T00:00:00"/>
    <x v="5"/>
    <x v="0"/>
    <x v="0"/>
    <n v="5000000"/>
    <n v="5000000"/>
    <n v="0"/>
    <x v="373"/>
    <s v="Cali"/>
    <m/>
    <m/>
    <m/>
    <m/>
    <x v="0"/>
  </r>
  <r>
    <d v="2021-05-05T00:00:00"/>
    <x v="5"/>
    <x v="26"/>
    <x v="26"/>
    <n v="-5000000"/>
    <n v="0"/>
    <n v="5000000"/>
    <x v="373"/>
    <s v="Cali"/>
    <m/>
    <m/>
    <m/>
    <m/>
    <x v="0"/>
  </r>
  <r>
    <m/>
    <x v="1"/>
    <x v="23"/>
    <x v="23"/>
    <m/>
    <m/>
    <m/>
    <x v="1"/>
    <m/>
    <m/>
    <m/>
    <m/>
    <m/>
    <x v="0"/>
  </r>
  <r>
    <d v="2021-05-06T00:00:00"/>
    <x v="5"/>
    <x v="0"/>
    <x v="0"/>
    <n v="100000"/>
    <n v="100000"/>
    <n v="0"/>
    <x v="374"/>
    <s v="Cali"/>
    <m/>
    <m/>
    <m/>
    <m/>
    <x v="0"/>
  </r>
  <r>
    <d v="2021-05-06T00:00:00"/>
    <x v="5"/>
    <x v="26"/>
    <x v="26"/>
    <n v="-100000"/>
    <n v="0"/>
    <n v="100000"/>
    <x v="374"/>
    <s v="Cali"/>
    <m/>
    <m/>
    <m/>
    <m/>
    <x v="0"/>
  </r>
  <r>
    <m/>
    <x v="1"/>
    <x v="23"/>
    <x v="23"/>
    <m/>
    <m/>
    <m/>
    <x v="1"/>
    <m/>
    <m/>
    <m/>
    <m/>
    <m/>
    <x v="0"/>
  </r>
  <r>
    <d v="2021-05-06T00:00:00"/>
    <x v="5"/>
    <x v="0"/>
    <x v="0"/>
    <n v="150000"/>
    <n v="150000"/>
    <n v="0"/>
    <x v="251"/>
    <s v="Cali"/>
    <m/>
    <m/>
    <m/>
    <m/>
    <x v="0"/>
  </r>
  <r>
    <d v="2021-05-06T00:00:00"/>
    <x v="5"/>
    <x v="27"/>
    <x v="27"/>
    <n v="-150000"/>
    <n v="0"/>
    <n v="150000"/>
    <x v="251"/>
    <s v="Cali"/>
    <m/>
    <m/>
    <m/>
    <m/>
    <x v="0"/>
  </r>
  <r>
    <m/>
    <x v="1"/>
    <x v="23"/>
    <x v="23"/>
    <m/>
    <m/>
    <m/>
    <x v="1"/>
    <m/>
    <m/>
    <m/>
    <m/>
    <m/>
    <x v="0"/>
  </r>
  <r>
    <d v="2021-05-06T00:00:00"/>
    <x v="5"/>
    <x v="0"/>
    <x v="0"/>
    <n v="40000"/>
    <n v="40000"/>
    <n v="0"/>
    <x v="176"/>
    <s v="Cali"/>
    <m/>
    <m/>
    <m/>
    <m/>
    <x v="0"/>
  </r>
  <r>
    <d v="2021-05-06T00:00:00"/>
    <x v="5"/>
    <x v="25"/>
    <x v="25"/>
    <n v="-40000"/>
    <n v="0"/>
    <n v="40000"/>
    <x v="176"/>
    <s v="Cali"/>
    <m/>
    <m/>
    <m/>
    <m/>
    <x v="0"/>
  </r>
  <r>
    <m/>
    <x v="1"/>
    <x v="23"/>
    <x v="23"/>
    <m/>
    <m/>
    <m/>
    <x v="1"/>
    <m/>
    <m/>
    <m/>
    <m/>
    <m/>
    <x v="0"/>
  </r>
  <r>
    <d v="2021-05-06T00:00:00"/>
    <x v="5"/>
    <x v="0"/>
    <x v="0"/>
    <n v="15000"/>
    <n v="15000"/>
    <n v="0"/>
    <x v="252"/>
    <s v="Cali"/>
    <m/>
    <m/>
    <m/>
    <m/>
    <x v="0"/>
  </r>
  <r>
    <d v="2021-05-06T00:00:00"/>
    <x v="5"/>
    <x v="26"/>
    <x v="26"/>
    <n v="-15000"/>
    <n v="0"/>
    <n v="15000"/>
    <x v="252"/>
    <s v="Cali"/>
    <m/>
    <m/>
    <m/>
    <m/>
    <x v="0"/>
  </r>
  <r>
    <m/>
    <x v="1"/>
    <x v="23"/>
    <x v="23"/>
    <m/>
    <m/>
    <m/>
    <x v="1"/>
    <m/>
    <m/>
    <m/>
    <m/>
    <m/>
    <x v="0"/>
  </r>
  <r>
    <d v="2021-05-06T00:00:00"/>
    <x v="5"/>
    <x v="0"/>
    <x v="0"/>
    <n v="64000"/>
    <n v="64000"/>
    <n v="0"/>
    <x v="64"/>
    <s v="Cali"/>
    <m/>
    <m/>
    <m/>
    <m/>
    <x v="0"/>
  </r>
  <r>
    <d v="2021-05-06T00:00:00"/>
    <x v="5"/>
    <x v="27"/>
    <x v="27"/>
    <n v="-64000"/>
    <n v="0"/>
    <n v="64000"/>
    <x v="64"/>
    <s v="Cali"/>
    <m/>
    <m/>
    <m/>
    <m/>
    <x v="0"/>
  </r>
  <r>
    <m/>
    <x v="1"/>
    <x v="23"/>
    <x v="23"/>
    <m/>
    <m/>
    <m/>
    <x v="1"/>
    <m/>
    <m/>
    <m/>
    <m/>
    <m/>
    <x v="0"/>
  </r>
  <r>
    <d v="2021-05-07T00:00:00"/>
    <x v="5"/>
    <x v="0"/>
    <x v="0"/>
    <n v="30000"/>
    <n v="30000"/>
    <n v="0"/>
    <x v="179"/>
    <s v="Cali"/>
    <m/>
    <m/>
    <m/>
    <m/>
    <x v="0"/>
  </r>
  <r>
    <d v="2021-05-07T00:00:00"/>
    <x v="5"/>
    <x v="25"/>
    <x v="25"/>
    <n v="-30000"/>
    <n v="0"/>
    <n v="30000"/>
    <x v="179"/>
    <s v="Cali"/>
    <m/>
    <m/>
    <m/>
    <m/>
    <x v="0"/>
  </r>
  <r>
    <m/>
    <x v="1"/>
    <x v="23"/>
    <x v="23"/>
    <m/>
    <m/>
    <m/>
    <x v="1"/>
    <m/>
    <m/>
    <m/>
    <m/>
    <m/>
    <x v="0"/>
  </r>
  <r>
    <d v="2021-05-07T00:00:00"/>
    <x v="5"/>
    <x v="0"/>
    <x v="0"/>
    <n v="15000"/>
    <n v="15000"/>
    <n v="0"/>
    <x v="66"/>
    <s v="Cali"/>
    <m/>
    <m/>
    <m/>
    <m/>
    <x v="0"/>
  </r>
  <r>
    <d v="2021-05-07T00:00:00"/>
    <x v="5"/>
    <x v="27"/>
    <x v="27"/>
    <n v="-15000"/>
    <n v="0"/>
    <n v="15000"/>
    <x v="66"/>
    <s v="Cali"/>
    <m/>
    <m/>
    <m/>
    <m/>
    <x v="0"/>
  </r>
  <r>
    <m/>
    <x v="1"/>
    <x v="23"/>
    <x v="23"/>
    <m/>
    <m/>
    <m/>
    <x v="1"/>
    <m/>
    <m/>
    <m/>
    <m/>
    <m/>
    <x v="0"/>
  </r>
  <r>
    <d v="2021-05-07T00:00:00"/>
    <x v="5"/>
    <x v="0"/>
    <x v="0"/>
    <n v="60000"/>
    <n v="60000"/>
    <n v="0"/>
    <x v="202"/>
    <s v="Cali"/>
    <m/>
    <m/>
    <m/>
    <m/>
    <x v="0"/>
  </r>
  <r>
    <d v="2021-05-07T00:00:00"/>
    <x v="5"/>
    <x v="27"/>
    <x v="27"/>
    <n v="-60000"/>
    <n v="0"/>
    <n v="60000"/>
    <x v="202"/>
    <s v="Cali"/>
    <m/>
    <m/>
    <m/>
    <m/>
    <x v="0"/>
  </r>
  <r>
    <m/>
    <x v="1"/>
    <x v="23"/>
    <x v="23"/>
    <m/>
    <m/>
    <m/>
    <x v="1"/>
    <m/>
    <m/>
    <m/>
    <m/>
    <m/>
    <x v="0"/>
  </r>
  <r>
    <d v="2021-05-07T00:00:00"/>
    <x v="5"/>
    <x v="0"/>
    <x v="0"/>
    <n v="25000"/>
    <n v="25000"/>
    <n v="0"/>
    <x v="149"/>
    <s v="Cali"/>
    <m/>
    <m/>
    <m/>
    <m/>
    <x v="0"/>
  </r>
  <r>
    <d v="2021-05-07T00:00:00"/>
    <x v="5"/>
    <x v="27"/>
    <x v="27"/>
    <n v="-25000"/>
    <n v="0"/>
    <n v="25000"/>
    <x v="149"/>
    <s v="Cali"/>
    <m/>
    <m/>
    <m/>
    <m/>
    <x v="0"/>
  </r>
  <r>
    <m/>
    <x v="1"/>
    <x v="23"/>
    <x v="23"/>
    <m/>
    <m/>
    <m/>
    <x v="1"/>
    <m/>
    <m/>
    <m/>
    <m/>
    <m/>
    <x v="0"/>
  </r>
  <r>
    <d v="2021-05-10T00:00:00"/>
    <x v="5"/>
    <x v="0"/>
    <x v="0"/>
    <n v="4000"/>
    <n v="4000"/>
    <n v="0"/>
    <x v="177"/>
    <s v="Cali"/>
    <m/>
    <m/>
    <m/>
    <m/>
    <x v="0"/>
  </r>
  <r>
    <d v="2021-05-10T00:00:00"/>
    <x v="5"/>
    <x v="19"/>
    <x v="19"/>
    <n v="-4000"/>
    <n v="0"/>
    <n v="4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5-10T00:00:00"/>
    <x v="5"/>
    <x v="0"/>
    <x v="0"/>
    <n v="15000"/>
    <n v="15000"/>
    <n v="0"/>
    <x v="375"/>
    <s v="Cali"/>
    <m/>
    <m/>
    <m/>
    <m/>
    <x v="0"/>
  </r>
  <r>
    <d v="2021-05-10T00:00:00"/>
    <x v="5"/>
    <x v="19"/>
    <x v="19"/>
    <n v="-15000"/>
    <n v="0"/>
    <n v="15000"/>
    <x v="375"/>
    <s v="Cali"/>
    <m/>
    <m/>
    <m/>
    <m/>
    <x v="0"/>
  </r>
  <r>
    <m/>
    <x v="1"/>
    <x v="23"/>
    <x v="23"/>
    <m/>
    <m/>
    <m/>
    <x v="1"/>
    <m/>
    <m/>
    <m/>
    <m/>
    <m/>
    <x v="0"/>
  </r>
  <r>
    <d v="2021-05-10T00:00:00"/>
    <x v="5"/>
    <x v="0"/>
    <x v="0"/>
    <n v="1"/>
    <n v="1"/>
    <n v="0"/>
    <x v="376"/>
    <s v="Cali"/>
    <m/>
    <m/>
    <m/>
    <m/>
    <x v="0"/>
  </r>
  <r>
    <d v="2021-05-10T00:00:00"/>
    <x v="5"/>
    <x v="19"/>
    <x v="19"/>
    <n v="-1"/>
    <n v="0"/>
    <n v="1"/>
    <x v="376"/>
    <s v="Cali"/>
    <m/>
    <m/>
    <m/>
    <m/>
    <x v="0"/>
  </r>
  <r>
    <m/>
    <x v="1"/>
    <x v="23"/>
    <x v="23"/>
    <m/>
    <m/>
    <m/>
    <x v="1"/>
    <m/>
    <m/>
    <m/>
    <m/>
    <m/>
    <x v="0"/>
  </r>
  <r>
    <d v="2021-05-10T00:00:00"/>
    <x v="5"/>
    <x v="0"/>
    <x v="0"/>
    <n v="8000"/>
    <n v="8000"/>
    <n v="0"/>
    <x v="140"/>
    <s v="Cali"/>
    <m/>
    <m/>
    <m/>
    <m/>
    <x v="0"/>
  </r>
  <r>
    <d v="2021-05-10T00:00:00"/>
    <x v="5"/>
    <x v="19"/>
    <x v="19"/>
    <n v="-8000"/>
    <n v="0"/>
    <n v="8000"/>
    <x v="140"/>
    <s v="Cali"/>
    <m/>
    <m/>
    <m/>
    <m/>
    <x v="0"/>
  </r>
  <r>
    <m/>
    <x v="1"/>
    <x v="23"/>
    <x v="23"/>
    <m/>
    <m/>
    <m/>
    <x v="1"/>
    <m/>
    <m/>
    <m/>
    <m/>
    <m/>
    <x v="0"/>
  </r>
  <r>
    <d v="2021-05-10T00:00:00"/>
    <x v="5"/>
    <x v="0"/>
    <x v="0"/>
    <n v="40000"/>
    <n v="40000"/>
    <n v="0"/>
    <x v="319"/>
    <s v="Cali"/>
    <m/>
    <m/>
    <m/>
    <m/>
    <x v="0"/>
  </r>
  <r>
    <d v="2021-05-10T00:00:00"/>
    <x v="5"/>
    <x v="19"/>
    <x v="19"/>
    <n v="-40000"/>
    <n v="0"/>
    <n v="40000"/>
    <x v="319"/>
    <s v="Cali"/>
    <m/>
    <m/>
    <m/>
    <m/>
    <x v="0"/>
  </r>
  <r>
    <m/>
    <x v="1"/>
    <x v="23"/>
    <x v="23"/>
    <m/>
    <m/>
    <m/>
    <x v="1"/>
    <m/>
    <m/>
    <m/>
    <m/>
    <m/>
    <x v="0"/>
  </r>
  <r>
    <d v="2021-05-10T00:00:00"/>
    <x v="5"/>
    <x v="0"/>
    <x v="0"/>
    <n v="30000"/>
    <n v="30000"/>
    <n v="0"/>
    <x v="185"/>
    <s v="Cali"/>
    <m/>
    <m/>
    <m/>
    <m/>
    <x v="0"/>
  </r>
  <r>
    <d v="2021-05-10T00:00:00"/>
    <x v="5"/>
    <x v="25"/>
    <x v="25"/>
    <n v="-30000"/>
    <n v="0"/>
    <n v="30000"/>
    <x v="185"/>
    <s v="Cali"/>
    <m/>
    <m/>
    <m/>
    <m/>
    <x v="0"/>
  </r>
  <r>
    <m/>
    <x v="1"/>
    <x v="23"/>
    <x v="23"/>
    <m/>
    <m/>
    <m/>
    <x v="1"/>
    <m/>
    <m/>
    <m/>
    <m/>
    <m/>
    <x v="0"/>
  </r>
  <r>
    <d v="2021-05-10T00:00:00"/>
    <x v="5"/>
    <x v="0"/>
    <x v="0"/>
    <n v="17000"/>
    <n v="17000"/>
    <n v="0"/>
    <x v="186"/>
    <s v="Cali"/>
    <m/>
    <m/>
    <m/>
    <m/>
    <x v="0"/>
  </r>
  <r>
    <d v="2021-05-10T00:00:00"/>
    <x v="5"/>
    <x v="25"/>
    <x v="25"/>
    <n v="-17000"/>
    <n v="0"/>
    <n v="17000"/>
    <x v="186"/>
    <s v="Cali"/>
    <m/>
    <m/>
    <m/>
    <m/>
    <x v="0"/>
  </r>
  <r>
    <m/>
    <x v="1"/>
    <x v="23"/>
    <x v="23"/>
    <m/>
    <m/>
    <m/>
    <x v="1"/>
    <m/>
    <m/>
    <m/>
    <m/>
    <m/>
    <x v="0"/>
  </r>
  <r>
    <d v="2021-05-10T00:00:00"/>
    <x v="5"/>
    <x v="49"/>
    <x v="49"/>
    <n v="1404"/>
    <n v="1404"/>
    <n v="0"/>
    <x v="172"/>
    <s v="Cali"/>
    <m/>
    <m/>
    <m/>
    <m/>
    <x v="0"/>
  </r>
  <r>
    <d v="2021-05-10T00:00:00"/>
    <x v="5"/>
    <x v="0"/>
    <x v="0"/>
    <n v="-1404"/>
    <n v="0"/>
    <n v="1404"/>
    <x v="172"/>
    <s v="Cali"/>
    <m/>
    <m/>
    <m/>
    <m/>
    <x v="0"/>
  </r>
  <r>
    <m/>
    <x v="1"/>
    <x v="23"/>
    <x v="23"/>
    <m/>
    <m/>
    <m/>
    <x v="1"/>
    <m/>
    <m/>
    <m/>
    <m/>
    <m/>
    <x v="0"/>
  </r>
  <r>
    <d v="2021-05-12T00:00:00"/>
    <x v="5"/>
    <x v="0"/>
    <x v="0"/>
    <n v="49405"/>
    <n v="49405"/>
    <n v="0"/>
    <x v="377"/>
    <s v="Cali"/>
    <m/>
    <m/>
    <m/>
    <m/>
    <x v="0"/>
  </r>
  <r>
    <d v="2021-05-12T00:00:00"/>
    <x v="5"/>
    <x v="49"/>
    <x v="49"/>
    <n v="595"/>
    <n v="595"/>
    <n v="0"/>
    <x v="377"/>
    <s v="Cali"/>
    <m/>
    <m/>
    <m/>
    <m/>
    <x v="0"/>
  </r>
  <r>
    <d v="2021-05-12T00:00:00"/>
    <x v="5"/>
    <x v="25"/>
    <x v="25"/>
    <n v="-50000"/>
    <n v="0"/>
    <n v="50000"/>
    <x v="377"/>
    <s v="Cali"/>
    <m/>
    <m/>
    <m/>
    <m/>
    <x v="0"/>
  </r>
  <r>
    <m/>
    <x v="1"/>
    <x v="23"/>
    <x v="23"/>
    <m/>
    <m/>
    <m/>
    <x v="1"/>
    <m/>
    <m/>
    <m/>
    <m/>
    <m/>
    <x v="0"/>
  </r>
  <r>
    <d v="2021-05-12T00:00:00"/>
    <x v="5"/>
    <x v="0"/>
    <x v="0"/>
    <n v="1800000"/>
    <n v="1800000"/>
    <n v="0"/>
    <x v="378"/>
    <s v="Cali"/>
    <m/>
    <m/>
    <m/>
    <m/>
    <x v="0"/>
  </r>
  <r>
    <d v="2021-05-12T00:00:00"/>
    <x v="5"/>
    <x v="26"/>
    <x v="26"/>
    <n v="-1800000"/>
    <n v="0"/>
    <n v="1800000"/>
    <x v="378"/>
    <s v="Cali"/>
    <m/>
    <m/>
    <m/>
    <m/>
    <x v="0"/>
  </r>
  <r>
    <m/>
    <x v="1"/>
    <x v="23"/>
    <x v="23"/>
    <m/>
    <m/>
    <m/>
    <x v="1"/>
    <m/>
    <m/>
    <m/>
    <m/>
    <m/>
    <x v="0"/>
  </r>
  <r>
    <d v="2021-05-12T00:00:00"/>
    <x v="5"/>
    <x v="28"/>
    <x v="28"/>
    <n v="100000"/>
    <n v="100000"/>
    <n v="0"/>
    <x v="379"/>
    <s v="Cali"/>
    <m/>
    <m/>
    <m/>
    <m/>
    <x v="0"/>
  </r>
  <r>
    <d v="2021-05-12T00:00:00"/>
    <x v="5"/>
    <x v="0"/>
    <x v="0"/>
    <n v="-100000"/>
    <n v="0"/>
    <n v="100000"/>
    <x v="379"/>
    <s v="Cali"/>
    <m/>
    <m/>
    <m/>
    <m/>
    <x v="0"/>
  </r>
  <r>
    <m/>
    <x v="1"/>
    <x v="23"/>
    <x v="23"/>
    <m/>
    <m/>
    <m/>
    <x v="1"/>
    <m/>
    <m/>
    <m/>
    <m/>
    <m/>
    <x v="0"/>
  </r>
  <r>
    <d v="2021-05-12T00:00:00"/>
    <x v="5"/>
    <x v="0"/>
    <x v="0"/>
    <n v="138000"/>
    <n v="138000"/>
    <n v="0"/>
    <x v="65"/>
    <s v="Cali"/>
    <m/>
    <m/>
    <m/>
    <m/>
    <x v="0"/>
  </r>
  <r>
    <d v="2021-05-12T00:00:00"/>
    <x v="5"/>
    <x v="29"/>
    <x v="29"/>
    <n v="-138000"/>
    <n v="0"/>
    <n v="138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5-12T00:00:00"/>
    <x v="5"/>
    <x v="0"/>
    <x v="0"/>
    <n v="65000"/>
    <n v="65000"/>
    <n v="0"/>
    <x v="65"/>
    <s v="Cali"/>
    <m/>
    <m/>
    <m/>
    <m/>
    <x v="0"/>
  </r>
  <r>
    <d v="2021-05-12T00:00:00"/>
    <x v="5"/>
    <x v="29"/>
    <x v="29"/>
    <n v="-65000"/>
    <n v="0"/>
    <n v="6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5-12T00:00:00"/>
    <x v="5"/>
    <x v="0"/>
    <x v="0"/>
    <n v="115000"/>
    <n v="115000"/>
    <n v="0"/>
    <x v="65"/>
    <s v="Cali"/>
    <m/>
    <m/>
    <m/>
    <m/>
    <x v="0"/>
  </r>
  <r>
    <d v="2021-05-12T00:00:00"/>
    <x v="5"/>
    <x v="29"/>
    <x v="29"/>
    <n v="-115000"/>
    <n v="0"/>
    <n v="11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5-13T00:00:00"/>
    <x v="5"/>
    <x v="0"/>
    <x v="0"/>
    <n v="30000"/>
    <n v="30000"/>
    <n v="0"/>
    <x v="170"/>
    <s v="Cali"/>
    <m/>
    <m/>
    <m/>
    <m/>
    <x v="0"/>
  </r>
  <r>
    <d v="2021-05-13T00:00:00"/>
    <x v="5"/>
    <x v="26"/>
    <x v="26"/>
    <n v="-30000"/>
    <n v="0"/>
    <n v="30000"/>
    <x v="170"/>
    <s v="Cali"/>
    <m/>
    <m/>
    <m/>
    <m/>
    <x v="0"/>
  </r>
  <r>
    <m/>
    <x v="1"/>
    <x v="23"/>
    <x v="23"/>
    <m/>
    <m/>
    <m/>
    <x v="1"/>
    <m/>
    <m/>
    <m/>
    <m/>
    <m/>
    <x v="0"/>
  </r>
  <r>
    <d v="2021-05-13T00:00:00"/>
    <x v="5"/>
    <x v="0"/>
    <x v="0"/>
    <n v="20000"/>
    <n v="20000"/>
    <n v="0"/>
    <x v="193"/>
    <s v="Cali"/>
    <m/>
    <m/>
    <m/>
    <m/>
    <x v="0"/>
  </r>
  <r>
    <d v="2021-05-13T00:00:00"/>
    <x v="5"/>
    <x v="26"/>
    <x v="26"/>
    <n v="-20000"/>
    <n v="0"/>
    <n v="20000"/>
    <x v="193"/>
    <s v="Cali"/>
    <m/>
    <m/>
    <m/>
    <m/>
    <x v="0"/>
  </r>
  <r>
    <m/>
    <x v="1"/>
    <x v="23"/>
    <x v="23"/>
    <m/>
    <m/>
    <m/>
    <x v="1"/>
    <m/>
    <m/>
    <m/>
    <m/>
    <m/>
    <x v="0"/>
  </r>
  <r>
    <d v="2021-05-13T00:00:00"/>
    <x v="5"/>
    <x v="0"/>
    <x v="0"/>
    <n v="25000"/>
    <n v="25000"/>
    <n v="0"/>
    <x v="194"/>
    <s v="Cali"/>
    <m/>
    <m/>
    <m/>
    <m/>
    <x v="0"/>
  </r>
  <r>
    <d v="2021-05-13T00:00:00"/>
    <x v="5"/>
    <x v="25"/>
    <x v="25"/>
    <n v="-25000"/>
    <n v="0"/>
    <n v="25000"/>
    <x v="194"/>
    <s v="Cali"/>
    <m/>
    <m/>
    <m/>
    <m/>
    <x v="0"/>
  </r>
  <r>
    <m/>
    <x v="1"/>
    <x v="23"/>
    <x v="23"/>
    <m/>
    <m/>
    <m/>
    <x v="1"/>
    <m/>
    <m/>
    <m/>
    <m/>
    <m/>
    <x v="0"/>
  </r>
  <r>
    <d v="2021-05-13T00:00:00"/>
    <x v="5"/>
    <x v="0"/>
    <x v="0"/>
    <n v="7000"/>
    <n v="7000"/>
    <n v="0"/>
    <x v="261"/>
    <s v="Cali"/>
    <m/>
    <m/>
    <m/>
    <m/>
    <x v="0"/>
  </r>
  <r>
    <d v="2021-05-13T00:00:00"/>
    <x v="5"/>
    <x v="25"/>
    <x v="25"/>
    <n v="-7000"/>
    <n v="0"/>
    <n v="7000"/>
    <x v="261"/>
    <s v="Cali"/>
    <m/>
    <m/>
    <m/>
    <m/>
    <x v="0"/>
  </r>
  <r>
    <m/>
    <x v="1"/>
    <x v="23"/>
    <x v="23"/>
    <m/>
    <m/>
    <m/>
    <x v="1"/>
    <m/>
    <m/>
    <m/>
    <m/>
    <m/>
    <x v="0"/>
  </r>
  <r>
    <d v="2021-05-14T00:00:00"/>
    <x v="5"/>
    <x v="15"/>
    <x v="15"/>
    <n v="3294505"/>
    <n v="3294505"/>
    <n v="0"/>
    <x v="380"/>
    <s v="Cali"/>
    <m/>
    <m/>
    <m/>
    <m/>
    <x v="0"/>
  </r>
  <r>
    <d v="2021-05-14T00:00:00"/>
    <x v="5"/>
    <x v="14"/>
    <x v="14"/>
    <n v="146809"/>
    <n v="146809"/>
    <n v="0"/>
    <x v="380"/>
    <s v="Cali"/>
    <m/>
    <m/>
    <m/>
    <m/>
    <x v="0"/>
  </r>
  <r>
    <d v="2021-05-14T00:00:00"/>
    <x v="5"/>
    <x v="0"/>
    <x v="0"/>
    <n v="-3441314"/>
    <n v="0"/>
    <n v="3441314"/>
    <x v="380"/>
    <s v="Cali"/>
    <m/>
    <m/>
    <m/>
    <m/>
    <x v="0"/>
  </r>
  <r>
    <m/>
    <x v="1"/>
    <x v="23"/>
    <x v="23"/>
    <m/>
    <m/>
    <m/>
    <x v="1"/>
    <m/>
    <m/>
    <m/>
    <m/>
    <m/>
    <x v="0"/>
  </r>
  <r>
    <d v="2021-05-14T00:00:00"/>
    <x v="5"/>
    <x v="28"/>
    <x v="28"/>
    <n v="315350"/>
    <n v="315350"/>
    <n v="0"/>
    <x v="381"/>
    <s v="Cali"/>
    <m/>
    <m/>
    <m/>
    <m/>
    <x v="0"/>
  </r>
  <r>
    <d v="2021-05-14T00:00:00"/>
    <x v="5"/>
    <x v="0"/>
    <x v="0"/>
    <n v="-315350"/>
    <n v="0"/>
    <n v="315350"/>
    <x v="381"/>
    <s v="Cali"/>
    <m/>
    <m/>
    <m/>
    <m/>
    <x v="0"/>
  </r>
  <r>
    <m/>
    <x v="1"/>
    <x v="23"/>
    <x v="23"/>
    <m/>
    <m/>
    <m/>
    <x v="1"/>
    <m/>
    <m/>
    <m/>
    <m/>
    <m/>
    <x v="0"/>
  </r>
  <r>
    <d v="2021-05-14T00:00:00"/>
    <x v="5"/>
    <x v="16"/>
    <x v="16"/>
    <n v="66720"/>
    <n v="66720"/>
    <n v="0"/>
    <x v="382"/>
    <s v="Cali"/>
    <m/>
    <m/>
    <m/>
    <m/>
    <x v="0"/>
  </r>
  <r>
    <d v="2021-05-14T00:00:00"/>
    <x v="5"/>
    <x v="17"/>
    <x v="17"/>
    <n v="-7673"/>
    <n v="0"/>
    <n v="7673"/>
    <x v="382"/>
    <s v="Cali"/>
    <m/>
    <m/>
    <m/>
    <m/>
    <x v="0"/>
  </r>
  <r>
    <d v="2021-05-14T00:00:00"/>
    <x v="5"/>
    <x v="0"/>
    <x v="0"/>
    <n v="-59047"/>
    <n v="0"/>
    <n v="59047"/>
    <x v="382"/>
    <s v="Cali"/>
    <m/>
    <m/>
    <m/>
    <m/>
    <x v="0"/>
  </r>
  <r>
    <m/>
    <x v="1"/>
    <x v="23"/>
    <x v="23"/>
    <m/>
    <m/>
    <m/>
    <x v="1"/>
    <m/>
    <m/>
    <m/>
    <m/>
    <m/>
    <x v="0"/>
  </r>
  <r>
    <d v="2021-05-14T00:00:00"/>
    <x v="5"/>
    <x v="1"/>
    <x v="1"/>
    <n v="25000000"/>
    <n v="25000000"/>
    <n v="0"/>
    <x v="383"/>
    <s v="Cali"/>
    <m/>
    <m/>
    <m/>
    <m/>
    <x v="0"/>
  </r>
  <r>
    <d v="2021-05-14T00:00:00"/>
    <x v="5"/>
    <x v="0"/>
    <x v="0"/>
    <n v="-25000000"/>
    <n v="0"/>
    <n v="25000000"/>
    <x v="383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0"/>
    <x v="0"/>
    <n v="50000"/>
    <n v="50000"/>
    <n v="0"/>
    <x v="195"/>
    <s v="Cali"/>
    <m/>
    <m/>
    <m/>
    <m/>
    <x v="0"/>
  </r>
  <r>
    <d v="2021-05-17T00:00:00"/>
    <x v="5"/>
    <x v="25"/>
    <x v="25"/>
    <n v="-50000"/>
    <n v="0"/>
    <n v="50000"/>
    <x v="195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0"/>
    <x v="0"/>
    <n v="5000"/>
    <n v="5000"/>
    <n v="0"/>
    <x v="384"/>
    <s v="Cali"/>
    <m/>
    <m/>
    <m/>
    <m/>
    <x v="0"/>
  </r>
  <r>
    <d v="2021-05-17T00:00:00"/>
    <x v="5"/>
    <x v="19"/>
    <x v="19"/>
    <n v="-5000"/>
    <n v="0"/>
    <n v="5000"/>
    <x v="384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0"/>
    <x v="0"/>
    <n v="20000"/>
    <n v="20000"/>
    <n v="0"/>
    <x v="196"/>
    <s v="Cali"/>
    <m/>
    <m/>
    <m/>
    <m/>
    <x v="0"/>
  </r>
  <r>
    <d v="2021-05-17T00:00:00"/>
    <x v="5"/>
    <x v="25"/>
    <x v="25"/>
    <n v="-20000"/>
    <n v="0"/>
    <n v="20000"/>
    <x v="196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0"/>
    <x v="0"/>
    <n v="50000"/>
    <n v="50000"/>
    <n v="0"/>
    <x v="385"/>
    <s v="Cali"/>
    <m/>
    <m/>
    <m/>
    <m/>
    <x v="0"/>
  </r>
  <r>
    <d v="2021-05-17T00:00:00"/>
    <x v="5"/>
    <x v="20"/>
    <x v="20"/>
    <n v="-50000"/>
    <n v="0"/>
    <n v="50000"/>
    <x v="385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0"/>
    <x v="0"/>
    <n v="50000"/>
    <n v="50000"/>
    <n v="0"/>
    <x v="386"/>
    <s v="Cali"/>
    <m/>
    <m/>
    <m/>
    <m/>
    <x v="0"/>
  </r>
  <r>
    <d v="2021-05-17T00:00:00"/>
    <x v="5"/>
    <x v="27"/>
    <x v="27"/>
    <n v="-50000"/>
    <n v="0"/>
    <n v="50000"/>
    <x v="386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0"/>
    <x v="0"/>
    <n v="10000"/>
    <n v="10000"/>
    <n v="0"/>
    <x v="140"/>
    <s v="Cali"/>
    <m/>
    <m/>
    <m/>
    <m/>
    <x v="0"/>
  </r>
  <r>
    <d v="2021-05-17T00:00:00"/>
    <x v="5"/>
    <x v="19"/>
    <x v="19"/>
    <n v="-10000"/>
    <n v="0"/>
    <n v="10000"/>
    <x v="140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0"/>
    <x v="0"/>
    <n v="21"/>
    <n v="21"/>
    <n v="0"/>
    <x v="330"/>
    <s v="Cali"/>
    <m/>
    <m/>
    <m/>
    <m/>
    <x v="0"/>
  </r>
  <r>
    <d v="2021-05-17T00:00:00"/>
    <x v="5"/>
    <x v="19"/>
    <x v="19"/>
    <n v="-21"/>
    <n v="0"/>
    <n v="21"/>
    <x v="330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0"/>
    <x v="0"/>
    <n v="30000"/>
    <n v="30000"/>
    <n v="0"/>
    <x v="139"/>
    <s v="Cali"/>
    <m/>
    <m/>
    <m/>
    <m/>
    <x v="0"/>
  </r>
  <r>
    <d v="2021-05-17T00:00:00"/>
    <x v="5"/>
    <x v="25"/>
    <x v="25"/>
    <n v="-30000"/>
    <n v="0"/>
    <n v="30000"/>
    <x v="139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0"/>
    <x v="0"/>
    <n v="20000"/>
    <n v="20000"/>
    <n v="0"/>
    <x v="201"/>
    <s v="Cali"/>
    <m/>
    <m/>
    <m/>
    <m/>
    <x v="0"/>
  </r>
  <r>
    <d v="2021-05-17T00:00:00"/>
    <x v="5"/>
    <x v="25"/>
    <x v="25"/>
    <n v="-20000"/>
    <n v="0"/>
    <n v="20000"/>
    <x v="201"/>
    <s v="Cali"/>
    <m/>
    <m/>
    <m/>
    <m/>
    <x v="0"/>
  </r>
  <r>
    <m/>
    <x v="1"/>
    <x v="23"/>
    <x v="23"/>
    <m/>
    <m/>
    <m/>
    <x v="1"/>
    <m/>
    <m/>
    <m/>
    <m/>
    <m/>
    <x v="0"/>
  </r>
  <r>
    <d v="2021-05-19T00:00:00"/>
    <x v="5"/>
    <x v="28"/>
    <x v="28"/>
    <n v="150000"/>
    <n v="150000"/>
    <n v="0"/>
    <x v="387"/>
    <s v="Cali"/>
    <m/>
    <m/>
    <m/>
    <m/>
    <x v="0"/>
  </r>
  <r>
    <d v="2021-05-19T00:00:00"/>
    <x v="5"/>
    <x v="0"/>
    <x v="0"/>
    <n v="-150000"/>
    <n v="0"/>
    <n v="150000"/>
    <x v="387"/>
    <s v="Cali"/>
    <m/>
    <m/>
    <m/>
    <m/>
    <x v="0"/>
  </r>
  <r>
    <m/>
    <x v="1"/>
    <x v="23"/>
    <x v="23"/>
    <m/>
    <m/>
    <m/>
    <x v="1"/>
    <m/>
    <m/>
    <m/>
    <m/>
    <m/>
    <x v="0"/>
  </r>
  <r>
    <d v="2021-05-19T00:00:00"/>
    <x v="5"/>
    <x v="0"/>
    <x v="0"/>
    <n v="40000"/>
    <n v="40000"/>
    <n v="0"/>
    <x v="334"/>
    <s v="Cali"/>
    <m/>
    <m/>
    <m/>
    <m/>
    <x v="0"/>
  </r>
  <r>
    <d v="2021-05-19T00:00:00"/>
    <x v="5"/>
    <x v="25"/>
    <x v="25"/>
    <n v="-40000"/>
    <n v="0"/>
    <n v="40000"/>
    <x v="334"/>
    <s v="Cali"/>
    <m/>
    <m/>
    <m/>
    <m/>
    <x v="0"/>
  </r>
  <r>
    <m/>
    <x v="1"/>
    <x v="23"/>
    <x v="23"/>
    <m/>
    <m/>
    <m/>
    <x v="1"/>
    <m/>
    <m/>
    <m/>
    <m/>
    <m/>
    <x v="0"/>
  </r>
  <r>
    <d v="2021-05-19T00:00:00"/>
    <x v="5"/>
    <x v="0"/>
    <x v="0"/>
    <n v="117174"/>
    <n v="117174"/>
    <n v="0"/>
    <x v="388"/>
    <s v="Cali"/>
    <m/>
    <m/>
    <m/>
    <m/>
    <x v="0"/>
  </r>
  <r>
    <d v="2021-05-19T00:00:00"/>
    <x v="5"/>
    <x v="27"/>
    <x v="27"/>
    <n v="-117174"/>
    <n v="0"/>
    <n v="117174"/>
    <x v="388"/>
    <s v="Cali"/>
    <m/>
    <m/>
    <m/>
    <m/>
    <x v="0"/>
  </r>
  <r>
    <m/>
    <x v="1"/>
    <x v="23"/>
    <x v="23"/>
    <m/>
    <m/>
    <m/>
    <x v="1"/>
    <m/>
    <m/>
    <m/>
    <m/>
    <m/>
    <x v="0"/>
  </r>
  <r>
    <d v="2021-05-20T00:00:00"/>
    <x v="5"/>
    <x v="0"/>
    <x v="0"/>
    <n v="100000"/>
    <n v="100000"/>
    <n v="0"/>
    <x v="65"/>
    <s v="Cali"/>
    <m/>
    <m/>
    <m/>
    <m/>
    <x v="0"/>
  </r>
  <r>
    <d v="2021-05-20T00:00:00"/>
    <x v="5"/>
    <x v="29"/>
    <x v="29"/>
    <n v="-100000"/>
    <n v="0"/>
    <n v="10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5-24T00:00:00"/>
    <x v="5"/>
    <x v="0"/>
    <x v="0"/>
    <n v="30000"/>
    <n v="30000"/>
    <n v="0"/>
    <x v="188"/>
    <s v="Cali"/>
    <m/>
    <m/>
    <m/>
    <m/>
    <x v="0"/>
  </r>
  <r>
    <d v="2021-05-24T00:00:00"/>
    <x v="5"/>
    <x v="29"/>
    <x v="29"/>
    <n v="-30000"/>
    <n v="0"/>
    <n v="30000"/>
    <x v="188"/>
    <s v="Cali"/>
    <m/>
    <m/>
    <m/>
    <m/>
    <x v="0"/>
  </r>
  <r>
    <m/>
    <x v="1"/>
    <x v="23"/>
    <x v="23"/>
    <m/>
    <m/>
    <m/>
    <x v="1"/>
    <m/>
    <m/>
    <m/>
    <m/>
    <m/>
    <x v="0"/>
  </r>
  <r>
    <d v="2021-05-24T00:00:00"/>
    <x v="5"/>
    <x v="0"/>
    <x v="0"/>
    <n v="8000"/>
    <n v="8000"/>
    <n v="0"/>
    <x v="140"/>
    <s v="Cali"/>
    <m/>
    <m/>
    <m/>
    <m/>
    <x v="0"/>
  </r>
  <r>
    <d v="2021-05-24T00:00:00"/>
    <x v="5"/>
    <x v="19"/>
    <x v="19"/>
    <n v="-8000"/>
    <n v="0"/>
    <n v="8000"/>
    <x v="140"/>
    <s v="Cali"/>
    <m/>
    <m/>
    <m/>
    <m/>
    <x v="0"/>
  </r>
  <r>
    <m/>
    <x v="1"/>
    <x v="23"/>
    <x v="23"/>
    <m/>
    <m/>
    <m/>
    <x v="1"/>
    <m/>
    <m/>
    <m/>
    <m/>
    <m/>
    <x v="0"/>
  </r>
  <r>
    <d v="2021-05-24T00:00:00"/>
    <x v="5"/>
    <x v="0"/>
    <x v="0"/>
    <n v="30000"/>
    <n v="30000"/>
    <n v="0"/>
    <x v="203"/>
    <s v="Cali"/>
    <m/>
    <m/>
    <m/>
    <m/>
    <x v="0"/>
  </r>
  <r>
    <d v="2021-05-24T00:00:00"/>
    <x v="5"/>
    <x v="27"/>
    <x v="27"/>
    <n v="-30000"/>
    <n v="0"/>
    <n v="30000"/>
    <x v="203"/>
    <s v="Cali"/>
    <m/>
    <m/>
    <m/>
    <m/>
    <x v="0"/>
  </r>
  <r>
    <m/>
    <x v="1"/>
    <x v="23"/>
    <x v="23"/>
    <m/>
    <m/>
    <m/>
    <x v="1"/>
    <m/>
    <m/>
    <m/>
    <m/>
    <m/>
    <x v="0"/>
  </r>
  <r>
    <d v="2021-05-24T00:00:00"/>
    <x v="5"/>
    <x v="0"/>
    <x v="0"/>
    <n v="100000"/>
    <n v="100000"/>
    <n v="0"/>
    <x v="333"/>
    <s v="Cali"/>
    <m/>
    <m/>
    <m/>
    <m/>
    <x v="0"/>
  </r>
  <r>
    <d v="2021-05-24T00:00:00"/>
    <x v="5"/>
    <x v="26"/>
    <x v="26"/>
    <n v="-100000"/>
    <n v="0"/>
    <n v="100000"/>
    <x v="333"/>
    <s v="Cali"/>
    <m/>
    <m/>
    <m/>
    <m/>
    <x v="0"/>
  </r>
  <r>
    <m/>
    <x v="1"/>
    <x v="23"/>
    <x v="23"/>
    <m/>
    <m/>
    <m/>
    <x v="1"/>
    <m/>
    <m/>
    <m/>
    <m/>
    <m/>
    <x v="0"/>
  </r>
  <r>
    <d v="2021-05-24T00:00:00"/>
    <x v="5"/>
    <x v="0"/>
    <x v="0"/>
    <n v="20000"/>
    <n v="20000"/>
    <n v="0"/>
    <x v="85"/>
    <s v="Cali"/>
    <m/>
    <m/>
    <m/>
    <m/>
    <x v="0"/>
  </r>
  <r>
    <d v="2021-05-24T00:00:00"/>
    <x v="5"/>
    <x v="25"/>
    <x v="25"/>
    <n v="-20000"/>
    <n v="0"/>
    <n v="20000"/>
    <x v="85"/>
    <s v="Cali"/>
    <m/>
    <m/>
    <m/>
    <m/>
    <x v="0"/>
  </r>
  <r>
    <m/>
    <x v="1"/>
    <x v="23"/>
    <x v="23"/>
    <m/>
    <m/>
    <m/>
    <x v="1"/>
    <m/>
    <m/>
    <m/>
    <m/>
    <m/>
    <x v="0"/>
  </r>
  <r>
    <d v="2021-05-24T00:00:00"/>
    <x v="5"/>
    <x v="0"/>
    <x v="0"/>
    <n v="20000"/>
    <n v="20000"/>
    <n v="0"/>
    <x v="174"/>
    <s v="Cali"/>
    <m/>
    <m/>
    <m/>
    <m/>
    <x v="0"/>
  </r>
  <r>
    <d v="2021-05-24T00:00:00"/>
    <x v="5"/>
    <x v="25"/>
    <x v="25"/>
    <n v="-20000"/>
    <n v="0"/>
    <n v="20000"/>
    <x v="174"/>
    <s v="Cali"/>
    <m/>
    <m/>
    <m/>
    <m/>
    <x v="0"/>
  </r>
  <r>
    <m/>
    <x v="1"/>
    <x v="23"/>
    <x v="23"/>
    <m/>
    <m/>
    <m/>
    <x v="1"/>
    <m/>
    <m/>
    <m/>
    <m/>
    <m/>
    <x v="0"/>
  </r>
  <r>
    <d v="2021-05-24T00:00:00"/>
    <x v="5"/>
    <x v="0"/>
    <x v="0"/>
    <n v="1500"/>
    <n v="1500"/>
    <n v="0"/>
    <x v="177"/>
    <s v="Cali"/>
    <m/>
    <m/>
    <m/>
    <m/>
    <x v="0"/>
  </r>
  <r>
    <d v="2021-05-24T00:00:00"/>
    <x v="5"/>
    <x v="19"/>
    <x v="19"/>
    <n v="-1500"/>
    <n v="0"/>
    <n v="15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5-24T00:00:00"/>
    <x v="5"/>
    <x v="0"/>
    <x v="0"/>
    <n v="200000"/>
    <n v="200000"/>
    <n v="0"/>
    <x v="192"/>
    <s v="Cali"/>
    <m/>
    <m/>
    <m/>
    <m/>
    <x v="0"/>
  </r>
  <r>
    <d v="2021-05-24T00:00:00"/>
    <x v="5"/>
    <x v="26"/>
    <x v="26"/>
    <n v="-200000"/>
    <n v="0"/>
    <n v="20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05-24T00:00:00"/>
    <x v="5"/>
    <x v="0"/>
    <x v="0"/>
    <n v="10730580"/>
    <n v="10730580"/>
    <n v="0"/>
    <x v="389"/>
    <s v="Cali"/>
    <m/>
    <m/>
    <m/>
    <m/>
    <x v="0"/>
  </r>
  <r>
    <d v="2021-05-24T00:00:00"/>
    <x v="5"/>
    <x v="5"/>
    <x v="5"/>
    <n v="-10730580"/>
    <n v="0"/>
    <n v="10730580"/>
    <x v="389"/>
    <s v="Cali"/>
    <m/>
    <m/>
    <m/>
    <m/>
    <x v="0"/>
  </r>
  <r>
    <m/>
    <x v="1"/>
    <x v="23"/>
    <x v="23"/>
    <m/>
    <m/>
    <m/>
    <x v="1"/>
    <m/>
    <m/>
    <m/>
    <m/>
    <m/>
    <x v="0"/>
  </r>
  <r>
    <d v="2021-05-24T00:00:00"/>
    <x v="5"/>
    <x v="0"/>
    <x v="0"/>
    <n v="5000"/>
    <n v="5000"/>
    <n v="0"/>
    <x v="367"/>
    <s v="Cali"/>
    <m/>
    <m/>
    <m/>
    <m/>
    <x v="0"/>
  </r>
  <r>
    <d v="2021-05-24T00:00:00"/>
    <x v="5"/>
    <x v="25"/>
    <x v="25"/>
    <n v="-5000"/>
    <n v="0"/>
    <n v="5000"/>
    <x v="367"/>
    <s v="Cali"/>
    <m/>
    <m/>
    <m/>
    <m/>
    <x v="0"/>
  </r>
  <r>
    <m/>
    <x v="1"/>
    <x v="23"/>
    <x v="23"/>
    <m/>
    <m/>
    <m/>
    <x v="1"/>
    <m/>
    <m/>
    <m/>
    <m/>
    <m/>
    <x v="0"/>
  </r>
  <r>
    <d v="2021-05-25T00:00:00"/>
    <x v="5"/>
    <x v="0"/>
    <x v="0"/>
    <n v="10000"/>
    <n v="10000"/>
    <n v="0"/>
    <x v="206"/>
    <s v="Cali"/>
    <m/>
    <m/>
    <m/>
    <m/>
    <x v="0"/>
  </r>
  <r>
    <d v="2021-05-25T00:00:00"/>
    <x v="5"/>
    <x v="26"/>
    <x v="26"/>
    <n v="-10000"/>
    <n v="0"/>
    <n v="10000"/>
    <x v="206"/>
    <s v="Cali"/>
    <m/>
    <m/>
    <m/>
    <m/>
    <x v="0"/>
  </r>
  <r>
    <m/>
    <x v="1"/>
    <x v="23"/>
    <x v="23"/>
    <m/>
    <m/>
    <m/>
    <x v="1"/>
    <m/>
    <m/>
    <m/>
    <m/>
    <m/>
    <x v="0"/>
  </r>
  <r>
    <d v="2021-05-25T00:00:00"/>
    <x v="5"/>
    <x v="0"/>
    <x v="0"/>
    <n v="10000"/>
    <n v="10000"/>
    <n v="0"/>
    <x v="277"/>
    <s v="Cali"/>
    <m/>
    <m/>
    <m/>
    <m/>
    <x v="0"/>
  </r>
  <r>
    <d v="2021-05-25T00:00:00"/>
    <x v="5"/>
    <x v="25"/>
    <x v="25"/>
    <n v="-10000"/>
    <n v="0"/>
    <n v="10000"/>
    <x v="277"/>
    <s v="Cali"/>
    <m/>
    <m/>
    <m/>
    <m/>
    <x v="0"/>
  </r>
  <r>
    <m/>
    <x v="1"/>
    <x v="23"/>
    <x v="23"/>
    <m/>
    <m/>
    <m/>
    <x v="1"/>
    <m/>
    <m/>
    <m/>
    <m/>
    <m/>
    <x v="0"/>
  </r>
  <r>
    <d v="2021-05-25T00:00:00"/>
    <x v="5"/>
    <x v="0"/>
    <x v="0"/>
    <n v="24000"/>
    <n v="24000"/>
    <n v="0"/>
    <x v="243"/>
    <s v="Cali"/>
    <m/>
    <m/>
    <m/>
    <m/>
    <x v="0"/>
  </r>
  <r>
    <d v="2021-05-25T00:00:00"/>
    <x v="5"/>
    <x v="4"/>
    <x v="4"/>
    <n v="-24000"/>
    <n v="0"/>
    <n v="24000"/>
    <x v="243"/>
    <s v="Cali"/>
    <m/>
    <m/>
    <m/>
    <m/>
    <x v="0"/>
  </r>
  <r>
    <m/>
    <x v="1"/>
    <x v="23"/>
    <x v="23"/>
    <m/>
    <m/>
    <m/>
    <x v="1"/>
    <m/>
    <m/>
    <m/>
    <m/>
    <m/>
    <x v="0"/>
  </r>
  <r>
    <d v="2021-05-26T00:00:00"/>
    <x v="5"/>
    <x v="0"/>
    <x v="0"/>
    <n v="400000"/>
    <n v="400000"/>
    <n v="0"/>
    <x v="212"/>
    <s v="Cali"/>
    <m/>
    <m/>
    <m/>
    <m/>
    <x v="0"/>
  </r>
  <r>
    <d v="2021-05-26T00:00:00"/>
    <x v="5"/>
    <x v="26"/>
    <x v="26"/>
    <n v="-400000"/>
    <n v="0"/>
    <n v="400000"/>
    <x v="212"/>
    <s v="Cali"/>
    <m/>
    <m/>
    <m/>
    <m/>
    <x v="0"/>
  </r>
  <r>
    <m/>
    <x v="1"/>
    <x v="23"/>
    <x v="23"/>
    <m/>
    <m/>
    <m/>
    <x v="1"/>
    <m/>
    <m/>
    <m/>
    <m/>
    <m/>
    <x v="0"/>
  </r>
  <r>
    <d v="2021-05-26T00:00:00"/>
    <x v="5"/>
    <x v="0"/>
    <x v="0"/>
    <n v="30000"/>
    <n v="30000"/>
    <n v="0"/>
    <x v="266"/>
    <s v="Cali"/>
    <m/>
    <m/>
    <m/>
    <m/>
    <x v="0"/>
  </r>
  <r>
    <d v="2021-05-26T00:00:00"/>
    <x v="5"/>
    <x v="25"/>
    <x v="25"/>
    <n v="-30000"/>
    <n v="0"/>
    <n v="30000"/>
    <x v="266"/>
    <s v="Cali"/>
    <m/>
    <m/>
    <m/>
    <m/>
    <x v="0"/>
  </r>
  <r>
    <m/>
    <x v="1"/>
    <x v="23"/>
    <x v="23"/>
    <m/>
    <m/>
    <m/>
    <x v="1"/>
    <m/>
    <m/>
    <m/>
    <m/>
    <m/>
    <x v="0"/>
  </r>
  <r>
    <d v="2021-05-27T00:00:00"/>
    <x v="5"/>
    <x v="0"/>
    <x v="0"/>
    <n v="2212959"/>
    <n v="2212959"/>
    <n v="0"/>
    <x v="390"/>
    <s v="Cali"/>
    <m/>
    <m/>
    <m/>
    <m/>
    <x v="0"/>
  </r>
  <r>
    <d v="2021-05-27T00:00:00"/>
    <x v="5"/>
    <x v="44"/>
    <x v="44"/>
    <n v="-2212959"/>
    <n v="0"/>
    <n v="2212959"/>
    <x v="390"/>
    <s v="Cali"/>
    <m/>
    <m/>
    <m/>
    <m/>
    <x v="0"/>
  </r>
  <r>
    <m/>
    <x v="1"/>
    <x v="23"/>
    <x v="23"/>
    <m/>
    <m/>
    <m/>
    <x v="1"/>
    <m/>
    <m/>
    <m/>
    <m/>
    <m/>
    <x v="0"/>
  </r>
  <r>
    <d v="2021-05-27T00:00:00"/>
    <x v="5"/>
    <x v="0"/>
    <x v="0"/>
    <n v="1940133"/>
    <n v="1940133"/>
    <n v="0"/>
    <x v="391"/>
    <s v="Cali"/>
    <m/>
    <m/>
    <m/>
    <m/>
    <x v="0"/>
  </r>
  <r>
    <d v="2021-05-27T00:00:00"/>
    <x v="5"/>
    <x v="45"/>
    <x v="45"/>
    <n v="-1940133"/>
    <n v="0"/>
    <n v="1940133"/>
    <x v="391"/>
    <s v="Cali"/>
    <m/>
    <m/>
    <m/>
    <m/>
    <x v="0"/>
  </r>
  <r>
    <m/>
    <x v="1"/>
    <x v="23"/>
    <x v="23"/>
    <m/>
    <m/>
    <m/>
    <x v="1"/>
    <m/>
    <m/>
    <m/>
    <m/>
    <m/>
    <x v="0"/>
  </r>
  <r>
    <d v="2021-05-28T00:00:00"/>
    <x v="5"/>
    <x v="31"/>
    <x v="31"/>
    <n v="169492"/>
    <n v="169492"/>
    <n v="0"/>
    <x v="392"/>
    <s v="Cali"/>
    <m/>
    <m/>
    <m/>
    <m/>
    <x v="0"/>
  </r>
  <r>
    <d v="2021-05-28T00:00:00"/>
    <x v="5"/>
    <x v="17"/>
    <x v="17"/>
    <n v="-19492"/>
    <n v="0"/>
    <n v="19492"/>
    <x v="392"/>
    <s v="Cali"/>
    <m/>
    <m/>
    <m/>
    <m/>
    <x v="0"/>
  </r>
  <r>
    <d v="2021-05-28T00:00:00"/>
    <x v="5"/>
    <x v="0"/>
    <x v="0"/>
    <n v="-150000"/>
    <n v="0"/>
    <n v="150000"/>
    <x v="392"/>
    <s v="Cali"/>
    <m/>
    <m/>
    <m/>
    <m/>
    <x v="0"/>
  </r>
  <r>
    <m/>
    <x v="1"/>
    <x v="23"/>
    <x v="23"/>
    <m/>
    <m/>
    <m/>
    <x v="1"/>
    <m/>
    <m/>
    <m/>
    <m/>
    <m/>
    <x v="0"/>
  </r>
  <r>
    <d v="2021-05-28T00:00:00"/>
    <x v="5"/>
    <x v="28"/>
    <x v="28"/>
    <n v="297500"/>
    <n v="297500"/>
    <n v="0"/>
    <x v="393"/>
    <s v="Cali"/>
    <m/>
    <m/>
    <m/>
    <m/>
    <x v="0"/>
  </r>
  <r>
    <d v="2021-05-28T00:00:00"/>
    <x v="5"/>
    <x v="0"/>
    <x v="0"/>
    <n v="-297500"/>
    <n v="0"/>
    <n v="297500"/>
    <x v="393"/>
    <s v="Cali"/>
    <m/>
    <m/>
    <m/>
    <m/>
    <x v="0"/>
  </r>
  <r>
    <m/>
    <x v="1"/>
    <x v="23"/>
    <x v="23"/>
    <m/>
    <m/>
    <m/>
    <x v="1"/>
    <m/>
    <m/>
    <m/>
    <m/>
    <m/>
    <x v="0"/>
  </r>
  <r>
    <d v="2021-05-28T00:00:00"/>
    <x v="5"/>
    <x v="0"/>
    <x v="0"/>
    <n v="73000"/>
    <n v="73000"/>
    <n v="0"/>
    <x v="240"/>
    <s v="Cali"/>
    <m/>
    <m/>
    <m/>
    <m/>
    <x v="0"/>
  </r>
  <r>
    <d v="2021-05-28T00:00:00"/>
    <x v="5"/>
    <x v="26"/>
    <x v="26"/>
    <n v="-73000"/>
    <n v="0"/>
    <n v="73000"/>
    <x v="240"/>
    <s v="Cali"/>
    <m/>
    <m/>
    <m/>
    <m/>
    <x v="0"/>
  </r>
  <r>
    <m/>
    <x v="1"/>
    <x v="23"/>
    <x v="23"/>
    <m/>
    <m/>
    <m/>
    <x v="1"/>
    <m/>
    <m/>
    <m/>
    <m/>
    <m/>
    <x v="0"/>
  </r>
  <r>
    <d v="2021-05-28T00:00:00"/>
    <x v="5"/>
    <x v="0"/>
    <x v="0"/>
    <n v="10000"/>
    <n v="10000"/>
    <n v="0"/>
    <x v="236"/>
    <s v="Cali"/>
    <m/>
    <m/>
    <m/>
    <m/>
    <x v="0"/>
  </r>
  <r>
    <d v="2021-05-28T00:00:00"/>
    <x v="5"/>
    <x v="25"/>
    <x v="25"/>
    <n v="-10000"/>
    <n v="0"/>
    <n v="10000"/>
    <x v="236"/>
    <s v="Cali"/>
    <m/>
    <m/>
    <m/>
    <m/>
    <x v="0"/>
  </r>
  <r>
    <m/>
    <x v="1"/>
    <x v="23"/>
    <x v="23"/>
    <m/>
    <m/>
    <m/>
    <x v="1"/>
    <m/>
    <m/>
    <m/>
    <m/>
    <m/>
    <x v="0"/>
  </r>
  <r>
    <d v="2021-05-28T00:00:00"/>
    <x v="5"/>
    <x v="0"/>
    <x v="0"/>
    <n v="20000"/>
    <n v="20000"/>
    <n v="0"/>
    <x v="237"/>
    <s v="Cali"/>
    <m/>
    <m/>
    <m/>
    <m/>
    <x v="0"/>
  </r>
  <r>
    <d v="2021-05-28T00:00:00"/>
    <x v="5"/>
    <x v="19"/>
    <x v="19"/>
    <n v="-20000"/>
    <n v="0"/>
    <n v="20000"/>
    <x v="237"/>
    <s v="Cali"/>
    <m/>
    <m/>
    <m/>
    <m/>
    <x v="0"/>
  </r>
  <r>
    <m/>
    <x v="1"/>
    <x v="23"/>
    <x v="23"/>
    <m/>
    <m/>
    <m/>
    <x v="1"/>
    <m/>
    <m/>
    <m/>
    <m/>
    <m/>
    <x v="0"/>
  </r>
  <r>
    <d v="2021-05-28T00:00:00"/>
    <x v="5"/>
    <x v="0"/>
    <x v="0"/>
    <n v="125000"/>
    <n v="125000"/>
    <n v="0"/>
    <x v="136"/>
    <s v="Cali"/>
    <m/>
    <m/>
    <m/>
    <m/>
    <x v="0"/>
  </r>
  <r>
    <d v="2021-05-28T00:00:00"/>
    <x v="5"/>
    <x v="26"/>
    <x v="26"/>
    <n v="-125000"/>
    <n v="0"/>
    <n v="125000"/>
    <x v="136"/>
    <s v="Cali"/>
    <m/>
    <m/>
    <m/>
    <m/>
    <x v="0"/>
  </r>
  <r>
    <m/>
    <x v="1"/>
    <x v="23"/>
    <x v="23"/>
    <m/>
    <m/>
    <m/>
    <x v="1"/>
    <m/>
    <m/>
    <m/>
    <m/>
    <m/>
    <x v="0"/>
  </r>
  <r>
    <d v="2021-05-28T00:00:00"/>
    <x v="5"/>
    <x v="0"/>
    <x v="0"/>
    <n v="25000"/>
    <n v="25000"/>
    <n v="0"/>
    <x v="138"/>
    <s v="Cali"/>
    <m/>
    <m/>
    <m/>
    <m/>
    <x v="0"/>
  </r>
  <r>
    <d v="2021-05-28T00:00:00"/>
    <x v="5"/>
    <x v="27"/>
    <x v="27"/>
    <n v="-25000"/>
    <n v="0"/>
    <n v="25000"/>
    <x v="138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0"/>
    <x v="0"/>
    <n v="60000"/>
    <n v="60000"/>
    <n v="0"/>
    <x v="238"/>
    <s v="Cali"/>
    <m/>
    <m/>
    <m/>
    <m/>
    <x v="0"/>
  </r>
  <r>
    <d v="2021-05-31T00:00:00"/>
    <x v="5"/>
    <x v="25"/>
    <x v="25"/>
    <n v="-60000"/>
    <n v="0"/>
    <n v="60000"/>
    <x v="238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0"/>
    <x v="0"/>
    <n v="10000"/>
    <n v="10000"/>
    <n v="0"/>
    <x v="198"/>
    <s v="Cali"/>
    <m/>
    <m/>
    <m/>
    <m/>
    <x v="0"/>
  </r>
  <r>
    <d v="2021-05-31T00:00:00"/>
    <x v="5"/>
    <x v="27"/>
    <x v="27"/>
    <n v="-10000"/>
    <n v="0"/>
    <n v="10000"/>
    <x v="198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0"/>
    <x v="0"/>
    <n v="8000"/>
    <n v="8000"/>
    <n v="0"/>
    <x v="140"/>
    <s v="Cali"/>
    <m/>
    <m/>
    <m/>
    <m/>
    <x v="0"/>
  </r>
  <r>
    <d v="2021-05-31T00:00:00"/>
    <x v="5"/>
    <x v="19"/>
    <x v="19"/>
    <n v="-8000"/>
    <n v="0"/>
    <n v="8000"/>
    <x v="140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0"/>
    <x v="0"/>
    <n v="100000"/>
    <n v="100000"/>
    <n v="0"/>
    <x v="134"/>
    <s v="Cali"/>
    <m/>
    <m/>
    <m/>
    <m/>
    <x v="0"/>
  </r>
  <r>
    <d v="2021-05-31T00:00:00"/>
    <x v="5"/>
    <x v="26"/>
    <x v="26"/>
    <n v="-100000"/>
    <n v="0"/>
    <n v="100000"/>
    <x v="134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0"/>
    <x v="0"/>
    <n v="36000"/>
    <n v="36000"/>
    <n v="0"/>
    <x v="133"/>
    <s v="Cali"/>
    <m/>
    <m/>
    <m/>
    <m/>
    <x v="0"/>
  </r>
  <r>
    <d v="2021-05-31T00:00:00"/>
    <x v="5"/>
    <x v="25"/>
    <x v="25"/>
    <n v="-36000"/>
    <n v="0"/>
    <n v="36000"/>
    <x v="133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0"/>
    <x v="0"/>
    <n v="50000"/>
    <n v="50000"/>
    <n v="0"/>
    <x v="135"/>
    <s v="Cali"/>
    <m/>
    <m/>
    <m/>
    <m/>
    <x v="0"/>
  </r>
  <r>
    <d v="2021-05-31T00:00:00"/>
    <x v="5"/>
    <x v="26"/>
    <x v="26"/>
    <n v="-50000"/>
    <n v="0"/>
    <n v="50000"/>
    <x v="135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0"/>
    <x v="0"/>
    <n v="30000"/>
    <n v="30000"/>
    <n v="0"/>
    <x v="319"/>
    <s v="Cali"/>
    <m/>
    <m/>
    <m/>
    <m/>
    <x v="0"/>
  </r>
  <r>
    <d v="2021-05-31T00:00:00"/>
    <x v="5"/>
    <x v="19"/>
    <x v="19"/>
    <n v="-30000"/>
    <n v="0"/>
    <n v="30000"/>
    <x v="319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0"/>
    <x v="0"/>
    <n v="20000"/>
    <n v="20000"/>
    <n v="0"/>
    <x v="151"/>
    <s v="Cali"/>
    <m/>
    <m/>
    <m/>
    <m/>
    <x v="0"/>
  </r>
  <r>
    <d v="2021-05-31T00:00:00"/>
    <x v="5"/>
    <x v="25"/>
    <x v="25"/>
    <n v="-20000"/>
    <n v="0"/>
    <n v="20000"/>
    <x v="151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0"/>
    <x v="0"/>
    <n v="40000"/>
    <n v="40000"/>
    <n v="0"/>
    <x v="241"/>
    <s v="Cali"/>
    <m/>
    <m/>
    <m/>
    <m/>
    <x v="0"/>
  </r>
  <r>
    <d v="2021-05-31T00:00:00"/>
    <x v="5"/>
    <x v="26"/>
    <x v="26"/>
    <n v="-40000"/>
    <n v="0"/>
    <n v="40000"/>
    <x v="241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0"/>
    <x v="0"/>
    <n v="14000"/>
    <n v="14000"/>
    <n v="0"/>
    <x v="289"/>
    <s v="Cali"/>
    <m/>
    <m/>
    <m/>
    <m/>
    <x v="0"/>
  </r>
  <r>
    <d v="2021-05-31T00:00:00"/>
    <x v="5"/>
    <x v="26"/>
    <x v="26"/>
    <n v="-14000"/>
    <n v="0"/>
    <n v="14000"/>
    <x v="289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0"/>
    <x v="0"/>
    <n v="20000"/>
    <n v="20000"/>
    <n v="0"/>
    <x v="332"/>
    <s v="Cali"/>
    <m/>
    <m/>
    <m/>
    <m/>
    <x v="0"/>
  </r>
  <r>
    <d v="2021-05-31T00:00:00"/>
    <x v="5"/>
    <x v="19"/>
    <x v="19"/>
    <n v="-20000"/>
    <n v="0"/>
    <n v="20000"/>
    <x v="332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0"/>
    <x v="0"/>
    <n v="1454550"/>
    <n v="1454550"/>
    <n v="0"/>
    <x v="394"/>
    <s v="Cali"/>
    <m/>
    <m/>
    <m/>
    <m/>
    <x v="0"/>
  </r>
  <r>
    <d v="2021-05-31T00:00:00"/>
    <x v="5"/>
    <x v="26"/>
    <x v="26"/>
    <n v="-1454550"/>
    <n v="0"/>
    <n v="1454550"/>
    <x v="394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0"/>
    <x v="0"/>
    <n v="20000"/>
    <n v="20000"/>
    <n v="0"/>
    <x v="132"/>
    <s v="Cali"/>
    <m/>
    <m/>
    <m/>
    <m/>
    <x v="0"/>
  </r>
  <r>
    <d v="2021-05-31T00:00:00"/>
    <x v="5"/>
    <x v="25"/>
    <x v="25"/>
    <n v="-20000"/>
    <n v="0"/>
    <n v="20000"/>
    <x v="132"/>
    <s v="Cali"/>
    <s v="80965500-8"/>
    <s v="PROYECTOS Y CONSTRUCCIONES TASCO LIMITADA"/>
    <n v="2930"/>
    <m/>
    <x v="0"/>
  </r>
  <r>
    <m/>
    <x v="1"/>
    <x v="23"/>
    <x v="23"/>
    <m/>
    <m/>
    <m/>
    <x v="1"/>
    <m/>
    <s v="80965500-8"/>
    <s v="PROYECTOS Y CONSTRUCCIONES TASCO LIMITADA"/>
    <n v="2930"/>
    <m/>
    <x v="0"/>
  </r>
  <r>
    <d v="2021-05-31T00:00:00"/>
    <x v="5"/>
    <x v="0"/>
    <x v="0"/>
    <n v="200000"/>
    <n v="200000"/>
    <n v="0"/>
    <x v="242"/>
    <s v="Cali"/>
    <s v="80965500-8"/>
    <s v="PROYECTOS Y CONSTRUCCIONES TASCO LIMITADA"/>
    <n v="2930"/>
    <m/>
    <x v="0"/>
  </r>
  <r>
    <d v="2021-05-31T00:00:00"/>
    <x v="5"/>
    <x v="26"/>
    <x v="26"/>
    <n v="-200000"/>
    <n v="0"/>
    <n v="200000"/>
    <x v="242"/>
    <s v="Cali"/>
    <s v="80965500-8"/>
    <s v="PROYECTOS Y CONSTRUCCIONES TASCO LIMITADA"/>
    <n v="2930"/>
    <m/>
    <x v="0"/>
  </r>
  <r>
    <m/>
    <x v="1"/>
    <x v="23"/>
    <x v="23"/>
    <m/>
    <m/>
    <m/>
    <x v="1"/>
    <m/>
    <m/>
    <m/>
    <m/>
    <m/>
    <x v="0"/>
  </r>
  <r>
    <d v="2021-05-31T00:00:00"/>
    <x v="5"/>
    <x v="0"/>
    <x v="0"/>
    <n v="2000000"/>
    <n v="2000000"/>
    <n v="0"/>
    <x v="395"/>
    <s v="Cali"/>
    <s v="80965500-8"/>
    <s v="PROYECTOS Y CONSTRUCCIONES TASCO LIMITADA"/>
    <n v="2930"/>
    <m/>
    <x v="0"/>
  </r>
  <r>
    <d v="2021-05-31T00:00:00"/>
    <x v="5"/>
    <x v="26"/>
    <x v="26"/>
    <n v="-2000000"/>
    <n v="0"/>
    <n v="2000000"/>
    <x v="395"/>
    <s v="Cali"/>
    <s v="80965500-8"/>
    <s v="PROYECTOS Y CONSTRUCCIONES TASCO LIMITADA"/>
    <n v="2930"/>
    <m/>
    <x v="0"/>
  </r>
  <r>
    <m/>
    <x v="1"/>
    <x v="23"/>
    <x v="23"/>
    <m/>
    <m/>
    <m/>
    <x v="1"/>
    <m/>
    <m/>
    <m/>
    <m/>
    <m/>
    <x v="0"/>
  </r>
  <r>
    <d v="2021-05-07T00:00:00"/>
    <x v="5"/>
    <x v="49"/>
    <x v="49"/>
    <n v="1947"/>
    <n v="1947"/>
    <n v="0"/>
    <x v="331"/>
    <s v="Cali"/>
    <s v="89485200-3"/>
    <s v="COZ Y COMPAÃ‘IA S.A."/>
    <n v="6113"/>
    <s v="138-01"/>
    <x v="3"/>
  </r>
  <r>
    <d v="2021-05-07T00:00:00"/>
    <x v="5"/>
    <x v="1"/>
    <x v="1"/>
    <n v="-1947"/>
    <n v="0"/>
    <n v="1947"/>
    <x v="331"/>
    <s v="Cali"/>
    <s v="89485200-3"/>
    <s v="COZ Y COMPAÃ‘IA S.A."/>
    <n v="6113"/>
    <m/>
    <x v="0"/>
  </r>
  <r>
    <m/>
    <x v="1"/>
    <x v="23"/>
    <x v="23"/>
    <m/>
    <m/>
    <m/>
    <x v="1"/>
    <m/>
    <m/>
    <m/>
    <m/>
    <m/>
    <x v="0"/>
  </r>
  <r>
    <d v="2021-05-07T00:00:00"/>
    <x v="5"/>
    <x v="49"/>
    <x v="49"/>
    <n v="370"/>
    <n v="370"/>
    <n v="0"/>
    <x v="331"/>
    <s v="Cali"/>
    <s v="89485200-3"/>
    <s v="COZ Y COMPAÃ‘IA S.A."/>
    <n v="6113"/>
    <m/>
    <x v="0"/>
  </r>
  <r>
    <d v="2021-05-07T00:00:00"/>
    <x v="5"/>
    <x v="1"/>
    <x v="1"/>
    <n v="-370"/>
    <n v="0"/>
    <n v="370"/>
    <x v="331"/>
    <s v="Cali"/>
    <m/>
    <m/>
    <m/>
    <m/>
    <x v="0"/>
  </r>
  <r>
    <m/>
    <x v="1"/>
    <x v="23"/>
    <x v="23"/>
    <m/>
    <m/>
    <m/>
    <x v="1"/>
    <m/>
    <m/>
    <m/>
    <m/>
    <m/>
    <x v="0"/>
  </r>
  <r>
    <d v="2021-05-14T00:00:00"/>
    <x v="5"/>
    <x v="1"/>
    <x v="1"/>
    <n v="517961570"/>
    <n v="517961570"/>
    <n v="0"/>
    <x v="345"/>
    <s v="Cali"/>
    <m/>
    <m/>
    <m/>
    <m/>
    <x v="0"/>
  </r>
  <r>
    <d v="2021-05-14T00:00:00"/>
    <x v="5"/>
    <x v="2"/>
    <x v="2"/>
    <n v="-517961570"/>
    <n v="0"/>
    <n v="517961570"/>
    <x v="345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1"/>
    <x v="1"/>
    <n v="37122427"/>
    <n v="37122427"/>
    <n v="0"/>
    <x v="396"/>
    <s v="Cali"/>
    <m/>
    <m/>
    <m/>
    <m/>
    <x v="0"/>
  </r>
  <r>
    <d v="2021-05-17T00:00:00"/>
    <x v="5"/>
    <x v="3"/>
    <x v="3"/>
    <n v="-37122427"/>
    <n v="0"/>
    <n v="37122427"/>
    <x v="396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51"/>
    <x v="51"/>
    <n v="430000000"/>
    <n v="430000000"/>
    <n v="0"/>
    <x v="397"/>
    <s v="Cali"/>
    <m/>
    <m/>
    <m/>
    <m/>
    <x v="0"/>
  </r>
  <r>
    <d v="2021-05-17T00:00:00"/>
    <x v="5"/>
    <x v="1"/>
    <x v="1"/>
    <n v="-430000000"/>
    <n v="0"/>
    <n v="430000000"/>
    <x v="397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53"/>
    <x v="53"/>
    <n v="430000000"/>
    <n v="430000000"/>
    <n v="0"/>
    <x v="398"/>
    <s v="Cali"/>
    <m/>
    <m/>
    <m/>
    <m/>
    <x v="0"/>
  </r>
  <r>
    <d v="2021-05-17T00:00:00"/>
    <x v="5"/>
    <x v="51"/>
    <x v="51"/>
    <n v="-430000000"/>
    <n v="0"/>
    <n v="430000000"/>
    <x v="398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11"/>
    <x v="11"/>
    <n v="-25066747"/>
    <n v="0"/>
    <n v="25066747"/>
    <x v="399"/>
    <s v="Cali"/>
    <m/>
    <m/>
    <m/>
    <m/>
    <x v="0"/>
  </r>
  <r>
    <d v="2021-05-17T00:00:00"/>
    <x v="5"/>
    <x v="8"/>
    <x v="8"/>
    <n v="213140814"/>
    <n v="213140814"/>
    <n v="0"/>
    <x v="400"/>
    <s v="Cali"/>
    <m/>
    <m/>
    <m/>
    <m/>
    <x v="0"/>
  </r>
  <r>
    <d v="2021-05-17T00:00:00"/>
    <x v="5"/>
    <x v="18"/>
    <x v="18"/>
    <n v="-9229303"/>
    <n v="0"/>
    <n v="9229303"/>
    <x v="401"/>
    <s v="Cali"/>
    <m/>
    <m/>
    <m/>
    <m/>
    <x v="0"/>
  </r>
  <r>
    <d v="2021-05-17T00:00:00"/>
    <x v="5"/>
    <x v="48"/>
    <x v="48"/>
    <n v="-178844764"/>
    <n v="0"/>
    <n v="178844764"/>
    <x v="129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48"/>
    <x v="48"/>
    <n v="178844764"/>
    <n v="178844764"/>
    <n v="0"/>
    <x v="402"/>
    <s v="Cali"/>
    <m/>
    <m/>
    <m/>
    <m/>
    <x v="0"/>
  </r>
  <r>
    <d v="2021-05-17T00:00:00"/>
    <x v="5"/>
    <x v="1"/>
    <x v="1"/>
    <n v="-178844764"/>
    <n v="0"/>
    <n v="178844764"/>
    <x v="402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12"/>
    <x v="12"/>
    <n v="4276080"/>
    <n v="4276080"/>
    <n v="0"/>
    <x v="403"/>
    <s v="Cali"/>
    <m/>
    <m/>
    <m/>
    <m/>
    <x v="0"/>
  </r>
  <r>
    <d v="2021-05-17T00:00:00"/>
    <x v="5"/>
    <x v="48"/>
    <x v="48"/>
    <n v="-4276080"/>
    <n v="0"/>
    <n v="4276080"/>
    <x v="403"/>
    <s v="Cali"/>
    <m/>
    <m/>
    <m/>
    <m/>
    <x v="0"/>
  </r>
  <r>
    <m/>
    <x v="1"/>
    <x v="23"/>
    <x v="23"/>
    <m/>
    <m/>
    <m/>
    <x v="1"/>
    <m/>
    <m/>
    <m/>
    <m/>
    <m/>
    <x v="0"/>
  </r>
  <r>
    <d v="2021-05-17T00:00:00"/>
    <x v="5"/>
    <x v="48"/>
    <x v="48"/>
    <n v="4276080"/>
    <n v="4276080"/>
    <n v="0"/>
    <x v="403"/>
    <s v="Cali"/>
    <m/>
    <m/>
    <m/>
    <m/>
    <x v="0"/>
  </r>
  <r>
    <d v="2021-05-17T00:00:00"/>
    <x v="5"/>
    <x v="1"/>
    <x v="1"/>
    <n v="-4276080"/>
    <n v="0"/>
    <n v="4276080"/>
    <x v="403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32"/>
    <x v="32"/>
    <n v="-478000"/>
    <n v="0"/>
    <n v="478000"/>
    <x v="404"/>
    <s v="Cali"/>
    <m/>
    <m/>
    <m/>
    <m/>
    <x v="0"/>
  </r>
  <r>
    <d v="2021-05-31T00:00:00"/>
    <x v="5"/>
    <x v="33"/>
    <x v="33"/>
    <n v="0"/>
    <n v="0"/>
    <n v="0"/>
    <x v="404"/>
    <s v="Cali"/>
    <m/>
    <m/>
    <m/>
    <m/>
    <x v="0"/>
  </r>
  <r>
    <d v="2021-05-31T00:00:00"/>
    <x v="5"/>
    <x v="34"/>
    <x v="34"/>
    <n v="-3445504"/>
    <n v="0"/>
    <n v="3445504"/>
    <x v="404"/>
    <s v="Cali"/>
    <m/>
    <m/>
    <m/>
    <m/>
    <x v="0"/>
  </r>
  <r>
    <d v="2021-05-31T00:00:00"/>
    <x v="5"/>
    <x v="35"/>
    <x v="35"/>
    <n v="-2175000"/>
    <n v="0"/>
    <n v="2175000"/>
    <x v="404"/>
    <s v="Cali"/>
    <m/>
    <m/>
    <m/>
    <m/>
    <x v="0"/>
  </r>
  <r>
    <d v="2021-05-31T00:00:00"/>
    <x v="5"/>
    <x v="36"/>
    <x v="36"/>
    <n v="-4190600"/>
    <n v="0"/>
    <n v="4190600"/>
    <x v="404"/>
    <s v="Cali"/>
    <m/>
    <m/>
    <m/>
    <m/>
    <x v="0"/>
  </r>
  <r>
    <d v="2021-05-31T00:00:00"/>
    <x v="5"/>
    <x v="37"/>
    <x v="37"/>
    <n v="-6669213"/>
    <n v="0"/>
    <n v="6669213"/>
    <x v="404"/>
    <s v="Cali"/>
    <m/>
    <m/>
    <m/>
    <m/>
    <x v="0"/>
  </r>
  <r>
    <d v="2021-05-31T00:00:00"/>
    <x v="5"/>
    <x v="29"/>
    <x v="29"/>
    <n v="478000"/>
    <n v="478000"/>
    <n v="0"/>
    <x v="404"/>
    <s v="Cali"/>
    <m/>
    <m/>
    <m/>
    <m/>
    <x v="0"/>
  </r>
  <r>
    <d v="2021-05-31T00:00:00"/>
    <x v="5"/>
    <x v="27"/>
    <x v="27"/>
    <n v="3445504"/>
    <n v="3445504"/>
    <n v="0"/>
    <x v="404"/>
    <s v="Cali"/>
    <m/>
    <m/>
    <m/>
    <m/>
    <x v="0"/>
  </r>
  <r>
    <d v="2021-05-31T00:00:00"/>
    <x v="5"/>
    <x v="25"/>
    <x v="25"/>
    <n v="2175000"/>
    <n v="2175000"/>
    <n v="0"/>
    <x v="404"/>
    <s v="Cali"/>
    <m/>
    <m/>
    <m/>
    <m/>
    <x v="0"/>
  </r>
  <r>
    <d v="2021-05-31T00:00:00"/>
    <x v="5"/>
    <x v="5"/>
    <x v="5"/>
    <n v="10859813"/>
    <n v="10859813"/>
    <n v="0"/>
    <x v="404"/>
    <s v="Cali"/>
    <m/>
    <m/>
    <m/>
    <m/>
    <x v="0"/>
  </r>
  <r>
    <d v="2021-05-31T00:00:00"/>
    <x v="5"/>
    <x v="15"/>
    <x v="15"/>
    <n v="-4241404"/>
    <n v="0"/>
    <n v="4241404"/>
    <x v="404"/>
    <s v="Cali"/>
    <m/>
    <m/>
    <m/>
    <m/>
    <x v="0"/>
  </r>
  <r>
    <d v="2021-05-31T00:00:00"/>
    <x v="5"/>
    <x v="38"/>
    <x v="38"/>
    <n v="4241404"/>
    <n v="4241404"/>
    <n v="0"/>
    <x v="404"/>
    <s v="Cali"/>
    <m/>
    <m/>
    <m/>
    <m/>
    <x v="0"/>
  </r>
  <r>
    <d v="2021-05-31T00:00:00"/>
    <x v="5"/>
    <x v="16"/>
    <x v="16"/>
    <n v="-57360"/>
    <n v="0"/>
    <n v="57360"/>
    <x v="404"/>
    <s v="Cali"/>
    <m/>
    <m/>
    <m/>
    <m/>
    <x v="0"/>
  </r>
  <r>
    <d v="2021-05-31T00:00:00"/>
    <x v="5"/>
    <x v="14"/>
    <x v="14"/>
    <n v="-169583"/>
    <n v="0"/>
    <n v="169583"/>
    <x v="404"/>
    <s v="Cali"/>
    <m/>
    <m/>
    <m/>
    <m/>
    <x v="0"/>
  </r>
  <r>
    <d v="2021-05-31T00:00:00"/>
    <x v="5"/>
    <x v="39"/>
    <x v="39"/>
    <n v="57360"/>
    <n v="57360"/>
    <n v="0"/>
    <x v="404"/>
    <s v="Cali"/>
    <m/>
    <m/>
    <m/>
    <m/>
    <x v="0"/>
  </r>
  <r>
    <d v="2021-05-31T00:00:00"/>
    <x v="5"/>
    <x v="40"/>
    <x v="40"/>
    <n v="169583"/>
    <n v="169583"/>
    <n v="0"/>
    <x v="404"/>
    <s v="Cali"/>
    <m/>
    <m/>
    <m/>
    <m/>
    <x v="0"/>
  </r>
  <r>
    <d v="2021-05-31T00:00:00"/>
    <x v="5"/>
    <x v="41"/>
    <x v="41"/>
    <n v="-6088671"/>
    <n v="0"/>
    <n v="6088671"/>
    <x v="404"/>
    <s v="Cali"/>
    <m/>
    <m/>
    <m/>
    <m/>
    <x v="0"/>
  </r>
  <r>
    <d v="2021-05-31T00:00:00"/>
    <x v="5"/>
    <x v="42"/>
    <x v="42"/>
    <n v="-2010500"/>
    <n v="0"/>
    <n v="2010500"/>
    <x v="404"/>
    <s v="Cali"/>
    <m/>
    <m/>
    <m/>
    <m/>
    <x v="0"/>
  </r>
  <r>
    <d v="2021-05-31T00:00:00"/>
    <x v="5"/>
    <x v="43"/>
    <x v="43"/>
    <n v="416188"/>
    <n v="416188"/>
    <n v="0"/>
    <x v="404"/>
    <s v="Cali"/>
    <m/>
    <m/>
    <m/>
    <m/>
    <x v="0"/>
  </r>
  <r>
    <d v="2021-05-31T00:00:00"/>
    <x v="5"/>
    <x v="43"/>
    <x v="43"/>
    <n v="50263"/>
    <n v="50263"/>
    <n v="0"/>
    <x v="404"/>
    <s v="Cali"/>
    <m/>
    <m/>
    <m/>
    <m/>
    <x v="0"/>
  </r>
  <r>
    <d v="2021-05-31T00:00:00"/>
    <x v="5"/>
    <x v="38"/>
    <x v="38"/>
    <n v="3398637"/>
    <n v="3398637"/>
    <n v="0"/>
    <x v="404"/>
    <s v="Cali"/>
    <m/>
    <m/>
    <m/>
    <m/>
    <x v="0"/>
  </r>
  <r>
    <d v="2021-05-31T00:00:00"/>
    <x v="5"/>
    <x v="40"/>
    <x v="40"/>
    <n v="60887"/>
    <n v="60887"/>
    <n v="0"/>
    <x v="404"/>
    <s v="Cali"/>
    <m/>
    <m/>
    <m/>
    <m/>
    <x v="0"/>
  </r>
  <r>
    <d v="2021-05-31T00:00:00"/>
    <x v="5"/>
    <x v="40"/>
    <x v="40"/>
    <n v="20105"/>
    <n v="20105"/>
    <n v="0"/>
    <x v="404"/>
    <s v="Cali"/>
    <m/>
    <m/>
    <m/>
    <m/>
    <x v="0"/>
  </r>
  <r>
    <d v="2021-05-31T00:00:00"/>
    <x v="5"/>
    <x v="44"/>
    <x v="44"/>
    <n v="2212959"/>
    <n v="2212959"/>
    <n v="0"/>
    <x v="404"/>
    <s v="Cali"/>
    <m/>
    <m/>
    <m/>
    <m/>
    <x v="0"/>
  </r>
  <r>
    <d v="2021-05-31T00:00:00"/>
    <x v="5"/>
    <x v="45"/>
    <x v="45"/>
    <n v="1940132"/>
    <n v="1940132"/>
    <n v="0"/>
    <x v="404"/>
    <s v="Cali"/>
    <m/>
    <m/>
    <m/>
    <m/>
    <x v="0"/>
  </r>
  <r>
    <d v="2021-05-31T00:00:00"/>
    <x v="5"/>
    <x v="5"/>
    <x v="5"/>
    <n v="-129232"/>
    <n v="0"/>
    <n v="129232"/>
    <x v="404"/>
    <s v="Cali"/>
    <m/>
    <m/>
    <m/>
    <m/>
    <x v="0"/>
  </r>
  <r>
    <d v="2021-05-31T00:00:00"/>
    <x v="5"/>
    <x v="30"/>
    <x v="30"/>
    <n v="129232"/>
    <n v="129232"/>
    <n v="0"/>
    <x v="404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13"/>
    <x v="13"/>
    <n v="30000"/>
    <n v="30000"/>
    <n v="0"/>
    <x v="405"/>
    <m/>
    <m/>
    <m/>
    <m/>
    <m/>
    <x v="0"/>
  </r>
  <r>
    <d v="2021-05-31T00:00:00"/>
    <x v="5"/>
    <x v="13"/>
    <x v="13"/>
    <n v="20000"/>
    <n v="20000"/>
    <n v="0"/>
    <x v="299"/>
    <m/>
    <m/>
    <m/>
    <m/>
    <m/>
    <x v="0"/>
  </r>
  <r>
    <d v="2021-05-31T00:00:00"/>
    <x v="5"/>
    <x v="13"/>
    <x v="13"/>
    <n v="40000"/>
    <n v="40000"/>
    <n v="0"/>
    <x v="356"/>
    <m/>
    <m/>
    <m/>
    <m/>
    <m/>
    <x v="0"/>
  </r>
  <r>
    <d v="2021-05-31T00:00:00"/>
    <x v="5"/>
    <x v="13"/>
    <x v="13"/>
    <n v="50000"/>
    <n v="50000"/>
    <n v="0"/>
    <x v="357"/>
    <m/>
    <m/>
    <m/>
    <m/>
    <m/>
    <x v="0"/>
  </r>
  <r>
    <d v="2021-05-31T00:00:00"/>
    <x v="5"/>
    <x v="13"/>
    <x v="13"/>
    <n v="100000"/>
    <n v="100000"/>
    <n v="0"/>
    <x v="220"/>
    <m/>
    <m/>
    <m/>
    <m/>
    <m/>
    <x v="0"/>
  </r>
  <r>
    <d v="2021-05-31T00:00:00"/>
    <x v="5"/>
    <x v="13"/>
    <x v="13"/>
    <n v="53000"/>
    <n v="53000"/>
    <n v="0"/>
    <x v="221"/>
    <m/>
    <m/>
    <m/>
    <m/>
    <m/>
    <x v="0"/>
  </r>
  <r>
    <d v="2021-05-31T00:00:00"/>
    <x v="5"/>
    <x v="13"/>
    <x v="13"/>
    <n v="15000"/>
    <n v="15000"/>
    <n v="0"/>
    <x v="301"/>
    <m/>
    <m/>
    <m/>
    <m/>
    <m/>
    <x v="0"/>
  </r>
  <r>
    <d v="2021-05-31T00:00:00"/>
    <x v="5"/>
    <x v="13"/>
    <x v="13"/>
    <n v="30000"/>
    <n v="30000"/>
    <n v="0"/>
    <x v="360"/>
    <m/>
    <m/>
    <m/>
    <m/>
    <m/>
    <x v="0"/>
  </r>
  <r>
    <d v="2021-05-31T00:00:00"/>
    <x v="5"/>
    <x v="13"/>
    <x v="13"/>
    <n v="250000"/>
    <n v="250000"/>
    <n v="0"/>
    <x v="303"/>
    <m/>
    <m/>
    <m/>
    <m/>
    <m/>
    <x v="0"/>
  </r>
  <r>
    <d v="2021-05-31T00:00:00"/>
    <x v="5"/>
    <x v="13"/>
    <x v="13"/>
    <n v="30000"/>
    <n v="30000"/>
    <n v="0"/>
    <x v="304"/>
    <m/>
    <m/>
    <m/>
    <m/>
    <m/>
    <x v="0"/>
  </r>
  <r>
    <d v="2021-05-31T00:00:00"/>
    <x v="5"/>
    <x v="13"/>
    <x v="13"/>
    <n v="20000"/>
    <n v="20000"/>
    <n v="0"/>
    <x v="406"/>
    <m/>
    <m/>
    <m/>
    <m/>
    <m/>
    <x v="0"/>
  </r>
  <r>
    <d v="2021-05-31T00:00:00"/>
    <x v="5"/>
    <x v="13"/>
    <x v="13"/>
    <n v="50000"/>
    <n v="50000"/>
    <n v="0"/>
    <x v="407"/>
    <m/>
    <m/>
    <m/>
    <m/>
    <m/>
    <x v="0"/>
  </r>
  <r>
    <d v="2021-05-31T00:00:00"/>
    <x v="5"/>
    <x v="13"/>
    <x v="13"/>
    <n v="200000"/>
    <n v="200000"/>
    <n v="0"/>
    <x v="408"/>
    <m/>
    <m/>
    <m/>
    <m/>
    <m/>
    <x v="0"/>
  </r>
  <r>
    <d v="2021-05-31T00:00:00"/>
    <x v="5"/>
    <x v="13"/>
    <x v="13"/>
    <n v="10000"/>
    <n v="10000"/>
    <n v="0"/>
    <x v="409"/>
    <m/>
    <m/>
    <m/>
    <m/>
    <m/>
    <x v="0"/>
  </r>
  <r>
    <d v="2021-05-31T00:00:00"/>
    <x v="5"/>
    <x v="13"/>
    <x v="13"/>
    <n v="250000"/>
    <n v="250000"/>
    <n v="0"/>
    <x v="410"/>
    <m/>
    <m/>
    <m/>
    <m/>
    <m/>
    <x v="0"/>
  </r>
  <r>
    <d v="2021-05-31T00:00:00"/>
    <x v="5"/>
    <x v="13"/>
    <x v="13"/>
    <n v="20000"/>
    <n v="20000"/>
    <n v="0"/>
    <x v="411"/>
    <m/>
    <m/>
    <m/>
    <m/>
    <m/>
    <x v="0"/>
  </r>
  <r>
    <d v="2021-05-31T00:00:00"/>
    <x v="5"/>
    <x v="26"/>
    <x v="26"/>
    <n v="-30000"/>
    <n v="0"/>
    <n v="30000"/>
    <x v="405"/>
    <m/>
    <m/>
    <m/>
    <m/>
    <m/>
    <x v="0"/>
  </r>
  <r>
    <d v="2021-05-31T00:00:00"/>
    <x v="5"/>
    <x v="26"/>
    <x v="26"/>
    <n v="-20000"/>
    <n v="0"/>
    <n v="20000"/>
    <x v="299"/>
    <m/>
    <m/>
    <m/>
    <m/>
    <m/>
    <x v="0"/>
  </r>
  <r>
    <d v="2021-05-31T00:00:00"/>
    <x v="5"/>
    <x v="25"/>
    <x v="25"/>
    <n v="-40000"/>
    <n v="0"/>
    <n v="40000"/>
    <x v="356"/>
    <m/>
    <m/>
    <m/>
    <m/>
    <m/>
    <x v="0"/>
  </r>
  <r>
    <d v="2021-05-31T00:00:00"/>
    <x v="5"/>
    <x v="26"/>
    <x v="26"/>
    <n v="-50000"/>
    <n v="0"/>
    <n v="50000"/>
    <x v="357"/>
    <m/>
    <m/>
    <m/>
    <m/>
    <m/>
    <x v="0"/>
  </r>
  <r>
    <d v="2021-05-31T00:00:00"/>
    <x v="5"/>
    <x v="25"/>
    <x v="25"/>
    <n v="-100000"/>
    <n v="0"/>
    <n v="100000"/>
    <x v="220"/>
    <m/>
    <m/>
    <m/>
    <m/>
    <m/>
    <x v="0"/>
  </r>
  <r>
    <d v="2021-05-31T00:00:00"/>
    <x v="5"/>
    <x v="25"/>
    <x v="25"/>
    <n v="-53000"/>
    <n v="0"/>
    <n v="53000"/>
    <x v="221"/>
    <m/>
    <m/>
    <m/>
    <m/>
    <m/>
    <x v="0"/>
  </r>
  <r>
    <d v="2021-05-31T00:00:00"/>
    <x v="5"/>
    <x v="25"/>
    <x v="25"/>
    <n v="-15000"/>
    <n v="0"/>
    <n v="15000"/>
    <x v="301"/>
    <m/>
    <m/>
    <m/>
    <m/>
    <m/>
    <x v="0"/>
  </r>
  <r>
    <d v="2021-05-31T00:00:00"/>
    <x v="5"/>
    <x v="26"/>
    <x v="26"/>
    <n v="-30000"/>
    <n v="0"/>
    <n v="30000"/>
    <x v="360"/>
    <m/>
    <m/>
    <m/>
    <m/>
    <m/>
    <x v="0"/>
  </r>
  <r>
    <d v="2021-05-31T00:00:00"/>
    <x v="5"/>
    <x v="26"/>
    <x v="26"/>
    <n v="-250000"/>
    <n v="0"/>
    <n v="250000"/>
    <x v="303"/>
    <m/>
    <m/>
    <m/>
    <m/>
    <m/>
    <x v="0"/>
  </r>
  <r>
    <d v="2021-05-31T00:00:00"/>
    <x v="5"/>
    <x v="25"/>
    <x v="25"/>
    <n v="-30000"/>
    <n v="0"/>
    <n v="30000"/>
    <x v="304"/>
    <m/>
    <m/>
    <m/>
    <m/>
    <m/>
    <x v="0"/>
  </r>
  <r>
    <d v="2021-05-31T00:00:00"/>
    <x v="5"/>
    <x v="26"/>
    <x v="26"/>
    <n v="-20000"/>
    <n v="0"/>
    <n v="20000"/>
    <x v="406"/>
    <m/>
    <m/>
    <m/>
    <m/>
    <m/>
    <x v="0"/>
  </r>
  <r>
    <d v="2021-05-31T00:00:00"/>
    <x v="5"/>
    <x v="25"/>
    <x v="25"/>
    <n v="-50000"/>
    <n v="0"/>
    <n v="50000"/>
    <x v="407"/>
    <m/>
    <m/>
    <m/>
    <m/>
    <m/>
    <x v="0"/>
  </r>
  <r>
    <d v="2021-05-31T00:00:00"/>
    <x v="5"/>
    <x v="27"/>
    <x v="27"/>
    <n v="-200000"/>
    <n v="0"/>
    <n v="200000"/>
    <x v="408"/>
    <m/>
    <m/>
    <m/>
    <m/>
    <m/>
    <x v="0"/>
  </r>
  <r>
    <d v="2021-05-31T00:00:00"/>
    <x v="5"/>
    <x v="25"/>
    <x v="25"/>
    <n v="-10000"/>
    <n v="0"/>
    <n v="10000"/>
    <x v="409"/>
    <m/>
    <m/>
    <m/>
    <m/>
    <m/>
    <x v="0"/>
  </r>
  <r>
    <d v="2021-05-31T00:00:00"/>
    <x v="5"/>
    <x v="25"/>
    <x v="25"/>
    <n v="-250000"/>
    <n v="0"/>
    <n v="250000"/>
    <x v="410"/>
    <m/>
    <m/>
    <m/>
    <m/>
    <m/>
    <x v="0"/>
  </r>
  <r>
    <d v="2021-05-31T00:00:00"/>
    <x v="5"/>
    <x v="27"/>
    <x v="27"/>
    <n v="-20000"/>
    <n v="0"/>
    <n v="20000"/>
    <x v="411"/>
    <m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46"/>
    <x v="46"/>
    <n v="0"/>
    <n v="0"/>
    <n v="0"/>
    <x v="110"/>
    <s v="Cali"/>
    <m/>
    <m/>
    <m/>
    <m/>
    <x v="0"/>
  </r>
  <r>
    <d v="2021-05-31T00:00:00"/>
    <x v="5"/>
    <x v="47"/>
    <x v="47"/>
    <n v="0"/>
    <n v="0"/>
    <n v="0"/>
    <x v="110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2"/>
    <x v="2"/>
    <n v="520586"/>
    <n v="520586"/>
    <n v="0"/>
    <x v="111"/>
    <s v="Cali"/>
    <m/>
    <m/>
    <m/>
    <m/>
    <x v="0"/>
  </r>
  <r>
    <d v="2021-05-31T00:00:00"/>
    <x v="5"/>
    <x v="47"/>
    <x v="47"/>
    <n v="-520586"/>
    <n v="0"/>
    <n v="520586"/>
    <x v="111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3"/>
    <x v="3"/>
    <n v="555"/>
    <n v="555"/>
    <n v="0"/>
    <x v="112"/>
    <s v="Cali"/>
    <m/>
    <m/>
    <m/>
    <m/>
    <x v="0"/>
  </r>
  <r>
    <d v="2021-05-31T00:00:00"/>
    <x v="5"/>
    <x v="47"/>
    <x v="47"/>
    <n v="-555"/>
    <n v="0"/>
    <n v="555"/>
    <x v="112"/>
    <s v="Cali"/>
    <m/>
    <m/>
    <m/>
    <m/>
    <x v="0"/>
  </r>
  <r>
    <m/>
    <x v="1"/>
    <x v="23"/>
    <x v="23"/>
    <m/>
    <m/>
    <m/>
    <x v="1"/>
    <m/>
    <m/>
    <m/>
    <m/>
    <m/>
    <x v="0"/>
  </r>
  <r>
    <d v="2021-05-31T00:00:00"/>
    <x v="5"/>
    <x v="53"/>
    <x v="53"/>
    <n v="12005"/>
    <n v="12005"/>
    <n v="0"/>
    <x v="305"/>
    <s v="Cali"/>
    <m/>
    <m/>
    <m/>
    <m/>
    <x v="0"/>
  </r>
  <r>
    <d v="2021-05-31T00:00:00"/>
    <x v="5"/>
    <x v="47"/>
    <x v="47"/>
    <n v="-12005"/>
    <n v="0"/>
    <n v="12005"/>
    <x v="305"/>
    <s v="Cali"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60000"/>
    <n v="60000"/>
    <n v="0"/>
    <x v="160"/>
    <s v="Cali"/>
    <m/>
    <m/>
    <m/>
    <m/>
    <x v="0"/>
  </r>
  <r>
    <d v="2021-06-01T00:00:00"/>
    <x v="6"/>
    <x v="25"/>
    <x v="25"/>
    <n v="-60000"/>
    <n v="0"/>
    <n v="60000"/>
    <x v="160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15000"/>
    <n v="15000"/>
    <n v="0"/>
    <x v="137"/>
    <s v="Cali"/>
    <m/>
    <m/>
    <m/>
    <m/>
    <x v="0"/>
  </r>
  <r>
    <d v="2021-06-01T00:00:00"/>
    <x v="6"/>
    <x v="26"/>
    <x v="26"/>
    <n v="-15000"/>
    <n v="0"/>
    <n v="15000"/>
    <x v="137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10000"/>
    <n v="10000"/>
    <n v="0"/>
    <x v="142"/>
    <s v="Cali"/>
    <m/>
    <m/>
    <m/>
    <m/>
    <x v="0"/>
  </r>
  <r>
    <d v="2021-06-01T00:00:00"/>
    <x v="6"/>
    <x v="25"/>
    <x v="25"/>
    <n v="-10000"/>
    <n v="0"/>
    <n v="10000"/>
    <x v="142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50000"/>
    <n v="50000"/>
    <n v="0"/>
    <x v="143"/>
    <s v="Cali"/>
    <m/>
    <m/>
    <m/>
    <m/>
    <x v="0"/>
  </r>
  <r>
    <d v="2021-06-01T00:00:00"/>
    <x v="6"/>
    <x v="25"/>
    <x v="25"/>
    <n v="-50000"/>
    <n v="0"/>
    <n v="50000"/>
    <x v="143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48000"/>
    <n v="48000"/>
    <n v="0"/>
    <x v="144"/>
    <s v="Cali"/>
    <m/>
    <m/>
    <m/>
    <m/>
    <x v="0"/>
  </r>
  <r>
    <d v="2021-06-01T00:00:00"/>
    <x v="6"/>
    <x v="27"/>
    <x v="27"/>
    <n v="-48000"/>
    <n v="0"/>
    <n v="48000"/>
    <x v="144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40000"/>
    <n v="40000"/>
    <n v="0"/>
    <x v="145"/>
    <s v="Cali"/>
    <m/>
    <m/>
    <m/>
    <m/>
    <x v="0"/>
  </r>
  <r>
    <d v="2021-06-01T00:00:00"/>
    <x v="6"/>
    <x v="25"/>
    <x v="25"/>
    <n v="-40000"/>
    <n v="0"/>
    <n v="40000"/>
    <x v="145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30000"/>
    <n v="30000"/>
    <n v="0"/>
    <x v="147"/>
    <s v="Cali"/>
    <m/>
    <m/>
    <m/>
    <m/>
    <x v="0"/>
  </r>
  <r>
    <d v="2021-06-01T00:00:00"/>
    <x v="6"/>
    <x v="26"/>
    <x v="26"/>
    <n v="-30000"/>
    <n v="0"/>
    <n v="30000"/>
    <x v="147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20000"/>
    <n v="20000"/>
    <n v="0"/>
    <x v="146"/>
    <s v="Cali"/>
    <m/>
    <m/>
    <m/>
    <m/>
    <x v="0"/>
  </r>
  <r>
    <d v="2021-06-01T00:00:00"/>
    <x v="6"/>
    <x v="26"/>
    <x v="26"/>
    <n v="-20000"/>
    <n v="0"/>
    <n v="20000"/>
    <x v="146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50000"/>
    <n v="50000"/>
    <n v="0"/>
    <x v="19"/>
    <s v="Cali"/>
    <m/>
    <m/>
    <m/>
    <m/>
    <x v="0"/>
  </r>
  <r>
    <d v="2021-06-01T00:00:00"/>
    <x v="6"/>
    <x v="25"/>
    <x v="25"/>
    <n v="-50000"/>
    <n v="0"/>
    <n v="50000"/>
    <x v="19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40000"/>
    <n v="40000"/>
    <n v="0"/>
    <x v="168"/>
    <s v="Cali"/>
    <m/>
    <m/>
    <m/>
    <m/>
    <x v="0"/>
  </r>
  <r>
    <d v="2021-06-01T00:00:00"/>
    <x v="6"/>
    <x v="26"/>
    <x v="26"/>
    <n v="-40000"/>
    <n v="0"/>
    <n v="40000"/>
    <x v="168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15000"/>
    <n v="15000"/>
    <n v="0"/>
    <x v="364"/>
    <s v="Cali"/>
    <m/>
    <m/>
    <m/>
    <m/>
    <x v="0"/>
  </r>
  <r>
    <d v="2021-06-01T00:00:00"/>
    <x v="6"/>
    <x v="25"/>
    <x v="25"/>
    <n v="-15000"/>
    <n v="0"/>
    <n v="15000"/>
    <x v="364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20000"/>
    <n v="20000"/>
    <n v="0"/>
    <x v="17"/>
    <s v="Cali"/>
    <m/>
    <m/>
    <m/>
    <m/>
    <x v="0"/>
  </r>
  <r>
    <d v="2021-06-01T00:00:00"/>
    <x v="6"/>
    <x v="25"/>
    <x v="25"/>
    <n v="-20000"/>
    <n v="0"/>
    <n v="20000"/>
    <x v="17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15000"/>
    <n v="15000"/>
    <n v="0"/>
    <x v="148"/>
    <s v="Cali"/>
    <m/>
    <m/>
    <m/>
    <m/>
    <x v="0"/>
  </r>
  <r>
    <d v="2021-06-01T00:00:00"/>
    <x v="6"/>
    <x v="25"/>
    <x v="25"/>
    <n v="-15000"/>
    <n v="0"/>
    <n v="15000"/>
    <x v="148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30000"/>
    <n v="30000"/>
    <n v="0"/>
    <x v="239"/>
    <s v="Cali"/>
    <m/>
    <m/>
    <m/>
    <m/>
    <x v="0"/>
  </r>
  <r>
    <d v="2021-06-01T00:00:00"/>
    <x v="6"/>
    <x v="27"/>
    <x v="27"/>
    <n v="-30000"/>
    <n v="0"/>
    <n v="30000"/>
    <x v="239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80000"/>
    <n v="80000"/>
    <n v="0"/>
    <x v="22"/>
    <s v="Cali"/>
    <m/>
    <m/>
    <m/>
    <m/>
    <x v="0"/>
  </r>
  <r>
    <d v="2021-06-01T00:00:00"/>
    <x v="6"/>
    <x v="27"/>
    <x v="27"/>
    <n v="-80000"/>
    <n v="0"/>
    <n v="80000"/>
    <x v="22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0"/>
    <x v="0"/>
    <n v="30000"/>
    <n v="30000"/>
    <n v="0"/>
    <x v="307"/>
    <s v="Cali"/>
    <m/>
    <m/>
    <m/>
    <m/>
    <x v="0"/>
  </r>
  <r>
    <d v="2021-06-01T00:00:00"/>
    <x v="6"/>
    <x v="25"/>
    <x v="25"/>
    <n v="-30000"/>
    <n v="0"/>
    <n v="30000"/>
    <x v="307"/>
    <s v="Cali"/>
    <m/>
    <m/>
    <m/>
    <m/>
    <x v="0"/>
  </r>
  <r>
    <m/>
    <x v="1"/>
    <x v="23"/>
    <x v="23"/>
    <m/>
    <m/>
    <m/>
    <x v="1"/>
    <m/>
    <m/>
    <m/>
    <m/>
    <m/>
    <x v="0"/>
  </r>
  <r>
    <d v="2021-06-02T00:00:00"/>
    <x v="6"/>
    <x v="0"/>
    <x v="0"/>
    <n v="60000"/>
    <n v="60000"/>
    <n v="0"/>
    <x v="213"/>
    <s v="Cali"/>
    <m/>
    <m/>
    <m/>
    <m/>
    <x v="0"/>
  </r>
  <r>
    <d v="2021-06-02T00:00:00"/>
    <x v="6"/>
    <x v="29"/>
    <x v="29"/>
    <n v="-60000"/>
    <n v="0"/>
    <n v="60000"/>
    <x v="213"/>
    <s v="Cali"/>
    <m/>
    <m/>
    <m/>
    <m/>
    <x v="0"/>
  </r>
  <r>
    <m/>
    <x v="1"/>
    <x v="23"/>
    <x v="23"/>
    <m/>
    <m/>
    <m/>
    <x v="1"/>
    <m/>
    <m/>
    <m/>
    <m/>
    <m/>
    <x v="0"/>
  </r>
  <r>
    <d v="2021-06-02T00:00:00"/>
    <x v="6"/>
    <x v="0"/>
    <x v="0"/>
    <n v="10000"/>
    <n v="10000"/>
    <n v="0"/>
    <x v="199"/>
    <s v="Cali"/>
    <m/>
    <m/>
    <m/>
    <m/>
    <x v="0"/>
  </r>
  <r>
    <d v="2021-06-02T00:00:00"/>
    <x v="6"/>
    <x v="27"/>
    <x v="27"/>
    <n v="-10000"/>
    <n v="0"/>
    <n v="10000"/>
    <x v="199"/>
    <s v="Cali"/>
    <m/>
    <m/>
    <m/>
    <m/>
    <x v="0"/>
  </r>
  <r>
    <m/>
    <x v="1"/>
    <x v="23"/>
    <x v="23"/>
    <m/>
    <m/>
    <m/>
    <x v="1"/>
    <m/>
    <m/>
    <m/>
    <m/>
    <m/>
    <x v="0"/>
  </r>
  <r>
    <d v="2021-06-02T00:00:00"/>
    <x v="6"/>
    <x v="0"/>
    <x v="0"/>
    <n v="20000"/>
    <n v="20000"/>
    <n v="0"/>
    <x v="165"/>
    <s v="Cali"/>
    <m/>
    <m/>
    <m/>
    <m/>
    <x v="0"/>
  </r>
  <r>
    <d v="2021-06-02T00:00:00"/>
    <x v="6"/>
    <x v="25"/>
    <x v="25"/>
    <n v="-20000"/>
    <n v="0"/>
    <n v="20000"/>
    <x v="165"/>
    <s v="Cali"/>
    <m/>
    <m/>
    <m/>
    <m/>
    <x v="0"/>
  </r>
  <r>
    <m/>
    <x v="1"/>
    <x v="23"/>
    <x v="23"/>
    <m/>
    <m/>
    <m/>
    <x v="1"/>
    <m/>
    <m/>
    <m/>
    <m/>
    <m/>
    <x v="0"/>
  </r>
  <r>
    <d v="2021-06-02T00:00:00"/>
    <x v="6"/>
    <x v="0"/>
    <x v="0"/>
    <n v="20000"/>
    <n v="20000"/>
    <n v="0"/>
    <x v="174"/>
    <s v="Cali"/>
    <m/>
    <m/>
    <m/>
    <m/>
    <x v="0"/>
  </r>
  <r>
    <d v="2021-06-02T00:00:00"/>
    <x v="6"/>
    <x v="25"/>
    <x v="25"/>
    <n v="-20000"/>
    <n v="0"/>
    <n v="20000"/>
    <x v="174"/>
    <s v="Cali"/>
    <m/>
    <m/>
    <m/>
    <m/>
    <x v="0"/>
  </r>
  <r>
    <m/>
    <x v="1"/>
    <x v="23"/>
    <x v="23"/>
    <m/>
    <m/>
    <m/>
    <x v="1"/>
    <m/>
    <m/>
    <m/>
    <m/>
    <m/>
    <x v="0"/>
  </r>
  <r>
    <d v="2021-06-02T00:00:00"/>
    <x v="6"/>
    <x v="0"/>
    <x v="0"/>
    <n v="10000"/>
    <n v="10000"/>
    <n v="0"/>
    <x v="308"/>
    <s v="Cali"/>
    <m/>
    <m/>
    <m/>
    <m/>
    <x v="0"/>
  </r>
  <r>
    <d v="2021-06-02T00:00:00"/>
    <x v="6"/>
    <x v="25"/>
    <x v="25"/>
    <n v="-10000"/>
    <n v="0"/>
    <n v="10000"/>
    <x v="308"/>
    <s v="Cali"/>
    <m/>
    <m/>
    <m/>
    <m/>
    <x v="0"/>
  </r>
  <r>
    <m/>
    <x v="1"/>
    <x v="23"/>
    <x v="23"/>
    <m/>
    <m/>
    <m/>
    <x v="1"/>
    <m/>
    <m/>
    <m/>
    <m/>
    <m/>
    <x v="0"/>
  </r>
  <r>
    <d v="2021-06-02T00:00:00"/>
    <x v="6"/>
    <x v="0"/>
    <x v="0"/>
    <n v="40000"/>
    <n v="40000"/>
    <n v="0"/>
    <x v="157"/>
    <s v="Cali"/>
    <m/>
    <m/>
    <m/>
    <m/>
    <x v="0"/>
  </r>
  <r>
    <d v="2021-06-02T00:00:00"/>
    <x v="6"/>
    <x v="27"/>
    <x v="27"/>
    <n v="-40000"/>
    <n v="0"/>
    <n v="40000"/>
    <x v="157"/>
    <s v="Cali"/>
    <m/>
    <m/>
    <m/>
    <m/>
    <x v="0"/>
  </r>
  <r>
    <m/>
    <x v="1"/>
    <x v="23"/>
    <x v="23"/>
    <m/>
    <m/>
    <m/>
    <x v="1"/>
    <m/>
    <m/>
    <m/>
    <m/>
    <m/>
    <x v="0"/>
  </r>
  <r>
    <d v="2021-06-02T00:00:00"/>
    <x v="6"/>
    <x v="0"/>
    <x v="0"/>
    <n v="10000"/>
    <n v="10000"/>
    <n v="0"/>
    <x v="412"/>
    <s v="Cali"/>
    <m/>
    <m/>
    <m/>
    <m/>
    <x v="0"/>
  </r>
  <r>
    <d v="2021-06-02T00:00:00"/>
    <x v="6"/>
    <x v="25"/>
    <x v="25"/>
    <n v="-10000"/>
    <n v="0"/>
    <n v="10000"/>
    <x v="412"/>
    <s v="Cali"/>
    <m/>
    <m/>
    <m/>
    <m/>
    <x v="0"/>
  </r>
  <r>
    <m/>
    <x v="1"/>
    <x v="23"/>
    <x v="23"/>
    <m/>
    <m/>
    <m/>
    <x v="1"/>
    <m/>
    <m/>
    <m/>
    <m/>
    <m/>
    <x v="0"/>
  </r>
  <r>
    <d v="2021-06-02T00:00:00"/>
    <x v="6"/>
    <x v="0"/>
    <x v="0"/>
    <n v="100000"/>
    <n v="100000"/>
    <n v="0"/>
    <x v="273"/>
    <s v="Cali"/>
    <m/>
    <m/>
    <m/>
    <m/>
    <x v="0"/>
  </r>
  <r>
    <d v="2021-06-02T00:00:00"/>
    <x v="6"/>
    <x v="26"/>
    <x v="26"/>
    <n v="-100000"/>
    <n v="0"/>
    <n v="100000"/>
    <x v="273"/>
    <s v="Cali"/>
    <m/>
    <m/>
    <m/>
    <m/>
    <x v="0"/>
  </r>
  <r>
    <m/>
    <x v="1"/>
    <x v="23"/>
    <x v="23"/>
    <m/>
    <m/>
    <m/>
    <x v="1"/>
    <m/>
    <m/>
    <m/>
    <m/>
    <m/>
    <x v="0"/>
  </r>
  <r>
    <d v="2021-06-02T00:00:00"/>
    <x v="6"/>
    <x v="0"/>
    <x v="0"/>
    <n v="45000"/>
    <n v="45000"/>
    <n v="0"/>
    <x v="161"/>
    <s v="Cali"/>
    <m/>
    <m/>
    <m/>
    <m/>
    <x v="0"/>
  </r>
  <r>
    <d v="2021-06-02T00:00:00"/>
    <x v="6"/>
    <x v="26"/>
    <x v="26"/>
    <n v="-45000"/>
    <n v="0"/>
    <n v="45000"/>
    <x v="161"/>
    <s v="Cali"/>
    <m/>
    <m/>
    <m/>
    <m/>
    <x v="0"/>
  </r>
  <r>
    <m/>
    <x v="1"/>
    <x v="23"/>
    <x v="23"/>
    <m/>
    <m/>
    <m/>
    <x v="1"/>
    <m/>
    <m/>
    <m/>
    <m/>
    <m/>
    <x v="0"/>
  </r>
  <r>
    <d v="2021-06-02T00:00:00"/>
    <x v="6"/>
    <x v="0"/>
    <x v="0"/>
    <n v="25000"/>
    <n v="25000"/>
    <n v="0"/>
    <x v="158"/>
    <s v="Cali"/>
    <m/>
    <m/>
    <m/>
    <m/>
    <x v="0"/>
  </r>
  <r>
    <d v="2021-06-02T00:00:00"/>
    <x v="6"/>
    <x v="25"/>
    <x v="25"/>
    <n v="-25000"/>
    <n v="0"/>
    <n v="25000"/>
    <x v="158"/>
    <s v="Cali"/>
    <m/>
    <m/>
    <m/>
    <m/>
    <x v="0"/>
  </r>
  <r>
    <m/>
    <x v="1"/>
    <x v="23"/>
    <x v="23"/>
    <m/>
    <m/>
    <m/>
    <x v="1"/>
    <m/>
    <m/>
    <m/>
    <m/>
    <m/>
    <x v="0"/>
  </r>
  <r>
    <d v="2021-06-02T00:00:00"/>
    <x v="6"/>
    <x v="0"/>
    <x v="0"/>
    <n v="20000"/>
    <n v="20000"/>
    <n v="0"/>
    <x v="246"/>
    <s v="Cali"/>
    <m/>
    <m/>
    <m/>
    <m/>
    <x v="0"/>
  </r>
  <r>
    <d v="2021-06-02T00:00:00"/>
    <x v="6"/>
    <x v="25"/>
    <x v="25"/>
    <n v="-20000"/>
    <n v="0"/>
    <n v="20000"/>
    <x v="246"/>
    <s v="Cali"/>
    <m/>
    <m/>
    <m/>
    <m/>
    <x v="0"/>
  </r>
  <r>
    <m/>
    <x v="1"/>
    <x v="23"/>
    <x v="23"/>
    <m/>
    <m/>
    <m/>
    <x v="1"/>
    <m/>
    <m/>
    <m/>
    <m/>
    <m/>
    <x v="0"/>
  </r>
  <r>
    <d v="2021-06-02T00:00:00"/>
    <x v="6"/>
    <x v="0"/>
    <x v="0"/>
    <n v="100000"/>
    <n v="100000"/>
    <n v="0"/>
    <x v="257"/>
    <s v="Cali"/>
    <m/>
    <m/>
    <m/>
    <m/>
    <x v="0"/>
  </r>
  <r>
    <d v="2021-06-02T00:00:00"/>
    <x v="6"/>
    <x v="26"/>
    <x v="26"/>
    <n v="-100000"/>
    <n v="0"/>
    <n v="100000"/>
    <x v="257"/>
    <s v="Cali"/>
    <m/>
    <m/>
    <m/>
    <m/>
    <x v="0"/>
  </r>
  <r>
    <m/>
    <x v="1"/>
    <x v="23"/>
    <x v="23"/>
    <m/>
    <m/>
    <m/>
    <x v="1"/>
    <m/>
    <m/>
    <m/>
    <m/>
    <m/>
    <x v="0"/>
  </r>
  <r>
    <d v="2021-06-02T00:00:00"/>
    <x v="6"/>
    <x v="0"/>
    <x v="0"/>
    <n v="10000"/>
    <n v="10000"/>
    <n v="0"/>
    <x v="166"/>
    <s v="Cali"/>
    <m/>
    <m/>
    <m/>
    <m/>
    <x v="0"/>
  </r>
  <r>
    <d v="2021-06-02T00:00:00"/>
    <x v="6"/>
    <x v="25"/>
    <x v="25"/>
    <n v="-10000"/>
    <n v="0"/>
    <n v="10000"/>
    <x v="166"/>
    <s v="Cali"/>
    <m/>
    <m/>
    <m/>
    <m/>
    <x v="0"/>
  </r>
  <r>
    <m/>
    <x v="1"/>
    <x v="23"/>
    <x v="23"/>
    <m/>
    <m/>
    <m/>
    <x v="1"/>
    <m/>
    <m/>
    <m/>
    <m/>
    <m/>
    <x v="0"/>
  </r>
  <r>
    <d v="2021-06-03T00:00:00"/>
    <x v="6"/>
    <x v="0"/>
    <x v="0"/>
    <n v="100000"/>
    <n v="100000"/>
    <n v="0"/>
    <x v="374"/>
    <s v="Cali"/>
    <m/>
    <m/>
    <m/>
    <m/>
    <x v="0"/>
  </r>
  <r>
    <d v="2021-06-03T00:00:00"/>
    <x v="6"/>
    <x v="26"/>
    <x v="26"/>
    <n v="-100000"/>
    <n v="0"/>
    <n v="100000"/>
    <x v="374"/>
    <s v="Cali"/>
    <m/>
    <m/>
    <m/>
    <m/>
    <x v="0"/>
  </r>
  <r>
    <m/>
    <x v="1"/>
    <x v="23"/>
    <x v="23"/>
    <m/>
    <m/>
    <m/>
    <x v="1"/>
    <m/>
    <m/>
    <m/>
    <m/>
    <m/>
    <x v="0"/>
  </r>
  <r>
    <d v="2021-06-03T00:00:00"/>
    <x v="6"/>
    <x v="0"/>
    <x v="0"/>
    <n v="3000000"/>
    <n v="3000000"/>
    <n v="0"/>
    <x v="413"/>
    <s v="Cali"/>
    <m/>
    <m/>
    <m/>
    <m/>
    <x v="0"/>
  </r>
  <r>
    <d v="2021-06-03T00:00:00"/>
    <x v="6"/>
    <x v="6"/>
    <x v="6"/>
    <n v="-3000000"/>
    <n v="0"/>
    <n v="3000000"/>
    <x v="413"/>
    <s v="Cali"/>
    <m/>
    <m/>
    <m/>
    <m/>
    <x v="0"/>
  </r>
  <r>
    <m/>
    <x v="1"/>
    <x v="23"/>
    <x v="23"/>
    <m/>
    <m/>
    <m/>
    <x v="1"/>
    <m/>
    <m/>
    <m/>
    <m/>
    <m/>
    <x v="0"/>
  </r>
  <r>
    <d v="2021-06-03T00:00:00"/>
    <x v="6"/>
    <x v="0"/>
    <x v="0"/>
    <n v="12000"/>
    <n v="12000"/>
    <n v="0"/>
    <x v="175"/>
    <s v="Cali"/>
    <m/>
    <m/>
    <m/>
    <m/>
    <x v="0"/>
  </r>
  <r>
    <d v="2021-06-03T00:00:00"/>
    <x v="6"/>
    <x v="25"/>
    <x v="25"/>
    <n v="-12000"/>
    <n v="0"/>
    <n v="12000"/>
    <x v="175"/>
    <s v="Cali"/>
    <m/>
    <m/>
    <m/>
    <m/>
    <x v="0"/>
  </r>
  <r>
    <m/>
    <x v="1"/>
    <x v="23"/>
    <x v="23"/>
    <m/>
    <m/>
    <m/>
    <x v="1"/>
    <m/>
    <m/>
    <m/>
    <m/>
    <m/>
    <x v="0"/>
  </r>
  <r>
    <d v="2021-06-03T00:00:00"/>
    <x v="6"/>
    <x v="0"/>
    <x v="0"/>
    <n v="60000"/>
    <n v="60000"/>
    <n v="0"/>
    <x v="372"/>
    <s v="Cali"/>
    <m/>
    <m/>
    <m/>
    <m/>
    <x v="0"/>
  </r>
  <r>
    <d v="2021-06-03T00:00:00"/>
    <x v="6"/>
    <x v="25"/>
    <x v="25"/>
    <n v="-60000"/>
    <n v="0"/>
    <n v="60000"/>
    <x v="372"/>
    <s v="Cali"/>
    <m/>
    <m/>
    <m/>
    <m/>
    <x v="0"/>
  </r>
  <r>
    <m/>
    <x v="1"/>
    <x v="23"/>
    <x v="23"/>
    <m/>
    <m/>
    <m/>
    <x v="1"/>
    <m/>
    <m/>
    <m/>
    <m/>
    <m/>
    <x v="0"/>
  </r>
  <r>
    <d v="2021-06-03T00:00:00"/>
    <x v="6"/>
    <x v="0"/>
    <x v="0"/>
    <n v="12000"/>
    <n v="12000"/>
    <n v="0"/>
    <x v="310"/>
    <s v="Cali"/>
    <m/>
    <m/>
    <m/>
    <m/>
    <x v="0"/>
  </r>
  <r>
    <d v="2021-06-03T00:00:00"/>
    <x v="6"/>
    <x v="25"/>
    <x v="25"/>
    <n v="-12000"/>
    <n v="0"/>
    <n v="12000"/>
    <x v="310"/>
    <s v="Cali"/>
    <m/>
    <m/>
    <m/>
    <m/>
    <x v="0"/>
  </r>
  <r>
    <m/>
    <x v="1"/>
    <x v="23"/>
    <x v="23"/>
    <m/>
    <m/>
    <m/>
    <x v="1"/>
    <m/>
    <m/>
    <m/>
    <m/>
    <m/>
    <x v="0"/>
  </r>
  <r>
    <d v="2021-06-03T00:00:00"/>
    <x v="6"/>
    <x v="0"/>
    <x v="0"/>
    <n v="30000"/>
    <n v="30000"/>
    <n v="0"/>
    <x v="164"/>
    <s v="Cali"/>
    <m/>
    <m/>
    <m/>
    <m/>
    <x v="0"/>
  </r>
  <r>
    <d v="2021-06-03T00:00:00"/>
    <x v="6"/>
    <x v="26"/>
    <x v="26"/>
    <n v="-30000"/>
    <n v="0"/>
    <n v="30000"/>
    <x v="164"/>
    <s v="Cali"/>
    <m/>
    <m/>
    <m/>
    <m/>
    <x v="0"/>
  </r>
  <r>
    <m/>
    <x v="1"/>
    <x v="23"/>
    <x v="23"/>
    <m/>
    <m/>
    <m/>
    <x v="1"/>
    <m/>
    <m/>
    <m/>
    <m/>
    <m/>
    <x v="0"/>
  </r>
  <r>
    <d v="2021-06-03T00:00:00"/>
    <x v="6"/>
    <x v="0"/>
    <x v="0"/>
    <n v="39229"/>
    <n v="39229"/>
    <n v="0"/>
    <x v="414"/>
    <s v="Cali"/>
    <m/>
    <m/>
    <m/>
    <m/>
    <x v="0"/>
  </r>
  <r>
    <d v="2021-06-03T00:00:00"/>
    <x v="6"/>
    <x v="49"/>
    <x v="49"/>
    <n v="771"/>
    <n v="771"/>
    <n v="0"/>
    <x v="414"/>
    <s v="Cali"/>
    <m/>
    <m/>
    <m/>
    <m/>
    <x v="0"/>
  </r>
  <r>
    <d v="2021-06-03T00:00:00"/>
    <x v="6"/>
    <x v="25"/>
    <x v="25"/>
    <n v="-40000"/>
    <n v="0"/>
    <n v="40000"/>
    <x v="414"/>
    <s v="Cali"/>
    <m/>
    <m/>
    <m/>
    <m/>
    <x v="0"/>
  </r>
  <r>
    <m/>
    <x v="1"/>
    <x v="23"/>
    <x v="23"/>
    <m/>
    <m/>
    <m/>
    <x v="1"/>
    <m/>
    <m/>
    <m/>
    <m/>
    <m/>
    <x v="0"/>
  </r>
  <r>
    <d v="2021-06-03T00:00:00"/>
    <x v="6"/>
    <x v="0"/>
    <x v="0"/>
    <n v="70000"/>
    <n v="70000"/>
    <n v="0"/>
    <x v="37"/>
    <s v="Cali"/>
    <m/>
    <m/>
    <m/>
    <m/>
    <x v="0"/>
  </r>
  <r>
    <d v="2021-06-03T00:00:00"/>
    <x v="6"/>
    <x v="25"/>
    <x v="25"/>
    <n v="-70000"/>
    <n v="0"/>
    <n v="70000"/>
    <x v="37"/>
    <s v="Cali"/>
    <m/>
    <m/>
    <m/>
    <m/>
    <x v="0"/>
  </r>
  <r>
    <m/>
    <x v="1"/>
    <x v="23"/>
    <x v="23"/>
    <m/>
    <m/>
    <m/>
    <x v="1"/>
    <m/>
    <m/>
    <m/>
    <m/>
    <m/>
    <x v="0"/>
  </r>
  <r>
    <d v="2021-06-04T00:00:00"/>
    <x v="6"/>
    <x v="0"/>
    <x v="0"/>
    <n v="50000"/>
    <n v="50000"/>
    <n v="0"/>
    <x v="163"/>
    <s v="Cali"/>
    <m/>
    <m/>
    <m/>
    <m/>
    <x v="0"/>
  </r>
  <r>
    <d v="2021-06-04T00:00:00"/>
    <x v="6"/>
    <x v="25"/>
    <x v="25"/>
    <n v="-50000"/>
    <n v="0"/>
    <n v="50000"/>
    <x v="163"/>
    <s v="Cali"/>
    <m/>
    <m/>
    <m/>
    <m/>
    <x v="0"/>
  </r>
  <r>
    <m/>
    <x v="1"/>
    <x v="23"/>
    <x v="23"/>
    <m/>
    <m/>
    <m/>
    <x v="1"/>
    <m/>
    <m/>
    <m/>
    <m/>
    <m/>
    <x v="0"/>
  </r>
  <r>
    <d v="2021-06-04T00:00:00"/>
    <x v="6"/>
    <x v="0"/>
    <x v="0"/>
    <n v="15000"/>
    <n v="15000"/>
    <n v="0"/>
    <x v="415"/>
    <s v="Cali"/>
    <m/>
    <m/>
    <m/>
    <m/>
    <x v="0"/>
  </r>
  <r>
    <d v="2021-06-04T00:00:00"/>
    <x v="6"/>
    <x v="25"/>
    <x v="25"/>
    <n v="-15000"/>
    <n v="0"/>
    <n v="15000"/>
    <x v="415"/>
    <s v="Cali"/>
    <m/>
    <m/>
    <m/>
    <m/>
    <x v="0"/>
  </r>
  <r>
    <m/>
    <x v="1"/>
    <x v="23"/>
    <x v="23"/>
    <m/>
    <m/>
    <m/>
    <x v="1"/>
    <m/>
    <m/>
    <m/>
    <m/>
    <m/>
    <x v="0"/>
  </r>
  <r>
    <d v="2021-06-04T00:00:00"/>
    <x v="6"/>
    <x v="0"/>
    <x v="0"/>
    <n v="120000"/>
    <n v="120000"/>
    <n v="0"/>
    <x v="155"/>
    <s v="Cali"/>
    <m/>
    <m/>
    <m/>
    <m/>
    <x v="0"/>
  </r>
  <r>
    <d v="2021-06-04T00:00:00"/>
    <x v="6"/>
    <x v="27"/>
    <x v="27"/>
    <n v="-120000"/>
    <n v="0"/>
    <n v="120000"/>
    <x v="155"/>
    <s v="Cali"/>
    <m/>
    <m/>
    <m/>
    <m/>
    <x v="0"/>
  </r>
  <r>
    <m/>
    <x v="1"/>
    <x v="23"/>
    <x v="23"/>
    <m/>
    <m/>
    <m/>
    <x v="1"/>
    <m/>
    <m/>
    <m/>
    <m/>
    <m/>
    <x v="0"/>
  </r>
  <r>
    <d v="2021-06-04T00:00:00"/>
    <x v="6"/>
    <x v="0"/>
    <x v="0"/>
    <n v="150000"/>
    <n v="150000"/>
    <n v="0"/>
    <x v="169"/>
    <s v="Cali"/>
    <m/>
    <m/>
    <m/>
    <m/>
    <x v="0"/>
  </r>
  <r>
    <d v="2021-06-04T00:00:00"/>
    <x v="6"/>
    <x v="25"/>
    <x v="25"/>
    <n v="-150000"/>
    <n v="0"/>
    <n v="150000"/>
    <x v="169"/>
    <s v="Cali"/>
    <m/>
    <m/>
    <m/>
    <m/>
    <x v="0"/>
  </r>
  <r>
    <m/>
    <x v="1"/>
    <x v="23"/>
    <x v="23"/>
    <m/>
    <m/>
    <m/>
    <x v="1"/>
    <m/>
    <m/>
    <m/>
    <m/>
    <m/>
    <x v="0"/>
  </r>
  <r>
    <d v="2021-06-04T00:00:00"/>
    <x v="6"/>
    <x v="0"/>
    <x v="0"/>
    <n v="150000"/>
    <n v="150000"/>
    <n v="0"/>
    <x v="282"/>
    <s v="Cali"/>
    <m/>
    <m/>
    <m/>
    <m/>
    <x v="0"/>
  </r>
  <r>
    <d v="2021-06-04T00:00:00"/>
    <x v="6"/>
    <x v="25"/>
    <x v="25"/>
    <n v="-150000"/>
    <n v="0"/>
    <n v="150000"/>
    <x v="282"/>
    <s v="Cali"/>
    <m/>
    <m/>
    <m/>
    <m/>
    <x v="0"/>
  </r>
  <r>
    <m/>
    <x v="1"/>
    <x v="23"/>
    <x v="23"/>
    <m/>
    <m/>
    <m/>
    <x v="1"/>
    <m/>
    <m/>
    <m/>
    <m/>
    <m/>
    <x v="0"/>
  </r>
  <r>
    <d v="2021-06-04T00:00:00"/>
    <x v="6"/>
    <x v="25"/>
    <x v="25"/>
    <n v="135000"/>
    <n v="135000"/>
    <n v="0"/>
    <x v="282"/>
    <s v="Cali"/>
    <m/>
    <m/>
    <m/>
    <m/>
    <x v="0"/>
  </r>
  <r>
    <d v="2021-06-04T00:00:00"/>
    <x v="6"/>
    <x v="0"/>
    <x v="0"/>
    <n v="-135000"/>
    <n v="0"/>
    <n v="135000"/>
    <x v="282"/>
    <s v="Cali"/>
    <m/>
    <m/>
    <m/>
    <m/>
    <x v="0"/>
  </r>
  <r>
    <m/>
    <x v="1"/>
    <x v="23"/>
    <x v="23"/>
    <m/>
    <m/>
    <m/>
    <x v="1"/>
    <m/>
    <m/>
    <m/>
    <m/>
    <m/>
    <x v="0"/>
  </r>
  <r>
    <d v="2021-06-04T00:00:00"/>
    <x v="6"/>
    <x v="0"/>
    <x v="0"/>
    <n v="350000"/>
    <n v="350000"/>
    <n v="0"/>
    <x v="416"/>
    <s v="Cali"/>
    <m/>
    <m/>
    <m/>
    <m/>
    <x v="0"/>
  </r>
  <r>
    <d v="2021-06-04T00:00:00"/>
    <x v="6"/>
    <x v="26"/>
    <x v="26"/>
    <n v="-350000"/>
    <n v="0"/>
    <n v="350000"/>
    <x v="416"/>
    <s v="Cali"/>
    <m/>
    <m/>
    <m/>
    <m/>
    <x v="0"/>
  </r>
  <r>
    <m/>
    <x v="1"/>
    <x v="23"/>
    <x v="23"/>
    <m/>
    <m/>
    <m/>
    <x v="1"/>
    <m/>
    <m/>
    <m/>
    <m/>
    <m/>
    <x v="0"/>
  </r>
  <r>
    <d v="2021-06-04T00:00:00"/>
    <x v="6"/>
    <x v="49"/>
    <x v="49"/>
    <n v="1762"/>
    <n v="1762"/>
    <n v="0"/>
    <x v="172"/>
    <s v="Cali"/>
    <m/>
    <m/>
    <m/>
    <m/>
    <x v="0"/>
  </r>
  <r>
    <d v="2021-06-04T00:00:00"/>
    <x v="6"/>
    <x v="0"/>
    <x v="0"/>
    <n v="-1762"/>
    <n v="0"/>
    <n v="1762"/>
    <x v="172"/>
    <s v="Cali"/>
    <m/>
    <m/>
    <m/>
    <m/>
    <x v="0"/>
  </r>
  <r>
    <m/>
    <x v="1"/>
    <x v="23"/>
    <x v="23"/>
    <m/>
    <m/>
    <m/>
    <x v="1"/>
    <m/>
    <m/>
    <m/>
    <m/>
    <m/>
    <x v="0"/>
  </r>
  <r>
    <d v="2021-06-07T00:00:00"/>
    <x v="6"/>
    <x v="0"/>
    <x v="0"/>
    <n v="650000"/>
    <n v="650000"/>
    <n v="0"/>
    <x v="416"/>
    <s v="Cali"/>
    <m/>
    <m/>
    <m/>
    <m/>
    <x v="0"/>
  </r>
  <r>
    <d v="2021-06-07T00:00:00"/>
    <x v="6"/>
    <x v="26"/>
    <x v="26"/>
    <n v="-650000"/>
    <n v="0"/>
    <n v="650000"/>
    <x v="416"/>
    <s v="Cali"/>
    <m/>
    <m/>
    <m/>
    <m/>
    <x v="0"/>
  </r>
  <r>
    <m/>
    <x v="1"/>
    <x v="23"/>
    <x v="23"/>
    <m/>
    <m/>
    <m/>
    <x v="1"/>
    <m/>
    <m/>
    <m/>
    <m/>
    <m/>
    <x v="0"/>
  </r>
  <r>
    <d v="2021-06-07T00:00:00"/>
    <x v="6"/>
    <x v="0"/>
    <x v="0"/>
    <n v="50000"/>
    <n v="50000"/>
    <n v="0"/>
    <x v="173"/>
    <s v="Cali"/>
    <m/>
    <m/>
    <m/>
    <m/>
    <x v="0"/>
  </r>
  <r>
    <d v="2021-06-07T00:00:00"/>
    <x v="6"/>
    <x v="26"/>
    <x v="26"/>
    <n v="-50000"/>
    <n v="0"/>
    <n v="50000"/>
    <x v="173"/>
    <s v="Cali"/>
    <m/>
    <m/>
    <m/>
    <m/>
    <x v="0"/>
  </r>
  <r>
    <m/>
    <x v="1"/>
    <x v="23"/>
    <x v="23"/>
    <m/>
    <m/>
    <m/>
    <x v="1"/>
    <m/>
    <m/>
    <m/>
    <m/>
    <m/>
    <x v="0"/>
  </r>
  <r>
    <d v="2021-06-07T00:00:00"/>
    <x v="6"/>
    <x v="0"/>
    <x v="0"/>
    <n v="2000"/>
    <n v="2000"/>
    <n v="0"/>
    <x v="177"/>
    <s v="Cali"/>
    <m/>
    <m/>
    <m/>
    <m/>
    <x v="0"/>
  </r>
  <r>
    <d v="2021-06-07T00:00:00"/>
    <x v="6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6-07T00:00:00"/>
    <x v="6"/>
    <x v="0"/>
    <x v="0"/>
    <n v="40000"/>
    <n v="40000"/>
    <n v="0"/>
    <x v="176"/>
    <s v="Cali"/>
    <m/>
    <m/>
    <m/>
    <m/>
    <x v="0"/>
  </r>
  <r>
    <d v="2021-06-07T00:00:00"/>
    <x v="6"/>
    <x v="25"/>
    <x v="25"/>
    <n v="-40000"/>
    <n v="0"/>
    <n v="40000"/>
    <x v="176"/>
    <s v="Cali"/>
    <m/>
    <m/>
    <m/>
    <m/>
    <x v="0"/>
  </r>
  <r>
    <m/>
    <x v="1"/>
    <x v="23"/>
    <x v="23"/>
    <m/>
    <m/>
    <m/>
    <x v="1"/>
    <m/>
    <m/>
    <m/>
    <m/>
    <m/>
    <x v="0"/>
  </r>
  <r>
    <d v="2021-06-07T00:00:00"/>
    <x v="6"/>
    <x v="0"/>
    <x v="0"/>
    <n v="25000"/>
    <n v="25000"/>
    <n v="0"/>
    <x v="38"/>
    <s v="Cali"/>
    <m/>
    <m/>
    <m/>
    <m/>
    <x v="0"/>
  </r>
  <r>
    <d v="2021-06-07T00:00:00"/>
    <x v="6"/>
    <x v="25"/>
    <x v="25"/>
    <n v="-25000"/>
    <n v="0"/>
    <n v="25000"/>
    <x v="38"/>
    <s v="Cali"/>
    <m/>
    <m/>
    <m/>
    <m/>
    <x v="0"/>
  </r>
  <r>
    <m/>
    <x v="1"/>
    <x v="23"/>
    <x v="23"/>
    <m/>
    <m/>
    <m/>
    <x v="1"/>
    <m/>
    <m/>
    <m/>
    <m/>
    <m/>
    <x v="0"/>
  </r>
  <r>
    <d v="2021-06-07T00:00:00"/>
    <x v="6"/>
    <x v="0"/>
    <x v="0"/>
    <n v="12000"/>
    <n v="12000"/>
    <n v="0"/>
    <x v="150"/>
    <s v="Cali"/>
    <m/>
    <m/>
    <m/>
    <m/>
    <x v="0"/>
  </r>
  <r>
    <d v="2021-06-07T00:00:00"/>
    <x v="6"/>
    <x v="19"/>
    <x v="19"/>
    <n v="-12000"/>
    <n v="0"/>
    <n v="12000"/>
    <x v="150"/>
    <s v="Cali"/>
    <m/>
    <m/>
    <m/>
    <m/>
    <x v="0"/>
  </r>
  <r>
    <m/>
    <x v="1"/>
    <x v="23"/>
    <x v="23"/>
    <m/>
    <m/>
    <m/>
    <x v="1"/>
    <m/>
    <m/>
    <m/>
    <m/>
    <m/>
    <x v="0"/>
  </r>
  <r>
    <d v="2021-06-07T00:00:00"/>
    <x v="6"/>
    <x v="0"/>
    <x v="0"/>
    <n v="20000"/>
    <n v="20000"/>
    <n v="0"/>
    <x v="323"/>
    <s v="Cali"/>
    <m/>
    <m/>
    <m/>
    <m/>
    <x v="0"/>
  </r>
  <r>
    <d v="2021-06-07T00:00:00"/>
    <x v="6"/>
    <x v="20"/>
    <x v="20"/>
    <n v="-20000"/>
    <n v="0"/>
    <n v="20000"/>
    <x v="323"/>
    <s v="Cali"/>
    <m/>
    <m/>
    <m/>
    <m/>
    <x v="0"/>
  </r>
  <r>
    <m/>
    <x v="1"/>
    <x v="23"/>
    <x v="23"/>
    <m/>
    <m/>
    <m/>
    <x v="1"/>
    <m/>
    <m/>
    <m/>
    <m/>
    <m/>
    <x v="0"/>
  </r>
  <r>
    <d v="2021-06-07T00:00:00"/>
    <x v="6"/>
    <x v="0"/>
    <x v="0"/>
    <n v="36000"/>
    <n v="36000"/>
    <n v="0"/>
    <x v="417"/>
    <s v="Cali"/>
    <m/>
    <m/>
    <m/>
    <m/>
    <x v="0"/>
  </r>
  <r>
    <d v="2021-06-07T00:00:00"/>
    <x v="6"/>
    <x v="27"/>
    <x v="27"/>
    <n v="-36000"/>
    <n v="0"/>
    <n v="36000"/>
    <x v="417"/>
    <s v="Cali"/>
    <m/>
    <m/>
    <m/>
    <m/>
    <x v="0"/>
  </r>
  <r>
    <m/>
    <x v="1"/>
    <x v="23"/>
    <x v="23"/>
    <m/>
    <m/>
    <m/>
    <x v="1"/>
    <m/>
    <m/>
    <m/>
    <m/>
    <m/>
    <x v="0"/>
  </r>
  <r>
    <d v="2021-06-07T00:00:00"/>
    <x v="6"/>
    <x v="0"/>
    <x v="0"/>
    <n v="11000"/>
    <n v="11000"/>
    <n v="0"/>
    <x v="191"/>
    <s v="Cali"/>
    <m/>
    <m/>
    <m/>
    <m/>
    <x v="0"/>
  </r>
  <r>
    <d v="2021-06-07T00:00:00"/>
    <x v="6"/>
    <x v="27"/>
    <x v="27"/>
    <n v="-11000"/>
    <n v="0"/>
    <n v="11000"/>
    <x v="191"/>
    <s v="Cali"/>
    <m/>
    <m/>
    <m/>
    <m/>
    <x v="0"/>
  </r>
  <r>
    <m/>
    <x v="1"/>
    <x v="23"/>
    <x v="23"/>
    <m/>
    <m/>
    <m/>
    <x v="1"/>
    <m/>
    <m/>
    <m/>
    <m/>
    <m/>
    <x v="0"/>
  </r>
  <r>
    <d v="2021-06-08T00:00:00"/>
    <x v="6"/>
    <x v="0"/>
    <x v="0"/>
    <n v="75000"/>
    <n v="75000"/>
    <n v="0"/>
    <x v="316"/>
    <s v="Cali"/>
    <m/>
    <m/>
    <m/>
    <m/>
    <x v="0"/>
  </r>
  <r>
    <d v="2021-06-08T00:00:00"/>
    <x v="6"/>
    <x v="25"/>
    <x v="25"/>
    <n v="-75000"/>
    <n v="0"/>
    <n v="75000"/>
    <x v="316"/>
    <s v="Cali"/>
    <m/>
    <m/>
    <m/>
    <m/>
    <x v="0"/>
  </r>
  <r>
    <m/>
    <x v="1"/>
    <x v="23"/>
    <x v="23"/>
    <m/>
    <m/>
    <m/>
    <x v="1"/>
    <m/>
    <m/>
    <m/>
    <m/>
    <m/>
    <x v="0"/>
  </r>
  <r>
    <d v="2021-06-08T00:00:00"/>
    <x v="6"/>
    <x v="0"/>
    <x v="0"/>
    <n v="24518"/>
    <n v="24518"/>
    <n v="0"/>
    <x v="418"/>
    <s v="Cali"/>
    <m/>
    <m/>
    <m/>
    <m/>
    <x v="0"/>
  </r>
  <r>
    <d v="2021-06-08T00:00:00"/>
    <x v="6"/>
    <x v="26"/>
    <x v="26"/>
    <n v="-24518"/>
    <n v="0"/>
    <n v="24518"/>
    <x v="418"/>
    <s v="Cali"/>
    <m/>
    <m/>
    <m/>
    <m/>
    <x v="0"/>
  </r>
  <r>
    <m/>
    <x v="1"/>
    <x v="23"/>
    <x v="23"/>
    <m/>
    <m/>
    <m/>
    <x v="1"/>
    <m/>
    <m/>
    <m/>
    <m/>
    <m/>
    <x v="0"/>
  </r>
  <r>
    <d v="2021-06-08T00:00:00"/>
    <x v="6"/>
    <x v="0"/>
    <x v="0"/>
    <n v="33500"/>
    <n v="33500"/>
    <n v="0"/>
    <x v="419"/>
    <s v="Cali"/>
    <m/>
    <m/>
    <m/>
    <m/>
    <x v="0"/>
  </r>
  <r>
    <d v="2021-06-08T00:00:00"/>
    <x v="6"/>
    <x v="27"/>
    <x v="27"/>
    <n v="-33500"/>
    <n v="0"/>
    <n v="33500"/>
    <x v="419"/>
    <s v="Cali"/>
    <m/>
    <m/>
    <m/>
    <m/>
    <x v="0"/>
  </r>
  <r>
    <m/>
    <x v="1"/>
    <x v="23"/>
    <x v="23"/>
    <m/>
    <m/>
    <m/>
    <x v="1"/>
    <m/>
    <m/>
    <m/>
    <m/>
    <m/>
    <x v="0"/>
  </r>
  <r>
    <d v="2021-06-08T00:00:00"/>
    <x v="6"/>
    <x v="0"/>
    <x v="0"/>
    <n v="30000"/>
    <n v="30000"/>
    <n v="0"/>
    <x v="188"/>
    <s v="Cali"/>
    <m/>
    <m/>
    <m/>
    <m/>
    <x v="0"/>
  </r>
  <r>
    <d v="2021-06-08T00:00:00"/>
    <x v="6"/>
    <x v="29"/>
    <x v="29"/>
    <n v="-30000"/>
    <n v="0"/>
    <n v="30000"/>
    <x v="188"/>
    <s v="Cali"/>
    <m/>
    <m/>
    <m/>
    <m/>
    <x v="0"/>
  </r>
  <r>
    <m/>
    <x v="1"/>
    <x v="23"/>
    <x v="23"/>
    <m/>
    <m/>
    <m/>
    <x v="1"/>
    <m/>
    <m/>
    <m/>
    <m/>
    <m/>
    <x v="0"/>
  </r>
  <r>
    <d v="2021-06-08T00:00:00"/>
    <x v="6"/>
    <x v="0"/>
    <x v="0"/>
    <n v="110000"/>
    <n v="110000"/>
    <n v="0"/>
    <x v="202"/>
    <s v="Cali"/>
    <m/>
    <m/>
    <m/>
    <m/>
    <x v="0"/>
  </r>
  <r>
    <d v="2021-06-08T00:00:00"/>
    <x v="6"/>
    <x v="27"/>
    <x v="27"/>
    <n v="-110000"/>
    <n v="0"/>
    <n v="110000"/>
    <x v="202"/>
    <s v="Cali"/>
    <m/>
    <m/>
    <m/>
    <m/>
    <x v="0"/>
  </r>
  <r>
    <m/>
    <x v="1"/>
    <x v="23"/>
    <x v="23"/>
    <m/>
    <m/>
    <m/>
    <x v="1"/>
    <m/>
    <m/>
    <m/>
    <m/>
    <m/>
    <x v="0"/>
  </r>
  <r>
    <d v="2021-06-09T00:00:00"/>
    <x v="6"/>
    <x v="0"/>
    <x v="0"/>
    <n v="15000"/>
    <n v="15000"/>
    <n v="0"/>
    <x v="420"/>
    <s v="Cali"/>
    <m/>
    <m/>
    <m/>
    <m/>
    <x v="0"/>
  </r>
  <r>
    <d v="2021-06-09T00:00:00"/>
    <x v="6"/>
    <x v="26"/>
    <x v="26"/>
    <n v="-15000"/>
    <n v="0"/>
    <n v="15000"/>
    <x v="420"/>
    <s v="Cali"/>
    <m/>
    <m/>
    <m/>
    <m/>
    <x v="0"/>
  </r>
  <r>
    <m/>
    <x v="1"/>
    <x v="23"/>
    <x v="23"/>
    <m/>
    <m/>
    <m/>
    <x v="1"/>
    <m/>
    <m/>
    <m/>
    <m/>
    <m/>
    <x v="0"/>
  </r>
  <r>
    <d v="2021-06-09T00:00:00"/>
    <x v="6"/>
    <x v="0"/>
    <x v="0"/>
    <n v="40000"/>
    <n v="40000"/>
    <n v="0"/>
    <x v="10"/>
    <s v="Cali"/>
    <m/>
    <m/>
    <m/>
    <m/>
    <x v="0"/>
  </r>
  <r>
    <d v="2021-06-09T00:00:00"/>
    <x v="6"/>
    <x v="25"/>
    <x v="25"/>
    <n v="-40000"/>
    <n v="0"/>
    <n v="40000"/>
    <x v="10"/>
    <s v="Cali"/>
    <m/>
    <m/>
    <m/>
    <m/>
    <x v="0"/>
  </r>
  <r>
    <m/>
    <x v="1"/>
    <x v="23"/>
    <x v="23"/>
    <m/>
    <m/>
    <m/>
    <x v="1"/>
    <m/>
    <m/>
    <m/>
    <m/>
    <m/>
    <x v="0"/>
  </r>
  <r>
    <d v="2021-06-09T00:00:00"/>
    <x v="6"/>
    <x v="0"/>
    <x v="0"/>
    <n v="1184000"/>
    <n v="1184000"/>
    <n v="0"/>
    <x v="421"/>
    <s v="Cali"/>
    <m/>
    <m/>
    <m/>
    <m/>
    <x v="0"/>
  </r>
  <r>
    <d v="2021-06-09T00:00:00"/>
    <x v="6"/>
    <x v="27"/>
    <x v="27"/>
    <n v="-1184000"/>
    <n v="0"/>
    <n v="1184000"/>
    <x v="421"/>
    <s v="Cali"/>
    <m/>
    <m/>
    <m/>
    <m/>
    <x v="0"/>
  </r>
  <r>
    <m/>
    <x v="1"/>
    <x v="23"/>
    <x v="23"/>
    <m/>
    <m/>
    <m/>
    <x v="1"/>
    <m/>
    <m/>
    <m/>
    <m/>
    <m/>
    <x v="0"/>
  </r>
  <r>
    <d v="2021-06-10T00:00:00"/>
    <x v="6"/>
    <x v="0"/>
    <x v="0"/>
    <n v="150000"/>
    <n v="150000"/>
    <n v="0"/>
    <x v="251"/>
    <s v="Cali"/>
    <m/>
    <m/>
    <m/>
    <m/>
    <x v="0"/>
  </r>
  <r>
    <d v="2021-06-10T00:00:00"/>
    <x v="6"/>
    <x v="27"/>
    <x v="27"/>
    <n v="-150000"/>
    <n v="0"/>
    <n v="150000"/>
    <x v="251"/>
    <s v="Cali"/>
    <m/>
    <m/>
    <m/>
    <m/>
    <x v="0"/>
  </r>
  <r>
    <m/>
    <x v="1"/>
    <x v="23"/>
    <x v="23"/>
    <m/>
    <m/>
    <m/>
    <x v="1"/>
    <m/>
    <m/>
    <m/>
    <m/>
    <m/>
    <x v="0"/>
  </r>
  <r>
    <d v="2021-06-10T00:00:00"/>
    <x v="6"/>
    <x v="0"/>
    <x v="0"/>
    <n v="30000"/>
    <n v="30000"/>
    <n v="0"/>
    <x v="170"/>
    <s v="Cali"/>
    <m/>
    <m/>
    <m/>
    <m/>
    <x v="0"/>
  </r>
  <r>
    <d v="2021-06-10T00:00:00"/>
    <x v="6"/>
    <x v="26"/>
    <x v="26"/>
    <n v="-30000"/>
    <n v="0"/>
    <n v="30000"/>
    <x v="170"/>
    <s v="Cali"/>
    <m/>
    <m/>
    <m/>
    <m/>
    <x v="0"/>
  </r>
  <r>
    <m/>
    <x v="1"/>
    <x v="23"/>
    <x v="23"/>
    <m/>
    <m/>
    <m/>
    <x v="1"/>
    <m/>
    <m/>
    <m/>
    <m/>
    <m/>
    <x v="0"/>
  </r>
  <r>
    <d v="2021-06-10T00:00:00"/>
    <x v="6"/>
    <x v="0"/>
    <x v="0"/>
    <n v="30000"/>
    <n v="30000"/>
    <n v="0"/>
    <x v="185"/>
    <s v="Cali"/>
    <m/>
    <m/>
    <m/>
    <m/>
    <x v="0"/>
  </r>
  <r>
    <d v="2021-06-10T00:00:00"/>
    <x v="6"/>
    <x v="25"/>
    <x v="25"/>
    <n v="-30000"/>
    <n v="0"/>
    <n v="30000"/>
    <x v="185"/>
    <s v="Cali"/>
    <m/>
    <m/>
    <m/>
    <m/>
    <x v="0"/>
  </r>
  <r>
    <m/>
    <x v="1"/>
    <x v="23"/>
    <x v="23"/>
    <m/>
    <m/>
    <m/>
    <x v="1"/>
    <m/>
    <m/>
    <m/>
    <m/>
    <m/>
    <x v="0"/>
  </r>
  <r>
    <d v="2021-06-10T00:00:00"/>
    <x v="6"/>
    <x v="0"/>
    <x v="0"/>
    <n v="17000"/>
    <n v="17000"/>
    <n v="0"/>
    <x v="186"/>
    <s v="Cali"/>
    <m/>
    <m/>
    <m/>
    <m/>
    <x v="0"/>
  </r>
  <r>
    <d v="2021-06-10T00:00:00"/>
    <x v="6"/>
    <x v="25"/>
    <x v="25"/>
    <n v="-17000"/>
    <n v="0"/>
    <n v="17000"/>
    <x v="186"/>
    <s v="Cali"/>
    <m/>
    <m/>
    <m/>
    <m/>
    <x v="0"/>
  </r>
  <r>
    <m/>
    <x v="1"/>
    <x v="23"/>
    <x v="23"/>
    <m/>
    <m/>
    <m/>
    <x v="1"/>
    <m/>
    <m/>
    <m/>
    <m/>
    <m/>
    <x v="0"/>
  </r>
  <r>
    <d v="2021-06-10T00:00:00"/>
    <x v="6"/>
    <x v="0"/>
    <x v="0"/>
    <n v="30000"/>
    <n v="30000"/>
    <n v="0"/>
    <x v="179"/>
    <s v="Cali"/>
    <m/>
    <m/>
    <m/>
    <m/>
    <x v="0"/>
  </r>
  <r>
    <d v="2021-06-10T00:00:00"/>
    <x v="6"/>
    <x v="25"/>
    <x v="25"/>
    <n v="-30000"/>
    <n v="0"/>
    <n v="30000"/>
    <x v="179"/>
    <s v="Cali"/>
    <m/>
    <m/>
    <m/>
    <m/>
    <x v="0"/>
  </r>
  <r>
    <m/>
    <x v="1"/>
    <x v="23"/>
    <x v="23"/>
    <m/>
    <m/>
    <m/>
    <x v="1"/>
    <m/>
    <m/>
    <m/>
    <m/>
    <m/>
    <x v="0"/>
  </r>
  <r>
    <d v="2021-06-11T00:00:00"/>
    <x v="6"/>
    <x v="0"/>
    <x v="0"/>
    <n v="30000"/>
    <n v="30000"/>
    <n v="0"/>
    <x v="139"/>
    <s v="Cali"/>
    <m/>
    <m/>
    <m/>
    <m/>
    <x v="0"/>
  </r>
  <r>
    <d v="2021-06-11T00:00:00"/>
    <x v="6"/>
    <x v="25"/>
    <x v="25"/>
    <n v="-30000"/>
    <n v="0"/>
    <n v="30000"/>
    <x v="139"/>
    <s v="Cali"/>
    <m/>
    <m/>
    <m/>
    <m/>
    <x v="0"/>
  </r>
  <r>
    <m/>
    <x v="1"/>
    <x v="23"/>
    <x v="23"/>
    <m/>
    <m/>
    <m/>
    <x v="1"/>
    <m/>
    <m/>
    <m/>
    <m/>
    <m/>
    <x v="0"/>
  </r>
  <r>
    <d v="2021-06-11T00:00:00"/>
    <x v="6"/>
    <x v="0"/>
    <x v="0"/>
    <n v="64000"/>
    <n v="64000"/>
    <n v="0"/>
    <x v="64"/>
    <s v="Cali"/>
    <m/>
    <m/>
    <m/>
    <m/>
    <x v="0"/>
  </r>
  <r>
    <d v="2021-06-11T00:00:00"/>
    <x v="6"/>
    <x v="27"/>
    <x v="27"/>
    <n v="-64000"/>
    <n v="0"/>
    <n v="64000"/>
    <x v="64"/>
    <s v="Cali"/>
    <m/>
    <m/>
    <m/>
    <m/>
    <x v="0"/>
  </r>
  <r>
    <m/>
    <x v="1"/>
    <x v="23"/>
    <x v="23"/>
    <m/>
    <m/>
    <m/>
    <x v="1"/>
    <m/>
    <m/>
    <m/>
    <m/>
    <m/>
    <x v="0"/>
  </r>
  <r>
    <d v="2021-06-11T00:00:00"/>
    <x v="6"/>
    <x v="0"/>
    <x v="0"/>
    <n v="50000"/>
    <n v="50000"/>
    <n v="0"/>
    <x v="422"/>
    <s v="Cali"/>
    <m/>
    <m/>
    <m/>
    <m/>
    <x v="0"/>
  </r>
  <r>
    <d v="2021-06-11T00:00:00"/>
    <x v="6"/>
    <x v="26"/>
    <x v="26"/>
    <n v="-50000"/>
    <n v="0"/>
    <n v="50000"/>
    <x v="422"/>
    <s v="Cali"/>
    <m/>
    <m/>
    <m/>
    <m/>
    <x v="0"/>
  </r>
  <r>
    <m/>
    <x v="1"/>
    <x v="23"/>
    <x v="23"/>
    <m/>
    <m/>
    <m/>
    <x v="1"/>
    <m/>
    <m/>
    <m/>
    <m/>
    <m/>
    <x v="0"/>
  </r>
  <r>
    <d v="2021-06-14T00:00:00"/>
    <x v="6"/>
    <x v="0"/>
    <x v="0"/>
    <n v="100000"/>
    <n v="100000"/>
    <n v="0"/>
    <x v="192"/>
    <s v="Cali"/>
    <m/>
    <m/>
    <m/>
    <m/>
    <x v="0"/>
  </r>
  <r>
    <d v="2021-06-14T00:00:00"/>
    <x v="6"/>
    <x v="26"/>
    <x v="26"/>
    <n v="-100000"/>
    <n v="0"/>
    <n v="10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06-14T00:00:00"/>
    <x v="6"/>
    <x v="0"/>
    <x v="0"/>
    <n v="50000"/>
    <n v="50000"/>
    <n v="0"/>
    <x v="386"/>
    <s v="Cali"/>
    <m/>
    <m/>
    <m/>
    <m/>
    <x v="0"/>
  </r>
  <r>
    <d v="2021-06-14T00:00:00"/>
    <x v="6"/>
    <x v="27"/>
    <x v="27"/>
    <n v="-50000"/>
    <n v="0"/>
    <n v="50000"/>
    <x v="386"/>
    <s v="Cali"/>
    <m/>
    <m/>
    <m/>
    <m/>
    <x v="0"/>
  </r>
  <r>
    <m/>
    <x v="1"/>
    <x v="23"/>
    <x v="23"/>
    <m/>
    <m/>
    <m/>
    <x v="1"/>
    <m/>
    <m/>
    <m/>
    <m/>
    <m/>
    <x v="0"/>
  </r>
  <r>
    <d v="2021-06-14T00:00:00"/>
    <x v="6"/>
    <x v="0"/>
    <x v="0"/>
    <n v="30000"/>
    <n v="30000"/>
    <n v="0"/>
    <x v="256"/>
    <s v="Cali"/>
    <m/>
    <m/>
    <m/>
    <m/>
    <x v="0"/>
  </r>
  <r>
    <d v="2021-06-14T00:00:00"/>
    <x v="6"/>
    <x v="25"/>
    <x v="25"/>
    <n v="-30000"/>
    <n v="0"/>
    <n v="30000"/>
    <x v="256"/>
    <s v="Cali"/>
    <m/>
    <m/>
    <m/>
    <m/>
    <x v="0"/>
  </r>
  <r>
    <m/>
    <x v="1"/>
    <x v="23"/>
    <x v="23"/>
    <m/>
    <m/>
    <m/>
    <x v="1"/>
    <m/>
    <m/>
    <m/>
    <m/>
    <m/>
    <x v="0"/>
  </r>
  <r>
    <d v="2021-06-14T00:00:00"/>
    <x v="6"/>
    <x v="0"/>
    <x v="0"/>
    <n v="7000"/>
    <n v="7000"/>
    <n v="0"/>
    <x v="261"/>
    <s v="Cali"/>
    <m/>
    <m/>
    <m/>
    <m/>
    <x v="0"/>
  </r>
  <r>
    <d v="2021-06-14T00:00:00"/>
    <x v="6"/>
    <x v="25"/>
    <x v="25"/>
    <n v="-7000"/>
    <n v="0"/>
    <n v="7000"/>
    <x v="261"/>
    <s v="Cali"/>
    <m/>
    <m/>
    <m/>
    <m/>
    <x v="0"/>
  </r>
  <r>
    <m/>
    <x v="1"/>
    <x v="23"/>
    <x v="23"/>
    <m/>
    <m/>
    <m/>
    <x v="1"/>
    <m/>
    <m/>
    <m/>
    <m/>
    <m/>
    <x v="0"/>
  </r>
  <r>
    <d v="2021-06-14T00:00:00"/>
    <x v="6"/>
    <x v="0"/>
    <x v="0"/>
    <n v="20000"/>
    <n v="20000"/>
    <n v="0"/>
    <x v="193"/>
    <s v="Cali"/>
    <m/>
    <m/>
    <m/>
    <m/>
    <x v="0"/>
  </r>
  <r>
    <d v="2021-06-14T00:00:00"/>
    <x v="6"/>
    <x v="26"/>
    <x v="26"/>
    <n v="-20000"/>
    <n v="0"/>
    <n v="20000"/>
    <x v="193"/>
    <s v="Cali"/>
    <m/>
    <m/>
    <m/>
    <m/>
    <x v="0"/>
  </r>
  <r>
    <m/>
    <x v="1"/>
    <x v="23"/>
    <x v="23"/>
    <m/>
    <m/>
    <m/>
    <x v="1"/>
    <m/>
    <m/>
    <m/>
    <m/>
    <m/>
    <x v="0"/>
  </r>
  <r>
    <d v="2021-06-14T00:00:00"/>
    <x v="6"/>
    <x v="0"/>
    <x v="0"/>
    <n v="25000"/>
    <n v="25000"/>
    <n v="0"/>
    <x v="194"/>
    <s v="Cali"/>
    <m/>
    <m/>
    <m/>
    <m/>
    <x v="0"/>
  </r>
  <r>
    <d v="2021-06-14T00:00:00"/>
    <x v="6"/>
    <x v="25"/>
    <x v="25"/>
    <n v="-25000"/>
    <n v="0"/>
    <n v="25000"/>
    <x v="194"/>
    <s v="Cali"/>
    <m/>
    <m/>
    <m/>
    <m/>
    <x v="0"/>
  </r>
  <r>
    <m/>
    <x v="1"/>
    <x v="23"/>
    <x v="23"/>
    <m/>
    <m/>
    <m/>
    <x v="1"/>
    <m/>
    <m/>
    <m/>
    <m/>
    <m/>
    <x v="0"/>
  </r>
  <r>
    <d v="2021-06-14T00:00:00"/>
    <x v="6"/>
    <x v="0"/>
    <x v="0"/>
    <n v="2000"/>
    <n v="2000"/>
    <n v="0"/>
    <x v="177"/>
    <s v="Cali"/>
    <m/>
    <m/>
    <m/>
    <m/>
    <x v="0"/>
  </r>
  <r>
    <d v="2021-06-14T00:00:00"/>
    <x v="6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6-14T00:00:00"/>
    <x v="6"/>
    <x v="0"/>
    <x v="0"/>
    <n v="35353"/>
    <n v="35353"/>
    <n v="0"/>
    <x v="388"/>
    <s v="Cali"/>
    <m/>
    <m/>
    <m/>
    <m/>
    <x v="0"/>
  </r>
  <r>
    <d v="2021-06-14T00:00:00"/>
    <x v="6"/>
    <x v="27"/>
    <x v="27"/>
    <n v="-35353"/>
    <n v="0"/>
    <n v="35353"/>
    <x v="388"/>
    <s v="Cali"/>
    <m/>
    <m/>
    <m/>
    <m/>
    <x v="0"/>
  </r>
  <r>
    <m/>
    <x v="1"/>
    <x v="23"/>
    <x v="23"/>
    <m/>
    <m/>
    <m/>
    <x v="1"/>
    <m/>
    <m/>
    <m/>
    <m/>
    <m/>
    <x v="0"/>
  </r>
  <r>
    <d v="2021-06-14T00:00:00"/>
    <x v="6"/>
    <x v="0"/>
    <x v="0"/>
    <n v="25000"/>
    <n v="25000"/>
    <n v="0"/>
    <x v="149"/>
    <s v="Cali"/>
    <m/>
    <m/>
    <m/>
    <m/>
    <x v="0"/>
  </r>
  <r>
    <d v="2021-06-14T00:00:00"/>
    <x v="6"/>
    <x v="27"/>
    <x v="27"/>
    <n v="-25000"/>
    <n v="0"/>
    <n v="25000"/>
    <x v="149"/>
    <s v="Cali"/>
    <m/>
    <m/>
    <m/>
    <m/>
    <x v="0"/>
  </r>
  <r>
    <m/>
    <x v="1"/>
    <x v="23"/>
    <x v="23"/>
    <m/>
    <m/>
    <m/>
    <x v="1"/>
    <m/>
    <m/>
    <m/>
    <m/>
    <m/>
    <x v="0"/>
  </r>
  <r>
    <d v="2021-06-14T00:00:00"/>
    <x v="6"/>
    <x v="0"/>
    <x v="0"/>
    <n v="40000"/>
    <n v="40000"/>
    <n v="0"/>
    <x v="178"/>
    <s v="Cali"/>
    <m/>
    <m/>
    <m/>
    <m/>
    <x v="0"/>
  </r>
  <r>
    <d v="2021-06-14T00:00:00"/>
    <x v="6"/>
    <x v="25"/>
    <x v="25"/>
    <n v="-40000"/>
    <n v="0"/>
    <n v="40000"/>
    <x v="178"/>
    <s v="Cali"/>
    <m/>
    <m/>
    <m/>
    <m/>
    <x v="0"/>
  </r>
  <r>
    <m/>
    <x v="1"/>
    <x v="23"/>
    <x v="23"/>
    <m/>
    <m/>
    <m/>
    <x v="1"/>
    <m/>
    <m/>
    <m/>
    <m/>
    <m/>
    <x v="0"/>
  </r>
  <r>
    <d v="2021-06-15T00:00:00"/>
    <x v="6"/>
    <x v="0"/>
    <x v="0"/>
    <n v="50000"/>
    <n v="50000"/>
    <n v="0"/>
    <x v="195"/>
    <s v="Cali"/>
    <m/>
    <m/>
    <m/>
    <m/>
    <x v="0"/>
  </r>
  <r>
    <d v="2021-06-15T00:00:00"/>
    <x v="6"/>
    <x v="25"/>
    <x v="25"/>
    <n v="-50000"/>
    <n v="0"/>
    <n v="50000"/>
    <x v="195"/>
    <s v="Cali"/>
    <m/>
    <m/>
    <m/>
    <m/>
    <x v="0"/>
  </r>
  <r>
    <m/>
    <x v="1"/>
    <x v="23"/>
    <x v="23"/>
    <m/>
    <m/>
    <m/>
    <x v="1"/>
    <m/>
    <m/>
    <m/>
    <m/>
    <m/>
    <x v="0"/>
  </r>
  <r>
    <d v="2021-06-15T00:00:00"/>
    <x v="6"/>
    <x v="0"/>
    <x v="0"/>
    <n v="5000"/>
    <n v="5000"/>
    <n v="0"/>
    <x v="384"/>
    <s v="Cali"/>
    <m/>
    <m/>
    <m/>
    <m/>
    <x v="0"/>
  </r>
  <r>
    <d v="2021-06-15T00:00:00"/>
    <x v="6"/>
    <x v="19"/>
    <x v="19"/>
    <n v="-5000"/>
    <n v="0"/>
    <n v="5000"/>
    <x v="384"/>
    <s v="Cali"/>
    <m/>
    <m/>
    <m/>
    <m/>
    <x v="0"/>
  </r>
  <r>
    <m/>
    <x v="1"/>
    <x v="23"/>
    <x v="23"/>
    <m/>
    <m/>
    <m/>
    <x v="1"/>
    <m/>
    <m/>
    <m/>
    <m/>
    <m/>
    <x v="0"/>
  </r>
  <r>
    <d v="2021-06-15T00:00:00"/>
    <x v="6"/>
    <x v="0"/>
    <x v="0"/>
    <n v="20000"/>
    <n v="20000"/>
    <n v="0"/>
    <x v="196"/>
    <s v="Cali"/>
    <m/>
    <m/>
    <m/>
    <m/>
    <x v="0"/>
  </r>
  <r>
    <d v="2021-06-15T00:00:00"/>
    <x v="6"/>
    <x v="25"/>
    <x v="25"/>
    <n v="-20000"/>
    <n v="0"/>
    <n v="20000"/>
    <x v="196"/>
    <s v="Cali"/>
    <m/>
    <m/>
    <m/>
    <m/>
    <x v="0"/>
  </r>
  <r>
    <m/>
    <x v="1"/>
    <x v="23"/>
    <x v="23"/>
    <m/>
    <m/>
    <m/>
    <x v="1"/>
    <m/>
    <m/>
    <m/>
    <m/>
    <m/>
    <x v="0"/>
  </r>
  <r>
    <d v="2021-06-15T00:00:00"/>
    <x v="6"/>
    <x v="0"/>
    <x v="0"/>
    <n v="6866"/>
    <n v="6866"/>
    <n v="0"/>
    <x v="423"/>
    <s v="Cali"/>
    <m/>
    <m/>
    <m/>
    <m/>
    <x v="0"/>
  </r>
  <r>
    <d v="2021-06-15T00:00:00"/>
    <x v="6"/>
    <x v="49"/>
    <x v="49"/>
    <n v="134"/>
    <n v="134"/>
    <n v="0"/>
    <x v="423"/>
    <s v="Cali"/>
    <m/>
    <m/>
    <m/>
    <m/>
    <x v="0"/>
  </r>
  <r>
    <d v="2021-06-15T00:00:00"/>
    <x v="6"/>
    <x v="25"/>
    <x v="25"/>
    <n v="-7000"/>
    <n v="0"/>
    <n v="7000"/>
    <x v="423"/>
    <s v="Cali"/>
    <m/>
    <m/>
    <m/>
    <m/>
    <x v="0"/>
  </r>
  <r>
    <m/>
    <x v="1"/>
    <x v="23"/>
    <x v="23"/>
    <m/>
    <m/>
    <m/>
    <x v="1"/>
    <m/>
    <m/>
    <m/>
    <m/>
    <m/>
    <x v="0"/>
  </r>
  <r>
    <d v="2021-06-15T00:00:00"/>
    <x v="6"/>
    <x v="0"/>
    <x v="0"/>
    <n v="980722"/>
    <n v="980722"/>
    <n v="0"/>
    <x v="424"/>
    <s v="Cali"/>
    <m/>
    <m/>
    <m/>
    <m/>
    <x v="0"/>
  </r>
  <r>
    <d v="2021-06-15T00:00:00"/>
    <x v="6"/>
    <x v="26"/>
    <x v="26"/>
    <n v="-980722"/>
    <n v="0"/>
    <n v="980722"/>
    <x v="424"/>
    <s v="Cali"/>
    <m/>
    <m/>
    <m/>
    <m/>
    <x v="0"/>
  </r>
  <r>
    <m/>
    <x v="1"/>
    <x v="23"/>
    <x v="23"/>
    <m/>
    <m/>
    <m/>
    <x v="1"/>
    <m/>
    <m/>
    <m/>
    <m/>
    <m/>
    <x v="0"/>
  </r>
  <r>
    <d v="2021-06-15T00:00:00"/>
    <x v="6"/>
    <x v="0"/>
    <x v="0"/>
    <n v="18000"/>
    <n v="18000"/>
    <n v="0"/>
    <x v="66"/>
    <s v="Cali"/>
    <m/>
    <m/>
    <m/>
    <m/>
    <x v="0"/>
  </r>
  <r>
    <d v="2021-06-15T00:00:00"/>
    <x v="6"/>
    <x v="27"/>
    <x v="27"/>
    <n v="-18000"/>
    <n v="0"/>
    <n v="18000"/>
    <x v="66"/>
    <s v="Cali"/>
    <m/>
    <m/>
    <m/>
    <m/>
    <x v="0"/>
  </r>
  <r>
    <m/>
    <x v="1"/>
    <x v="23"/>
    <x v="23"/>
    <m/>
    <m/>
    <m/>
    <x v="1"/>
    <m/>
    <m/>
    <m/>
    <m/>
    <m/>
    <x v="0"/>
  </r>
  <r>
    <d v="2021-06-15T00:00:00"/>
    <x v="6"/>
    <x v="0"/>
    <x v="0"/>
    <n v="20000"/>
    <n v="20000"/>
    <n v="0"/>
    <x v="425"/>
    <s v="Cali"/>
    <m/>
    <m/>
    <m/>
    <m/>
    <x v="0"/>
  </r>
  <r>
    <d v="2021-06-15T00:00:00"/>
    <x v="6"/>
    <x v="25"/>
    <x v="25"/>
    <n v="-20000"/>
    <n v="0"/>
    <n v="20000"/>
    <x v="425"/>
    <s v="Cali"/>
    <m/>
    <m/>
    <m/>
    <m/>
    <x v="0"/>
  </r>
  <r>
    <m/>
    <x v="1"/>
    <x v="23"/>
    <x v="23"/>
    <m/>
    <m/>
    <m/>
    <x v="1"/>
    <m/>
    <m/>
    <m/>
    <m/>
    <m/>
    <x v="0"/>
  </r>
  <r>
    <d v="2021-06-16T00:00:00"/>
    <x v="6"/>
    <x v="14"/>
    <x v="14"/>
    <n v="169583"/>
    <n v="169583"/>
    <n v="0"/>
    <x v="426"/>
    <s v="Cali"/>
    <m/>
    <m/>
    <m/>
    <m/>
    <x v="0"/>
  </r>
  <r>
    <d v="2021-06-16T00:00:00"/>
    <x v="6"/>
    <x v="15"/>
    <x v="15"/>
    <n v="4241405"/>
    <n v="4241405"/>
    <n v="0"/>
    <x v="426"/>
    <s v="Cali"/>
    <m/>
    <m/>
    <m/>
    <m/>
    <x v="0"/>
  </r>
  <r>
    <d v="2021-06-16T00:00:00"/>
    <x v="6"/>
    <x v="0"/>
    <x v="0"/>
    <n v="-4410988"/>
    <n v="0"/>
    <n v="4410988"/>
    <x v="426"/>
    <s v="Cali"/>
    <m/>
    <m/>
    <m/>
    <m/>
    <x v="0"/>
  </r>
  <r>
    <m/>
    <x v="1"/>
    <x v="23"/>
    <x v="23"/>
    <m/>
    <m/>
    <m/>
    <x v="1"/>
    <m/>
    <m/>
    <m/>
    <m/>
    <m/>
    <x v="0"/>
  </r>
  <r>
    <d v="2021-05-25T00:00:00"/>
    <x v="5"/>
    <x v="31"/>
    <x v="31"/>
    <n v="338983"/>
    <n v="338983"/>
    <n v="0"/>
    <x v="427"/>
    <s v="Cali"/>
    <m/>
    <m/>
    <m/>
    <m/>
    <x v="0"/>
  </r>
  <r>
    <d v="2021-05-25T00:00:00"/>
    <x v="5"/>
    <x v="0"/>
    <x v="0"/>
    <n v="-300000"/>
    <n v="0"/>
    <n v="300000"/>
    <x v="427"/>
    <s v="Cali"/>
    <m/>
    <m/>
    <m/>
    <m/>
    <x v="0"/>
  </r>
  <r>
    <d v="2021-05-25T00:00:00"/>
    <x v="5"/>
    <x v="17"/>
    <x v="17"/>
    <n v="-38983"/>
    <n v="0"/>
    <n v="38983"/>
    <x v="427"/>
    <s v="Cali"/>
    <m/>
    <m/>
    <m/>
    <m/>
    <x v="0"/>
  </r>
  <r>
    <m/>
    <x v="1"/>
    <x v="23"/>
    <x v="23"/>
    <m/>
    <m/>
    <m/>
    <x v="1"/>
    <m/>
    <m/>
    <m/>
    <m/>
    <m/>
    <x v="0"/>
  </r>
  <r>
    <d v="2021-06-16T00:00:00"/>
    <x v="6"/>
    <x v="16"/>
    <x v="16"/>
    <n v="57360"/>
    <n v="57360"/>
    <n v="0"/>
    <x v="428"/>
    <s v="Cali"/>
    <m/>
    <m/>
    <m/>
    <m/>
    <x v="0"/>
  </r>
  <r>
    <d v="2021-06-16T00:00:00"/>
    <x v="6"/>
    <x v="0"/>
    <x v="0"/>
    <n v="-50764"/>
    <n v="0"/>
    <n v="50764"/>
    <x v="428"/>
    <s v="Cali"/>
    <m/>
    <m/>
    <m/>
    <m/>
    <x v="0"/>
  </r>
  <r>
    <d v="2021-06-16T00:00:00"/>
    <x v="6"/>
    <x v="17"/>
    <x v="17"/>
    <n v="-6596"/>
    <n v="0"/>
    <n v="6596"/>
    <x v="428"/>
    <s v="Cali"/>
    <m/>
    <m/>
    <m/>
    <m/>
    <x v="0"/>
  </r>
  <r>
    <m/>
    <x v="1"/>
    <x v="23"/>
    <x v="23"/>
    <m/>
    <m/>
    <m/>
    <x v="1"/>
    <m/>
    <m/>
    <m/>
    <m/>
    <m/>
    <x v="0"/>
  </r>
  <r>
    <d v="2021-06-16T00:00:00"/>
    <x v="6"/>
    <x v="1"/>
    <x v="1"/>
    <n v="25000000"/>
    <n v="25000000"/>
    <n v="0"/>
    <x v="429"/>
    <s v="Cali"/>
    <m/>
    <m/>
    <m/>
    <m/>
    <x v="0"/>
  </r>
  <r>
    <d v="2021-06-16T00:00:00"/>
    <x v="6"/>
    <x v="0"/>
    <x v="0"/>
    <n v="-25000000"/>
    <n v="0"/>
    <n v="25000000"/>
    <x v="429"/>
    <s v="Cali"/>
    <m/>
    <m/>
    <m/>
    <m/>
    <x v="0"/>
  </r>
  <r>
    <m/>
    <x v="1"/>
    <x v="23"/>
    <x v="23"/>
    <m/>
    <m/>
    <m/>
    <x v="1"/>
    <m/>
    <m/>
    <m/>
    <m/>
    <m/>
    <x v="0"/>
  </r>
  <r>
    <d v="2021-06-16T00:00:00"/>
    <x v="6"/>
    <x v="0"/>
    <x v="0"/>
    <n v="250000"/>
    <n v="250000"/>
    <n v="0"/>
    <x v="430"/>
    <s v="Cali"/>
    <m/>
    <m/>
    <m/>
    <m/>
    <x v="0"/>
  </r>
  <r>
    <d v="2021-06-16T00:00:00"/>
    <x v="6"/>
    <x v="26"/>
    <x v="26"/>
    <n v="-250000"/>
    <n v="0"/>
    <n v="250000"/>
    <x v="430"/>
    <s v="Cali"/>
    <m/>
    <m/>
    <m/>
    <m/>
    <x v="0"/>
  </r>
  <r>
    <m/>
    <x v="1"/>
    <x v="23"/>
    <x v="23"/>
    <m/>
    <m/>
    <m/>
    <x v="1"/>
    <m/>
    <m/>
    <m/>
    <m/>
    <m/>
    <x v="0"/>
  </r>
  <r>
    <d v="2021-06-18T00:00:00"/>
    <x v="6"/>
    <x v="0"/>
    <x v="0"/>
    <n v="20000"/>
    <n v="20000"/>
    <n v="0"/>
    <x v="318"/>
    <s v="Cali"/>
    <m/>
    <m/>
    <m/>
    <m/>
    <x v="0"/>
  </r>
  <r>
    <d v="2021-06-18T00:00:00"/>
    <x v="6"/>
    <x v="25"/>
    <x v="25"/>
    <n v="-20000"/>
    <n v="0"/>
    <n v="20000"/>
    <x v="318"/>
    <s v="Cali"/>
    <m/>
    <m/>
    <m/>
    <m/>
    <x v="0"/>
  </r>
  <r>
    <m/>
    <x v="1"/>
    <x v="23"/>
    <x v="23"/>
    <m/>
    <m/>
    <m/>
    <x v="1"/>
    <m/>
    <m/>
    <m/>
    <m/>
    <m/>
    <x v="0"/>
  </r>
  <r>
    <d v="2021-06-18T00:00:00"/>
    <x v="6"/>
    <x v="0"/>
    <x v="0"/>
    <n v="30000"/>
    <n v="30000"/>
    <n v="0"/>
    <x v="156"/>
    <s v="Cali"/>
    <m/>
    <m/>
    <m/>
    <m/>
    <x v="0"/>
  </r>
  <r>
    <d v="2021-06-18T00:00:00"/>
    <x v="6"/>
    <x v="25"/>
    <x v="25"/>
    <n v="-30000"/>
    <n v="0"/>
    <n v="30000"/>
    <x v="156"/>
    <s v="Cali"/>
    <m/>
    <m/>
    <m/>
    <m/>
    <x v="0"/>
  </r>
  <r>
    <m/>
    <x v="1"/>
    <x v="23"/>
    <x v="23"/>
    <m/>
    <m/>
    <m/>
    <x v="1"/>
    <m/>
    <m/>
    <m/>
    <m/>
    <m/>
    <x v="0"/>
  </r>
  <r>
    <d v="2021-06-18T00:00:00"/>
    <x v="6"/>
    <x v="0"/>
    <x v="0"/>
    <n v="40000"/>
    <n v="40000"/>
    <n v="0"/>
    <x v="65"/>
    <s v="Cali"/>
    <m/>
    <m/>
    <m/>
    <m/>
    <x v="0"/>
  </r>
  <r>
    <d v="2021-06-18T00:00:00"/>
    <x v="6"/>
    <x v="29"/>
    <x v="29"/>
    <n v="-40000"/>
    <n v="0"/>
    <n v="4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6-18T00:00:00"/>
    <x v="6"/>
    <x v="0"/>
    <x v="0"/>
    <n v="223000"/>
    <n v="223000"/>
    <n v="0"/>
    <x v="65"/>
    <s v="Cali"/>
    <m/>
    <m/>
    <m/>
    <m/>
    <x v="0"/>
  </r>
  <r>
    <d v="2021-06-18T00:00:00"/>
    <x v="6"/>
    <x v="29"/>
    <x v="29"/>
    <n v="-223000"/>
    <n v="0"/>
    <n v="223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6-18T00:00:00"/>
    <x v="6"/>
    <x v="0"/>
    <x v="0"/>
    <n v="115000"/>
    <n v="115000"/>
    <n v="0"/>
    <x v="65"/>
    <s v="Cali"/>
    <m/>
    <m/>
    <m/>
    <m/>
    <x v="0"/>
  </r>
  <r>
    <d v="2021-06-18T00:00:00"/>
    <x v="6"/>
    <x v="29"/>
    <x v="29"/>
    <n v="-115000"/>
    <n v="0"/>
    <n v="11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6-18T00:00:00"/>
    <x v="6"/>
    <x v="0"/>
    <x v="0"/>
    <n v="65000"/>
    <n v="65000"/>
    <n v="0"/>
    <x v="65"/>
    <s v="Cali"/>
    <m/>
    <m/>
    <m/>
    <m/>
    <x v="0"/>
  </r>
  <r>
    <d v="2021-06-18T00:00:00"/>
    <x v="6"/>
    <x v="29"/>
    <x v="29"/>
    <n v="-65000"/>
    <n v="0"/>
    <n v="6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6-22T00:00:00"/>
    <x v="6"/>
    <x v="0"/>
    <x v="0"/>
    <n v="5000"/>
    <n v="5000"/>
    <n v="0"/>
    <x v="367"/>
    <s v="Cali"/>
    <m/>
    <m/>
    <m/>
    <m/>
    <x v="0"/>
  </r>
  <r>
    <d v="2021-06-22T00:00:00"/>
    <x v="6"/>
    <x v="25"/>
    <x v="25"/>
    <n v="-5000"/>
    <n v="0"/>
    <n v="5000"/>
    <x v="367"/>
    <s v="Cali"/>
    <m/>
    <m/>
    <m/>
    <m/>
    <x v="0"/>
  </r>
  <r>
    <m/>
    <x v="1"/>
    <x v="23"/>
    <x v="23"/>
    <m/>
    <m/>
    <m/>
    <x v="1"/>
    <m/>
    <m/>
    <m/>
    <m/>
    <m/>
    <x v="0"/>
  </r>
  <r>
    <d v="2021-06-22T00:00:00"/>
    <x v="6"/>
    <x v="0"/>
    <x v="0"/>
    <n v="20000"/>
    <n v="20000"/>
    <n v="0"/>
    <x v="201"/>
    <s v="Cali"/>
    <m/>
    <m/>
    <m/>
    <m/>
    <x v="0"/>
  </r>
  <r>
    <d v="2021-06-22T00:00:00"/>
    <x v="6"/>
    <x v="25"/>
    <x v="25"/>
    <n v="-20000"/>
    <n v="0"/>
    <n v="20000"/>
    <x v="201"/>
    <s v="Cali"/>
    <m/>
    <m/>
    <m/>
    <m/>
    <x v="0"/>
  </r>
  <r>
    <m/>
    <x v="1"/>
    <x v="23"/>
    <x v="23"/>
    <m/>
    <m/>
    <m/>
    <x v="1"/>
    <m/>
    <m/>
    <m/>
    <m/>
    <m/>
    <x v="0"/>
  </r>
  <r>
    <d v="2021-06-22T00:00:00"/>
    <x v="6"/>
    <x v="0"/>
    <x v="0"/>
    <n v="150000"/>
    <n v="150000"/>
    <n v="0"/>
    <x v="431"/>
    <s v="Cali"/>
    <m/>
    <m/>
    <m/>
    <m/>
    <x v="0"/>
  </r>
  <r>
    <d v="2021-06-22T00:00:00"/>
    <x v="6"/>
    <x v="25"/>
    <x v="25"/>
    <n v="-150000"/>
    <n v="0"/>
    <n v="150000"/>
    <x v="431"/>
    <s v="Cali"/>
    <m/>
    <m/>
    <m/>
    <m/>
    <x v="0"/>
  </r>
  <r>
    <m/>
    <x v="1"/>
    <x v="23"/>
    <x v="23"/>
    <m/>
    <m/>
    <m/>
    <x v="1"/>
    <m/>
    <m/>
    <m/>
    <m/>
    <m/>
    <x v="0"/>
  </r>
  <r>
    <d v="2021-06-22T00:00:00"/>
    <x v="6"/>
    <x v="0"/>
    <x v="0"/>
    <n v="2000"/>
    <n v="2000"/>
    <n v="0"/>
    <x v="177"/>
    <s v="Cali"/>
    <m/>
    <m/>
    <m/>
    <m/>
    <x v="0"/>
  </r>
  <r>
    <d v="2021-06-22T00:00:00"/>
    <x v="6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6-22T00:00:00"/>
    <x v="6"/>
    <x v="0"/>
    <x v="0"/>
    <n v="3000000"/>
    <n v="3000000"/>
    <n v="0"/>
    <x v="306"/>
    <s v="Cali"/>
    <m/>
    <m/>
    <m/>
    <m/>
    <x v="0"/>
  </r>
  <r>
    <d v="2021-06-22T00:00:00"/>
    <x v="6"/>
    <x v="26"/>
    <x v="26"/>
    <n v="-3000000"/>
    <n v="0"/>
    <n v="3000000"/>
    <x v="306"/>
    <s v="Cali"/>
    <m/>
    <m/>
    <m/>
    <m/>
    <x v="0"/>
  </r>
  <r>
    <m/>
    <x v="1"/>
    <x v="23"/>
    <x v="23"/>
    <m/>
    <m/>
    <m/>
    <x v="1"/>
    <m/>
    <m/>
    <m/>
    <m/>
    <m/>
    <x v="0"/>
  </r>
  <r>
    <d v="2021-06-22T00:00:00"/>
    <x v="6"/>
    <x v="0"/>
    <x v="0"/>
    <n v="10000"/>
    <n v="10000"/>
    <n v="0"/>
    <x v="409"/>
    <s v="Cali"/>
    <m/>
    <m/>
    <m/>
    <m/>
    <x v="0"/>
  </r>
  <r>
    <d v="2021-06-22T00:00:00"/>
    <x v="6"/>
    <x v="25"/>
    <x v="25"/>
    <n v="-10000"/>
    <n v="0"/>
    <n v="10000"/>
    <x v="409"/>
    <s v="Cali"/>
    <m/>
    <m/>
    <m/>
    <m/>
    <x v="0"/>
  </r>
  <r>
    <m/>
    <x v="1"/>
    <x v="23"/>
    <x v="23"/>
    <m/>
    <m/>
    <m/>
    <x v="1"/>
    <m/>
    <m/>
    <m/>
    <m/>
    <m/>
    <x v="0"/>
  </r>
  <r>
    <d v="2021-06-22T00:00:00"/>
    <x v="6"/>
    <x v="0"/>
    <x v="0"/>
    <n v="9807"/>
    <n v="9807"/>
    <n v="0"/>
    <x v="432"/>
    <s v="Cali"/>
    <m/>
    <m/>
    <m/>
    <m/>
    <x v="0"/>
  </r>
  <r>
    <d v="2021-06-22T00:00:00"/>
    <x v="6"/>
    <x v="49"/>
    <x v="49"/>
    <n v="193"/>
    <n v="193"/>
    <n v="0"/>
    <x v="432"/>
    <s v="Cali"/>
    <m/>
    <m/>
    <m/>
    <m/>
    <x v="0"/>
  </r>
  <r>
    <d v="2021-06-22T00:00:00"/>
    <x v="6"/>
    <x v="25"/>
    <x v="25"/>
    <n v="-10000"/>
    <n v="0"/>
    <n v="10000"/>
    <x v="432"/>
    <s v="Cali"/>
    <m/>
    <m/>
    <m/>
    <m/>
    <x v="0"/>
  </r>
  <r>
    <m/>
    <x v="1"/>
    <x v="23"/>
    <x v="23"/>
    <m/>
    <m/>
    <m/>
    <x v="1"/>
    <m/>
    <m/>
    <m/>
    <m/>
    <m/>
    <x v="0"/>
  </r>
  <r>
    <d v="2021-06-23T00:00:00"/>
    <x v="6"/>
    <x v="0"/>
    <x v="0"/>
    <n v="20000"/>
    <n v="20000"/>
    <n v="0"/>
    <x v="198"/>
    <s v="Cali"/>
    <m/>
    <m/>
    <m/>
    <m/>
    <x v="0"/>
  </r>
  <r>
    <d v="2021-06-23T00:00:00"/>
    <x v="6"/>
    <x v="27"/>
    <x v="27"/>
    <n v="-20000"/>
    <n v="0"/>
    <n v="20000"/>
    <x v="198"/>
    <s v="Cali"/>
    <m/>
    <m/>
    <m/>
    <m/>
    <x v="0"/>
  </r>
  <r>
    <m/>
    <x v="1"/>
    <x v="23"/>
    <x v="23"/>
    <m/>
    <m/>
    <m/>
    <x v="1"/>
    <m/>
    <m/>
    <m/>
    <m/>
    <m/>
    <x v="0"/>
  </r>
  <r>
    <d v="2021-06-23T00:00:00"/>
    <x v="6"/>
    <x v="0"/>
    <x v="0"/>
    <n v="30000"/>
    <n v="30000"/>
    <n v="0"/>
    <x v="203"/>
    <s v="Cali"/>
    <m/>
    <m/>
    <m/>
    <m/>
    <x v="0"/>
  </r>
  <r>
    <d v="2021-06-23T00:00:00"/>
    <x v="6"/>
    <x v="27"/>
    <x v="27"/>
    <n v="-30000"/>
    <n v="0"/>
    <n v="30000"/>
    <x v="203"/>
    <s v="Cali"/>
    <m/>
    <m/>
    <m/>
    <m/>
    <x v="0"/>
  </r>
  <r>
    <m/>
    <x v="1"/>
    <x v="23"/>
    <x v="23"/>
    <m/>
    <m/>
    <m/>
    <x v="1"/>
    <m/>
    <m/>
    <m/>
    <m/>
    <m/>
    <x v="0"/>
  </r>
  <r>
    <d v="2021-06-23T00:00:00"/>
    <x v="6"/>
    <x v="0"/>
    <x v="0"/>
    <n v="100000"/>
    <n v="100000"/>
    <n v="0"/>
    <x v="333"/>
    <s v="Cali"/>
    <m/>
    <m/>
    <m/>
    <m/>
    <x v="0"/>
  </r>
  <r>
    <d v="2021-06-23T00:00:00"/>
    <x v="6"/>
    <x v="26"/>
    <x v="26"/>
    <n v="-100000"/>
    <n v="0"/>
    <n v="100000"/>
    <x v="333"/>
    <s v="Cali"/>
    <m/>
    <m/>
    <m/>
    <m/>
    <x v="0"/>
  </r>
  <r>
    <m/>
    <x v="1"/>
    <x v="23"/>
    <x v="23"/>
    <m/>
    <m/>
    <m/>
    <x v="1"/>
    <m/>
    <m/>
    <m/>
    <m/>
    <m/>
    <x v="0"/>
  </r>
  <r>
    <d v="2021-06-23T00:00:00"/>
    <x v="6"/>
    <x v="0"/>
    <x v="0"/>
    <n v="20000"/>
    <n v="20000"/>
    <n v="0"/>
    <x v="85"/>
    <s v="Cali"/>
    <m/>
    <m/>
    <m/>
    <m/>
    <x v="0"/>
  </r>
  <r>
    <d v="2021-06-23T00:00:00"/>
    <x v="6"/>
    <x v="25"/>
    <x v="25"/>
    <n v="-20000"/>
    <n v="0"/>
    <n v="20000"/>
    <x v="85"/>
    <s v="Cali"/>
    <m/>
    <m/>
    <m/>
    <m/>
    <x v="0"/>
  </r>
  <r>
    <m/>
    <x v="1"/>
    <x v="23"/>
    <x v="23"/>
    <m/>
    <m/>
    <m/>
    <x v="1"/>
    <m/>
    <m/>
    <m/>
    <m/>
    <m/>
    <x v="0"/>
  </r>
  <r>
    <d v="2021-06-23T00:00:00"/>
    <x v="6"/>
    <x v="0"/>
    <x v="0"/>
    <n v="19614"/>
    <n v="19614"/>
    <n v="0"/>
    <x v="248"/>
    <s v="Cali"/>
    <m/>
    <m/>
    <m/>
    <m/>
    <x v="0"/>
  </r>
  <r>
    <d v="2021-06-23T00:00:00"/>
    <x v="6"/>
    <x v="26"/>
    <x v="26"/>
    <n v="-19614"/>
    <n v="0"/>
    <n v="19614"/>
    <x v="248"/>
    <s v="Cali"/>
    <m/>
    <m/>
    <m/>
    <m/>
    <x v="0"/>
  </r>
  <r>
    <m/>
    <x v="1"/>
    <x v="23"/>
    <x v="23"/>
    <m/>
    <m/>
    <m/>
    <x v="1"/>
    <m/>
    <m/>
    <m/>
    <m/>
    <m/>
    <x v="0"/>
  </r>
  <r>
    <d v="2021-06-23T00:00:00"/>
    <x v="6"/>
    <x v="0"/>
    <x v="0"/>
    <n v="5000"/>
    <n v="5000"/>
    <n v="0"/>
    <x v="433"/>
    <s v="Cali"/>
    <m/>
    <m/>
    <m/>
    <m/>
    <x v="0"/>
  </r>
  <r>
    <d v="2021-06-23T00:00:00"/>
    <x v="6"/>
    <x v="25"/>
    <x v="25"/>
    <n v="-5000"/>
    <n v="0"/>
    <n v="5000"/>
    <x v="433"/>
    <s v="Cali"/>
    <m/>
    <m/>
    <m/>
    <m/>
    <x v="0"/>
  </r>
  <r>
    <m/>
    <x v="1"/>
    <x v="23"/>
    <x v="23"/>
    <m/>
    <m/>
    <m/>
    <x v="1"/>
    <m/>
    <m/>
    <m/>
    <m/>
    <m/>
    <x v="0"/>
  </r>
  <r>
    <d v="2021-06-24T00:00:00"/>
    <x v="6"/>
    <x v="0"/>
    <x v="0"/>
    <n v="1000000"/>
    <n v="1000000"/>
    <n v="0"/>
    <x v="253"/>
    <s v="Cali"/>
    <m/>
    <m/>
    <m/>
    <m/>
    <x v="0"/>
  </r>
  <r>
    <d v="2021-06-24T00:00:00"/>
    <x v="6"/>
    <x v="26"/>
    <x v="26"/>
    <n v="-1000000"/>
    <n v="0"/>
    <n v="1000000"/>
    <x v="253"/>
    <s v="Cali"/>
    <m/>
    <m/>
    <m/>
    <m/>
    <x v="0"/>
  </r>
  <r>
    <m/>
    <x v="1"/>
    <x v="23"/>
    <x v="23"/>
    <m/>
    <m/>
    <m/>
    <x v="1"/>
    <m/>
    <m/>
    <m/>
    <m/>
    <m/>
    <x v="0"/>
  </r>
  <r>
    <d v="2021-06-25T00:00:00"/>
    <x v="6"/>
    <x v="0"/>
    <x v="0"/>
    <n v="10000"/>
    <n v="10000"/>
    <n v="0"/>
    <x v="308"/>
    <s v="Cali"/>
    <m/>
    <m/>
    <m/>
    <m/>
    <x v="0"/>
  </r>
  <r>
    <d v="2021-06-25T00:00:00"/>
    <x v="6"/>
    <x v="25"/>
    <x v="25"/>
    <n v="-10000"/>
    <n v="0"/>
    <n v="10000"/>
    <x v="308"/>
    <s v="Cali"/>
    <m/>
    <m/>
    <m/>
    <m/>
    <x v="0"/>
  </r>
  <r>
    <m/>
    <x v="1"/>
    <x v="23"/>
    <x v="23"/>
    <m/>
    <m/>
    <m/>
    <x v="1"/>
    <m/>
    <m/>
    <m/>
    <m/>
    <m/>
    <x v="0"/>
  </r>
  <r>
    <d v="2021-06-25T00:00:00"/>
    <x v="6"/>
    <x v="0"/>
    <x v="0"/>
    <n v="20000"/>
    <n v="20000"/>
    <n v="0"/>
    <x v="434"/>
    <s v="Cali"/>
    <m/>
    <m/>
    <m/>
    <m/>
    <x v="0"/>
  </r>
  <r>
    <d v="2021-06-25T00:00:00"/>
    <x v="6"/>
    <x v="20"/>
    <x v="20"/>
    <n v="-20000"/>
    <n v="0"/>
    <n v="20000"/>
    <x v="434"/>
    <s v="Cali"/>
    <m/>
    <m/>
    <m/>
    <m/>
    <x v="0"/>
  </r>
  <r>
    <m/>
    <x v="1"/>
    <x v="23"/>
    <x v="23"/>
    <m/>
    <m/>
    <m/>
    <x v="1"/>
    <m/>
    <m/>
    <m/>
    <m/>
    <m/>
    <x v="0"/>
  </r>
  <r>
    <d v="2021-06-25T00:00:00"/>
    <x v="6"/>
    <x v="0"/>
    <x v="0"/>
    <n v="10000"/>
    <n v="10000"/>
    <n v="0"/>
    <x v="206"/>
    <s v="Cali"/>
    <m/>
    <m/>
    <m/>
    <m/>
    <x v="0"/>
  </r>
  <r>
    <d v="2021-06-25T00:00:00"/>
    <x v="6"/>
    <x v="26"/>
    <x v="26"/>
    <n v="-10000"/>
    <n v="0"/>
    <n v="10000"/>
    <x v="206"/>
    <s v="Cali"/>
    <m/>
    <m/>
    <m/>
    <m/>
    <x v="0"/>
  </r>
  <r>
    <m/>
    <x v="1"/>
    <x v="23"/>
    <x v="23"/>
    <m/>
    <m/>
    <m/>
    <x v="1"/>
    <m/>
    <m/>
    <m/>
    <m/>
    <m/>
    <x v="0"/>
  </r>
  <r>
    <d v="2021-06-25T00:00:00"/>
    <x v="6"/>
    <x v="0"/>
    <x v="0"/>
    <n v="1474790"/>
    <n v="1474790"/>
    <n v="0"/>
    <x v="435"/>
    <s v="Cali"/>
    <m/>
    <m/>
    <m/>
    <m/>
    <x v="0"/>
  </r>
  <r>
    <d v="2021-06-25T00:00:00"/>
    <x v="6"/>
    <x v="26"/>
    <x v="26"/>
    <n v="-1474790"/>
    <n v="0"/>
    <n v="1474790"/>
    <x v="435"/>
    <s v="Cali"/>
    <m/>
    <m/>
    <m/>
    <m/>
    <x v="0"/>
  </r>
  <r>
    <m/>
    <x v="1"/>
    <x v="23"/>
    <x v="23"/>
    <m/>
    <m/>
    <m/>
    <x v="1"/>
    <m/>
    <m/>
    <m/>
    <m/>
    <m/>
    <x v="0"/>
  </r>
  <r>
    <d v="2021-06-25T00:00:00"/>
    <x v="6"/>
    <x v="0"/>
    <x v="0"/>
    <n v="2171504"/>
    <n v="2171504"/>
    <n v="0"/>
    <x v="436"/>
    <s v="Cali"/>
    <m/>
    <m/>
    <m/>
    <m/>
    <x v="0"/>
  </r>
  <r>
    <d v="2021-06-25T00:00:00"/>
    <x v="6"/>
    <x v="44"/>
    <x v="44"/>
    <n v="-2171504"/>
    <n v="0"/>
    <n v="2171504"/>
    <x v="436"/>
    <s v="Cali"/>
    <m/>
    <m/>
    <m/>
    <m/>
    <x v="0"/>
  </r>
  <r>
    <m/>
    <x v="1"/>
    <x v="23"/>
    <x v="23"/>
    <m/>
    <m/>
    <m/>
    <x v="1"/>
    <m/>
    <m/>
    <m/>
    <m/>
    <m/>
    <x v="0"/>
  </r>
  <r>
    <d v="2021-06-25T00:00:00"/>
    <x v="6"/>
    <x v="0"/>
    <x v="0"/>
    <n v="1471625"/>
    <n v="1471625"/>
    <n v="0"/>
    <x v="437"/>
    <s v="Cali"/>
    <m/>
    <m/>
    <m/>
    <m/>
    <x v="0"/>
  </r>
  <r>
    <d v="2021-06-25T00:00:00"/>
    <x v="6"/>
    <x v="45"/>
    <x v="45"/>
    <n v="-1471625"/>
    <n v="0"/>
    <n v="1471625"/>
    <x v="437"/>
    <s v="Cali"/>
    <m/>
    <m/>
    <m/>
    <m/>
    <x v="0"/>
  </r>
  <r>
    <m/>
    <x v="1"/>
    <x v="23"/>
    <x v="23"/>
    <m/>
    <m/>
    <m/>
    <x v="1"/>
    <m/>
    <m/>
    <m/>
    <m/>
    <m/>
    <x v="0"/>
  </r>
  <r>
    <d v="2021-06-29T00:00:00"/>
    <x v="6"/>
    <x v="0"/>
    <x v="0"/>
    <n v="10000"/>
    <n v="10000"/>
    <n v="0"/>
    <x v="277"/>
    <s v="Cali"/>
    <m/>
    <m/>
    <m/>
    <m/>
    <x v="0"/>
  </r>
  <r>
    <d v="2021-06-29T00:00:00"/>
    <x v="6"/>
    <x v="25"/>
    <x v="25"/>
    <n v="-10000"/>
    <n v="0"/>
    <n v="10000"/>
    <x v="277"/>
    <s v="Cali"/>
    <m/>
    <m/>
    <m/>
    <m/>
    <x v="0"/>
  </r>
  <r>
    <m/>
    <x v="1"/>
    <x v="23"/>
    <x v="23"/>
    <m/>
    <m/>
    <m/>
    <x v="1"/>
    <m/>
    <m/>
    <m/>
    <m/>
    <m/>
    <x v="0"/>
  </r>
  <r>
    <d v="2021-06-29T00:00:00"/>
    <x v="6"/>
    <x v="0"/>
    <x v="0"/>
    <n v="400000"/>
    <n v="400000"/>
    <n v="0"/>
    <x v="212"/>
    <s v="Cali"/>
    <m/>
    <m/>
    <m/>
    <m/>
    <x v="0"/>
  </r>
  <r>
    <d v="2021-06-29T00:00:00"/>
    <x v="6"/>
    <x v="26"/>
    <x v="26"/>
    <n v="-400000"/>
    <n v="0"/>
    <n v="400000"/>
    <x v="212"/>
    <s v="Cali"/>
    <m/>
    <m/>
    <m/>
    <m/>
    <x v="0"/>
  </r>
  <r>
    <m/>
    <x v="1"/>
    <x v="23"/>
    <x v="23"/>
    <m/>
    <m/>
    <m/>
    <x v="1"/>
    <m/>
    <m/>
    <m/>
    <m/>
    <m/>
    <x v="0"/>
  </r>
  <r>
    <d v="2021-06-29T00:00:00"/>
    <x v="6"/>
    <x v="0"/>
    <x v="0"/>
    <n v="2000"/>
    <n v="2000"/>
    <n v="0"/>
    <x v="177"/>
    <s v="Cali"/>
    <m/>
    <m/>
    <m/>
    <m/>
    <x v="0"/>
  </r>
  <r>
    <d v="2021-06-29T00:00:00"/>
    <x v="6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6-29T00:00:00"/>
    <x v="6"/>
    <x v="0"/>
    <x v="0"/>
    <n v="20000"/>
    <n v="20000"/>
    <n v="0"/>
    <x v="132"/>
    <s v="Cali"/>
    <m/>
    <m/>
    <m/>
    <m/>
    <x v="0"/>
  </r>
  <r>
    <d v="2021-06-29T00:00:00"/>
    <x v="6"/>
    <x v="25"/>
    <x v="25"/>
    <n v="-20000"/>
    <n v="0"/>
    <n v="20000"/>
    <x v="132"/>
    <s v="Cali"/>
    <m/>
    <m/>
    <m/>
    <m/>
    <x v="0"/>
  </r>
  <r>
    <m/>
    <x v="1"/>
    <x v="23"/>
    <x v="23"/>
    <m/>
    <m/>
    <m/>
    <x v="1"/>
    <m/>
    <m/>
    <m/>
    <m/>
    <m/>
    <x v="0"/>
  </r>
  <r>
    <d v="2021-06-29T00:00:00"/>
    <x v="6"/>
    <x v="0"/>
    <x v="0"/>
    <n v="15000"/>
    <n v="15000"/>
    <n v="0"/>
    <x v="137"/>
    <s v="Cali"/>
    <m/>
    <m/>
    <m/>
    <m/>
    <x v="0"/>
  </r>
  <r>
    <d v="2021-06-29T00:00:00"/>
    <x v="6"/>
    <x v="26"/>
    <x v="26"/>
    <n v="-15000"/>
    <n v="0"/>
    <n v="15000"/>
    <x v="137"/>
    <s v="Cali"/>
    <m/>
    <m/>
    <m/>
    <m/>
    <x v="0"/>
  </r>
  <r>
    <m/>
    <x v="1"/>
    <x v="23"/>
    <x v="23"/>
    <m/>
    <m/>
    <m/>
    <x v="1"/>
    <m/>
    <m/>
    <m/>
    <m/>
    <m/>
    <x v="0"/>
  </r>
  <r>
    <d v="2021-06-29T00:00:00"/>
    <x v="6"/>
    <x v="0"/>
    <x v="0"/>
    <n v="20000"/>
    <n v="20000"/>
    <n v="0"/>
    <x v="237"/>
    <s v="Cali"/>
    <m/>
    <m/>
    <m/>
    <m/>
    <x v="0"/>
  </r>
  <r>
    <d v="2021-06-29T00:00:00"/>
    <x v="6"/>
    <x v="19"/>
    <x v="19"/>
    <n v="-20000"/>
    <n v="0"/>
    <n v="20000"/>
    <x v="237"/>
    <s v="Cali"/>
    <m/>
    <m/>
    <m/>
    <m/>
    <x v="0"/>
  </r>
  <r>
    <m/>
    <x v="1"/>
    <x v="23"/>
    <x v="23"/>
    <m/>
    <m/>
    <m/>
    <x v="1"/>
    <m/>
    <m/>
    <m/>
    <m/>
    <m/>
    <x v="0"/>
  </r>
  <r>
    <d v="2021-06-29T00:00:00"/>
    <x v="6"/>
    <x v="0"/>
    <x v="0"/>
    <n v="10000"/>
    <n v="10000"/>
    <n v="0"/>
    <x v="236"/>
    <s v="Cali"/>
    <m/>
    <m/>
    <m/>
    <m/>
    <x v="0"/>
  </r>
  <r>
    <d v="2021-06-29T00:00:00"/>
    <x v="6"/>
    <x v="25"/>
    <x v="25"/>
    <n v="-10000"/>
    <n v="0"/>
    <n v="10000"/>
    <x v="236"/>
    <s v="Cali"/>
    <m/>
    <m/>
    <m/>
    <m/>
    <x v="0"/>
  </r>
  <r>
    <m/>
    <x v="1"/>
    <x v="23"/>
    <x v="23"/>
    <m/>
    <m/>
    <m/>
    <x v="1"/>
    <m/>
    <m/>
    <m/>
    <m/>
    <m/>
    <x v="0"/>
  </r>
  <r>
    <d v="2021-06-29T00:00:00"/>
    <x v="6"/>
    <x v="0"/>
    <x v="0"/>
    <n v="125000"/>
    <n v="125000"/>
    <n v="0"/>
    <x v="136"/>
    <s v="Cali"/>
    <m/>
    <m/>
    <m/>
    <m/>
    <x v="0"/>
  </r>
  <r>
    <d v="2021-06-29T00:00:00"/>
    <x v="6"/>
    <x v="26"/>
    <x v="26"/>
    <n v="-125000"/>
    <n v="0"/>
    <n v="125000"/>
    <x v="136"/>
    <s v="Cali"/>
    <m/>
    <m/>
    <m/>
    <m/>
    <x v="0"/>
  </r>
  <r>
    <m/>
    <x v="1"/>
    <x v="23"/>
    <x v="23"/>
    <m/>
    <m/>
    <m/>
    <x v="1"/>
    <m/>
    <m/>
    <m/>
    <m/>
    <m/>
    <x v="0"/>
  </r>
  <r>
    <d v="2021-06-29T00:00:00"/>
    <x v="6"/>
    <x v="0"/>
    <x v="0"/>
    <n v="100000"/>
    <n v="100000"/>
    <n v="0"/>
    <x v="281"/>
    <s v="Cali"/>
    <m/>
    <m/>
    <m/>
    <m/>
    <x v="0"/>
  </r>
  <r>
    <d v="2021-06-29T00:00:00"/>
    <x v="6"/>
    <x v="26"/>
    <x v="26"/>
    <n v="-100000"/>
    <n v="0"/>
    <n v="100000"/>
    <x v="281"/>
    <s v="Cali"/>
    <m/>
    <m/>
    <m/>
    <m/>
    <x v="0"/>
  </r>
  <r>
    <m/>
    <x v="1"/>
    <x v="23"/>
    <x v="23"/>
    <m/>
    <m/>
    <m/>
    <x v="1"/>
    <m/>
    <m/>
    <m/>
    <m/>
    <m/>
    <x v="0"/>
  </r>
  <r>
    <d v="2021-06-29T00:00:00"/>
    <x v="6"/>
    <x v="0"/>
    <x v="0"/>
    <n v="20000"/>
    <n v="20000"/>
    <n v="0"/>
    <x v="438"/>
    <s v="Cali"/>
    <m/>
    <m/>
    <m/>
    <m/>
    <x v="0"/>
  </r>
  <r>
    <d v="2021-06-29T00:00:00"/>
    <x v="6"/>
    <x v="20"/>
    <x v="20"/>
    <n v="-20000"/>
    <n v="0"/>
    <n v="20000"/>
    <x v="438"/>
    <s v="Cali"/>
    <m/>
    <m/>
    <m/>
    <m/>
    <x v="0"/>
  </r>
  <r>
    <m/>
    <x v="1"/>
    <x v="23"/>
    <x v="23"/>
    <m/>
    <m/>
    <m/>
    <x v="1"/>
    <m/>
    <m/>
    <m/>
    <m/>
    <m/>
    <x v="0"/>
  </r>
  <r>
    <d v="2021-06-29T00:00:00"/>
    <x v="6"/>
    <x v="0"/>
    <x v="0"/>
    <n v="73000"/>
    <n v="73000"/>
    <n v="0"/>
    <x v="240"/>
    <s v="Cali"/>
    <m/>
    <m/>
    <m/>
    <m/>
    <x v="0"/>
  </r>
  <r>
    <d v="2021-06-29T00:00:00"/>
    <x v="6"/>
    <x v="26"/>
    <x v="26"/>
    <n v="-73000"/>
    <n v="0"/>
    <n v="73000"/>
    <x v="240"/>
    <s v="Cali"/>
    <m/>
    <m/>
    <m/>
    <m/>
    <x v="0"/>
  </r>
  <r>
    <m/>
    <x v="1"/>
    <x v="23"/>
    <x v="23"/>
    <m/>
    <m/>
    <m/>
    <x v="1"/>
    <m/>
    <m/>
    <m/>
    <m/>
    <m/>
    <x v="0"/>
  </r>
  <r>
    <d v="2021-06-29T00:00:00"/>
    <x v="6"/>
    <x v="0"/>
    <x v="0"/>
    <n v="40000"/>
    <n v="40000"/>
    <n v="0"/>
    <x v="241"/>
    <s v="Cali"/>
    <m/>
    <m/>
    <m/>
    <m/>
    <x v="0"/>
  </r>
  <r>
    <d v="2021-06-29T00:00:00"/>
    <x v="6"/>
    <x v="26"/>
    <x v="26"/>
    <n v="-40000"/>
    <n v="0"/>
    <n v="40000"/>
    <x v="241"/>
    <s v="Cali"/>
    <m/>
    <m/>
    <m/>
    <m/>
    <x v="0"/>
  </r>
  <r>
    <m/>
    <x v="1"/>
    <x v="23"/>
    <x v="23"/>
    <m/>
    <m/>
    <m/>
    <x v="1"/>
    <m/>
    <m/>
    <m/>
    <m/>
    <m/>
    <x v="0"/>
  </r>
  <r>
    <d v="2021-06-29T00:00:00"/>
    <x v="6"/>
    <x v="0"/>
    <x v="0"/>
    <n v="60000"/>
    <n v="60000"/>
    <n v="0"/>
    <x v="238"/>
    <s v="Cali"/>
    <m/>
    <m/>
    <m/>
    <m/>
    <x v="0"/>
  </r>
  <r>
    <d v="2021-06-29T00:00:00"/>
    <x v="6"/>
    <x v="25"/>
    <x v="25"/>
    <n v="-60000"/>
    <n v="0"/>
    <n v="60000"/>
    <x v="238"/>
    <s v="Cali"/>
    <m/>
    <m/>
    <m/>
    <m/>
    <x v="0"/>
  </r>
  <r>
    <m/>
    <x v="1"/>
    <x v="23"/>
    <x v="23"/>
    <m/>
    <m/>
    <m/>
    <x v="1"/>
    <m/>
    <s v="80965500-8"/>
    <s v="PROYECTOS Y CONSTRUCCIONES TASCO LIMITADA"/>
    <n v="2957"/>
    <m/>
    <x v="0"/>
  </r>
  <r>
    <d v="2021-06-29T00:00:00"/>
    <x v="6"/>
    <x v="0"/>
    <x v="0"/>
    <n v="9841290"/>
    <n v="9841290"/>
    <n v="0"/>
    <x v="439"/>
    <s v="Cali"/>
    <s v="80965500-8"/>
    <s v="PROYECTOS Y CONSTRUCCIONES TASCO LIMITADA"/>
    <n v="2957"/>
    <m/>
    <x v="0"/>
  </r>
  <r>
    <d v="2021-06-29T00:00:00"/>
    <x v="6"/>
    <x v="5"/>
    <x v="5"/>
    <n v="-9841290"/>
    <n v="0"/>
    <n v="9841290"/>
    <x v="439"/>
    <s v="Cali"/>
    <s v="80965500-8"/>
    <s v="PROYECTOS Y CONSTRUCCIONES TASCO LIMITADA"/>
    <n v="2957"/>
    <m/>
    <x v="0"/>
  </r>
  <r>
    <m/>
    <x v="1"/>
    <x v="23"/>
    <x v="23"/>
    <m/>
    <m/>
    <m/>
    <x v="1"/>
    <m/>
    <s v="80965500-8"/>
    <s v="PROYECTOS Y CONSTRUCCIONES TASCO LIMITADA"/>
    <n v="2957"/>
    <m/>
    <x v="0"/>
  </r>
  <r>
    <d v="2021-06-29T00:00:00"/>
    <x v="6"/>
    <x v="0"/>
    <x v="0"/>
    <n v="30000"/>
    <n v="30000"/>
    <n v="0"/>
    <x v="266"/>
    <s v="Cali"/>
    <m/>
    <m/>
    <m/>
    <m/>
    <x v="0"/>
  </r>
  <r>
    <d v="2021-06-29T00:00:00"/>
    <x v="6"/>
    <x v="25"/>
    <x v="25"/>
    <n v="-30000"/>
    <n v="0"/>
    <n v="30000"/>
    <x v="266"/>
    <s v="Cali"/>
    <s v="80965500-8"/>
    <s v="PROYECTOS Y CONSTRUCCIONES TASCO LIMITADA"/>
    <n v="2957"/>
    <m/>
    <x v="0"/>
  </r>
  <r>
    <m/>
    <x v="1"/>
    <x v="23"/>
    <x v="23"/>
    <m/>
    <m/>
    <m/>
    <x v="1"/>
    <m/>
    <s v="80965500-8"/>
    <s v="PROYECTOS Y CONSTRUCCIONES TASCO LIMITADA"/>
    <n v="2957"/>
    <m/>
    <x v="0"/>
  </r>
  <r>
    <d v="2021-06-29T00:00:00"/>
    <x v="6"/>
    <x v="0"/>
    <x v="0"/>
    <n v="25000"/>
    <n v="25000"/>
    <n v="0"/>
    <x v="138"/>
    <s v="Cali"/>
    <m/>
    <m/>
    <m/>
    <m/>
    <x v="0"/>
  </r>
  <r>
    <d v="2021-06-29T00:00:00"/>
    <x v="6"/>
    <x v="27"/>
    <x v="27"/>
    <n v="-25000"/>
    <n v="0"/>
    <n v="25000"/>
    <x v="138"/>
    <s v="Cali"/>
    <s v="89485200-3"/>
    <s v="COZ Y COMPAÃ‘IA S.A."/>
    <n v="6165"/>
    <s v="138-01"/>
    <x v="3"/>
  </r>
  <r>
    <m/>
    <x v="1"/>
    <x v="23"/>
    <x v="23"/>
    <m/>
    <m/>
    <m/>
    <x v="1"/>
    <m/>
    <s v="89485200-3"/>
    <s v="COZ Y COMPAÃ‘IA S.A."/>
    <n v="6165"/>
    <m/>
    <x v="0"/>
  </r>
  <r>
    <d v="2021-06-30T00:00:00"/>
    <x v="6"/>
    <x v="0"/>
    <x v="0"/>
    <n v="25000"/>
    <n v="25000"/>
    <n v="0"/>
    <x v="321"/>
    <s v="Cali"/>
    <m/>
    <m/>
    <m/>
    <m/>
    <x v="0"/>
  </r>
  <r>
    <d v="2021-06-30T00:00:00"/>
    <x v="6"/>
    <x v="27"/>
    <x v="27"/>
    <n v="-25000"/>
    <n v="0"/>
    <n v="25000"/>
    <x v="321"/>
    <s v="Cali"/>
    <s v="89485200-3"/>
    <s v="COZ Y COMPAÃ‘IA S.A."/>
    <n v="6165"/>
    <m/>
    <x v="0"/>
  </r>
  <r>
    <m/>
    <x v="1"/>
    <x v="23"/>
    <x v="23"/>
    <m/>
    <m/>
    <m/>
    <x v="1"/>
    <m/>
    <m/>
    <m/>
    <m/>
    <m/>
    <x v="0"/>
  </r>
  <r>
    <d v="2021-06-30T00:00:00"/>
    <x v="6"/>
    <x v="0"/>
    <x v="0"/>
    <n v="50000"/>
    <n v="50000"/>
    <n v="0"/>
    <x v="135"/>
    <s v="Cali"/>
    <m/>
    <m/>
    <m/>
    <m/>
    <x v="0"/>
  </r>
  <r>
    <d v="2021-06-30T00:00:00"/>
    <x v="6"/>
    <x v="26"/>
    <x v="26"/>
    <n v="-50000"/>
    <n v="0"/>
    <n v="50000"/>
    <x v="135"/>
    <s v="Cali"/>
    <m/>
    <m/>
    <m/>
    <m/>
    <x v="0"/>
  </r>
  <r>
    <m/>
    <x v="1"/>
    <x v="23"/>
    <x v="23"/>
    <m/>
    <m/>
    <m/>
    <x v="1"/>
    <m/>
    <m/>
    <m/>
    <m/>
    <m/>
    <x v="0"/>
  </r>
  <r>
    <d v="2021-06-30T00:00:00"/>
    <x v="6"/>
    <x v="0"/>
    <x v="0"/>
    <n v="100000"/>
    <n v="100000"/>
    <n v="0"/>
    <x v="134"/>
    <s v="Cali"/>
    <m/>
    <m/>
    <m/>
    <m/>
    <x v="0"/>
  </r>
  <r>
    <d v="2021-06-30T00:00:00"/>
    <x v="6"/>
    <x v="26"/>
    <x v="26"/>
    <n v="-100000"/>
    <n v="0"/>
    <n v="100000"/>
    <x v="134"/>
    <s v="Cali"/>
    <m/>
    <m/>
    <m/>
    <s v="138-21"/>
    <x v="4"/>
  </r>
  <r>
    <m/>
    <x v="1"/>
    <x v="23"/>
    <x v="23"/>
    <m/>
    <m/>
    <m/>
    <x v="1"/>
    <m/>
    <m/>
    <m/>
    <m/>
    <m/>
    <x v="0"/>
  </r>
  <r>
    <d v="2021-06-30T00:00:00"/>
    <x v="6"/>
    <x v="0"/>
    <x v="0"/>
    <n v="36000"/>
    <n v="36000"/>
    <n v="0"/>
    <x v="133"/>
    <s v="Cali"/>
    <m/>
    <m/>
    <m/>
    <m/>
    <x v="0"/>
  </r>
  <r>
    <d v="2021-06-30T00:00:00"/>
    <x v="6"/>
    <x v="25"/>
    <x v="25"/>
    <n v="-36000"/>
    <n v="0"/>
    <n v="36000"/>
    <x v="133"/>
    <s v="Cali"/>
    <m/>
    <m/>
    <m/>
    <m/>
    <x v="0"/>
  </r>
  <r>
    <m/>
    <x v="1"/>
    <x v="23"/>
    <x v="23"/>
    <m/>
    <m/>
    <m/>
    <x v="1"/>
    <m/>
    <m/>
    <m/>
    <m/>
    <m/>
    <x v="0"/>
  </r>
  <r>
    <d v="2021-06-30T00:00:00"/>
    <x v="6"/>
    <x v="0"/>
    <x v="0"/>
    <n v="464407"/>
    <n v="464407"/>
    <n v="0"/>
    <x v="439"/>
    <s v="Cali"/>
    <m/>
    <m/>
    <m/>
    <m/>
    <x v="0"/>
  </r>
  <r>
    <d v="2021-06-30T00:00:00"/>
    <x v="6"/>
    <x v="5"/>
    <x v="5"/>
    <n v="-464407"/>
    <n v="0"/>
    <n v="464407"/>
    <x v="439"/>
    <s v="Cali"/>
    <m/>
    <m/>
    <m/>
    <m/>
    <x v="0"/>
  </r>
  <r>
    <m/>
    <x v="1"/>
    <x v="23"/>
    <x v="23"/>
    <m/>
    <m/>
    <m/>
    <x v="1"/>
    <m/>
    <m/>
    <m/>
    <m/>
    <m/>
    <x v="0"/>
  </r>
  <r>
    <d v="2021-06-08T00:00:00"/>
    <x v="6"/>
    <x v="49"/>
    <x v="49"/>
    <n v="1066"/>
    <n v="1066"/>
    <n v="0"/>
    <x v="331"/>
    <s v="Cali"/>
    <m/>
    <m/>
    <m/>
    <m/>
    <x v="0"/>
  </r>
  <r>
    <d v="2021-06-08T00:00:00"/>
    <x v="6"/>
    <x v="1"/>
    <x v="1"/>
    <n v="-1066"/>
    <n v="0"/>
    <n v="1066"/>
    <x v="331"/>
    <s v="Cali"/>
    <m/>
    <m/>
    <m/>
    <m/>
    <x v="0"/>
  </r>
  <r>
    <m/>
    <x v="1"/>
    <x v="23"/>
    <x v="23"/>
    <m/>
    <m/>
    <m/>
    <x v="1"/>
    <m/>
    <m/>
    <m/>
    <m/>
    <m/>
    <x v="0"/>
  </r>
  <r>
    <d v="2021-06-08T00:00:00"/>
    <x v="6"/>
    <x v="49"/>
    <x v="49"/>
    <n v="203"/>
    <n v="203"/>
    <n v="0"/>
    <x v="331"/>
    <s v="Cali"/>
    <m/>
    <m/>
    <m/>
    <m/>
    <x v="0"/>
  </r>
  <r>
    <d v="2021-06-08T00:00:00"/>
    <x v="6"/>
    <x v="1"/>
    <x v="1"/>
    <n v="-203"/>
    <n v="0"/>
    <n v="203"/>
    <x v="331"/>
    <s v="Cali"/>
    <m/>
    <m/>
    <m/>
    <m/>
    <x v="0"/>
  </r>
  <r>
    <m/>
    <x v="1"/>
    <x v="23"/>
    <x v="23"/>
    <m/>
    <m/>
    <m/>
    <x v="1"/>
    <m/>
    <m/>
    <m/>
    <m/>
    <m/>
    <x v="0"/>
  </r>
  <r>
    <d v="2021-06-14T00:00:00"/>
    <x v="6"/>
    <x v="1"/>
    <x v="1"/>
    <n v="524002043"/>
    <n v="524002043"/>
    <n v="0"/>
    <x v="440"/>
    <s v="Cali"/>
    <m/>
    <m/>
    <m/>
    <m/>
    <x v="0"/>
  </r>
  <r>
    <d v="2021-06-14T00:00:00"/>
    <x v="6"/>
    <x v="2"/>
    <x v="2"/>
    <n v="-524002043"/>
    <n v="0"/>
    <n v="524002043"/>
    <x v="440"/>
    <s v="Cali"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d v="2021-06-14T00:00:00"/>
    <x v="6"/>
    <x v="3"/>
    <x v="3"/>
    <n v="345000000"/>
    <n v="345000000"/>
    <n v="0"/>
    <x v="441"/>
    <s v="Cali"/>
    <m/>
    <m/>
    <m/>
    <m/>
    <x v="0"/>
  </r>
  <r>
    <d v="2021-06-14T00:00:00"/>
    <x v="6"/>
    <x v="1"/>
    <x v="1"/>
    <n v="-345000000"/>
    <n v="0"/>
    <n v="345000000"/>
    <x v="441"/>
    <s v="Cali"/>
    <m/>
    <m/>
    <m/>
    <m/>
    <x v="0"/>
  </r>
  <r>
    <m/>
    <x v="1"/>
    <x v="23"/>
    <x v="23"/>
    <m/>
    <m/>
    <m/>
    <x v="1"/>
    <m/>
    <m/>
    <m/>
    <m/>
    <m/>
    <x v="0"/>
  </r>
  <r>
    <d v="2021-06-18T00:00:00"/>
    <x v="6"/>
    <x v="11"/>
    <x v="11"/>
    <n v="-27938577"/>
    <n v="0"/>
    <n v="27938577"/>
    <x v="442"/>
    <s v="Cali"/>
    <m/>
    <m/>
    <m/>
    <m/>
    <x v="0"/>
  </r>
  <r>
    <d v="2021-06-18T00:00:00"/>
    <x v="6"/>
    <x v="8"/>
    <x v="8"/>
    <n v="237559678"/>
    <n v="237559678"/>
    <n v="0"/>
    <x v="443"/>
    <s v="Cali"/>
    <m/>
    <m/>
    <m/>
    <m/>
    <x v="0"/>
  </r>
  <r>
    <d v="2021-06-18T00:00:00"/>
    <x v="6"/>
    <x v="18"/>
    <x v="18"/>
    <n v="-10286758"/>
    <n v="0"/>
    <n v="10286758"/>
    <x v="444"/>
    <s v="Cali"/>
    <m/>
    <m/>
    <m/>
    <m/>
    <x v="0"/>
  </r>
  <r>
    <d v="2021-06-18T00:00:00"/>
    <x v="6"/>
    <x v="48"/>
    <x v="48"/>
    <n v="-199334343"/>
    <n v="0"/>
    <n v="199334343"/>
    <x v="129"/>
    <s v="Cali"/>
    <m/>
    <m/>
    <m/>
    <m/>
    <x v="0"/>
  </r>
  <r>
    <m/>
    <x v="1"/>
    <x v="23"/>
    <x v="23"/>
    <m/>
    <m/>
    <m/>
    <x v="1"/>
    <m/>
    <m/>
    <m/>
    <m/>
    <m/>
    <x v="0"/>
  </r>
  <r>
    <d v="2021-06-18T00:00:00"/>
    <x v="6"/>
    <x v="48"/>
    <x v="48"/>
    <n v="199334119"/>
    <n v="199334119"/>
    <n v="0"/>
    <x v="445"/>
    <s v="Cali"/>
    <m/>
    <m/>
    <m/>
    <m/>
    <x v="0"/>
  </r>
  <r>
    <d v="2021-06-18T00:00:00"/>
    <x v="6"/>
    <x v="1"/>
    <x v="1"/>
    <n v="-199334119"/>
    <n v="0"/>
    <n v="199334119"/>
    <x v="445"/>
    <s v="Cali"/>
    <m/>
    <m/>
    <m/>
    <m/>
    <x v="0"/>
  </r>
  <r>
    <m/>
    <x v="1"/>
    <x v="23"/>
    <x v="23"/>
    <m/>
    <m/>
    <m/>
    <x v="1"/>
    <m/>
    <m/>
    <m/>
    <m/>
    <m/>
    <x v="0"/>
  </r>
  <r>
    <d v="2021-06-18T00:00:00"/>
    <x v="6"/>
    <x v="12"/>
    <x v="12"/>
    <n v="4291711"/>
    <n v="4291711"/>
    <n v="0"/>
    <x v="446"/>
    <s v="Cali"/>
    <m/>
    <m/>
    <m/>
    <m/>
    <x v="0"/>
  </r>
  <r>
    <d v="2021-06-18T00:00:00"/>
    <x v="6"/>
    <x v="48"/>
    <x v="48"/>
    <n v="-4291711"/>
    <n v="0"/>
    <n v="4291711"/>
    <x v="446"/>
    <s v="Cali"/>
    <m/>
    <m/>
    <m/>
    <m/>
    <x v="0"/>
  </r>
  <r>
    <m/>
    <x v="1"/>
    <x v="23"/>
    <x v="23"/>
    <m/>
    <m/>
    <m/>
    <x v="1"/>
    <m/>
    <m/>
    <m/>
    <m/>
    <m/>
    <x v="0"/>
  </r>
  <r>
    <d v="2021-06-18T00:00:00"/>
    <x v="6"/>
    <x v="48"/>
    <x v="48"/>
    <n v="4291711"/>
    <n v="4291711"/>
    <n v="0"/>
    <x v="446"/>
    <s v="Cali"/>
    <m/>
    <m/>
    <m/>
    <m/>
    <x v="0"/>
  </r>
  <r>
    <d v="2021-06-18T00:00:00"/>
    <x v="6"/>
    <x v="1"/>
    <x v="1"/>
    <n v="-4291711"/>
    <n v="0"/>
    <n v="4291711"/>
    <x v="446"/>
    <s v="Cali"/>
    <m/>
    <m/>
    <m/>
    <m/>
    <x v="0"/>
  </r>
  <r>
    <m/>
    <x v="1"/>
    <x v="23"/>
    <x v="23"/>
    <m/>
    <m/>
    <m/>
    <x v="1"/>
    <m/>
    <m/>
    <m/>
    <m/>
    <m/>
    <x v="0"/>
  </r>
  <r>
    <d v="2021-06-01T00:00:00"/>
    <x v="6"/>
    <x v="51"/>
    <x v="51"/>
    <n v="30029107"/>
    <n v="30029107"/>
    <n v="0"/>
    <x v="447"/>
    <s v="Cali"/>
    <m/>
    <m/>
    <m/>
    <m/>
    <x v="0"/>
  </r>
  <r>
    <d v="2021-06-01T00:00:00"/>
    <x v="6"/>
    <x v="53"/>
    <x v="53"/>
    <n v="-30029107"/>
    <n v="0"/>
    <n v="30029107"/>
    <x v="447"/>
    <s v="Cali"/>
    <m/>
    <m/>
    <m/>
    <m/>
    <x v="0"/>
  </r>
  <r>
    <m/>
    <x v="1"/>
    <x v="23"/>
    <x v="23"/>
    <m/>
    <m/>
    <m/>
    <x v="1"/>
    <m/>
    <m/>
    <m/>
    <m/>
    <m/>
    <x v="0"/>
  </r>
  <r>
    <d v="2021-06-03T00:00:00"/>
    <x v="6"/>
    <x v="12"/>
    <x v="12"/>
    <n v="30000000"/>
    <n v="30000000"/>
    <n v="0"/>
    <x v="448"/>
    <s v="Cali"/>
    <m/>
    <m/>
    <m/>
    <m/>
    <x v="0"/>
  </r>
  <r>
    <d v="2021-06-03T00:00:00"/>
    <x v="6"/>
    <x v="51"/>
    <x v="51"/>
    <n v="-30000000"/>
    <n v="0"/>
    <n v="30000000"/>
    <x v="448"/>
    <s v="Cali"/>
    <m/>
    <m/>
    <m/>
    <m/>
    <x v="0"/>
  </r>
  <r>
    <m/>
    <x v="1"/>
    <x v="23"/>
    <x v="23"/>
    <m/>
    <m/>
    <m/>
    <x v="1"/>
    <m/>
    <m/>
    <m/>
    <m/>
    <m/>
    <x v="0"/>
  </r>
  <r>
    <d v="2021-06-07T00:00:00"/>
    <x v="6"/>
    <x v="51"/>
    <x v="51"/>
    <n v="145000"/>
    <n v="145000"/>
    <n v="0"/>
    <x v="449"/>
    <s v="Cali"/>
    <m/>
    <m/>
    <m/>
    <m/>
    <x v="0"/>
  </r>
  <r>
    <d v="2021-06-07T00:00:00"/>
    <x v="6"/>
    <x v="25"/>
    <x v="25"/>
    <n v="-145000"/>
    <n v="0"/>
    <n v="145000"/>
    <x v="449"/>
    <s v="Cali"/>
    <m/>
    <m/>
    <m/>
    <m/>
    <x v="0"/>
  </r>
  <r>
    <m/>
    <x v="1"/>
    <x v="23"/>
    <x v="23"/>
    <m/>
    <m/>
    <m/>
    <x v="1"/>
    <m/>
    <m/>
    <m/>
    <m/>
    <m/>
    <x v="0"/>
  </r>
  <r>
    <d v="2021-06-29T00:00:00"/>
    <x v="6"/>
    <x v="51"/>
    <x v="51"/>
    <n v="55000"/>
    <n v="55000"/>
    <n v="0"/>
    <x v="449"/>
    <s v="Cali"/>
    <m/>
    <m/>
    <m/>
    <m/>
    <x v="0"/>
  </r>
  <r>
    <d v="2021-06-29T00:00:00"/>
    <x v="6"/>
    <x v="25"/>
    <x v="25"/>
    <n v="-55000"/>
    <n v="0"/>
    <n v="55000"/>
    <x v="449"/>
    <s v="Cali"/>
    <m/>
    <m/>
    <m/>
    <m/>
    <x v="0"/>
  </r>
  <r>
    <m/>
    <x v="1"/>
    <x v="23"/>
    <x v="23"/>
    <m/>
    <m/>
    <m/>
    <x v="1"/>
    <m/>
    <m/>
    <m/>
    <m/>
    <m/>
    <x v="0"/>
  </r>
  <r>
    <d v="2021-06-29T00:00:00"/>
    <x v="6"/>
    <x v="51"/>
    <x v="51"/>
    <n v="10000"/>
    <n v="10000"/>
    <n v="0"/>
    <x v="449"/>
    <s v="Cali"/>
    <m/>
    <m/>
    <m/>
    <m/>
    <x v="0"/>
  </r>
  <r>
    <d v="2021-06-29T00:00:00"/>
    <x v="6"/>
    <x v="26"/>
    <x v="26"/>
    <n v="-10000"/>
    <n v="0"/>
    <n v="10000"/>
    <x v="449"/>
    <s v="Cali"/>
    <m/>
    <m/>
    <m/>
    <m/>
    <x v="0"/>
  </r>
  <r>
    <m/>
    <x v="1"/>
    <x v="23"/>
    <x v="23"/>
    <m/>
    <m/>
    <m/>
    <x v="1"/>
    <m/>
    <m/>
    <m/>
    <m/>
    <m/>
    <x v="0"/>
  </r>
  <r>
    <d v="2021-06-30T00:00:00"/>
    <x v="6"/>
    <x v="32"/>
    <x v="32"/>
    <n v="-573000"/>
    <n v="0"/>
    <n v="573000"/>
    <x v="450"/>
    <s v="Cali"/>
    <m/>
    <m/>
    <m/>
    <m/>
    <x v="0"/>
  </r>
  <r>
    <d v="2021-06-30T00:00:00"/>
    <x v="6"/>
    <x v="33"/>
    <x v="33"/>
    <n v="0"/>
    <n v="0"/>
    <n v="0"/>
    <x v="450"/>
    <s v="Cali"/>
    <m/>
    <m/>
    <m/>
    <m/>
    <x v="0"/>
  </r>
  <r>
    <d v="2021-06-30T00:00:00"/>
    <x v="6"/>
    <x v="34"/>
    <x v="34"/>
    <n v="-2165853"/>
    <n v="0"/>
    <n v="2165853"/>
    <x v="450"/>
    <s v="Cali"/>
    <m/>
    <m/>
    <m/>
    <m/>
    <x v="0"/>
  </r>
  <r>
    <d v="2021-06-30T00:00:00"/>
    <x v="6"/>
    <x v="35"/>
    <x v="35"/>
    <n v="-2286000"/>
    <n v="0"/>
    <n v="2286000"/>
    <x v="450"/>
    <s v="Cali"/>
    <m/>
    <m/>
    <m/>
    <m/>
    <x v="0"/>
  </r>
  <r>
    <d v="2021-06-30T00:00:00"/>
    <x v="6"/>
    <x v="36"/>
    <x v="36"/>
    <n v="-4065600"/>
    <n v="0"/>
    <n v="4065600"/>
    <x v="450"/>
    <s v="Cali"/>
    <m/>
    <m/>
    <m/>
    <m/>
    <x v="0"/>
  </r>
  <r>
    <d v="2021-06-30T00:00:00"/>
    <x v="6"/>
    <x v="37"/>
    <x v="37"/>
    <n v="-6364213"/>
    <n v="0"/>
    <n v="6364213"/>
    <x v="450"/>
    <s v="Cali"/>
    <m/>
    <m/>
    <m/>
    <m/>
    <x v="0"/>
  </r>
  <r>
    <d v="2021-06-30T00:00:00"/>
    <x v="6"/>
    <x v="29"/>
    <x v="29"/>
    <n v="573000"/>
    <n v="573000"/>
    <n v="0"/>
    <x v="450"/>
    <s v="Cali"/>
    <m/>
    <m/>
    <m/>
    <m/>
    <x v="0"/>
  </r>
  <r>
    <d v="2021-06-30T00:00:00"/>
    <x v="6"/>
    <x v="27"/>
    <x v="27"/>
    <n v="2165853"/>
    <n v="2165853"/>
    <n v="0"/>
    <x v="450"/>
    <s v="Cali"/>
    <m/>
    <m/>
    <m/>
    <m/>
    <x v="0"/>
  </r>
  <r>
    <d v="2021-06-30T00:00:00"/>
    <x v="6"/>
    <x v="25"/>
    <x v="25"/>
    <n v="2286000"/>
    <n v="2286000"/>
    <n v="0"/>
    <x v="450"/>
    <s v="Cali"/>
    <m/>
    <m/>
    <m/>
    <m/>
    <x v="0"/>
  </r>
  <r>
    <d v="2021-06-30T00:00:00"/>
    <x v="6"/>
    <x v="5"/>
    <x v="5"/>
    <n v="10429813"/>
    <n v="10429813"/>
    <n v="0"/>
    <x v="450"/>
    <s v="Cali"/>
    <m/>
    <m/>
    <m/>
    <m/>
    <x v="0"/>
  </r>
  <r>
    <d v="2021-06-30T00:00:00"/>
    <x v="6"/>
    <x v="15"/>
    <x v="15"/>
    <n v="-3556824"/>
    <n v="0"/>
    <n v="3556824"/>
    <x v="450"/>
    <s v="Cali"/>
    <m/>
    <m/>
    <m/>
    <m/>
    <x v="0"/>
  </r>
  <r>
    <d v="2021-06-30T00:00:00"/>
    <x v="6"/>
    <x v="38"/>
    <x v="38"/>
    <n v="3556824"/>
    <n v="3556824"/>
    <n v="0"/>
    <x v="450"/>
    <s v="Cali"/>
    <m/>
    <m/>
    <m/>
    <m/>
    <x v="0"/>
  </r>
  <r>
    <d v="2021-06-30T00:00:00"/>
    <x v="6"/>
    <x v="16"/>
    <x v="16"/>
    <n v="-68760"/>
    <n v="0"/>
    <n v="68760"/>
    <x v="450"/>
    <s v="Cali"/>
    <m/>
    <m/>
    <m/>
    <m/>
    <x v="0"/>
  </r>
  <r>
    <d v="2021-06-30T00:00:00"/>
    <x v="6"/>
    <x v="14"/>
    <x v="14"/>
    <n v="-154547"/>
    <n v="0"/>
    <n v="154547"/>
    <x v="450"/>
    <s v="Cali"/>
    <m/>
    <m/>
    <m/>
    <m/>
    <x v="0"/>
  </r>
  <r>
    <d v="2021-06-30T00:00:00"/>
    <x v="6"/>
    <x v="39"/>
    <x v="39"/>
    <n v="68760"/>
    <n v="68760"/>
    <n v="0"/>
    <x v="450"/>
    <s v="Cali"/>
    <m/>
    <m/>
    <m/>
    <m/>
    <x v="0"/>
  </r>
  <r>
    <d v="2021-06-30T00:00:00"/>
    <x v="6"/>
    <x v="40"/>
    <x v="40"/>
    <n v="154547"/>
    <n v="154547"/>
    <n v="0"/>
    <x v="450"/>
    <s v="Cali"/>
    <m/>
    <m/>
    <m/>
    <m/>
    <x v="0"/>
  </r>
  <r>
    <d v="2021-06-30T00:00:00"/>
    <x v="6"/>
    <x v="41"/>
    <x v="41"/>
    <n v="-5898265"/>
    <n v="0"/>
    <n v="5898265"/>
    <x v="450"/>
    <s v="Cali"/>
    <m/>
    <m/>
    <m/>
    <m/>
    <x v="0"/>
  </r>
  <r>
    <d v="2021-06-30T00:00:00"/>
    <x v="6"/>
    <x v="42"/>
    <x v="42"/>
    <n v="-1525000"/>
    <n v="0"/>
    <n v="1525000"/>
    <x v="450"/>
    <s v="Cali"/>
    <m/>
    <m/>
    <m/>
    <m/>
    <x v="0"/>
  </r>
  <r>
    <d v="2021-06-30T00:00:00"/>
    <x v="6"/>
    <x v="43"/>
    <x v="43"/>
    <n v="410524"/>
    <n v="410524"/>
    <n v="0"/>
    <x v="450"/>
    <s v="Cali"/>
    <m/>
    <m/>
    <m/>
    <m/>
    <x v="0"/>
  </r>
  <r>
    <d v="2021-06-30T00:00:00"/>
    <x v="6"/>
    <x v="43"/>
    <x v="43"/>
    <n v="38125"/>
    <n v="38125"/>
    <n v="0"/>
    <x v="450"/>
    <s v="Cali"/>
    <m/>
    <m/>
    <m/>
    <m/>
    <x v="0"/>
  </r>
  <r>
    <d v="2021-06-30T00:00:00"/>
    <x v="6"/>
    <x v="38"/>
    <x v="38"/>
    <n v="3257255"/>
    <n v="3257255"/>
    <n v="0"/>
    <x v="450"/>
    <s v="Cali"/>
    <m/>
    <m/>
    <m/>
    <m/>
    <x v="0"/>
  </r>
  <r>
    <d v="2021-06-30T00:00:00"/>
    <x v="6"/>
    <x v="40"/>
    <x v="40"/>
    <n v="58983"/>
    <n v="58983"/>
    <n v="0"/>
    <x v="450"/>
    <s v="Cali"/>
    <m/>
    <m/>
    <m/>
    <m/>
    <x v="0"/>
  </r>
  <r>
    <d v="2021-06-30T00:00:00"/>
    <x v="6"/>
    <x v="40"/>
    <x v="40"/>
    <n v="15250"/>
    <n v="15250"/>
    <n v="0"/>
    <x v="450"/>
    <s v="Cali"/>
    <m/>
    <m/>
    <m/>
    <m/>
    <x v="0"/>
  </r>
  <r>
    <d v="2021-06-30T00:00:00"/>
    <x v="6"/>
    <x v="44"/>
    <x v="44"/>
    <n v="2171503"/>
    <n v="2171503"/>
    <n v="0"/>
    <x v="450"/>
    <s v="Cali"/>
    <m/>
    <m/>
    <m/>
    <m/>
    <x v="0"/>
  </r>
  <r>
    <d v="2021-06-30T00:00:00"/>
    <x v="6"/>
    <x v="45"/>
    <x v="45"/>
    <n v="1471625"/>
    <n v="1471625"/>
    <n v="0"/>
    <x v="450"/>
    <s v="Cali"/>
    <m/>
    <m/>
    <m/>
    <m/>
    <x v="0"/>
  </r>
  <r>
    <d v="2021-06-30T00:00:00"/>
    <x v="6"/>
    <x v="5"/>
    <x v="5"/>
    <n v="-124115"/>
    <n v="0"/>
    <n v="124115"/>
    <x v="450"/>
    <s v="Cali"/>
    <m/>
    <m/>
    <m/>
    <m/>
    <x v="0"/>
  </r>
  <r>
    <d v="2021-06-30T00:00:00"/>
    <x v="6"/>
    <x v="30"/>
    <x v="30"/>
    <n v="124115"/>
    <n v="124115"/>
    <n v="0"/>
    <x v="450"/>
    <s v="Cali"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d v="2021-04-07T00:00:00"/>
    <x v="4"/>
    <x v="17"/>
    <x v="17"/>
    <n v="117035"/>
    <n v="117035"/>
    <n v="0"/>
    <x v="451"/>
    <s v="Cali"/>
    <m/>
    <m/>
    <m/>
    <m/>
    <x v="0"/>
  </r>
  <r>
    <d v="2021-04-07T00:00:00"/>
    <x v="4"/>
    <x v="13"/>
    <x v="13"/>
    <n v="-117035"/>
    <n v="0"/>
    <n v="117035"/>
    <x v="451"/>
    <s v="Cali"/>
    <m/>
    <m/>
    <m/>
    <m/>
    <x v="0"/>
  </r>
  <r>
    <m/>
    <x v="1"/>
    <x v="23"/>
    <x v="23"/>
    <m/>
    <m/>
    <m/>
    <x v="1"/>
    <m/>
    <m/>
    <m/>
    <m/>
    <m/>
    <x v="0"/>
  </r>
  <r>
    <d v="2021-05-07T00:00:00"/>
    <x v="5"/>
    <x v="17"/>
    <x v="17"/>
    <n v="72321"/>
    <n v="72321"/>
    <n v="0"/>
    <x v="452"/>
    <s v="Cali"/>
    <m/>
    <m/>
    <m/>
    <m/>
    <x v="0"/>
  </r>
  <r>
    <d v="2021-05-07T00:00:00"/>
    <x v="5"/>
    <x v="13"/>
    <x v="13"/>
    <n v="-72321"/>
    <n v="0"/>
    <n v="72321"/>
    <x v="452"/>
    <s v="Cali"/>
    <m/>
    <m/>
    <m/>
    <m/>
    <x v="0"/>
  </r>
  <r>
    <m/>
    <x v="1"/>
    <x v="23"/>
    <x v="23"/>
    <m/>
    <m/>
    <m/>
    <x v="1"/>
    <m/>
    <m/>
    <m/>
    <m/>
    <m/>
    <x v="0"/>
  </r>
  <r>
    <d v="2021-06-07T00:00:00"/>
    <x v="6"/>
    <x v="17"/>
    <x v="17"/>
    <n v="66148"/>
    <n v="66148"/>
    <n v="0"/>
    <x v="453"/>
    <s v="Cali"/>
    <m/>
    <m/>
    <m/>
    <m/>
    <x v="0"/>
  </r>
  <r>
    <d v="2021-06-07T00:00:00"/>
    <x v="6"/>
    <x v="13"/>
    <x v="13"/>
    <n v="-66148"/>
    <n v="0"/>
    <n v="66148"/>
    <x v="453"/>
    <s v="Cali"/>
    <m/>
    <m/>
    <m/>
    <m/>
    <x v="0"/>
  </r>
  <r>
    <m/>
    <x v="1"/>
    <x v="23"/>
    <x v="23"/>
    <m/>
    <m/>
    <m/>
    <x v="1"/>
    <m/>
    <m/>
    <m/>
    <m/>
    <m/>
    <x v="0"/>
  </r>
  <r>
    <d v="2021-06-30T00:00:00"/>
    <x v="6"/>
    <x v="13"/>
    <x v="13"/>
    <n v="30000"/>
    <n v="30000"/>
    <n v="0"/>
    <x v="304"/>
    <s v="Cali"/>
    <m/>
    <m/>
    <m/>
    <m/>
    <x v="0"/>
  </r>
  <r>
    <d v="2021-06-30T00:00:00"/>
    <x v="6"/>
    <x v="13"/>
    <x v="13"/>
    <n v="30000"/>
    <n v="30000"/>
    <n v="0"/>
    <x v="454"/>
    <s v="Cali"/>
    <m/>
    <m/>
    <m/>
    <m/>
    <x v="0"/>
  </r>
  <r>
    <d v="2021-06-30T00:00:00"/>
    <x v="6"/>
    <x v="13"/>
    <x v="13"/>
    <n v="15000"/>
    <n v="15000"/>
    <n v="0"/>
    <x v="455"/>
    <s v="Cali"/>
    <m/>
    <m/>
    <m/>
    <m/>
    <x v="0"/>
  </r>
  <r>
    <d v="2021-06-30T00:00:00"/>
    <x v="6"/>
    <x v="13"/>
    <x v="13"/>
    <n v="100000"/>
    <n v="100000"/>
    <n v="0"/>
    <x v="456"/>
    <s v="Cali"/>
    <m/>
    <m/>
    <m/>
    <m/>
    <x v="0"/>
  </r>
  <r>
    <d v="2021-06-30T00:00:00"/>
    <x v="6"/>
    <x v="13"/>
    <x v="13"/>
    <n v="21000"/>
    <n v="21000"/>
    <n v="0"/>
    <x v="457"/>
    <s v="Cali"/>
    <m/>
    <m/>
    <m/>
    <m/>
    <x v="0"/>
  </r>
  <r>
    <d v="2021-06-30T00:00:00"/>
    <x v="6"/>
    <x v="13"/>
    <x v="13"/>
    <n v="15000"/>
    <n v="15000"/>
    <n v="0"/>
    <x v="458"/>
    <s v="Cali"/>
    <m/>
    <m/>
    <m/>
    <m/>
    <x v="0"/>
  </r>
  <r>
    <d v="2021-06-30T00:00:00"/>
    <x v="6"/>
    <x v="13"/>
    <x v="13"/>
    <n v="20000"/>
    <n v="20000"/>
    <n v="0"/>
    <x v="459"/>
    <s v="Cali"/>
    <m/>
    <m/>
    <m/>
    <m/>
    <x v="0"/>
  </r>
  <r>
    <d v="2021-06-30T00:00:00"/>
    <x v="6"/>
    <x v="13"/>
    <x v="13"/>
    <n v="100000"/>
    <n v="100000"/>
    <n v="0"/>
    <x v="460"/>
    <s v="Cali"/>
    <m/>
    <m/>
    <m/>
    <m/>
    <x v="0"/>
  </r>
  <r>
    <d v="2021-06-30T00:00:00"/>
    <x v="6"/>
    <x v="13"/>
    <x v="13"/>
    <n v="100000"/>
    <n v="100000"/>
    <n v="0"/>
    <x v="461"/>
    <s v="Cali"/>
    <m/>
    <m/>
    <m/>
    <m/>
    <x v="0"/>
  </r>
  <r>
    <d v="2021-06-30T00:00:00"/>
    <x v="6"/>
    <x v="13"/>
    <x v="13"/>
    <n v="10000"/>
    <n v="10000"/>
    <n v="0"/>
    <x v="462"/>
    <s v="Cali"/>
    <m/>
    <m/>
    <m/>
    <m/>
    <x v="0"/>
  </r>
  <r>
    <d v="2021-06-30T00:00:00"/>
    <x v="6"/>
    <x v="13"/>
    <x v="13"/>
    <n v="40000"/>
    <n v="40000"/>
    <n v="0"/>
    <x v="463"/>
    <s v="Cali"/>
    <m/>
    <m/>
    <m/>
    <m/>
    <x v="0"/>
  </r>
  <r>
    <d v="2021-06-30T00:00:00"/>
    <x v="6"/>
    <x v="13"/>
    <x v="13"/>
    <n v="30000"/>
    <n v="30000"/>
    <n v="0"/>
    <x v="464"/>
    <s v="Cali"/>
    <m/>
    <m/>
    <m/>
    <m/>
    <x v="0"/>
  </r>
  <r>
    <d v="2021-06-30T00:00:00"/>
    <x v="6"/>
    <x v="25"/>
    <x v="25"/>
    <n v="-30000"/>
    <n v="0"/>
    <n v="30000"/>
    <x v="304"/>
    <s v="Cali"/>
    <m/>
    <m/>
    <m/>
    <m/>
    <x v="0"/>
  </r>
  <r>
    <d v="2021-06-30T00:00:00"/>
    <x v="6"/>
    <x v="26"/>
    <x v="26"/>
    <n v="-30000"/>
    <n v="0"/>
    <n v="30000"/>
    <x v="454"/>
    <s v="Cali"/>
    <m/>
    <m/>
    <m/>
    <m/>
    <x v="0"/>
  </r>
  <r>
    <d v="2021-06-30T00:00:00"/>
    <x v="6"/>
    <x v="26"/>
    <x v="26"/>
    <n v="-15000"/>
    <n v="0"/>
    <n v="15000"/>
    <x v="455"/>
    <s v="Cali"/>
    <m/>
    <m/>
    <m/>
    <m/>
    <x v="0"/>
  </r>
  <r>
    <d v="2021-06-30T00:00:00"/>
    <x v="6"/>
    <x v="26"/>
    <x v="26"/>
    <n v="-100000"/>
    <n v="0"/>
    <n v="100000"/>
    <x v="456"/>
    <s v="Cali"/>
    <m/>
    <m/>
    <m/>
    <m/>
    <x v="0"/>
  </r>
  <r>
    <d v="2021-06-30T00:00:00"/>
    <x v="6"/>
    <x v="27"/>
    <x v="27"/>
    <n v="-21000"/>
    <n v="0"/>
    <n v="21000"/>
    <x v="457"/>
    <s v="Cali"/>
    <m/>
    <m/>
    <m/>
    <m/>
    <x v="0"/>
  </r>
  <r>
    <d v="2021-06-30T00:00:00"/>
    <x v="6"/>
    <x v="25"/>
    <x v="25"/>
    <n v="-15000"/>
    <n v="0"/>
    <n v="15000"/>
    <x v="458"/>
    <s v="Cali"/>
    <m/>
    <m/>
    <m/>
    <m/>
    <x v="0"/>
  </r>
  <r>
    <d v="2021-06-30T00:00:00"/>
    <x v="6"/>
    <x v="26"/>
    <x v="26"/>
    <n v="-20000"/>
    <n v="0"/>
    <n v="20000"/>
    <x v="459"/>
    <s v="Cali"/>
    <m/>
    <m/>
    <m/>
    <m/>
    <x v="0"/>
  </r>
  <r>
    <d v="2021-06-30T00:00:00"/>
    <x v="6"/>
    <x v="25"/>
    <x v="25"/>
    <n v="-100000"/>
    <n v="0"/>
    <n v="100000"/>
    <x v="460"/>
    <s v="Cali"/>
    <m/>
    <m/>
    <m/>
    <m/>
    <x v="0"/>
  </r>
  <r>
    <d v="2021-06-30T00:00:00"/>
    <x v="6"/>
    <x v="25"/>
    <x v="25"/>
    <n v="-100000"/>
    <n v="0"/>
    <n v="100000"/>
    <x v="461"/>
    <s v="Cali"/>
    <m/>
    <m/>
    <m/>
    <m/>
    <x v="0"/>
  </r>
  <r>
    <d v="2021-06-30T00:00:00"/>
    <x v="6"/>
    <x v="25"/>
    <x v="25"/>
    <n v="-10000"/>
    <n v="0"/>
    <n v="10000"/>
    <x v="462"/>
    <s v="Cali"/>
    <m/>
    <m/>
    <m/>
    <m/>
    <x v="0"/>
  </r>
  <r>
    <d v="2021-06-30T00:00:00"/>
    <x v="6"/>
    <x v="25"/>
    <x v="25"/>
    <n v="-40000"/>
    <n v="0"/>
    <n v="40000"/>
    <x v="463"/>
    <s v="Cali"/>
    <m/>
    <m/>
    <m/>
    <m/>
    <x v="0"/>
  </r>
  <r>
    <d v="2021-06-30T00:00:00"/>
    <x v="6"/>
    <x v="25"/>
    <x v="25"/>
    <n v="-30000"/>
    <n v="0"/>
    <n v="30000"/>
    <x v="464"/>
    <s v="Cali"/>
    <m/>
    <m/>
    <m/>
    <m/>
    <x v="0"/>
  </r>
  <r>
    <d v="2021-06-30T00:00:00"/>
    <x v="6"/>
    <x v="13"/>
    <x v="13"/>
    <n v="30000"/>
    <n v="30000"/>
    <n v="0"/>
    <x v="465"/>
    <s v="Cali"/>
    <m/>
    <m/>
    <m/>
    <m/>
    <x v="0"/>
  </r>
  <r>
    <d v="2021-06-30T00:00:00"/>
    <x v="6"/>
    <x v="29"/>
    <x v="29"/>
    <n v="-30000"/>
    <n v="0"/>
    <n v="30000"/>
    <x v="465"/>
    <s v="Cali"/>
    <m/>
    <m/>
    <m/>
    <m/>
    <x v="0"/>
  </r>
  <r>
    <m/>
    <x v="1"/>
    <x v="23"/>
    <x v="23"/>
    <m/>
    <m/>
    <m/>
    <x v="1"/>
    <m/>
    <m/>
    <m/>
    <m/>
    <m/>
    <x v="0"/>
  </r>
  <r>
    <d v="2021-06-30T00:00:00"/>
    <x v="6"/>
    <x v="46"/>
    <x v="46"/>
    <n v="0"/>
    <n v="0"/>
    <n v="0"/>
    <x v="110"/>
    <s v="Cali"/>
    <m/>
    <m/>
    <m/>
    <m/>
    <x v="0"/>
  </r>
  <r>
    <d v="2021-06-30T00:00:00"/>
    <x v="6"/>
    <x v="47"/>
    <x v="47"/>
    <n v="0"/>
    <n v="0"/>
    <n v="0"/>
    <x v="110"/>
    <s v="Cali"/>
    <m/>
    <m/>
    <m/>
    <m/>
    <x v="0"/>
  </r>
  <r>
    <m/>
    <x v="1"/>
    <x v="23"/>
    <x v="23"/>
    <m/>
    <m/>
    <m/>
    <x v="1"/>
    <m/>
    <m/>
    <m/>
    <m/>
    <m/>
    <x v="0"/>
  </r>
  <r>
    <d v="2021-06-30T00:00:00"/>
    <x v="6"/>
    <x v="2"/>
    <x v="2"/>
    <n v="270594"/>
    <n v="270594"/>
    <n v="0"/>
    <x v="111"/>
    <s v="Cali"/>
    <m/>
    <m/>
    <m/>
    <m/>
    <x v="0"/>
  </r>
  <r>
    <d v="2021-06-30T00:00:00"/>
    <x v="6"/>
    <x v="47"/>
    <x v="47"/>
    <n v="-270594"/>
    <n v="0"/>
    <n v="270594"/>
    <x v="111"/>
    <s v="Cali"/>
    <m/>
    <m/>
    <m/>
    <m/>
    <x v="0"/>
  </r>
  <r>
    <m/>
    <x v="1"/>
    <x v="23"/>
    <x v="23"/>
    <m/>
    <m/>
    <m/>
    <x v="1"/>
    <m/>
    <m/>
    <m/>
    <m/>
    <m/>
    <x v="0"/>
  </r>
  <r>
    <d v="2021-06-30T00:00:00"/>
    <x v="6"/>
    <x v="3"/>
    <x v="3"/>
    <n v="9997"/>
    <n v="9997"/>
    <n v="0"/>
    <x v="112"/>
    <s v="Cali"/>
    <m/>
    <m/>
    <m/>
    <m/>
    <x v="0"/>
  </r>
  <r>
    <d v="2021-06-30T00:00:00"/>
    <x v="6"/>
    <x v="47"/>
    <x v="47"/>
    <n v="-9997"/>
    <n v="0"/>
    <n v="9997"/>
    <x v="112"/>
    <s v="Cali"/>
    <m/>
    <m/>
    <m/>
    <m/>
    <x v="0"/>
  </r>
  <r>
    <m/>
    <x v="1"/>
    <x v="23"/>
    <x v="23"/>
    <m/>
    <m/>
    <m/>
    <x v="1"/>
    <m/>
    <m/>
    <m/>
    <m/>
    <m/>
    <x v="0"/>
  </r>
  <r>
    <d v="2021-06-30T00:00:00"/>
    <x v="6"/>
    <x v="53"/>
    <x v="53"/>
    <n v="200667"/>
    <n v="200667"/>
    <n v="0"/>
    <x v="305"/>
    <s v="Cali"/>
    <m/>
    <m/>
    <m/>
    <m/>
    <x v="0"/>
  </r>
  <r>
    <d v="2021-06-30T00:00:00"/>
    <x v="6"/>
    <x v="47"/>
    <x v="47"/>
    <n v="-200667"/>
    <n v="0"/>
    <n v="200667"/>
    <x v="305"/>
    <s v="Cali"/>
    <m/>
    <m/>
    <m/>
    <m/>
    <x v="0"/>
  </r>
  <r>
    <m/>
    <x v="1"/>
    <x v="23"/>
    <x v="23"/>
    <m/>
    <m/>
    <m/>
    <x v="1"/>
    <m/>
    <m/>
    <m/>
    <m/>
    <m/>
    <x v="0"/>
  </r>
  <r>
    <d v="2021-06-30T00:00:00"/>
    <x v="6"/>
    <x v="31"/>
    <x v="31"/>
    <n v="338983"/>
    <n v="338983"/>
    <n v="0"/>
    <x v="466"/>
    <s v="Cali"/>
    <m/>
    <m/>
    <m/>
    <m/>
    <x v="0"/>
  </r>
  <r>
    <d v="2021-06-30T00:00:00"/>
    <x v="6"/>
    <x v="50"/>
    <x v="50"/>
    <n v="-338983"/>
    <n v="0"/>
    <n v="338983"/>
    <x v="466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4"/>
    <x v="4"/>
    <n v="10000"/>
    <n v="10000"/>
    <n v="0"/>
    <x v="467"/>
    <s v="Cali"/>
    <m/>
    <m/>
    <m/>
    <m/>
    <x v="0"/>
  </r>
  <r>
    <d v="2021-07-01T00:00:00"/>
    <x v="7"/>
    <x v="29"/>
    <x v="29"/>
    <n v="-10000"/>
    <n v="0"/>
    <n v="10000"/>
    <x v="467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20000"/>
    <n v="20000"/>
    <n v="0"/>
    <x v="165"/>
    <s v="Cali"/>
    <m/>
    <m/>
    <m/>
    <m/>
    <x v="0"/>
  </r>
  <r>
    <d v="2021-07-01T00:00:00"/>
    <x v="7"/>
    <x v="25"/>
    <x v="25"/>
    <n v="-20000"/>
    <n v="0"/>
    <n v="20000"/>
    <x v="165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33500"/>
    <n v="33500"/>
    <n v="0"/>
    <x v="419"/>
    <s v="Cali"/>
    <m/>
    <m/>
    <m/>
    <m/>
    <x v="0"/>
  </r>
  <r>
    <d v="2021-07-01T00:00:00"/>
    <x v="7"/>
    <x v="27"/>
    <x v="27"/>
    <n v="-33500"/>
    <n v="0"/>
    <n v="33500"/>
    <x v="419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50000"/>
    <n v="50000"/>
    <n v="0"/>
    <x v="163"/>
    <s v="Cali"/>
    <m/>
    <m/>
    <m/>
    <m/>
    <x v="0"/>
  </r>
  <r>
    <d v="2021-07-01T00:00:00"/>
    <x v="7"/>
    <x v="25"/>
    <x v="25"/>
    <n v="-50000"/>
    <n v="0"/>
    <n v="50000"/>
    <x v="163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20000"/>
    <n v="20000"/>
    <n v="0"/>
    <x v="370"/>
    <s v="Cali"/>
    <m/>
    <m/>
    <m/>
    <m/>
    <x v="0"/>
  </r>
  <r>
    <d v="2021-07-01T00:00:00"/>
    <x v="7"/>
    <x v="25"/>
    <x v="25"/>
    <n v="-20000"/>
    <n v="0"/>
    <n v="20000"/>
    <x v="370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10000"/>
    <n v="10000"/>
    <n v="0"/>
    <x v="142"/>
    <s v="Cali"/>
    <m/>
    <m/>
    <m/>
    <m/>
    <x v="0"/>
  </r>
  <r>
    <d v="2021-07-01T00:00:00"/>
    <x v="7"/>
    <x v="25"/>
    <x v="25"/>
    <n v="-10000"/>
    <n v="0"/>
    <n v="10000"/>
    <x v="142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50000"/>
    <n v="50000"/>
    <n v="0"/>
    <x v="143"/>
    <s v="Cali"/>
    <m/>
    <m/>
    <m/>
    <m/>
    <x v="0"/>
  </r>
  <r>
    <d v="2021-07-01T00:00:00"/>
    <x v="7"/>
    <x v="25"/>
    <x v="25"/>
    <n v="-50000"/>
    <n v="0"/>
    <n v="50000"/>
    <x v="143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14000"/>
    <n v="14000"/>
    <n v="0"/>
    <x v="289"/>
    <s v="Cali"/>
    <m/>
    <m/>
    <m/>
    <m/>
    <x v="0"/>
  </r>
  <r>
    <d v="2021-07-01T00:00:00"/>
    <x v="7"/>
    <x v="26"/>
    <x v="26"/>
    <n v="-14000"/>
    <n v="0"/>
    <n v="14000"/>
    <x v="289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48000"/>
    <n v="48000"/>
    <n v="0"/>
    <x v="144"/>
    <s v="Cali"/>
    <m/>
    <m/>
    <m/>
    <m/>
    <x v="0"/>
  </r>
  <r>
    <d v="2021-07-01T00:00:00"/>
    <x v="7"/>
    <x v="27"/>
    <x v="27"/>
    <n v="-48000"/>
    <n v="0"/>
    <n v="48000"/>
    <x v="144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40000"/>
    <n v="40000"/>
    <n v="0"/>
    <x v="145"/>
    <s v="Cali"/>
    <m/>
    <m/>
    <m/>
    <m/>
    <x v="0"/>
  </r>
  <r>
    <d v="2021-07-01T00:00:00"/>
    <x v="7"/>
    <x v="25"/>
    <x v="25"/>
    <n v="-40000"/>
    <n v="0"/>
    <n v="40000"/>
    <x v="145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50000"/>
    <n v="50000"/>
    <n v="0"/>
    <x v="19"/>
    <s v="Cali"/>
    <m/>
    <m/>
    <m/>
    <m/>
    <x v="0"/>
  </r>
  <r>
    <d v="2021-07-01T00:00:00"/>
    <x v="7"/>
    <x v="25"/>
    <x v="25"/>
    <n v="-50000"/>
    <n v="0"/>
    <n v="50000"/>
    <x v="19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20000"/>
    <n v="20000"/>
    <n v="0"/>
    <x v="17"/>
    <s v="Cali"/>
    <m/>
    <m/>
    <m/>
    <m/>
    <x v="0"/>
  </r>
  <r>
    <d v="2021-07-01T00:00:00"/>
    <x v="7"/>
    <x v="25"/>
    <x v="25"/>
    <n v="-20000"/>
    <n v="0"/>
    <n v="20000"/>
    <x v="17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30000"/>
    <n v="30000"/>
    <n v="0"/>
    <x v="147"/>
    <s v="Cali"/>
    <m/>
    <m/>
    <m/>
    <m/>
    <x v="0"/>
  </r>
  <r>
    <d v="2021-07-01T00:00:00"/>
    <x v="7"/>
    <x v="26"/>
    <x v="26"/>
    <n v="-30000"/>
    <n v="0"/>
    <n v="30000"/>
    <x v="147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40000"/>
    <n v="40000"/>
    <n v="0"/>
    <x v="168"/>
    <s v="Cali"/>
    <m/>
    <m/>
    <m/>
    <m/>
    <x v="0"/>
  </r>
  <r>
    <d v="2021-07-01T00:00:00"/>
    <x v="7"/>
    <x v="26"/>
    <x v="26"/>
    <n v="-40000"/>
    <n v="0"/>
    <n v="40000"/>
    <x v="168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15000"/>
    <n v="15000"/>
    <n v="0"/>
    <x v="415"/>
    <s v="Cali"/>
    <m/>
    <m/>
    <m/>
    <m/>
    <x v="0"/>
  </r>
  <r>
    <d v="2021-07-01T00:00:00"/>
    <x v="7"/>
    <x v="25"/>
    <x v="25"/>
    <n v="-15000"/>
    <n v="0"/>
    <n v="15000"/>
    <x v="415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15000"/>
    <n v="15000"/>
    <n v="0"/>
    <x v="364"/>
    <s v="Cali"/>
    <m/>
    <m/>
    <m/>
    <m/>
    <x v="0"/>
  </r>
  <r>
    <d v="2021-07-01T00:00:00"/>
    <x v="7"/>
    <x v="25"/>
    <x v="25"/>
    <n v="-15000"/>
    <n v="0"/>
    <n v="15000"/>
    <x v="364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20000"/>
    <n v="20000"/>
    <n v="0"/>
    <x v="146"/>
    <s v="Cali"/>
    <m/>
    <m/>
    <m/>
    <m/>
    <x v="0"/>
  </r>
  <r>
    <d v="2021-07-01T00:00:00"/>
    <x v="7"/>
    <x v="26"/>
    <x v="26"/>
    <n v="-20000"/>
    <n v="0"/>
    <n v="20000"/>
    <x v="146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15000"/>
    <n v="15000"/>
    <n v="0"/>
    <x v="148"/>
    <s v="Cali"/>
    <m/>
    <m/>
    <m/>
    <m/>
    <x v="0"/>
  </r>
  <r>
    <d v="2021-07-01T00:00:00"/>
    <x v="7"/>
    <x v="25"/>
    <x v="25"/>
    <n v="-15000"/>
    <n v="0"/>
    <n v="15000"/>
    <x v="148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14821"/>
    <n v="14821"/>
    <n v="0"/>
    <x v="468"/>
    <s v="Cali"/>
    <m/>
    <m/>
    <m/>
    <m/>
    <x v="0"/>
  </r>
  <r>
    <d v="2021-07-01T00:00:00"/>
    <x v="7"/>
    <x v="49"/>
    <x v="49"/>
    <n v="179"/>
    <n v="179"/>
    <n v="0"/>
    <x v="468"/>
    <s v="Cali"/>
    <m/>
    <m/>
    <m/>
    <m/>
    <x v="0"/>
  </r>
  <r>
    <d v="2021-07-01T00:00:00"/>
    <x v="7"/>
    <x v="25"/>
    <x v="25"/>
    <n v="-15000"/>
    <n v="0"/>
    <n v="15000"/>
    <x v="468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160000"/>
    <n v="160000"/>
    <n v="0"/>
    <x v="22"/>
    <s v="Cali"/>
    <m/>
    <m/>
    <m/>
    <m/>
    <x v="0"/>
  </r>
  <r>
    <d v="2021-07-01T00:00:00"/>
    <x v="7"/>
    <x v="27"/>
    <x v="27"/>
    <n v="-160000"/>
    <n v="0"/>
    <n v="160000"/>
    <x v="22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45000"/>
    <n v="45000"/>
    <n v="0"/>
    <x v="161"/>
    <s v="Cali"/>
    <m/>
    <m/>
    <m/>
    <m/>
    <x v="0"/>
  </r>
  <r>
    <d v="2021-07-01T00:00:00"/>
    <x v="7"/>
    <x v="26"/>
    <x v="26"/>
    <n v="-45000"/>
    <n v="0"/>
    <n v="45000"/>
    <x v="161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30000"/>
    <n v="30000"/>
    <n v="0"/>
    <x v="307"/>
    <s v="Cali"/>
    <m/>
    <m/>
    <m/>
    <m/>
    <x v="0"/>
  </r>
  <r>
    <d v="2021-07-01T00:00:00"/>
    <x v="7"/>
    <x v="25"/>
    <x v="25"/>
    <n v="-30000"/>
    <n v="0"/>
    <n v="30000"/>
    <x v="307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100000"/>
    <n v="100000"/>
    <n v="0"/>
    <x v="469"/>
    <s v="Cali"/>
    <m/>
    <m/>
    <m/>
    <m/>
    <x v="0"/>
  </r>
  <r>
    <d v="2021-07-01T00:00:00"/>
    <x v="7"/>
    <x v="26"/>
    <x v="26"/>
    <n v="-100000"/>
    <n v="0"/>
    <n v="100000"/>
    <x v="469"/>
    <s v="Cali"/>
    <m/>
    <m/>
    <m/>
    <m/>
    <x v="0"/>
  </r>
  <r>
    <m/>
    <x v="1"/>
    <x v="23"/>
    <x v="23"/>
    <m/>
    <m/>
    <m/>
    <x v="1"/>
    <m/>
    <m/>
    <m/>
    <m/>
    <m/>
    <x v="0"/>
  </r>
  <r>
    <d v="2021-07-01T00:00:00"/>
    <x v="7"/>
    <x v="0"/>
    <x v="0"/>
    <n v="15000"/>
    <n v="15000"/>
    <n v="0"/>
    <x v="205"/>
    <s v="Cali"/>
    <m/>
    <m/>
    <m/>
    <m/>
    <x v="0"/>
  </r>
  <r>
    <d v="2021-07-01T00:00:00"/>
    <x v="7"/>
    <x v="27"/>
    <x v="27"/>
    <n v="-15000"/>
    <n v="0"/>
    <n v="15000"/>
    <x v="205"/>
    <s v="Cali"/>
    <m/>
    <m/>
    <m/>
    <m/>
    <x v="0"/>
  </r>
  <r>
    <m/>
    <x v="1"/>
    <x v="23"/>
    <x v="23"/>
    <m/>
    <m/>
    <m/>
    <x v="1"/>
    <m/>
    <m/>
    <m/>
    <m/>
    <m/>
    <x v="0"/>
  </r>
  <r>
    <d v="2021-07-02T00:00:00"/>
    <x v="7"/>
    <x v="0"/>
    <x v="0"/>
    <n v="40000"/>
    <n v="40000"/>
    <n v="0"/>
    <x v="157"/>
    <s v="Cali"/>
    <m/>
    <m/>
    <m/>
    <m/>
    <x v="0"/>
  </r>
  <r>
    <d v="2021-07-02T00:00:00"/>
    <x v="7"/>
    <x v="27"/>
    <x v="27"/>
    <n v="-40000"/>
    <n v="0"/>
    <n v="40000"/>
    <x v="157"/>
    <s v="Cali"/>
    <m/>
    <m/>
    <m/>
    <m/>
    <x v="0"/>
  </r>
  <r>
    <m/>
    <x v="1"/>
    <x v="23"/>
    <x v="23"/>
    <m/>
    <m/>
    <m/>
    <x v="1"/>
    <m/>
    <m/>
    <m/>
    <m/>
    <m/>
    <x v="0"/>
  </r>
  <r>
    <d v="2021-07-02T00:00:00"/>
    <x v="7"/>
    <x v="0"/>
    <x v="0"/>
    <n v="60000"/>
    <n v="60000"/>
    <n v="0"/>
    <x v="160"/>
    <s v="Cali"/>
    <m/>
    <m/>
    <m/>
    <m/>
    <x v="0"/>
  </r>
  <r>
    <d v="2021-07-02T00:00:00"/>
    <x v="7"/>
    <x v="25"/>
    <x v="25"/>
    <n v="-60000"/>
    <n v="0"/>
    <n v="60000"/>
    <x v="160"/>
    <s v="Cali"/>
    <m/>
    <m/>
    <m/>
    <m/>
    <x v="0"/>
  </r>
  <r>
    <m/>
    <x v="1"/>
    <x v="23"/>
    <x v="23"/>
    <m/>
    <m/>
    <m/>
    <x v="1"/>
    <m/>
    <m/>
    <m/>
    <m/>
    <m/>
    <x v="0"/>
  </r>
  <r>
    <d v="2021-07-02T00:00:00"/>
    <x v="7"/>
    <x v="0"/>
    <x v="0"/>
    <n v="20000"/>
    <n v="20000"/>
    <n v="0"/>
    <x v="174"/>
    <s v="Cali"/>
    <m/>
    <m/>
    <m/>
    <m/>
    <x v="0"/>
  </r>
  <r>
    <d v="2021-07-02T00:00:00"/>
    <x v="7"/>
    <x v="25"/>
    <x v="25"/>
    <n v="-20000"/>
    <n v="0"/>
    <n v="20000"/>
    <x v="174"/>
    <s v="Cali"/>
    <m/>
    <m/>
    <m/>
    <m/>
    <x v="0"/>
  </r>
  <r>
    <m/>
    <x v="1"/>
    <x v="23"/>
    <x v="23"/>
    <m/>
    <m/>
    <m/>
    <x v="1"/>
    <m/>
    <m/>
    <m/>
    <m/>
    <m/>
    <x v="0"/>
  </r>
  <r>
    <d v="2021-07-02T00:00:00"/>
    <x v="7"/>
    <x v="0"/>
    <x v="0"/>
    <n v="200000"/>
    <n v="200000"/>
    <n v="0"/>
    <x v="242"/>
    <s v="Cali"/>
    <m/>
    <m/>
    <m/>
    <m/>
    <x v="0"/>
  </r>
  <r>
    <d v="2021-07-02T00:00:00"/>
    <x v="7"/>
    <x v="26"/>
    <x v="26"/>
    <n v="-200000"/>
    <n v="0"/>
    <n v="200000"/>
    <x v="242"/>
    <s v="Cali"/>
    <m/>
    <m/>
    <m/>
    <m/>
    <x v="0"/>
  </r>
  <r>
    <m/>
    <x v="1"/>
    <x v="23"/>
    <x v="23"/>
    <m/>
    <m/>
    <m/>
    <x v="1"/>
    <m/>
    <m/>
    <m/>
    <m/>
    <m/>
    <x v="0"/>
  </r>
  <r>
    <d v="2021-07-02T00:00:00"/>
    <x v="7"/>
    <x v="0"/>
    <x v="0"/>
    <n v="50000"/>
    <n v="50000"/>
    <n v="0"/>
    <x v="197"/>
    <s v="Cali"/>
    <m/>
    <m/>
    <m/>
    <m/>
    <x v="0"/>
  </r>
  <r>
    <d v="2021-07-02T00:00:00"/>
    <x v="7"/>
    <x v="26"/>
    <x v="26"/>
    <n v="-50000"/>
    <n v="0"/>
    <n v="50000"/>
    <x v="197"/>
    <s v="Cali"/>
    <m/>
    <m/>
    <m/>
    <m/>
    <x v="0"/>
  </r>
  <r>
    <m/>
    <x v="1"/>
    <x v="23"/>
    <x v="23"/>
    <m/>
    <m/>
    <m/>
    <x v="1"/>
    <m/>
    <m/>
    <m/>
    <m/>
    <m/>
    <x v="0"/>
  </r>
  <r>
    <d v="2021-07-02T00:00:00"/>
    <x v="7"/>
    <x v="0"/>
    <x v="0"/>
    <n v="70000"/>
    <n v="70000"/>
    <n v="0"/>
    <x v="257"/>
    <s v="Cali"/>
    <m/>
    <m/>
    <m/>
    <m/>
    <x v="0"/>
  </r>
  <r>
    <d v="2021-07-02T00:00:00"/>
    <x v="7"/>
    <x v="26"/>
    <x v="26"/>
    <n v="-70000"/>
    <n v="0"/>
    <n v="70000"/>
    <x v="257"/>
    <s v="Cali"/>
    <m/>
    <m/>
    <m/>
    <m/>
    <x v="0"/>
  </r>
  <r>
    <m/>
    <x v="1"/>
    <x v="23"/>
    <x v="23"/>
    <m/>
    <m/>
    <m/>
    <x v="1"/>
    <m/>
    <m/>
    <m/>
    <m/>
    <m/>
    <x v="0"/>
  </r>
  <r>
    <d v="2021-07-02T00:00:00"/>
    <x v="7"/>
    <x v="0"/>
    <x v="0"/>
    <n v="350000"/>
    <n v="350000"/>
    <n v="0"/>
    <x v="470"/>
    <s v="Cali"/>
    <m/>
    <m/>
    <m/>
    <m/>
    <x v="0"/>
  </r>
  <r>
    <d v="2021-07-02T00:00:00"/>
    <x v="7"/>
    <x v="26"/>
    <x v="26"/>
    <n v="-350000"/>
    <n v="0"/>
    <n v="350000"/>
    <x v="470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0"/>
    <x v="0"/>
    <n v="650000"/>
    <n v="650000"/>
    <n v="0"/>
    <x v="470"/>
    <s v="Cali"/>
    <m/>
    <m/>
    <m/>
    <m/>
    <x v="0"/>
  </r>
  <r>
    <d v="2021-07-05T00:00:00"/>
    <x v="7"/>
    <x v="26"/>
    <x v="26"/>
    <n v="-650000"/>
    <n v="0"/>
    <n v="650000"/>
    <x v="470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0"/>
    <x v="0"/>
    <n v="70000"/>
    <n v="70000"/>
    <n v="0"/>
    <x v="37"/>
    <s v="Cali"/>
    <m/>
    <m/>
    <m/>
    <m/>
    <x v="0"/>
  </r>
  <r>
    <d v="2021-07-05T00:00:00"/>
    <x v="7"/>
    <x v="25"/>
    <x v="25"/>
    <n v="-70000"/>
    <n v="0"/>
    <n v="70000"/>
    <x v="37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0"/>
    <x v="0"/>
    <n v="30000"/>
    <n v="30000"/>
    <n v="0"/>
    <x v="164"/>
    <s v="Cali"/>
    <m/>
    <m/>
    <m/>
    <m/>
    <x v="0"/>
  </r>
  <r>
    <d v="2021-07-05T00:00:00"/>
    <x v="7"/>
    <x v="26"/>
    <x v="26"/>
    <n v="-30000"/>
    <n v="0"/>
    <n v="30000"/>
    <x v="164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0"/>
    <x v="0"/>
    <n v="40000"/>
    <n v="40000"/>
    <n v="0"/>
    <x v="334"/>
    <s v="Cali"/>
    <m/>
    <m/>
    <m/>
    <m/>
    <x v="0"/>
  </r>
  <r>
    <d v="2021-07-05T00:00:00"/>
    <x v="7"/>
    <x v="25"/>
    <x v="25"/>
    <n v="-40000"/>
    <n v="0"/>
    <n v="40000"/>
    <x v="334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0"/>
    <x v="0"/>
    <n v="100000"/>
    <n v="100000"/>
    <n v="0"/>
    <x v="471"/>
    <s v="Cali"/>
    <m/>
    <m/>
    <m/>
    <m/>
    <x v="0"/>
  </r>
  <r>
    <d v="2021-07-05T00:00:00"/>
    <x v="7"/>
    <x v="26"/>
    <x v="26"/>
    <n v="-100000"/>
    <n v="0"/>
    <n v="100000"/>
    <x v="471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0"/>
    <x v="0"/>
    <n v="150000"/>
    <n v="150000"/>
    <n v="0"/>
    <x v="192"/>
    <s v="Cali"/>
    <m/>
    <m/>
    <m/>
    <m/>
    <x v="0"/>
  </r>
  <r>
    <d v="2021-07-05T00:00:00"/>
    <x v="7"/>
    <x v="26"/>
    <x v="26"/>
    <n v="-150000"/>
    <n v="0"/>
    <n v="15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0"/>
    <x v="0"/>
    <n v="150000"/>
    <n v="150000"/>
    <n v="0"/>
    <x v="169"/>
    <s v="Cali"/>
    <m/>
    <m/>
    <m/>
    <m/>
    <x v="0"/>
  </r>
  <r>
    <d v="2021-07-05T00:00:00"/>
    <x v="7"/>
    <x v="25"/>
    <x v="25"/>
    <n v="-150000"/>
    <n v="0"/>
    <n v="150000"/>
    <x v="169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0"/>
    <x v="0"/>
    <n v="20000"/>
    <n v="20000"/>
    <n v="0"/>
    <x v="166"/>
    <s v="Cali"/>
    <m/>
    <m/>
    <m/>
    <m/>
    <x v="0"/>
  </r>
  <r>
    <d v="2021-07-05T00:00:00"/>
    <x v="7"/>
    <x v="25"/>
    <x v="25"/>
    <n v="-20000"/>
    <n v="0"/>
    <n v="20000"/>
    <x v="166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0"/>
    <x v="0"/>
    <n v="2000"/>
    <n v="2000"/>
    <n v="0"/>
    <x v="177"/>
    <s v="Cali"/>
    <m/>
    <m/>
    <m/>
    <m/>
    <x v="0"/>
  </r>
  <r>
    <d v="2021-07-05T00:00:00"/>
    <x v="7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0"/>
    <x v="0"/>
    <n v="11000"/>
    <n v="11000"/>
    <n v="0"/>
    <x v="191"/>
    <s v="Cali"/>
    <m/>
    <m/>
    <m/>
    <m/>
    <x v="0"/>
  </r>
  <r>
    <d v="2021-07-05T00:00:00"/>
    <x v="7"/>
    <x v="27"/>
    <x v="27"/>
    <n v="-11000"/>
    <n v="0"/>
    <n v="11000"/>
    <x v="191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0"/>
    <x v="0"/>
    <n v="60000"/>
    <n v="60000"/>
    <n v="0"/>
    <x v="372"/>
    <s v="Cali"/>
    <m/>
    <m/>
    <m/>
    <m/>
    <x v="0"/>
  </r>
  <r>
    <d v="2021-07-05T00:00:00"/>
    <x v="7"/>
    <x v="25"/>
    <x v="25"/>
    <n v="-60000"/>
    <n v="0"/>
    <n v="60000"/>
    <x v="372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0"/>
    <x v="0"/>
    <n v="12000"/>
    <n v="12000"/>
    <n v="0"/>
    <x v="310"/>
    <s v="Cali"/>
    <m/>
    <m/>
    <m/>
    <m/>
    <x v="0"/>
  </r>
  <r>
    <d v="2021-07-05T00:00:00"/>
    <x v="7"/>
    <x v="25"/>
    <x v="25"/>
    <n v="-12000"/>
    <n v="0"/>
    <n v="12000"/>
    <x v="310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0"/>
    <x v="0"/>
    <n v="15000"/>
    <n v="15000"/>
    <n v="0"/>
    <x v="282"/>
    <s v="Cali"/>
    <m/>
    <m/>
    <m/>
    <m/>
    <x v="0"/>
  </r>
  <r>
    <d v="2021-07-05T00:00:00"/>
    <x v="7"/>
    <x v="25"/>
    <x v="25"/>
    <n v="-15000"/>
    <n v="0"/>
    <n v="15000"/>
    <x v="282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0"/>
    <x v="0"/>
    <n v="60000"/>
    <n v="60000"/>
    <n v="0"/>
    <x v="202"/>
    <s v="Cali"/>
    <m/>
    <m/>
    <m/>
    <m/>
    <x v="0"/>
  </r>
  <r>
    <d v="2021-07-05T00:00:00"/>
    <x v="7"/>
    <x v="27"/>
    <x v="27"/>
    <n v="-60000"/>
    <n v="0"/>
    <n v="60000"/>
    <x v="202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0"/>
    <x v="0"/>
    <n v="10000"/>
    <n v="10000"/>
    <n v="0"/>
    <x v="472"/>
    <s v="Cali"/>
    <m/>
    <m/>
    <m/>
    <m/>
    <x v="0"/>
  </r>
  <r>
    <d v="2021-07-05T00:00:00"/>
    <x v="7"/>
    <x v="4"/>
    <x v="4"/>
    <n v="-10000"/>
    <n v="0"/>
    <n v="10000"/>
    <x v="472"/>
    <s v="Cali"/>
    <m/>
    <m/>
    <m/>
    <m/>
    <x v="0"/>
  </r>
  <r>
    <m/>
    <x v="1"/>
    <x v="23"/>
    <x v="23"/>
    <m/>
    <m/>
    <m/>
    <x v="1"/>
    <m/>
    <m/>
    <m/>
    <m/>
    <m/>
    <x v="0"/>
  </r>
  <r>
    <d v="2021-07-05T00:00:00"/>
    <x v="7"/>
    <x v="31"/>
    <x v="31"/>
    <n v="1414"/>
    <n v="1414"/>
    <n v="0"/>
    <x v="172"/>
    <s v="Cali"/>
    <m/>
    <m/>
    <m/>
    <m/>
    <x v="0"/>
  </r>
  <r>
    <d v="2021-07-05T00:00:00"/>
    <x v="7"/>
    <x v="0"/>
    <x v="0"/>
    <n v="-1414"/>
    <n v="0"/>
    <n v="1414"/>
    <x v="172"/>
    <s v="Cali"/>
    <m/>
    <m/>
    <m/>
    <m/>
    <x v="0"/>
  </r>
  <r>
    <m/>
    <x v="1"/>
    <x v="23"/>
    <x v="23"/>
    <m/>
    <m/>
    <m/>
    <x v="1"/>
    <m/>
    <m/>
    <m/>
    <m/>
    <m/>
    <x v="0"/>
  </r>
  <r>
    <d v="2021-07-06T00:00:00"/>
    <x v="7"/>
    <x v="0"/>
    <x v="0"/>
    <n v="80000"/>
    <n v="80000"/>
    <n v="0"/>
    <x v="316"/>
    <s v="Cali"/>
    <m/>
    <m/>
    <m/>
    <m/>
    <x v="0"/>
  </r>
  <r>
    <d v="2021-07-06T00:00:00"/>
    <x v="7"/>
    <x v="25"/>
    <x v="25"/>
    <n v="-80000"/>
    <n v="0"/>
    <n v="80000"/>
    <x v="316"/>
    <s v="Cali"/>
    <m/>
    <m/>
    <m/>
    <m/>
    <x v="0"/>
  </r>
  <r>
    <m/>
    <x v="1"/>
    <x v="23"/>
    <x v="23"/>
    <m/>
    <m/>
    <m/>
    <x v="1"/>
    <m/>
    <m/>
    <m/>
    <m/>
    <m/>
    <x v="0"/>
  </r>
  <r>
    <d v="2021-07-06T00:00:00"/>
    <x v="7"/>
    <x v="0"/>
    <x v="0"/>
    <n v="40000"/>
    <n v="40000"/>
    <n v="0"/>
    <x v="176"/>
    <s v="Cali"/>
    <m/>
    <m/>
    <m/>
    <m/>
    <x v="0"/>
  </r>
  <r>
    <d v="2021-07-06T00:00:00"/>
    <x v="7"/>
    <x v="25"/>
    <x v="25"/>
    <n v="-40000"/>
    <n v="0"/>
    <n v="40000"/>
    <x v="176"/>
    <s v="Cali"/>
    <m/>
    <m/>
    <m/>
    <m/>
    <x v="0"/>
  </r>
  <r>
    <m/>
    <x v="1"/>
    <x v="23"/>
    <x v="23"/>
    <m/>
    <m/>
    <m/>
    <x v="1"/>
    <m/>
    <m/>
    <m/>
    <m/>
    <m/>
    <x v="0"/>
  </r>
  <r>
    <d v="2021-07-07T00:00:00"/>
    <x v="7"/>
    <x v="28"/>
    <x v="28"/>
    <n v="132983"/>
    <n v="132983"/>
    <n v="0"/>
    <x v="473"/>
    <s v="Cali"/>
    <m/>
    <m/>
    <m/>
    <m/>
    <x v="0"/>
  </r>
  <r>
    <d v="2021-07-07T00:00:00"/>
    <x v="7"/>
    <x v="0"/>
    <x v="0"/>
    <n v="-132983"/>
    <n v="0"/>
    <n v="132983"/>
    <x v="473"/>
    <s v="Cali"/>
    <m/>
    <m/>
    <m/>
    <m/>
    <x v="0"/>
  </r>
  <r>
    <m/>
    <x v="1"/>
    <x v="23"/>
    <x v="23"/>
    <m/>
    <m/>
    <m/>
    <x v="1"/>
    <m/>
    <m/>
    <m/>
    <m/>
    <m/>
    <x v="0"/>
  </r>
  <r>
    <d v="2021-07-07T00:00:00"/>
    <x v="7"/>
    <x v="0"/>
    <x v="0"/>
    <n v="30000"/>
    <n v="30000"/>
    <n v="0"/>
    <x v="170"/>
    <s v="Cali"/>
    <m/>
    <m/>
    <m/>
    <m/>
    <x v="0"/>
  </r>
  <r>
    <d v="2021-07-07T00:00:00"/>
    <x v="7"/>
    <x v="26"/>
    <x v="26"/>
    <n v="-30000"/>
    <n v="0"/>
    <n v="30000"/>
    <x v="170"/>
    <s v="Cali"/>
    <m/>
    <m/>
    <m/>
    <m/>
    <x v="0"/>
  </r>
  <r>
    <m/>
    <x v="1"/>
    <x v="23"/>
    <x v="23"/>
    <m/>
    <m/>
    <m/>
    <x v="1"/>
    <m/>
    <m/>
    <m/>
    <m/>
    <m/>
    <x v="0"/>
  </r>
  <r>
    <d v="2021-07-07T00:00:00"/>
    <x v="7"/>
    <x v="0"/>
    <x v="0"/>
    <n v="30000"/>
    <n v="30000"/>
    <n v="0"/>
    <x v="170"/>
    <s v="Cali"/>
    <m/>
    <m/>
    <m/>
    <m/>
    <x v="0"/>
  </r>
  <r>
    <d v="2021-07-07T00:00:00"/>
    <x v="7"/>
    <x v="26"/>
    <x v="26"/>
    <n v="-30000"/>
    <n v="0"/>
    <n v="30000"/>
    <x v="170"/>
    <s v="Cali"/>
    <m/>
    <m/>
    <m/>
    <m/>
    <x v="0"/>
  </r>
  <r>
    <m/>
    <x v="1"/>
    <x v="23"/>
    <x v="23"/>
    <m/>
    <m/>
    <m/>
    <x v="1"/>
    <m/>
    <m/>
    <m/>
    <m/>
    <m/>
    <x v="0"/>
  </r>
  <r>
    <d v="2021-07-07T00:00:00"/>
    <x v="7"/>
    <x v="0"/>
    <x v="0"/>
    <n v="150000"/>
    <n v="150000"/>
    <n v="0"/>
    <x v="251"/>
    <s v="Cali"/>
    <m/>
    <m/>
    <m/>
    <m/>
    <x v="0"/>
  </r>
  <r>
    <d v="2021-07-07T00:00:00"/>
    <x v="7"/>
    <x v="27"/>
    <x v="27"/>
    <n v="-150000"/>
    <n v="0"/>
    <n v="150000"/>
    <x v="251"/>
    <s v="Cali"/>
    <m/>
    <m/>
    <m/>
    <m/>
    <x v="0"/>
  </r>
  <r>
    <m/>
    <x v="1"/>
    <x v="23"/>
    <x v="23"/>
    <m/>
    <m/>
    <m/>
    <x v="1"/>
    <m/>
    <m/>
    <m/>
    <m/>
    <m/>
    <x v="0"/>
  </r>
  <r>
    <d v="2021-07-07T00:00:00"/>
    <x v="7"/>
    <x v="0"/>
    <x v="0"/>
    <n v="100000"/>
    <n v="100000"/>
    <n v="0"/>
    <x v="474"/>
    <s v="Cali"/>
    <m/>
    <m/>
    <m/>
    <m/>
    <x v="0"/>
  </r>
  <r>
    <d v="2021-07-07T00:00:00"/>
    <x v="7"/>
    <x v="26"/>
    <x v="26"/>
    <n v="-100000"/>
    <n v="0"/>
    <n v="100000"/>
    <x v="474"/>
    <s v="Cali"/>
    <m/>
    <m/>
    <m/>
    <m/>
    <x v="0"/>
  </r>
  <r>
    <m/>
    <x v="1"/>
    <x v="23"/>
    <x v="23"/>
    <m/>
    <m/>
    <m/>
    <x v="1"/>
    <m/>
    <m/>
    <m/>
    <m/>
    <m/>
    <x v="0"/>
  </r>
  <r>
    <d v="2021-07-07T00:00:00"/>
    <x v="7"/>
    <x v="0"/>
    <x v="0"/>
    <n v="30000"/>
    <n v="30000"/>
    <n v="0"/>
    <x v="179"/>
    <s v="Cali"/>
    <m/>
    <m/>
    <m/>
    <m/>
    <x v="0"/>
  </r>
  <r>
    <d v="2021-07-07T00:00:00"/>
    <x v="7"/>
    <x v="25"/>
    <x v="25"/>
    <n v="-30000"/>
    <n v="0"/>
    <n v="30000"/>
    <x v="179"/>
    <s v="Cali"/>
    <m/>
    <m/>
    <m/>
    <m/>
    <x v="0"/>
  </r>
  <r>
    <m/>
    <x v="1"/>
    <x v="23"/>
    <x v="23"/>
    <m/>
    <m/>
    <m/>
    <x v="1"/>
    <m/>
    <m/>
    <m/>
    <m/>
    <m/>
    <x v="0"/>
  </r>
  <r>
    <d v="2021-07-08T00:00:00"/>
    <x v="7"/>
    <x v="0"/>
    <x v="0"/>
    <n v="30000"/>
    <n v="30000"/>
    <n v="0"/>
    <x v="362"/>
    <s v="Cali"/>
    <m/>
    <m/>
    <m/>
    <m/>
    <x v="0"/>
  </r>
  <r>
    <d v="2021-07-08T00:00:00"/>
    <x v="7"/>
    <x v="29"/>
    <x v="29"/>
    <n v="-30000"/>
    <n v="0"/>
    <n v="30000"/>
    <x v="362"/>
    <s v="Cali"/>
    <m/>
    <m/>
    <m/>
    <m/>
    <x v="0"/>
  </r>
  <r>
    <m/>
    <x v="1"/>
    <x v="23"/>
    <x v="23"/>
    <m/>
    <m/>
    <m/>
    <x v="1"/>
    <m/>
    <m/>
    <m/>
    <m/>
    <m/>
    <x v="0"/>
  </r>
  <r>
    <d v="2021-07-08T00:00:00"/>
    <x v="7"/>
    <x v="0"/>
    <x v="0"/>
    <n v="40000"/>
    <n v="40000"/>
    <n v="0"/>
    <x v="10"/>
    <s v="Cali"/>
    <m/>
    <m/>
    <m/>
    <m/>
    <x v="0"/>
  </r>
  <r>
    <d v="2021-07-08T00:00:00"/>
    <x v="7"/>
    <x v="25"/>
    <x v="25"/>
    <n v="-40000"/>
    <n v="0"/>
    <n v="40000"/>
    <x v="10"/>
    <s v="Cali"/>
    <m/>
    <m/>
    <m/>
    <m/>
    <x v="0"/>
  </r>
  <r>
    <m/>
    <x v="1"/>
    <x v="23"/>
    <x v="23"/>
    <m/>
    <m/>
    <m/>
    <x v="1"/>
    <m/>
    <m/>
    <m/>
    <m/>
    <m/>
    <x v="0"/>
  </r>
  <r>
    <d v="2021-07-09T00:00:00"/>
    <x v="7"/>
    <x v="0"/>
    <x v="0"/>
    <n v="40000"/>
    <n v="40000"/>
    <n v="0"/>
    <x v="178"/>
    <s v="Cali"/>
    <m/>
    <m/>
    <m/>
    <m/>
    <x v="0"/>
  </r>
  <r>
    <d v="2021-07-09T00:00:00"/>
    <x v="7"/>
    <x v="25"/>
    <x v="25"/>
    <n v="-40000"/>
    <n v="0"/>
    <n v="40000"/>
    <x v="178"/>
    <s v="Cali"/>
    <m/>
    <m/>
    <m/>
    <m/>
    <x v="0"/>
  </r>
  <r>
    <m/>
    <x v="1"/>
    <x v="23"/>
    <x v="23"/>
    <m/>
    <m/>
    <m/>
    <x v="1"/>
    <m/>
    <m/>
    <m/>
    <m/>
    <m/>
    <x v="0"/>
  </r>
  <r>
    <d v="2021-07-09T00:00:00"/>
    <x v="7"/>
    <x v="0"/>
    <x v="0"/>
    <n v="17000"/>
    <n v="17000"/>
    <n v="0"/>
    <x v="66"/>
    <s v="Cali"/>
    <m/>
    <m/>
    <m/>
    <m/>
    <x v="0"/>
  </r>
  <r>
    <d v="2021-07-09T00:00:00"/>
    <x v="7"/>
    <x v="27"/>
    <x v="27"/>
    <n v="-17000"/>
    <n v="0"/>
    <n v="17000"/>
    <x v="66"/>
    <s v="Cali"/>
    <m/>
    <m/>
    <m/>
    <m/>
    <x v="0"/>
  </r>
  <r>
    <m/>
    <x v="1"/>
    <x v="23"/>
    <x v="23"/>
    <m/>
    <m/>
    <m/>
    <x v="1"/>
    <m/>
    <m/>
    <m/>
    <m/>
    <m/>
    <x v="0"/>
  </r>
  <r>
    <d v="2021-07-09T00:00:00"/>
    <x v="7"/>
    <x v="0"/>
    <x v="0"/>
    <n v="15000"/>
    <n v="15000"/>
    <n v="0"/>
    <x v="420"/>
    <s v="Cali"/>
    <m/>
    <m/>
    <m/>
    <m/>
    <x v="0"/>
  </r>
  <r>
    <d v="2021-07-09T00:00:00"/>
    <x v="7"/>
    <x v="26"/>
    <x v="26"/>
    <n v="-15000"/>
    <n v="0"/>
    <n v="15000"/>
    <x v="420"/>
    <s v="Cali"/>
    <m/>
    <m/>
    <m/>
    <m/>
    <x v="0"/>
  </r>
  <r>
    <m/>
    <x v="1"/>
    <x v="23"/>
    <x v="23"/>
    <m/>
    <m/>
    <m/>
    <x v="1"/>
    <m/>
    <m/>
    <m/>
    <m/>
    <m/>
    <x v="0"/>
  </r>
  <r>
    <d v="2021-07-09T00:00:00"/>
    <x v="7"/>
    <x v="0"/>
    <x v="0"/>
    <n v="10000"/>
    <n v="10000"/>
    <n v="0"/>
    <x v="199"/>
    <s v="Cali"/>
    <m/>
    <m/>
    <m/>
    <m/>
    <x v="0"/>
  </r>
  <r>
    <d v="2021-07-09T00:00:00"/>
    <x v="7"/>
    <x v="27"/>
    <x v="27"/>
    <n v="-10000"/>
    <n v="0"/>
    <n v="10000"/>
    <x v="199"/>
    <s v="Cali"/>
    <m/>
    <m/>
    <m/>
    <m/>
    <x v="0"/>
  </r>
  <r>
    <m/>
    <x v="1"/>
    <x v="23"/>
    <x v="23"/>
    <m/>
    <m/>
    <m/>
    <x v="1"/>
    <m/>
    <m/>
    <m/>
    <m/>
    <m/>
    <x v="0"/>
  </r>
  <r>
    <d v="2021-07-09T00:00:00"/>
    <x v="7"/>
    <x v="0"/>
    <x v="0"/>
    <n v="64000"/>
    <n v="64000"/>
    <n v="0"/>
    <x v="64"/>
    <s v="Cali"/>
    <m/>
    <m/>
    <m/>
    <m/>
    <x v="0"/>
  </r>
  <r>
    <d v="2021-07-09T00:00:00"/>
    <x v="7"/>
    <x v="27"/>
    <x v="27"/>
    <n v="-64000"/>
    <n v="0"/>
    <n v="64000"/>
    <x v="64"/>
    <s v="Cali"/>
    <m/>
    <m/>
    <m/>
    <m/>
    <x v="0"/>
  </r>
  <r>
    <m/>
    <x v="1"/>
    <x v="23"/>
    <x v="23"/>
    <m/>
    <m/>
    <m/>
    <x v="1"/>
    <m/>
    <m/>
    <m/>
    <m/>
    <m/>
    <x v="0"/>
  </r>
  <r>
    <d v="2021-07-09T00:00:00"/>
    <x v="7"/>
    <x v="0"/>
    <x v="0"/>
    <n v="1000000"/>
    <n v="1000000"/>
    <n v="0"/>
    <x v="475"/>
    <s v="Cali"/>
    <m/>
    <m/>
    <m/>
    <m/>
    <x v="0"/>
  </r>
  <r>
    <d v="2021-07-09T00:00:00"/>
    <x v="7"/>
    <x v="26"/>
    <x v="26"/>
    <n v="-1000000"/>
    <n v="0"/>
    <n v="1000000"/>
    <x v="475"/>
    <s v="Cali"/>
    <m/>
    <m/>
    <m/>
    <m/>
    <x v="0"/>
  </r>
  <r>
    <m/>
    <x v="1"/>
    <x v="23"/>
    <x v="23"/>
    <m/>
    <m/>
    <m/>
    <x v="1"/>
    <m/>
    <m/>
    <m/>
    <m/>
    <m/>
    <x v="0"/>
  </r>
  <r>
    <d v="2021-07-12T00:00:00"/>
    <x v="7"/>
    <x v="0"/>
    <x v="0"/>
    <n v="30000"/>
    <n v="30000"/>
    <n v="0"/>
    <x v="239"/>
    <s v="Cali"/>
    <m/>
    <m/>
    <m/>
    <m/>
    <x v="0"/>
  </r>
  <r>
    <d v="2021-07-12T00:00:00"/>
    <x v="7"/>
    <x v="27"/>
    <x v="27"/>
    <n v="-30000"/>
    <n v="0"/>
    <n v="30000"/>
    <x v="239"/>
    <s v="Cali"/>
    <m/>
    <m/>
    <m/>
    <m/>
    <x v="0"/>
  </r>
  <r>
    <m/>
    <x v="1"/>
    <x v="23"/>
    <x v="23"/>
    <m/>
    <m/>
    <m/>
    <x v="1"/>
    <m/>
    <m/>
    <m/>
    <m/>
    <m/>
    <x v="0"/>
  </r>
  <r>
    <d v="2021-07-12T00:00:00"/>
    <x v="7"/>
    <x v="0"/>
    <x v="0"/>
    <n v="25000"/>
    <n v="25000"/>
    <n v="0"/>
    <x v="149"/>
    <s v="Cali"/>
    <m/>
    <m/>
    <m/>
    <m/>
    <x v="0"/>
  </r>
  <r>
    <d v="2021-07-12T00:00:00"/>
    <x v="7"/>
    <x v="27"/>
    <x v="27"/>
    <n v="-25000"/>
    <n v="0"/>
    <n v="25000"/>
    <x v="149"/>
    <s v="Cali"/>
    <m/>
    <m/>
    <m/>
    <m/>
    <x v="0"/>
  </r>
  <r>
    <m/>
    <x v="1"/>
    <x v="23"/>
    <x v="23"/>
    <m/>
    <m/>
    <m/>
    <x v="1"/>
    <m/>
    <m/>
    <m/>
    <m/>
    <m/>
    <x v="0"/>
  </r>
  <r>
    <d v="2021-07-12T00:00:00"/>
    <x v="7"/>
    <x v="0"/>
    <x v="0"/>
    <n v="30000"/>
    <n v="30000"/>
    <n v="0"/>
    <x v="256"/>
    <s v="Cali"/>
    <m/>
    <m/>
    <m/>
    <m/>
    <x v="0"/>
  </r>
  <r>
    <d v="2021-07-12T00:00:00"/>
    <x v="7"/>
    <x v="25"/>
    <x v="25"/>
    <n v="-30000"/>
    <n v="0"/>
    <n v="30000"/>
    <x v="256"/>
    <s v="Cali"/>
    <m/>
    <m/>
    <m/>
    <m/>
    <x v="0"/>
  </r>
  <r>
    <m/>
    <x v="1"/>
    <x v="23"/>
    <x v="23"/>
    <m/>
    <m/>
    <m/>
    <x v="1"/>
    <m/>
    <m/>
    <m/>
    <m/>
    <m/>
    <x v="0"/>
  </r>
  <r>
    <d v="2021-07-12T00:00:00"/>
    <x v="7"/>
    <x v="0"/>
    <x v="0"/>
    <n v="20000"/>
    <n v="20000"/>
    <n v="0"/>
    <x v="198"/>
    <s v="Cali"/>
    <m/>
    <m/>
    <m/>
    <m/>
    <x v="0"/>
  </r>
  <r>
    <d v="2021-07-12T00:00:00"/>
    <x v="7"/>
    <x v="27"/>
    <x v="27"/>
    <n v="-20000"/>
    <n v="0"/>
    <n v="20000"/>
    <x v="198"/>
    <s v="Cali"/>
    <m/>
    <m/>
    <m/>
    <m/>
    <x v="0"/>
  </r>
  <r>
    <m/>
    <x v="1"/>
    <x v="23"/>
    <x v="23"/>
    <m/>
    <m/>
    <m/>
    <x v="1"/>
    <m/>
    <m/>
    <m/>
    <m/>
    <m/>
    <x v="0"/>
  </r>
  <r>
    <d v="2021-07-12T00:00:00"/>
    <x v="7"/>
    <x v="0"/>
    <x v="0"/>
    <n v="1500"/>
    <n v="1500"/>
    <n v="0"/>
    <x v="177"/>
    <s v="Cali"/>
    <m/>
    <m/>
    <m/>
    <m/>
    <x v="0"/>
  </r>
  <r>
    <d v="2021-07-12T00:00:00"/>
    <x v="7"/>
    <x v="19"/>
    <x v="19"/>
    <n v="-1500"/>
    <n v="0"/>
    <n v="15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7-12T00:00:00"/>
    <x v="7"/>
    <x v="0"/>
    <x v="0"/>
    <n v="30000"/>
    <n v="30000"/>
    <n v="0"/>
    <x v="185"/>
    <s v="Cali"/>
    <m/>
    <m/>
    <m/>
    <m/>
    <x v="0"/>
  </r>
  <r>
    <d v="2021-07-12T00:00:00"/>
    <x v="7"/>
    <x v="25"/>
    <x v="25"/>
    <n v="-30000"/>
    <n v="0"/>
    <n v="30000"/>
    <x v="185"/>
    <s v="Cali"/>
    <m/>
    <m/>
    <m/>
    <m/>
    <x v="0"/>
  </r>
  <r>
    <m/>
    <x v="1"/>
    <x v="23"/>
    <x v="23"/>
    <m/>
    <m/>
    <m/>
    <x v="1"/>
    <m/>
    <m/>
    <m/>
    <m/>
    <m/>
    <x v="0"/>
  </r>
  <r>
    <d v="2021-07-12T00:00:00"/>
    <x v="7"/>
    <x v="0"/>
    <x v="0"/>
    <n v="17000"/>
    <n v="17000"/>
    <n v="0"/>
    <x v="186"/>
    <s v="Cali"/>
    <m/>
    <m/>
    <m/>
    <m/>
    <x v="0"/>
  </r>
  <r>
    <d v="2021-07-12T00:00:00"/>
    <x v="7"/>
    <x v="25"/>
    <x v="25"/>
    <n v="-17000"/>
    <n v="0"/>
    <n v="17000"/>
    <x v="186"/>
    <s v="Cali"/>
    <m/>
    <m/>
    <m/>
    <m/>
    <x v="0"/>
  </r>
  <r>
    <m/>
    <x v="1"/>
    <x v="23"/>
    <x v="23"/>
    <m/>
    <m/>
    <m/>
    <x v="1"/>
    <m/>
    <m/>
    <m/>
    <m/>
    <m/>
    <x v="0"/>
  </r>
  <r>
    <d v="2021-07-12T00:00:00"/>
    <x v="7"/>
    <x v="0"/>
    <x v="0"/>
    <n v="25000"/>
    <n v="25000"/>
    <n v="0"/>
    <x v="38"/>
    <s v="Cali"/>
    <m/>
    <m/>
    <m/>
    <m/>
    <x v="0"/>
  </r>
  <r>
    <d v="2021-07-12T00:00:00"/>
    <x v="7"/>
    <x v="25"/>
    <x v="25"/>
    <n v="-25000"/>
    <n v="0"/>
    <n v="25000"/>
    <x v="38"/>
    <s v="Cali"/>
    <m/>
    <m/>
    <m/>
    <m/>
    <x v="0"/>
  </r>
  <r>
    <m/>
    <x v="1"/>
    <x v="23"/>
    <x v="23"/>
    <m/>
    <m/>
    <m/>
    <x v="1"/>
    <m/>
    <m/>
    <m/>
    <m/>
    <m/>
    <x v="0"/>
  </r>
  <r>
    <d v="2021-07-12T00:00:00"/>
    <x v="7"/>
    <x v="0"/>
    <x v="0"/>
    <n v="12000"/>
    <n v="12000"/>
    <n v="0"/>
    <x v="150"/>
    <s v="Cali"/>
    <m/>
    <m/>
    <m/>
    <m/>
    <x v="0"/>
  </r>
  <r>
    <d v="2021-07-12T00:00:00"/>
    <x v="7"/>
    <x v="19"/>
    <x v="19"/>
    <n v="-12000"/>
    <n v="0"/>
    <n v="12000"/>
    <x v="150"/>
    <s v="Cali"/>
    <m/>
    <m/>
    <m/>
    <m/>
    <x v="0"/>
  </r>
  <r>
    <m/>
    <x v="1"/>
    <x v="23"/>
    <x v="23"/>
    <m/>
    <m/>
    <m/>
    <x v="1"/>
    <m/>
    <m/>
    <m/>
    <m/>
    <m/>
    <x v="0"/>
  </r>
  <r>
    <d v="2021-07-12T00:00:00"/>
    <x v="7"/>
    <x v="0"/>
    <x v="0"/>
    <n v="20000"/>
    <n v="20000"/>
    <n v="0"/>
    <x v="476"/>
    <s v="Cali"/>
    <m/>
    <m/>
    <m/>
    <m/>
    <x v="0"/>
  </r>
  <r>
    <d v="2021-07-12T00:00:00"/>
    <x v="7"/>
    <x v="20"/>
    <x v="20"/>
    <n v="-20000"/>
    <n v="0"/>
    <n v="20000"/>
    <x v="476"/>
    <s v="Cali"/>
    <m/>
    <m/>
    <m/>
    <m/>
    <x v="0"/>
  </r>
  <r>
    <m/>
    <x v="1"/>
    <x v="23"/>
    <x v="23"/>
    <m/>
    <m/>
    <m/>
    <x v="1"/>
    <m/>
    <m/>
    <m/>
    <m/>
    <m/>
    <x v="0"/>
  </r>
  <r>
    <d v="2021-07-12T00:00:00"/>
    <x v="7"/>
    <x v="0"/>
    <x v="0"/>
    <n v="30000"/>
    <n v="30000"/>
    <n v="0"/>
    <x v="156"/>
    <s v="Cali"/>
    <m/>
    <m/>
    <m/>
    <m/>
    <x v="0"/>
  </r>
  <r>
    <d v="2021-07-12T00:00:00"/>
    <x v="7"/>
    <x v="25"/>
    <x v="25"/>
    <n v="-30000"/>
    <n v="0"/>
    <n v="30000"/>
    <x v="156"/>
    <s v="Cali"/>
    <m/>
    <m/>
    <m/>
    <m/>
    <x v="0"/>
  </r>
  <r>
    <m/>
    <x v="1"/>
    <x v="23"/>
    <x v="23"/>
    <m/>
    <m/>
    <m/>
    <x v="1"/>
    <m/>
    <m/>
    <m/>
    <m/>
    <m/>
    <x v="0"/>
  </r>
  <r>
    <d v="2021-07-13T00:00:00"/>
    <x v="7"/>
    <x v="0"/>
    <x v="0"/>
    <n v="20000"/>
    <n v="20000"/>
    <n v="0"/>
    <x v="193"/>
    <s v="Cali"/>
    <m/>
    <m/>
    <m/>
    <m/>
    <x v="0"/>
  </r>
  <r>
    <d v="2021-07-13T00:00:00"/>
    <x v="7"/>
    <x v="26"/>
    <x v="26"/>
    <n v="-20000"/>
    <n v="0"/>
    <n v="20000"/>
    <x v="193"/>
    <s v="Cali"/>
    <m/>
    <m/>
    <m/>
    <m/>
    <x v="0"/>
  </r>
  <r>
    <m/>
    <x v="1"/>
    <x v="23"/>
    <x v="23"/>
    <m/>
    <m/>
    <m/>
    <x v="1"/>
    <m/>
    <m/>
    <m/>
    <m/>
    <m/>
    <x v="0"/>
  </r>
  <r>
    <d v="2021-07-13T00:00:00"/>
    <x v="7"/>
    <x v="0"/>
    <x v="0"/>
    <n v="25000"/>
    <n v="25000"/>
    <n v="0"/>
    <x v="194"/>
    <s v="Cali"/>
    <m/>
    <m/>
    <m/>
    <m/>
    <x v="0"/>
  </r>
  <r>
    <d v="2021-07-13T00:00:00"/>
    <x v="7"/>
    <x v="25"/>
    <x v="25"/>
    <n v="-25000"/>
    <n v="0"/>
    <n v="25000"/>
    <x v="194"/>
    <s v="Cali"/>
    <m/>
    <m/>
    <m/>
    <m/>
    <x v="0"/>
  </r>
  <r>
    <m/>
    <x v="1"/>
    <x v="23"/>
    <x v="23"/>
    <m/>
    <m/>
    <m/>
    <x v="1"/>
    <m/>
    <m/>
    <m/>
    <m/>
    <m/>
    <x v="0"/>
  </r>
  <r>
    <d v="2021-07-13T00:00:00"/>
    <x v="7"/>
    <x v="0"/>
    <x v="0"/>
    <n v="7000"/>
    <n v="7000"/>
    <n v="0"/>
    <x v="261"/>
    <s v="Cali"/>
    <m/>
    <m/>
    <m/>
    <m/>
    <x v="0"/>
  </r>
  <r>
    <d v="2021-07-13T00:00:00"/>
    <x v="7"/>
    <x v="25"/>
    <x v="25"/>
    <n v="-7000"/>
    <n v="0"/>
    <n v="7000"/>
    <x v="261"/>
    <s v="Cali"/>
    <m/>
    <m/>
    <m/>
    <m/>
    <x v="0"/>
  </r>
  <r>
    <m/>
    <x v="1"/>
    <x v="23"/>
    <x v="23"/>
    <m/>
    <m/>
    <m/>
    <x v="1"/>
    <m/>
    <m/>
    <m/>
    <m/>
    <m/>
    <x v="0"/>
  </r>
  <r>
    <d v="2021-07-13T00:00:00"/>
    <x v="7"/>
    <x v="0"/>
    <x v="0"/>
    <n v="35000"/>
    <n v="35000"/>
    <n v="0"/>
    <x v="65"/>
    <s v="Cali"/>
    <m/>
    <m/>
    <m/>
    <m/>
    <x v="0"/>
  </r>
  <r>
    <d v="2021-07-13T00:00:00"/>
    <x v="7"/>
    <x v="29"/>
    <x v="29"/>
    <n v="-35000"/>
    <n v="0"/>
    <n v="3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7-13T00:00:00"/>
    <x v="7"/>
    <x v="0"/>
    <x v="0"/>
    <n v="95000"/>
    <n v="95000"/>
    <n v="0"/>
    <x v="65"/>
    <s v="Cali"/>
    <m/>
    <m/>
    <m/>
    <m/>
    <x v="0"/>
  </r>
  <r>
    <d v="2021-07-13T00:00:00"/>
    <x v="7"/>
    <x v="29"/>
    <x v="29"/>
    <n v="-95000"/>
    <n v="0"/>
    <n v="9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7-13T00:00:00"/>
    <x v="7"/>
    <x v="0"/>
    <x v="0"/>
    <n v="210000"/>
    <n v="210000"/>
    <n v="0"/>
    <x v="65"/>
    <s v="Cali"/>
    <m/>
    <m/>
    <m/>
    <m/>
    <x v="0"/>
  </r>
  <r>
    <d v="2021-07-13T00:00:00"/>
    <x v="7"/>
    <x v="29"/>
    <x v="29"/>
    <n v="-210000"/>
    <n v="0"/>
    <n v="21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7-13T00:00:00"/>
    <x v="7"/>
    <x v="0"/>
    <x v="0"/>
    <n v="20000"/>
    <n v="20000"/>
    <n v="0"/>
    <x v="65"/>
    <s v="Cali"/>
    <m/>
    <m/>
    <m/>
    <m/>
    <x v="0"/>
  </r>
  <r>
    <d v="2021-07-13T00:00:00"/>
    <x v="7"/>
    <x v="29"/>
    <x v="29"/>
    <n v="-20000"/>
    <n v="0"/>
    <n v="2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7-13T00:00:00"/>
    <x v="7"/>
    <x v="0"/>
    <x v="0"/>
    <n v="14000"/>
    <n v="14000"/>
    <n v="0"/>
    <x v="65"/>
    <s v="Cali"/>
    <m/>
    <m/>
    <m/>
    <m/>
    <x v="0"/>
  </r>
  <r>
    <d v="2021-07-13T00:00:00"/>
    <x v="7"/>
    <x v="29"/>
    <x v="29"/>
    <n v="-14000"/>
    <n v="0"/>
    <n v="14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7-14T00:00:00"/>
    <x v="7"/>
    <x v="0"/>
    <x v="0"/>
    <n v="30000"/>
    <n v="30000"/>
    <n v="0"/>
    <x v="188"/>
    <s v="Cali"/>
    <m/>
    <m/>
    <m/>
    <m/>
    <x v="0"/>
  </r>
  <r>
    <d v="2021-07-14T00:00:00"/>
    <x v="7"/>
    <x v="29"/>
    <x v="29"/>
    <n v="-30000"/>
    <n v="0"/>
    <n v="30000"/>
    <x v="188"/>
    <s v="Cali"/>
    <m/>
    <m/>
    <m/>
    <m/>
    <x v="0"/>
  </r>
  <r>
    <m/>
    <x v="1"/>
    <x v="23"/>
    <x v="23"/>
    <m/>
    <m/>
    <m/>
    <x v="1"/>
    <m/>
    <m/>
    <m/>
    <m/>
    <m/>
    <x v="0"/>
  </r>
  <r>
    <d v="2021-07-14T00:00:00"/>
    <x v="7"/>
    <x v="28"/>
    <x v="28"/>
    <n v="50000"/>
    <n v="50000"/>
    <n v="0"/>
    <x v="477"/>
    <s v="Cali"/>
    <m/>
    <m/>
    <m/>
    <m/>
    <x v="0"/>
  </r>
  <r>
    <d v="2021-07-14T00:00:00"/>
    <x v="7"/>
    <x v="0"/>
    <x v="0"/>
    <n v="-50000"/>
    <n v="0"/>
    <n v="50000"/>
    <x v="477"/>
    <s v="Cali"/>
    <m/>
    <m/>
    <m/>
    <m/>
    <x v="0"/>
  </r>
  <r>
    <m/>
    <x v="1"/>
    <x v="23"/>
    <x v="23"/>
    <m/>
    <m/>
    <m/>
    <x v="1"/>
    <m/>
    <m/>
    <m/>
    <m/>
    <m/>
    <x v="0"/>
  </r>
  <r>
    <d v="2021-07-14T00:00:00"/>
    <x v="7"/>
    <x v="28"/>
    <x v="28"/>
    <n v="255750"/>
    <n v="255750"/>
    <n v="0"/>
    <x v="478"/>
    <s v="Cali"/>
    <m/>
    <m/>
    <m/>
    <m/>
    <x v="0"/>
  </r>
  <r>
    <d v="2021-07-14T00:00:00"/>
    <x v="7"/>
    <x v="0"/>
    <x v="0"/>
    <n v="-255750"/>
    <n v="0"/>
    <n v="255750"/>
    <x v="478"/>
    <s v="Cali"/>
    <m/>
    <m/>
    <m/>
    <m/>
    <x v="0"/>
  </r>
  <r>
    <m/>
    <x v="1"/>
    <x v="23"/>
    <x v="23"/>
    <m/>
    <m/>
    <m/>
    <x v="1"/>
    <m/>
    <m/>
    <m/>
    <m/>
    <m/>
    <x v="0"/>
  </r>
  <r>
    <d v="2021-07-14T00:00:00"/>
    <x v="7"/>
    <x v="0"/>
    <x v="0"/>
    <n v="30000"/>
    <n v="30000"/>
    <n v="0"/>
    <x v="139"/>
    <s v="Cali"/>
    <m/>
    <m/>
    <m/>
    <m/>
    <x v="0"/>
  </r>
  <r>
    <d v="2021-07-14T00:00:00"/>
    <x v="7"/>
    <x v="25"/>
    <x v="25"/>
    <n v="-30000"/>
    <n v="0"/>
    <n v="30000"/>
    <x v="139"/>
    <s v="Cali"/>
    <m/>
    <m/>
    <m/>
    <m/>
    <x v="0"/>
  </r>
  <r>
    <m/>
    <x v="1"/>
    <x v="23"/>
    <x v="23"/>
    <m/>
    <m/>
    <m/>
    <x v="1"/>
    <m/>
    <m/>
    <m/>
    <m/>
    <m/>
    <x v="0"/>
  </r>
  <r>
    <d v="2021-07-14T00:00:00"/>
    <x v="7"/>
    <x v="0"/>
    <x v="0"/>
    <n v="19605"/>
    <n v="19605"/>
    <n v="0"/>
    <x v="479"/>
    <s v="Cali"/>
    <m/>
    <m/>
    <m/>
    <m/>
    <x v="0"/>
  </r>
  <r>
    <d v="2021-07-14T00:00:00"/>
    <x v="7"/>
    <x v="25"/>
    <x v="25"/>
    <n v="-20000"/>
    <n v="0"/>
    <n v="20000"/>
    <x v="479"/>
    <s v="Cali"/>
    <m/>
    <m/>
    <m/>
    <m/>
    <x v="0"/>
  </r>
  <r>
    <d v="2021-07-14T00:00:00"/>
    <x v="7"/>
    <x v="49"/>
    <x v="49"/>
    <n v="395"/>
    <n v="395"/>
    <n v="0"/>
    <x v="479"/>
    <s v="Cali"/>
    <m/>
    <m/>
    <m/>
    <m/>
    <x v="0"/>
  </r>
  <r>
    <m/>
    <x v="1"/>
    <x v="23"/>
    <x v="23"/>
    <m/>
    <m/>
    <m/>
    <x v="1"/>
    <m/>
    <m/>
    <m/>
    <m/>
    <m/>
    <x v="0"/>
  </r>
  <r>
    <d v="2021-07-15T00:00:00"/>
    <x v="7"/>
    <x v="15"/>
    <x v="15"/>
    <n v="3556823.4699999997"/>
    <n v="3556823.4699999997"/>
    <n v="0"/>
    <x v="480"/>
    <s v="Cali"/>
    <m/>
    <m/>
    <m/>
    <m/>
    <x v="0"/>
  </r>
  <r>
    <d v="2021-07-15T00:00:00"/>
    <x v="7"/>
    <x v="14"/>
    <x v="14"/>
    <n v="154547"/>
    <n v="154547"/>
    <n v="0"/>
    <x v="480"/>
    <s v="Cali"/>
    <m/>
    <m/>
    <m/>
    <m/>
    <x v="0"/>
  </r>
  <r>
    <d v="2021-07-15T00:00:00"/>
    <x v="7"/>
    <x v="0"/>
    <x v="0"/>
    <n v="-3711370"/>
    <n v="0"/>
    <n v="3711370"/>
    <x v="480"/>
    <s v="Cali"/>
    <m/>
    <m/>
    <m/>
    <m/>
    <x v="0"/>
  </r>
  <r>
    <m/>
    <x v="1"/>
    <x v="23"/>
    <x v="23"/>
    <m/>
    <m/>
    <m/>
    <x v="1"/>
    <m/>
    <m/>
    <m/>
    <m/>
    <m/>
    <x v="0"/>
  </r>
  <r>
    <d v="2021-07-15T00:00:00"/>
    <x v="7"/>
    <x v="16"/>
    <x v="16"/>
    <n v="68760"/>
    <n v="68760"/>
    <n v="0"/>
    <x v="481"/>
    <s v="Cali"/>
    <m/>
    <m/>
    <m/>
    <m/>
    <x v="0"/>
  </r>
  <r>
    <d v="2021-07-15T00:00:00"/>
    <x v="7"/>
    <x v="0"/>
    <x v="0"/>
    <n v="-60853"/>
    <n v="0"/>
    <n v="60853"/>
    <x v="481"/>
    <s v="Cali"/>
    <m/>
    <m/>
    <m/>
    <m/>
    <x v="0"/>
  </r>
  <r>
    <d v="2021-07-15T00:00:00"/>
    <x v="7"/>
    <x v="17"/>
    <x v="17"/>
    <n v="-7907"/>
    <n v="0"/>
    <n v="7907"/>
    <x v="481"/>
    <s v="Cali"/>
    <m/>
    <m/>
    <m/>
    <m/>
    <x v="0"/>
  </r>
  <r>
    <m/>
    <x v="1"/>
    <x v="23"/>
    <x v="23"/>
    <m/>
    <m/>
    <m/>
    <x v="1"/>
    <m/>
    <m/>
    <m/>
    <m/>
    <m/>
    <x v="0"/>
  </r>
  <r>
    <d v="2021-07-15T00:00:00"/>
    <x v="7"/>
    <x v="1"/>
    <x v="1"/>
    <n v="25000000"/>
    <n v="25000000"/>
    <n v="0"/>
    <x v="429"/>
    <s v="Cali"/>
    <m/>
    <m/>
    <m/>
    <m/>
    <x v="0"/>
  </r>
  <r>
    <d v="2021-07-15T00:00:00"/>
    <x v="7"/>
    <x v="0"/>
    <x v="0"/>
    <n v="-25000000"/>
    <n v="0"/>
    <n v="25000000"/>
    <x v="429"/>
    <s v="Cali"/>
    <m/>
    <m/>
    <m/>
    <m/>
    <x v="0"/>
  </r>
  <r>
    <m/>
    <x v="1"/>
    <x v="23"/>
    <x v="23"/>
    <m/>
    <m/>
    <m/>
    <x v="1"/>
    <m/>
    <m/>
    <m/>
    <m/>
    <m/>
    <x v="0"/>
  </r>
  <r>
    <d v="2021-07-15T00:00:00"/>
    <x v="7"/>
    <x v="0"/>
    <x v="0"/>
    <n v="5000"/>
    <n v="5000"/>
    <n v="0"/>
    <x v="482"/>
    <s v="Cali"/>
    <m/>
    <m/>
    <m/>
    <m/>
    <x v="0"/>
  </r>
  <r>
    <d v="2021-07-15T00:00:00"/>
    <x v="7"/>
    <x v="19"/>
    <x v="19"/>
    <n v="-5000"/>
    <n v="0"/>
    <n v="5000"/>
    <x v="482"/>
    <s v="Cali"/>
    <m/>
    <m/>
    <m/>
    <m/>
    <x v="0"/>
  </r>
  <r>
    <m/>
    <x v="1"/>
    <x v="23"/>
    <x v="23"/>
    <m/>
    <m/>
    <m/>
    <x v="1"/>
    <m/>
    <m/>
    <m/>
    <m/>
    <m/>
    <x v="0"/>
  </r>
  <r>
    <d v="2021-07-15T00:00:00"/>
    <x v="7"/>
    <x v="0"/>
    <x v="0"/>
    <n v="20000"/>
    <n v="20000"/>
    <n v="0"/>
    <x v="196"/>
    <s v="Cali"/>
    <m/>
    <m/>
    <m/>
    <m/>
    <x v="0"/>
  </r>
  <r>
    <d v="2021-07-15T00:00:00"/>
    <x v="7"/>
    <x v="25"/>
    <x v="25"/>
    <n v="-20000"/>
    <n v="0"/>
    <n v="20000"/>
    <x v="196"/>
    <s v="Cali"/>
    <m/>
    <m/>
    <m/>
    <m/>
    <x v="0"/>
  </r>
  <r>
    <m/>
    <x v="1"/>
    <x v="23"/>
    <x v="23"/>
    <m/>
    <m/>
    <m/>
    <x v="1"/>
    <m/>
    <m/>
    <m/>
    <m/>
    <m/>
    <x v="0"/>
  </r>
  <r>
    <d v="2021-07-15T00:00:00"/>
    <x v="7"/>
    <x v="0"/>
    <x v="0"/>
    <n v="250000"/>
    <n v="250000"/>
    <n v="0"/>
    <x v="430"/>
    <s v="Cali"/>
    <m/>
    <m/>
    <m/>
    <m/>
    <x v="0"/>
  </r>
  <r>
    <d v="2021-07-15T00:00:00"/>
    <x v="7"/>
    <x v="26"/>
    <x v="26"/>
    <n v="-250000"/>
    <n v="0"/>
    <n v="250000"/>
    <x v="430"/>
    <s v="Cali"/>
    <m/>
    <m/>
    <m/>
    <m/>
    <x v="0"/>
  </r>
  <r>
    <m/>
    <x v="1"/>
    <x v="23"/>
    <x v="23"/>
    <m/>
    <m/>
    <m/>
    <x v="1"/>
    <m/>
    <m/>
    <m/>
    <m/>
    <m/>
    <x v="0"/>
  </r>
  <r>
    <d v="2021-07-15T00:00:00"/>
    <x v="7"/>
    <x v="0"/>
    <x v="0"/>
    <n v="25000000"/>
    <n v="25000000"/>
    <n v="0"/>
    <x v="483"/>
    <s v="Cali"/>
    <m/>
    <m/>
    <m/>
    <m/>
    <x v="0"/>
  </r>
  <r>
    <d v="2021-07-15T00:00:00"/>
    <x v="7"/>
    <x v="1"/>
    <x v="1"/>
    <n v="-25000000"/>
    <n v="0"/>
    <n v="25000000"/>
    <x v="483"/>
    <s v="Cali"/>
    <m/>
    <m/>
    <m/>
    <m/>
    <x v="0"/>
  </r>
  <r>
    <m/>
    <x v="1"/>
    <x v="23"/>
    <x v="23"/>
    <m/>
    <m/>
    <m/>
    <x v="1"/>
    <m/>
    <m/>
    <m/>
    <m/>
    <m/>
    <x v="0"/>
  </r>
  <r>
    <d v="2021-07-19T00:00:00"/>
    <x v="7"/>
    <x v="1"/>
    <x v="1"/>
    <n v="25000000"/>
    <n v="25000000"/>
    <n v="0"/>
    <x v="429"/>
    <s v="Cali"/>
    <m/>
    <m/>
    <m/>
    <m/>
    <x v="0"/>
  </r>
  <r>
    <d v="2021-07-19T00:00:00"/>
    <x v="7"/>
    <x v="0"/>
    <x v="0"/>
    <n v="-25000000"/>
    <n v="0"/>
    <n v="25000000"/>
    <x v="429"/>
    <s v="Cali"/>
    <m/>
    <m/>
    <m/>
    <m/>
    <x v="0"/>
  </r>
  <r>
    <m/>
    <x v="1"/>
    <x v="23"/>
    <x v="23"/>
    <m/>
    <m/>
    <m/>
    <x v="1"/>
    <m/>
    <m/>
    <m/>
    <m/>
    <m/>
    <x v="0"/>
  </r>
  <r>
    <d v="2021-07-19T00:00:00"/>
    <x v="7"/>
    <x v="0"/>
    <x v="0"/>
    <n v="1500"/>
    <n v="1500"/>
    <n v="0"/>
    <x v="177"/>
    <s v="Cali"/>
    <m/>
    <m/>
    <m/>
    <m/>
    <x v="0"/>
  </r>
  <r>
    <d v="2021-07-19T00:00:00"/>
    <x v="7"/>
    <x v="19"/>
    <x v="19"/>
    <n v="-1500"/>
    <n v="0"/>
    <n v="15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7-19T00:00:00"/>
    <x v="7"/>
    <x v="0"/>
    <x v="0"/>
    <n v="500000"/>
    <n v="500000"/>
    <n v="0"/>
    <x v="484"/>
    <s v="Cali"/>
    <m/>
    <m/>
    <m/>
    <m/>
    <x v="0"/>
  </r>
  <r>
    <d v="2021-07-19T00:00:00"/>
    <x v="7"/>
    <x v="25"/>
    <x v="25"/>
    <n v="-500000"/>
    <n v="0"/>
    <n v="500000"/>
    <x v="484"/>
    <s v="Cali"/>
    <m/>
    <m/>
    <m/>
    <m/>
    <x v="0"/>
  </r>
  <r>
    <m/>
    <x v="1"/>
    <x v="23"/>
    <x v="23"/>
    <m/>
    <m/>
    <m/>
    <x v="1"/>
    <m/>
    <m/>
    <m/>
    <m/>
    <m/>
    <x v="0"/>
  </r>
  <r>
    <d v="2021-07-19T00:00:00"/>
    <x v="7"/>
    <x v="0"/>
    <x v="0"/>
    <n v="60000"/>
    <n v="60000"/>
    <n v="0"/>
    <x v="213"/>
    <s v="Cali"/>
    <m/>
    <m/>
    <m/>
    <m/>
    <x v="0"/>
  </r>
  <r>
    <d v="2021-07-19T00:00:00"/>
    <x v="7"/>
    <x v="29"/>
    <x v="29"/>
    <n v="-60000"/>
    <n v="0"/>
    <n v="60000"/>
    <x v="213"/>
    <s v="Cali"/>
    <m/>
    <m/>
    <m/>
    <m/>
    <x v="0"/>
  </r>
  <r>
    <m/>
    <x v="1"/>
    <x v="23"/>
    <x v="23"/>
    <m/>
    <m/>
    <m/>
    <x v="1"/>
    <m/>
    <m/>
    <m/>
    <m/>
    <m/>
    <x v="0"/>
  </r>
  <r>
    <d v="2021-07-19T00:00:00"/>
    <x v="7"/>
    <x v="0"/>
    <x v="0"/>
    <n v="20000"/>
    <n v="20000"/>
    <n v="0"/>
    <x v="267"/>
    <s v="Cali"/>
    <m/>
    <m/>
    <m/>
    <m/>
    <x v="0"/>
  </r>
  <r>
    <d v="2021-07-19T00:00:00"/>
    <x v="7"/>
    <x v="25"/>
    <x v="25"/>
    <n v="-20000"/>
    <n v="0"/>
    <n v="20000"/>
    <x v="267"/>
    <s v="Cali"/>
    <m/>
    <m/>
    <m/>
    <m/>
    <x v="0"/>
  </r>
  <r>
    <m/>
    <x v="1"/>
    <x v="23"/>
    <x v="23"/>
    <m/>
    <m/>
    <m/>
    <x v="1"/>
    <m/>
    <m/>
    <m/>
    <m/>
    <m/>
    <x v="0"/>
  </r>
  <r>
    <d v="2021-07-20T00:00:00"/>
    <x v="7"/>
    <x v="0"/>
    <x v="0"/>
    <n v="100000"/>
    <n v="100000"/>
    <n v="0"/>
    <x v="374"/>
    <s v="Cali"/>
    <m/>
    <m/>
    <m/>
    <m/>
    <x v="0"/>
  </r>
  <r>
    <d v="2021-07-20T00:00:00"/>
    <x v="7"/>
    <x v="26"/>
    <x v="26"/>
    <n v="-100000"/>
    <n v="0"/>
    <n v="100000"/>
    <x v="374"/>
    <s v="Cali"/>
    <m/>
    <m/>
    <m/>
    <m/>
    <x v="0"/>
  </r>
  <r>
    <m/>
    <x v="1"/>
    <x v="23"/>
    <x v="23"/>
    <m/>
    <m/>
    <m/>
    <x v="1"/>
    <m/>
    <m/>
    <m/>
    <m/>
    <m/>
    <x v="0"/>
  </r>
  <r>
    <d v="2021-07-20T00:00:00"/>
    <x v="7"/>
    <x v="0"/>
    <x v="0"/>
    <n v="20000"/>
    <n v="20000"/>
    <n v="0"/>
    <x v="201"/>
    <s v="Cali"/>
    <m/>
    <m/>
    <m/>
    <m/>
    <x v="0"/>
  </r>
  <r>
    <d v="2021-07-20T00:00:00"/>
    <x v="7"/>
    <x v="25"/>
    <x v="25"/>
    <n v="-20000"/>
    <n v="0"/>
    <n v="20000"/>
    <x v="201"/>
    <s v="Cali"/>
    <m/>
    <m/>
    <m/>
    <m/>
    <x v="0"/>
  </r>
  <r>
    <m/>
    <x v="1"/>
    <x v="23"/>
    <x v="23"/>
    <m/>
    <m/>
    <m/>
    <x v="1"/>
    <m/>
    <m/>
    <m/>
    <m/>
    <m/>
    <x v="0"/>
  </r>
  <r>
    <d v="2021-07-20T00:00:00"/>
    <x v="7"/>
    <x v="0"/>
    <x v="0"/>
    <n v="150000"/>
    <n v="150000"/>
    <n v="0"/>
    <x v="431"/>
    <s v="Cali"/>
    <m/>
    <m/>
    <m/>
    <m/>
    <x v="0"/>
  </r>
  <r>
    <d v="2021-07-20T00:00:00"/>
    <x v="7"/>
    <x v="25"/>
    <x v="25"/>
    <n v="-150000"/>
    <n v="0"/>
    <n v="150000"/>
    <x v="431"/>
    <s v="Cali"/>
    <m/>
    <m/>
    <m/>
    <m/>
    <x v="0"/>
  </r>
  <r>
    <m/>
    <x v="1"/>
    <x v="23"/>
    <x v="23"/>
    <m/>
    <m/>
    <m/>
    <x v="1"/>
    <m/>
    <m/>
    <m/>
    <m/>
    <m/>
    <x v="0"/>
  </r>
  <r>
    <d v="2021-07-21T00:00:00"/>
    <x v="7"/>
    <x v="0"/>
    <x v="0"/>
    <n v="7000"/>
    <n v="7000"/>
    <n v="0"/>
    <x v="485"/>
    <s v="Cali"/>
    <m/>
    <m/>
    <m/>
    <m/>
    <x v="0"/>
  </r>
  <r>
    <d v="2021-07-21T00:00:00"/>
    <x v="7"/>
    <x v="19"/>
    <x v="19"/>
    <n v="-7000"/>
    <n v="0"/>
    <n v="7000"/>
    <x v="485"/>
    <s v="Cali"/>
    <m/>
    <m/>
    <m/>
    <m/>
    <x v="0"/>
  </r>
  <r>
    <m/>
    <x v="1"/>
    <x v="23"/>
    <x v="23"/>
    <m/>
    <m/>
    <m/>
    <x v="1"/>
    <m/>
    <m/>
    <m/>
    <m/>
    <m/>
    <x v="0"/>
  </r>
  <r>
    <d v="2021-07-21T00:00:00"/>
    <x v="7"/>
    <x v="0"/>
    <x v="0"/>
    <n v="5000"/>
    <n v="5000"/>
    <n v="0"/>
    <x v="367"/>
    <s v="Cali"/>
    <m/>
    <m/>
    <m/>
    <m/>
    <x v="0"/>
  </r>
  <r>
    <d v="2021-07-21T00:00:00"/>
    <x v="7"/>
    <x v="25"/>
    <x v="25"/>
    <n v="-5000"/>
    <n v="0"/>
    <n v="5000"/>
    <x v="367"/>
    <s v="Cali"/>
    <m/>
    <m/>
    <m/>
    <m/>
    <x v="0"/>
  </r>
  <r>
    <m/>
    <x v="1"/>
    <x v="23"/>
    <x v="23"/>
    <m/>
    <m/>
    <m/>
    <x v="1"/>
    <m/>
    <m/>
    <m/>
    <m/>
    <m/>
    <x v="0"/>
  </r>
  <r>
    <d v="2021-07-22T00:00:00"/>
    <x v="7"/>
    <x v="0"/>
    <x v="0"/>
    <n v="150000"/>
    <n v="150000"/>
    <n v="0"/>
    <x v="192"/>
    <s v="Cali"/>
    <m/>
    <m/>
    <m/>
    <m/>
    <x v="0"/>
  </r>
  <r>
    <d v="2021-07-22T00:00:00"/>
    <x v="7"/>
    <x v="26"/>
    <x v="26"/>
    <n v="-150000"/>
    <n v="0"/>
    <n v="15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07-22T00:00:00"/>
    <x v="7"/>
    <x v="0"/>
    <x v="0"/>
    <n v="10000"/>
    <n v="10000"/>
    <n v="0"/>
    <x v="409"/>
    <s v="Cali"/>
    <m/>
    <m/>
    <m/>
    <m/>
    <x v="0"/>
  </r>
  <r>
    <d v="2021-07-22T00:00:00"/>
    <x v="7"/>
    <x v="25"/>
    <x v="25"/>
    <n v="-10000"/>
    <n v="0"/>
    <n v="10000"/>
    <x v="409"/>
    <s v="Cali"/>
    <m/>
    <m/>
    <m/>
    <m/>
    <x v="0"/>
  </r>
  <r>
    <m/>
    <x v="1"/>
    <x v="23"/>
    <x v="23"/>
    <m/>
    <m/>
    <m/>
    <x v="1"/>
    <m/>
    <m/>
    <m/>
    <m/>
    <m/>
    <x v="0"/>
  </r>
  <r>
    <d v="2021-07-22T00:00:00"/>
    <x v="7"/>
    <x v="0"/>
    <x v="0"/>
    <n v="350000"/>
    <n v="350000"/>
    <n v="0"/>
    <x v="486"/>
    <s v="Cali"/>
    <m/>
    <m/>
    <m/>
    <m/>
    <x v="0"/>
  </r>
  <r>
    <d v="2021-07-22T00:00:00"/>
    <x v="7"/>
    <x v="26"/>
    <x v="26"/>
    <n v="-350000"/>
    <n v="0"/>
    <n v="350000"/>
    <x v="486"/>
    <s v="Cali"/>
    <m/>
    <m/>
    <m/>
    <m/>
    <x v="0"/>
  </r>
  <r>
    <m/>
    <x v="1"/>
    <x v="23"/>
    <x v="23"/>
    <m/>
    <m/>
    <m/>
    <x v="1"/>
    <m/>
    <m/>
    <m/>
    <m/>
    <m/>
    <x v="0"/>
  </r>
  <r>
    <d v="2021-07-22T00:00:00"/>
    <x v="7"/>
    <x v="0"/>
    <x v="0"/>
    <n v="30000"/>
    <n v="30000"/>
    <n v="0"/>
    <x v="266"/>
    <s v="Cali"/>
    <m/>
    <m/>
    <m/>
    <m/>
    <x v="0"/>
  </r>
  <r>
    <d v="2021-07-22T00:00:00"/>
    <x v="7"/>
    <x v="25"/>
    <x v="25"/>
    <n v="-30000"/>
    <n v="0"/>
    <n v="30000"/>
    <x v="266"/>
    <s v="Cali"/>
    <m/>
    <m/>
    <m/>
    <m/>
    <x v="0"/>
  </r>
  <r>
    <m/>
    <x v="1"/>
    <x v="23"/>
    <x v="23"/>
    <m/>
    <m/>
    <m/>
    <x v="1"/>
    <m/>
    <m/>
    <m/>
    <m/>
    <m/>
    <x v="0"/>
  </r>
  <r>
    <d v="2021-07-23T00:00:00"/>
    <x v="7"/>
    <x v="0"/>
    <x v="0"/>
    <n v="30000"/>
    <n v="30000"/>
    <n v="0"/>
    <x v="203"/>
    <s v="Cali"/>
    <m/>
    <m/>
    <m/>
    <m/>
    <x v="0"/>
  </r>
  <r>
    <d v="2021-07-23T00:00:00"/>
    <x v="7"/>
    <x v="27"/>
    <x v="27"/>
    <n v="-30000"/>
    <n v="0"/>
    <n v="30000"/>
    <x v="203"/>
    <s v="Cali"/>
    <m/>
    <m/>
    <m/>
    <m/>
    <x v="0"/>
  </r>
  <r>
    <m/>
    <x v="1"/>
    <x v="23"/>
    <x v="23"/>
    <m/>
    <m/>
    <m/>
    <x v="1"/>
    <m/>
    <m/>
    <m/>
    <m/>
    <m/>
    <x v="0"/>
  </r>
  <r>
    <d v="2021-07-23T00:00:00"/>
    <x v="7"/>
    <x v="0"/>
    <x v="0"/>
    <n v="100000"/>
    <n v="100000"/>
    <n v="0"/>
    <x v="333"/>
    <s v="Cali"/>
    <m/>
    <m/>
    <m/>
    <m/>
    <x v="0"/>
  </r>
  <r>
    <d v="2021-07-23T00:00:00"/>
    <x v="7"/>
    <x v="26"/>
    <x v="26"/>
    <n v="-100000"/>
    <n v="0"/>
    <n v="100000"/>
    <x v="333"/>
    <s v="Cali"/>
    <m/>
    <m/>
    <m/>
    <m/>
    <x v="0"/>
  </r>
  <r>
    <m/>
    <x v="1"/>
    <x v="23"/>
    <x v="23"/>
    <m/>
    <m/>
    <m/>
    <x v="1"/>
    <m/>
    <m/>
    <m/>
    <m/>
    <m/>
    <x v="0"/>
  </r>
  <r>
    <d v="2021-07-23T00:00:00"/>
    <x v="7"/>
    <x v="0"/>
    <x v="0"/>
    <n v="20000"/>
    <n v="20000"/>
    <n v="0"/>
    <x v="85"/>
    <s v="Cali"/>
    <m/>
    <m/>
    <m/>
    <m/>
    <x v="0"/>
  </r>
  <r>
    <d v="2021-07-23T00:00:00"/>
    <x v="7"/>
    <x v="25"/>
    <x v="25"/>
    <n v="-20000"/>
    <n v="0"/>
    <n v="20000"/>
    <x v="85"/>
    <s v="Cali"/>
    <m/>
    <m/>
    <m/>
    <m/>
    <x v="0"/>
  </r>
  <r>
    <m/>
    <x v="1"/>
    <x v="23"/>
    <x v="23"/>
    <m/>
    <m/>
    <m/>
    <x v="1"/>
    <m/>
    <m/>
    <m/>
    <m/>
    <m/>
    <x v="0"/>
  </r>
  <r>
    <d v="2021-07-23T00:00:00"/>
    <x v="7"/>
    <x v="28"/>
    <x v="28"/>
    <n v="150000"/>
    <n v="150000"/>
    <n v="0"/>
    <x v="487"/>
    <s v="Cali"/>
    <m/>
    <m/>
    <m/>
    <m/>
    <x v="0"/>
  </r>
  <r>
    <d v="2021-07-23T00:00:00"/>
    <x v="7"/>
    <x v="0"/>
    <x v="0"/>
    <n v="-150000"/>
    <n v="0"/>
    <n v="150000"/>
    <x v="487"/>
    <s v="Cali"/>
    <m/>
    <m/>
    <m/>
    <m/>
    <x v="0"/>
  </r>
  <r>
    <m/>
    <x v="1"/>
    <x v="23"/>
    <x v="23"/>
    <m/>
    <m/>
    <m/>
    <x v="1"/>
    <m/>
    <m/>
    <m/>
    <m/>
    <m/>
    <x v="0"/>
  </r>
  <r>
    <d v="2021-07-23T00:00:00"/>
    <x v="7"/>
    <x v="28"/>
    <x v="28"/>
    <n v="176263"/>
    <n v="176263"/>
    <n v="0"/>
    <x v="488"/>
    <s v="Cali"/>
    <m/>
    <m/>
    <m/>
    <m/>
    <x v="0"/>
  </r>
  <r>
    <d v="2021-07-23T00:00:00"/>
    <x v="7"/>
    <x v="0"/>
    <x v="0"/>
    <n v="-176263"/>
    <n v="0"/>
    <n v="176263"/>
    <x v="488"/>
    <s v="Cali"/>
    <m/>
    <m/>
    <m/>
    <m/>
    <x v="0"/>
  </r>
  <r>
    <m/>
    <x v="1"/>
    <x v="23"/>
    <x v="23"/>
    <m/>
    <m/>
    <m/>
    <x v="1"/>
    <m/>
    <m/>
    <m/>
    <m/>
    <m/>
    <x v="0"/>
  </r>
  <r>
    <d v="2021-07-26T00:00:00"/>
    <x v="7"/>
    <x v="0"/>
    <x v="0"/>
    <n v="3000000"/>
    <n v="3000000"/>
    <n v="0"/>
    <x v="486"/>
    <s v="Cali"/>
    <m/>
    <m/>
    <m/>
    <m/>
    <x v="0"/>
  </r>
  <r>
    <d v="2021-07-26T00:00:00"/>
    <x v="7"/>
    <x v="26"/>
    <x v="26"/>
    <n v="-3000000"/>
    <n v="0"/>
    <n v="3000000"/>
    <x v="486"/>
    <s v="Cali"/>
    <m/>
    <m/>
    <m/>
    <m/>
    <x v="0"/>
  </r>
  <r>
    <m/>
    <x v="1"/>
    <x v="23"/>
    <x v="23"/>
    <m/>
    <m/>
    <m/>
    <x v="1"/>
    <m/>
    <m/>
    <m/>
    <m/>
    <m/>
    <x v="0"/>
  </r>
  <r>
    <d v="2021-07-26T00:00:00"/>
    <x v="7"/>
    <x v="0"/>
    <x v="0"/>
    <n v="10000"/>
    <n v="10000"/>
    <n v="0"/>
    <x v="206"/>
    <s v="Cali"/>
    <m/>
    <m/>
    <m/>
    <m/>
    <x v="0"/>
  </r>
  <r>
    <d v="2021-07-26T00:00:00"/>
    <x v="7"/>
    <x v="26"/>
    <x v="26"/>
    <n v="-10000"/>
    <n v="0"/>
    <n v="10000"/>
    <x v="206"/>
    <s v="Cali"/>
    <m/>
    <m/>
    <m/>
    <m/>
    <x v="0"/>
  </r>
  <r>
    <m/>
    <x v="1"/>
    <x v="23"/>
    <x v="23"/>
    <m/>
    <m/>
    <m/>
    <x v="1"/>
    <m/>
    <m/>
    <m/>
    <m/>
    <m/>
    <x v="0"/>
  </r>
  <r>
    <d v="2021-07-26T00:00:00"/>
    <x v="7"/>
    <x v="0"/>
    <x v="0"/>
    <n v="400000"/>
    <n v="400000"/>
    <n v="0"/>
    <x v="212"/>
    <s v="Cali"/>
    <m/>
    <m/>
    <m/>
    <m/>
    <x v="0"/>
  </r>
  <r>
    <d v="2021-07-26T00:00:00"/>
    <x v="7"/>
    <x v="26"/>
    <x v="26"/>
    <n v="-400000"/>
    <n v="0"/>
    <n v="400000"/>
    <x v="212"/>
    <s v="Cali"/>
    <m/>
    <m/>
    <m/>
    <m/>
    <x v="0"/>
  </r>
  <r>
    <m/>
    <x v="1"/>
    <x v="23"/>
    <x v="23"/>
    <m/>
    <m/>
    <m/>
    <x v="1"/>
    <m/>
    <m/>
    <m/>
    <m/>
    <m/>
    <x v="0"/>
  </r>
  <r>
    <d v="2021-07-26T00:00:00"/>
    <x v="7"/>
    <x v="0"/>
    <x v="0"/>
    <n v="30000"/>
    <n v="30000"/>
    <n v="0"/>
    <x v="65"/>
    <s v="Cali"/>
    <m/>
    <m/>
    <m/>
    <m/>
    <x v="0"/>
  </r>
  <r>
    <d v="2021-07-26T00:00:00"/>
    <x v="7"/>
    <x v="29"/>
    <x v="29"/>
    <n v="-30000"/>
    <n v="0"/>
    <n v="3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7-26T00:00:00"/>
    <x v="7"/>
    <x v="0"/>
    <x v="0"/>
    <n v="60000"/>
    <n v="60000"/>
    <n v="0"/>
    <x v="65"/>
    <s v="Cali"/>
    <m/>
    <m/>
    <m/>
    <m/>
    <x v="0"/>
  </r>
  <r>
    <d v="2021-07-26T00:00:00"/>
    <x v="7"/>
    <x v="29"/>
    <x v="29"/>
    <n v="-60000"/>
    <n v="0"/>
    <n v="6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7-27T00:00:00"/>
    <x v="7"/>
    <x v="0"/>
    <x v="0"/>
    <n v="11350968"/>
    <n v="11350968"/>
    <n v="0"/>
    <x v="489"/>
    <s v="Cali"/>
    <m/>
    <m/>
    <m/>
    <m/>
    <x v="0"/>
  </r>
  <r>
    <d v="2021-07-27T00:00:00"/>
    <x v="7"/>
    <x v="5"/>
    <x v="5"/>
    <n v="-11350968"/>
    <n v="0"/>
    <n v="11350968"/>
    <x v="489"/>
    <s v="Cali"/>
    <m/>
    <m/>
    <m/>
    <m/>
    <x v="0"/>
  </r>
  <r>
    <m/>
    <x v="1"/>
    <x v="23"/>
    <x v="23"/>
    <m/>
    <m/>
    <m/>
    <x v="1"/>
    <m/>
    <m/>
    <m/>
    <m/>
    <m/>
    <x v="0"/>
  </r>
  <r>
    <d v="2021-07-28T00:00:00"/>
    <x v="7"/>
    <x v="0"/>
    <x v="0"/>
    <n v="2194728"/>
    <n v="2194728"/>
    <n v="0"/>
    <x v="490"/>
    <s v="Cali"/>
    <m/>
    <m/>
    <m/>
    <m/>
    <x v="0"/>
  </r>
  <r>
    <d v="2021-07-28T00:00:00"/>
    <x v="7"/>
    <x v="44"/>
    <x v="44"/>
    <n v="-2194728"/>
    <n v="0"/>
    <n v="2194728"/>
    <x v="490"/>
    <s v="Cali"/>
    <m/>
    <m/>
    <m/>
    <m/>
    <x v="0"/>
  </r>
  <r>
    <m/>
    <x v="1"/>
    <x v="23"/>
    <x v="23"/>
    <m/>
    <m/>
    <m/>
    <x v="1"/>
    <m/>
    <m/>
    <m/>
    <m/>
    <m/>
    <x v="0"/>
  </r>
  <r>
    <d v="2021-07-28T00:00:00"/>
    <x v="7"/>
    <x v="0"/>
    <x v="0"/>
    <n v="1930483"/>
    <n v="1930483"/>
    <n v="0"/>
    <x v="491"/>
    <s v="Cali"/>
    <m/>
    <m/>
    <m/>
    <m/>
    <x v="0"/>
  </r>
  <r>
    <d v="2021-07-28T00:00:00"/>
    <x v="7"/>
    <x v="45"/>
    <x v="45"/>
    <n v="-1930483"/>
    <n v="0"/>
    <n v="1930483"/>
    <x v="491"/>
    <s v="Cali"/>
    <m/>
    <m/>
    <m/>
    <m/>
    <x v="0"/>
  </r>
  <r>
    <m/>
    <x v="1"/>
    <x v="23"/>
    <x v="23"/>
    <m/>
    <m/>
    <m/>
    <x v="1"/>
    <m/>
    <m/>
    <m/>
    <m/>
    <m/>
    <x v="0"/>
  </r>
  <r>
    <d v="2021-07-28T00:00:00"/>
    <x v="7"/>
    <x v="0"/>
    <x v="0"/>
    <n v="73000"/>
    <n v="73000"/>
    <n v="0"/>
    <x v="240"/>
    <s v="Cali"/>
    <m/>
    <m/>
    <m/>
    <m/>
    <x v="0"/>
  </r>
  <r>
    <d v="2021-07-28T00:00:00"/>
    <x v="7"/>
    <x v="26"/>
    <x v="26"/>
    <n v="-73000"/>
    <n v="0"/>
    <n v="73000"/>
    <x v="240"/>
    <s v="Cali"/>
    <m/>
    <m/>
    <m/>
    <m/>
    <x v="0"/>
  </r>
  <r>
    <m/>
    <x v="1"/>
    <x v="23"/>
    <x v="23"/>
    <m/>
    <m/>
    <m/>
    <x v="1"/>
    <m/>
    <m/>
    <m/>
    <m/>
    <m/>
    <x v="0"/>
  </r>
  <r>
    <d v="2021-07-28T00:00:00"/>
    <x v="7"/>
    <x v="0"/>
    <x v="0"/>
    <n v="10000"/>
    <n v="10000"/>
    <n v="0"/>
    <x v="236"/>
    <s v="Cali"/>
    <m/>
    <m/>
    <m/>
    <m/>
    <x v="0"/>
  </r>
  <r>
    <d v="2021-07-28T00:00:00"/>
    <x v="7"/>
    <x v="25"/>
    <x v="25"/>
    <n v="-10000"/>
    <n v="0"/>
    <n v="10000"/>
    <x v="236"/>
    <s v="Cali"/>
    <m/>
    <m/>
    <m/>
    <m/>
    <x v="0"/>
  </r>
  <r>
    <m/>
    <x v="1"/>
    <x v="23"/>
    <x v="23"/>
    <m/>
    <m/>
    <m/>
    <x v="1"/>
    <m/>
    <m/>
    <m/>
    <m/>
    <m/>
    <x v="0"/>
  </r>
  <r>
    <d v="2021-07-28T00:00:00"/>
    <x v="7"/>
    <x v="0"/>
    <x v="0"/>
    <n v="20000"/>
    <n v="20000"/>
    <n v="0"/>
    <x v="237"/>
    <s v="Cali"/>
    <m/>
    <m/>
    <m/>
    <m/>
    <x v="0"/>
  </r>
  <r>
    <d v="2021-07-28T00:00:00"/>
    <x v="7"/>
    <x v="19"/>
    <x v="19"/>
    <n v="-20000"/>
    <n v="0"/>
    <n v="20000"/>
    <x v="237"/>
    <s v="Cali"/>
    <m/>
    <m/>
    <m/>
    <m/>
    <x v="0"/>
  </r>
  <r>
    <m/>
    <x v="1"/>
    <x v="23"/>
    <x v="23"/>
    <m/>
    <m/>
    <m/>
    <x v="1"/>
    <m/>
    <m/>
    <m/>
    <m/>
    <m/>
    <x v="0"/>
  </r>
  <r>
    <d v="2021-07-28T00:00:00"/>
    <x v="7"/>
    <x v="0"/>
    <x v="0"/>
    <n v="125000"/>
    <n v="125000"/>
    <n v="0"/>
    <x v="136"/>
    <s v="Cali"/>
    <m/>
    <m/>
    <m/>
    <m/>
    <x v="0"/>
  </r>
  <r>
    <d v="2021-07-28T00:00:00"/>
    <x v="7"/>
    <x v="26"/>
    <x v="26"/>
    <n v="-125000"/>
    <n v="0"/>
    <n v="125000"/>
    <x v="136"/>
    <s v="Cali"/>
    <m/>
    <m/>
    <m/>
    <m/>
    <x v="0"/>
  </r>
  <r>
    <m/>
    <x v="1"/>
    <x v="23"/>
    <x v="23"/>
    <m/>
    <m/>
    <m/>
    <x v="1"/>
    <m/>
    <m/>
    <m/>
    <m/>
    <m/>
    <x v="0"/>
  </r>
  <r>
    <d v="2021-07-28T00:00:00"/>
    <x v="7"/>
    <x v="0"/>
    <x v="0"/>
    <n v="100000"/>
    <n v="100000"/>
    <n v="0"/>
    <x v="492"/>
    <s v="Cali"/>
    <m/>
    <m/>
    <m/>
    <m/>
    <x v="0"/>
  </r>
  <r>
    <d v="2021-07-28T00:00:00"/>
    <x v="7"/>
    <x v="26"/>
    <x v="26"/>
    <n v="-100000"/>
    <n v="0"/>
    <n v="100000"/>
    <x v="492"/>
    <s v="Cali"/>
    <m/>
    <m/>
    <m/>
    <m/>
    <x v="0"/>
  </r>
  <r>
    <m/>
    <x v="1"/>
    <x v="23"/>
    <x v="23"/>
    <m/>
    <m/>
    <m/>
    <x v="1"/>
    <m/>
    <m/>
    <m/>
    <m/>
    <m/>
    <x v="0"/>
  </r>
  <r>
    <d v="2021-07-28T00:00:00"/>
    <x v="7"/>
    <x v="0"/>
    <x v="0"/>
    <n v="30000"/>
    <n v="30000"/>
    <n v="0"/>
    <x v="493"/>
    <s v="Cali"/>
    <m/>
    <m/>
    <m/>
    <m/>
    <x v="0"/>
  </r>
  <r>
    <d v="2021-07-28T00:00:00"/>
    <x v="7"/>
    <x v="26"/>
    <x v="26"/>
    <n v="-30000"/>
    <n v="0"/>
    <n v="30000"/>
    <x v="493"/>
    <s v="Cali"/>
    <m/>
    <m/>
    <m/>
    <m/>
    <x v="0"/>
  </r>
  <r>
    <m/>
    <x v="1"/>
    <x v="23"/>
    <x v="23"/>
    <m/>
    <m/>
    <m/>
    <x v="1"/>
    <m/>
    <m/>
    <m/>
    <m/>
    <m/>
    <x v="0"/>
  </r>
  <r>
    <d v="2021-07-29T00:00:00"/>
    <x v="7"/>
    <x v="0"/>
    <x v="0"/>
    <n v="1675000"/>
    <n v="1675000"/>
    <n v="0"/>
    <x v="486"/>
    <s v="Cali"/>
    <m/>
    <m/>
    <m/>
    <m/>
    <x v="0"/>
  </r>
  <r>
    <d v="2021-07-29T00:00:00"/>
    <x v="7"/>
    <x v="26"/>
    <x v="26"/>
    <n v="-1675000"/>
    <n v="0"/>
    <n v="1675000"/>
    <x v="486"/>
    <s v="Cali"/>
    <m/>
    <m/>
    <m/>
    <m/>
    <x v="0"/>
  </r>
  <r>
    <m/>
    <x v="1"/>
    <x v="23"/>
    <x v="23"/>
    <m/>
    <m/>
    <m/>
    <x v="1"/>
    <m/>
    <m/>
    <m/>
    <m/>
    <m/>
    <x v="0"/>
  </r>
  <r>
    <d v="2021-07-29T00:00:00"/>
    <x v="7"/>
    <x v="0"/>
    <x v="0"/>
    <n v="15000"/>
    <n v="15000"/>
    <n v="0"/>
    <x v="137"/>
    <s v="Cali"/>
    <m/>
    <m/>
    <m/>
    <m/>
    <x v="0"/>
  </r>
  <r>
    <d v="2021-07-29T00:00:00"/>
    <x v="7"/>
    <x v="26"/>
    <x v="26"/>
    <n v="-15000"/>
    <n v="0"/>
    <n v="15000"/>
    <x v="137"/>
    <s v="Cali"/>
    <s v="80965500-8"/>
    <s v="PROYECTOS Y CONSTRUCCIONES TASCO LIMITADA"/>
    <n v="2973"/>
    <m/>
    <x v="0"/>
  </r>
  <r>
    <m/>
    <x v="1"/>
    <x v="23"/>
    <x v="23"/>
    <m/>
    <m/>
    <m/>
    <x v="1"/>
    <m/>
    <s v="80965500-8"/>
    <s v="PROYECTOS Y CONSTRUCCIONES TASCO LIMITADA"/>
    <n v="2973"/>
    <m/>
    <x v="0"/>
  </r>
  <r>
    <d v="2021-07-29T00:00:00"/>
    <x v="7"/>
    <x v="0"/>
    <x v="0"/>
    <n v="40000"/>
    <n v="40000"/>
    <n v="0"/>
    <x v="241"/>
    <s v="Cali"/>
    <s v="80965500-8"/>
    <s v="PROYECTOS Y CONSTRUCCIONES TASCO LIMITADA"/>
    <n v="2973"/>
    <m/>
    <x v="0"/>
  </r>
  <r>
    <d v="2021-07-29T00:00:00"/>
    <x v="7"/>
    <x v="26"/>
    <x v="26"/>
    <n v="-40000"/>
    <n v="0"/>
    <n v="40000"/>
    <x v="241"/>
    <s v="Cali"/>
    <s v="80965500-8"/>
    <s v="PROYECTOS Y CONSTRUCCIONES TASCO LIMITADA"/>
    <n v="2973"/>
    <m/>
    <x v="0"/>
  </r>
  <r>
    <m/>
    <x v="1"/>
    <x v="23"/>
    <x v="23"/>
    <m/>
    <m/>
    <m/>
    <x v="1"/>
    <m/>
    <m/>
    <m/>
    <m/>
    <m/>
    <x v="0"/>
  </r>
  <r>
    <d v="2021-07-29T00:00:00"/>
    <x v="7"/>
    <x v="0"/>
    <x v="0"/>
    <n v="60000"/>
    <n v="60000"/>
    <n v="0"/>
    <x v="238"/>
    <s v="Cali"/>
    <s v="80965500-8"/>
    <s v="PROYECTOS Y CONSTRUCCIONES TASCO LIMITADA"/>
    <n v="2973"/>
    <m/>
    <x v="0"/>
  </r>
  <r>
    <d v="2021-07-29T00:00:00"/>
    <x v="7"/>
    <x v="25"/>
    <x v="25"/>
    <n v="-60000"/>
    <n v="0"/>
    <n v="60000"/>
    <x v="238"/>
    <s v="Cali"/>
    <s v="80965500-8"/>
    <s v="PROYECTOS Y CONSTRUCCIONES TASCO LIMITADA"/>
    <n v="2973"/>
    <m/>
    <x v="0"/>
  </r>
  <r>
    <m/>
    <x v="1"/>
    <x v="23"/>
    <x v="23"/>
    <m/>
    <m/>
    <m/>
    <x v="1"/>
    <m/>
    <m/>
    <m/>
    <m/>
    <m/>
    <x v="0"/>
  </r>
  <r>
    <d v="2021-07-29T00:00:00"/>
    <x v="7"/>
    <x v="0"/>
    <x v="0"/>
    <n v="1460202"/>
    <n v="1460202"/>
    <n v="0"/>
    <x v="494"/>
    <s v="Cali"/>
    <m/>
    <m/>
    <m/>
    <m/>
    <x v="0"/>
  </r>
  <r>
    <d v="2021-07-29T00:00:00"/>
    <x v="7"/>
    <x v="26"/>
    <x v="26"/>
    <n v="-1460202"/>
    <n v="0"/>
    <n v="1460202"/>
    <x v="494"/>
    <s v="Cali"/>
    <m/>
    <m/>
    <m/>
    <m/>
    <x v="0"/>
  </r>
  <r>
    <m/>
    <x v="1"/>
    <x v="23"/>
    <x v="23"/>
    <m/>
    <m/>
    <m/>
    <x v="1"/>
    <m/>
    <m/>
    <m/>
    <m/>
    <m/>
    <x v="0"/>
  </r>
  <r>
    <d v="2021-07-29T00:00:00"/>
    <x v="7"/>
    <x v="0"/>
    <x v="0"/>
    <n v="10000"/>
    <n v="10000"/>
    <n v="0"/>
    <x v="277"/>
    <s v="Cali"/>
    <s v="76090150-4"/>
    <s v="CLARO ARQUITECTOS S.A"/>
    <n v="391"/>
    <m/>
    <x v="0"/>
  </r>
  <r>
    <d v="2021-07-29T00:00:00"/>
    <x v="7"/>
    <x v="25"/>
    <x v="25"/>
    <n v="-10000"/>
    <n v="0"/>
    <n v="10000"/>
    <x v="277"/>
    <s v="Cali"/>
    <s v="76090150-4"/>
    <s v="CLARO ARQUITECTOS S.A"/>
    <n v="391"/>
    <m/>
    <x v="0"/>
  </r>
  <r>
    <m/>
    <x v="1"/>
    <x v="23"/>
    <x v="23"/>
    <m/>
    <m/>
    <m/>
    <x v="1"/>
    <m/>
    <m/>
    <m/>
    <m/>
    <m/>
    <x v="0"/>
  </r>
  <r>
    <d v="2021-07-29T00:00:00"/>
    <x v="7"/>
    <x v="0"/>
    <x v="0"/>
    <n v="22000"/>
    <n v="22000"/>
    <n v="0"/>
    <x v="342"/>
    <s v="Cali"/>
    <m/>
    <m/>
    <m/>
    <m/>
    <x v="0"/>
  </r>
  <r>
    <d v="2021-07-29T00:00:00"/>
    <x v="7"/>
    <x v="25"/>
    <x v="25"/>
    <n v="-22000"/>
    <n v="0"/>
    <n v="22000"/>
    <x v="342"/>
    <s v="Cali"/>
    <m/>
    <m/>
    <m/>
    <m/>
    <x v="0"/>
  </r>
  <r>
    <m/>
    <x v="1"/>
    <x v="23"/>
    <x v="23"/>
    <m/>
    <m/>
    <m/>
    <x v="1"/>
    <m/>
    <m/>
    <m/>
    <m/>
    <m/>
    <x v="0"/>
  </r>
  <r>
    <d v="2021-07-30T00:00:00"/>
    <x v="7"/>
    <x v="50"/>
    <x v="50"/>
    <n v="338983"/>
    <n v="338983"/>
    <n v="0"/>
    <x v="495"/>
    <s v="Cali"/>
    <m/>
    <m/>
    <m/>
    <m/>
    <x v="0"/>
  </r>
  <r>
    <d v="2021-07-30T00:00:00"/>
    <x v="7"/>
    <x v="0"/>
    <x v="0"/>
    <n v="-300000"/>
    <n v="0"/>
    <n v="300000"/>
    <x v="495"/>
    <s v="Cali"/>
    <m/>
    <m/>
    <m/>
    <m/>
    <x v="0"/>
  </r>
  <r>
    <d v="2021-07-30T00:00:00"/>
    <x v="7"/>
    <x v="17"/>
    <x v="17"/>
    <n v="-38983"/>
    <n v="0"/>
    <n v="38983"/>
    <x v="495"/>
    <s v="Cali"/>
    <m/>
    <m/>
    <m/>
    <m/>
    <x v="0"/>
  </r>
  <r>
    <m/>
    <x v="1"/>
    <x v="23"/>
    <x v="23"/>
    <m/>
    <m/>
    <m/>
    <x v="1"/>
    <m/>
    <m/>
    <m/>
    <m/>
    <m/>
    <x v="0"/>
  </r>
  <r>
    <d v="2021-07-30T00:00:00"/>
    <x v="7"/>
    <x v="31"/>
    <x v="31"/>
    <n v="450000"/>
    <n v="450000"/>
    <n v="0"/>
    <x v="496"/>
    <s v="Cali"/>
    <m/>
    <m/>
    <m/>
    <m/>
    <x v="0"/>
  </r>
  <r>
    <d v="2021-07-30T00:00:00"/>
    <x v="7"/>
    <x v="0"/>
    <x v="0"/>
    <n v="-450000"/>
    <n v="0"/>
    <n v="450000"/>
    <x v="496"/>
    <s v="Cali"/>
    <m/>
    <m/>
    <m/>
    <m/>
    <x v="0"/>
  </r>
  <r>
    <m/>
    <x v="1"/>
    <x v="23"/>
    <x v="23"/>
    <m/>
    <m/>
    <m/>
    <x v="1"/>
    <m/>
    <m/>
    <m/>
    <m/>
    <m/>
    <x v="0"/>
  </r>
  <r>
    <d v="2021-07-30T00:00:00"/>
    <x v="7"/>
    <x v="0"/>
    <x v="0"/>
    <n v="30000"/>
    <n v="30000"/>
    <n v="0"/>
    <x v="497"/>
    <s v="Cali"/>
    <m/>
    <m/>
    <m/>
    <m/>
    <x v="0"/>
  </r>
  <r>
    <d v="2021-07-30T00:00:00"/>
    <x v="7"/>
    <x v="25"/>
    <x v="25"/>
    <n v="-30000"/>
    <n v="0"/>
    <n v="30000"/>
    <x v="497"/>
    <s v="Cali"/>
    <m/>
    <m/>
    <m/>
    <m/>
    <x v="0"/>
  </r>
  <r>
    <m/>
    <x v="1"/>
    <x v="23"/>
    <x v="23"/>
    <m/>
    <m/>
    <m/>
    <x v="1"/>
    <m/>
    <m/>
    <m/>
    <m/>
    <m/>
    <x v="0"/>
  </r>
  <r>
    <d v="2021-07-30T00:00:00"/>
    <x v="7"/>
    <x v="0"/>
    <x v="0"/>
    <n v="36000"/>
    <n v="36000"/>
    <n v="0"/>
    <x v="133"/>
    <s v="Cali"/>
    <m/>
    <m/>
    <m/>
    <m/>
    <x v="0"/>
  </r>
  <r>
    <d v="2021-07-30T00:00:00"/>
    <x v="7"/>
    <x v="25"/>
    <x v="25"/>
    <n v="-36000"/>
    <n v="0"/>
    <n v="36000"/>
    <x v="133"/>
    <s v="Cali"/>
    <m/>
    <m/>
    <m/>
    <m/>
    <x v="0"/>
  </r>
  <r>
    <m/>
    <x v="1"/>
    <x v="23"/>
    <x v="23"/>
    <m/>
    <m/>
    <m/>
    <x v="1"/>
    <m/>
    <m/>
    <m/>
    <m/>
    <m/>
    <x v="0"/>
  </r>
  <r>
    <d v="2021-07-30T00:00:00"/>
    <x v="7"/>
    <x v="0"/>
    <x v="0"/>
    <n v="100000"/>
    <n v="100000"/>
    <n v="0"/>
    <x v="134"/>
    <s v="Cali"/>
    <m/>
    <m/>
    <m/>
    <m/>
    <x v="0"/>
  </r>
  <r>
    <d v="2021-07-30T00:00:00"/>
    <x v="7"/>
    <x v="26"/>
    <x v="26"/>
    <n v="-100000"/>
    <n v="0"/>
    <n v="100000"/>
    <x v="134"/>
    <s v="Cali"/>
    <m/>
    <m/>
    <m/>
    <m/>
    <x v="0"/>
  </r>
  <r>
    <m/>
    <x v="1"/>
    <x v="23"/>
    <x v="23"/>
    <m/>
    <m/>
    <m/>
    <x v="1"/>
    <m/>
    <m/>
    <m/>
    <m/>
    <m/>
    <x v="0"/>
  </r>
  <r>
    <d v="2021-07-30T00:00:00"/>
    <x v="7"/>
    <x v="0"/>
    <x v="0"/>
    <n v="20000"/>
    <n v="20000"/>
    <n v="0"/>
    <x v="174"/>
    <s v="Cali"/>
    <m/>
    <m/>
    <m/>
    <m/>
    <x v="0"/>
  </r>
  <r>
    <d v="2021-07-30T00:00:00"/>
    <x v="7"/>
    <x v="25"/>
    <x v="25"/>
    <n v="-20000"/>
    <n v="0"/>
    <n v="20000"/>
    <x v="174"/>
    <s v="Cali"/>
    <m/>
    <m/>
    <m/>
    <m/>
    <x v="0"/>
  </r>
  <r>
    <m/>
    <x v="1"/>
    <x v="23"/>
    <x v="23"/>
    <m/>
    <m/>
    <m/>
    <x v="1"/>
    <m/>
    <m/>
    <m/>
    <m/>
    <m/>
    <x v="0"/>
  </r>
  <r>
    <d v="2021-07-30T00:00:00"/>
    <x v="7"/>
    <x v="0"/>
    <x v="0"/>
    <n v="50000"/>
    <n v="50000"/>
    <n v="0"/>
    <x v="135"/>
    <s v="Cali"/>
    <m/>
    <m/>
    <m/>
    <m/>
    <x v="0"/>
  </r>
  <r>
    <d v="2021-07-30T00:00:00"/>
    <x v="7"/>
    <x v="26"/>
    <x v="26"/>
    <n v="-50000"/>
    <n v="0"/>
    <n v="50000"/>
    <x v="135"/>
    <s v="Cali"/>
    <m/>
    <m/>
    <m/>
    <m/>
    <x v="0"/>
  </r>
  <r>
    <m/>
    <x v="1"/>
    <x v="23"/>
    <x v="23"/>
    <m/>
    <m/>
    <m/>
    <x v="1"/>
    <m/>
    <m/>
    <m/>
    <m/>
    <m/>
    <x v="0"/>
  </r>
  <r>
    <d v="2021-07-30T00:00:00"/>
    <x v="7"/>
    <x v="0"/>
    <x v="0"/>
    <n v="25000"/>
    <n v="25000"/>
    <n v="0"/>
    <x v="138"/>
    <s v="Cali"/>
    <m/>
    <m/>
    <m/>
    <m/>
    <x v="0"/>
  </r>
  <r>
    <d v="2021-07-30T00:00:00"/>
    <x v="7"/>
    <x v="27"/>
    <x v="27"/>
    <n v="-25000"/>
    <n v="0"/>
    <n v="25000"/>
    <x v="138"/>
    <s v="Cali"/>
    <m/>
    <m/>
    <m/>
    <m/>
    <x v="0"/>
  </r>
  <r>
    <m/>
    <x v="1"/>
    <x v="23"/>
    <x v="23"/>
    <m/>
    <m/>
    <m/>
    <x v="1"/>
    <m/>
    <m/>
    <m/>
    <m/>
    <m/>
    <x v="0"/>
  </r>
  <r>
    <d v="2021-07-06T00:00:00"/>
    <x v="7"/>
    <x v="31"/>
    <x v="31"/>
    <n v="1070"/>
    <n v="1070"/>
    <n v="0"/>
    <x v="215"/>
    <s v="Cali"/>
    <m/>
    <m/>
    <m/>
    <m/>
    <x v="0"/>
  </r>
  <r>
    <d v="2021-07-06T00:00:00"/>
    <x v="7"/>
    <x v="1"/>
    <x v="1"/>
    <n v="-1070"/>
    <n v="0"/>
    <n v="1070"/>
    <x v="215"/>
    <s v="Cali"/>
    <m/>
    <m/>
    <m/>
    <m/>
    <x v="0"/>
  </r>
  <r>
    <m/>
    <x v="1"/>
    <x v="23"/>
    <x v="23"/>
    <m/>
    <m/>
    <m/>
    <x v="1"/>
    <m/>
    <m/>
    <m/>
    <m/>
    <m/>
    <x v="0"/>
  </r>
  <r>
    <d v="2021-07-06T00:00:00"/>
    <x v="7"/>
    <x v="31"/>
    <x v="31"/>
    <n v="203"/>
    <n v="203"/>
    <n v="0"/>
    <x v="498"/>
    <s v="Cali"/>
    <m/>
    <m/>
    <m/>
    <m/>
    <x v="0"/>
  </r>
  <r>
    <d v="2021-07-06T00:00:00"/>
    <x v="7"/>
    <x v="1"/>
    <x v="1"/>
    <n v="-203"/>
    <n v="0"/>
    <n v="203"/>
    <x v="498"/>
    <s v="Cali"/>
    <m/>
    <m/>
    <m/>
    <m/>
    <x v="0"/>
  </r>
  <r>
    <m/>
    <x v="1"/>
    <x v="23"/>
    <x v="23"/>
    <m/>
    <m/>
    <m/>
    <x v="1"/>
    <m/>
    <m/>
    <m/>
    <m/>
    <m/>
    <x v="0"/>
  </r>
  <r>
    <d v="2021-07-15T00:00:00"/>
    <x v="7"/>
    <x v="1"/>
    <x v="1"/>
    <n v="105000000"/>
    <n v="105000000"/>
    <n v="0"/>
    <x v="499"/>
    <s v="Cali"/>
    <m/>
    <m/>
    <m/>
    <m/>
    <x v="0"/>
  </r>
  <r>
    <d v="2021-07-15T00:00:00"/>
    <x v="7"/>
    <x v="3"/>
    <x v="3"/>
    <n v="-105000000"/>
    <n v="0"/>
    <n v="105000000"/>
    <x v="499"/>
    <s v="Cali"/>
    <m/>
    <m/>
    <m/>
    <m/>
    <x v="0"/>
  </r>
  <r>
    <m/>
    <x v="1"/>
    <x v="23"/>
    <x v="23"/>
    <m/>
    <m/>
    <m/>
    <x v="1"/>
    <m/>
    <m/>
    <m/>
    <m/>
    <m/>
    <x v="0"/>
  </r>
  <r>
    <d v="2021-07-19T00:00:00"/>
    <x v="7"/>
    <x v="11"/>
    <x v="11"/>
    <n v="-17200982"/>
    <n v="0"/>
    <n v="17200982"/>
    <x v="500"/>
    <s v="Cali"/>
    <m/>
    <m/>
    <m/>
    <m/>
    <x v="0"/>
  </r>
  <r>
    <d v="2021-07-19T00:00:00"/>
    <x v="7"/>
    <x v="8"/>
    <x v="8"/>
    <n v="146258668"/>
    <n v="146258668"/>
    <n v="0"/>
    <x v="501"/>
    <s v="Cali"/>
    <m/>
    <m/>
    <m/>
    <m/>
    <x v="0"/>
  </r>
  <r>
    <d v="2021-07-19T00:00:00"/>
    <x v="7"/>
    <x v="18"/>
    <x v="18"/>
    <n v="-6333244"/>
    <n v="0"/>
    <n v="6333244"/>
    <x v="502"/>
    <s v="Cali"/>
    <m/>
    <m/>
    <m/>
    <m/>
    <x v="0"/>
  </r>
  <r>
    <d v="2021-07-19T00:00:00"/>
    <x v="7"/>
    <x v="48"/>
    <x v="48"/>
    <n v="-122724442"/>
    <n v="0"/>
    <n v="122724442"/>
    <x v="129"/>
    <s v="Cali"/>
    <m/>
    <m/>
    <m/>
    <m/>
    <x v="0"/>
  </r>
  <r>
    <m/>
    <x v="1"/>
    <x v="23"/>
    <x v="23"/>
    <m/>
    <m/>
    <m/>
    <x v="1"/>
    <m/>
    <m/>
    <m/>
    <m/>
    <m/>
    <x v="0"/>
  </r>
  <r>
    <d v="2021-07-20T00:00:00"/>
    <x v="7"/>
    <x v="48"/>
    <x v="48"/>
    <n v="122724442"/>
    <n v="122724442"/>
    <n v="0"/>
    <x v="445"/>
    <s v="Cali"/>
    <m/>
    <m/>
    <m/>
    <m/>
    <x v="0"/>
  </r>
  <r>
    <d v="2021-07-20T00:00:00"/>
    <x v="7"/>
    <x v="1"/>
    <x v="1"/>
    <n v="-122724442"/>
    <n v="0"/>
    <n v="122724442"/>
    <x v="445"/>
    <s v="Cali"/>
    <m/>
    <m/>
    <m/>
    <m/>
    <x v="0"/>
  </r>
  <r>
    <m/>
    <x v="1"/>
    <x v="23"/>
    <x v="23"/>
    <m/>
    <m/>
    <m/>
    <x v="1"/>
    <m/>
    <m/>
    <m/>
    <m/>
    <m/>
    <x v="0"/>
  </r>
  <r>
    <d v="2021-07-20T00:00:00"/>
    <x v="7"/>
    <x v="12"/>
    <x v="12"/>
    <n v="4307925"/>
    <n v="4307925"/>
    <n v="0"/>
    <x v="446"/>
    <s v="Cali"/>
    <m/>
    <m/>
    <m/>
    <m/>
    <x v="0"/>
  </r>
  <r>
    <d v="2021-07-20T00:00:00"/>
    <x v="7"/>
    <x v="1"/>
    <x v="1"/>
    <n v="-4307925"/>
    <n v="0"/>
    <n v="4307925"/>
    <x v="446"/>
    <s v="Cali"/>
    <m/>
    <m/>
    <m/>
    <m/>
    <x v="0"/>
  </r>
  <r>
    <m/>
    <x v="1"/>
    <x v="23"/>
    <x v="23"/>
    <m/>
    <m/>
    <m/>
    <x v="1"/>
    <m/>
    <m/>
    <m/>
    <m/>
    <m/>
    <x v="0"/>
  </r>
  <r>
    <d v="2021-07-20T00:00:00"/>
    <x v="7"/>
    <x v="7"/>
    <x v="7"/>
    <n v="3118185"/>
    <n v="3118185"/>
    <n v="0"/>
    <x v="503"/>
    <s v="Cali"/>
    <m/>
    <m/>
    <m/>
    <m/>
    <x v="0"/>
  </r>
  <r>
    <d v="2021-07-20T00:00:00"/>
    <x v="7"/>
    <x v="1"/>
    <x v="1"/>
    <n v="-3118185"/>
    <n v="0"/>
    <n v="3118185"/>
    <x v="503"/>
    <s v="Cali"/>
    <m/>
    <m/>
    <m/>
    <m/>
    <x v="0"/>
  </r>
  <r>
    <m/>
    <x v="1"/>
    <x v="23"/>
    <x v="23"/>
    <m/>
    <m/>
    <m/>
    <x v="1"/>
    <m/>
    <m/>
    <m/>
    <m/>
    <m/>
    <x v="0"/>
  </r>
  <r>
    <d v="2021-07-12T00:00:00"/>
    <x v="7"/>
    <x v="31"/>
    <x v="31"/>
    <n v="4942"/>
    <n v="4942"/>
    <n v="0"/>
    <x v="504"/>
    <s v="Cali"/>
    <m/>
    <m/>
    <m/>
    <m/>
    <x v="0"/>
  </r>
  <r>
    <d v="2021-07-12T00:00:00"/>
    <x v="7"/>
    <x v="51"/>
    <x v="51"/>
    <n v="-4942"/>
    <n v="0"/>
    <n v="4942"/>
    <x v="504"/>
    <s v="Cali"/>
    <m/>
    <m/>
    <m/>
    <m/>
    <x v="0"/>
  </r>
  <r>
    <m/>
    <x v="1"/>
    <x v="23"/>
    <x v="23"/>
    <m/>
    <m/>
    <m/>
    <x v="1"/>
    <m/>
    <m/>
    <m/>
    <m/>
    <m/>
    <x v="0"/>
  </r>
  <r>
    <d v="2021-07-15T00:00:00"/>
    <x v="7"/>
    <x v="51"/>
    <x v="51"/>
    <n v="255000"/>
    <n v="255000"/>
    <n v="0"/>
    <x v="449"/>
    <s v="Cali"/>
    <m/>
    <m/>
    <m/>
    <m/>
    <x v="0"/>
  </r>
  <r>
    <d v="2021-07-15T00:00:00"/>
    <x v="7"/>
    <x v="25"/>
    <x v="25"/>
    <n v="-255000"/>
    <n v="0"/>
    <n v="255000"/>
    <x v="449"/>
    <s v="Cali"/>
    <m/>
    <m/>
    <m/>
    <m/>
    <x v="0"/>
  </r>
  <r>
    <m/>
    <x v="1"/>
    <x v="23"/>
    <x v="23"/>
    <m/>
    <m/>
    <m/>
    <x v="1"/>
    <m/>
    <m/>
    <m/>
    <m/>
    <m/>
    <x v="0"/>
  </r>
  <r>
    <d v="2021-07-23T00:00:00"/>
    <x v="7"/>
    <x v="51"/>
    <x v="51"/>
    <n v="25000"/>
    <n v="25000"/>
    <n v="0"/>
    <x v="449"/>
    <s v="Cali"/>
    <m/>
    <m/>
    <m/>
    <m/>
    <x v="0"/>
  </r>
  <r>
    <d v="2021-07-23T00:00:00"/>
    <x v="7"/>
    <x v="25"/>
    <x v="25"/>
    <n v="-25000"/>
    <n v="0"/>
    <n v="25000"/>
    <x v="449"/>
    <s v="Cali"/>
    <m/>
    <m/>
    <m/>
    <m/>
    <x v="0"/>
  </r>
  <r>
    <m/>
    <x v="1"/>
    <x v="23"/>
    <x v="23"/>
    <m/>
    <m/>
    <m/>
    <x v="1"/>
    <m/>
    <m/>
    <m/>
    <m/>
    <m/>
    <x v="0"/>
  </r>
  <r>
    <d v="2021-07-29T00:00:00"/>
    <x v="7"/>
    <x v="51"/>
    <x v="51"/>
    <n v="100000"/>
    <n v="100000"/>
    <n v="0"/>
    <x v="449"/>
    <s v="Cali"/>
    <m/>
    <m/>
    <m/>
    <m/>
    <x v="0"/>
  </r>
  <r>
    <d v="2021-07-29T00:00:00"/>
    <x v="7"/>
    <x v="25"/>
    <x v="25"/>
    <n v="-100000"/>
    <n v="0"/>
    <n v="100000"/>
    <x v="449"/>
    <s v="Cali"/>
    <m/>
    <m/>
    <m/>
    <m/>
    <x v="0"/>
  </r>
  <r>
    <m/>
    <x v="1"/>
    <x v="23"/>
    <x v="23"/>
    <m/>
    <m/>
    <m/>
    <x v="1"/>
    <m/>
    <m/>
    <m/>
    <m/>
    <m/>
    <x v="0"/>
  </r>
  <r>
    <d v="2021-07-31T00:00:00"/>
    <x v="7"/>
    <x v="13"/>
    <x v="13"/>
    <n v="30000"/>
    <n v="30000"/>
    <n v="0"/>
    <x v="465"/>
    <s v="Cali"/>
    <m/>
    <m/>
    <m/>
    <m/>
    <x v="0"/>
  </r>
  <r>
    <d v="2021-07-31T00:00:00"/>
    <x v="7"/>
    <x v="13"/>
    <x v="13"/>
    <n v="30000"/>
    <n v="30000"/>
    <n v="0"/>
    <x v="505"/>
    <s v="Cali"/>
    <m/>
    <m/>
    <m/>
    <m/>
    <x v="0"/>
  </r>
  <r>
    <d v="2021-07-31T00:00:00"/>
    <x v="7"/>
    <x v="13"/>
    <x v="13"/>
    <n v="30000"/>
    <n v="30000"/>
    <n v="0"/>
    <x v="405"/>
    <s v="Cali"/>
    <m/>
    <m/>
    <m/>
    <m/>
    <x v="0"/>
  </r>
  <r>
    <d v="2021-07-31T00:00:00"/>
    <x v="7"/>
    <x v="13"/>
    <x v="13"/>
    <n v="20000"/>
    <n v="20000"/>
    <n v="0"/>
    <x v="299"/>
    <s v="Cali"/>
    <m/>
    <m/>
    <m/>
    <m/>
    <x v="0"/>
  </r>
  <r>
    <d v="2021-07-31T00:00:00"/>
    <x v="7"/>
    <x v="13"/>
    <x v="13"/>
    <n v="40000"/>
    <n v="40000"/>
    <n v="0"/>
    <x v="463"/>
    <s v="Cali"/>
    <m/>
    <m/>
    <m/>
    <m/>
    <x v="0"/>
  </r>
  <r>
    <d v="2021-07-31T00:00:00"/>
    <x v="7"/>
    <x v="13"/>
    <x v="13"/>
    <n v="1000000"/>
    <n v="1000000"/>
    <n v="0"/>
    <x v="506"/>
    <s v="Cali"/>
    <m/>
    <m/>
    <m/>
    <m/>
    <x v="0"/>
  </r>
  <r>
    <d v="2021-07-31T00:00:00"/>
    <x v="7"/>
    <x v="13"/>
    <x v="13"/>
    <n v="100000"/>
    <n v="100000"/>
    <n v="0"/>
    <x v="460"/>
    <s v="Cali"/>
    <m/>
    <m/>
    <m/>
    <m/>
    <x v="0"/>
  </r>
  <r>
    <d v="2021-07-31T00:00:00"/>
    <x v="7"/>
    <x v="13"/>
    <x v="13"/>
    <n v="120000"/>
    <n v="120000"/>
    <n v="0"/>
    <x v="155"/>
    <s v="Cali"/>
    <m/>
    <m/>
    <m/>
    <m/>
    <x v="0"/>
  </r>
  <r>
    <d v="2021-07-31T00:00:00"/>
    <x v="7"/>
    <x v="13"/>
    <x v="13"/>
    <n v="-6596"/>
    <n v="0"/>
    <n v="6596"/>
    <x v="507"/>
    <s v="Cali"/>
    <m/>
    <m/>
    <m/>
    <m/>
    <x v="0"/>
  </r>
  <r>
    <d v="2021-07-31T00:00:00"/>
    <x v="7"/>
    <x v="13"/>
    <x v="13"/>
    <n v="10000"/>
    <n v="10000"/>
    <n v="0"/>
    <x v="406"/>
    <s v="Cali"/>
    <m/>
    <m/>
    <m/>
    <m/>
    <x v="0"/>
  </r>
  <r>
    <d v="2021-07-31T00:00:00"/>
    <x v="7"/>
    <x v="13"/>
    <x v="13"/>
    <n v="30000"/>
    <n v="30000"/>
    <n v="0"/>
    <x v="359"/>
    <s v="Cali"/>
    <m/>
    <m/>
    <m/>
    <m/>
    <x v="0"/>
  </r>
  <r>
    <d v="2021-07-31T00:00:00"/>
    <x v="7"/>
    <x v="13"/>
    <x v="13"/>
    <n v="21000"/>
    <n v="21000"/>
    <n v="0"/>
    <x v="508"/>
    <s v="Cali"/>
    <m/>
    <m/>
    <m/>
    <m/>
    <x v="0"/>
  </r>
  <r>
    <d v="2021-07-31T00:00:00"/>
    <x v="7"/>
    <x v="13"/>
    <x v="13"/>
    <n v="15000"/>
    <n v="15000"/>
    <n v="0"/>
    <x v="301"/>
    <s v="Cali"/>
    <m/>
    <m/>
    <m/>
    <m/>
    <x v="0"/>
  </r>
  <r>
    <d v="2021-07-31T00:00:00"/>
    <x v="7"/>
    <x v="13"/>
    <x v="13"/>
    <n v="50000"/>
    <n v="50000"/>
    <n v="0"/>
    <x v="509"/>
    <s v="Cali"/>
    <m/>
    <m/>
    <m/>
    <m/>
    <x v="0"/>
  </r>
  <r>
    <d v="2021-07-31T00:00:00"/>
    <x v="7"/>
    <x v="13"/>
    <x v="13"/>
    <n v="15000"/>
    <n v="15000"/>
    <n v="0"/>
    <x v="510"/>
    <s v="Cali"/>
    <m/>
    <m/>
    <m/>
    <m/>
    <x v="0"/>
  </r>
  <r>
    <d v="2021-07-31T00:00:00"/>
    <x v="7"/>
    <x v="13"/>
    <x v="13"/>
    <n v="30000"/>
    <n v="30000"/>
    <n v="0"/>
    <x v="304"/>
    <s v="Cali"/>
    <m/>
    <m/>
    <m/>
    <m/>
    <x v="0"/>
  </r>
  <r>
    <d v="2021-07-31T00:00:00"/>
    <x v="7"/>
    <x v="29"/>
    <x v="29"/>
    <n v="-30000"/>
    <n v="0"/>
    <n v="30000"/>
    <x v="465"/>
    <s v="Cali"/>
    <m/>
    <m/>
    <m/>
    <m/>
    <x v="0"/>
  </r>
  <r>
    <d v="2021-07-31T00:00:00"/>
    <x v="7"/>
    <x v="29"/>
    <x v="29"/>
    <n v="-30000"/>
    <n v="0"/>
    <n v="30000"/>
    <x v="505"/>
    <s v="Cali"/>
    <m/>
    <m/>
    <m/>
    <m/>
    <x v="0"/>
  </r>
  <r>
    <d v="2021-07-31T00:00:00"/>
    <x v="7"/>
    <x v="26"/>
    <x v="26"/>
    <n v="-30000"/>
    <n v="0"/>
    <n v="30000"/>
    <x v="405"/>
    <s v="Cali"/>
    <m/>
    <m/>
    <m/>
    <m/>
    <x v="0"/>
  </r>
  <r>
    <d v="2021-07-31T00:00:00"/>
    <x v="7"/>
    <x v="26"/>
    <x v="26"/>
    <n v="-20000"/>
    <n v="0"/>
    <n v="20000"/>
    <x v="299"/>
    <s v="Cali"/>
    <m/>
    <m/>
    <m/>
    <m/>
    <x v="0"/>
  </r>
  <r>
    <d v="2021-07-31T00:00:00"/>
    <x v="7"/>
    <x v="25"/>
    <x v="25"/>
    <n v="-40000"/>
    <n v="0"/>
    <n v="40000"/>
    <x v="463"/>
    <s v="Cali"/>
    <m/>
    <m/>
    <m/>
    <m/>
    <x v="0"/>
  </r>
  <r>
    <d v="2021-07-31T00:00:00"/>
    <x v="7"/>
    <x v="26"/>
    <x v="26"/>
    <n v="-1000000"/>
    <n v="0"/>
    <n v="1000000"/>
    <x v="506"/>
    <s v="Cali"/>
    <m/>
    <m/>
    <m/>
    <m/>
    <x v="0"/>
  </r>
  <r>
    <d v="2021-07-31T00:00:00"/>
    <x v="7"/>
    <x v="25"/>
    <x v="25"/>
    <n v="-100000"/>
    <n v="0"/>
    <n v="100000"/>
    <x v="460"/>
    <s v="Cali"/>
    <m/>
    <m/>
    <m/>
    <m/>
    <x v="0"/>
  </r>
  <r>
    <d v="2021-07-31T00:00:00"/>
    <x v="7"/>
    <x v="27"/>
    <x v="27"/>
    <n v="-120000"/>
    <n v="0"/>
    <n v="120000"/>
    <x v="155"/>
    <s v="Cali"/>
    <m/>
    <m/>
    <m/>
    <m/>
    <x v="0"/>
  </r>
  <r>
    <d v="2021-07-31T00:00:00"/>
    <x v="7"/>
    <x v="17"/>
    <x v="17"/>
    <n v="6596"/>
    <n v="6596"/>
    <n v="0"/>
    <x v="507"/>
    <s v="Cali"/>
    <m/>
    <m/>
    <m/>
    <m/>
    <x v="0"/>
  </r>
  <r>
    <d v="2021-07-31T00:00:00"/>
    <x v="7"/>
    <x v="26"/>
    <x v="26"/>
    <n v="-10000"/>
    <n v="0"/>
    <n v="10000"/>
    <x v="406"/>
    <s v="Cali"/>
    <m/>
    <m/>
    <m/>
    <m/>
    <x v="0"/>
  </r>
  <r>
    <d v="2021-07-31T00:00:00"/>
    <x v="7"/>
    <x v="25"/>
    <x v="25"/>
    <n v="-30000"/>
    <n v="0"/>
    <n v="30000"/>
    <x v="359"/>
    <s v="Cali"/>
    <m/>
    <m/>
    <m/>
    <m/>
    <x v="0"/>
  </r>
  <r>
    <d v="2021-07-31T00:00:00"/>
    <x v="7"/>
    <x v="27"/>
    <x v="27"/>
    <n v="-21000"/>
    <n v="0"/>
    <n v="21000"/>
    <x v="508"/>
    <s v="Cali"/>
    <m/>
    <m/>
    <m/>
    <m/>
    <x v="0"/>
  </r>
  <r>
    <d v="2021-07-31T00:00:00"/>
    <x v="7"/>
    <x v="25"/>
    <x v="25"/>
    <n v="-15000"/>
    <n v="0"/>
    <n v="15000"/>
    <x v="301"/>
    <s v="Cali"/>
    <m/>
    <m/>
    <m/>
    <m/>
    <x v="0"/>
  </r>
  <r>
    <d v="2021-07-31T00:00:00"/>
    <x v="7"/>
    <x v="25"/>
    <x v="25"/>
    <n v="-50000"/>
    <n v="0"/>
    <n v="50000"/>
    <x v="509"/>
    <s v="Cali"/>
    <m/>
    <m/>
    <m/>
    <m/>
    <x v="0"/>
  </r>
  <r>
    <d v="2021-07-31T00:00:00"/>
    <x v="7"/>
    <x v="26"/>
    <x v="26"/>
    <n v="-15000"/>
    <n v="0"/>
    <n v="15000"/>
    <x v="510"/>
    <s v="Cali"/>
    <m/>
    <m/>
    <m/>
    <m/>
    <x v="0"/>
  </r>
  <r>
    <d v="2021-07-31T00:00:00"/>
    <x v="7"/>
    <x v="25"/>
    <x v="25"/>
    <n v="-30000"/>
    <n v="0"/>
    <n v="30000"/>
    <x v="304"/>
    <s v="Cali"/>
    <m/>
    <m/>
    <m/>
    <m/>
    <x v="0"/>
  </r>
  <r>
    <m/>
    <x v="1"/>
    <x v="23"/>
    <x v="23"/>
    <m/>
    <m/>
    <m/>
    <x v="1"/>
    <m/>
    <m/>
    <m/>
    <m/>
    <m/>
    <x v="0"/>
  </r>
  <r>
    <d v="2021-07-31T00:00:00"/>
    <x v="7"/>
    <x v="32"/>
    <x v="32"/>
    <n v="-679000"/>
    <n v="0"/>
    <n v="679000"/>
    <x v="511"/>
    <s v="Cali"/>
    <m/>
    <m/>
    <m/>
    <m/>
    <x v="0"/>
  </r>
  <r>
    <d v="2021-07-31T00:00:00"/>
    <x v="7"/>
    <x v="33"/>
    <x v="33"/>
    <n v="0"/>
    <n v="0"/>
    <n v="0"/>
    <x v="511"/>
    <s v="Cali"/>
    <m/>
    <m/>
    <m/>
    <m/>
    <x v="0"/>
  </r>
  <r>
    <d v="2021-07-31T00:00:00"/>
    <x v="7"/>
    <x v="34"/>
    <x v="34"/>
    <n v="-879500"/>
    <n v="0"/>
    <n v="879500"/>
    <x v="511"/>
    <s v="Cali"/>
    <m/>
    <m/>
    <m/>
    <m/>
    <x v="0"/>
  </r>
  <r>
    <d v="2021-07-31T00:00:00"/>
    <x v="7"/>
    <x v="35"/>
    <x v="35"/>
    <n v="-2849000"/>
    <n v="0"/>
    <n v="2849000"/>
    <x v="511"/>
    <s v="Cali"/>
    <m/>
    <m/>
    <m/>
    <m/>
    <x v="0"/>
  </r>
  <r>
    <d v="2021-07-31T00:00:00"/>
    <x v="7"/>
    <x v="36"/>
    <x v="36"/>
    <n v="-4140600"/>
    <n v="0"/>
    <n v="4140600"/>
    <x v="511"/>
    <s v="Cali"/>
    <m/>
    <m/>
    <m/>
    <m/>
    <x v="0"/>
  </r>
  <r>
    <d v="2021-07-31T00:00:00"/>
    <x v="7"/>
    <x v="37"/>
    <x v="37"/>
    <n v="-7542213"/>
    <n v="0"/>
    <n v="7542213"/>
    <x v="511"/>
    <s v="Cali"/>
    <m/>
    <m/>
    <m/>
    <m/>
    <x v="0"/>
  </r>
  <r>
    <d v="2021-07-31T00:00:00"/>
    <x v="7"/>
    <x v="29"/>
    <x v="29"/>
    <n v="679000"/>
    <n v="679000"/>
    <n v="0"/>
    <x v="511"/>
    <s v="Cali"/>
    <m/>
    <m/>
    <m/>
    <m/>
    <x v="0"/>
  </r>
  <r>
    <d v="2021-07-31T00:00:00"/>
    <x v="7"/>
    <x v="27"/>
    <x v="27"/>
    <n v="879500"/>
    <n v="879500"/>
    <n v="0"/>
    <x v="511"/>
    <s v="Cali"/>
    <m/>
    <m/>
    <m/>
    <m/>
    <x v="0"/>
  </r>
  <r>
    <d v="2021-07-31T00:00:00"/>
    <x v="7"/>
    <x v="25"/>
    <x v="25"/>
    <n v="2849000"/>
    <n v="2849000"/>
    <n v="0"/>
    <x v="511"/>
    <s v="Cali"/>
    <m/>
    <m/>
    <m/>
    <m/>
    <x v="0"/>
  </r>
  <r>
    <d v="2021-07-31T00:00:00"/>
    <x v="7"/>
    <x v="5"/>
    <x v="5"/>
    <n v="11682813"/>
    <n v="11682813"/>
    <n v="0"/>
    <x v="511"/>
    <s v="Cali"/>
    <m/>
    <m/>
    <m/>
    <m/>
    <x v="0"/>
  </r>
  <r>
    <d v="2021-07-31T00:00:00"/>
    <x v="7"/>
    <x v="15"/>
    <x v="15"/>
    <n v="-2979034"/>
    <n v="0"/>
    <n v="2979034"/>
    <x v="511"/>
    <s v="Cali"/>
    <m/>
    <m/>
    <m/>
    <m/>
    <x v="0"/>
  </r>
  <r>
    <d v="2021-07-31T00:00:00"/>
    <x v="7"/>
    <x v="38"/>
    <x v="38"/>
    <n v="2979034"/>
    <n v="2979034"/>
    <n v="0"/>
    <x v="511"/>
    <s v="Cali"/>
    <m/>
    <m/>
    <m/>
    <m/>
    <x v="0"/>
  </r>
  <r>
    <d v="2021-07-31T00:00:00"/>
    <x v="7"/>
    <x v="16"/>
    <x v="16"/>
    <n v="-81480"/>
    <n v="0"/>
    <n v="81480"/>
    <x v="511"/>
    <s v="Cali"/>
    <m/>
    <m/>
    <m/>
    <m/>
    <x v="0"/>
  </r>
  <r>
    <d v="2021-07-31T00:00:00"/>
    <x v="7"/>
    <x v="14"/>
    <x v="14"/>
    <n v="-160903"/>
    <n v="0"/>
    <n v="160903"/>
    <x v="511"/>
    <s v="Cali"/>
    <m/>
    <m/>
    <m/>
    <m/>
    <x v="0"/>
  </r>
  <r>
    <d v="2021-07-31T00:00:00"/>
    <x v="7"/>
    <x v="39"/>
    <x v="39"/>
    <n v="81480"/>
    <n v="81480"/>
    <n v="0"/>
    <x v="511"/>
    <s v="Cali"/>
    <m/>
    <m/>
    <m/>
    <m/>
    <x v="0"/>
  </r>
  <r>
    <d v="2021-07-31T00:00:00"/>
    <x v="7"/>
    <x v="40"/>
    <x v="40"/>
    <n v="160903"/>
    <n v="160903"/>
    <n v="0"/>
    <x v="511"/>
    <s v="Cali"/>
    <m/>
    <m/>
    <m/>
    <m/>
    <x v="0"/>
  </r>
  <r>
    <d v="2021-07-31T00:00:00"/>
    <x v="7"/>
    <x v="41"/>
    <x v="41"/>
    <n v="-5958308"/>
    <n v="0"/>
    <n v="5958308"/>
    <x v="511"/>
    <s v="Cali"/>
    <m/>
    <m/>
    <m/>
    <m/>
    <x v="0"/>
  </r>
  <r>
    <d v="2021-07-31T00:00:00"/>
    <x v="7"/>
    <x v="42"/>
    <x v="42"/>
    <n v="-2000500"/>
    <n v="0"/>
    <n v="2000500"/>
    <x v="511"/>
    <s v="Cali"/>
    <m/>
    <m/>
    <m/>
    <m/>
    <x v="0"/>
  </r>
  <r>
    <d v="2021-07-31T00:00:00"/>
    <x v="7"/>
    <x v="43"/>
    <x v="43"/>
    <n v="411907"/>
    <n v="411907"/>
    <n v="0"/>
    <x v="511"/>
    <s v="Cali"/>
    <m/>
    <m/>
    <m/>
    <m/>
    <x v="0"/>
  </r>
  <r>
    <d v="2021-07-31T00:00:00"/>
    <x v="7"/>
    <x v="43"/>
    <x v="43"/>
    <n v="50013"/>
    <n v="50013"/>
    <n v="0"/>
    <x v="511"/>
    <s v="Cali"/>
    <m/>
    <m/>
    <m/>
    <m/>
    <x v="0"/>
  </r>
  <r>
    <d v="2021-07-31T00:00:00"/>
    <x v="7"/>
    <x v="38"/>
    <x v="38"/>
    <n v="3292091"/>
    <n v="3292091"/>
    <n v="0"/>
    <x v="511"/>
    <s v="Cali"/>
    <m/>
    <m/>
    <m/>
    <m/>
    <x v="0"/>
  </r>
  <r>
    <d v="2021-07-31T00:00:00"/>
    <x v="7"/>
    <x v="40"/>
    <x v="40"/>
    <n v="59583"/>
    <n v="59583"/>
    <n v="0"/>
    <x v="511"/>
    <s v="Cali"/>
    <m/>
    <m/>
    <m/>
    <m/>
    <x v="0"/>
  </r>
  <r>
    <d v="2021-07-31T00:00:00"/>
    <x v="7"/>
    <x v="40"/>
    <x v="40"/>
    <n v="20005"/>
    <n v="20005"/>
    <n v="0"/>
    <x v="511"/>
    <s v="Cali"/>
    <m/>
    <m/>
    <m/>
    <m/>
    <x v="0"/>
  </r>
  <r>
    <d v="2021-07-31T00:00:00"/>
    <x v="7"/>
    <x v="44"/>
    <x v="44"/>
    <n v="2194727"/>
    <n v="2194727"/>
    <n v="0"/>
    <x v="511"/>
    <s v="Cali"/>
    <m/>
    <m/>
    <m/>
    <m/>
    <x v="0"/>
  </r>
  <r>
    <d v="2021-07-31T00:00:00"/>
    <x v="7"/>
    <x v="45"/>
    <x v="45"/>
    <n v="1930482"/>
    <n v="1930482"/>
    <n v="0"/>
    <x v="511"/>
    <s v="Cali"/>
    <m/>
    <m/>
    <m/>
    <m/>
    <x v="0"/>
  </r>
  <r>
    <d v="2021-07-31T00:00:00"/>
    <x v="7"/>
    <x v="5"/>
    <x v="5"/>
    <n v="-139025"/>
    <n v="0"/>
    <n v="139025"/>
    <x v="511"/>
    <s v="Cali"/>
    <m/>
    <m/>
    <m/>
    <m/>
    <x v="0"/>
  </r>
  <r>
    <d v="2021-07-31T00:00:00"/>
    <x v="7"/>
    <x v="30"/>
    <x v="30"/>
    <n v="139025"/>
    <n v="139025"/>
    <n v="0"/>
    <x v="511"/>
    <s v="Cali"/>
    <m/>
    <m/>
    <m/>
    <m/>
    <x v="0"/>
  </r>
  <r>
    <m/>
    <x v="1"/>
    <x v="23"/>
    <x v="23"/>
    <m/>
    <m/>
    <m/>
    <x v="1"/>
    <m/>
    <m/>
    <m/>
    <m/>
    <m/>
    <x v="0"/>
  </r>
  <r>
    <d v="2021-07-31T00:00:00"/>
    <x v="7"/>
    <x v="46"/>
    <x v="46"/>
    <n v="0"/>
    <n v="0"/>
    <n v="0"/>
    <x v="110"/>
    <s v="Cali"/>
    <m/>
    <m/>
    <m/>
    <m/>
    <x v="0"/>
  </r>
  <r>
    <d v="2021-07-31T00:00:00"/>
    <x v="7"/>
    <x v="47"/>
    <x v="47"/>
    <n v="0"/>
    <n v="0"/>
    <n v="0"/>
    <x v="110"/>
    <s v="Cali"/>
    <m/>
    <m/>
    <m/>
    <m/>
    <x v="0"/>
  </r>
  <r>
    <m/>
    <x v="1"/>
    <x v="23"/>
    <x v="23"/>
    <m/>
    <m/>
    <m/>
    <x v="1"/>
    <m/>
    <m/>
    <m/>
    <m/>
    <m/>
    <x v="0"/>
  </r>
  <r>
    <d v="2021-07-31T00:00:00"/>
    <x v="7"/>
    <x v="2"/>
    <x v="2"/>
    <n v="0"/>
    <n v="0"/>
    <n v="0"/>
    <x v="111"/>
    <s v="Cali"/>
    <m/>
    <m/>
    <m/>
    <m/>
    <x v="0"/>
  </r>
  <r>
    <d v="2021-07-31T00:00:00"/>
    <x v="7"/>
    <x v="47"/>
    <x v="47"/>
    <n v="0"/>
    <n v="0"/>
    <n v="0"/>
    <x v="111"/>
    <s v="Cali"/>
    <m/>
    <m/>
    <m/>
    <m/>
    <x v="0"/>
  </r>
  <r>
    <m/>
    <x v="1"/>
    <x v="23"/>
    <x v="23"/>
    <m/>
    <m/>
    <m/>
    <x v="1"/>
    <m/>
    <m/>
    <m/>
    <m/>
    <m/>
    <x v="0"/>
  </r>
  <r>
    <d v="2021-07-31T00:00:00"/>
    <x v="7"/>
    <x v="3"/>
    <x v="3"/>
    <n v="15187"/>
    <n v="15187"/>
    <n v="0"/>
    <x v="112"/>
    <s v="Cali"/>
    <m/>
    <m/>
    <m/>
    <m/>
    <x v="0"/>
  </r>
  <r>
    <d v="2021-07-31T00:00:00"/>
    <x v="7"/>
    <x v="47"/>
    <x v="47"/>
    <n v="-15187"/>
    <n v="0"/>
    <n v="15187"/>
    <x v="112"/>
    <s v="Cali"/>
    <m/>
    <m/>
    <m/>
    <m/>
    <x v="0"/>
  </r>
  <r>
    <m/>
    <x v="1"/>
    <x v="23"/>
    <x v="23"/>
    <m/>
    <m/>
    <m/>
    <x v="1"/>
    <m/>
    <m/>
    <m/>
    <m/>
    <m/>
    <x v="0"/>
  </r>
  <r>
    <d v="2021-07-31T00:00:00"/>
    <x v="7"/>
    <x v="53"/>
    <x v="53"/>
    <n v="215100"/>
    <n v="215100"/>
    <n v="0"/>
    <x v="305"/>
    <s v="Cali"/>
    <m/>
    <m/>
    <m/>
    <m/>
    <x v="0"/>
  </r>
  <r>
    <d v="2021-07-31T00:00:00"/>
    <x v="7"/>
    <x v="47"/>
    <x v="47"/>
    <n v="-215100"/>
    <n v="0"/>
    <n v="215100"/>
    <x v="305"/>
    <s v="Cali"/>
    <m/>
    <m/>
    <m/>
    <m/>
    <x v="0"/>
  </r>
  <r>
    <m/>
    <x v="1"/>
    <x v="23"/>
    <x v="23"/>
    <m/>
    <m/>
    <m/>
    <x v="1"/>
    <m/>
    <m/>
    <m/>
    <m/>
    <m/>
    <x v="0"/>
  </r>
  <r>
    <d v="2021-07-31T00:00:00"/>
    <x v="7"/>
    <x v="4"/>
    <x v="4"/>
    <n v="35000"/>
    <n v="35000"/>
    <n v="0"/>
    <x v="512"/>
    <s v="Cali"/>
    <m/>
    <m/>
    <m/>
    <m/>
    <x v="0"/>
  </r>
  <r>
    <d v="2021-07-31T00:00:00"/>
    <x v="7"/>
    <x v="29"/>
    <x v="29"/>
    <n v="-35000"/>
    <n v="0"/>
    <n v="35000"/>
    <x v="512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25000"/>
    <n v="25000"/>
    <n v="0"/>
    <x v="321"/>
    <s v="Cali"/>
    <m/>
    <m/>
    <m/>
    <m/>
    <x v="0"/>
  </r>
  <r>
    <d v="2021-08-02T00:00:00"/>
    <x v="8"/>
    <x v="27"/>
    <x v="27"/>
    <n v="-25000"/>
    <n v="0"/>
    <n v="25000"/>
    <x v="321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20000"/>
    <n v="20000"/>
    <n v="0"/>
    <x v="132"/>
    <s v="Cali"/>
    <m/>
    <m/>
    <m/>
    <m/>
    <x v="0"/>
  </r>
  <r>
    <d v="2021-08-02T00:00:00"/>
    <x v="8"/>
    <x v="25"/>
    <x v="25"/>
    <n v="-20000"/>
    <n v="0"/>
    <n v="20000"/>
    <x v="132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20000"/>
    <n v="20000"/>
    <n v="0"/>
    <x v="197"/>
    <s v="Cali"/>
    <m/>
    <m/>
    <m/>
    <m/>
    <x v="0"/>
  </r>
  <r>
    <d v="2021-08-02T00:00:00"/>
    <x v="8"/>
    <x v="26"/>
    <x v="26"/>
    <n v="-20000"/>
    <n v="0"/>
    <n v="20000"/>
    <x v="197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120000"/>
    <n v="120000"/>
    <n v="0"/>
    <x v="338"/>
    <s v="Cali"/>
    <m/>
    <m/>
    <m/>
    <m/>
    <x v="0"/>
  </r>
  <r>
    <d v="2021-08-02T00:00:00"/>
    <x v="8"/>
    <x v="27"/>
    <x v="27"/>
    <n v="-120000"/>
    <n v="0"/>
    <n v="120000"/>
    <x v="338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50000"/>
    <n v="50000"/>
    <n v="0"/>
    <x v="513"/>
    <s v="Cali"/>
    <m/>
    <m/>
    <m/>
    <m/>
    <x v="0"/>
  </r>
  <r>
    <d v="2021-08-02T00:00:00"/>
    <x v="8"/>
    <x v="27"/>
    <x v="27"/>
    <n v="-50000"/>
    <n v="0"/>
    <n v="50000"/>
    <x v="513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48000"/>
    <n v="48000"/>
    <n v="0"/>
    <x v="144"/>
    <s v="Cali"/>
    <m/>
    <m/>
    <m/>
    <m/>
    <x v="0"/>
  </r>
  <r>
    <d v="2021-08-02T00:00:00"/>
    <x v="8"/>
    <x v="27"/>
    <x v="27"/>
    <n v="-48000"/>
    <n v="0"/>
    <n v="48000"/>
    <x v="144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20000"/>
    <n v="20000"/>
    <n v="0"/>
    <x v="146"/>
    <s v="Cali"/>
    <m/>
    <m/>
    <m/>
    <m/>
    <x v="0"/>
  </r>
  <r>
    <d v="2021-08-02T00:00:00"/>
    <x v="8"/>
    <x v="26"/>
    <x v="26"/>
    <n v="-20000"/>
    <n v="0"/>
    <n v="20000"/>
    <x v="146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15000"/>
    <n v="15000"/>
    <n v="0"/>
    <x v="415"/>
    <s v="Cali"/>
    <m/>
    <m/>
    <m/>
    <m/>
    <x v="0"/>
  </r>
  <r>
    <d v="2021-08-02T00:00:00"/>
    <x v="8"/>
    <x v="25"/>
    <x v="25"/>
    <n v="-15000"/>
    <n v="0"/>
    <n v="15000"/>
    <x v="415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50000"/>
    <n v="50000"/>
    <n v="0"/>
    <x v="19"/>
    <s v="Cali"/>
    <m/>
    <m/>
    <m/>
    <m/>
    <x v="0"/>
  </r>
  <r>
    <d v="2021-08-02T00:00:00"/>
    <x v="8"/>
    <x v="25"/>
    <x v="25"/>
    <n v="-50000"/>
    <n v="0"/>
    <n v="50000"/>
    <x v="19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20000"/>
    <n v="20000"/>
    <n v="0"/>
    <x v="17"/>
    <s v="Cali"/>
    <m/>
    <m/>
    <m/>
    <m/>
    <x v="0"/>
  </r>
  <r>
    <d v="2021-08-02T00:00:00"/>
    <x v="8"/>
    <x v="25"/>
    <x v="25"/>
    <n v="-20000"/>
    <n v="0"/>
    <n v="20000"/>
    <x v="17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30000"/>
    <n v="30000"/>
    <n v="0"/>
    <x v="147"/>
    <s v="Cali"/>
    <m/>
    <m/>
    <m/>
    <m/>
    <x v="0"/>
  </r>
  <r>
    <d v="2021-08-02T00:00:00"/>
    <x v="8"/>
    <x v="26"/>
    <x v="26"/>
    <n v="-30000"/>
    <n v="0"/>
    <n v="30000"/>
    <x v="147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15000"/>
    <n v="15000"/>
    <n v="0"/>
    <x v="364"/>
    <s v="Cali"/>
    <m/>
    <m/>
    <m/>
    <m/>
    <x v="0"/>
  </r>
  <r>
    <d v="2021-08-02T00:00:00"/>
    <x v="8"/>
    <x v="25"/>
    <x v="25"/>
    <n v="-15000"/>
    <n v="0"/>
    <n v="15000"/>
    <x v="364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40000"/>
    <n v="40000"/>
    <n v="0"/>
    <x v="168"/>
    <s v="Cali"/>
    <m/>
    <m/>
    <m/>
    <m/>
    <x v="0"/>
  </r>
  <r>
    <d v="2021-08-02T00:00:00"/>
    <x v="8"/>
    <x v="26"/>
    <x v="26"/>
    <n v="-40000"/>
    <n v="0"/>
    <n v="40000"/>
    <x v="168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40000"/>
    <n v="40000"/>
    <n v="0"/>
    <x v="145"/>
    <s v="Cali"/>
    <m/>
    <m/>
    <m/>
    <m/>
    <x v="0"/>
  </r>
  <r>
    <d v="2021-08-02T00:00:00"/>
    <x v="8"/>
    <x v="25"/>
    <x v="25"/>
    <n v="-40000"/>
    <n v="0"/>
    <n v="40000"/>
    <x v="145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15000"/>
    <n v="15000"/>
    <n v="0"/>
    <x v="148"/>
    <s v="Cali"/>
    <m/>
    <m/>
    <m/>
    <m/>
    <x v="0"/>
  </r>
  <r>
    <d v="2021-08-02T00:00:00"/>
    <x v="8"/>
    <x v="25"/>
    <x v="25"/>
    <n v="-15000"/>
    <n v="0"/>
    <n v="15000"/>
    <x v="148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30000"/>
    <n v="30000"/>
    <n v="0"/>
    <x v="514"/>
    <s v="Cali"/>
    <m/>
    <m/>
    <m/>
    <m/>
    <x v="0"/>
  </r>
  <r>
    <d v="2021-08-02T00:00:00"/>
    <x v="8"/>
    <x v="25"/>
    <x v="25"/>
    <n v="-30000"/>
    <n v="0"/>
    <n v="30000"/>
    <x v="514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20000"/>
    <n v="20000"/>
    <n v="0"/>
    <x v="308"/>
    <s v="Cali"/>
    <m/>
    <m/>
    <m/>
    <m/>
    <x v="0"/>
  </r>
  <r>
    <d v="2021-08-02T00:00:00"/>
    <x v="8"/>
    <x v="25"/>
    <x v="25"/>
    <n v="-20000"/>
    <n v="0"/>
    <n v="20000"/>
    <x v="308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160000"/>
    <n v="160000"/>
    <n v="0"/>
    <x v="22"/>
    <s v="Cali"/>
    <m/>
    <m/>
    <m/>
    <m/>
    <x v="0"/>
  </r>
  <r>
    <d v="2021-08-02T00:00:00"/>
    <x v="8"/>
    <x v="27"/>
    <x v="27"/>
    <n v="-160000"/>
    <n v="0"/>
    <n v="160000"/>
    <x v="22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40000"/>
    <n v="40000"/>
    <n v="0"/>
    <x v="10"/>
    <s v="Cali"/>
    <m/>
    <m/>
    <m/>
    <m/>
    <x v="0"/>
  </r>
  <r>
    <d v="2021-08-02T00:00:00"/>
    <x v="8"/>
    <x v="25"/>
    <x v="25"/>
    <n v="-40000"/>
    <n v="0"/>
    <n v="40000"/>
    <x v="10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60000"/>
    <n v="60000"/>
    <n v="0"/>
    <x v="515"/>
    <s v="Cali"/>
    <m/>
    <m/>
    <m/>
    <m/>
    <x v="0"/>
  </r>
  <r>
    <d v="2021-08-02T00:00:00"/>
    <x v="8"/>
    <x v="26"/>
    <x v="26"/>
    <n v="-60000"/>
    <n v="0"/>
    <n v="60000"/>
    <x v="515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45000"/>
    <n v="45000"/>
    <n v="0"/>
    <x v="161"/>
    <s v="Cali"/>
    <m/>
    <m/>
    <m/>
    <m/>
    <x v="0"/>
  </r>
  <r>
    <d v="2021-08-02T00:00:00"/>
    <x v="8"/>
    <x v="26"/>
    <x v="26"/>
    <n v="-45000"/>
    <n v="0"/>
    <n v="45000"/>
    <x v="161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1500"/>
    <n v="1500"/>
    <n v="0"/>
    <x v="177"/>
    <s v="Cali"/>
    <m/>
    <m/>
    <m/>
    <m/>
    <x v="0"/>
  </r>
  <r>
    <d v="2021-08-02T00:00:00"/>
    <x v="8"/>
    <x v="19"/>
    <x v="19"/>
    <n v="-1500"/>
    <n v="0"/>
    <n v="15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10000"/>
    <n v="10000"/>
    <n v="0"/>
    <x v="142"/>
    <s v="Cali"/>
    <m/>
    <m/>
    <m/>
    <m/>
    <x v="0"/>
  </r>
  <r>
    <d v="2021-08-02T00:00:00"/>
    <x v="8"/>
    <x v="25"/>
    <x v="25"/>
    <n v="-10000"/>
    <n v="0"/>
    <n v="10000"/>
    <x v="142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50000"/>
    <n v="50000"/>
    <n v="0"/>
    <x v="143"/>
    <s v="Cali"/>
    <m/>
    <m/>
    <m/>
    <m/>
    <x v="0"/>
  </r>
  <r>
    <d v="2021-08-02T00:00:00"/>
    <x v="8"/>
    <x v="25"/>
    <x v="25"/>
    <n v="-50000"/>
    <n v="0"/>
    <n v="50000"/>
    <x v="143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14000"/>
    <n v="14000"/>
    <n v="0"/>
    <x v="289"/>
    <s v="Cali"/>
    <m/>
    <m/>
    <m/>
    <m/>
    <x v="0"/>
  </r>
  <r>
    <d v="2021-08-02T00:00:00"/>
    <x v="8"/>
    <x v="26"/>
    <x v="26"/>
    <n v="-14000"/>
    <n v="0"/>
    <n v="14000"/>
    <x v="289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133393"/>
    <n v="133393"/>
    <n v="0"/>
    <x v="516"/>
    <s v="Cali"/>
    <m/>
    <m/>
    <m/>
    <m/>
    <x v="0"/>
  </r>
  <r>
    <d v="2021-08-02T00:00:00"/>
    <x v="8"/>
    <x v="5"/>
    <x v="5"/>
    <n v="-133393"/>
    <n v="0"/>
    <n v="133393"/>
    <x v="516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100000"/>
    <n v="100000"/>
    <n v="0"/>
    <x v="517"/>
    <s v="Cali"/>
    <m/>
    <m/>
    <m/>
    <m/>
    <x v="0"/>
  </r>
  <r>
    <d v="2021-08-02T00:00:00"/>
    <x v="8"/>
    <x v="19"/>
    <x v="19"/>
    <n v="-100000"/>
    <n v="0"/>
    <n v="100000"/>
    <x v="517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30000"/>
    <n v="30000"/>
    <n v="0"/>
    <x v="307"/>
    <s v="Cali"/>
    <m/>
    <m/>
    <m/>
    <m/>
    <x v="0"/>
  </r>
  <r>
    <d v="2021-08-02T00:00:00"/>
    <x v="8"/>
    <x v="25"/>
    <x v="25"/>
    <n v="-30000"/>
    <n v="0"/>
    <n v="30000"/>
    <x v="307"/>
    <s v="Cali"/>
    <m/>
    <m/>
    <m/>
    <m/>
    <x v="0"/>
  </r>
  <r>
    <m/>
    <x v="1"/>
    <x v="23"/>
    <x v="23"/>
    <m/>
    <m/>
    <m/>
    <x v="1"/>
    <m/>
    <m/>
    <m/>
    <m/>
    <m/>
    <x v="0"/>
  </r>
  <r>
    <d v="2021-08-02T00:00:00"/>
    <x v="8"/>
    <x v="0"/>
    <x v="0"/>
    <n v="200000"/>
    <n v="200000"/>
    <n v="0"/>
    <x v="242"/>
    <s v="Cali"/>
    <m/>
    <m/>
    <m/>
    <m/>
    <x v="0"/>
  </r>
  <r>
    <d v="2021-08-02T00:00:00"/>
    <x v="8"/>
    <x v="26"/>
    <x v="26"/>
    <n v="-200000"/>
    <n v="0"/>
    <n v="200000"/>
    <x v="242"/>
    <s v="Cali"/>
    <m/>
    <m/>
    <m/>
    <m/>
    <x v="0"/>
  </r>
  <r>
    <m/>
    <x v="1"/>
    <x v="23"/>
    <x v="23"/>
    <m/>
    <m/>
    <m/>
    <x v="1"/>
    <m/>
    <m/>
    <m/>
    <m/>
    <m/>
    <x v="0"/>
  </r>
  <r>
    <d v="2021-08-03T00:00:00"/>
    <x v="8"/>
    <x v="0"/>
    <x v="0"/>
    <n v="15000"/>
    <n v="15000"/>
    <n v="0"/>
    <x v="205"/>
    <s v="Cali"/>
    <m/>
    <m/>
    <m/>
    <m/>
    <x v="0"/>
  </r>
  <r>
    <d v="2021-08-03T00:00:00"/>
    <x v="8"/>
    <x v="27"/>
    <x v="27"/>
    <n v="-15000"/>
    <n v="0"/>
    <n v="15000"/>
    <x v="205"/>
    <s v="Cali"/>
    <m/>
    <m/>
    <m/>
    <m/>
    <x v="0"/>
  </r>
  <r>
    <m/>
    <x v="1"/>
    <x v="23"/>
    <x v="23"/>
    <m/>
    <m/>
    <m/>
    <x v="1"/>
    <m/>
    <m/>
    <m/>
    <m/>
    <m/>
    <x v="0"/>
  </r>
  <r>
    <d v="2021-08-03T00:00:00"/>
    <x v="8"/>
    <x v="0"/>
    <x v="0"/>
    <n v="60000"/>
    <n v="60000"/>
    <n v="0"/>
    <x v="160"/>
    <s v="Cali"/>
    <m/>
    <m/>
    <m/>
    <m/>
    <x v="0"/>
  </r>
  <r>
    <d v="2021-08-03T00:00:00"/>
    <x v="8"/>
    <x v="25"/>
    <x v="25"/>
    <n v="-60000"/>
    <n v="0"/>
    <n v="60000"/>
    <x v="160"/>
    <s v="Cali"/>
    <m/>
    <m/>
    <m/>
    <m/>
    <x v="0"/>
  </r>
  <r>
    <m/>
    <x v="1"/>
    <x v="23"/>
    <x v="23"/>
    <m/>
    <m/>
    <m/>
    <x v="1"/>
    <m/>
    <m/>
    <m/>
    <m/>
    <m/>
    <x v="0"/>
  </r>
  <r>
    <d v="2021-08-03T00:00:00"/>
    <x v="8"/>
    <x v="0"/>
    <x v="0"/>
    <n v="40000"/>
    <n v="40000"/>
    <n v="0"/>
    <x v="157"/>
    <s v="Cali"/>
    <m/>
    <m/>
    <m/>
    <m/>
    <x v="0"/>
  </r>
  <r>
    <d v="2021-08-03T00:00:00"/>
    <x v="8"/>
    <x v="27"/>
    <x v="27"/>
    <n v="-40000"/>
    <n v="0"/>
    <n v="40000"/>
    <x v="157"/>
    <s v="Cali"/>
    <m/>
    <m/>
    <m/>
    <m/>
    <x v="0"/>
  </r>
  <r>
    <m/>
    <x v="1"/>
    <x v="23"/>
    <x v="23"/>
    <m/>
    <m/>
    <m/>
    <x v="1"/>
    <m/>
    <m/>
    <m/>
    <m/>
    <m/>
    <x v="0"/>
  </r>
  <r>
    <d v="2021-08-03T00:00:00"/>
    <x v="8"/>
    <x v="0"/>
    <x v="0"/>
    <n v="15000"/>
    <n v="15000"/>
    <n v="0"/>
    <x v="282"/>
    <s v="Cali"/>
    <m/>
    <m/>
    <m/>
    <m/>
    <x v="0"/>
  </r>
  <r>
    <d v="2021-08-03T00:00:00"/>
    <x v="8"/>
    <x v="25"/>
    <x v="25"/>
    <n v="-15000"/>
    <n v="0"/>
    <n v="15000"/>
    <x v="282"/>
    <s v="Cali"/>
    <m/>
    <m/>
    <m/>
    <m/>
    <x v="0"/>
  </r>
  <r>
    <m/>
    <x v="1"/>
    <x v="23"/>
    <x v="23"/>
    <m/>
    <m/>
    <m/>
    <x v="1"/>
    <m/>
    <m/>
    <m/>
    <m/>
    <m/>
    <x v="0"/>
  </r>
  <r>
    <d v="2021-08-03T00:00:00"/>
    <x v="8"/>
    <x v="0"/>
    <x v="0"/>
    <n v="10000"/>
    <n v="10000"/>
    <n v="0"/>
    <x v="191"/>
    <s v="Cali"/>
    <m/>
    <m/>
    <m/>
    <m/>
    <x v="0"/>
  </r>
  <r>
    <d v="2021-08-03T00:00:00"/>
    <x v="8"/>
    <x v="27"/>
    <x v="27"/>
    <n v="-10000"/>
    <n v="0"/>
    <n v="10000"/>
    <x v="191"/>
    <s v="Cali"/>
    <m/>
    <m/>
    <m/>
    <m/>
    <x v="0"/>
  </r>
  <r>
    <m/>
    <x v="1"/>
    <x v="23"/>
    <x v="23"/>
    <m/>
    <m/>
    <m/>
    <x v="1"/>
    <m/>
    <m/>
    <m/>
    <m/>
    <m/>
    <x v="0"/>
  </r>
  <r>
    <d v="2021-08-03T00:00:00"/>
    <x v="8"/>
    <x v="0"/>
    <x v="0"/>
    <n v="50000"/>
    <n v="50000"/>
    <n v="0"/>
    <x v="163"/>
    <s v="Cali"/>
    <m/>
    <m/>
    <m/>
    <m/>
    <x v="0"/>
  </r>
  <r>
    <d v="2021-08-03T00:00:00"/>
    <x v="8"/>
    <x v="25"/>
    <x v="25"/>
    <n v="-50000"/>
    <n v="0"/>
    <n v="50000"/>
    <x v="163"/>
    <s v="Cali"/>
    <m/>
    <m/>
    <m/>
    <m/>
    <x v="0"/>
  </r>
  <r>
    <m/>
    <x v="1"/>
    <x v="23"/>
    <x v="23"/>
    <m/>
    <m/>
    <m/>
    <x v="1"/>
    <m/>
    <m/>
    <m/>
    <m/>
    <m/>
    <x v="0"/>
  </r>
  <r>
    <d v="2021-08-03T00:00:00"/>
    <x v="8"/>
    <x v="0"/>
    <x v="0"/>
    <n v="120000"/>
    <n v="120000"/>
    <n v="0"/>
    <x v="155"/>
    <s v="Cali"/>
    <m/>
    <m/>
    <m/>
    <m/>
    <x v="0"/>
  </r>
  <r>
    <d v="2021-08-03T00:00:00"/>
    <x v="8"/>
    <x v="27"/>
    <x v="27"/>
    <n v="-120000"/>
    <n v="0"/>
    <n v="120000"/>
    <x v="155"/>
    <s v="Cali"/>
    <m/>
    <m/>
    <m/>
    <m/>
    <x v="0"/>
  </r>
  <r>
    <m/>
    <x v="1"/>
    <x v="23"/>
    <x v="23"/>
    <m/>
    <m/>
    <m/>
    <x v="1"/>
    <m/>
    <m/>
    <m/>
    <m/>
    <m/>
    <x v="0"/>
  </r>
  <r>
    <d v="2021-08-03T00:00:00"/>
    <x v="8"/>
    <x v="0"/>
    <x v="0"/>
    <n v="60000"/>
    <n v="60000"/>
    <n v="0"/>
    <x v="372"/>
    <s v="Cali"/>
    <m/>
    <m/>
    <m/>
    <m/>
    <x v="0"/>
  </r>
  <r>
    <d v="2021-08-03T00:00:00"/>
    <x v="8"/>
    <x v="25"/>
    <x v="25"/>
    <n v="-60000"/>
    <n v="0"/>
    <n v="60000"/>
    <x v="372"/>
    <s v="Cali"/>
    <m/>
    <m/>
    <m/>
    <m/>
    <x v="0"/>
  </r>
  <r>
    <m/>
    <x v="1"/>
    <x v="23"/>
    <x v="23"/>
    <m/>
    <m/>
    <m/>
    <x v="1"/>
    <m/>
    <m/>
    <m/>
    <m/>
    <m/>
    <x v="0"/>
  </r>
  <r>
    <d v="2021-08-03T00:00:00"/>
    <x v="8"/>
    <x v="0"/>
    <x v="0"/>
    <n v="12000"/>
    <n v="12000"/>
    <n v="0"/>
    <x v="310"/>
    <s v="Cali"/>
    <m/>
    <m/>
    <m/>
    <m/>
    <x v="0"/>
  </r>
  <r>
    <d v="2021-08-03T00:00:00"/>
    <x v="8"/>
    <x v="25"/>
    <x v="25"/>
    <n v="-12000"/>
    <n v="0"/>
    <n v="12000"/>
    <x v="310"/>
    <s v="Cali"/>
    <m/>
    <m/>
    <m/>
    <m/>
    <x v="0"/>
  </r>
  <r>
    <m/>
    <x v="1"/>
    <x v="23"/>
    <x v="23"/>
    <m/>
    <m/>
    <m/>
    <x v="1"/>
    <m/>
    <m/>
    <m/>
    <m/>
    <m/>
    <x v="0"/>
  </r>
  <r>
    <d v="2021-08-03T00:00:00"/>
    <x v="8"/>
    <x v="0"/>
    <x v="0"/>
    <n v="30000"/>
    <n v="30000"/>
    <n v="0"/>
    <x v="164"/>
    <s v="Cali"/>
    <m/>
    <m/>
    <m/>
    <m/>
    <x v="0"/>
  </r>
  <r>
    <d v="2021-08-03T00:00:00"/>
    <x v="8"/>
    <x v="26"/>
    <x v="26"/>
    <n v="-30000"/>
    <n v="0"/>
    <n v="30000"/>
    <x v="164"/>
    <s v="Cali"/>
    <m/>
    <m/>
    <m/>
    <m/>
    <x v="0"/>
  </r>
  <r>
    <m/>
    <x v="1"/>
    <x v="23"/>
    <x v="23"/>
    <m/>
    <m/>
    <m/>
    <x v="1"/>
    <m/>
    <m/>
    <m/>
    <m/>
    <m/>
    <x v="0"/>
  </r>
  <r>
    <d v="2021-08-03T00:00:00"/>
    <x v="8"/>
    <x v="0"/>
    <x v="0"/>
    <n v="59286"/>
    <n v="59286"/>
    <n v="0"/>
    <x v="516"/>
    <s v="Cali"/>
    <m/>
    <m/>
    <m/>
    <m/>
    <x v="0"/>
  </r>
  <r>
    <d v="2021-08-03T00:00:00"/>
    <x v="8"/>
    <x v="5"/>
    <x v="5"/>
    <n v="-59286"/>
    <n v="0"/>
    <n v="59286"/>
    <x v="516"/>
    <s v="Cali"/>
    <m/>
    <m/>
    <m/>
    <m/>
    <x v="0"/>
  </r>
  <r>
    <m/>
    <x v="1"/>
    <x v="23"/>
    <x v="23"/>
    <m/>
    <m/>
    <m/>
    <x v="1"/>
    <m/>
    <m/>
    <m/>
    <m/>
    <m/>
    <x v="0"/>
  </r>
  <r>
    <d v="2021-08-03T00:00:00"/>
    <x v="8"/>
    <x v="0"/>
    <x v="0"/>
    <n v="30000"/>
    <n v="30000"/>
    <n v="0"/>
    <x v="179"/>
    <s v="Cali"/>
    <m/>
    <m/>
    <m/>
    <m/>
    <x v="0"/>
  </r>
  <r>
    <d v="2021-08-03T00:00:00"/>
    <x v="8"/>
    <x v="25"/>
    <x v="25"/>
    <n v="-30000"/>
    <n v="0"/>
    <n v="30000"/>
    <x v="179"/>
    <s v="Cali"/>
    <m/>
    <m/>
    <m/>
    <m/>
    <x v="0"/>
  </r>
  <r>
    <m/>
    <x v="1"/>
    <x v="23"/>
    <x v="23"/>
    <m/>
    <m/>
    <m/>
    <x v="1"/>
    <m/>
    <m/>
    <m/>
    <m/>
    <m/>
    <x v="0"/>
  </r>
  <r>
    <d v="2021-08-03T00:00:00"/>
    <x v="8"/>
    <x v="0"/>
    <x v="0"/>
    <n v="3000000"/>
    <n v="3000000"/>
    <n v="0"/>
    <x v="306"/>
    <s v="Cali"/>
    <m/>
    <m/>
    <m/>
    <m/>
    <x v="0"/>
  </r>
  <r>
    <d v="2021-08-03T00:00:00"/>
    <x v="8"/>
    <x v="26"/>
    <x v="26"/>
    <n v="-3000000"/>
    <n v="0"/>
    <n v="3000000"/>
    <x v="306"/>
    <s v="Cali"/>
    <m/>
    <m/>
    <m/>
    <m/>
    <x v="0"/>
  </r>
  <r>
    <m/>
    <x v="1"/>
    <x v="23"/>
    <x v="23"/>
    <m/>
    <m/>
    <m/>
    <x v="1"/>
    <m/>
    <m/>
    <m/>
    <m/>
    <m/>
    <x v="0"/>
  </r>
  <r>
    <d v="2021-08-04T00:00:00"/>
    <x v="8"/>
    <x v="0"/>
    <x v="0"/>
    <n v="100000"/>
    <n v="100000"/>
    <n v="0"/>
    <x v="374"/>
    <s v="Cali"/>
    <m/>
    <m/>
    <m/>
    <m/>
    <x v="0"/>
  </r>
  <r>
    <d v="2021-08-04T00:00:00"/>
    <x v="8"/>
    <x v="26"/>
    <x v="26"/>
    <n v="-100000"/>
    <n v="0"/>
    <n v="100000"/>
    <x v="374"/>
    <s v="Cali"/>
    <m/>
    <m/>
    <m/>
    <m/>
    <x v="0"/>
  </r>
  <r>
    <m/>
    <x v="1"/>
    <x v="23"/>
    <x v="23"/>
    <m/>
    <m/>
    <m/>
    <x v="1"/>
    <m/>
    <m/>
    <m/>
    <m/>
    <m/>
    <x v="0"/>
  </r>
  <r>
    <d v="2021-08-04T00:00:00"/>
    <x v="8"/>
    <x v="0"/>
    <x v="0"/>
    <n v="20000"/>
    <n v="20000"/>
    <n v="0"/>
    <x v="151"/>
    <s v="Cali"/>
    <m/>
    <m/>
    <m/>
    <m/>
    <x v="0"/>
  </r>
  <r>
    <d v="2021-08-04T00:00:00"/>
    <x v="8"/>
    <x v="25"/>
    <x v="25"/>
    <n v="-20000"/>
    <n v="0"/>
    <n v="20000"/>
    <x v="151"/>
    <s v="Cali"/>
    <m/>
    <m/>
    <m/>
    <m/>
    <x v="0"/>
  </r>
  <r>
    <m/>
    <x v="1"/>
    <x v="23"/>
    <x v="23"/>
    <m/>
    <m/>
    <m/>
    <x v="1"/>
    <m/>
    <m/>
    <m/>
    <m/>
    <m/>
    <x v="0"/>
  </r>
  <r>
    <d v="2021-08-04T00:00:00"/>
    <x v="8"/>
    <x v="0"/>
    <x v="0"/>
    <n v="40000"/>
    <n v="40000"/>
    <n v="0"/>
    <x v="178"/>
    <s v="Cali"/>
    <m/>
    <m/>
    <m/>
    <m/>
    <x v="0"/>
  </r>
  <r>
    <d v="2021-08-04T00:00:00"/>
    <x v="8"/>
    <x v="25"/>
    <x v="25"/>
    <n v="-40000"/>
    <n v="0"/>
    <n v="40000"/>
    <x v="178"/>
    <s v="Cali"/>
    <m/>
    <m/>
    <m/>
    <m/>
    <x v="0"/>
  </r>
  <r>
    <m/>
    <x v="1"/>
    <x v="23"/>
    <x v="23"/>
    <m/>
    <m/>
    <m/>
    <x v="1"/>
    <m/>
    <m/>
    <m/>
    <m/>
    <m/>
    <x v="0"/>
  </r>
  <r>
    <d v="2021-08-04T00:00:00"/>
    <x v="8"/>
    <x v="0"/>
    <x v="0"/>
    <n v="70000"/>
    <n v="70000"/>
    <n v="0"/>
    <x v="37"/>
    <s v="Cali"/>
    <m/>
    <m/>
    <m/>
    <m/>
    <x v="0"/>
  </r>
  <r>
    <d v="2021-08-04T00:00:00"/>
    <x v="8"/>
    <x v="25"/>
    <x v="25"/>
    <n v="-70000"/>
    <n v="0"/>
    <n v="70000"/>
    <x v="37"/>
    <s v="Cali"/>
    <m/>
    <m/>
    <m/>
    <m/>
    <x v="0"/>
  </r>
  <r>
    <m/>
    <x v="1"/>
    <x v="23"/>
    <x v="23"/>
    <m/>
    <m/>
    <m/>
    <x v="1"/>
    <m/>
    <m/>
    <m/>
    <m/>
    <m/>
    <x v="0"/>
  </r>
  <r>
    <d v="2021-08-04T00:00:00"/>
    <x v="8"/>
    <x v="0"/>
    <x v="0"/>
    <n v="250000"/>
    <n v="250000"/>
    <n v="0"/>
    <x v="518"/>
    <s v="Cali"/>
    <m/>
    <m/>
    <m/>
    <m/>
    <x v="0"/>
  </r>
  <r>
    <d v="2021-08-04T00:00:00"/>
    <x v="8"/>
    <x v="26"/>
    <x v="26"/>
    <n v="-250000"/>
    <n v="0"/>
    <n v="250000"/>
    <x v="518"/>
    <s v="Cali"/>
    <m/>
    <m/>
    <m/>
    <m/>
    <x v="0"/>
  </r>
  <r>
    <m/>
    <x v="1"/>
    <x v="23"/>
    <x v="23"/>
    <m/>
    <m/>
    <m/>
    <x v="1"/>
    <m/>
    <m/>
    <m/>
    <m/>
    <m/>
    <x v="0"/>
  </r>
  <r>
    <d v="2021-08-04T00:00:00"/>
    <x v="8"/>
    <x v="0"/>
    <x v="0"/>
    <n v="150000"/>
    <n v="150000"/>
    <n v="0"/>
    <x v="169"/>
    <s v="Cali"/>
    <m/>
    <m/>
    <m/>
    <m/>
    <x v="0"/>
  </r>
  <r>
    <d v="2021-08-04T00:00:00"/>
    <x v="8"/>
    <x v="25"/>
    <x v="25"/>
    <n v="-150000"/>
    <n v="0"/>
    <n v="150000"/>
    <x v="169"/>
    <s v="Cali"/>
    <m/>
    <m/>
    <m/>
    <m/>
    <x v="0"/>
  </r>
  <r>
    <m/>
    <x v="1"/>
    <x v="23"/>
    <x v="23"/>
    <m/>
    <m/>
    <m/>
    <x v="1"/>
    <m/>
    <m/>
    <m/>
    <m/>
    <m/>
    <x v="0"/>
  </r>
  <r>
    <d v="2021-08-04T00:00:00"/>
    <x v="8"/>
    <x v="0"/>
    <x v="0"/>
    <n v="150000"/>
    <n v="150000"/>
    <n v="0"/>
    <x v="251"/>
    <s v="Cali"/>
    <m/>
    <m/>
    <m/>
    <m/>
    <x v="0"/>
  </r>
  <r>
    <d v="2021-08-04T00:00:00"/>
    <x v="8"/>
    <x v="27"/>
    <x v="27"/>
    <n v="-150000"/>
    <n v="0"/>
    <n v="150000"/>
    <x v="251"/>
    <s v="Cali"/>
    <m/>
    <m/>
    <m/>
    <m/>
    <x v="0"/>
  </r>
  <r>
    <m/>
    <x v="1"/>
    <x v="23"/>
    <x v="23"/>
    <m/>
    <m/>
    <m/>
    <x v="1"/>
    <m/>
    <m/>
    <m/>
    <m/>
    <m/>
    <x v="0"/>
  </r>
  <r>
    <d v="2021-08-04T00:00:00"/>
    <x v="8"/>
    <x v="0"/>
    <x v="0"/>
    <n v="15000"/>
    <n v="15000"/>
    <n v="0"/>
    <x v="216"/>
    <s v="Cali"/>
    <m/>
    <m/>
    <m/>
    <m/>
    <x v="0"/>
  </r>
  <r>
    <d v="2021-08-04T00:00:00"/>
    <x v="8"/>
    <x v="29"/>
    <x v="29"/>
    <n v="-15000"/>
    <n v="0"/>
    <n v="15000"/>
    <x v="216"/>
    <s v="Cali"/>
    <m/>
    <m/>
    <m/>
    <m/>
    <x v="0"/>
  </r>
  <r>
    <m/>
    <x v="1"/>
    <x v="23"/>
    <x v="23"/>
    <m/>
    <m/>
    <m/>
    <x v="1"/>
    <m/>
    <m/>
    <m/>
    <m/>
    <m/>
    <x v="0"/>
  </r>
  <r>
    <d v="2021-08-04T00:00:00"/>
    <x v="8"/>
    <x v="0"/>
    <x v="0"/>
    <n v="20000"/>
    <n v="20000"/>
    <n v="0"/>
    <x v="166"/>
    <s v="Cali"/>
    <m/>
    <m/>
    <m/>
    <m/>
    <x v="0"/>
  </r>
  <r>
    <d v="2021-08-04T00:00:00"/>
    <x v="8"/>
    <x v="25"/>
    <x v="25"/>
    <n v="-20000"/>
    <n v="0"/>
    <n v="20000"/>
    <x v="166"/>
    <s v="Cali"/>
    <m/>
    <m/>
    <m/>
    <m/>
    <x v="0"/>
  </r>
  <r>
    <m/>
    <x v="1"/>
    <x v="23"/>
    <x v="23"/>
    <m/>
    <m/>
    <m/>
    <x v="1"/>
    <m/>
    <m/>
    <m/>
    <m/>
    <m/>
    <x v="0"/>
  </r>
  <r>
    <d v="2021-08-05T00:00:00"/>
    <x v="8"/>
    <x v="28"/>
    <x v="28"/>
    <n v="352935"/>
    <n v="352935"/>
    <n v="0"/>
    <x v="519"/>
    <s v="Cali"/>
    <m/>
    <m/>
    <m/>
    <m/>
    <x v="0"/>
  </r>
  <r>
    <d v="2021-08-05T00:00:00"/>
    <x v="8"/>
    <x v="0"/>
    <x v="0"/>
    <n v="-352935"/>
    <n v="0"/>
    <n v="352935"/>
    <x v="519"/>
    <s v="Cali"/>
    <m/>
    <m/>
    <m/>
    <m/>
    <x v="0"/>
  </r>
  <r>
    <m/>
    <x v="1"/>
    <x v="23"/>
    <x v="23"/>
    <m/>
    <m/>
    <m/>
    <x v="1"/>
    <m/>
    <m/>
    <m/>
    <m/>
    <m/>
    <x v="0"/>
  </r>
  <r>
    <d v="2021-08-05T00:00:00"/>
    <x v="8"/>
    <x v="0"/>
    <x v="0"/>
    <n v="20000"/>
    <n v="20000"/>
    <n v="0"/>
    <x v="165"/>
    <s v="Cali"/>
    <m/>
    <m/>
    <m/>
    <m/>
    <x v="0"/>
  </r>
  <r>
    <d v="2021-08-05T00:00:00"/>
    <x v="8"/>
    <x v="25"/>
    <x v="25"/>
    <n v="-20000"/>
    <n v="0"/>
    <n v="20000"/>
    <x v="165"/>
    <s v="Cali"/>
    <m/>
    <m/>
    <m/>
    <m/>
    <x v="0"/>
  </r>
  <r>
    <m/>
    <x v="1"/>
    <x v="23"/>
    <x v="23"/>
    <m/>
    <m/>
    <m/>
    <x v="1"/>
    <m/>
    <m/>
    <m/>
    <m/>
    <m/>
    <x v="0"/>
  </r>
  <r>
    <d v="2021-08-05T00:00:00"/>
    <x v="8"/>
    <x v="0"/>
    <x v="0"/>
    <n v="75000"/>
    <n v="75000"/>
    <n v="0"/>
    <x v="316"/>
    <s v="Cali"/>
    <m/>
    <m/>
    <m/>
    <m/>
    <x v="0"/>
  </r>
  <r>
    <d v="2021-08-05T00:00:00"/>
    <x v="8"/>
    <x v="25"/>
    <x v="25"/>
    <n v="-75000"/>
    <n v="0"/>
    <n v="75000"/>
    <x v="316"/>
    <s v="Cali"/>
    <m/>
    <m/>
    <m/>
    <m/>
    <x v="0"/>
  </r>
  <r>
    <m/>
    <x v="1"/>
    <x v="23"/>
    <x v="23"/>
    <m/>
    <m/>
    <m/>
    <x v="1"/>
    <m/>
    <m/>
    <m/>
    <m/>
    <m/>
    <x v="0"/>
  </r>
  <r>
    <d v="2021-08-05T00:00:00"/>
    <x v="8"/>
    <x v="0"/>
    <x v="0"/>
    <n v="100000"/>
    <n v="100000"/>
    <n v="0"/>
    <x v="363"/>
    <s v="Cali"/>
    <m/>
    <m/>
    <m/>
    <m/>
    <x v="0"/>
  </r>
  <r>
    <d v="2021-08-05T00:00:00"/>
    <x v="8"/>
    <x v="25"/>
    <x v="25"/>
    <n v="-100000"/>
    <n v="0"/>
    <n v="100000"/>
    <x v="363"/>
    <s v="Cali"/>
    <m/>
    <m/>
    <m/>
    <m/>
    <x v="0"/>
  </r>
  <r>
    <m/>
    <x v="1"/>
    <x v="23"/>
    <x v="23"/>
    <m/>
    <m/>
    <m/>
    <x v="1"/>
    <m/>
    <m/>
    <m/>
    <m/>
    <m/>
    <x v="0"/>
  </r>
  <r>
    <d v="2021-08-05T00:00:00"/>
    <x v="8"/>
    <x v="0"/>
    <x v="0"/>
    <n v="19612"/>
    <n v="19612"/>
    <n v="0"/>
    <x v="479"/>
    <s v="Cali"/>
    <m/>
    <m/>
    <m/>
    <m/>
    <x v="0"/>
  </r>
  <r>
    <d v="2021-08-05T00:00:00"/>
    <x v="8"/>
    <x v="31"/>
    <x v="31"/>
    <n v="388"/>
    <n v="388"/>
    <n v="0"/>
    <x v="30"/>
    <s v="Cali"/>
    <m/>
    <m/>
    <m/>
    <m/>
    <x v="0"/>
  </r>
  <r>
    <d v="2021-08-05T00:00:00"/>
    <x v="8"/>
    <x v="25"/>
    <x v="25"/>
    <n v="-20000"/>
    <n v="0"/>
    <n v="20000"/>
    <x v="479"/>
    <s v="Cali"/>
    <m/>
    <m/>
    <m/>
    <m/>
    <x v="0"/>
  </r>
  <r>
    <m/>
    <x v="1"/>
    <x v="23"/>
    <x v="23"/>
    <m/>
    <m/>
    <m/>
    <x v="1"/>
    <m/>
    <m/>
    <m/>
    <m/>
    <m/>
    <x v="0"/>
  </r>
  <r>
    <d v="2021-08-05T00:00:00"/>
    <x v="8"/>
    <x v="0"/>
    <x v="0"/>
    <n v="20000"/>
    <n v="20000"/>
    <n v="0"/>
    <x v="520"/>
    <s v="Cali"/>
    <m/>
    <m/>
    <m/>
    <m/>
    <x v="0"/>
  </r>
  <r>
    <d v="2021-08-05T00:00:00"/>
    <x v="8"/>
    <x v="25"/>
    <x v="25"/>
    <n v="-20000"/>
    <n v="0"/>
    <n v="20000"/>
    <x v="520"/>
    <s v="Cali"/>
    <m/>
    <m/>
    <m/>
    <m/>
    <x v="0"/>
  </r>
  <r>
    <m/>
    <x v="1"/>
    <x v="23"/>
    <x v="23"/>
    <m/>
    <m/>
    <m/>
    <x v="1"/>
    <m/>
    <m/>
    <m/>
    <m/>
    <m/>
    <x v="0"/>
  </r>
  <r>
    <d v="2021-08-05T00:00:00"/>
    <x v="8"/>
    <x v="0"/>
    <x v="0"/>
    <n v="10000"/>
    <n v="10000"/>
    <n v="0"/>
    <x v="521"/>
    <s v="Cali"/>
    <m/>
    <m/>
    <m/>
    <m/>
    <x v="0"/>
  </r>
  <r>
    <d v="2021-08-05T00:00:00"/>
    <x v="8"/>
    <x v="25"/>
    <x v="25"/>
    <n v="-10000"/>
    <n v="0"/>
    <n v="10000"/>
    <x v="521"/>
    <s v="Cali"/>
    <m/>
    <m/>
    <m/>
    <m/>
    <x v="0"/>
  </r>
  <r>
    <m/>
    <x v="1"/>
    <x v="23"/>
    <x v="23"/>
    <m/>
    <m/>
    <m/>
    <x v="1"/>
    <m/>
    <m/>
    <m/>
    <m/>
    <m/>
    <x v="0"/>
  </r>
  <r>
    <d v="2021-08-05T00:00:00"/>
    <x v="8"/>
    <x v="0"/>
    <x v="0"/>
    <n v="20000"/>
    <n v="20000"/>
    <n v="0"/>
    <x v="522"/>
    <s v="Cali"/>
    <m/>
    <m/>
    <m/>
    <m/>
    <x v="0"/>
  </r>
  <r>
    <d v="2021-08-05T00:00:00"/>
    <x v="8"/>
    <x v="25"/>
    <x v="25"/>
    <n v="-20000"/>
    <n v="0"/>
    <n v="20000"/>
    <x v="522"/>
    <s v="Cali"/>
    <m/>
    <m/>
    <m/>
    <m/>
    <x v="0"/>
  </r>
  <r>
    <m/>
    <x v="1"/>
    <x v="23"/>
    <x v="23"/>
    <m/>
    <m/>
    <m/>
    <x v="1"/>
    <m/>
    <m/>
    <m/>
    <m/>
    <m/>
    <x v="0"/>
  </r>
  <r>
    <d v="2021-08-06T00:00:00"/>
    <x v="8"/>
    <x v="0"/>
    <x v="0"/>
    <n v="60000"/>
    <n v="60000"/>
    <n v="0"/>
    <x v="202"/>
    <s v="Cali"/>
    <m/>
    <m/>
    <m/>
    <m/>
    <x v="0"/>
  </r>
  <r>
    <d v="2021-08-06T00:00:00"/>
    <x v="8"/>
    <x v="27"/>
    <x v="27"/>
    <n v="-60000"/>
    <n v="0"/>
    <n v="60000"/>
    <x v="202"/>
    <s v="Cali"/>
    <m/>
    <m/>
    <m/>
    <m/>
    <x v="0"/>
  </r>
  <r>
    <m/>
    <x v="1"/>
    <x v="23"/>
    <x v="23"/>
    <m/>
    <m/>
    <m/>
    <x v="1"/>
    <m/>
    <m/>
    <m/>
    <m/>
    <m/>
    <x v="0"/>
  </r>
  <r>
    <d v="2021-08-06T00:00:00"/>
    <x v="8"/>
    <x v="0"/>
    <x v="0"/>
    <n v="40000"/>
    <n v="40000"/>
    <n v="0"/>
    <x v="176"/>
    <s v="Cali"/>
    <m/>
    <m/>
    <m/>
    <m/>
    <x v="0"/>
  </r>
  <r>
    <d v="2021-08-06T00:00:00"/>
    <x v="8"/>
    <x v="25"/>
    <x v="25"/>
    <n v="-40000"/>
    <n v="0"/>
    <n v="40000"/>
    <x v="176"/>
    <s v="Cali"/>
    <m/>
    <m/>
    <m/>
    <m/>
    <x v="0"/>
  </r>
  <r>
    <m/>
    <x v="1"/>
    <x v="23"/>
    <x v="23"/>
    <m/>
    <m/>
    <m/>
    <x v="1"/>
    <m/>
    <m/>
    <m/>
    <m/>
    <m/>
    <x v="0"/>
  </r>
  <r>
    <d v="2021-08-06T00:00:00"/>
    <x v="8"/>
    <x v="0"/>
    <x v="0"/>
    <n v="25000"/>
    <n v="25000"/>
    <n v="0"/>
    <x v="38"/>
    <s v="Cali"/>
    <m/>
    <m/>
    <m/>
    <m/>
    <x v="0"/>
  </r>
  <r>
    <d v="2021-08-06T00:00:00"/>
    <x v="8"/>
    <x v="25"/>
    <x v="25"/>
    <n v="-25000"/>
    <n v="0"/>
    <n v="25000"/>
    <x v="38"/>
    <s v="Cali"/>
    <m/>
    <m/>
    <m/>
    <m/>
    <x v="0"/>
  </r>
  <r>
    <m/>
    <x v="1"/>
    <x v="23"/>
    <x v="23"/>
    <m/>
    <m/>
    <m/>
    <x v="1"/>
    <m/>
    <m/>
    <m/>
    <m/>
    <m/>
    <x v="0"/>
  </r>
  <r>
    <d v="2021-08-06T00:00:00"/>
    <x v="8"/>
    <x v="31"/>
    <x v="31"/>
    <n v="1771"/>
    <n v="1771"/>
    <n v="0"/>
    <x v="172"/>
    <s v="Cali"/>
    <m/>
    <m/>
    <m/>
    <m/>
    <x v="0"/>
  </r>
  <r>
    <d v="2021-08-06T00:00:00"/>
    <x v="8"/>
    <x v="0"/>
    <x v="0"/>
    <n v="-1771"/>
    <n v="0"/>
    <n v="1771"/>
    <x v="172"/>
    <s v="Cali"/>
    <m/>
    <m/>
    <m/>
    <m/>
    <x v="0"/>
  </r>
  <r>
    <m/>
    <x v="1"/>
    <x v="23"/>
    <x v="23"/>
    <m/>
    <m/>
    <m/>
    <x v="1"/>
    <m/>
    <m/>
    <m/>
    <m/>
    <m/>
    <x v="0"/>
  </r>
  <r>
    <d v="2021-08-09T00:00:00"/>
    <x v="8"/>
    <x v="0"/>
    <x v="0"/>
    <n v="36000"/>
    <n v="36000"/>
    <n v="0"/>
    <x v="523"/>
    <s v="Cali"/>
    <m/>
    <m/>
    <m/>
    <m/>
    <x v="0"/>
  </r>
  <r>
    <d v="2021-08-09T00:00:00"/>
    <x v="8"/>
    <x v="27"/>
    <x v="27"/>
    <n v="-36000"/>
    <n v="0"/>
    <n v="36000"/>
    <x v="523"/>
    <s v="Cali"/>
    <m/>
    <m/>
    <m/>
    <m/>
    <x v="0"/>
  </r>
  <r>
    <m/>
    <x v="1"/>
    <x v="23"/>
    <x v="23"/>
    <m/>
    <m/>
    <m/>
    <x v="1"/>
    <m/>
    <m/>
    <m/>
    <m/>
    <m/>
    <x v="0"/>
  </r>
  <r>
    <d v="2021-08-09T00:00:00"/>
    <x v="8"/>
    <x v="0"/>
    <x v="0"/>
    <n v="15000"/>
    <n v="15000"/>
    <n v="0"/>
    <x v="150"/>
    <s v="Cali"/>
    <m/>
    <m/>
    <m/>
    <m/>
    <x v="0"/>
  </r>
  <r>
    <d v="2021-08-09T00:00:00"/>
    <x v="8"/>
    <x v="19"/>
    <x v="19"/>
    <n v="-15000"/>
    <n v="0"/>
    <n v="15000"/>
    <x v="150"/>
    <s v="Cali"/>
    <m/>
    <m/>
    <m/>
    <m/>
    <x v="0"/>
  </r>
  <r>
    <m/>
    <x v="1"/>
    <x v="23"/>
    <x v="23"/>
    <m/>
    <m/>
    <m/>
    <x v="1"/>
    <m/>
    <m/>
    <m/>
    <m/>
    <m/>
    <x v="0"/>
  </r>
  <r>
    <d v="2021-08-09T00:00:00"/>
    <x v="8"/>
    <x v="0"/>
    <x v="0"/>
    <n v="100000"/>
    <n v="100000"/>
    <n v="0"/>
    <x v="192"/>
    <s v="Cali"/>
    <m/>
    <m/>
    <m/>
    <m/>
    <x v="0"/>
  </r>
  <r>
    <d v="2021-08-09T00:00:00"/>
    <x v="8"/>
    <x v="26"/>
    <x v="26"/>
    <n v="-100000"/>
    <n v="0"/>
    <n v="10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08-09T00:00:00"/>
    <x v="8"/>
    <x v="0"/>
    <x v="0"/>
    <n v="30000"/>
    <n v="30000"/>
    <n v="0"/>
    <x v="425"/>
    <s v="Cali"/>
    <m/>
    <m/>
    <m/>
    <m/>
    <x v="0"/>
  </r>
  <r>
    <d v="2021-08-09T00:00:00"/>
    <x v="8"/>
    <x v="25"/>
    <x v="25"/>
    <n v="-30000"/>
    <n v="0"/>
    <n v="30000"/>
    <x v="425"/>
    <s v="Cali"/>
    <m/>
    <m/>
    <m/>
    <m/>
    <x v="0"/>
  </r>
  <r>
    <m/>
    <x v="1"/>
    <x v="23"/>
    <x v="23"/>
    <m/>
    <m/>
    <m/>
    <x v="1"/>
    <m/>
    <m/>
    <m/>
    <m/>
    <m/>
    <x v="0"/>
  </r>
  <r>
    <d v="2021-08-09T00:00:00"/>
    <x v="8"/>
    <x v="0"/>
    <x v="0"/>
    <n v="2000"/>
    <n v="2000"/>
    <n v="0"/>
    <x v="177"/>
    <s v="Cali"/>
    <m/>
    <m/>
    <m/>
    <m/>
    <x v="0"/>
  </r>
  <r>
    <d v="2021-08-09T00:00:00"/>
    <x v="8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8-09T00:00:00"/>
    <x v="8"/>
    <x v="0"/>
    <x v="0"/>
    <n v="14000"/>
    <n v="14000"/>
    <n v="0"/>
    <x v="66"/>
    <s v="Cali"/>
    <m/>
    <m/>
    <m/>
    <m/>
    <x v="0"/>
  </r>
  <r>
    <d v="2021-08-09T00:00:00"/>
    <x v="8"/>
    <x v="27"/>
    <x v="27"/>
    <n v="-14000"/>
    <n v="0"/>
    <n v="14000"/>
    <x v="66"/>
    <s v="Cali"/>
    <m/>
    <m/>
    <m/>
    <m/>
    <x v="0"/>
  </r>
  <r>
    <m/>
    <x v="1"/>
    <x v="23"/>
    <x v="23"/>
    <m/>
    <m/>
    <m/>
    <x v="1"/>
    <m/>
    <m/>
    <m/>
    <m/>
    <m/>
    <x v="0"/>
  </r>
  <r>
    <d v="2021-08-09T00:00:00"/>
    <x v="8"/>
    <x v="0"/>
    <x v="0"/>
    <n v="25000"/>
    <n v="25000"/>
    <n v="0"/>
    <x v="149"/>
    <s v="Cali"/>
    <m/>
    <m/>
    <m/>
    <m/>
    <x v="0"/>
  </r>
  <r>
    <d v="2021-08-09T00:00:00"/>
    <x v="8"/>
    <x v="27"/>
    <x v="27"/>
    <n v="-25000"/>
    <n v="0"/>
    <n v="25000"/>
    <x v="149"/>
    <s v="Cali"/>
    <m/>
    <m/>
    <m/>
    <m/>
    <x v="0"/>
  </r>
  <r>
    <m/>
    <x v="1"/>
    <x v="23"/>
    <x v="23"/>
    <m/>
    <m/>
    <m/>
    <x v="1"/>
    <m/>
    <m/>
    <m/>
    <m/>
    <m/>
    <x v="0"/>
  </r>
  <r>
    <d v="2021-08-09T00:00:00"/>
    <x v="8"/>
    <x v="0"/>
    <x v="0"/>
    <n v="15000"/>
    <n v="15000"/>
    <n v="0"/>
    <x v="420"/>
    <s v="Cali"/>
    <m/>
    <m/>
    <m/>
    <m/>
    <x v="0"/>
  </r>
  <r>
    <d v="2021-08-09T00:00:00"/>
    <x v="8"/>
    <x v="26"/>
    <x v="26"/>
    <n v="-15000"/>
    <n v="0"/>
    <n v="15000"/>
    <x v="420"/>
    <s v="Cali"/>
    <m/>
    <m/>
    <m/>
    <m/>
    <x v="0"/>
  </r>
  <r>
    <m/>
    <x v="1"/>
    <x v="23"/>
    <x v="23"/>
    <m/>
    <m/>
    <m/>
    <x v="1"/>
    <m/>
    <m/>
    <m/>
    <m/>
    <m/>
    <x v="0"/>
  </r>
  <r>
    <d v="2021-08-09T00:00:00"/>
    <x v="8"/>
    <x v="0"/>
    <x v="0"/>
    <n v="20000"/>
    <n v="20000"/>
    <n v="0"/>
    <x v="199"/>
    <s v="Cali"/>
    <m/>
    <m/>
    <m/>
    <m/>
    <x v="0"/>
  </r>
  <r>
    <d v="2021-08-09T00:00:00"/>
    <x v="8"/>
    <x v="27"/>
    <x v="27"/>
    <n v="-20000"/>
    <n v="0"/>
    <n v="20000"/>
    <x v="199"/>
    <s v="Cali"/>
    <m/>
    <m/>
    <m/>
    <m/>
    <x v="0"/>
  </r>
  <r>
    <m/>
    <x v="1"/>
    <x v="23"/>
    <x v="23"/>
    <m/>
    <m/>
    <m/>
    <x v="1"/>
    <m/>
    <m/>
    <m/>
    <m/>
    <m/>
    <x v="0"/>
  </r>
  <r>
    <d v="2021-08-10T00:00:00"/>
    <x v="8"/>
    <x v="0"/>
    <x v="0"/>
    <n v="30000"/>
    <n v="30000"/>
    <n v="0"/>
    <x v="185"/>
    <s v="Cali"/>
    <m/>
    <m/>
    <m/>
    <m/>
    <x v="0"/>
  </r>
  <r>
    <d v="2021-08-10T00:00:00"/>
    <x v="8"/>
    <x v="25"/>
    <x v="25"/>
    <n v="-30000"/>
    <n v="0"/>
    <n v="30000"/>
    <x v="185"/>
    <s v="Cali"/>
    <m/>
    <m/>
    <m/>
    <m/>
    <x v="0"/>
  </r>
  <r>
    <m/>
    <x v="1"/>
    <x v="23"/>
    <x v="23"/>
    <m/>
    <m/>
    <m/>
    <x v="1"/>
    <m/>
    <m/>
    <m/>
    <m/>
    <m/>
    <x v="0"/>
  </r>
  <r>
    <d v="2021-08-10T00:00:00"/>
    <x v="8"/>
    <x v="0"/>
    <x v="0"/>
    <n v="17000"/>
    <n v="17000"/>
    <n v="0"/>
    <x v="186"/>
    <s v="Cali"/>
    <m/>
    <m/>
    <m/>
    <m/>
    <x v="0"/>
  </r>
  <r>
    <d v="2021-08-10T00:00:00"/>
    <x v="8"/>
    <x v="25"/>
    <x v="25"/>
    <n v="-17000"/>
    <n v="0"/>
    <n v="17000"/>
    <x v="186"/>
    <s v="Cali"/>
    <m/>
    <m/>
    <m/>
    <m/>
    <x v="0"/>
  </r>
  <r>
    <m/>
    <x v="1"/>
    <x v="23"/>
    <x v="23"/>
    <m/>
    <m/>
    <m/>
    <x v="1"/>
    <m/>
    <m/>
    <m/>
    <m/>
    <m/>
    <x v="0"/>
  </r>
  <r>
    <d v="2021-08-10T00:00:00"/>
    <x v="8"/>
    <x v="0"/>
    <x v="0"/>
    <n v="30000"/>
    <n v="30000"/>
    <n v="0"/>
    <x v="170"/>
    <s v="Cali"/>
    <m/>
    <m/>
    <m/>
    <m/>
    <x v="0"/>
  </r>
  <r>
    <d v="2021-08-10T00:00:00"/>
    <x v="8"/>
    <x v="26"/>
    <x v="26"/>
    <n v="-30000"/>
    <n v="0"/>
    <n v="30000"/>
    <x v="170"/>
    <s v="Cali"/>
    <m/>
    <m/>
    <m/>
    <m/>
    <x v="0"/>
  </r>
  <r>
    <m/>
    <x v="1"/>
    <x v="23"/>
    <x v="23"/>
    <m/>
    <m/>
    <m/>
    <x v="1"/>
    <m/>
    <m/>
    <m/>
    <m/>
    <m/>
    <x v="0"/>
  </r>
  <r>
    <d v="2021-08-11T00:00:00"/>
    <x v="8"/>
    <x v="0"/>
    <x v="0"/>
    <n v="30000"/>
    <n v="30000"/>
    <n v="0"/>
    <x v="524"/>
    <s v="Cali"/>
    <m/>
    <m/>
    <m/>
    <m/>
    <x v="0"/>
  </r>
  <r>
    <d v="2021-08-11T00:00:00"/>
    <x v="8"/>
    <x v="19"/>
    <x v="19"/>
    <n v="-30000"/>
    <n v="0"/>
    <n v="30000"/>
    <x v="524"/>
    <s v="Cali"/>
    <m/>
    <m/>
    <m/>
    <m/>
    <x v="0"/>
  </r>
  <r>
    <m/>
    <x v="1"/>
    <x v="23"/>
    <x v="23"/>
    <m/>
    <m/>
    <m/>
    <x v="1"/>
    <m/>
    <m/>
    <m/>
    <m/>
    <m/>
    <x v="0"/>
  </r>
  <r>
    <d v="2021-08-11T00:00:00"/>
    <x v="8"/>
    <x v="0"/>
    <x v="0"/>
    <n v="30000"/>
    <n v="30000"/>
    <n v="0"/>
    <x v="188"/>
    <s v="Cali"/>
    <m/>
    <m/>
    <m/>
    <m/>
    <x v="0"/>
  </r>
  <r>
    <d v="2021-08-11T00:00:00"/>
    <x v="8"/>
    <x v="29"/>
    <x v="29"/>
    <n v="-30000"/>
    <n v="0"/>
    <n v="30000"/>
    <x v="188"/>
    <s v="Cali"/>
    <m/>
    <m/>
    <m/>
    <m/>
    <x v="0"/>
  </r>
  <r>
    <m/>
    <x v="1"/>
    <x v="23"/>
    <x v="23"/>
    <m/>
    <m/>
    <m/>
    <x v="1"/>
    <m/>
    <m/>
    <m/>
    <m/>
    <m/>
    <x v="0"/>
  </r>
  <r>
    <d v="2021-08-12T00:00:00"/>
    <x v="8"/>
    <x v="0"/>
    <x v="0"/>
    <n v="350000"/>
    <n v="350000"/>
    <n v="0"/>
    <x v="525"/>
    <s v="Cali"/>
    <m/>
    <m/>
    <m/>
    <m/>
    <x v="0"/>
  </r>
  <r>
    <d v="2021-08-12T00:00:00"/>
    <x v="8"/>
    <x v="26"/>
    <x v="26"/>
    <n v="-350000"/>
    <n v="0"/>
    <n v="350000"/>
    <x v="525"/>
    <s v="Cali"/>
    <m/>
    <m/>
    <m/>
    <m/>
    <x v="0"/>
  </r>
  <r>
    <m/>
    <x v="1"/>
    <x v="23"/>
    <x v="23"/>
    <m/>
    <m/>
    <m/>
    <x v="1"/>
    <m/>
    <m/>
    <m/>
    <m/>
    <m/>
    <x v="0"/>
  </r>
  <r>
    <d v="2021-08-12T00:00:00"/>
    <x v="8"/>
    <x v="0"/>
    <x v="0"/>
    <n v="1150000"/>
    <n v="1150000"/>
    <n v="0"/>
    <x v="525"/>
    <s v="Cali"/>
    <m/>
    <m/>
    <m/>
    <m/>
    <x v="0"/>
  </r>
  <r>
    <d v="2021-08-12T00:00:00"/>
    <x v="8"/>
    <x v="26"/>
    <x v="26"/>
    <n v="-1150000"/>
    <n v="0"/>
    <n v="1150000"/>
    <x v="525"/>
    <s v="Cali"/>
    <m/>
    <m/>
    <m/>
    <m/>
    <x v="0"/>
  </r>
  <r>
    <m/>
    <x v="1"/>
    <x v="23"/>
    <x v="23"/>
    <m/>
    <m/>
    <m/>
    <x v="1"/>
    <m/>
    <m/>
    <m/>
    <m/>
    <m/>
    <x v="0"/>
  </r>
  <r>
    <d v="2021-08-12T00:00:00"/>
    <x v="8"/>
    <x v="0"/>
    <x v="0"/>
    <n v="20000"/>
    <n v="20000"/>
    <n v="0"/>
    <x v="246"/>
    <s v="Cali"/>
    <m/>
    <m/>
    <m/>
    <m/>
    <x v="0"/>
  </r>
  <r>
    <d v="2021-08-12T00:00:00"/>
    <x v="8"/>
    <x v="25"/>
    <x v="25"/>
    <n v="-20000"/>
    <n v="0"/>
    <n v="20000"/>
    <x v="246"/>
    <s v="Cali"/>
    <m/>
    <m/>
    <m/>
    <m/>
    <x v="0"/>
  </r>
  <r>
    <m/>
    <x v="1"/>
    <x v="23"/>
    <x v="23"/>
    <m/>
    <m/>
    <m/>
    <x v="1"/>
    <m/>
    <m/>
    <m/>
    <m/>
    <m/>
    <x v="0"/>
  </r>
  <r>
    <d v="2021-08-13T00:00:00"/>
    <x v="8"/>
    <x v="0"/>
    <x v="0"/>
    <n v="20000"/>
    <n v="20000"/>
    <n v="0"/>
    <x v="193"/>
    <s v="Cali"/>
    <m/>
    <m/>
    <m/>
    <m/>
    <x v="0"/>
  </r>
  <r>
    <d v="2021-08-13T00:00:00"/>
    <x v="8"/>
    <x v="26"/>
    <x v="26"/>
    <n v="-20000"/>
    <n v="0"/>
    <n v="20000"/>
    <x v="193"/>
    <s v="Cali"/>
    <m/>
    <m/>
    <m/>
    <m/>
    <x v="0"/>
  </r>
  <r>
    <m/>
    <x v="1"/>
    <x v="23"/>
    <x v="23"/>
    <m/>
    <m/>
    <m/>
    <x v="1"/>
    <m/>
    <m/>
    <m/>
    <m/>
    <m/>
    <x v="0"/>
  </r>
  <r>
    <d v="2021-08-13T00:00:00"/>
    <x v="8"/>
    <x v="0"/>
    <x v="0"/>
    <n v="25000"/>
    <n v="25000"/>
    <n v="0"/>
    <x v="194"/>
    <s v="Cali"/>
    <m/>
    <m/>
    <m/>
    <m/>
    <x v="0"/>
  </r>
  <r>
    <d v="2021-08-13T00:00:00"/>
    <x v="8"/>
    <x v="25"/>
    <x v="25"/>
    <n v="-25000"/>
    <n v="0"/>
    <n v="25000"/>
    <x v="194"/>
    <s v="Cali"/>
    <m/>
    <m/>
    <m/>
    <m/>
    <x v="0"/>
  </r>
  <r>
    <m/>
    <x v="1"/>
    <x v="23"/>
    <x v="23"/>
    <m/>
    <m/>
    <m/>
    <x v="1"/>
    <m/>
    <m/>
    <m/>
    <m/>
    <m/>
    <x v="0"/>
  </r>
  <r>
    <d v="2021-08-13T00:00:00"/>
    <x v="8"/>
    <x v="0"/>
    <x v="0"/>
    <n v="7000"/>
    <n v="7000"/>
    <n v="0"/>
    <x v="261"/>
    <s v="Cali"/>
    <m/>
    <m/>
    <m/>
    <m/>
    <x v="0"/>
  </r>
  <r>
    <d v="2021-08-13T00:00:00"/>
    <x v="8"/>
    <x v="25"/>
    <x v="25"/>
    <n v="-7000"/>
    <n v="0"/>
    <n v="7000"/>
    <x v="261"/>
    <s v="Cali"/>
    <m/>
    <m/>
    <m/>
    <m/>
    <x v="0"/>
  </r>
  <r>
    <m/>
    <x v="1"/>
    <x v="23"/>
    <x v="23"/>
    <m/>
    <m/>
    <m/>
    <x v="1"/>
    <m/>
    <m/>
    <m/>
    <m/>
    <m/>
    <x v="0"/>
  </r>
  <r>
    <d v="2021-08-13T00:00:00"/>
    <x v="8"/>
    <x v="0"/>
    <x v="0"/>
    <n v="691669"/>
    <n v="691669"/>
    <n v="0"/>
    <x v="526"/>
    <s v="Cali"/>
    <m/>
    <m/>
    <m/>
    <m/>
    <x v="0"/>
  </r>
  <r>
    <d v="2021-08-13T00:00:00"/>
    <x v="8"/>
    <x v="31"/>
    <x v="31"/>
    <n v="8331"/>
    <n v="8331"/>
    <n v="0"/>
    <x v="526"/>
    <s v="Cali"/>
    <m/>
    <m/>
    <m/>
    <m/>
    <x v="0"/>
  </r>
  <r>
    <d v="2021-08-13T00:00:00"/>
    <x v="8"/>
    <x v="25"/>
    <x v="25"/>
    <n v="-700000"/>
    <n v="0"/>
    <n v="700000"/>
    <x v="526"/>
    <s v="Cali"/>
    <m/>
    <m/>
    <m/>
    <m/>
    <x v="0"/>
  </r>
  <r>
    <m/>
    <x v="1"/>
    <x v="23"/>
    <x v="23"/>
    <m/>
    <m/>
    <m/>
    <x v="1"/>
    <m/>
    <m/>
    <m/>
    <m/>
    <m/>
    <x v="0"/>
  </r>
  <r>
    <d v="2021-08-16T00:00:00"/>
    <x v="8"/>
    <x v="14"/>
    <x v="14"/>
    <n v="160903"/>
    <n v="160903"/>
    <n v="0"/>
    <x v="527"/>
    <s v="Cali"/>
    <m/>
    <m/>
    <m/>
    <m/>
    <x v="0"/>
  </r>
  <r>
    <d v="2021-08-16T00:00:00"/>
    <x v="8"/>
    <x v="15"/>
    <x v="15"/>
    <n v="2979034"/>
    <n v="2979034"/>
    <n v="0"/>
    <x v="527"/>
    <s v="Cali"/>
    <m/>
    <m/>
    <m/>
    <m/>
    <x v="0"/>
  </r>
  <r>
    <d v="2021-08-16T00:00:00"/>
    <x v="8"/>
    <x v="0"/>
    <x v="0"/>
    <n v="-3139937"/>
    <n v="0"/>
    <n v="3139937"/>
    <x v="527"/>
    <s v="Cali"/>
    <m/>
    <m/>
    <m/>
    <m/>
    <x v="0"/>
  </r>
  <r>
    <m/>
    <x v="1"/>
    <x v="23"/>
    <x v="23"/>
    <m/>
    <m/>
    <m/>
    <x v="1"/>
    <m/>
    <m/>
    <m/>
    <m/>
    <m/>
    <x v="0"/>
  </r>
  <r>
    <d v="2021-08-16T00:00:00"/>
    <x v="8"/>
    <x v="31"/>
    <x v="31"/>
    <n v="338983"/>
    <n v="338983"/>
    <n v="0"/>
    <x v="528"/>
    <s v="Cali"/>
    <m/>
    <m/>
    <m/>
    <m/>
    <x v="0"/>
  </r>
  <r>
    <d v="2021-08-16T00:00:00"/>
    <x v="8"/>
    <x v="0"/>
    <x v="0"/>
    <n v="-300000"/>
    <n v="0"/>
    <n v="300000"/>
    <x v="528"/>
    <s v="Cali"/>
    <m/>
    <m/>
    <m/>
    <m/>
    <x v="0"/>
  </r>
  <r>
    <d v="2021-08-16T00:00:00"/>
    <x v="8"/>
    <x v="17"/>
    <x v="17"/>
    <n v="-38983"/>
    <n v="0"/>
    <n v="38983"/>
    <x v="528"/>
    <s v="Cali"/>
    <m/>
    <m/>
    <m/>
    <m/>
    <x v="0"/>
  </r>
  <r>
    <m/>
    <x v="1"/>
    <x v="23"/>
    <x v="23"/>
    <m/>
    <m/>
    <m/>
    <x v="1"/>
    <m/>
    <m/>
    <m/>
    <m/>
    <m/>
    <x v="0"/>
  </r>
  <r>
    <d v="2021-08-16T00:00:00"/>
    <x v="8"/>
    <x v="16"/>
    <x v="16"/>
    <n v="81480"/>
    <n v="81480"/>
    <n v="0"/>
    <x v="529"/>
    <s v="Cali"/>
    <m/>
    <m/>
    <m/>
    <m/>
    <x v="0"/>
  </r>
  <r>
    <d v="2021-08-16T00:00:00"/>
    <x v="8"/>
    <x v="0"/>
    <x v="0"/>
    <n v="-72110"/>
    <n v="0"/>
    <n v="72110"/>
    <x v="529"/>
    <s v="Cali"/>
    <m/>
    <m/>
    <m/>
    <m/>
    <x v="0"/>
  </r>
  <r>
    <d v="2021-08-16T00:00:00"/>
    <x v="8"/>
    <x v="17"/>
    <x v="17"/>
    <n v="-9370"/>
    <n v="0"/>
    <n v="9370"/>
    <x v="529"/>
    <s v="Cali"/>
    <m/>
    <m/>
    <m/>
    <m/>
    <x v="0"/>
  </r>
  <r>
    <m/>
    <x v="1"/>
    <x v="23"/>
    <x v="23"/>
    <m/>
    <m/>
    <m/>
    <x v="1"/>
    <m/>
    <m/>
    <m/>
    <m/>
    <m/>
    <x v="0"/>
  </r>
  <r>
    <d v="2021-08-16T00:00:00"/>
    <x v="8"/>
    <x v="28"/>
    <x v="28"/>
    <n v="150000"/>
    <n v="150000"/>
    <n v="0"/>
    <x v="530"/>
    <s v="Cali"/>
    <m/>
    <m/>
    <m/>
    <m/>
    <x v="0"/>
  </r>
  <r>
    <d v="2021-08-16T00:00:00"/>
    <x v="8"/>
    <x v="0"/>
    <x v="0"/>
    <n v="-150000"/>
    <n v="0"/>
    <n v="150000"/>
    <x v="530"/>
    <s v="Cali"/>
    <m/>
    <m/>
    <m/>
    <m/>
    <x v="0"/>
  </r>
  <r>
    <m/>
    <x v="1"/>
    <x v="23"/>
    <x v="23"/>
    <m/>
    <m/>
    <m/>
    <x v="1"/>
    <m/>
    <m/>
    <m/>
    <m/>
    <m/>
    <x v="0"/>
  </r>
  <r>
    <d v="2021-08-16T00:00:00"/>
    <x v="8"/>
    <x v="1"/>
    <x v="1"/>
    <n v="27000000"/>
    <n v="27000000"/>
    <n v="0"/>
    <x v="429"/>
    <s v="Cali"/>
    <m/>
    <m/>
    <m/>
    <m/>
    <x v="0"/>
  </r>
  <r>
    <d v="2021-08-16T00:00:00"/>
    <x v="8"/>
    <x v="0"/>
    <x v="0"/>
    <n v="-27000000"/>
    <n v="0"/>
    <n v="27000000"/>
    <x v="429"/>
    <s v="Cali"/>
    <m/>
    <m/>
    <m/>
    <m/>
    <x v="0"/>
  </r>
  <r>
    <m/>
    <x v="1"/>
    <x v="23"/>
    <x v="23"/>
    <m/>
    <m/>
    <m/>
    <x v="1"/>
    <m/>
    <m/>
    <m/>
    <m/>
    <m/>
    <x v="0"/>
  </r>
  <r>
    <d v="2021-08-16T00:00:00"/>
    <x v="8"/>
    <x v="0"/>
    <x v="0"/>
    <n v="5000"/>
    <n v="5000"/>
    <n v="0"/>
    <x v="482"/>
    <s v="Cali"/>
    <m/>
    <m/>
    <m/>
    <m/>
    <x v="0"/>
  </r>
  <r>
    <d v="2021-08-16T00:00:00"/>
    <x v="8"/>
    <x v="19"/>
    <x v="19"/>
    <n v="-5000"/>
    <n v="0"/>
    <n v="5000"/>
    <x v="482"/>
    <s v="Cali"/>
    <m/>
    <m/>
    <m/>
    <m/>
    <x v="0"/>
  </r>
  <r>
    <m/>
    <x v="1"/>
    <x v="23"/>
    <x v="23"/>
    <m/>
    <m/>
    <m/>
    <x v="1"/>
    <m/>
    <m/>
    <m/>
    <m/>
    <m/>
    <x v="0"/>
  </r>
  <r>
    <d v="2021-08-16T00:00:00"/>
    <x v="8"/>
    <x v="0"/>
    <x v="0"/>
    <n v="20000"/>
    <n v="20000"/>
    <n v="0"/>
    <x v="196"/>
    <s v="Cali"/>
    <m/>
    <m/>
    <m/>
    <m/>
    <x v="0"/>
  </r>
  <r>
    <d v="2021-08-16T00:00:00"/>
    <x v="8"/>
    <x v="25"/>
    <x v="25"/>
    <n v="-20000"/>
    <n v="0"/>
    <n v="20000"/>
    <x v="196"/>
    <s v="Cali"/>
    <m/>
    <m/>
    <m/>
    <m/>
    <x v="0"/>
  </r>
  <r>
    <m/>
    <x v="1"/>
    <x v="23"/>
    <x v="23"/>
    <m/>
    <m/>
    <m/>
    <x v="1"/>
    <m/>
    <m/>
    <m/>
    <m/>
    <m/>
    <x v="0"/>
  </r>
  <r>
    <d v="2021-08-17T00:00:00"/>
    <x v="8"/>
    <x v="0"/>
    <x v="0"/>
    <n v="50000"/>
    <n v="50000"/>
    <n v="0"/>
    <x v="531"/>
    <s v="Cali"/>
    <m/>
    <m/>
    <m/>
    <m/>
    <x v="0"/>
  </r>
  <r>
    <d v="2021-08-17T00:00:00"/>
    <x v="8"/>
    <x v="26"/>
    <x v="26"/>
    <n v="-50000"/>
    <n v="0"/>
    <n v="50000"/>
    <x v="531"/>
    <s v="Cali"/>
    <m/>
    <m/>
    <m/>
    <m/>
    <x v="0"/>
  </r>
  <r>
    <m/>
    <x v="1"/>
    <x v="23"/>
    <x v="23"/>
    <m/>
    <m/>
    <m/>
    <x v="1"/>
    <m/>
    <m/>
    <m/>
    <m/>
    <m/>
    <x v="0"/>
  </r>
  <r>
    <d v="2021-08-17T00:00:00"/>
    <x v="8"/>
    <x v="0"/>
    <x v="0"/>
    <n v="1000000"/>
    <n v="1000000"/>
    <n v="0"/>
    <x v="312"/>
    <s v="Cali"/>
    <m/>
    <m/>
    <m/>
    <m/>
    <x v="0"/>
  </r>
  <r>
    <d v="2021-08-17T00:00:00"/>
    <x v="8"/>
    <x v="26"/>
    <x v="26"/>
    <n v="-1000000"/>
    <n v="0"/>
    <n v="1000000"/>
    <x v="312"/>
    <s v="Cali"/>
    <m/>
    <m/>
    <m/>
    <m/>
    <x v="0"/>
  </r>
  <r>
    <m/>
    <x v="1"/>
    <x v="23"/>
    <x v="23"/>
    <m/>
    <m/>
    <m/>
    <x v="1"/>
    <m/>
    <m/>
    <m/>
    <m/>
    <m/>
    <x v="0"/>
  </r>
  <r>
    <d v="2021-08-17T00:00:00"/>
    <x v="8"/>
    <x v="0"/>
    <x v="0"/>
    <n v="15000"/>
    <n v="15000"/>
    <n v="0"/>
    <x v="65"/>
    <s v="Cali"/>
    <m/>
    <m/>
    <m/>
    <m/>
    <x v="0"/>
  </r>
  <r>
    <d v="2021-08-17T00:00:00"/>
    <x v="8"/>
    <x v="29"/>
    <x v="29"/>
    <n v="-15000"/>
    <n v="0"/>
    <n v="1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8-17T00:00:00"/>
    <x v="8"/>
    <x v="0"/>
    <x v="0"/>
    <n v="80000"/>
    <n v="80000"/>
    <n v="0"/>
    <x v="65"/>
    <s v="Cali"/>
    <m/>
    <m/>
    <m/>
    <m/>
    <x v="0"/>
  </r>
  <r>
    <d v="2021-08-17T00:00:00"/>
    <x v="8"/>
    <x v="29"/>
    <x v="29"/>
    <n v="-80000"/>
    <n v="0"/>
    <n v="8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8-17T00:00:00"/>
    <x v="8"/>
    <x v="0"/>
    <x v="0"/>
    <n v="225000"/>
    <n v="225000"/>
    <n v="0"/>
    <x v="65"/>
    <s v="Cali"/>
    <m/>
    <m/>
    <m/>
    <m/>
    <x v="0"/>
  </r>
  <r>
    <d v="2021-08-17T00:00:00"/>
    <x v="8"/>
    <x v="29"/>
    <x v="29"/>
    <n v="-225000"/>
    <n v="0"/>
    <n v="22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8-18T00:00:00"/>
    <x v="8"/>
    <x v="0"/>
    <x v="0"/>
    <n v="40000"/>
    <n v="40000"/>
    <n v="0"/>
    <x v="10"/>
    <s v="Cali"/>
    <m/>
    <m/>
    <m/>
    <m/>
    <x v="0"/>
  </r>
  <r>
    <d v="2021-08-18T00:00:00"/>
    <x v="8"/>
    <x v="25"/>
    <x v="25"/>
    <n v="-40000"/>
    <n v="0"/>
    <n v="40000"/>
    <x v="10"/>
    <s v="Cali"/>
    <m/>
    <m/>
    <m/>
    <m/>
    <x v="0"/>
  </r>
  <r>
    <m/>
    <x v="1"/>
    <x v="23"/>
    <x v="23"/>
    <m/>
    <m/>
    <m/>
    <x v="1"/>
    <m/>
    <m/>
    <m/>
    <m/>
    <m/>
    <x v="0"/>
  </r>
  <r>
    <d v="2021-08-18T00:00:00"/>
    <x v="8"/>
    <x v="0"/>
    <x v="0"/>
    <n v="20000"/>
    <n v="20000"/>
    <n v="0"/>
    <x v="201"/>
    <s v="Cali"/>
    <m/>
    <m/>
    <m/>
    <m/>
    <x v="0"/>
  </r>
  <r>
    <d v="2021-08-18T00:00:00"/>
    <x v="8"/>
    <x v="25"/>
    <x v="25"/>
    <n v="-20000"/>
    <n v="0"/>
    <n v="20000"/>
    <x v="201"/>
    <s v="Cali"/>
    <m/>
    <m/>
    <m/>
    <m/>
    <x v="0"/>
  </r>
  <r>
    <m/>
    <x v="1"/>
    <x v="23"/>
    <x v="23"/>
    <m/>
    <m/>
    <m/>
    <x v="1"/>
    <m/>
    <m/>
    <m/>
    <m/>
    <m/>
    <x v="0"/>
  </r>
  <r>
    <d v="2021-08-19T00:00:00"/>
    <x v="8"/>
    <x v="0"/>
    <x v="0"/>
    <n v="37000"/>
    <n v="37000"/>
    <n v="0"/>
    <x v="65"/>
    <s v="Cali"/>
    <m/>
    <m/>
    <m/>
    <m/>
    <x v="0"/>
  </r>
  <r>
    <d v="2021-08-19T00:00:00"/>
    <x v="8"/>
    <x v="29"/>
    <x v="29"/>
    <n v="-37000"/>
    <n v="0"/>
    <n v="37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8-19T00:00:00"/>
    <x v="8"/>
    <x v="0"/>
    <x v="0"/>
    <n v="100000"/>
    <n v="100000"/>
    <n v="0"/>
    <x v="532"/>
    <s v="Cali"/>
    <m/>
    <m/>
    <m/>
    <m/>
    <x v="0"/>
  </r>
  <r>
    <d v="2021-08-19T00:00:00"/>
    <x v="8"/>
    <x v="26"/>
    <x v="26"/>
    <n v="-100000"/>
    <n v="0"/>
    <n v="100000"/>
    <x v="532"/>
    <s v="Cali"/>
    <m/>
    <m/>
    <m/>
    <m/>
    <x v="0"/>
  </r>
  <r>
    <m/>
    <x v="1"/>
    <x v="23"/>
    <x v="23"/>
    <m/>
    <m/>
    <m/>
    <x v="1"/>
    <m/>
    <m/>
    <m/>
    <m/>
    <m/>
    <x v="0"/>
  </r>
  <r>
    <d v="2021-08-20T00:00:00"/>
    <x v="8"/>
    <x v="0"/>
    <x v="0"/>
    <n v="150000"/>
    <n v="150000"/>
    <n v="0"/>
    <x v="431"/>
    <s v="Cali"/>
    <m/>
    <m/>
    <m/>
    <m/>
    <x v="0"/>
  </r>
  <r>
    <d v="2021-08-20T00:00:00"/>
    <x v="8"/>
    <x v="25"/>
    <x v="25"/>
    <n v="-150000"/>
    <n v="0"/>
    <n v="150000"/>
    <x v="431"/>
    <s v="Cali"/>
    <m/>
    <m/>
    <m/>
    <m/>
    <x v="0"/>
  </r>
  <r>
    <m/>
    <x v="1"/>
    <x v="23"/>
    <x v="23"/>
    <m/>
    <m/>
    <m/>
    <x v="1"/>
    <m/>
    <m/>
    <m/>
    <m/>
    <m/>
    <x v="0"/>
  </r>
  <r>
    <d v="2021-08-23T00:00:00"/>
    <x v="8"/>
    <x v="0"/>
    <x v="0"/>
    <n v="30000"/>
    <n v="30000"/>
    <n v="0"/>
    <x v="139"/>
    <s v="Cali"/>
    <m/>
    <m/>
    <m/>
    <m/>
    <x v="0"/>
  </r>
  <r>
    <d v="2021-08-23T00:00:00"/>
    <x v="8"/>
    <x v="25"/>
    <x v="25"/>
    <n v="-30000"/>
    <n v="0"/>
    <n v="30000"/>
    <x v="139"/>
    <s v="Cali"/>
    <m/>
    <m/>
    <m/>
    <m/>
    <x v="0"/>
  </r>
  <r>
    <m/>
    <x v="1"/>
    <x v="23"/>
    <x v="23"/>
    <m/>
    <m/>
    <m/>
    <x v="1"/>
    <m/>
    <m/>
    <m/>
    <m/>
    <m/>
    <x v="0"/>
  </r>
  <r>
    <d v="2021-08-23T00:00:00"/>
    <x v="8"/>
    <x v="0"/>
    <x v="0"/>
    <n v="10000"/>
    <n v="10000"/>
    <n v="0"/>
    <x v="409"/>
    <s v="Cali"/>
    <m/>
    <m/>
    <m/>
    <m/>
    <x v="0"/>
  </r>
  <r>
    <d v="2021-08-23T00:00:00"/>
    <x v="8"/>
    <x v="25"/>
    <x v="25"/>
    <n v="-10000"/>
    <n v="0"/>
    <n v="10000"/>
    <x v="409"/>
    <s v="Cali"/>
    <m/>
    <m/>
    <m/>
    <m/>
    <x v="0"/>
  </r>
  <r>
    <m/>
    <x v="1"/>
    <x v="23"/>
    <x v="23"/>
    <m/>
    <m/>
    <m/>
    <x v="1"/>
    <m/>
    <m/>
    <m/>
    <m/>
    <m/>
    <x v="0"/>
  </r>
  <r>
    <d v="2021-08-23T00:00:00"/>
    <x v="8"/>
    <x v="0"/>
    <x v="0"/>
    <n v="60000"/>
    <n v="60000"/>
    <n v="0"/>
    <x v="213"/>
    <s v="Cali"/>
    <m/>
    <m/>
    <m/>
    <m/>
    <x v="0"/>
  </r>
  <r>
    <d v="2021-08-23T00:00:00"/>
    <x v="8"/>
    <x v="29"/>
    <x v="29"/>
    <n v="-60000"/>
    <n v="0"/>
    <n v="60000"/>
    <x v="213"/>
    <s v="Cali"/>
    <m/>
    <m/>
    <m/>
    <m/>
    <x v="0"/>
  </r>
  <r>
    <m/>
    <x v="1"/>
    <x v="23"/>
    <x v="23"/>
    <m/>
    <m/>
    <m/>
    <x v="1"/>
    <m/>
    <m/>
    <m/>
    <m/>
    <m/>
    <x v="0"/>
  </r>
  <r>
    <d v="2021-08-23T00:00:00"/>
    <x v="8"/>
    <x v="0"/>
    <x v="0"/>
    <n v="5000"/>
    <n v="5000"/>
    <n v="0"/>
    <x v="533"/>
    <s v="Cali"/>
    <m/>
    <m/>
    <m/>
    <m/>
    <x v="0"/>
  </r>
  <r>
    <d v="2021-08-23T00:00:00"/>
    <x v="8"/>
    <x v="19"/>
    <x v="19"/>
    <n v="-5000"/>
    <n v="0"/>
    <n v="5000"/>
    <x v="533"/>
    <s v="Cali"/>
    <m/>
    <m/>
    <m/>
    <m/>
    <x v="0"/>
  </r>
  <r>
    <m/>
    <x v="1"/>
    <x v="23"/>
    <x v="23"/>
    <m/>
    <m/>
    <m/>
    <x v="1"/>
    <m/>
    <m/>
    <m/>
    <m/>
    <m/>
    <x v="0"/>
  </r>
  <r>
    <d v="2021-08-23T00:00:00"/>
    <x v="8"/>
    <x v="0"/>
    <x v="0"/>
    <n v="150000"/>
    <n v="150000"/>
    <n v="0"/>
    <x v="192"/>
    <s v="Cali"/>
    <m/>
    <m/>
    <m/>
    <m/>
    <x v="0"/>
  </r>
  <r>
    <d v="2021-08-23T00:00:00"/>
    <x v="8"/>
    <x v="26"/>
    <x v="26"/>
    <n v="-150000"/>
    <n v="0"/>
    <n v="15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08-23T00:00:00"/>
    <x v="8"/>
    <x v="0"/>
    <x v="0"/>
    <n v="30000"/>
    <n v="30000"/>
    <n v="0"/>
    <x v="203"/>
    <s v="Cali"/>
    <m/>
    <m/>
    <m/>
    <m/>
    <x v="0"/>
  </r>
  <r>
    <d v="2021-08-23T00:00:00"/>
    <x v="8"/>
    <x v="27"/>
    <x v="27"/>
    <n v="-30000"/>
    <n v="0"/>
    <n v="30000"/>
    <x v="203"/>
    <s v="Cali"/>
    <m/>
    <m/>
    <m/>
    <m/>
    <x v="0"/>
  </r>
  <r>
    <m/>
    <x v="1"/>
    <x v="23"/>
    <x v="23"/>
    <m/>
    <m/>
    <m/>
    <x v="1"/>
    <m/>
    <m/>
    <m/>
    <m/>
    <m/>
    <x v="0"/>
  </r>
  <r>
    <d v="2021-08-23T00:00:00"/>
    <x v="8"/>
    <x v="0"/>
    <x v="0"/>
    <n v="100000"/>
    <n v="100000"/>
    <n v="0"/>
    <x v="333"/>
    <s v="Cali"/>
    <m/>
    <m/>
    <m/>
    <m/>
    <x v="0"/>
  </r>
  <r>
    <d v="2021-08-23T00:00:00"/>
    <x v="8"/>
    <x v="26"/>
    <x v="26"/>
    <n v="-100000"/>
    <n v="0"/>
    <n v="100000"/>
    <x v="333"/>
    <s v="Cali"/>
    <m/>
    <m/>
    <m/>
    <m/>
    <x v="0"/>
  </r>
  <r>
    <m/>
    <x v="1"/>
    <x v="23"/>
    <x v="23"/>
    <m/>
    <m/>
    <m/>
    <x v="1"/>
    <m/>
    <m/>
    <m/>
    <m/>
    <m/>
    <x v="0"/>
  </r>
  <r>
    <d v="2021-08-23T00:00:00"/>
    <x v="8"/>
    <x v="0"/>
    <x v="0"/>
    <n v="20000"/>
    <n v="20000"/>
    <n v="0"/>
    <x v="85"/>
    <s v="Cali"/>
    <m/>
    <m/>
    <m/>
    <m/>
    <x v="0"/>
  </r>
  <r>
    <d v="2021-08-23T00:00:00"/>
    <x v="8"/>
    <x v="25"/>
    <x v="25"/>
    <n v="-20000"/>
    <n v="0"/>
    <n v="20000"/>
    <x v="85"/>
    <s v="Cali"/>
    <m/>
    <m/>
    <m/>
    <m/>
    <x v="0"/>
  </r>
  <r>
    <m/>
    <x v="1"/>
    <x v="23"/>
    <x v="23"/>
    <m/>
    <m/>
    <m/>
    <x v="1"/>
    <m/>
    <m/>
    <m/>
    <m/>
    <m/>
    <x v="0"/>
  </r>
  <r>
    <d v="2021-08-23T00:00:00"/>
    <x v="8"/>
    <x v="0"/>
    <x v="0"/>
    <n v="20000"/>
    <n v="20000"/>
    <n v="0"/>
    <x v="267"/>
    <s v="Cali"/>
    <m/>
    <m/>
    <m/>
    <m/>
    <x v="0"/>
  </r>
  <r>
    <d v="2021-08-23T00:00:00"/>
    <x v="8"/>
    <x v="25"/>
    <x v="25"/>
    <n v="-20000"/>
    <n v="0"/>
    <n v="20000"/>
    <x v="267"/>
    <s v="Cali"/>
    <m/>
    <m/>
    <m/>
    <m/>
    <x v="0"/>
  </r>
  <r>
    <m/>
    <x v="1"/>
    <x v="23"/>
    <x v="23"/>
    <m/>
    <m/>
    <m/>
    <x v="1"/>
    <m/>
    <m/>
    <m/>
    <m/>
    <m/>
    <x v="0"/>
  </r>
  <r>
    <d v="2021-08-23T00:00:00"/>
    <x v="8"/>
    <x v="0"/>
    <x v="0"/>
    <n v="10000"/>
    <n v="10000"/>
    <n v="0"/>
    <x v="198"/>
    <s v="Cali"/>
    <m/>
    <m/>
    <m/>
    <m/>
    <x v="0"/>
  </r>
  <r>
    <d v="2021-08-23T00:00:00"/>
    <x v="8"/>
    <x v="27"/>
    <x v="27"/>
    <n v="-10000"/>
    <n v="0"/>
    <n v="10000"/>
    <x v="198"/>
    <s v="Cali"/>
    <m/>
    <m/>
    <m/>
    <m/>
    <x v="0"/>
  </r>
  <r>
    <m/>
    <x v="1"/>
    <x v="23"/>
    <x v="23"/>
    <m/>
    <m/>
    <m/>
    <x v="1"/>
    <m/>
    <m/>
    <m/>
    <m/>
    <m/>
    <x v="0"/>
  </r>
  <r>
    <d v="2021-08-23T00:00:00"/>
    <x v="8"/>
    <x v="0"/>
    <x v="0"/>
    <n v="50000"/>
    <n v="50000"/>
    <n v="0"/>
    <x v="534"/>
    <s v="Cali"/>
    <m/>
    <m/>
    <m/>
    <m/>
    <x v="0"/>
  </r>
  <r>
    <d v="2021-08-23T00:00:00"/>
    <x v="8"/>
    <x v="26"/>
    <x v="26"/>
    <n v="-50000"/>
    <n v="0"/>
    <n v="50000"/>
    <x v="534"/>
    <s v="Cali"/>
    <m/>
    <m/>
    <m/>
    <m/>
    <x v="0"/>
  </r>
  <r>
    <m/>
    <x v="1"/>
    <x v="23"/>
    <x v="23"/>
    <m/>
    <m/>
    <m/>
    <x v="1"/>
    <m/>
    <m/>
    <m/>
    <m/>
    <m/>
    <x v="0"/>
  </r>
  <r>
    <d v="2021-08-24T00:00:00"/>
    <x v="8"/>
    <x v="0"/>
    <x v="0"/>
    <n v="30000"/>
    <n v="30000"/>
    <n v="0"/>
    <x v="156"/>
    <s v="Cali"/>
    <m/>
    <m/>
    <m/>
    <m/>
    <x v="0"/>
  </r>
  <r>
    <d v="2021-08-24T00:00:00"/>
    <x v="8"/>
    <x v="25"/>
    <x v="25"/>
    <n v="-30000"/>
    <n v="0"/>
    <n v="30000"/>
    <x v="156"/>
    <s v="Cali"/>
    <m/>
    <m/>
    <m/>
    <m/>
    <x v="0"/>
  </r>
  <r>
    <m/>
    <x v="1"/>
    <x v="23"/>
    <x v="23"/>
    <m/>
    <m/>
    <m/>
    <x v="1"/>
    <m/>
    <m/>
    <m/>
    <m/>
    <m/>
    <x v="0"/>
  </r>
  <r>
    <d v="2021-08-24T00:00:00"/>
    <x v="8"/>
    <x v="0"/>
    <x v="0"/>
    <n v="100000"/>
    <n v="100000"/>
    <n v="0"/>
    <x v="195"/>
    <s v="Cali"/>
    <m/>
    <m/>
    <m/>
    <m/>
    <x v="0"/>
  </r>
  <r>
    <d v="2021-08-24T00:00:00"/>
    <x v="8"/>
    <x v="25"/>
    <x v="25"/>
    <n v="-100000"/>
    <n v="0"/>
    <n v="100000"/>
    <x v="195"/>
    <s v="Cali"/>
    <m/>
    <m/>
    <m/>
    <m/>
    <x v="0"/>
  </r>
  <r>
    <m/>
    <x v="1"/>
    <x v="23"/>
    <x v="23"/>
    <m/>
    <m/>
    <m/>
    <x v="1"/>
    <m/>
    <m/>
    <m/>
    <m/>
    <m/>
    <x v="0"/>
  </r>
  <r>
    <d v="2021-08-24T00:00:00"/>
    <x v="8"/>
    <x v="0"/>
    <x v="0"/>
    <n v="30000"/>
    <n v="30000"/>
    <n v="0"/>
    <x v="266"/>
    <s v="Cali"/>
    <m/>
    <m/>
    <m/>
    <m/>
    <x v="0"/>
  </r>
  <r>
    <d v="2021-08-24T00:00:00"/>
    <x v="8"/>
    <x v="25"/>
    <x v="25"/>
    <n v="-30000"/>
    <n v="0"/>
    <n v="30000"/>
    <x v="266"/>
    <s v="Cali"/>
    <m/>
    <m/>
    <m/>
    <m/>
    <x v="0"/>
  </r>
  <r>
    <m/>
    <x v="1"/>
    <x v="23"/>
    <x v="23"/>
    <m/>
    <m/>
    <m/>
    <x v="1"/>
    <m/>
    <m/>
    <m/>
    <m/>
    <m/>
    <x v="0"/>
  </r>
  <r>
    <d v="2021-08-25T00:00:00"/>
    <x v="8"/>
    <x v="0"/>
    <x v="0"/>
    <n v="10000"/>
    <n v="10000"/>
    <n v="0"/>
    <x v="206"/>
    <s v="Cali"/>
    <m/>
    <m/>
    <m/>
    <m/>
    <x v="0"/>
  </r>
  <r>
    <d v="2021-08-25T00:00:00"/>
    <x v="8"/>
    <x v="26"/>
    <x v="26"/>
    <n v="-10000"/>
    <n v="0"/>
    <n v="10000"/>
    <x v="206"/>
    <s v="Cali"/>
    <m/>
    <m/>
    <m/>
    <m/>
    <x v="0"/>
  </r>
  <r>
    <m/>
    <x v="1"/>
    <x v="23"/>
    <x v="23"/>
    <m/>
    <m/>
    <m/>
    <x v="1"/>
    <m/>
    <m/>
    <m/>
    <m/>
    <m/>
    <x v="0"/>
  </r>
  <r>
    <d v="2021-08-25T00:00:00"/>
    <x v="8"/>
    <x v="0"/>
    <x v="0"/>
    <n v="49404"/>
    <n v="49404"/>
    <n v="0"/>
    <x v="535"/>
    <s v="Cali"/>
    <m/>
    <m/>
    <m/>
    <m/>
    <x v="0"/>
  </r>
  <r>
    <d v="2021-08-25T00:00:00"/>
    <x v="8"/>
    <x v="26"/>
    <x v="26"/>
    <n v="-49404"/>
    <n v="0"/>
    <n v="49404"/>
    <x v="535"/>
    <s v="Cali"/>
    <m/>
    <m/>
    <m/>
    <m/>
    <x v="0"/>
  </r>
  <r>
    <m/>
    <x v="1"/>
    <x v="23"/>
    <x v="23"/>
    <m/>
    <m/>
    <m/>
    <x v="1"/>
    <m/>
    <m/>
    <m/>
    <m/>
    <m/>
    <x v="0"/>
  </r>
  <r>
    <d v="2021-08-26T00:00:00"/>
    <x v="8"/>
    <x v="0"/>
    <x v="0"/>
    <n v="11672239"/>
    <n v="11672239"/>
    <n v="0"/>
    <x v="536"/>
    <s v="Cali"/>
    <m/>
    <m/>
    <m/>
    <m/>
    <x v="0"/>
  </r>
  <r>
    <d v="2021-08-26T00:00:00"/>
    <x v="8"/>
    <x v="5"/>
    <x v="5"/>
    <n v="-11672239"/>
    <n v="0"/>
    <n v="11672239"/>
    <x v="536"/>
    <s v="Cali"/>
    <m/>
    <m/>
    <m/>
    <m/>
    <x v="0"/>
  </r>
  <r>
    <m/>
    <x v="1"/>
    <x v="23"/>
    <x v="23"/>
    <m/>
    <m/>
    <m/>
    <x v="1"/>
    <m/>
    <m/>
    <m/>
    <m/>
    <m/>
    <x v="0"/>
  </r>
  <r>
    <d v="2021-08-26T00:00:00"/>
    <x v="8"/>
    <x v="0"/>
    <x v="0"/>
    <n v="1327685"/>
    <n v="1327685"/>
    <n v="0"/>
    <x v="537"/>
    <s v="Cali"/>
    <m/>
    <m/>
    <m/>
    <m/>
    <x v="0"/>
  </r>
  <r>
    <d v="2021-08-26T00:00:00"/>
    <x v="8"/>
    <x v="26"/>
    <x v="26"/>
    <n v="-1327685"/>
    <n v="0"/>
    <n v="1327685"/>
    <x v="537"/>
    <s v="Cali"/>
    <m/>
    <m/>
    <m/>
    <m/>
    <x v="0"/>
  </r>
  <r>
    <m/>
    <x v="1"/>
    <x v="23"/>
    <x v="23"/>
    <m/>
    <m/>
    <m/>
    <x v="1"/>
    <m/>
    <m/>
    <m/>
    <m/>
    <m/>
    <x v="0"/>
  </r>
  <r>
    <d v="2021-08-26T00:00:00"/>
    <x v="8"/>
    <x v="0"/>
    <x v="0"/>
    <n v="65000"/>
    <n v="65000"/>
    <n v="0"/>
    <x v="64"/>
    <s v="Cali"/>
    <m/>
    <m/>
    <m/>
    <m/>
    <x v="0"/>
  </r>
  <r>
    <d v="2021-08-26T00:00:00"/>
    <x v="8"/>
    <x v="27"/>
    <x v="27"/>
    <n v="-65000"/>
    <n v="0"/>
    <n v="65000"/>
    <x v="64"/>
    <s v="Cali"/>
    <m/>
    <m/>
    <m/>
    <m/>
    <x v="0"/>
  </r>
  <r>
    <m/>
    <x v="1"/>
    <x v="23"/>
    <x v="23"/>
    <m/>
    <m/>
    <m/>
    <x v="1"/>
    <m/>
    <m/>
    <m/>
    <m/>
    <m/>
    <x v="0"/>
  </r>
  <r>
    <d v="2021-08-26T00:00:00"/>
    <x v="8"/>
    <x v="0"/>
    <x v="0"/>
    <n v="5000"/>
    <n v="5000"/>
    <n v="0"/>
    <x v="367"/>
    <s v="Cali"/>
    <m/>
    <m/>
    <m/>
    <m/>
    <x v="0"/>
  </r>
  <r>
    <d v="2021-08-26T00:00:00"/>
    <x v="8"/>
    <x v="25"/>
    <x v="25"/>
    <n v="-5000"/>
    <n v="0"/>
    <n v="5000"/>
    <x v="367"/>
    <s v="Cali"/>
    <m/>
    <m/>
    <m/>
    <m/>
    <x v="0"/>
  </r>
  <r>
    <m/>
    <x v="1"/>
    <x v="23"/>
    <x v="23"/>
    <m/>
    <m/>
    <m/>
    <x v="1"/>
    <m/>
    <m/>
    <m/>
    <m/>
    <m/>
    <x v="0"/>
  </r>
  <r>
    <d v="2021-08-27T00:00:00"/>
    <x v="8"/>
    <x v="0"/>
    <x v="0"/>
    <n v="2267294"/>
    <n v="2267294"/>
    <n v="0"/>
    <x v="538"/>
    <s v="Cali"/>
    <m/>
    <m/>
    <m/>
    <m/>
    <x v="0"/>
  </r>
  <r>
    <d v="2021-08-27T00:00:00"/>
    <x v="8"/>
    <x v="44"/>
    <x v="44"/>
    <n v="-2267294"/>
    <n v="0"/>
    <n v="2267294"/>
    <x v="538"/>
    <s v="Cali"/>
    <m/>
    <m/>
    <m/>
    <m/>
    <x v="0"/>
  </r>
  <r>
    <m/>
    <x v="1"/>
    <x v="23"/>
    <x v="23"/>
    <m/>
    <m/>
    <m/>
    <x v="1"/>
    <m/>
    <m/>
    <m/>
    <m/>
    <m/>
    <x v="0"/>
  </r>
  <r>
    <d v="2021-08-27T00:00:00"/>
    <x v="8"/>
    <x v="0"/>
    <x v="0"/>
    <n v="1906358"/>
    <n v="1906358"/>
    <n v="0"/>
    <x v="539"/>
    <s v="Cali"/>
    <m/>
    <m/>
    <m/>
    <m/>
    <x v="0"/>
  </r>
  <r>
    <d v="2021-08-27T00:00:00"/>
    <x v="8"/>
    <x v="45"/>
    <x v="45"/>
    <n v="-1906358"/>
    <n v="0"/>
    <n v="1906358"/>
    <x v="539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13"/>
    <x v="13"/>
    <n v="3000000"/>
    <n v="3000000"/>
    <n v="0"/>
    <x v="339"/>
    <s v="Cali"/>
    <m/>
    <m/>
    <m/>
    <m/>
    <x v="0"/>
  </r>
  <r>
    <d v="2021-08-30T00:00:00"/>
    <x v="8"/>
    <x v="0"/>
    <x v="0"/>
    <n v="-3000000"/>
    <n v="0"/>
    <n v="3000000"/>
    <x v="339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50000"/>
    <n v="50000"/>
    <n v="0"/>
    <x v="10"/>
    <s v="Cali"/>
    <m/>
    <m/>
    <m/>
    <m/>
    <x v="0"/>
  </r>
  <r>
    <d v="2021-08-30T00:00:00"/>
    <x v="8"/>
    <x v="25"/>
    <x v="25"/>
    <n v="-50000"/>
    <n v="0"/>
    <n v="50000"/>
    <x v="10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20000"/>
    <n v="20000"/>
    <n v="0"/>
    <x v="237"/>
    <s v="Cali"/>
    <m/>
    <m/>
    <m/>
    <m/>
    <x v="0"/>
  </r>
  <r>
    <d v="2021-08-30T00:00:00"/>
    <x v="8"/>
    <x v="19"/>
    <x v="19"/>
    <n v="-20000"/>
    <n v="0"/>
    <n v="20000"/>
    <x v="237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10000"/>
    <n v="10000"/>
    <n v="0"/>
    <x v="236"/>
    <s v="Cali"/>
    <m/>
    <m/>
    <m/>
    <m/>
    <x v="0"/>
  </r>
  <r>
    <d v="2021-08-30T00:00:00"/>
    <x v="8"/>
    <x v="25"/>
    <x v="25"/>
    <n v="-10000"/>
    <n v="0"/>
    <n v="10000"/>
    <x v="236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125000"/>
    <n v="125000"/>
    <n v="0"/>
    <x v="136"/>
    <s v="Cali"/>
    <m/>
    <m/>
    <m/>
    <m/>
    <x v="0"/>
  </r>
  <r>
    <d v="2021-08-30T00:00:00"/>
    <x v="8"/>
    <x v="26"/>
    <x v="26"/>
    <n v="-125000"/>
    <n v="0"/>
    <n v="125000"/>
    <x v="136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60000"/>
    <n v="60000"/>
    <n v="0"/>
    <x v="238"/>
    <s v="Cali"/>
    <m/>
    <m/>
    <m/>
    <m/>
    <x v="0"/>
  </r>
  <r>
    <d v="2021-08-30T00:00:00"/>
    <x v="8"/>
    <x v="25"/>
    <x v="25"/>
    <n v="-60000"/>
    <n v="0"/>
    <n v="60000"/>
    <x v="238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1500"/>
    <n v="1500"/>
    <n v="0"/>
    <x v="177"/>
    <s v="Cali"/>
    <m/>
    <m/>
    <m/>
    <m/>
    <x v="0"/>
  </r>
  <r>
    <d v="2021-08-30T00:00:00"/>
    <x v="8"/>
    <x v="19"/>
    <x v="19"/>
    <n v="-1500"/>
    <n v="0"/>
    <n v="15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30000"/>
    <n v="30000"/>
    <n v="0"/>
    <x v="497"/>
    <s v="Cali"/>
    <m/>
    <m/>
    <m/>
    <m/>
    <x v="0"/>
  </r>
  <r>
    <d v="2021-08-30T00:00:00"/>
    <x v="8"/>
    <x v="25"/>
    <x v="25"/>
    <n v="-30000"/>
    <n v="0"/>
    <n v="30000"/>
    <x v="497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73000"/>
    <n v="73000"/>
    <n v="0"/>
    <x v="240"/>
    <s v="Cali"/>
    <m/>
    <m/>
    <m/>
    <m/>
    <x v="0"/>
  </r>
  <r>
    <d v="2021-08-30T00:00:00"/>
    <x v="8"/>
    <x v="26"/>
    <x v="26"/>
    <n v="-73000"/>
    <n v="0"/>
    <n v="73000"/>
    <x v="240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40000"/>
    <n v="40000"/>
    <n v="0"/>
    <x v="241"/>
    <s v="Cali"/>
    <m/>
    <m/>
    <m/>
    <m/>
    <x v="0"/>
  </r>
  <r>
    <d v="2021-08-30T00:00:00"/>
    <x v="8"/>
    <x v="26"/>
    <x v="26"/>
    <n v="-40000"/>
    <n v="0"/>
    <n v="40000"/>
    <x v="241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36000"/>
    <n v="36000"/>
    <n v="0"/>
    <x v="133"/>
    <s v="Cali"/>
    <m/>
    <m/>
    <m/>
    <m/>
    <x v="0"/>
  </r>
  <r>
    <d v="2021-08-30T00:00:00"/>
    <x v="8"/>
    <x v="25"/>
    <x v="25"/>
    <n v="-36000"/>
    <n v="0"/>
    <n v="36000"/>
    <x v="133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100000"/>
    <n v="100000"/>
    <n v="0"/>
    <x v="134"/>
    <s v="Cali"/>
    <m/>
    <m/>
    <m/>
    <m/>
    <x v="0"/>
  </r>
  <r>
    <d v="2021-08-30T00:00:00"/>
    <x v="8"/>
    <x v="26"/>
    <x v="26"/>
    <n v="-100000"/>
    <n v="0"/>
    <n v="100000"/>
    <x v="134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20000"/>
    <n v="20000"/>
    <n v="0"/>
    <x v="174"/>
    <s v="Cali"/>
    <m/>
    <m/>
    <m/>
    <m/>
    <x v="0"/>
  </r>
  <r>
    <d v="2021-08-30T00:00:00"/>
    <x v="8"/>
    <x v="25"/>
    <x v="25"/>
    <n v="-20000"/>
    <n v="0"/>
    <n v="20000"/>
    <x v="174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50000"/>
    <n v="50000"/>
    <n v="0"/>
    <x v="135"/>
    <s v="Cali"/>
    <m/>
    <m/>
    <m/>
    <m/>
    <x v="0"/>
  </r>
  <r>
    <d v="2021-08-30T00:00:00"/>
    <x v="8"/>
    <x v="26"/>
    <x v="26"/>
    <n v="-50000"/>
    <n v="0"/>
    <n v="50000"/>
    <x v="135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25000"/>
    <n v="25000"/>
    <n v="0"/>
    <x v="138"/>
    <s v="Cali"/>
    <m/>
    <m/>
    <m/>
    <m/>
    <x v="0"/>
  </r>
  <r>
    <d v="2021-08-30T00:00:00"/>
    <x v="8"/>
    <x v="27"/>
    <x v="27"/>
    <n v="-25000"/>
    <n v="0"/>
    <n v="25000"/>
    <x v="138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10000"/>
    <n v="10000"/>
    <n v="0"/>
    <x v="277"/>
    <s v="Cali"/>
    <m/>
    <m/>
    <m/>
    <m/>
    <x v="0"/>
  </r>
  <r>
    <d v="2021-08-30T00:00:00"/>
    <x v="8"/>
    <x v="25"/>
    <x v="25"/>
    <n v="-10000"/>
    <n v="0"/>
    <n v="10000"/>
    <x v="277"/>
    <s v="Cali"/>
    <m/>
    <m/>
    <m/>
    <m/>
    <x v="0"/>
  </r>
  <r>
    <m/>
    <x v="1"/>
    <x v="23"/>
    <x v="23"/>
    <m/>
    <m/>
    <m/>
    <x v="1"/>
    <m/>
    <m/>
    <m/>
    <m/>
    <m/>
    <x v="0"/>
  </r>
  <r>
    <d v="2021-08-30T00:00:00"/>
    <x v="8"/>
    <x v="0"/>
    <x v="0"/>
    <n v="200000"/>
    <n v="200000"/>
    <n v="0"/>
    <x v="540"/>
    <s v="Cali"/>
    <m/>
    <m/>
    <m/>
    <m/>
    <x v="0"/>
  </r>
  <r>
    <d v="2021-08-30T00:00:00"/>
    <x v="8"/>
    <x v="26"/>
    <x v="26"/>
    <n v="-200000"/>
    <n v="0"/>
    <n v="200000"/>
    <x v="540"/>
    <s v="Cali"/>
    <m/>
    <m/>
    <m/>
    <m/>
    <x v="0"/>
  </r>
  <r>
    <m/>
    <x v="1"/>
    <x v="23"/>
    <x v="23"/>
    <m/>
    <m/>
    <m/>
    <x v="1"/>
    <m/>
    <m/>
    <m/>
    <m/>
    <m/>
    <x v="0"/>
  </r>
  <r>
    <d v="2021-08-31T00:00:00"/>
    <x v="8"/>
    <x v="0"/>
    <x v="0"/>
    <n v="1300000"/>
    <n v="1300000"/>
    <n v="0"/>
    <x v="540"/>
    <s v="Cali"/>
    <m/>
    <m/>
    <m/>
    <m/>
    <x v="0"/>
  </r>
  <r>
    <d v="2021-08-31T00:00:00"/>
    <x v="8"/>
    <x v="26"/>
    <x v="26"/>
    <n v="-1300000"/>
    <n v="0"/>
    <n v="1300000"/>
    <x v="540"/>
    <s v="Cali"/>
    <m/>
    <m/>
    <m/>
    <m/>
    <x v="0"/>
  </r>
  <r>
    <m/>
    <x v="1"/>
    <x v="23"/>
    <x v="23"/>
    <m/>
    <m/>
    <m/>
    <x v="1"/>
    <m/>
    <m/>
    <m/>
    <m/>
    <m/>
    <x v="0"/>
  </r>
  <r>
    <d v="2021-08-31T00:00:00"/>
    <x v="8"/>
    <x v="0"/>
    <x v="0"/>
    <n v="20000"/>
    <n v="20000"/>
    <n v="0"/>
    <x v="132"/>
    <s v="Cali"/>
    <m/>
    <m/>
    <m/>
    <m/>
    <x v="0"/>
  </r>
  <r>
    <d v="2021-08-31T00:00:00"/>
    <x v="8"/>
    <x v="25"/>
    <x v="25"/>
    <n v="-20000"/>
    <n v="0"/>
    <n v="20000"/>
    <x v="132"/>
    <s v="Cali"/>
    <m/>
    <m/>
    <m/>
    <m/>
    <x v="0"/>
  </r>
  <r>
    <m/>
    <x v="1"/>
    <x v="23"/>
    <x v="23"/>
    <m/>
    <m/>
    <m/>
    <x v="1"/>
    <m/>
    <m/>
    <m/>
    <m/>
    <m/>
    <x v="0"/>
  </r>
  <r>
    <d v="2021-08-31T00:00:00"/>
    <x v="8"/>
    <x v="0"/>
    <x v="0"/>
    <n v="14000"/>
    <n v="14000"/>
    <n v="0"/>
    <x v="289"/>
    <s v="Cali"/>
    <m/>
    <m/>
    <m/>
    <m/>
    <x v="0"/>
  </r>
  <r>
    <d v="2021-08-31T00:00:00"/>
    <x v="8"/>
    <x v="26"/>
    <x v="26"/>
    <n v="-14000"/>
    <n v="0"/>
    <n v="14000"/>
    <x v="289"/>
    <s v="Cali"/>
    <m/>
    <m/>
    <m/>
    <m/>
    <x v="0"/>
  </r>
  <r>
    <m/>
    <x v="1"/>
    <x v="23"/>
    <x v="23"/>
    <m/>
    <m/>
    <m/>
    <x v="1"/>
    <m/>
    <m/>
    <m/>
    <m/>
    <m/>
    <x v="0"/>
  </r>
  <r>
    <d v="2021-08-31T00:00:00"/>
    <x v="8"/>
    <x v="0"/>
    <x v="0"/>
    <n v="55000"/>
    <n v="55000"/>
    <n v="0"/>
    <x v="65"/>
    <s v="Cali"/>
    <m/>
    <m/>
    <m/>
    <m/>
    <x v="0"/>
  </r>
  <r>
    <d v="2021-08-31T00:00:00"/>
    <x v="8"/>
    <x v="29"/>
    <x v="29"/>
    <n v="-55000"/>
    <n v="0"/>
    <n v="5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8-31T00:00:00"/>
    <x v="8"/>
    <x v="0"/>
    <x v="0"/>
    <n v="20000"/>
    <n v="20000"/>
    <n v="0"/>
    <x v="65"/>
    <s v="Cali"/>
    <m/>
    <m/>
    <m/>
    <m/>
    <x v="0"/>
  </r>
  <r>
    <d v="2021-08-31T00:00:00"/>
    <x v="8"/>
    <x v="29"/>
    <x v="29"/>
    <n v="-20000"/>
    <n v="0"/>
    <n v="2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d v="2021-08-31T00:00:00"/>
    <x v="8"/>
    <x v="13"/>
    <x v="13"/>
    <n v="30000"/>
    <n v="30000"/>
    <n v="0"/>
    <x v="465"/>
    <s v="Cali"/>
    <m/>
    <m/>
    <m/>
    <m/>
    <x v="0"/>
  </r>
  <r>
    <d v="2021-08-31T00:00:00"/>
    <x v="8"/>
    <x v="13"/>
    <x v="13"/>
    <n v="1000000"/>
    <n v="1000000"/>
    <n v="0"/>
    <x v="541"/>
    <s v="Cali"/>
    <m/>
    <m/>
    <m/>
    <m/>
    <x v="0"/>
  </r>
  <r>
    <d v="2021-08-31T00:00:00"/>
    <x v="8"/>
    <x v="13"/>
    <x v="13"/>
    <n v="30000"/>
    <n v="30000"/>
    <n v="0"/>
    <x v="405"/>
    <s v="Cali"/>
    <m/>
    <m/>
    <m/>
    <m/>
    <x v="0"/>
  </r>
  <r>
    <d v="2021-08-31T00:00:00"/>
    <x v="8"/>
    <x v="13"/>
    <x v="13"/>
    <n v="500000"/>
    <n v="500000"/>
    <n v="0"/>
    <x v="542"/>
    <s v="Cali"/>
    <m/>
    <m/>
    <m/>
    <m/>
    <x v="0"/>
  </r>
  <r>
    <d v="2021-08-31T00:00:00"/>
    <x v="8"/>
    <x v="13"/>
    <x v="13"/>
    <n v="20000"/>
    <n v="20000"/>
    <n v="0"/>
    <x v="299"/>
    <s v="Cali"/>
    <m/>
    <m/>
    <m/>
    <m/>
    <x v="0"/>
  </r>
  <r>
    <d v="2021-08-31T00:00:00"/>
    <x v="8"/>
    <x v="13"/>
    <x v="13"/>
    <n v="90000"/>
    <n v="90000"/>
    <n v="0"/>
    <x v="463"/>
    <s v="Cali"/>
    <m/>
    <m/>
    <m/>
    <m/>
    <x v="0"/>
  </r>
  <r>
    <d v="2021-08-31T00:00:00"/>
    <x v="8"/>
    <x v="13"/>
    <x v="13"/>
    <n v="50000"/>
    <n v="50000"/>
    <n v="0"/>
    <x v="357"/>
    <s v="Cali"/>
    <m/>
    <m/>
    <m/>
    <m/>
    <x v="0"/>
  </r>
  <r>
    <d v="2021-08-31T00:00:00"/>
    <x v="8"/>
    <x v="13"/>
    <x v="13"/>
    <n v="100000"/>
    <n v="100000"/>
    <n v="0"/>
    <x v="220"/>
    <s v="Cali"/>
    <m/>
    <m/>
    <m/>
    <m/>
    <x v="0"/>
  </r>
  <r>
    <d v="2021-08-31T00:00:00"/>
    <x v="8"/>
    <x v="13"/>
    <x v="13"/>
    <n v="-46890"/>
    <n v="-46890"/>
    <n v="0"/>
    <x v="543"/>
    <s v="Cali"/>
    <m/>
    <m/>
    <m/>
    <m/>
    <x v="0"/>
  </r>
  <r>
    <d v="2021-08-31T00:00:00"/>
    <x v="8"/>
    <x v="13"/>
    <x v="13"/>
    <n v="30000"/>
    <n v="30000"/>
    <n v="0"/>
    <x v="221"/>
    <s v="Cali"/>
    <m/>
    <m/>
    <m/>
    <m/>
    <x v="0"/>
  </r>
  <r>
    <d v="2021-08-31T00:00:00"/>
    <x v="8"/>
    <x v="13"/>
    <x v="13"/>
    <n v="20000"/>
    <n v="20000"/>
    <n v="0"/>
    <x v="335"/>
    <s v="Cali"/>
    <m/>
    <m/>
    <m/>
    <m/>
    <x v="0"/>
  </r>
  <r>
    <d v="2021-08-31T00:00:00"/>
    <x v="8"/>
    <x v="13"/>
    <x v="13"/>
    <n v="70000"/>
    <n v="70000"/>
    <n v="0"/>
    <x v="544"/>
    <s v="Cali"/>
    <m/>
    <m/>
    <m/>
    <m/>
    <x v="0"/>
  </r>
  <r>
    <d v="2021-08-31T00:00:00"/>
    <x v="8"/>
    <x v="13"/>
    <x v="13"/>
    <n v="21000"/>
    <n v="21000"/>
    <n v="0"/>
    <x v="545"/>
    <s v="Cali"/>
    <m/>
    <m/>
    <m/>
    <m/>
    <x v="0"/>
  </r>
  <r>
    <d v="2021-08-31T00:00:00"/>
    <x v="8"/>
    <x v="13"/>
    <x v="13"/>
    <n v="70000"/>
    <n v="70000"/>
    <n v="0"/>
    <x v="546"/>
    <s v="Cali"/>
    <m/>
    <m/>
    <m/>
    <m/>
    <x v="0"/>
  </r>
  <r>
    <d v="2021-08-31T00:00:00"/>
    <x v="8"/>
    <x v="13"/>
    <x v="13"/>
    <n v="15000"/>
    <n v="15000"/>
    <n v="0"/>
    <x v="301"/>
    <s v="Cali"/>
    <m/>
    <m/>
    <m/>
    <m/>
    <x v="0"/>
  </r>
  <r>
    <d v="2021-08-31T00:00:00"/>
    <x v="8"/>
    <x v="13"/>
    <x v="13"/>
    <n v="50000"/>
    <n v="50000"/>
    <n v="0"/>
    <x v="407"/>
    <s v="Cali"/>
    <s v="80965500-8"/>
    <s v="PROYECTOS Y CONSTRUCCIONES TASCO LIMITADA"/>
    <n v="2995"/>
    <m/>
    <x v="0"/>
  </r>
  <r>
    <d v="2021-08-31T00:00:00"/>
    <x v="8"/>
    <x v="13"/>
    <x v="13"/>
    <n v="35000"/>
    <n v="35000"/>
    <n v="0"/>
    <x v="547"/>
    <s v="Cali"/>
    <s v="80965500-8"/>
    <s v="PROYECTOS Y CONSTRUCCIONES TASCO LIMITADA"/>
    <n v="2995"/>
    <m/>
    <x v="0"/>
  </r>
  <r>
    <d v="2021-08-31T00:00:00"/>
    <x v="8"/>
    <x v="13"/>
    <x v="13"/>
    <n v="30000"/>
    <n v="30000"/>
    <n v="0"/>
    <x v="304"/>
    <s v="Cali"/>
    <s v="80965500-8"/>
    <s v="PROYECTOS Y CONSTRUCCIONES TASCO LIMITADA"/>
    <n v="2995"/>
    <m/>
    <x v="0"/>
  </r>
  <r>
    <d v="2021-08-31T00:00:00"/>
    <x v="8"/>
    <x v="29"/>
    <x v="29"/>
    <n v="-30000"/>
    <n v="0"/>
    <n v="30000"/>
    <x v="465"/>
    <s v="Cali"/>
    <s v="80965500-8"/>
    <s v="PROYECTOS Y CONSTRUCCIONES TASCO LIMITADA"/>
    <n v="2995"/>
    <m/>
    <x v="0"/>
  </r>
  <r>
    <d v="2021-08-31T00:00:00"/>
    <x v="8"/>
    <x v="26"/>
    <x v="26"/>
    <n v="-1000000"/>
    <n v="0"/>
    <n v="1000000"/>
    <x v="541"/>
    <s v="Cali"/>
    <m/>
    <m/>
    <m/>
    <m/>
    <x v="0"/>
  </r>
  <r>
    <d v="2021-08-31T00:00:00"/>
    <x v="8"/>
    <x v="26"/>
    <x v="26"/>
    <n v="-30000"/>
    <n v="0"/>
    <n v="30000"/>
    <x v="405"/>
    <s v="Cali"/>
    <s v="80965500-8"/>
    <s v="PROYECTOS Y CONSTRUCCIONES TASCO LIMITADA"/>
    <n v="2995"/>
    <m/>
    <x v="0"/>
  </r>
  <r>
    <d v="2021-08-31T00:00:00"/>
    <x v="8"/>
    <x v="26"/>
    <x v="26"/>
    <n v="-500000"/>
    <n v="0"/>
    <n v="500000"/>
    <x v="542"/>
    <s v="Cali"/>
    <s v="80965500-8"/>
    <s v="PROYECTOS Y CONSTRUCCIONES TASCO LIMITADA"/>
    <n v="2995"/>
    <m/>
    <x v="0"/>
  </r>
  <r>
    <d v="2021-08-31T00:00:00"/>
    <x v="8"/>
    <x v="26"/>
    <x v="26"/>
    <n v="-20000"/>
    <n v="0"/>
    <n v="20000"/>
    <x v="299"/>
    <s v="Cali"/>
    <m/>
    <m/>
    <m/>
    <m/>
    <x v="0"/>
  </r>
  <r>
    <d v="2021-08-31T00:00:00"/>
    <x v="8"/>
    <x v="25"/>
    <x v="25"/>
    <n v="-90000"/>
    <n v="0"/>
    <n v="90000"/>
    <x v="463"/>
    <s v="Cali"/>
    <s v="89485200-3"/>
    <s v="COZ Y COMPAÃ‘IA S.A."/>
    <n v="6271"/>
    <s v="138-01"/>
    <x v="3"/>
  </r>
  <r>
    <d v="2021-08-31T00:00:00"/>
    <x v="8"/>
    <x v="26"/>
    <x v="26"/>
    <n v="-50000"/>
    <n v="0"/>
    <n v="50000"/>
    <x v="357"/>
    <s v="Cali"/>
    <s v="89485200-3"/>
    <s v="COZ Y COMPAÃ‘IA S.A."/>
    <n v="6271"/>
    <s v="138-01"/>
    <x v="3"/>
  </r>
  <r>
    <d v="2021-08-31T00:00:00"/>
    <x v="8"/>
    <x v="25"/>
    <x v="25"/>
    <n v="-100000"/>
    <n v="0"/>
    <n v="100000"/>
    <x v="220"/>
    <s v="Cali"/>
    <m/>
    <m/>
    <m/>
    <m/>
    <x v="0"/>
  </r>
  <r>
    <d v="2021-08-31T00:00:00"/>
    <x v="8"/>
    <x v="17"/>
    <x v="17"/>
    <n v="46890"/>
    <n v="0"/>
    <n v="-46890"/>
    <x v="543"/>
    <s v="Cali"/>
    <m/>
    <m/>
    <m/>
    <m/>
    <x v="0"/>
  </r>
  <r>
    <d v="2021-08-31T00:00:00"/>
    <x v="8"/>
    <x v="25"/>
    <x v="25"/>
    <n v="-30000"/>
    <n v="0"/>
    <n v="30000"/>
    <x v="221"/>
    <s v="Cali"/>
    <m/>
    <m/>
    <m/>
    <m/>
    <x v="0"/>
  </r>
  <r>
    <d v="2021-08-31T00:00:00"/>
    <x v="8"/>
    <x v="26"/>
    <x v="26"/>
    <n v="-20000"/>
    <n v="0"/>
    <n v="20000"/>
    <x v="335"/>
    <s v="Cali"/>
    <m/>
    <m/>
    <m/>
    <m/>
    <x v="0"/>
  </r>
  <r>
    <d v="2021-08-31T00:00:00"/>
    <x v="8"/>
    <x v="25"/>
    <x v="25"/>
    <n v="-70000"/>
    <n v="0"/>
    <n v="70000"/>
    <x v="544"/>
    <s v="Cali"/>
    <m/>
    <m/>
    <m/>
    <m/>
    <x v="0"/>
  </r>
  <r>
    <d v="2021-08-31T00:00:00"/>
    <x v="8"/>
    <x v="27"/>
    <x v="27"/>
    <n v="-21000"/>
    <n v="0"/>
    <n v="21000"/>
    <x v="545"/>
    <s v="Cali"/>
    <m/>
    <m/>
    <m/>
    <m/>
    <x v="0"/>
  </r>
  <r>
    <d v="2021-08-31T00:00:00"/>
    <x v="8"/>
    <x v="25"/>
    <x v="25"/>
    <n v="-70000"/>
    <n v="0"/>
    <n v="70000"/>
    <x v="546"/>
    <s v="Cali"/>
    <m/>
    <m/>
    <m/>
    <m/>
    <x v="0"/>
  </r>
  <r>
    <d v="2021-08-31T00:00:00"/>
    <x v="8"/>
    <x v="25"/>
    <x v="25"/>
    <n v="-15000"/>
    <n v="0"/>
    <n v="15000"/>
    <x v="301"/>
    <s v="Cali"/>
    <m/>
    <m/>
    <m/>
    <m/>
    <x v="0"/>
  </r>
  <r>
    <d v="2021-08-31T00:00:00"/>
    <x v="8"/>
    <x v="25"/>
    <x v="25"/>
    <n v="-50000"/>
    <n v="0"/>
    <n v="50000"/>
    <x v="407"/>
    <s v="Cali"/>
    <m/>
    <m/>
    <m/>
    <m/>
    <x v="0"/>
  </r>
  <r>
    <d v="2021-08-31T00:00:00"/>
    <x v="8"/>
    <x v="29"/>
    <x v="29"/>
    <n v="-35000"/>
    <n v="0"/>
    <n v="35000"/>
    <x v="547"/>
    <s v="Cali"/>
    <m/>
    <m/>
    <m/>
    <m/>
    <x v="0"/>
  </r>
  <r>
    <d v="2021-08-31T00:00:00"/>
    <x v="8"/>
    <x v="25"/>
    <x v="25"/>
    <n v="-30000"/>
    <n v="0"/>
    <n v="30000"/>
    <x v="304"/>
    <s v="Cali"/>
    <m/>
    <m/>
    <m/>
    <m/>
    <x v="0"/>
  </r>
  <r>
    <m/>
    <x v="1"/>
    <x v="23"/>
    <x v="23"/>
    <m/>
    <m/>
    <m/>
    <x v="1"/>
    <m/>
    <m/>
    <m/>
    <m/>
    <m/>
    <x v="0"/>
  </r>
  <r>
    <d v="2021-08-31T00:00:00"/>
    <x v="8"/>
    <x v="32"/>
    <x v="32"/>
    <n v="-602000"/>
    <n v="0"/>
    <n v="602000"/>
    <x v="548"/>
    <s v="Cali"/>
    <m/>
    <m/>
    <m/>
    <m/>
    <x v="0"/>
  </r>
  <r>
    <d v="2021-08-31T00:00:00"/>
    <x v="8"/>
    <x v="33"/>
    <x v="33"/>
    <n v="0"/>
    <n v="0"/>
    <n v="0"/>
    <x v="548"/>
    <s v="Cali"/>
    <m/>
    <m/>
    <m/>
    <m/>
    <x v="0"/>
  </r>
  <r>
    <d v="2021-08-31T00:00:00"/>
    <x v="8"/>
    <x v="34"/>
    <x v="34"/>
    <n v="-1044000"/>
    <n v="0"/>
    <n v="1044000"/>
    <x v="548"/>
    <s v="Cali"/>
    <m/>
    <m/>
    <m/>
    <m/>
    <x v="0"/>
  </r>
  <r>
    <d v="2021-08-31T00:00:00"/>
    <x v="8"/>
    <x v="35"/>
    <x v="35"/>
    <n v="-3787000"/>
    <n v="0"/>
    <n v="3787000"/>
    <x v="548"/>
    <s v="Cali"/>
    <m/>
    <m/>
    <m/>
    <m/>
    <x v="0"/>
  </r>
  <r>
    <d v="2021-08-31T00:00:00"/>
    <x v="8"/>
    <x v="36"/>
    <x v="36"/>
    <n v="-4190600"/>
    <n v="0"/>
    <n v="4190600"/>
    <x v="548"/>
    <s v="Cali"/>
    <m/>
    <m/>
    <m/>
    <m/>
    <x v="0"/>
  </r>
  <r>
    <d v="2021-08-31T00:00:00"/>
    <x v="8"/>
    <x v="37"/>
    <x v="37"/>
    <n v="-7622213"/>
    <n v="0"/>
    <n v="7622213"/>
    <x v="548"/>
    <s v="Cali"/>
    <m/>
    <m/>
    <m/>
    <m/>
    <x v="0"/>
  </r>
  <r>
    <d v="2021-08-31T00:00:00"/>
    <x v="8"/>
    <x v="29"/>
    <x v="29"/>
    <n v="602000"/>
    <n v="602000"/>
    <n v="0"/>
    <x v="548"/>
    <s v="Cali"/>
    <m/>
    <m/>
    <m/>
    <m/>
    <x v="0"/>
  </r>
  <r>
    <d v="2021-08-31T00:00:00"/>
    <x v="8"/>
    <x v="27"/>
    <x v="27"/>
    <n v="1044000"/>
    <n v="1044000"/>
    <n v="0"/>
    <x v="548"/>
    <s v="Cali"/>
    <m/>
    <m/>
    <m/>
    <m/>
    <x v="0"/>
  </r>
  <r>
    <d v="2021-08-31T00:00:00"/>
    <x v="8"/>
    <x v="25"/>
    <x v="25"/>
    <n v="3787000"/>
    <n v="3787000"/>
    <n v="0"/>
    <x v="548"/>
    <s v="Cali"/>
    <m/>
    <m/>
    <m/>
    <m/>
    <x v="0"/>
  </r>
  <r>
    <d v="2021-08-31T00:00:00"/>
    <x v="8"/>
    <x v="5"/>
    <x v="5"/>
    <n v="11812813"/>
    <n v="11812813"/>
    <n v="0"/>
    <x v="548"/>
    <s v="Cali"/>
    <m/>
    <m/>
    <m/>
    <m/>
    <x v="0"/>
  </r>
  <r>
    <d v="2021-08-31T00:00:00"/>
    <x v="8"/>
    <x v="15"/>
    <x v="15"/>
    <n v="-3050908"/>
    <n v="0"/>
    <n v="3050908"/>
    <x v="548"/>
    <s v="Cali"/>
    <m/>
    <m/>
    <m/>
    <m/>
    <x v="0"/>
  </r>
  <r>
    <d v="2021-08-31T00:00:00"/>
    <x v="8"/>
    <x v="38"/>
    <x v="38"/>
    <n v="3050908"/>
    <n v="3050908"/>
    <n v="0"/>
    <x v="548"/>
    <s v="Cali"/>
    <m/>
    <m/>
    <m/>
    <m/>
    <x v="0"/>
  </r>
  <r>
    <d v="2021-08-31T00:00:00"/>
    <x v="8"/>
    <x v="16"/>
    <x v="16"/>
    <n v="-72240"/>
    <n v="0"/>
    <n v="72240"/>
    <x v="548"/>
    <s v="Cali"/>
    <m/>
    <m/>
    <m/>
    <m/>
    <x v="0"/>
  </r>
  <r>
    <d v="2021-08-31T00:00:00"/>
    <x v="8"/>
    <x v="14"/>
    <x v="14"/>
    <n v="-172458"/>
    <n v="0"/>
    <n v="172458"/>
    <x v="548"/>
    <s v="Cali"/>
    <m/>
    <m/>
    <m/>
    <m/>
    <x v="0"/>
  </r>
  <r>
    <d v="2021-08-31T00:00:00"/>
    <x v="8"/>
    <x v="39"/>
    <x v="39"/>
    <n v="72240"/>
    <n v="72240"/>
    <n v="0"/>
    <x v="548"/>
    <s v="Cali"/>
    <m/>
    <m/>
    <m/>
    <m/>
    <x v="0"/>
  </r>
  <r>
    <d v="2021-08-31T00:00:00"/>
    <x v="8"/>
    <x v="40"/>
    <x v="40"/>
    <n v="172458"/>
    <n v="172458"/>
    <n v="0"/>
    <x v="548"/>
    <s v="Cali"/>
    <m/>
    <m/>
    <m/>
    <m/>
    <x v="0"/>
  </r>
  <r>
    <d v="2021-08-31T00:00:00"/>
    <x v="8"/>
    <x v="41"/>
    <x v="41"/>
    <n v="-6153463"/>
    <n v="0"/>
    <n v="6153463"/>
    <x v="548"/>
    <s v="Cali"/>
    <m/>
    <m/>
    <m/>
    <m/>
    <x v="0"/>
  </r>
  <r>
    <d v="2021-08-31T00:00:00"/>
    <x v="8"/>
    <x v="42"/>
    <x v="42"/>
    <n v="-1975500"/>
    <n v="0"/>
    <n v="1975500"/>
    <x v="548"/>
    <s v="Cali"/>
    <m/>
    <m/>
    <m/>
    <m/>
    <x v="0"/>
  </r>
  <r>
    <d v="2021-08-31T00:00:00"/>
    <x v="8"/>
    <x v="43"/>
    <x v="43"/>
    <n v="423695"/>
    <n v="423695"/>
    <n v="0"/>
    <x v="548"/>
    <s v="Cali"/>
    <m/>
    <m/>
    <m/>
    <m/>
    <x v="0"/>
  </r>
  <r>
    <d v="2021-08-31T00:00:00"/>
    <x v="8"/>
    <x v="43"/>
    <x v="43"/>
    <n v="49388"/>
    <n v="49388"/>
    <n v="0"/>
    <x v="548"/>
    <s v="Cali"/>
    <m/>
    <m/>
    <m/>
    <m/>
    <x v="0"/>
  </r>
  <r>
    <d v="2021-08-31T00:00:00"/>
    <x v="8"/>
    <x v="38"/>
    <x v="38"/>
    <n v="3400940"/>
    <n v="3400940"/>
    <n v="0"/>
    <x v="548"/>
    <s v="Cali"/>
    <m/>
    <m/>
    <m/>
    <m/>
    <x v="0"/>
  </r>
  <r>
    <d v="2021-08-31T00:00:00"/>
    <x v="8"/>
    <x v="40"/>
    <x v="40"/>
    <n v="61535"/>
    <n v="61535"/>
    <n v="0"/>
    <x v="548"/>
    <s v="Cali"/>
    <m/>
    <m/>
    <m/>
    <m/>
    <x v="0"/>
  </r>
  <r>
    <d v="2021-08-31T00:00:00"/>
    <x v="8"/>
    <x v="40"/>
    <x v="40"/>
    <n v="19755"/>
    <n v="19755"/>
    <n v="0"/>
    <x v="548"/>
    <s v="Cali"/>
    <m/>
    <m/>
    <m/>
    <m/>
    <x v="0"/>
  </r>
  <r>
    <d v="2021-08-31T00:00:00"/>
    <x v="8"/>
    <x v="44"/>
    <x v="44"/>
    <n v="2267293"/>
    <n v="2267293"/>
    <n v="0"/>
    <x v="548"/>
    <s v="Cali"/>
    <m/>
    <m/>
    <m/>
    <m/>
    <x v="0"/>
  </r>
  <r>
    <d v="2021-08-31T00:00:00"/>
    <x v="8"/>
    <x v="45"/>
    <x v="45"/>
    <n v="1906357"/>
    <n v="1906357"/>
    <n v="0"/>
    <x v="548"/>
    <s v="Cali"/>
    <m/>
    <m/>
    <m/>
    <m/>
    <x v="0"/>
  </r>
  <r>
    <d v="2021-08-31T00:00:00"/>
    <x v="8"/>
    <x v="5"/>
    <x v="5"/>
    <n v="-140572"/>
    <n v="0"/>
    <n v="140572"/>
    <x v="548"/>
    <s v="Cali"/>
    <m/>
    <m/>
    <m/>
    <m/>
    <x v="0"/>
  </r>
  <r>
    <d v="2021-08-31T00:00:00"/>
    <x v="8"/>
    <x v="30"/>
    <x v="30"/>
    <n v="140572"/>
    <n v="140572"/>
    <n v="0"/>
    <x v="548"/>
    <s v="Cali"/>
    <m/>
    <m/>
    <m/>
    <m/>
    <x v="0"/>
  </r>
  <r>
    <m/>
    <x v="1"/>
    <x v="23"/>
    <x v="23"/>
    <m/>
    <m/>
    <m/>
    <x v="1"/>
    <m/>
    <m/>
    <m/>
    <m/>
    <m/>
    <x v="0"/>
  </r>
  <r>
    <d v="2021-08-06T00:00:00"/>
    <x v="8"/>
    <x v="1"/>
    <x v="1"/>
    <n v="26701746"/>
    <n v="26701746"/>
    <n v="0"/>
    <x v="448"/>
    <s v="Cali"/>
    <m/>
    <m/>
    <m/>
    <m/>
    <x v="0"/>
  </r>
  <r>
    <d v="2021-08-06T00:00:00"/>
    <x v="8"/>
    <x v="12"/>
    <x v="12"/>
    <n v="-26701746"/>
    <n v="0"/>
    <n v="26701746"/>
    <x v="448"/>
    <s v="Cali"/>
    <m/>
    <m/>
    <m/>
    <m/>
    <x v="0"/>
  </r>
  <r>
    <m/>
    <x v="1"/>
    <x v="23"/>
    <x v="23"/>
    <m/>
    <m/>
    <m/>
    <x v="1"/>
    <m/>
    <m/>
    <m/>
    <m/>
    <m/>
    <x v="0"/>
  </r>
  <r>
    <d v="2021-08-06T00:00:00"/>
    <x v="8"/>
    <x v="31"/>
    <x v="31"/>
    <n v="1607"/>
    <n v="1607"/>
    <n v="0"/>
    <x v="215"/>
    <s v="Cali"/>
    <m/>
    <m/>
    <m/>
    <m/>
    <x v="0"/>
  </r>
  <r>
    <d v="2021-08-06T00:00:00"/>
    <x v="8"/>
    <x v="1"/>
    <x v="1"/>
    <n v="-1607"/>
    <n v="0"/>
    <n v="1607"/>
    <x v="215"/>
    <s v="Cali"/>
    <m/>
    <m/>
    <m/>
    <m/>
    <x v="0"/>
  </r>
  <r>
    <m/>
    <x v="1"/>
    <x v="23"/>
    <x v="23"/>
    <m/>
    <m/>
    <m/>
    <x v="1"/>
    <m/>
    <m/>
    <m/>
    <m/>
    <m/>
    <x v="0"/>
  </r>
  <r>
    <d v="2021-08-06T00:00:00"/>
    <x v="8"/>
    <x v="31"/>
    <x v="31"/>
    <n v="305"/>
    <n v="305"/>
    <n v="0"/>
    <x v="215"/>
    <s v="Cali"/>
    <m/>
    <m/>
    <m/>
    <m/>
    <x v="0"/>
  </r>
  <r>
    <d v="2021-08-06T00:00:00"/>
    <x v="8"/>
    <x v="1"/>
    <x v="1"/>
    <n v="-305"/>
    <n v="0"/>
    <n v="305"/>
    <x v="215"/>
    <s v="Cali"/>
    <m/>
    <m/>
    <m/>
    <m/>
    <x v="0"/>
  </r>
  <r>
    <m/>
    <x v="1"/>
    <x v="23"/>
    <x v="23"/>
    <m/>
    <m/>
    <m/>
    <x v="1"/>
    <m/>
    <m/>
    <m/>
    <m/>
    <m/>
    <x v="0"/>
  </r>
  <r>
    <d v="2021-08-16T00:00:00"/>
    <x v="8"/>
    <x v="1"/>
    <x v="1"/>
    <n v="55000000"/>
    <n v="55000000"/>
    <n v="0"/>
    <x v="499"/>
    <s v="Cali"/>
    <m/>
    <m/>
    <m/>
    <m/>
    <x v="0"/>
  </r>
  <r>
    <d v="2021-08-16T00:00:00"/>
    <x v="8"/>
    <x v="3"/>
    <x v="3"/>
    <n v="-55000000"/>
    <n v="0"/>
    <n v="55000000"/>
    <x v="499"/>
    <s v="Cali"/>
    <m/>
    <m/>
    <m/>
    <m/>
    <x v="0"/>
  </r>
  <r>
    <m/>
    <x v="1"/>
    <x v="23"/>
    <x v="23"/>
    <m/>
    <m/>
    <m/>
    <x v="1"/>
    <m/>
    <m/>
    <m/>
    <m/>
    <m/>
    <x v="0"/>
  </r>
  <r>
    <d v="2021-08-18T00:00:00"/>
    <x v="8"/>
    <x v="11"/>
    <x v="11"/>
    <n v="-14840291"/>
    <n v="0"/>
    <n v="14840291"/>
    <x v="549"/>
    <s v="Cali"/>
    <m/>
    <m/>
    <m/>
    <m/>
    <x v="0"/>
  </r>
  <r>
    <d v="2021-08-18T00:00:00"/>
    <x v="8"/>
    <x v="8"/>
    <x v="8"/>
    <n v="126186115"/>
    <n v="126186115"/>
    <n v="0"/>
    <x v="129"/>
    <s v="Cali"/>
    <m/>
    <m/>
    <m/>
    <m/>
    <x v="0"/>
  </r>
  <r>
    <d v="2021-08-18T00:00:00"/>
    <x v="8"/>
    <x v="18"/>
    <x v="18"/>
    <n v="-5463800"/>
    <n v="0"/>
    <n v="5463800"/>
    <x v="550"/>
    <s v="Cali"/>
    <m/>
    <m/>
    <m/>
    <m/>
    <x v="0"/>
  </r>
  <r>
    <d v="2021-08-18T00:00:00"/>
    <x v="8"/>
    <x v="48"/>
    <x v="48"/>
    <n v="-105882024"/>
    <n v="0"/>
    <n v="105882024"/>
    <x v="551"/>
    <s v="Cali"/>
    <m/>
    <m/>
    <m/>
    <m/>
    <x v="0"/>
  </r>
  <r>
    <m/>
    <x v="1"/>
    <x v="23"/>
    <x v="23"/>
    <m/>
    <m/>
    <m/>
    <x v="1"/>
    <m/>
    <m/>
    <m/>
    <m/>
    <m/>
    <x v="0"/>
  </r>
  <r>
    <d v="2021-08-18T00:00:00"/>
    <x v="8"/>
    <x v="48"/>
    <x v="48"/>
    <n v="105882024"/>
    <n v="105882024"/>
    <n v="0"/>
    <x v="552"/>
    <s v="Cali"/>
    <m/>
    <m/>
    <m/>
    <m/>
    <x v="0"/>
  </r>
  <r>
    <d v="2021-08-18T00:00:00"/>
    <x v="8"/>
    <x v="1"/>
    <x v="1"/>
    <n v="-105882024"/>
    <n v="0"/>
    <n v="105882024"/>
    <x v="552"/>
    <s v="Cali"/>
    <m/>
    <m/>
    <m/>
    <m/>
    <x v="0"/>
  </r>
  <r>
    <m/>
    <x v="1"/>
    <x v="23"/>
    <x v="23"/>
    <m/>
    <m/>
    <m/>
    <x v="1"/>
    <m/>
    <m/>
    <m/>
    <m/>
    <m/>
    <x v="0"/>
  </r>
  <r>
    <d v="2021-08-18T00:00:00"/>
    <x v="8"/>
    <x v="12"/>
    <x v="12"/>
    <n v="4314301"/>
    <n v="4314301"/>
    <n v="0"/>
    <x v="553"/>
    <s v="Cali"/>
    <m/>
    <m/>
    <m/>
    <m/>
    <x v="0"/>
  </r>
  <r>
    <d v="2021-08-18T00:00:00"/>
    <x v="8"/>
    <x v="1"/>
    <x v="1"/>
    <n v="-4314301"/>
    <n v="0"/>
    <n v="4314301"/>
    <x v="553"/>
    <s v="Cali"/>
    <m/>
    <m/>
    <m/>
    <m/>
    <x v="0"/>
  </r>
  <r>
    <m/>
    <x v="1"/>
    <x v="23"/>
    <x v="23"/>
    <m/>
    <m/>
    <m/>
    <x v="1"/>
    <m/>
    <m/>
    <m/>
    <m/>
    <m/>
    <x v="0"/>
  </r>
  <r>
    <d v="2021-08-27T00:00:00"/>
    <x v="8"/>
    <x v="1"/>
    <x v="1"/>
    <n v="5000000"/>
    <n v="5000000"/>
    <n v="0"/>
    <x v="499"/>
    <s v="Cali"/>
    <m/>
    <m/>
    <m/>
    <m/>
    <x v="0"/>
  </r>
  <r>
    <d v="2021-08-27T00:00:00"/>
    <x v="8"/>
    <x v="3"/>
    <x v="3"/>
    <n v="-5000000"/>
    <n v="0"/>
    <n v="5000000"/>
    <x v="499"/>
    <s v="Cali"/>
    <m/>
    <m/>
    <m/>
    <m/>
    <x v="0"/>
  </r>
  <r>
    <m/>
    <x v="1"/>
    <x v="23"/>
    <x v="23"/>
    <m/>
    <m/>
    <m/>
    <x v="1"/>
    <m/>
    <m/>
    <m/>
    <m/>
    <m/>
    <x v="0"/>
  </r>
  <r>
    <d v="2021-08-10T00:00:00"/>
    <x v="8"/>
    <x v="31"/>
    <x v="31"/>
    <n v="6725"/>
    <n v="6725"/>
    <n v="0"/>
    <x v="554"/>
    <s v="Cali"/>
    <m/>
    <m/>
    <m/>
    <m/>
    <x v="0"/>
  </r>
  <r>
    <d v="2021-08-10T00:00:00"/>
    <x v="8"/>
    <x v="51"/>
    <x v="51"/>
    <n v="-6725"/>
    <n v="0"/>
    <n v="6725"/>
    <x v="554"/>
    <s v="Cali"/>
    <m/>
    <m/>
    <m/>
    <m/>
    <x v="0"/>
  </r>
  <r>
    <m/>
    <x v="1"/>
    <x v="23"/>
    <x v="23"/>
    <m/>
    <m/>
    <m/>
    <x v="1"/>
    <m/>
    <m/>
    <m/>
    <m/>
    <m/>
    <x v="0"/>
  </r>
  <r>
    <d v="2021-08-24T00:00:00"/>
    <x v="8"/>
    <x v="51"/>
    <x v="51"/>
    <n v="580000"/>
    <n v="580000"/>
    <n v="0"/>
    <x v="555"/>
    <s v="Cali"/>
    <m/>
    <m/>
    <m/>
    <m/>
    <x v="0"/>
  </r>
  <r>
    <d v="2021-08-24T00:00:00"/>
    <x v="8"/>
    <x v="25"/>
    <x v="25"/>
    <n v="-580000"/>
    <n v="0"/>
    <n v="580000"/>
    <x v="555"/>
    <s v="Cali"/>
    <m/>
    <m/>
    <m/>
    <m/>
    <x v="0"/>
  </r>
  <r>
    <m/>
    <x v="1"/>
    <x v="23"/>
    <x v="23"/>
    <m/>
    <m/>
    <m/>
    <x v="1"/>
    <m/>
    <m/>
    <m/>
    <m/>
    <m/>
    <x v="0"/>
  </r>
  <r>
    <d v="2021-08-31T00:00:00"/>
    <x v="8"/>
    <x v="48"/>
    <x v="48"/>
    <n v="224"/>
    <n v="224"/>
    <n v="0"/>
    <x v="556"/>
    <s v="Cali"/>
    <m/>
    <m/>
    <m/>
    <m/>
    <x v="0"/>
  </r>
  <r>
    <d v="2021-08-31T00:00:00"/>
    <x v="8"/>
    <x v="31"/>
    <x v="31"/>
    <n v="-224"/>
    <n v="0"/>
    <n v="224"/>
    <x v="556"/>
    <s v="Cali"/>
    <m/>
    <m/>
    <m/>
    <m/>
    <x v="0"/>
  </r>
  <r>
    <m/>
    <x v="1"/>
    <x v="23"/>
    <x v="23"/>
    <m/>
    <m/>
    <m/>
    <x v="1"/>
    <m/>
    <m/>
    <m/>
    <m/>
    <m/>
    <x v="0"/>
  </r>
  <r>
    <d v="2021-08-31T00:00:00"/>
    <x v="8"/>
    <x v="46"/>
    <x v="46"/>
    <n v="0"/>
    <n v="0"/>
    <n v="0"/>
    <x v="110"/>
    <s v="Cali"/>
    <m/>
    <m/>
    <m/>
    <m/>
    <x v="0"/>
  </r>
  <r>
    <d v="2021-08-31T00:00:00"/>
    <x v="8"/>
    <x v="47"/>
    <x v="47"/>
    <n v="0"/>
    <n v="0"/>
    <n v="0"/>
    <x v="110"/>
    <s v="Cali"/>
    <m/>
    <m/>
    <m/>
    <m/>
    <x v="0"/>
  </r>
  <r>
    <m/>
    <x v="1"/>
    <x v="23"/>
    <x v="23"/>
    <m/>
    <m/>
    <m/>
    <x v="1"/>
    <m/>
    <m/>
    <m/>
    <m/>
    <m/>
    <x v="0"/>
  </r>
  <r>
    <d v="2021-08-31T00:00:00"/>
    <x v="8"/>
    <x v="2"/>
    <x v="2"/>
    <n v="0"/>
    <n v="0"/>
    <n v="0"/>
    <x v="111"/>
    <s v="Cali"/>
    <m/>
    <m/>
    <m/>
    <m/>
    <x v="0"/>
  </r>
  <r>
    <d v="2021-08-31T00:00:00"/>
    <x v="8"/>
    <x v="47"/>
    <x v="47"/>
    <n v="0"/>
    <n v="0"/>
    <n v="0"/>
    <x v="111"/>
    <s v="Cali"/>
    <m/>
    <m/>
    <m/>
    <m/>
    <x v="0"/>
  </r>
  <r>
    <m/>
    <x v="1"/>
    <x v="23"/>
    <x v="23"/>
    <m/>
    <m/>
    <m/>
    <x v="1"/>
    <m/>
    <m/>
    <m/>
    <m/>
    <m/>
    <x v="0"/>
  </r>
  <r>
    <d v="2021-08-31T00:00:00"/>
    <x v="8"/>
    <x v="3"/>
    <x v="3"/>
    <n v="23143"/>
    <n v="23143"/>
    <n v="0"/>
    <x v="112"/>
    <s v="Cali"/>
    <m/>
    <m/>
    <m/>
    <m/>
    <x v="0"/>
  </r>
  <r>
    <d v="2021-08-31T00:00:00"/>
    <x v="8"/>
    <x v="47"/>
    <x v="47"/>
    <n v="-23143"/>
    <n v="0"/>
    <n v="23143"/>
    <x v="112"/>
    <s v="Cali"/>
    <m/>
    <m/>
    <m/>
    <m/>
    <x v="0"/>
  </r>
  <r>
    <m/>
    <x v="1"/>
    <x v="23"/>
    <x v="23"/>
    <m/>
    <m/>
    <m/>
    <x v="1"/>
    <m/>
    <m/>
    <m/>
    <m/>
    <m/>
    <x v="0"/>
  </r>
  <r>
    <d v="2021-08-31T00:00:00"/>
    <x v="8"/>
    <x v="53"/>
    <x v="53"/>
    <n v="0"/>
    <n v="0"/>
    <n v="0"/>
    <x v="305"/>
    <s v="Cali"/>
    <m/>
    <m/>
    <m/>
    <m/>
    <x v="0"/>
  </r>
  <r>
    <d v="2021-08-31T00:00:00"/>
    <x v="8"/>
    <x v="47"/>
    <x v="47"/>
    <n v="0"/>
    <n v="0"/>
    <n v="0"/>
    <x v="305"/>
    <s v="Cali"/>
    <m/>
    <m/>
    <m/>
    <m/>
    <x v="0"/>
  </r>
  <r>
    <m/>
    <x v="1"/>
    <x v="23"/>
    <x v="23"/>
    <m/>
    <m/>
    <m/>
    <x v="1"/>
    <m/>
    <m/>
    <m/>
    <m/>
    <m/>
    <x v="0"/>
  </r>
  <r>
    <d v="2021-08-31T00:00:00"/>
    <x v="8"/>
    <x v="4"/>
    <x v="4"/>
    <n v="0"/>
    <n v="0"/>
    <n v="0"/>
    <x v="512"/>
    <s v="Cali"/>
    <m/>
    <m/>
    <m/>
    <m/>
    <x v="0"/>
  </r>
  <r>
    <d v="2021-08-31T00:00:00"/>
    <x v="8"/>
    <x v="29"/>
    <x v="29"/>
    <n v="0"/>
    <n v="0"/>
    <n v="0"/>
    <x v="512"/>
    <s v="Cali"/>
    <m/>
    <m/>
    <m/>
    <m/>
    <x v="0"/>
  </r>
  <r>
    <m/>
    <x v="1"/>
    <x v="23"/>
    <x v="23"/>
    <m/>
    <m/>
    <m/>
    <x v="1"/>
    <m/>
    <m/>
    <m/>
    <m/>
    <m/>
    <x v="0"/>
  </r>
  <r>
    <d v="2021-08-31T00:00:00"/>
    <x v="8"/>
    <x v="31"/>
    <x v="31"/>
    <n v="4"/>
    <n v="4"/>
    <n v="0"/>
    <x v="557"/>
    <s v="Cali"/>
    <m/>
    <m/>
    <m/>
    <m/>
    <x v="0"/>
  </r>
  <r>
    <d v="2021-08-31T00:00:00"/>
    <x v="8"/>
    <x v="44"/>
    <x v="44"/>
    <n v="-10"/>
    <n v="0"/>
    <n v="10"/>
    <x v="557"/>
    <s v="Cali"/>
    <m/>
    <m/>
    <m/>
    <m/>
    <x v="0"/>
  </r>
  <r>
    <d v="2021-08-31T00:00:00"/>
    <x v="8"/>
    <x v="45"/>
    <x v="45"/>
    <n v="6"/>
    <n v="6"/>
    <n v="0"/>
    <x v="557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20000"/>
    <n v="20000"/>
    <n v="0"/>
    <x v="151"/>
    <s v="Cali"/>
    <m/>
    <m/>
    <m/>
    <m/>
    <x v="0"/>
  </r>
  <r>
    <d v="2021-09-01T00:00:00"/>
    <x v="9"/>
    <x v="25"/>
    <x v="25"/>
    <n v="-20000"/>
    <n v="0"/>
    <n v="20000"/>
    <x v="151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20000"/>
    <n v="20000"/>
    <n v="0"/>
    <x v="308"/>
    <s v="Cali"/>
    <m/>
    <m/>
    <m/>
    <m/>
    <x v="0"/>
  </r>
  <r>
    <d v="2021-09-01T00:00:00"/>
    <x v="9"/>
    <x v="25"/>
    <x v="25"/>
    <n v="-20000"/>
    <n v="0"/>
    <n v="20000"/>
    <x v="308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30000"/>
    <n v="30000"/>
    <n v="0"/>
    <x v="309"/>
    <s v="Cali"/>
    <m/>
    <m/>
    <m/>
    <m/>
    <x v="0"/>
  </r>
  <r>
    <d v="2021-09-01T00:00:00"/>
    <x v="9"/>
    <x v="26"/>
    <x v="26"/>
    <n v="-30000"/>
    <n v="0"/>
    <n v="30000"/>
    <x v="309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10000"/>
    <n v="10000"/>
    <n v="0"/>
    <x v="142"/>
    <s v="Cali"/>
    <m/>
    <m/>
    <m/>
    <m/>
    <x v="0"/>
  </r>
  <r>
    <d v="2021-09-01T00:00:00"/>
    <x v="9"/>
    <x v="25"/>
    <x v="25"/>
    <n v="-10000"/>
    <n v="0"/>
    <n v="10000"/>
    <x v="142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50000"/>
    <n v="50000"/>
    <n v="0"/>
    <x v="143"/>
    <s v="Cali"/>
    <m/>
    <m/>
    <m/>
    <m/>
    <x v="0"/>
  </r>
  <r>
    <d v="2021-09-01T00:00:00"/>
    <x v="9"/>
    <x v="25"/>
    <x v="25"/>
    <n v="-50000"/>
    <n v="0"/>
    <n v="50000"/>
    <x v="143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48000"/>
    <n v="48000"/>
    <n v="0"/>
    <x v="144"/>
    <s v="Cali"/>
    <m/>
    <m/>
    <m/>
    <m/>
    <x v="0"/>
  </r>
  <r>
    <d v="2021-09-01T00:00:00"/>
    <x v="9"/>
    <x v="27"/>
    <x v="27"/>
    <n v="-48000"/>
    <n v="0"/>
    <n v="48000"/>
    <x v="144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40000"/>
    <n v="40000"/>
    <n v="0"/>
    <x v="145"/>
    <s v="Cali"/>
    <m/>
    <m/>
    <m/>
    <m/>
    <x v="0"/>
  </r>
  <r>
    <d v="2021-09-01T00:00:00"/>
    <x v="9"/>
    <x v="25"/>
    <x v="25"/>
    <n v="-40000"/>
    <n v="0"/>
    <n v="40000"/>
    <x v="145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20000"/>
    <n v="20000"/>
    <n v="0"/>
    <x v="17"/>
    <s v="Cali"/>
    <m/>
    <m/>
    <m/>
    <m/>
    <x v="0"/>
  </r>
  <r>
    <d v="2021-09-01T00:00:00"/>
    <x v="9"/>
    <x v="25"/>
    <x v="25"/>
    <n v="-20000"/>
    <n v="0"/>
    <n v="20000"/>
    <x v="17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40000"/>
    <n v="40000"/>
    <n v="0"/>
    <x v="168"/>
    <s v="Cali"/>
    <m/>
    <m/>
    <m/>
    <m/>
    <x v="0"/>
  </r>
  <r>
    <d v="2021-09-01T00:00:00"/>
    <x v="9"/>
    <x v="26"/>
    <x v="26"/>
    <n v="-40000"/>
    <n v="0"/>
    <n v="40000"/>
    <x v="168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30000"/>
    <n v="30000"/>
    <n v="0"/>
    <x v="147"/>
    <s v="Cali"/>
    <m/>
    <m/>
    <m/>
    <m/>
    <x v="0"/>
  </r>
  <r>
    <d v="2021-09-01T00:00:00"/>
    <x v="9"/>
    <x v="26"/>
    <x v="26"/>
    <n v="-30000"/>
    <n v="0"/>
    <n v="30000"/>
    <x v="147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20000"/>
    <n v="20000"/>
    <n v="0"/>
    <x v="146"/>
    <s v="Cali"/>
    <m/>
    <m/>
    <m/>
    <m/>
    <x v="0"/>
  </r>
  <r>
    <d v="2021-09-01T00:00:00"/>
    <x v="9"/>
    <x v="26"/>
    <x v="26"/>
    <n v="-20000"/>
    <n v="0"/>
    <n v="20000"/>
    <x v="146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15000"/>
    <n v="15000"/>
    <n v="0"/>
    <x v="415"/>
    <s v="Cali"/>
    <m/>
    <m/>
    <m/>
    <m/>
    <x v="0"/>
  </r>
  <r>
    <d v="2021-09-01T00:00:00"/>
    <x v="9"/>
    <x v="25"/>
    <x v="25"/>
    <n v="-15000"/>
    <n v="0"/>
    <n v="15000"/>
    <x v="415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70000"/>
    <n v="70000"/>
    <n v="0"/>
    <x v="515"/>
    <s v="Cali"/>
    <m/>
    <m/>
    <m/>
    <m/>
    <x v="0"/>
  </r>
  <r>
    <d v="2021-09-01T00:00:00"/>
    <x v="9"/>
    <x v="26"/>
    <x v="26"/>
    <n v="-70000"/>
    <n v="0"/>
    <n v="70000"/>
    <x v="515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15000"/>
    <n v="15000"/>
    <n v="0"/>
    <x v="364"/>
    <s v="Cali"/>
    <m/>
    <m/>
    <m/>
    <m/>
    <x v="0"/>
  </r>
  <r>
    <d v="2021-09-01T00:00:00"/>
    <x v="9"/>
    <x v="25"/>
    <x v="25"/>
    <n v="-15000"/>
    <n v="0"/>
    <n v="15000"/>
    <x v="364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15000"/>
    <n v="15000"/>
    <n v="0"/>
    <x v="148"/>
    <s v="Cali"/>
    <m/>
    <m/>
    <m/>
    <m/>
    <x v="0"/>
  </r>
  <r>
    <d v="2021-09-01T00:00:00"/>
    <x v="9"/>
    <x v="25"/>
    <x v="25"/>
    <n v="-15000"/>
    <n v="0"/>
    <n v="15000"/>
    <x v="148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30000"/>
    <n v="30000"/>
    <n v="0"/>
    <x v="514"/>
    <s v="Cali"/>
    <m/>
    <m/>
    <m/>
    <m/>
    <x v="0"/>
  </r>
  <r>
    <d v="2021-09-01T00:00:00"/>
    <x v="9"/>
    <x v="25"/>
    <x v="25"/>
    <n v="-30000"/>
    <n v="0"/>
    <n v="30000"/>
    <x v="514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30000"/>
    <n v="30000"/>
    <n v="0"/>
    <x v="307"/>
    <s v="Cali"/>
    <m/>
    <m/>
    <m/>
    <m/>
    <x v="0"/>
  </r>
  <r>
    <d v="2021-09-01T00:00:00"/>
    <x v="9"/>
    <x v="25"/>
    <x v="25"/>
    <n v="-30000"/>
    <n v="0"/>
    <n v="30000"/>
    <x v="307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80000"/>
    <n v="80000"/>
    <n v="0"/>
    <x v="517"/>
    <s v="Cali"/>
    <m/>
    <m/>
    <m/>
    <m/>
    <x v="0"/>
  </r>
  <r>
    <d v="2021-09-01T00:00:00"/>
    <x v="9"/>
    <x v="19"/>
    <x v="19"/>
    <n v="-80000"/>
    <n v="0"/>
    <n v="80000"/>
    <x v="517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40000"/>
    <n v="40000"/>
    <n v="0"/>
    <x v="558"/>
    <s v="Cali"/>
    <m/>
    <m/>
    <m/>
    <m/>
    <x v="0"/>
  </r>
  <r>
    <d v="2021-09-01T00:00:00"/>
    <x v="9"/>
    <x v="27"/>
    <x v="27"/>
    <n v="-40000"/>
    <n v="0"/>
    <n v="40000"/>
    <x v="558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45000"/>
    <n v="45000"/>
    <n v="0"/>
    <x v="161"/>
    <s v="Cali"/>
    <m/>
    <m/>
    <m/>
    <m/>
    <x v="0"/>
  </r>
  <r>
    <d v="2021-09-01T00:00:00"/>
    <x v="9"/>
    <x v="26"/>
    <x v="26"/>
    <n v="-45000"/>
    <n v="0"/>
    <n v="45000"/>
    <x v="161"/>
    <s v="Cali"/>
    <m/>
    <m/>
    <m/>
    <m/>
    <x v="0"/>
  </r>
  <r>
    <m/>
    <x v="1"/>
    <x v="23"/>
    <x v="23"/>
    <m/>
    <m/>
    <m/>
    <x v="1"/>
    <m/>
    <m/>
    <m/>
    <m/>
    <m/>
    <x v="0"/>
  </r>
  <r>
    <d v="2021-09-01T00:00:00"/>
    <x v="9"/>
    <x v="0"/>
    <x v="0"/>
    <n v="20000"/>
    <n v="20000"/>
    <n v="0"/>
    <x v="246"/>
    <s v="Cali"/>
    <m/>
    <m/>
    <m/>
    <m/>
    <x v="0"/>
  </r>
  <r>
    <d v="2021-09-01T00:00:00"/>
    <x v="9"/>
    <x v="25"/>
    <x v="25"/>
    <n v="-20000"/>
    <n v="0"/>
    <n v="20000"/>
    <x v="246"/>
    <s v="Cali"/>
    <m/>
    <m/>
    <m/>
    <m/>
    <x v="0"/>
  </r>
  <r>
    <m/>
    <x v="1"/>
    <x v="23"/>
    <x v="23"/>
    <m/>
    <m/>
    <m/>
    <x v="1"/>
    <m/>
    <m/>
    <m/>
    <m/>
    <m/>
    <x v="0"/>
  </r>
  <r>
    <d v="2021-09-02T00:00:00"/>
    <x v="9"/>
    <x v="0"/>
    <x v="0"/>
    <n v="200000"/>
    <n v="200000"/>
    <n v="0"/>
    <x v="242"/>
    <s v="Cali"/>
    <m/>
    <m/>
    <m/>
    <m/>
    <x v="0"/>
  </r>
  <r>
    <d v="2021-09-02T00:00:00"/>
    <x v="9"/>
    <x v="26"/>
    <x v="26"/>
    <n v="-200000"/>
    <n v="0"/>
    <n v="200000"/>
    <x v="242"/>
    <s v="Cali"/>
    <m/>
    <m/>
    <m/>
    <m/>
    <x v="0"/>
  </r>
  <r>
    <m/>
    <x v="1"/>
    <x v="23"/>
    <x v="23"/>
    <m/>
    <m/>
    <m/>
    <x v="1"/>
    <m/>
    <m/>
    <m/>
    <m/>
    <m/>
    <x v="0"/>
  </r>
  <r>
    <d v="2021-09-02T00:00:00"/>
    <x v="9"/>
    <x v="0"/>
    <x v="0"/>
    <n v="20000"/>
    <n v="20000"/>
    <n v="0"/>
    <x v="205"/>
    <s v="Cali"/>
    <m/>
    <m/>
    <m/>
    <m/>
    <x v="0"/>
  </r>
  <r>
    <d v="2021-09-02T00:00:00"/>
    <x v="9"/>
    <x v="27"/>
    <x v="27"/>
    <n v="-20000"/>
    <n v="0"/>
    <n v="20000"/>
    <x v="205"/>
    <s v="Cali"/>
    <m/>
    <m/>
    <m/>
    <m/>
    <x v="0"/>
  </r>
  <r>
    <m/>
    <x v="1"/>
    <x v="23"/>
    <x v="23"/>
    <m/>
    <m/>
    <m/>
    <x v="1"/>
    <m/>
    <m/>
    <m/>
    <m/>
    <m/>
    <x v="0"/>
  </r>
  <r>
    <d v="2021-09-02T00:00:00"/>
    <x v="9"/>
    <x v="0"/>
    <x v="0"/>
    <n v="20000"/>
    <n v="20000"/>
    <n v="0"/>
    <x v="165"/>
    <s v="Cali"/>
    <m/>
    <m/>
    <m/>
    <m/>
    <x v="0"/>
  </r>
  <r>
    <d v="2021-09-02T00:00:00"/>
    <x v="9"/>
    <x v="25"/>
    <x v="25"/>
    <n v="-20000"/>
    <n v="0"/>
    <n v="20000"/>
    <x v="165"/>
    <s v="Cali"/>
    <m/>
    <m/>
    <m/>
    <m/>
    <x v="0"/>
  </r>
  <r>
    <m/>
    <x v="1"/>
    <x v="23"/>
    <x v="23"/>
    <m/>
    <m/>
    <m/>
    <x v="1"/>
    <m/>
    <m/>
    <m/>
    <m/>
    <m/>
    <x v="0"/>
  </r>
  <r>
    <d v="2021-09-02T00:00:00"/>
    <x v="9"/>
    <x v="0"/>
    <x v="0"/>
    <n v="20000"/>
    <n v="20000"/>
    <n v="0"/>
    <x v="137"/>
    <s v="Cali"/>
    <m/>
    <m/>
    <m/>
    <m/>
    <x v="0"/>
  </r>
  <r>
    <d v="2021-09-02T00:00:00"/>
    <x v="9"/>
    <x v="26"/>
    <x v="26"/>
    <n v="-20000"/>
    <n v="0"/>
    <n v="20000"/>
    <x v="137"/>
    <s v="Cali"/>
    <m/>
    <m/>
    <m/>
    <m/>
    <x v="0"/>
  </r>
  <r>
    <m/>
    <x v="1"/>
    <x v="23"/>
    <x v="23"/>
    <m/>
    <m/>
    <m/>
    <x v="1"/>
    <m/>
    <m/>
    <m/>
    <m/>
    <m/>
    <x v="0"/>
  </r>
  <r>
    <d v="2021-09-02T00:00:00"/>
    <x v="9"/>
    <x v="0"/>
    <x v="0"/>
    <n v="20000"/>
    <n v="20000"/>
    <n v="0"/>
    <x v="175"/>
    <s v="Cali"/>
    <m/>
    <m/>
    <m/>
    <m/>
    <x v="0"/>
  </r>
  <r>
    <d v="2021-09-02T00:00:00"/>
    <x v="9"/>
    <x v="25"/>
    <x v="25"/>
    <n v="-20000"/>
    <n v="0"/>
    <n v="20000"/>
    <x v="175"/>
    <s v="Cali"/>
    <m/>
    <m/>
    <m/>
    <m/>
    <x v="0"/>
  </r>
  <r>
    <m/>
    <x v="1"/>
    <x v="23"/>
    <x v="23"/>
    <m/>
    <m/>
    <m/>
    <x v="1"/>
    <m/>
    <m/>
    <m/>
    <m/>
    <m/>
    <x v="0"/>
  </r>
  <r>
    <d v="2021-09-02T00:00:00"/>
    <x v="9"/>
    <x v="0"/>
    <x v="0"/>
    <n v="160000"/>
    <n v="160000"/>
    <n v="0"/>
    <x v="22"/>
    <s v="Cali"/>
    <m/>
    <m/>
    <m/>
    <m/>
    <x v="0"/>
  </r>
  <r>
    <d v="2021-09-02T00:00:00"/>
    <x v="9"/>
    <x v="27"/>
    <x v="27"/>
    <n v="-160000"/>
    <n v="0"/>
    <n v="160000"/>
    <x v="22"/>
    <s v="Cali"/>
    <m/>
    <m/>
    <m/>
    <m/>
    <x v="0"/>
  </r>
  <r>
    <m/>
    <x v="1"/>
    <x v="23"/>
    <x v="23"/>
    <m/>
    <m/>
    <m/>
    <x v="1"/>
    <m/>
    <m/>
    <m/>
    <m/>
    <m/>
    <x v="0"/>
  </r>
  <r>
    <d v="2021-09-02T00:00:00"/>
    <x v="9"/>
    <x v="0"/>
    <x v="0"/>
    <n v="60000"/>
    <n v="60000"/>
    <n v="0"/>
    <x v="372"/>
    <s v="Cali"/>
    <m/>
    <m/>
    <m/>
    <m/>
    <x v="0"/>
  </r>
  <r>
    <d v="2021-09-02T00:00:00"/>
    <x v="9"/>
    <x v="25"/>
    <x v="25"/>
    <n v="-60000"/>
    <n v="0"/>
    <n v="60000"/>
    <x v="372"/>
    <s v="Cali"/>
    <m/>
    <m/>
    <m/>
    <m/>
    <x v="0"/>
  </r>
  <r>
    <m/>
    <x v="1"/>
    <x v="23"/>
    <x v="23"/>
    <m/>
    <m/>
    <m/>
    <x v="1"/>
    <m/>
    <m/>
    <m/>
    <m/>
    <m/>
    <x v="0"/>
  </r>
  <r>
    <d v="2021-09-03T00:00:00"/>
    <x v="9"/>
    <x v="0"/>
    <x v="0"/>
    <n v="12000"/>
    <n v="12000"/>
    <n v="0"/>
    <x v="310"/>
    <s v="Cali"/>
    <m/>
    <m/>
    <m/>
    <m/>
    <x v="0"/>
  </r>
  <r>
    <d v="2021-09-03T00:00:00"/>
    <x v="9"/>
    <x v="25"/>
    <x v="25"/>
    <n v="-12000"/>
    <n v="0"/>
    <n v="12000"/>
    <x v="310"/>
    <s v="Cali"/>
    <m/>
    <m/>
    <m/>
    <m/>
    <x v="0"/>
  </r>
  <r>
    <m/>
    <x v="1"/>
    <x v="23"/>
    <x v="23"/>
    <m/>
    <m/>
    <m/>
    <x v="1"/>
    <m/>
    <m/>
    <m/>
    <m/>
    <m/>
    <x v="0"/>
  </r>
  <r>
    <d v="2021-09-03T00:00:00"/>
    <x v="9"/>
    <x v="0"/>
    <x v="0"/>
    <n v="30000"/>
    <n v="30000"/>
    <n v="0"/>
    <x v="164"/>
    <s v="Cali"/>
    <m/>
    <m/>
    <m/>
    <m/>
    <x v="0"/>
  </r>
  <r>
    <d v="2021-09-03T00:00:00"/>
    <x v="9"/>
    <x v="26"/>
    <x v="26"/>
    <n v="-30000"/>
    <n v="0"/>
    <n v="30000"/>
    <x v="164"/>
    <s v="Cali"/>
    <m/>
    <m/>
    <m/>
    <m/>
    <x v="0"/>
  </r>
  <r>
    <m/>
    <x v="1"/>
    <x v="23"/>
    <x v="23"/>
    <m/>
    <m/>
    <m/>
    <x v="1"/>
    <m/>
    <m/>
    <m/>
    <m/>
    <m/>
    <x v="0"/>
  </r>
  <r>
    <d v="2021-09-03T00:00:00"/>
    <x v="9"/>
    <x v="0"/>
    <x v="0"/>
    <n v="20000"/>
    <n v="20000"/>
    <n v="0"/>
    <x v="199"/>
    <s v="Cali"/>
    <m/>
    <m/>
    <m/>
    <m/>
    <x v="0"/>
  </r>
  <r>
    <d v="2021-09-03T00:00:00"/>
    <x v="9"/>
    <x v="27"/>
    <x v="27"/>
    <n v="-20000"/>
    <n v="0"/>
    <n v="20000"/>
    <x v="199"/>
    <s v="Cali"/>
    <m/>
    <m/>
    <m/>
    <m/>
    <x v="0"/>
  </r>
  <r>
    <m/>
    <x v="1"/>
    <x v="23"/>
    <x v="23"/>
    <m/>
    <m/>
    <m/>
    <x v="1"/>
    <m/>
    <m/>
    <m/>
    <m/>
    <m/>
    <x v="0"/>
  </r>
  <r>
    <d v="2021-09-03T00:00:00"/>
    <x v="9"/>
    <x v="0"/>
    <x v="0"/>
    <n v="29382"/>
    <n v="29382"/>
    <n v="0"/>
    <x v="248"/>
    <s v="Cali"/>
    <m/>
    <m/>
    <m/>
    <m/>
    <x v="0"/>
  </r>
  <r>
    <d v="2021-09-03T00:00:00"/>
    <x v="9"/>
    <x v="26"/>
    <x v="26"/>
    <n v="-29382"/>
    <n v="0"/>
    <n v="29382"/>
    <x v="248"/>
    <s v="Cali"/>
    <m/>
    <m/>
    <m/>
    <m/>
    <x v="0"/>
  </r>
  <r>
    <m/>
    <x v="1"/>
    <x v="23"/>
    <x v="23"/>
    <m/>
    <m/>
    <m/>
    <x v="1"/>
    <m/>
    <m/>
    <m/>
    <m/>
    <m/>
    <x v="0"/>
  </r>
  <r>
    <d v="2021-09-03T00:00:00"/>
    <x v="9"/>
    <x v="0"/>
    <x v="0"/>
    <n v="70000"/>
    <n v="70000"/>
    <n v="0"/>
    <x v="37"/>
    <s v="Cali"/>
    <m/>
    <m/>
    <m/>
    <m/>
    <x v="0"/>
  </r>
  <r>
    <d v="2021-09-03T00:00:00"/>
    <x v="9"/>
    <x v="25"/>
    <x v="25"/>
    <n v="-70000"/>
    <n v="0"/>
    <n v="70000"/>
    <x v="37"/>
    <s v="Cali"/>
    <m/>
    <m/>
    <m/>
    <m/>
    <x v="0"/>
  </r>
  <r>
    <m/>
    <x v="1"/>
    <x v="23"/>
    <x v="23"/>
    <m/>
    <m/>
    <m/>
    <x v="1"/>
    <m/>
    <m/>
    <m/>
    <m/>
    <m/>
    <x v="0"/>
  </r>
  <r>
    <d v="2021-09-03T00:00:00"/>
    <x v="9"/>
    <x v="0"/>
    <x v="0"/>
    <n v="25000"/>
    <n v="25000"/>
    <n v="0"/>
    <x v="38"/>
    <s v="Cali"/>
    <m/>
    <m/>
    <m/>
    <m/>
    <x v="0"/>
  </r>
  <r>
    <d v="2021-09-03T00:00:00"/>
    <x v="9"/>
    <x v="25"/>
    <x v="25"/>
    <n v="-25000"/>
    <n v="0"/>
    <n v="25000"/>
    <x v="38"/>
    <s v="Cali"/>
    <m/>
    <m/>
    <m/>
    <m/>
    <x v="0"/>
  </r>
  <r>
    <m/>
    <x v="1"/>
    <x v="23"/>
    <x v="23"/>
    <m/>
    <m/>
    <m/>
    <x v="1"/>
    <m/>
    <m/>
    <m/>
    <m/>
    <m/>
    <x v="0"/>
  </r>
  <r>
    <d v="2021-09-03T00:00:00"/>
    <x v="9"/>
    <x v="0"/>
    <x v="0"/>
    <n v="15000"/>
    <n v="15000"/>
    <n v="0"/>
    <x v="150"/>
    <s v="Cali"/>
    <m/>
    <m/>
    <m/>
    <m/>
    <x v="0"/>
  </r>
  <r>
    <d v="2021-09-03T00:00:00"/>
    <x v="9"/>
    <x v="19"/>
    <x v="19"/>
    <n v="-15000"/>
    <n v="0"/>
    <n v="15000"/>
    <x v="150"/>
    <s v="Cali"/>
    <m/>
    <m/>
    <m/>
    <m/>
    <x v="0"/>
  </r>
  <r>
    <m/>
    <x v="1"/>
    <x v="23"/>
    <x v="23"/>
    <m/>
    <m/>
    <m/>
    <x v="1"/>
    <m/>
    <m/>
    <m/>
    <m/>
    <m/>
    <x v="0"/>
  </r>
  <r>
    <d v="2021-09-03T00:00:00"/>
    <x v="9"/>
    <x v="0"/>
    <x v="0"/>
    <n v="120000"/>
    <n v="120000"/>
    <n v="0"/>
    <x v="155"/>
    <s v="Cali"/>
    <m/>
    <m/>
    <m/>
    <m/>
    <x v="0"/>
  </r>
  <r>
    <d v="2021-09-03T00:00:00"/>
    <x v="9"/>
    <x v="27"/>
    <x v="27"/>
    <n v="-120000"/>
    <n v="0"/>
    <n v="120000"/>
    <x v="155"/>
    <s v="Cali"/>
    <m/>
    <m/>
    <m/>
    <m/>
    <x v="0"/>
  </r>
  <r>
    <m/>
    <x v="1"/>
    <x v="23"/>
    <x v="23"/>
    <m/>
    <m/>
    <m/>
    <x v="1"/>
    <m/>
    <m/>
    <m/>
    <m/>
    <m/>
    <x v="0"/>
  </r>
  <r>
    <d v="2021-09-03T00:00:00"/>
    <x v="9"/>
    <x v="31"/>
    <x v="31"/>
    <n v="1425"/>
    <n v="1425"/>
    <n v="0"/>
    <x v="172"/>
    <s v="Cali"/>
    <m/>
    <m/>
    <m/>
    <m/>
    <x v="0"/>
  </r>
  <r>
    <d v="2021-09-03T00:00:00"/>
    <x v="9"/>
    <x v="0"/>
    <x v="0"/>
    <n v="-1425"/>
    <n v="0"/>
    <n v="1425"/>
    <x v="172"/>
    <s v="Cali"/>
    <m/>
    <m/>
    <m/>
    <m/>
    <x v="0"/>
  </r>
  <r>
    <m/>
    <x v="1"/>
    <x v="23"/>
    <x v="23"/>
    <m/>
    <m/>
    <m/>
    <x v="1"/>
    <m/>
    <m/>
    <m/>
    <m/>
    <m/>
    <x v="0"/>
  </r>
  <r>
    <d v="2021-09-06T00:00:00"/>
    <x v="9"/>
    <x v="0"/>
    <x v="0"/>
    <n v="150000"/>
    <n v="150000"/>
    <n v="0"/>
    <x v="169"/>
    <s v="Cali"/>
    <m/>
    <m/>
    <m/>
    <m/>
    <x v="0"/>
  </r>
  <r>
    <d v="2021-09-06T00:00:00"/>
    <x v="9"/>
    <x v="25"/>
    <x v="25"/>
    <n v="-150000"/>
    <n v="0"/>
    <n v="150000"/>
    <x v="169"/>
    <s v="Cali"/>
    <m/>
    <m/>
    <m/>
    <m/>
    <x v="0"/>
  </r>
  <r>
    <m/>
    <x v="1"/>
    <x v="23"/>
    <x v="23"/>
    <m/>
    <m/>
    <m/>
    <x v="1"/>
    <m/>
    <m/>
    <m/>
    <m/>
    <m/>
    <x v="0"/>
  </r>
  <r>
    <d v="2021-09-06T00:00:00"/>
    <x v="9"/>
    <x v="0"/>
    <x v="0"/>
    <n v="100000"/>
    <n v="100000"/>
    <n v="0"/>
    <x v="363"/>
    <s v="Cali"/>
    <m/>
    <m/>
    <m/>
    <m/>
    <x v="0"/>
  </r>
  <r>
    <d v="2021-09-06T00:00:00"/>
    <x v="9"/>
    <x v="25"/>
    <x v="25"/>
    <n v="-100000"/>
    <n v="0"/>
    <n v="100000"/>
    <x v="363"/>
    <s v="Cali"/>
    <m/>
    <m/>
    <m/>
    <m/>
    <x v="0"/>
  </r>
  <r>
    <m/>
    <x v="1"/>
    <x v="23"/>
    <x v="23"/>
    <m/>
    <m/>
    <m/>
    <x v="1"/>
    <m/>
    <m/>
    <m/>
    <m/>
    <m/>
    <x v="0"/>
  </r>
  <r>
    <d v="2021-09-06T00:00:00"/>
    <x v="9"/>
    <x v="0"/>
    <x v="0"/>
    <n v="75000"/>
    <n v="75000"/>
    <n v="0"/>
    <x v="316"/>
    <s v="Cali"/>
    <m/>
    <m/>
    <m/>
    <m/>
    <x v="0"/>
  </r>
  <r>
    <d v="2021-09-06T00:00:00"/>
    <x v="9"/>
    <x v="25"/>
    <x v="25"/>
    <n v="-75000"/>
    <n v="0"/>
    <n v="75000"/>
    <x v="316"/>
    <s v="Cali"/>
    <m/>
    <m/>
    <m/>
    <m/>
    <x v="0"/>
  </r>
  <r>
    <m/>
    <x v="1"/>
    <x v="23"/>
    <x v="23"/>
    <m/>
    <m/>
    <m/>
    <x v="1"/>
    <m/>
    <m/>
    <m/>
    <m/>
    <m/>
    <x v="0"/>
  </r>
  <r>
    <d v="2021-09-06T00:00:00"/>
    <x v="9"/>
    <x v="0"/>
    <x v="0"/>
    <n v="2000"/>
    <n v="2000"/>
    <n v="0"/>
    <x v="177"/>
    <s v="Cali"/>
    <m/>
    <m/>
    <m/>
    <m/>
    <x v="0"/>
  </r>
  <r>
    <d v="2021-09-06T00:00:00"/>
    <x v="9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9-06T00:00:00"/>
    <x v="9"/>
    <x v="0"/>
    <x v="0"/>
    <n v="50000"/>
    <n v="50000"/>
    <n v="0"/>
    <x v="192"/>
    <s v="Cali"/>
    <m/>
    <m/>
    <m/>
    <m/>
    <x v="0"/>
  </r>
  <r>
    <d v="2021-09-06T00:00:00"/>
    <x v="9"/>
    <x v="26"/>
    <x v="26"/>
    <n v="-50000"/>
    <n v="0"/>
    <n v="5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09-06T00:00:00"/>
    <x v="9"/>
    <x v="0"/>
    <x v="0"/>
    <n v="40000"/>
    <n v="40000"/>
    <n v="0"/>
    <x v="176"/>
    <s v="Cali"/>
    <m/>
    <m/>
    <m/>
    <m/>
    <x v="0"/>
  </r>
  <r>
    <d v="2021-09-06T00:00:00"/>
    <x v="9"/>
    <x v="25"/>
    <x v="25"/>
    <n v="-40000"/>
    <n v="0"/>
    <n v="40000"/>
    <x v="176"/>
    <s v="Cali"/>
    <m/>
    <m/>
    <m/>
    <m/>
    <x v="0"/>
  </r>
  <r>
    <m/>
    <x v="1"/>
    <x v="23"/>
    <x v="23"/>
    <m/>
    <m/>
    <m/>
    <x v="1"/>
    <m/>
    <m/>
    <m/>
    <m/>
    <m/>
    <x v="0"/>
  </r>
  <r>
    <d v="2021-09-06T00:00:00"/>
    <x v="9"/>
    <x v="0"/>
    <x v="0"/>
    <n v="50000"/>
    <n v="50000"/>
    <n v="0"/>
    <x v="19"/>
    <s v="Cali"/>
    <m/>
    <m/>
    <m/>
    <m/>
    <x v="0"/>
  </r>
  <r>
    <d v="2021-09-06T00:00:00"/>
    <x v="9"/>
    <x v="25"/>
    <x v="25"/>
    <n v="-50000"/>
    <n v="0"/>
    <n v="50000"/>
    <x v="19"/>
    <s v="Cali"/>
    <m/>
    <m/>
    <m/>
    <m/>
    <x v="0"/>
  </r>
  <r>
    <m/>
    <x v="1"/>
    <x v="23"/>
    <x v="23"/>
    <m/>
    <m/>
    <m/>
    <x v="1"/>
    <m/>
    <m/>
    <m/>
    <m/>
    <m/>
    <x v="0"/>
  </r>
  <r>
    <d v="2021-09-06T00:00:00"/>
    <x v="9"/>
    <x v="0"/>
    <x v="0"/>
    <n v="100000"/>
    <n v="100000"/>
    <n v="0"/>
    <x v="374"/>
    <s v="Cali"/>
    <m/>
    <m/>
    <m/>
    <m/>
    <x v="0"/>
  </r>
  <r>
    <d v="2021-09-06T00:00:00"/>
    <x v="9"/>
    <x v="26"/>
    <x v="26"/>
    <n v="-100000"/>
    <n v="0"/>
    <n v="100000"/>
    <x v="374"/>
    <s v="Cali"/>
    <m/>
    <m/>
    <m/>
    <m/>
    <x v="0"/>
  </r>
  <r>
    <m/>
    <x v="1"/>
    <x v="23"/>
    <x v="23"/>
    <m/>
    <m/>
    <m/>
    <x v="1"/>
    <m/>
    <m/>
    <m/>
    <m/>
    <m/>
    <x v="0"/>
  </r>
  <r>
    <d v="2021-09-07T00:00:00"/>
    <x v="9"/>
    <x v="0"/>
    <x v="0"/>
    <n v="15000"/>
    <n v="15000"/>
    <n v="0"/>
    <x v="282"/>
    <s v="Cali"/>
    <m/>
    <m/>
    <m/>
    <m/>
    <x v="0"/>
  </r>
  <r>
    <d v="2021-09-07T00:00:00"/>
    <x v="9"/>
    <x v="25"/>
    <x v="25"/>
    <n v="-15000"/>
    <n v="0"/>
    <n v="15000"/>
    <x v="282"/>
    <s v="Cali"/>
    <m/>
    <m/>
    <m/>
    <m/>
    <x v="0"/>
  </r>
  <r>
    <m/>
    <x v="1"/>
    <x v="23"/>
    <x v="23"/>
    <m/>
    <m/>
    <m/>
    <x v="1"/>
    <m/>
    <m/>
    <m/>
    <m/>
    <m/>
    <x v="0"/>
  </r>
  <r>
    <d v="2021-09-07T00:00:00"/>
    <x v="9"/>
    <x v="0"/>
    <x v="0"/>
    <n v="99289"/>
    <n v="99289"/>
    <n v="0"/>
    <x v="388"/>
    <s v="Cali"/>
    <m/>
    <m/>
    <m/>
    <m/>
    <x v="0"/>
  </r>
  <r>
    <d v="2021-09-07T00:00:00"/>
    <x v="9"/>
    <x v="27"/>
    <x v="27"/>
    <n v="-99289"/>
    <n v="0"/>
    <n v="99289"/>
    <x v="388"/>
    <s v="Cali"/>
    <m/>
    <m/>
    <m/>
    <m/>
    <x v="0"/>
  </r>
  <r>
    <m/>
    <x v="1"/>
    <x v="23"/>
    <x v="23"/>
    <m/>
    <m/>
    <m/>
    <x v="1"/>
    <m/>
    <m/>
    <m/>
    <m/>
    <m/>
    <x v="0"/>
  </r>
  <r>
    <d v="2021-09-07T00:00:00"/>
    <x v="9"/>
    <x v="0"/>
    <x v="0"/>
    <n v="30000"/>
    <n v="30000"/>
    <n v="0"/>
    <x v="239"/>
    <s v="Cali"/>
    <m/>
    <m/>
    <m/>
    <m/>
    <x v="0"/>
  </r>
  <r>
    <d v="2021-09-07T00:00:00"/>
    <x v="9"/>
    <x v="27"/>
    <x v="27"/>
    <n v="-30000"/>
    <n v="0"/>
    <n v="30000"/>
    <x v="239"/>
    <s v="Cali"/>
    <m/>
    <m/>
    <m/>
    <m/>
    <x v="0"/>
  </r>
  <r>
    <m/>
    <x v="1"/>
    <x v="23"/>
    <x v="23"/>
    <m/>
    <m/>
    <m/>
    <x v="1"/>
    <m/>
    <m/>
    <m/>
    <m/>
    <m/>
    <x v="0"/>
  </r>
  <r>
    <d v="2021-09-07T00:00:00"/>
    <x v="9"/>
    <x v="0"/>
    <x v="0"/>
    <n v="60000"/>
    <n v="60000"/>
    <n v="0"/>
    <x v="160"/>
    <s v="Cali"/>
    <m/>
    <m/>
    <m/>
    <m/>
    <x v="0"/>
  </r>
  <r>
    <d v="2021-09-07T00:00:00"/>
    <x v="9"/>
    <x v="25"/>
    <x v="25"/>
    <n v="-60000"/>
    <n v="0"/>
    <n v="60000"/>
    <x v="160"/>
    <s v="Cali"/>
    <m/>
    <m/>
    <m/>
    <m/>
    <x v="0"/>
  </r>
  <r>
    <m/>
    <x v="1"/>
    <x v="23"/>
    <x v="23"/>
    <m/>
    <m/>
    <m/>
    <x v="1"/>
    <m/>
    <m/>
    <m/>
    <m/>
    <m/>
    <x v="0"/>
  </r>
  <r>
    <d v="2021-09-07T00:00:00"/>
    <x v="9"/>
    <x v="0"/>
    <x v="0"/>
    <n v="30000"/>
    <n v="30000"/>
    <n v="0"/>
    <x v="179"/>
    <s v="Cali"/>
    <m/>
    <m/>
    <m/>
    <m/>
    <x v="0"/>
  </r>
  <r>
    <d v="2021-09-07T00:00:00"/>
    <x v="9"/>
    <x v="25"/>
    <x v="25"/>
    <n v="-30000"/>
    <n v="0"/>
    <n v="30000"/>
    <x v="179"/>
    <s v="Cali"/>
    <m/>
    <m/>
    <m/>
    <m/>
    <x v="0"/>
  </r>
  <r>
    <m/>
    <x v="1"/>
    <x v="23"/>
    <x v="23"/>
    <m/>
    <m/>
    <m/>
    <x v="1"/>
    <m/>
    <m/>
    <m/>
    <m/>
    <m/>
    <x v="0"/>
  </r>
  <r>
    <d v="2021-09-08T00:00:00"/>
    <x v="9"/>
    <x v="0"/>
    <x v="0"/>
    <n v="12000"/>
    <n v="12000"/>
    <n v="0"/>
    <x v="191"/>
    <s v="Cali"/>
    <m/>
    <m/>
    <m/>
    <m/>
    <x v="0"/>
  </r>
  <r>
    <d v="2021-09-08T00:00:00"/>
    <x v="9"/>
    <x v="27"/>
    <x v="27"/>
    <n v="-12000"/>
    <n v="0"/>
    <n v="12000"/>
    <x v="191"/>
    <s v="Cali"/>
    <m/>
    <m/>
    <m/>
    <m/>
    <x v="0"/>
  </r>
  <r>
    <m/>
    <x v="1"/>
    <x v="23"/>
    <x v="23"/>
    <m/>
    <m/>
    <m/>
    <x v="1"/>
    <m/>
    <m/>
    <m/>
    <m/>
    <m/>
    <x v="0"/>
  </r>
  <r>
    <d v="2021-09-08T00:00:00"/>
    <x v="9"/>
    <x v="0"/>
    <x v="0"/>
    <n v="135000"/>
    <n v="135000"/>
    <n v="0"/>
    <x v="65"/>
    <s v="Cali"/>
    <m/>
    <m/>
    <m/>
    <m/>
    <x v="0"/>
  </r>
  <r>
    <d v="2021-09-08T00:00:00"/>
    <x v="9"/>
    <x v="29"/>
    <x v="29"/>
    <n v="-135000"/>
    <n v="0"/>
    <n v="13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9-08T00:00:00"/>
    <x v="9"/>
    <x v="0"/>
    <x v="0"/>
    <n v="35000"/>
    <n v="35000"/>
    <n v="0"/>
    <x v="65"/>
    <s v="Cali"/>
    <m/>
    <m/>
    <m/>
    <m/>
    <x v="0"/>
  </r>
  <r>
    <d v="2021-09-08T00:00:00"/>
    <x v="9"/>
    <x v="4"/>
    <x v="4"/>
    <n v="-35000"/>
    <n v="0"/>
    <n v="3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9-08T00:00:00"/>
    <x v="9"/>
    <x v="0"/>
    <x v="0"/>
    <n v="20000"/>
    <n v="20000"/>
    <n v="0"/>
    <x v="65"/>
    <s v="Cali"/>
    <m/>
    <m/>
    <m/>
    <m/>
    <x v="0"/>
  </r>
  <r>
    <d v="2021-09-08T00:00:00"/>
    <x v="9"/>
    <x v="29"/>
    <x v="29"/>
    <n v="-20000"/>
    <n v="0"/>
    <n v="2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9-09T00:00:00"/>
    <x v="9"/>
    <x v="0"/>
    <x v="0"/>
    <n v="150000"/>
    <n v="150000"/>
    <n v="0"/>
    <x v="251"/>
    <s v="Cali"/>
    <m/>
    <m/>
    <m/>
    <m/>
    <x v="0"/>
  </r>
  <r>
    <d v="2021-09-09T00:00:00"/>
    <x v="9"/>
    <x v="27"/>
    <x v="27"/>
    <n v="-150000"/>
    <n v="0"/>
    <n v="150000"/>
    <x v="251"/>
    <s v="Cali"/>
    <m/>
    <m/>
    <m/>
    <m/>
    <x v="0"/>
  </r>
  <r>
    <m/>
    <x v="1"/>
    <x v="23"/>
    <x v="23"/>
    <m/>
    <m/>
    <m/>
    <x v="1"/>
    <m/>
    <m/>
    <m/>
    <m/>
    <m/>
    <x v="0"/>
  </r>
  <r>
    <d v="2021-09-09T00:00:00"/>
    <x v="9"/>
    <x v="0"/>
    <x v="0"/>
    <n v="15000"/>
    <n v="15000"/>
    <n v="0"/>
    <x v="420"/>
    <s v="Cali"/>
    <m/>
    <m/>
    <m/>
    <m/>
    <x v="0"/>
  </r>
  <r>
    <d v="2021-09-09T00:00:00"/>
    <x v="9"/>
    <x v="26"/>
    <x v="26"/>
    <n v="-15000"/>
    <n v="0"/>
    <n v="15000"/>
    <x v="420"/>
    <s v="Cali"/>
    <m/>
    <m/>
    <m/>
    <m/>
    <x v="0"/>
  </r>
  <r>
    <m/>
    <x v="1"/>
    <x v="23"/>
    <x v="23"/>
    <m/>
    <m/>
    <m/>
    <x v="1"/>
    <m/>
    <m/>
    <m/>
    <m/>
    <m/>
    <x v="0"/>
  </r>
  <r>
    <d v="2021-09-09T00:00:00"/>
    <x v="9"/>
    <x v="0"/>
    <x v="0"/>
    <n v="60000"/>
    <n v="60000"/>
    <n v="0"/>
    <x v="202"/>
    <s v="Cali"/>
    <m/>
    <m/>
    <m/>
    <m/>
    <x v="0"/>
  </r>
  <r>
    <d v="2021-09-09T00:00:00"/>
    <x v="9"/>
    <x v="27"/>
    <x v="27"/>
    <n v="-60000"/>
    <n v="0"/>
    <n v="60000"/>
    <x v="202"/>
    <s v="Cali"/>
    <m/>
    <m/>
    <m/>
    <m/>
    <x v="0"/>
  </r>
  <r>
    <m/>
    <x v="1"/>
    <x v="23"/>
    <x v="23"/>
    <m/>
    <m/>
    <m/>
    <x v="1"/>
    <m/>
    <m/>
    <m/>
    <m/>
    <m/>
    <x v="0"/>
  </r>
  <r>
    <d v="2021-09-09T00:00:00"/>
    <x v="9"/>
    <x v="0"/>
    <x v="0"/>
    <n v="120000"/>
    <n v="120000"/>
    <n v="0"/>
    <x v="559"/>
    <s v="Cali"/>
    <m/>
    <m/>
    <m/>
    <m/>
    <x v="0"/>
  </r>
  <r>
    <d v="2021-09-09T00:00:00"/>
    <x v="9"/>
    <x v="26"/>
    <x v="26"/>
    <n v="-120000"/>
    <n v="0"/>
    <n v="120000"/>
    <x v="559"/>
    <s v="Cali"/>
    <m/>
    <m/>
    <m/>
    <m/>
    <x v="0"/>
  </r>
  <r>
    <m/>
    <x v="1"/>
    <x v="23"/>
    <x v="23"/>
    <m/>
    <m/>
    <m/>
    <x v="1"/>
    <m/>
    <m/>
    <m/>
    <m/>
    <m/>
    <x v="0"/>
  </r>
  <r>
    <d v="2021-09-10T00:00:00"/>
    <x v="9"/>
    <x v="0"/>
    <x v="0"/>
    <n v="1000000"/>
    <n v="1000000"/>
    <n v="0"/>
    <x v="560"/>
    <s v="Cali"/>
    <m/>
    <m/>
    <m/>
    <m/>
    <x v="0"/>
  </r>
  <r>
    <d v="2021-09-10T00:00:00"/>
    <x v="9"/>
    <x v="26"/>
    <x v="26"/>
    <n v="-1000000"/>
    <n v="0"/>
    <n v="1000000"/>
    <x v="560"/>
    <s v="Cali"/>
    <m/>
    <m/>
    <m/>
    <m/>
    <x v="0"/>
  </r>
  <r>
    <m/>
    <x v="1"/>
    <x v="23"/>
    <x v="23"/>
    <m/>
    <m/>
    <m/>
    <x v="1"/>
    <m/>
    <m/>
    <m/>
    <m/>
    <m/>
    <x v="0"/>
  </r>
  <r>
    <d v="2021-09-10T00:00:00"/>
    <x v="9"/>
    <x v="0"/>
    <x v="0"/>
    <n v="40000"/>
    <n v="40000"/>
    <n v="0"/>
    <x v="170"/>
    <s v="Cali"/>
    <m/>
    <m/>
    <m/>
    <m/>
    <x v="0"/>
  </r>
  <r>
    <d v="2021-09-10T00:00:00"/>
    <x v="9"/>
    <x v="26"/>
    <x v="26"/>
    <n v="-40000"/>
    <n v="0"/>
    <n v="40000"/>
    <x v="170"/>
    <s v="Cali"/>
    <m/>
    <m/>
    <m/>
    <m/>
    <x v="0"/>
  </r>
  <r>
    <m/>
    <x v="1"/>
    <x v="23"/>
    <x v="23"/>
    <m/>
    <m/>
    <m/>
    <x v="1"/>
    <m/>
    <m/>
    <m/>
    <m/>
    <m/>
    <x v="0"/>
  </r>
  <r>
    <d v="2021-09-10T00:00:00"/>
    <x v="9"/>
    <x v="0"/>
    <x v="0"/>
    <n v="60000"/>
    <n v="60000"/>
    <n v="0"/>
    <x v="524"/>
    <s v="Cali"/>
    <m/>
    <m/>
    <m/>
    <m/>
    <x v="0"/>
  </r>
  <r>
    <d v="2021-09-10T00:00:00"/>
    <x v="9"/>
    <x v="19"/>
    <x v="19"/>
    <n v="-60000"/>
    <n v="0"/>
    <n v="60000"/>
    <x v="524"/>
    <s v="Cali"/>
    <m/>
    <m/>
    <m/>
    <m/>
    <x v="0"/>
  </r>
  <r>
    <m/>
    <x v="1"/>
    <x v="23"/>
    <x v="23"/>
    <m/>
    <m/>
    <m/>
    <x v="1"/>
    <m/>
    <m/>
    <m/>
    <m/>
    <m/>
    <x v="0"/>
  </r>
  <r>
    <d v="2021-09-10T00:00:00"/>
    <x v="9"/>
    <x v="0"/>
    <x v="0"/>
    <n v="30000"/>
    <n v="30000"/>
    <n v="0"/>
    <x v="256"/>
    <s v="Cali"/>
    <m/>
    <m/>
    <m/>
    <m/>
    <x v="0"/>
  </r>
  <r>
    <d v="2021-09-10T00:00:00"/>
    <x v="9"/>
    <x v="25"/>
    <x v="25"/>
    <n v="-30000"/>
    <n v="0"/>
    <n v="30000"/>
    <x v="256"/>
    <s v="Cali"/>
    <m/>
    <m/>
    <m/>
    <m/>
    <x v="0"/>
  </r>
  <r>
    <m/>
    <x v="1"/>
    <x v="23"/>
    <x v="23"/>
    <m/>
    <m/>
    <m/>
    <x v="1"/>
    <m/>
    <m/>
    <m/>
    <m/>
    <m/>
    <x v="0"/>
  </r>
  <r>
    <d v="2021-09-10T00:00:00"/>
    <x v="9"/>
    <x v="0"/>
    <x v="0"/>
    <n v="30000"/>
    <n v="30000"/>
    <n v="0"/>
    <x v="185"/>
    <s v="Cali"/>
    <m/>
    <m/>
    <m/>
    <m/>
    <x v="0"/>
  </r>
  <r>
    <d v="2021-09-10T00:00:00"/>
    <x v="9"/>
    <x v="25"/>
    <x v="25"/>
    <n v="-30000"/>
    <n v="0"/>
    <n v="30000"/>
    <x v="185"/>
    <s v="Cali"/>
    <m/>
    <m/>
    <m/>
    <m/>
    <x v="0"/>
  </r>
  <r>
    <m/>
    <x v="1"/>
    <x v="23"/>
    <x v="23"/>
    <m/>
    <m/>
    <m/>
    <x v="1"/>
    <m/>
    <m/>
    <m/>
    <m/>
    <m/>
    <x v="0"/>
  </r>
  <r>
    <d v="2021-09-10T00:00:00"/>
    <x v="9"/>
    <x v="0"/>
    <x v="0"/>
    <n v="17000"/>
    <n v="17000"/>
    <n v="0"/>
    <x v="186"/>
    <s v="Cali"/>
    <m/>
    <m/>
    <m/>
    <m/>
    <x v="0"/>
  </r>
  <r>
    <d v="2021-09-10T00:00:00"/>
    <x v="9"/>
    <x v="25"/>
    <x v="25"/>
    <n v="-17000"/>
    <n v="0"/>
    <n v="17000"/>
    <x v="186"/>
    <s v="Cali"/>
    <m/>
    <m/>
    <m/>
    <m/>
    <x v="0"/>
  </r>
  <r>
    <m/>
    <x v="1"/>
    <x v="23"/>
    <x v="23"/>
    <m/>
    <m/>
    <m/>
    <x v="1"/>
    <m/>
    <m/>
    <m/>
    <m/>
    <m/>
    <x v="0"/>
  </r>
  <r>
    <d v="2021-09-10T00:00:00"/>
    <x v="9"/>
    <x v="0"/>
    <x v="0"/>
    <n v="65000"/>
    <n v="65000"/>
    <n v="0"/>
    <x v="64"/>
    <s v="Cali"/>
    <m/>
    <m/>
    <m/>
    <m/>
    <x v="0"/>
  </r>
  <r>
    <d v="2021-09-10T00:00:00"/>
    <x v="9"/>
    <x v="27"/>
    <x v="27"/>
    <n v="-65000"/>
    <n v="0"/>
    <n v="65000"/>
    <x v="64"/>
    <s v="Cali"/>
    <m/>
    <m/>
    <m/>
    <m/>
    <x v="0"/>
  </r>
  <r>
    <m/>
    <x v="1"/>
    <x v="23"/>
    <x v="23"/>
    <m/>
    <m/>
    <m/>
    <x v="1"/>
    <m/>
    <m/>
    <m/>
    <m/>
    <m/>
    <x v="0"/>
  </r>
  <r>
    <d v="2021-09-13T00:00:00"/>
    <x v="9"/>
    <x v="0"/>
    <x v="0"/>
    <n v="50000"/>
    <n v="50000"/>
    <n v="0"/>
    <x v="163"/>
    <s v="Cali"/>
    <m/>
    <m/>
    <m/>
    <m/>
    <x v="0"/>
  </r>
  <r>
    <d v="2021-09-13T00:00:00"/>
    <x v="9"/>
    <x v="25"/>
    <x v="25"/>
    <n v="-50000"/>
    <n v="0"/>
    <n v="50000"/>
    <x v="163"/>
    <s v="Cali"/>
    <m/>
    <m/>
    <m/>
    <m/>
    <x v="0"/>
  </r>
  <r>
    <m/>
    <x v="1"/>
    <x v="23"/>
    <x v="23"/>
    <m/>
    <m/>
    <m/>
    <x v="1"/>
    <m/>
    <m/>
    <m/>
    <m/>
    <m/>
    <x v="0"/>
  </r>
  <r>
    <d v="2021-09-13T00:00:00"/>
    <x v="9"/>
    <x v="0"/>
    <x v="0"/>
    <n v="200000"/>
    <n v="200000"/>
    <n v="0"/>
    <x v="518"/>
    <s v="Cali"/>
    <m/>
    <m/>
    <m/>
    <m/>
    <x v="0"/>
  </r>
  <r>
    <d v="2021-09-13T00:00:00"/>
    <x v="9"/>
    <x v="26"/>
    <x v="26"/>
    <n v="-200000"/>
    <n v="0"/>
    <n v="200000"/>
    <x v="518"/>
    <s v="Cali"/>
    <m/>
    <m/>
    <m/>
    <m/>
    <x v="0"/>
  </r>
  <r>
    <m/>
    <x v="1"/>
    <x v="23"/>
    <x v="23"/>
    <m/>
    <m/>
    <m/>
    <x v="1"/>
    <m/>
    <m/>
    <m/>
    <m/>
    <m/>
    <x v="0"/>
  </r>
  <r>
    <d v="2021-09-13T00:00:00"/>
    <x v="9"/>
    <x v="0"/>
    <x v="0"/>
    <n v="50000"/>
    <n v="50000"/>
    <n v="0"/>
    <x v="561"/>
    <s v="Cali"/>
    <m/>
    <m/>
    <m/>
    <m/>
    <x v="0"/>
  </r>
  <r>
    <d v="2021-09-13T00:00:00"/>
    <x v="9"/>
    <x v="26"/>
    <x v="26"/>
    <n v="-50000"/>
    <n v="0"/>
    <n v="50000"/>
    <x v="561"/>
    <s v="Cali"/>
    <m/>
    <m/>
    <m/>
    <m/>
    <x v="0"/>
  </r>
  <r>
    <m/>
    <x v="1"/>
    <x v="23"/>
    <x v="23"/>
    <m/>
    <m/>
    <m/>
    <x v="1"/>
    <m/>
    <m/>
    <m/>
    <m/>
    <m/>
    <x v="0"/>
  </r>
  <r>
    <d v="2021-09-13T00:00:00"/>
    <x v="9"/>
    <x v="0"/>
    <x v="0"/>
    <n v="40000"/>
    <n v="40000"/>
    <n v="0"/>
    <x v="178"/>
    <s v="Cali"/>
    <m/>
    <m/>
    <m/>
    <m/>
    <x v="0"/>
  </r>
  <r>
    <d v="2021-09-13T00:00:00"/>
    <x v="9"/>
    <x v="25"/>
    <x v="25"/>
    <n v="-40000"/>
    <n v="0"/>
    <n v="40000"/>
    <x v="178"/>
    <s v="Cali"/>
    <m/>
    <m/>
    <m/>
    <m/>
    <x v="0"/>
  </r>
  <r>
    <m/>
    <x v="1"/>
    <x v="23"/>
    <x v="23"/>
    <m/>
    <m/>
    <m/>
    <x v="1"/>
    <m/>
    <m/>
    <m/>
    <m/>
    <m/>
    <x v="0"/>
  </r>
  <r>
    <d v="2021-09-13T00:00:00"/>
    <x v="9"/>
    <x v="0"/>
    <x v="0"/>
    <n v="2000"/>
    <n v="2000"/>
    <n v="0"/>
    <x v="177"/>
    <s v="Cali"/>
    <m/>
    <m/>
    <m/>
    <m/>
    <x v="0"/>
  </r>
  <r>
    <d v="2021-09-13T00:00:00"/>
    <x v="9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9-13T00:00:00"/>
    <x v="9"/>
    <x v="0"/>
    <x v="0"/>
    <n v="20000"/>
    <n v="20000"/>
    <n v="0"/>
    <x v="193"/>
    <s v="Cali"/>
    <m/>
    <m/>
    <m/>
    <m/>
    <x v="0"/>
  </r>
  <r>
    <d v="2021-09-13T00:00:00"/>
    <x v="9"/>
    <x v="26"/>
    <x v="26"/>
    <n v="-20000"/>
    <n v="0"/>
    <n v="20000"/>
    <x v="193"/>
    <s v="Cali"/>
    <m/>
    <m/>
    <m/>
    <m/>
    <x v="0"/>
  </r>
  <r>
    <m/>
    <x v="1"/>
    <x v="23"/>
    <x v="23"/>
    <m/>
    <m/>
    <m/>
    <x v="1"/>
    <m/>
    <m/>
    <m/>
    <m/>
    <m/>
    <x v="0"/>
  </r>
  <r>
    <d v="2021-09-13T00:00:00"/>
    <x v="9"/>
    <x v="0"/>
    <x v="0"/>
    <n v="25000"/>
    <n v="25000"/>
    <n v="0"/>
    <x v="194"/>
    <s v="Cali"/>
    <m/>
    <m/>
    <m/>
    <m/>
    <x v="0"/>
  </r>
  <r>
    <d v="2021-09-13T00:00:00"/>
    <x v="9"/>
    <x v="25"/>
    <x v="25"/>
    <n v="-25000"/>
    <n v="0"/>
    <n v="25000"/>
    <x v="194"/>
    <s v="Cali"/>
    <m/>
    <m/>
    <m/>
    <m/>
    <x v="0"/>
  </r>
  <r>
    <m/>
    <x v="1"/>
    <x v="23"/>
    <x v="23"/>
    <m/>
    <m/>
    <m/>
    <x v="1"/>
    <m/>
    <m/>
    <m/>
    <m/>
    <m/>
    <x v="0"/>
  </r>
  <r>
    <d v="2021-09-13T00:00:00"/>
    <x v="9"/>
    <x v="0"/>
    <x v="0"/>
    <n v="7000"/>
    <n v="7000"/>
    <n v="0"/>
    <x v="261"/>
    <s v="Cali"/>
    <m/>
    <m/>
    <m/>
    <m/>
    <x v="0"/>
  </r>
  <r>
    <d v="2021-09-13T00:00:00"/>
    <x v="9"/>
    <x v="25"/>
    <x v="25"/>
    <n v="-7000"/>
    <n v="0"/>
    <n v="7000"/>
    <x v="261"/>
    <s v="Cali"/>
    <m/>
    <m/>
    <m/>
    <m/>
    <x v="0"/>
  </r>
  <r>
    <m/>
    <x v="1"/>
    <x v="23"/>
    <x v="23"/>
    <m/>
    <m/>
    <m/>
    <x v="1"/>
    <m/>
    <m/>
    <m/>
    <m/>
    <m/>
    <x v="0"/>
  </r>
  <r>
    <d v="2021-09-13T00:00:00"/>
    <x v="9"/>
    <x v="0"/>
    <x v="0"/>
    <n v="1000000"/>
    <n v="1000000"/>
    <n v="0"/>
    <x v="253"/>
    <s v="Cali"/>
    <m/>
    <m/>
    <m/>
    <m/>
    <x v="0"/>
  </r>
  <r>
    <d v="2021-09-13T00:00:00"/>
    <x v="9"/>
    <x v="26"/>
    <x v="26"/>
    <n v="-1000000"/>
    <n v="0"/>
    <n v="1000000"/>
    <x v="253"/>
    <s v="Cali"/>
    <m/>
    <m/>
    <m/>
    <m/>
    <x v="0"/>
  </r>
  <r>
    <m/>
    <x v="1"/>
    <x v="23"/>
    <x v="23"/>
    <m/>
    <m/>
    <m/>
    <x v="1"/>
    <m/>
    <m/>
    <m/>
    <m/>
    <m/>
    <x v="0"/>
  </r>
  <r>
    <d v="2021-09-13T00:00:00"/>
    <x v="9"/>
    <x v="0"/>
    <x v="0"/>
    <n v="25000"/>
    <n v="25000"/>
    <n v="0"/>
    <x v="149"/>
    <s v="Cali"/>
    <m/>
    <m/>
    <m/>
    <m/>
    <x v="0"/>
  </r>
  <r>
    <d v="2021-09-13T00:00:00"/>
    <x v="9"/>
    <x v="27"/>
    <x v="27"/>
    <n v="-25000"/>
    <n v="0"/>
    <n v="25000"/>
    <x v="149"/>
    <s v="Cali"/>
    <m/>
    <m/>
    <m/>
    <m/>
    <x v="0"/>
  </r>
  <r>
    <m/>
    <x v="1"/>
    <x v="23"/>
    <x v="23"/>
    <m/>
    <m/>
    <m/>
    <x v="1"/>
    <m/>
    <m/>
    <m/>
    <m/>
    <m/>
    <x v="0"/>
  </r>
  <r>
    <d v="2021-09-14T00:00:00"/>
    <x v="9"/>
    <x v="0"/>
    <x v="0"/>
    <n v="16650"/>
    <n v="16650"/>
    <n v="0"/>
    <x v="562"/>
    <s v="Cali"/>
    <m/>
    <m/>
    <m/>
    <m/>
    <x v="0"/>
  </r>
  <r>
    <d v="2021-09-14T00:00:00"/>
    <x v="9"/>
    <x v="31"/>
    <x v="31"/>
    <n v="350"/>
    <n v="350"/>
    <n v="0"/>
    <x v="30"/>
    <s v="Cali"/>
    <m/>
    <m/>
    <m/>
    <m/>
    <x v="0"/>
  </r>
  <r>
    <d v="2021-09-14T00:00:00"/>
    <x v="9"/>
    <x v="25"/>
    <x v="25"/>
    <n v="-17000"/>
    <n v="0"/>
    <n v="17000"/>
    <x v="562"/>
    <s v="Cali"/>
    <m/>
    <m/>
    <m/>
    <m/>
    <x v="0"/>
  </r>
  <r>
    <m/>
    <x v="1"/>
    <x v="23"/>
    <x v="23"/>
    <m/>
    <m/>
    <m/>
    <x v="1"/>
    <m/>
    <m/>
    <m/>
    <m/>
    <m/>
    <x v="0"/>
  </r>
  <r>
    <d v="2021-09-14T00:00:00"/>
    <x v="9"/>
    <x v="0"/>
    <x v="0"/>
    <n v="12732"/>
    <n v="12732"/>
    <n v="0"/>
    <x v="563"/>
    <s v="Cali"/>
    <m/>
    <m/>
    <m/>
    <m/>
    <x v="0"/>
  </r>
  <r>
    <d v="2021-09-14T00:00:00"/>
    <x v="9"/>
    <x v="31"/>
    <x v="31"/>
    <n v="268"/>
    <n v="268"/>
    <n v="0"/>
    <x v="563"/>
    <s v="Cali"/>
    <m/>
    <m/>
    <m/>
    <m/>
    <x v="0"/>
  </r>
  <r>
    <d v="2021-09-14T00:00:00"/>
    <x v="9"/>
    <x v="25"/>
    <x v="25"/>
    <n v="-13000"/>
    <n v="0"/>
    <n v="13000"/>
    <x v="563"/>
    <s v="Cali"/>
    <m/>
    <m/>
    <m/>
    <m/>
    <x v="0"/>
  </r>
  <r>
    <m/>
    <x v="1"/>
    <x v="23"/>
    <x v="23"/>
    <m/>
    <m/>
    <m/>
    <x v="1"/>
    <m/>
    <m/>
    <m/>
    <m/>
    <m/>
    <x v="0"/>
  </r>
  <r>
    <d v="2021-09-14T00:00:00"/>
    <x v="9"/>
    <x v="0"/>
    <x v="0"/>
    <n v="97941"/>
    <n v="97941"/>
    <n v="0"/>
    <x v="564"/>
    <s v="Cali"/>
    <m/>
    <m/>
    <m/>
    <m/>
    <x v="0"/>
  </r>
  <r>
    <d v="2021-09-14T00:00:00"/>
    <x v="9"/>
    <x v="26"/>
    <x v="26"/>
    <n v="-97941"/>
    <n v="0"/>
    <n v="97941"/>
    <x v="564"/>
    <s v="Cali"/>
    <m/>
    <m/>
    <m/>
    <m/>
    <x v="0"/>
  </r>
  <r>
    <m/>
    <x v="1"/>
    <x v="23"/>
    <x v="23"/>
    <m/>
    <m/>
    <m/>
    <x v="1"/>
    <m/>
    <m/>
    <m/>
    <m/>
    <m/>
    <x v="0"/>
  </r>
  <r>
    <d v="2021-09-14T00:00:00"/>
    <x v="9"/>
    <x v="0"/>
    <x v="0"/>
    <n v="4000"/>
    <n v="4000"/>
    <n v="0"/>
    <x v="565"/>
    <s v="Cali"/>
    <m/>
    <m/>
    <m/>
    <m/>
    <x v="0"/>
  </r>
  <r>
    <d v="2021-09-14T00:00:00"/>
    <x v="9"/>
    <x v="25"/>
    <x v="25"/>
    <n v="-4000"/>
    <n v="0"/>
    <n v="4000"/>
    <x v="565"/>
    <s v="Cali"/>
    <m/>
    <m/>
    <m/>
    <m/>
    <x v="0"/>
  </r>
  <r>
    <m/>
    <x v="1"/>
    <x v="23"/>
    <x v="23"/>
    <m/>
    <m/>
    <m/>
    <x v="1"/>
    <m/>
    <m/>
    <m/>
    <m/>
    <m/>
    <x v="0"/>
  </r>
  <r>
    <d v="2021-09-15T00:00:00"/>
    <x v="9"/>
    <x v="0"/>
    <x v="0"/>
    <n v="50000"/>
    <n v="50000"/>
    <n v="0"/>
    <x v="195"/>
    <s v="Cali"/>
    <m/>
    <m/>
    <m/>
    <m/>
    <x v="0"/>
  </r>
  <r>
    <d v="2021-09-15T00:00:00"/>
    <x v="9"/>
    <x v="25"/>
    <x v="25"/>
    <n v="-50000"/>
    <n v="0"/>
    <n v="50000"/>
    <x v="195"/>
    <s v="Cali"/>
    <m/>
    <m/>
    <m/>
    <m/>
    <x v="0"/>
  </r>
  <r>
    <m/>
    <x v="1"/>
    <x v="23"/>
    <x v="23"/>
    <m/>
    <m/>
    <m/>
    <x v="1"/>
    <m/>
    <m/>
    <m/>
    <m/>
    <m/>
    <x v="0"/>
  </r>
  <r>
    <d v="2021-09-15T00:00:00"/>
    <x v="9"/>
    <x v="0"/>
    <x v="0"/>
    <n v="5000"/>
    <n v="5000"/>
    <n v="0"/>
    <x v="482"/>
    <s v="Cali"/>
    <m/>
    <m/>
    <m/>
    <m/>
    <x v="0"/>
  </r>
  <r>
    <d v="2021-09-15T00:00:00"/>
    <x v="9"/>
    <x v="19"/>
    <x v="19"/>
    <n v="-5000"/>
    <n v="0"/>
    <n v="5000"/>
    <x v="482"/>
    <s v="Cali"/>
    <m/>
    <m/>
    <m/>
    <m/>
    <x v="0"/>
  </r>
  <r>
    <m/>
    <x v="1"/>
    <x v="23"/>
    <x v="23"/>
    <m/>
    <m/>
    <m/>
    <x v="1"/>
    <m/>
    <m/>
    <m/>
    <m/>
    <m/>
    <x v="0"/>
  </r>
  <r>
    <d v="2021-09-15T00:00:00"/>
    <x v="9"/>
    <x v="0"/>
    <x v="0"/>
    <n v="20000"/>
    <n v="20000"/>
    <n v="0"/>
    <x v="196"/>
    <s v="Cali"/>
    <m/>
    <m/>
    <m/>
    <m/>
    <x v="0"/>
  </r>
  <r>
    <d v="2021-09-15T00:00:00"/>
    <x v="9"/>
    <x v="25"/>
    <x v="25"/>
    <n v="-20000"/>
    <n v="0"/>
    <n v="20000"/>
    <x v="196"/>
    <s v="Cali"/>
    <m/>
    <m/>
    <m/>
    <m/>
    <x v="0"/>
  </r>
  <r>
    <m/>
    <x v="1"/>
    <x v="23"/>
    <x v="23"/>
    <m/>
    <m/>
    <m/>
    <x v="1"/>
    <m/>
    <m/>
    <m/>
    <m/>
    <m/>
    <x v="0"/>
  </r>
  <r>
    <d v="2021-09-16T00:00:00"/>
    <x v="9"/>
    <x v="14"/>
    <x v="14"/>
    <n v="172458"/>
    <n v="172458"/>
    <n v="0"/>
    <x v="566"/>
    <s v="Cali"/>
    <m/>
    <m/>
    <m/>
    <m/>
    <x v="0"/>
  </r>
  <r>
    <d v="2021-09-16T00:00:00"/>
    <x v="9"/>
    <x v="15"/>
    <x v="15"/>
    <n v="3050908"/>
    <n v="3050908"/>
    <n v="0"/>
    <x v="566"/>
    <s v="Cali"/>
    <m/>
    <m/>
    <m/>
    <m/>
    <x v="0"/>
  </r>
  <r>
    <d v="2021-09-16T00:00:00"/>
    <x v="9"/>
    <x v="0"/>
    <x v="0"/>
    <n v="-3223366"/>
    <n v="0"/>
    <n v="3223366"/>
    <x v="566"/>
    <s v="Cali"/>
    <m/>
    <m/>
    <m/>
    <m/>
    <x v="0"/>
  </r>
  <r>
    <m/>
    <x v="1"/>
    <x v="23"/>
    <x v="23"/>
    <m/>
    <m/>
    <m/>
    <x v="1"/>
    <m/>
    <m/>
    <m/>
    <m/>
    <m/>
    <x v="0"/>
  </r>
  <r>
    <d v="2021-09-16T00:00:00"/>
    <x v="9"/>
    <x v="31"/>
    <x v="31"/>
    <n v="338983"/>
    <n v="338983"/>
    <n v="0"/>
    <x v="567"/>
    <s v="Cali"/>
    <m/>
    <m/>
    <m/>
    <m/>
    <x v="0"/>
  </r>
  <r>
    <d v="2021-09-16T00:00:00"/>
    <x v="9"/>
    <x v="52"/>
    <x v="52"/>
    <n v="-300000"/>
    <n v="0"/>
    <n v="300000"/>
    <x v="567"/>
    <s v="Cali"/>
    <m/>
    <m/>
    <m/>
    <m/>
    <x v="0"/>
  </r>
  <r>
    <d v="2021-09-16T00:00:00"/>
    <x v="9"/>
    <x v="17"/>
    <x v="17"/>
    <n v="-38983"/>
    <n v="0"/>
    <n v="38983"/>
    <x v="567"/>
    <s v="Cali"/>
    <m/>
    <m/>
    <m/>
    <m/>
    <x v="0"/>
  </r>
  <r>
    <m/>
    <x v="1"/>
    <x v="23"/>
    <x v="23"/>
    <m/>
    <m/>
    <m/>
    <x v="1"/>
    <m/>
    <m/>
    <m/>
    <m/>
    <m/>
    <x v="0"/>
  </r>
  <r>
    <d v="2021-09-16T00:00:00"/>
    <x v="9"/>
    <x v="52"/>
    <x v="52"/>
    <n v="150000"/>
    <n v="150000"/>
    <n v="0"/>
    <x v="567"/>
    <s v="Cali"/>
    <m/>
    <m/>
    <m/>
    <m/>
    <x v="0"/>
  </r>
  <r>
    <d v="2021-09-16T00:00:00"/>
    <x v="9"/>
    <x v="0"/>
    <x v="0"/>
    <n v="-150000"/>
    <n v="0"/>
    <n v="150000"/>
    <x v="567"/>
    <s v="Cali"/>
    <m/>
    <m/>
    <m/>
    <m/>
    <x v="0"/>
  </r>
  <r>
    <m/>
    <x v="1"/>
    <x v="23"/>
    <x v="23"/>
    <m/>
    <m/>
    <m/>
    <x v="1"/>
    <m/>
    <m/>
    <m/>
    <m/>
    <m/>
    <x v="0"/>
  </r>
  <r>
    <d v="2021-09-16T00:00:00"/>
    <x v="9"/>
    <x v="16"/>
    <x v="16"/>
    <n v="72240"/>
    <n v="72240"/>
    <n v="0"/>
    <x v="568"/>
    <s v="Cali"/>
    <m/>
    <m/>
    <m/>
    <m/>
    <x v="0"/>
  </r>
  <r>
    <d v="2021-09-16T00:00:00"/>
    <x v="9"/>
    <x v="0"/>
    <x v="0"/>
    <n v="-63932"/>
    <n v="0"/>
    <n v="63932"/>
    <x v="568"/>
    <s v="Cali"/>
    <m/>
    <m/>
    <m/>
    <m/>
    <x v="0"/>
  </r>
  <r>
    <d v="2021-09-16T00:00:00"/>
    <x v="9"/>
    <x v="17"/>
    <x v="17"/>
    <n v="-8308"/>
    <n v="0"/>
    <n v="8308"/>
    <x v="568"/>
    <s v="Cali"/>
    <m/>
    <m/>
    <m/>
    <m/>
    <x v="0"/>
  </r>
  <r>
    <m/>
    <x v="1"/>
    <x v="23"/>
    <x v="23"/>
    <m/>
    <m/>
    <m/>
    <x v="1"/>
    <m/>
    <m/>
    <m/>
    <m/>
    <m/>
    <x v="0"/>
  </r>
  <r>
    <d v="2021-09-16T00:00:00"/>
    <x v="9"/>
    <x v="28"/>
    <x v="28"/>
    <n v="150000"/>
    <n v="150000"/>
    <n v="0"/>
    <x v="569"/>
    <s v="Cali"/>
    <m/>
    <m/>
    <m/>
    <m/>
    <x v="0"/>
  </r>
  <r>
    <d v="2021-09-16T00:00:00"/>
    <x v="9"/>
    <x v="0"/>
    <x v="0"/>
    <n v="-150000"/>
    <n v="0"/>
    <n v="150000"/>
    <x v="569"/>
    <s v="Cali"/>
    <m/>
    <m/>
    <m/>
    <m/>
    <x v="0"/>
  </r>
  <r>
    <m/>
    <x v="1"/>
    <x v="23"/>
    <x v="23"/>
    <m/>
    <m/>
    <m/>
    <x v="1"/>
    <m/>
    <m/>
    <m/>
    <m/>
    <m/>
    <x v="0"/>
  </r>
  <r>
    <d v="2021-09-16T00:00:00"/>
    <x v="9"/>
    <x v="1"/>
    <x v="1"/>
    <n v="24000000"/>
    <n v="24000000"/>
    <n v="0"/>
    <x v="429"/>
    <s v="Cali"/>
    <m/>
    <m/>
    <m/>
    <m/>
    <x v="0"/>
  </r>
  <r>
    <d v="2021-09-16T00:00:00"/>
    <x v="9"/>
    <x v="0"/>
    <x v="0"/>
    <n v="-24000000"/>
    <n v="0"/>
    <n v="24000000"/>
    <x v="429"/>
    <s v="Cali"/>
    <m/>
    <m/>
    <m/>
    <m/>
    <x v="0"/>
  </r>
  <r>
    <m/>
    <x v="1"/>
    <x v="23"/>
    <x v="23"/>
    <m/>
    <m/>
    <m/>
    <x v="1"/>
    <m/>
    <m/>
    <m/>
    <m/>
    <m/>
    <x v="0"/>
  </r>
  <r>
    <d v="2021-09-16T00:00:00"/>
    <x v="9"/>
    <x v="0"/>
    <x v="0"/>
    <n v="5000"/>
    <n v="5000"/>
    <n v="0"/>
    <x v="570"/>
    <s v="Cali"/>
    <m/>
    <m/>
    <m/>
    <m/>
    <x v="0"/>
  </r>
  <r>
    <d v="2021-09-16T00:00:00"/>
    <x v="9"/>
    <x v="19"/>
    <x v="19"/>
    <n v="-5000"/>
    <n v="0"/>
    <n v="5000"/>
    <x v="570"/>
    <s v="Cali"/>
    <m/>
    <m/>
    <m/>
    <m/>
    <x v="0"/>
  </r>
  <r>
    <m/>
    <x v="1"/>
    <x v="23"/>
    <x v="23"/>
    <m/>
    <m/>
    <m/>
    <x v="1"/>
    <m/>
    <m/>
    <m/>
    <m/>
    <m/>
    <x v="0"/>
  </r>
  <r>
    <d v="2021-09-16T00:00:00"/>
    <x v="9"/>
    <x v="0"/>
    <x v="0"/>
    <n v="200000"/>
    <n v="200000"/>
    <n v="0"/>
    <x v="571"/>
    <s v="Cali"/>
    <m/>
    <m/>
    <m/>
    <m/>
    <x v="0"/>
  </r>
  <r>
    <d v="2021-09-16T00:00:00"/>
    <x v="9"/>
    <x v="26"/>
    <x v="26"/>
    <n v="-200000"/>
    <n v="0"/>
    <n v="200000"/>
    <x v="571"/>
    <s v="Cali"/>
    <m/>
    <m/>
    <m/>
    <m/>
    <x v="0"/>
  </r>
  <r>
    <m/>
    <x v="1"/>
    <x v="23"/>
    <x v="23"/>
    <m/>
    <m/>
    <m/>
    <x v="1"/>
    <m/>
    <m/>
    <m/>
    <m/>
    <m/>
    <x v="0"/>
  </r>
  <r>
    <d v="2021-09-20T00:00:00"/>
    <x v="9"/>
    <x v="0"/>
    <x v="0"/>
    <n v="8500"/>
    <n v="8500"/>
    <n v="0"/>
    <x v="572"/>
    <s v="Cali"/>
    <m/>
    <m/>
    <m/>
    <m/>
    <x v="0"/>
  </r>
  <r>
    <d v="2021-09-20T00:00:00"/>
    <x v="9"/>
    <x v="25"/>
    <x v="25"/>
    <n v="-8500"/>
    <n v="0"/>
    <n v="8500"/>
    <x v="572"/>
    <s v="Cali"/>
    <m/>
    <m/>
    <m/>
    <m/>
    <x v="0"/>
  </r>
  <r>
    <m/>
    <x v="1"/>
    <x v="23"/>
    <x v="23"/>
    <m/>
    <m/>
    <m/>
    <x v="1"/>
    <m/>
    <m/>
    <m/>
    <m/>
    <m/>
    <x v="0"/>
  </r>
  <r>
    <d v="2021-09-20T00:00:00"/>
    <x v="9"/>
    <x v="0"/>
    <x v="0"/>
    <n v="5000"/>
    <n v="5000"/>
    <n v="0"/>
    <x v="367"/>
    <s v="Cali"/>
    <m/>
    <m/>
    <m/>
    <m/>
    <x v="0"/>
  </r>
  <r>
    <d v="2021-09-20T00:00:00"/>
    <x v="9"/>
    <x v="25"/>
    <x v="25"/>
    <n v="-5000"/>
    <n v="0"/>
    <n v="5000"/>
    <x v="367"/>
    <s v="Cali"/>
    <m/>
    <m/>
    <m/>
    <m/>
    <x v="0"/>
  </r>
  <r>
    <m/>
    <x v="1"/>
    <x v="23"/>
    <x v="23"/>
    <m/>
    <m/>
    <m/>
    <x v="1"/>
    <m/>
    <m/>
    <m/>
    <m/>
    <m/>
    <x v="0"/>
  </r>
  <r>
    <d v="2021-09-20T00:00:00"/>
    <x v="9"/>
    <x v="0"/>
    <x v="0"/>
    <n v="30000"/>
    <n v="30000"/>
    <n v="0"/>
    <x v="188"/>
    <s v="Cali"/>
    <m/>
    <m/>
    <m/>
    <m/>
    <x v="0"/>
  </r>
  <r>
    <d v="2021-09-20T00:00:00"/>
    <x v="9"/>
    <x v="29"/>
    <x v="29"/>
    <n v="-30000"/>
    <n v="0"/>
    <n v="30000"/>
    <x v="188"/>
    <s v="Cali"/>
    <m/>
    <m/>
    <m/>
    <m/>
    <x v="0"/>
  </r>
  <r>
    <m/>
    <x v="1"/>
    <x v="23"/>
    <x v="23"/>
    <m/>
    <m/>
    <m/>
    <x v="1"/>
    <m/>
    <m/>
    <m/>
    <m/>
    <m/>
    <x v="0"/>
  </r>
  <r>
    <d v="2021-09-20T00:00:00"/>
    <x v="9"/>
    <x v="0"/>
    <x v="0"/>
    <n v="150000"/>
    <n v="150000"/>
    <n v="0"/>
    <x v="431"/>
    <s v="Cali"/>
    <m/>
    <m/>
    <m/>
    <m/>
    <x v="0"/>
  </r>
  <r>
    <d v="2021-09-20T00:00:00"/>
    <x v="9"/>
    <x v="25"/>
    <x v="25"/>
    <n v="-150000"/>
    <n v="0"/>
    <n v="150000"/>
    <x v="431"/>
    <s v="Cali"/>
    <m/>
    <m/>
    <m/>
    <m/>
    <x v="0"/>
  </r>
  <r>
    <m/>
    <x v="1"/>
    <x v="23"/>
    <x v="23"/>
    <m/>
    <m/>
    <m/>
    <x v="1"/>
    <m/>
    <m/>
    <m/>
    <m/>
    <m/>
    <x v="0"/>
  </r>
  <r>
    <d v="2021-09-20T00:00:00"/>
    <x v="9"/>
    <x v="0"/>
    <x v="0"/>
    <n v="500000"/>
    <n v="500000"/>
    <n v="0"/>
    <x v="262"/>
    <s v="Cali"/>
    <m/>
    <m/>
    <m/>
    <m/>
    <x v="0"/>
  </r>
  <r>
    <d v="2021-09-20T00:00:00"/>
    <x v="9"/>
    <x v="26"/>
    <x v="26"/>
    <n v="-500000"/>
    <n v="0"/>
    <n v="500000"/>
    <x v="262"/>
    <s v="Cali"/>
    <m/>
    <m/>
    <m/>
    <m/>
    <x v="0"/>
  </r>
  <r>
    <m/>
    <x v="1"/>
    <x v="23"/>
    <x v="23"/>
    <m/>
    <m/>
    <m/>
    <x v="1"/>
    <m/>
    <m/>
    <m/>
    <m/>
    <m/>
    <x v="0"/>
  </r>
  <r>
    <d v="2021-09-21T00:00:00"/>
    <x v="9"/>
    <x v="0"/>
    <x v="0"/>
    <n v="20000"/>
    <n v="20000"/>
    <n v="0"/>
    <x v="166"/>
    <s v="Cali"/>
    <m/>
    <m/>
    <m/>
    <m/>
    <x v="0"/>
  </r>
  <r>
    <d v="2021-09-21T00:00:00"/>
    <x v="9"/>
    <x v="25"/>
    <x v="25"/>
    <n v="-20000"/>
    <n v="0"/>
    <n v="20000"/>
    <x v="166"/>
    <s v="Cali"/>
    <m/>
    <m/>
    <m/>
    <m/>
    <x v="0"/>
  </r>
  <r>
    <m/>
    <x v="1"/>
    <x v="23"/>
    <x v="23"/>
    <m/>
    <m/>
    <m/>
    <x v="1"/>
    <m/>
    <m/>
    <m/>
    <m/>
    <m/>
    <x v="0"/>
  </r>
  <r>
    <d v="2021-09-21T00:00:00"/>
    <x v="9"/>
    <x v="0"/>
    <x v="0"/>
    <n v="30000"/>
    <n v="30000"/>
    <n v="0"/>
    <x v="139"/>
    <s v="Cali"/>
    <m/>
    <m/>
    <m/>
    <m/>
    <x v="0"/>
  </r>
  <r>
    <d v="2021-09-21T00:00:00"/>
    <x v="9"/>
    <x v="25"/>
    <x v="25"/>
    <n v="-30000"/>
    <n v="0"/>
    <n v="30000"/>
    <x v="139"/>
    <s v="Cali"/>
    <m/>
    <m/>
    <m/>
    <m/>
    <x v="0"/>
  </r>
  <r>
    <m/>
    <x v="1"/>
    <x v="23"/>
    <x v="23"/>
    <m/>
    <m/>
    <m/>
    <x v="1"/>
    <m/>
    <m/>
    <m/>
    <m/>
    <m/>
    <x v="0"/>
  </r>
  <r>
    <d v="2021-09-21T00:00:00"/>
    <x v="9"/>
    <x v="0"/>
    <x v="0"/>
    <n v="30000"/>
    <n v="30000"/>
    <n v="0"/>
    <x v="493"/>
    <s v="Cali"/>
    <m/>
    <m/>
    <m/>
    <m/>
    <x v="0"/>
  </r>
  <r>
    <d v="2021-09-21T00:00:00"/>
    <x v="9"/>
    <x v="26"/>
    <x v="26"/>
    <n v="-30000"/>
    <n v="0"/>
    <n v="30000"/>
    <x v="493"/>
    <s v="Cali"/>
    <m/>
    <m/>
    <m/>
    <m/>
    <x v="0"/>
  </r>
  <r>
    <m/>
    <x v="1"/>
    <x v="23"/>
    <x v="23"/>
    <m/>
    <m/>
    <m/>
    <x v="1"/>
    <m/>
    <m/>
    <m/>
    <m/>
    <m/>
    <x v="0"/>
  </r>
  <r>
    <d v="2021-09-21T00:00:00"/>
    <x v="9"/>
    <x v="0"/>
    <x v="0"/>
    <n v="30000"/>
    <n v="30000"/>
    <n v="0"/>
    <x v="266"/>
    <s v="Cali"/>
    <m/>
    <m/>
    <m/>
    <m/>
    <x v="0"/>
  </r>
  <r>
    <d v="2021-09-21T00:00:00"/>
    <x v="9"/>
    <x v="25"/>
    <x v="25"/>
    <n v="-30000"/>
    <n v="0"/>
    <n v="30000"/>
    <x v="266"/>
    <s v="Cali"/>
    <m/>
    <m/>
    <m/>
    <m/>
    <x v="0"/>
  </r>
  <r>
    <m/>
    <x v="1"/>
    <x v="23"/>
    <x v="23"/>
    <m/>
    <m/>
    <m/>
    <x v="1"/>
    <m/>
    <m/>
    <m/>
    <m/>
    <m/>
    <x v="0"/>
  </r>
  <r>
    <d v="2021-09-22T00:00:00"/>
    <x v="9"/>
    <x v="0"/>
    <x v="0"/>
    <n v="20000"/>
    <n v="20000"/>
    <n v="0"/>
    <x v="201"/>
    <s v="Cali"/>
    <m/>
    <m/>
    <m/>
    <m/>
    <x v="0"/>
  </r>
  <r>
    <d v="2021-09-22T00:00:00"/>
    <x v="9"/>
    <x v="25"/>
    <x v="25"/>
    <n v="-20000"/>
    <n v="0"/>
    <n v="20000"/>
    <x v="201"/>
    <s v="Cali"/>
    <m/>
    <m/>
    <m/>
    <m/>
    <x v="0"/>
  </r>
  <r>
    <m/>
    <x v="1"/>
    <x v="23"/>
    <x v="23"/>
    <m/>
    <m/>
    <m/>
    <x v="1"/>
    <m/>
    <m/>
    <m/>
    <m/>
    <m/>
    <x v="0"/>
  </r>
  <r>
    <d v="2021-09-22T00:00:00"/>
    <x v="9"/>
    <x v="0"/>
    <x v="0"/>
    <n v="250000"/>
    <n v="250000"/>
    <n v="0"/>
    <x v="518"/>
    <s v="Cali"/>
    <m/>
    <m/>
    <m/>
    <m/>
    <x v="0"/>
  </r>
  <r>
    <d v="2021-09-22T00:00:00"/>
    <x v="9"/>
    <x v="26"/>
    <x v="26"/>
    <n v="-250000"/>
    <n v="0"/>
    <n v="250000"/>
    <x v="518"/>
    <s v="Cali"/>
    <m/>
    <m/>
    <m/>
    <m/>
    <x v="0"/>
  </r>
  <r>
    <m/>
    <x v="1"/>
    <x v="23"/>
    <x v="23"/>
    <m/>
    <m/>
    <m/>
    <x v="1"/>
    <m/>
    <m/>
    <m/>
    <m/>
    <m/>
    <x v="0"/>
  </r>
  <r>
    <d v="2021-09-22T00:00:00"/>
    <x v="9"/>
    <x v="0"/>
    <x v="0"/>
    <n v="10000"/>
    <n v="10000"/>
    <n v="0"/>
    <x v="409"/>
    <s v="Cali"/>
    <m/>
    <m/>
    <m/>
    <m/>
    <x v="0"/>
  </r>
  <r>
    <d v="2021-09-22T00:00:00"/>
    <x v="9"/>
    <x v="25"/>
    <x v="25"/>
    <n v="-10000"/>
    <n v="0"/>
    <n v="10000"/>
    <x v="409"/>
    <s v="Cali"/>
    <m/>
    <m/>
    <m/>
    <m/>
    <x v="0"/>
  </r>
  <r>
    <m/>
    <x v="1"/>
    <x v="23"/>
    <x v="23"/>
    <m/>
    <m/>
    <m/>
    <x v="1"/>
    <m/>
    <m/>
    <m/>
    <m/>
    <m/>
    <x v="0"/>
  </r>
  <r>
    <d v="2021-09-22T00:00:00"/>
    <x v="9"/>
    <x v="0"/>
    <x v="0"/>
    <n v="1500"/>
    <n v="1500"/>
    <n v="0"/>
    <x v="177"/>
    <s v="Cali"/>
    <m/>
    <m/>
    <m/>
    <m/>
    <x v="0"/>
  </r>
  <r>
    <d v="2021-09-22T00:00:00"/>
    <x v="9"/>
    <x v="19"/>
    <x v="19"/>
    <n v="-1500"/>
    <n v="0"/>
    <n v="15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09-22T00:00:00"/>
    <x v="9"/>
    <x v="0"/>
    <x v="0"/>
    <n v="50000"/>
    <n v="50000"/>
    <n v="0"/>
    <x v="65"/>
    <s v="Cali"/>
    <m/>
    <m/>
    <m/>
    <m/>
    <x v="0"/>
  </r>
  <r>
    <d v="2021-09-22T00:00:00"/>
    <x v="9"/>
    <x v="29"/>
    <x v="29"/>
    <n v="-50000"/>
    <n v="0"/>
    <n v="5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9-22T00:00:00"/>
    <x v="9"/>
    <x v="0"/>
    <x v="0"/>
    <n v="7000"/>
    <n v="7000"/>
    <n v="0"/>
    <x v="65"/>
    <s v="Cali"/>
    <m/>
    <m/>
    <m/>
    <m/>
    <x v="0"/>
  </r>
  <r>
    <d v="2021-09-22T00:00:00"/>
    <x v="9"/>
    <x v="29"/>
    <x v="29"/>
    <n v="-7000"/>
    <n v="0"/>
    <n v="7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9-22T00:00:00"/>
    <x v="9"/>
    <x v="0"/>
    <x v="0"/>
    <n v="15000"/>
    <n v="15000"/>
    <n v="0"/>
    <x v="65"/>
    <s v="Cali"/>
    <m/>
    <m/>
    <m/>
    <m/>
    <x v="0"/>
  </r>
  <r>
    <d v="2021-09-22T00:00:00"/>
    <x v="9"/>
    <x v="29"/>
    <x v="29"/>
    <n v="-15000"/>
    <n v="0"/>
    <n v="1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9-23T00:00:00"/>
    <x v="9"/>
    <x v="0"/>
    <x v="0"/>
    <n v="30000"/>
    <n v="30000"/>
    <n v="0"/>
    <x v="203"/>
    <s v="Cali"/>
    <m/>
    <m/>
    <m/>
    <m/>
    <x v="0"/>
  </r>
  <r>
    <d v="2021-09-23T00:00:00"/>
    <x v="9"/>
    <x v="27"/>
    <x v="27"/>
    <n v="-30000"/>
    <n v="0"/>
    <n v="30000"/>
    <x v="203"/>
    <s v="Cali"/>
    <m/>
    <m/>
    <m/>
    <m/>
    <x v="0"/>
  </r>
  <r>
    <m/>
    <x v="1"/>
    <x v="23"/>
    <x v="23"/>
    <m/>
    <m/>
    <m/>
    <x v="1"/>
    <m/>
    <m/>
    <m/>
    <m/>
    <m/>
    <x v="0"/>
  </r>
  <r>
    <d v="2021-09-23T00:00:00"/>
    <x v="9"/>
    <x v="0"/>
    <x v="0"/>
    <n v="100000"/>
    <n v="100000"/>
    <n v="0"/>
    <x v="333"/>
    <s v="Cali"/>
    <m/>
    <m/>
    <m/>
    <m/>
    <x v="0"/>
  </r>
  <r>
    <d v="2021-09-23T00:00:00"/>
    <x v="9"/>
    <x v="26"/>
    <x v="26"/>
    <n v="-100000"/>
    <n v="0"/>
    <n v="100000"/>
    <x v="333"/>
    <s v="Cali"/>
    <m/>
    <m/>
    <m/>
    <m/>
    <x v="0"/>
  </r>
  <r>
    <m/>
    <x v="1"/>
    <x v="23"/>
    <x v="23"/>
    <m/>
    <m/>
    <m/>
    <x v="1"/>
    <m/>
    <m/>
    <m/>
    <m/>
    <m/>
    <x v="0"/>
  </r>
  <r>
    <d v="2021-09-23T00:00:00"/>
    <x v="9"/>
    <x v="0"/>
    <x v="0"/>
    <n v="20000"/>
    <n v="20000"/>
    <n v="0"/>
    <x v="85"/>
    <s v="Cali"/>
    <m/>
    <m/>
    <m/>
    <m/>
    <x v="0"/>
  </r>
  <r>
    <d v="2021-09-23T00:00:00"/>
    <x v="9"/>
    <x v="25"/>
    <x v="25"/>
    <n v="-20000"/>
    <n v="0"/>
    <n v="20000"/>
    <x v="85"/>
    <s v="Cali"/>
    <m/>
    <m/>
    <m/>
    <m/>
    <x v="0"/>
  </r>
  <r>
    <m/>
    <x v="1"/>
    <x v="23"/>
    <x v="23"/>
    <m/>
    <m/>
    <m/>
    <x v="1"/>
    <m/>
    <m/>
    <m/>
    <m/>
    <m/>
    <x v="0"/>
  </r>
  <r>
    <d v="2021-09-24T00:00:00"/>
    <x v="9"/>
    <x v="0"/>
    <x v="0"/>
    <n v="35000"/>
    <n v="35000"/>
    <n v="0"/>
    <x v="65"/>
    <s v="Cali"/>
    <m/>
    <m/>
    <m/>
    <m/>
    <x v="0"/>
  </r>
  <r>
    <d v="2021-09-24T00:00:00"/>
    <x v="9"/>
    <x v="29"/>
    <x v="29"/>
    <n v="-35000"/>
    <n v="0"/>
    <n v="3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09-27T00:00:00"/>
    <x v="9"/>
    <x v="0"/>
    <x v="0"/>
    <n v="3000000"/>
    <n v="3000000"/>
    <n v="0"/>
    <x v="306"/>
    <s v="Cali"/>
    <m/>
    <m/>
    <m/>
    <m/>
    <x v="0"/>
  </r>
  <r>
    <d v="2021-09-27T00:00:00"/>
    <x v="9"/>
    <x v="26"/>
    <x v="26"/>
    <n v="-3000000"/>
    <n v="0"/>
    <n v="3000000"/>
    <x v="306"/>
    <s v="Cali"/>
    <m/>
    <m/>
    <m/>
    <m/>
    <x v="0"/>
  </r>
  <r>
    <m/>
    <x v="1"/>
    <x v="23"/>
    <x v="23"/>
    <m/>
    <m/>
    <m/>
    <x v="1"/>
    <m/>
    <m/>
    <m/>
    <m/>
    <m/>
    <x v="0"/>
  </r>
  <r>
    <d v="2021-09-27T00:00:00"/>
    <x v="9"/>
    <x v="0"/>
    <x v="0"/>
    <n v="10000"/>
    <n v="10000"/>
    <n v="0"/>
    <x v="206"/>
    <s v="Cali"/>
    <m/>
    <m/>
    <m/>
    <m/>
    <x v="0"/>
  </r>
  <r>
    <d v="2021-09-27T00:00:00"/>
    <x v="9"/>
    <x v="26"/>
    <x v="26"/>
    <n v="-10000"/>
    <n v="0"/>
    <n v="10000"/>
    <x v="206"/>
    <s v="Cali"/>
    <m/>
    <m/>
    <m/>
    <m/>
    <x v="0"/>
  </r>
  <r>
    <m/>
    <x v="1"/>
    <x v="23"/>
    <x v="23"/>
    <m/>
    <m/>
    <m/>
    <x v="1"/>
    <m/>
    <m/>
    <m/>
    <m/>
    <m/>
    <x v="0"/>
  </r>
  <r>
    <d v="2021-09-27T00:00:00"/>
    <x v="9"/>
    <x v="0"/>
    <x v="0"/>
    <n v="10000"/>
    <n v="10000"/>
    <n v="0"/>
    <x v="277"/>
    <s v="Cali"/>
    <m/>
    <m/>
    <m/>
    <m/>
    <x v="0"/>
  </r>
  <r>
    <d v="2021-09-27T00:00:00"/>
    <x v="9"/>
    <x v="25"/>
    <x v="25"/>
    <n v="-10000"/>
    <n v="0"/>
    <n v="10000"/>
    <x v="277"/>
    <s v="Cali"/>
    <m/>
    <m/>
    <m/>
    <m/>
    <x v="0"/>
  </r>
  <r>
    <m/>
    <x v="1"/>
    <x v="23"/>
    <x v="23"/>
    <m/>
    <m/>
    <m/>
    <x v="1"/>
    <m/>
    <m/>
    <m/>
    <m/>
    <m/>
    <x v="0"/>
  </r>
  <r>
    <d v="2021-09-27T00:00:00"/>
    <x v="9"/>
    <x v="0"/>
    <x v="0"/>
    <n v="1289642"/>
    <n v="1289642"/>
    <n v="0"/>
    <x v="573"/>
    <s v="Cali"/>
    <m/>
    <m/>
    <m/>
    <m/>
    <x v="0"/>
  </r>
  <r>
    <d v="2021-09-27T00:00:00"/>
    <x v="9"/>
    <x v="26"/>
    <x v="26"/>
    <n v="-1289642"/>
    <n v="0"/>
    <n v="1289642"/>
    <x v="573"/>
    <s v="Cali"/>
    <m/>
    <m/>
    <m/>
    <m/>
    <x v="0"/>
  </r>
  <r>
    <m/>
    <x v="1"/>
    <x v="23"/>
    <x v="23"/>
    <m/>
    <m/>
    <m/>
    <x v="1"/>
    <m/>
    <m/>
    <m/>
    <m/>
    <m/>
    <x v="0"/>
  </r>
  <r>
    <d v="2021-09-27T00:00:00"/>
    <x v="9"/>
    <x v="0"/>
    <x v="0"/>
    <n v="10000"/>
    <n v="10000"/>
    <n v="0"/>
    <x v="198"/>
    <s v="Cali"/>
    <m/>
    <m/>
    <m/>
    <m/>
    <x v="0"/>
  </r>
  <r>
    <d v="2021-09-27T00:00:00"/>
    <x v="9"/>
    <x v="27"/>
    <x v="27"/>
    <n v="-10000"/>
    <n v="0"/>
    <n v="10000"/>
    <x v="198"/>
    <s v="Cali"/>
    <m/>
    <m/>
    <m/>
    <m/>
    <x v="0"/>
  </r>
  <r>
    <m/>
    <x v="1"/>
    <x v="23"/>
    <x v="23"/>
    <m/>
    <m/>
    <m/>
    <x v="1"/>
    <m/>
    <m/>
    <m/>
    <m/>
    <m/>
    <x v="0"/>
  </r>
  <r>
    <d v="2021-09-28T00:00:00"/>
    <x v="9"/>
    <x v="0"/>
    <x v="0"/>
    <n v="2157843"/>
    <n v="2157843"/>
    <n v="0"/>
    <x v="574"/>
    <s v="Cali"/>
    <m/>
    <m/>
    <m/>
    <m/>
    <x v="0"/>
  </r>
  <r>
    <d v="2021-09-28T00:00:00"/>
    <x v="9"/>
    <x v="44"/>
    <x v="44"/>
    <n v="-2157843"/>
    <n v="0"/>
    <n v="2157843"/>
    <x v="574"/>
    <s v="Cali"/>
    <m/>
    <m/>
    <m/>
    <m/>
    <x v="0"/>
  </r>
  <r>
    <m/>
    <x v="1"/>
    <x v="23"/>
    <x v="23"/>
    <m/>
    <m/>
    <m/>
    <x v="1"/>
    <m/>
    <m/>
    <m/>
    <m/>
    <m/>
    <x v="0"/>
  </r>
  <r>
    <d v="2021-09-28T00:00:00"/>
    <x v="9"/>
    <x v="0"/>
    <x v="0"/>
    <n v="1901533"/>
    <n v="1901533"/>
    <n v="0"/>
    <x v="575"/>
    <s v="Cali"/>
    <m/>
    <m/>
    <m/>
    <m/>
    <x v="0"/>
  </r>
  <r>
    <d v="2021-09-28T00:00:00"/>
    <x v="9"/>
    <x v="45"/>
    <x v="45"/>
    <n v="-1901533"/>
    <n v="0"/>
    <n v="1901533"/>
    <x v="575"/>
    <s v="Cali"/>
    <m/>
    <m/>
    <m/>
    <m/>
    <x v="0"/>
  </r>
  <r>
    <m/>
    <x v="1"/>
    <x v="23"/>
    <x v="23"/>
    <m/>
    <m/>
    <m/>
    <x v="1"/>
    <m/>
    <m/>
    <m/>
    <m/>
    <m/>
    <x v="0"/>
  </r>
  <r>
    <d v="2021-09-28T00:00:00"/>
    <x v="9"/>
    <x v="0"/>
    <x v="0"/>
    <n v="73000"/>
    <n v="73000"/>
    <n v="0"/>
    <x v="240"/>
    <s v="Cali"/>
    <m/>
    <m/>
    <m/>
    <m/>
    <x v="0"/>
  </r>
  <r>
    <d v="2021-09-28T00:00:00"/>
    <x v="9"/>
    <x v="26"/>
    <x v="26"/>
    <n v="-73000"/>
    <n v="0"/>
    <n v="73000"/>
    <x v="240"/>
    <s v="Cali"/>
    <m/>
    <m/>
    <m/>
    <m/>
    <x v="0"/>
  </r>
  <r>
    <m/>
    <x v="1"/>
    <x v="23"/>
    <x v="23"/>
    <m/>
    <m/>
    <m/>
    <x v="1"/>
    <m/>
    <m/>
    <m/>
    <m/>
    <m/>
    <x v="0"/>
  </r>
  <r>
    <d v="2021-09-28T00:00:00"/>
    <x v="9"/>
    <x v="0"/>
    <x v="0"/>
    <n v="10000"/>
    <n v="10000"/>
    <n v="0"/>
    <x v="236"/>
    <s v="Cali"/>
    <m/>
    <m/>
    <m/>
    <m/>
    <x v="0"/>
  </r>
  <r>
    <d v="2021-09-28T00:00:00"/>
    <x v="9"/>
    <x v="25"/>
    <x v="25"/>
    <n v="-10000"/>
    <n v="0"/>
    <n v="10000"/>
    <x v="236"/>
    <s v="Cali"/>
    <m/>
    <m/>
    <m/>
    <m/>
    <x v="0"/>
  </r>
  <r>
    <m/>
    <x v="1"/>
    <x v="23"/>
    <x v="23"/>
    <m/>
    <m/>
    <m/>
    <x v="1"/>
    <m/>
    <m/>
    <m/>
    <m/>
    <m/>
    <x v="0"/>
  </r>
  <r>
    <d v="2021-09-28T00:00:00"/>
    <x v="9"/>
    <x v="0"/>
    <x v="0"/>
    <n v="125000"/>
    <n v="125000"/>
    <n v="0"/>
    <x v="136"/>
    <s v="Cali"/>
    <m/>
    <m/>
    <m/>
    <m/>
    <x v="0"/>
  </r>
  <r>
    <d v="2021-09-28T00:00:00"/>
    <x v="9"/>
    <x v="26"/>
    <x v="26"/>
    <n v="-125000"/>
    <n v="0"/>
    <n v="125000"/>
    <x v="136"/>
    <s v="Cali"/>
    <m/>
    <m/>
    <m/>
    <m/>
    <x v="0"/>
  </r>
  <r>
    <m/>
    <x v="1"/>
    <x v="23"/>
    <x v="23"/>
    <m/>
    <m/>
    <m/>
    <x v="1"/>
    <m/>
    <m/>
    <m/>
    <m/>
    <m/>
    <x v="0"/>
  </r>
  <r>
    <d v="2021-09-29T00:00:00"/>
    <x v="9"/>
    <x v="0"/>
    <x v="0"/>
    <n v="20000"/>
    <n v="20000"/>
    <n v="0"/>
    <x v="308"/>
    <s v="Cali"/>
    <m/>
    <m/>
    <m/>
    <m/>
    <x v="0"/>
  </r>
  <r>
    <d v="2021-09-29T00:00:00"/>
    <x v="9"/>
    <x v="25"/>
    <x v="25"/>
    <n v="-20000"/>
    <n v="0"/>
    <n v="20000"/>
    <x v="308"/>
    <s v="Cali"/>
    <m/>
    <m/>
    <m/>
    <m/>
    <x v="0"/>
  </r>
  <r>
    <m/>
    <x v="1"/>
    <x v="23"/>
    <x v="23"/>
    <m/>
    <m/>
    <m/>
    <x v="1"/>
    <m/>
    <m/>
    <m/>
    <m/>
    <m/>
    <x v="0"/>
  </r>
  <r>
    <d v="2021-09-29T00:00:00"/>
    <x v="9"/>
    <x v="0"/>
    <x v="0"/>
    <n v="40000"/>
    <n v="40000"/>
    <n v="0"/>
    <x v="241"/>
    <s v="Cali"/>
    <m/>
    <m/>
    <m/>
    <m/>
    <x v="0"/>
  </r>
  <r>
    <d v="2021-09-29T00:00:00"/>
    <x v="9"/>
    <x v="26"/>
    <x v="26"/>
    <n v="-40000"/>
    <n v="0"/>
    <n v="40000"/>
    <x v="241"/>
    <s v="Cali"/>
    <m/>
    <m/>
    <m/>
    <m/>
    <x v="0"/>
  </r>
  <r>
    <m/>
    <x v="1"/>
    <x v="23"/>
    <x v="23"/>
    <m/>
    <m/>
    <m/>
    <x v="1"/>
    <m/>
    <m/>
    <m/>
    <m/>
    <m/>
    <x v="0"/>
  </r>
  <r>
    <d v="2021-09-29T00:00:00"/>
    <x v="9"/>
    <x v="0"/>
    <x v="0"/>
    <n v="60000"/>
    <n v="60000"/>
    <n v="0"/>
    <x v="238"/>
    <s v="Cali"/>
    <m/>
    <m/>
    <m/>
    <m/>
    <x v="0"/>
  </r>
  <r>
    <d v="2021-09-29T00:00:00"/>
    <x v="9"/>
    <x v="25"/>
    <x v="25"/>
    <n v="-60000"/>
    <n v="0"/>
    <n v="60000"/>
    <x v="238"/>
    <s v="Cali"/>
    <m/>
    <m/>
    <m/>
    <m/>
    <x v="0"/>
  </r>
  <r>
    <m/>
    <x v="1"/>
    <x v="23"/>
    <x v="23"/>
    <m/>
    <m/>
    <m/>
    <x v="1"/>
    <m/>
    <m/>
    <m/>
    <m/>
    <m/>
    <x v="0"/>
  </r>
  <r>
    <d v="2021-09-29T00:00:00"/>
    <x v="9"/>
    <x v="0"/>
    <x v="0"/>
    <n v="20000"/>
    <n v="20000"/>
    <n v="0"/>
    <x v="342"/>
    <s v="Cali"/>
    <m/>
    <m/>
    <m/>
    <m/>
    <x v="0"/>
  </r>
  <r>
    <d v="2021-09-29T00:00:00"/>
    <x v="9"/>
    <x v="25"/>
    <x v="25"/>
    <n v="-20000"/>
    <n v="0"/>
    <n v="20000"/>
    <x v="342"/>
    <s v="Cali"/>
    <m/>
    <m/>
    <m/>
    <m/>
    <x v="0"/>
  </r>
  <r>
    <m/>
    <x v="1"/>
    <x v="23"/>
    <x v="23"/>
    <m/>
    <m/>
    <m/>
    <x v="1"/>
    <m/>
    <m/>
    <m/>
    <m/>
    <m/>
    <x v="0"/>
  </r>
  <r>
    <d v="2021-09-29T00:00:00"/>
    <x v="9"/>
    <x v="0"/>
    <x v="0"/>
    <n v="25000"/>
    <n v="25000"/>
    <n v="0"/>
    <x v="138"/>
    <s v="Cali"/>
    <m/>
    <m/>
    <m/>
    <m/>
    <x v="0"/>
  </r>
  <r>
    <d v="2021-09-29T00:00:00"/>
    <x v="9"/>
    <x v="27"/>
    <x v="27"/>
    <n v="-25000"/>
    <n v="0"/>
    <n v="25000"/>
    <x v="138"/>
    <s v="Cali"/>
    <m/>
    <m/>
    <m/>
    <m/>
    <x v="0"/>
  </r>
  <r>
    <m/>
    <x v="1"/>
    <x v="23"/>
    <x v="23"/>
    <m/>
    <m/>
    <m/>
    <x v="1"/>
    <m/>
    <m/>
    <m/>
    <m/>
    <m/>
    <x v="0"/>
  </r>
  <r>
    <d v="2021-09-29T00:00:00"/>
    <x v="9"/>
    <x v="0"/>
    <x v="0"/>
    <n v="122426"/>
    <n v="122426"/>
    <n v="0"/>
    <x v="576"/>
    <s v="Cali"/>
    <m/>
    <m/>
    <m/>
    <m/>
    <x v="0"/>
  </r>
  <r>
    <d v="2021-09-29T00:00:00"/>
    <x v="9"/>
    <x v="31"/>
    <x v="31"/>
    <n v="2574"/>
    <n v="2574"/>
    <n v="0"/>
    <x v="576"/>
    <s v="Cali"/>
    <m/>
    <m/>
    <m/>
    <m/>
    <x v="0"/>
  </r>
  <r>
    <d v="2021-09-29T00:00:00"/>
    <x v="9"/>
    <x v="25"/>
    <x v="25"/>
    <n v="-125000"/>
    <n v="0"/>
    <n v="125000"/>
    <x v="576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52"/>
    <x v="52"/>
    <n v="150000"/>
    <n v="150000"/>
    <n v="0"/>
    <x v="577"/>
    <s v="Cali"/>
    <m/>
    <m/>
    <m/>
    <m/>
    <x v="0"/>
  </r>
  <r>
    <d v="2021-09-30T00:00:00"/>
    <x v="9"/>
    <x v="0"/>
    <x v="0"/>
    <n v="-150000"/>
    <n v="0"/>
    <n v="150000"/>
    <x v="577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0"/>
    <x v="0"/>
    <n v="250000"/>
    <n v="250000"/>
    <n v="0"/>
    <x v="578"/>
    <s v="Cali"/>
    <m/>
    <m/>
    <m/>
    <m/>
    <x v="0"/>
  </r>
  <r>
    <d v="2021-09-30T00:00:00"/>
    <x v="9"/>
    <x v="26"/>
    <x v="26"/>
    <n v="-250000"/>
    <n v="0"/>
    <n v="250000"/>
    <x v="578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0"/>
    <x v="0"/>
    <n v="15000"/>
    <n v="15000"/>
    <n v="0"/>
    <x v="137"/>
    <s v="Cali"/>
    <m/>
    <m/>
    <m/>
    <m/>
    <x v="0"/>
  </r>
  <r>
    <d v="2021-09-30T00:00:00"/>
    <x v="9"/>
    <x v="26"/>
    <x v="26"/>
    <n v="-15000"/>
    <n v="0"/>
    <n v="15000"/>
    <x v="137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0"/>
    <x v="0"/>
    <n v="30000"/>
    <n v="30000"/>
    <n v="0"/>
    <x v="497"/>
    <s v="Cali"/>
    <m/>
    <m/>
    <m/>
    <m/>
    <x v="0"/>
  </r>
  <r>
    <d v="2021-09-30T00:00:00"/>
    <x v="9"/>
    <x v="25"/>
    <x v="25"/>
    <n v="-30000"/>
    <n v="0"/>
    <n v="30000"/>
    <x v="497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0"/>
    <x v="0"/>
    <n v="100000"/>
    <n v="100000"/>
    <n v="0"/>
    <x v="134"/>
    <s v="Cali"/>
    <m/>
    <m/>
    <m/>
    <m/>
    <x v="0"/>
  </r>
  <r>
    <d v="2021-09-30T00:00:00"/>
    <x v="9"/>
    <x v="26"/>
    <x v="26"/>
    <n v="-100000"/>
    <n v="0"/>
    <n v="100000"/>
    <x v="134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0"/>
    <x v="0"/>
    <n v="36000"/>
    <n v="36000"/>
    <n v="0"/>
    <x v="133"/>
    <s v="Cali"/>
    <m/>
    <m/>
    <m/>
    <m/>
    <x v="0"/>
  </r>
  <r>
    <d v="2021-09-30T00:00:00"/>
    <x v="9"/>
    <x v="25"/>
    <x v="25"/>
    <n v="-36000"/>
    <n v="0"/>
    <n v="36000"/>
    <x v="133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0"/>
    <x v="0"/>
    <n v="50000"/>
    <n v="50000"/>
    <n v="0"/>
    <x v="135"/>
    <s v="Cali"/>
    <m/>
    <m/>
    <m/>
    <m/>
    <x v="0"/>
  </r>
  <r>
    <d v="2021-09-30T00:00:00"/>
    <x v="9"/>
    <x v="26"/>
    <x v="26"/>
    <n v="-50000"/>
    <n v="0"/>
    <n v="50000"/>
    <x v="135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0"/>
    <x v="0"/>
    <n v="20000"/>
    <n v="20000"/>
    <n v="0"/>
    <x v="174"/>
    <s v="Cali"/>
    <m/>
    <m/>
    <m/>
    <m/>
    <x v="0"/>
  </r>
  <r>
    <d v="2021-09-30T00:00:00"/>
    <x v="9"/>
    <x v="25"/>
    <x v="25"/>
    <n v="-20000"/>
    <n v="0"/>
    <n v="20000"/>
    <x v="174"/>
    <s v="Cali"/>
    <m/>
    <m/>
    <m/>
    <m/>
    <x v="0"/>
  </r>
  <r>
    <m/>
    <x v="1"/>
    <x v="23"/>
    <x v="23"/>
    <m/>
    <m/>
    <m/>
    <x v="1"/>
    <m/>
    <m/>
    <m/>
    <m/>
    <m/>
    <x v="0"/>
  </r>
  <r>
    <d v="2021-09-09T00:00:00"/>
    <x v="9"/>
    <x v="31"/>
    <x v="31"/>
    <n v="1078"/>
    <n v="1078"/>
    <n v="0"/>
    <x v="215"/>
    <s v="Cali"/>
    <m/>
    <m/>
    <m/>
    <m/>
    <x v="0"/>
  </r>
  <r>
    <d v="2021-09-09T00:00:00"/>
    <x v="9"/>
    <x v="1"/>
    <x v="1"/>
    <n v="-1078"/>
    <n v="0"/>
    <n v="1078"/>
    <x v="215"/>
    <s v="Cali"/>
    <m/>
    <m/>
    <m/>
    <m/>
    <x v="0"/>
  </r>
  <r>
    <m/>
    <x v="1"/>
    <x v="23"/>
    <x v="23"/>
    <m/>
    <m/>
    <m/>
    <x v="1"/>
    <m/>
    <m/>
    <m/>
    <m/>
    <m/>
    <x v="0"/>
  </r>
  <r>
    <d v="2021-09-09T00:00:00"/>
    <x v="9"/>
    <x v="31"/>
    <x v="31"/>
    <n v="205"/>
    <n v="205"/>
    <n v="0"/>
    <x v="215"/>
    <s v="Cali"/>
    <m/>
    <m/>
    <m/>
    <m/>
    <x v="0"/>
  </r>
  <r>
    <d v="2021-09-09T00:00:00"/>
    <x v="9"/>
    <x v="1"/>
    <x v="1"/>
    <n v="-205"/>
    <n v="0"/>
    <n v="205"/>
    <x v="215"/>
    <s v="Cali"/>
    <m/>
    <m/>
    <m/>
    <m/>
    <x v="0"/>
  </r>
  <r>
    <m/>
    <x v="1"/>
    <x v="23"/>
    <x v="23"/>
    <m/>
    <m/>
    <m/>
    <x v="1"/>
    <m/>
    <m/>
    <m/>
    <m/>
    <m/>
    <x v="0"/>
  </r>
  <r>
    <d v="2021-09-22T00:00:00"/>
    <x v="9"/>
    <x v="1"/>
    <x v="1"/>
    <n v="32000000"/>
    <n v="32000000"/>
    <n v="0"/>
    <x v="579"/>
    <s v="Cali"/>
    <m/>
    <m/>
    <m/>
    <m/>
    <x v="0"/>
  </r>
  <r>
    <d v="2021-09-22T00:00:00"/>
    <x v="9"/>
    <x v="51"/>
    <x v="51"/>
    <n v="-32000000"/>
    <n v="0"/>
    <n v="32000000"/>
    <x v="579"/>
    <s v="Cali"/>
    <m/>
    <m/>
    <m/>
    <m/>
    <x v="0"/>
  </r>
  <r>
    <m/>
    <x v="1"/>
    <x v="23"/>
    <x v="23"/>
    <m/>
    <m/>
    <m/>
    <x v="1"/>
    <m/>
    <m/>
    <m/>
    <m/>
    <m/>
    <x v="0"/>
  </r>
  <r>
    <d v="2021-09-22T00:00:00"/>
    <x v="9"/>
    <x v="1"/>
    <x v="1"/>
    <n v="179895702"/>
    <n v="179895702"/>
    <n v="0"/>
    <x v="499"/>
    <s v="Cali"/>
    <m/>
    <m/>
    <m/>
    <m/>
    <x v="0"/>
  </r>
  <r>
    <d v="2021-09-22T00:00:00"/>
    <x v="9"/>
    <x v="3"/>
    <x v="3"/>
    <n v="-179895702"/>
    <n v="0"/>
    <n v="179895702"/>
    <x v="499"/>
    <s v="Cali"/>
    <m/>
    <m/>
    <m/>
    <m/>
    <x v="0"/>
  </r>
  <r>
    <m/>
    <x v="1"/>
    <x v="23"/>
    <x v="23"/>
    <m/>
    <m/>
    <m/>
    <x v="1"/>
    <m/>
    <m/>
    <m/>
    <m/>
    <m/>
    <x v="0"/>
  </r>
  <r>
    <d v="2021-09-24T00:00:00"/>
    <x v="9"/>
    <x v="12"/>
    <x v="12"/>
    <n v="256979"/>
    <n v="256979"/>
    <n v="0"/>
    <x v="580"/>
    <s v="Cali"/>
    <s v="76197476-9"/>
    <s v="INGENIERIA LICENCIADO LAS PENAS LIMITADA"/>
    <n v="2728"/>
    <m/>
    <x v="0"/>
  </r>
  <r>
    <d v="2021-09-24T00:00:00"/>
    <x v="9"/>
    <x v="1"/>
    <x v="1"/>
    <n v="-256979"/>
    <n v="0"/>
    <n v="256979"/>
    <x v="580"/>
    <s v="Cali"/>
    <s v="76197476-9"/>
    <s v="INGENIERIA LICENCIADO LAS PENAS LIMITADA"/>
    <n v="2728"/>
    <m/>
    <x v="0"/>
  </r>
  <r>
    <m/>
    <x v="1"/>
    <x v="23"/>
    <x v="23"/>
    <m/>
    <m/>
    <m/>
    <x v="1"/>
    <m/>
    <m/>
    <m/>
    <m/>
    <m/>
    <x v="0"/>
  </r>
  <r>
    <d v="2021-09-24T00:00:00"/>
    <x v="9"/>
    <x v="12"/>
    <x v="12"/>
    <n v="4336126"/>
    <n v="4336126"/>
    <n v="0"/>
    <x v="581"/>
    <s v="Cali"/>
    <s v="89485200-3"/>
    <s v="COZ Y COMPAÃ‘IA S.A."/>
    <n v="6330"/>
    <s v="138-01"/>
    <x v="3"/>
  </r>
  <r>
    <d v="2021-09-24T00:00:00"/>
    <x v="9"/>
    <x v="1"/>
    <x v="1"/>
    <n v="-4336126"/>
    <n v="0"/>
    <n v="4336126"/>
    <x v="581"/>
    <s v="Cali"/>
    <s v="89485200-3"/>
    <s v="COZ Y COMPAÃ‘IA S.A."/>
    <n v="6330"/>
    <s v="138-01"/>
    <x v="3"/>
  </r>
  <r>
    <m/>
    <x v="1"/>
    <x v="23"/>
    <x v="23"/>
    <m/>
    <m/>
    <m/>
    <x v="1"/>
    <m/>
    <m/>
    <m/>
    <m/>
    <m/>
    <x v="0"/>
  </r>
  <r>
    <d v="2021-09-24T00:00:00"/>
    <x v="9"/>
    <x v="48"/>
    <x v="48"/>
    <n v="222463036"/>
    <n v="222463036"/>
    <n v="0"/>
    <x v="582"/>
    <s v="Cali"/>
    <s v="80965500-8"/>
    <s v="PROYECTOS Y CONSTRUCCIONES TASCO LIMITADA"/>
    <n v="3022"/>
    <m/>
    <x v="0"/>
  </r>
  <r>
    <d v="2021-09-24T00:00:00"/>
    <x v="9"/>
    <x v="1"/>
    <x v="1"/>
    <n v="-222463036"/>
    <n v="0"/>
    <n v="222463036"/>
    <x v="582"/>
    <s v="Cali"/>
    <s v="80965500-8"/>
    <s v="PROYECTOS Y CONSTRUCCIONES TASCO LIMITADA"/>
    <n v="3022"/>
    <m/>
    <x v="0"/>
  </r>
  <r>
    <m/>
    <x v="1"/>
    <x v="23"/>
    <x v="23"/>
    <m/>
    <m/>
    <m/>
    <x v="1"/>
    <m/>
    <m/>
    <m/>
    <m/>
    <m/>
    <x v="0"/>
  </r>
  <r>
    <d v="2021-09-24T00:00:00"/>
    <x v="9"/>
    <x v="12"/>
    <x v="12"/>
    <n v="7869139"/>
    <n v="7869139"/>
    <n v="0"/>
    <x v="583"/>
    <s v="Cali"/>
    <m/>
    <m/>
    <m/>
    <m/>
    <x v="0"/>
  </r>
  <r>
    <d v="2021-09-24T00:00:00"/>
    <x v="9"/>
    <x v="1"/>
    <x v="1"/>
    <n v="-7869139"/>
    <n v="0"/>
    <n v="7869139"/>
    <x v="583"/>
    <s v="Cali"/>
    <m/>
    <m/>
    <m/>
    <m/>
    <x v="0"/>
  </r>
  <r>
    <m/>
    <x v="1"/>
    <x v="23"/>
    <x v="23"/>
    <m/>
    <m/>
    <m/>
    <x v="1"/>
    <m/>
    <m/>
    <m/>
    <m/>
    <m/>
    <x v="0"/>
  </r>
  <r>
    <d v="2021-09-24T00:00:00"/>
    <x v="9"/>
    <x v="11"/>
    <x v="11"/>
    <n v="-31180276"/>
    <n v="0"/>
    <n v="31180276"/>
    <x v="584"/>
    <s v="Cali"/>
    <s v="80965500-8"/>
    <s v="PROYECTOS Y CONSTRUCCIONES TASCO LIMITADA"/>
    <n v="3022"/>
    <m/>
    <x v="0"/>
  </r>
  <r>
    <d v="2021-09-24T00:00:00"/>
    <x v="9"/>
    <x v="8"/>
    <x v="8"/>
    <n v="265123715"/>
    <n v="265123715"/>
    <n v="0"/>
    <x v="129"/>
    <s v="Cali"/>
    <s v="80965500-8"/>
    <s v="PROYECTOS Y CONSTRUCCIONES TASCO LIMITADA"/>
    <n v="3022"/>
    <m/>
    <x v="0"/>
  </r>
  <r>
    <d v="2021-09-24T00:00:00"/>
    <x v="9"/>
    <x v="18"/>
    <x v="18"/>
    <n v="-11480403"/>
    <n v="0"/>
    <n v="11480403"/>
    <x v="585"/>
    <s v="Cali"/>
    <s v="80965500-8"/>
    <s v="PROYECTOS Y CONSTRUCCIONES TASCO LIMITADA"/>
    <n v="3022"/>
    <m/>
    <x v="0"/>
  </r>
  <r>
    <d v="2021-09-24T00:00:00"/>
    <x v="9"/>
    <x v="48"/>
    <x v="48"/>
    <n v="-222463036"/>
    <n v="0"/>
    <n v="222463036"/>
    <x v="586"/>
    <s v="Cali"/>
    <s v="80965500-8"/>
    <s v="PROYECTOS Y CONSTRUCCIONES TASCO LIMITADA"/>
    <n v="3022"/>
    <m/>
    <x v="0"/>
  </r>
  <r>
    <m/>
    <x v="1"/>
    <x v="23"/>
    <x v="23"/>
    <m/>
    <m/>
    <m/>
    <x v="1"/>
    <m/>
    <m/>
    <m/>
    <m/>
    <m/>
    <x v="0"/>
  </r>
  <r>
    <d v="2021-09-14T00:00:00"/>
    <x v="9"/>
    <x v="51"/>
    <x v="51"/>
    <n v="30949483"/>
    <n v="30949483"/>
    <n v="0"/>
    <x v="587"/>
    <s v="Cali"/>
    <m/>
    <m/>
    <m/>
    <m/>
    <x v="0"/>
  </r>
  <r>
    <d v="2021-09-14T00:00:00"/>
    <x v="9"/>
    <x v="53"/>
    <x v="53"/>
    <n v="-30949483"/>
    <n v="0"/>
    <n v="30949483"/>
    <x v="587"/>
    <s v="Cali"/>
    <m/>
    <m/>
    <m/>
    <m/>
    <x v="0"/>
  </r>
  <r>
    <m/>
    <x v="1"/>
    <x v="23"/>
    <x v="23"/>
    <m/>
    <m/>
    <m/>
    <x v="1"/>
    <m/>
    <m/>
    <m/>
    <m/>
    <m/>
    <x v="0"/>
  </r>
  <r>
    <d v="2021-09-10T00:00:00"/>
    <x v="9"/>
    <x v="31"/>
    <x v="31"/>
    <n v="9957"/>
    <n v="9957"/>
    <n v="0"/>
    <x v="588"/>
    <s v="Cali"/>
    <m/>
    <m/>
    <m/>
    <m/>
    <x v="0"/>
  </r>
  <r>
    <d v="2021-09-10T00:00:00"/>
    <x v="9"/>
    <x v="51"/>
    <x v="51"/>
    <n v="-9957"/>
    <n v="0"/>
    <n v="9957"/>
    <x v="588"/>
    <s v="Cali"/>
    <m/>
    <m/>
    <m/>
    <m/>
    <x v="0"/>
  </r>
  <r>
    <m/>
    <x v="1"/>
    <x v="23"/>
    <x v="23"/>
    <m/>
    <m/>
    <m/>
    <x v="1"/>
    <m/>
    <m/>
    <m/>
    <m/>
    <m/>
    <x v="0"/>
  </r>
  <r>
    <d v="2021-09-20T00:00:00"/>
    <x v="9"/>
    <x v="51"/>
    <x v="51"/>
    <n v="690000"/>
    <n v="690000"/>
    <n v="0"/>
    <x v="449"/>
    <s v="Cali"/>
    <m/>
    <m/>
    <m/>
    <m/>
    <x v="0"/>
  </r>
  <r>
    <d v="2021-09-20T00:00:00"/>
    <x v="9"/>
    <x v="25"/>
    <x v="25"/>
    <n v="-690000"/>
    <n v="0"/>
    <n v="690000"/>
    <x v="449"/>
    <s v="Cali"/>
    <m/>
    <m/>
    <m/>
    <m/>
    <x v="0"/>
  </r>
  <r>
    <m/>
    <x v="1"/>
    <x v="23"/>
    <x v="23"/>
    <m/>
    <m/>
    <m/>
    <x v="1"/>
    <m/>
    <m/>
    <m/>
    <m/>
    <m/>
    <x v="0"/>
  </r>
  <r>
    <d v="2021-09-29T00:00:00"/>
    <x v="9"/>
    <x v="51"/>
    <x v="51"/>
    <n v="55000"/>
    <n v="55000"/>
    <n v="0"/>
    <x v="449"/>
    <s v="Cali"/>
    <m/>
    <m/>
    <m/>
    <m/>
    <x v="0"/>
  </r>
  <r>
    <d v="2021-09-29T00:00:00"/>
    <x v="9"/>
    <x v="25"/>
    <x v="25"/>
    <n v="-55000"/>
    <n v="0"/>
    <n v="55000"/>
    <x v="449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32"/>
    <x v="32"/>
    <n v="-457000"/>
    <n v="0"/>
    <n v="457000"/>
    <x v="548"/>
    <s v="Cali"/>
    <m/>
    <m/>
    <m/>
    <m/>
    <x v="0"/>
  </r>
  <r>
    <d v="2021-09-30T00:00:00"/>
    <x v="9"/>
    <x v="33"/>
    <x v="33"/>
    <n v="0"/>
    <n v="0"/>
    <n v="0"/>
    <x v="548"/>
    <s v="Cali"/>
    <m/>
    <m/>
    <m/>
    <m/>
    <x v="0"/>
  </r>
  <r>
    <d v="2021-09-30T00:00:00"/>
    <x v="9"/>
    <x v="34"/>
    <x v="34"/>
    <n v="-935289"/>
    <n v="0"/>
    <n v="935289"/>
    <x v="548"/>
    <s v="Cali"/>
    <m/>
    <m/>
    <m/>
    <m/>
    <x v="0"/>
  </r>
  <r>
    <d v="2021-09-30T00:00:00"/>
    <x v="9"/>
    <x v="35"/>
    <x v="35"/>
    <n v="-2973500"/>
    <n v="0"/>
    <n v="2973500"/>
    <x v="548"/>
    <s v="Cali"/>
    <m/>
    <m/>
    <m/>
    <m/>
    <x v="0"/>
  </r>
  <r>
    <d v="2021-09-30T00:00:00"/>
    <x v="9"/>
    <x v="36"/>
    <x v="36"/>
    <n v="-4190600"/>
    <n v="0"/>
    <n v="4190600"/>
    <x v="548"/>
    <s v="Cali"/>
    <m/>
    <m/>
    <m/>
    <m/>
    <x v="0"/>
  </r>
  <r>
    <d v="2021-09-30T00:00:00"/>
    <x v="9"/>
    <x v="37"/>
    <x v="37"/>
    <n v="-7628413"/>
    <n v="0"/>
    <n v="7628413"/>
    <x v="548"/>
    <s v="Cali"/>
    <m/>
    <m/>
    <m/>
    <m/>
    <x v="0"/>
  </r>
  <r>
    <d v="2021-09-30T00:00:00"/>
    <x v="9"/>
    <x v="29"/>
    <x v="29"/>
    <n v="457000"/>
    <n v="457000"/>
    <n v="0"/>
    <x v="548"/>
    <s v="Cali"/>
    <m/>
    <m/>
    <m/>
    <m/>
    <x v="0"/>
  </r>
  <r>
    <d v="2021-09-30T00:00:00"/>
    <x v="9"/>
    <x v="27"/>
    <x v="27"/>
    <n v="935289"/>
    <n v="935289"/>
    <n v="0"/>
    <x v="548"/>
    <s v="Cali"/>
    <m/>
    <m/>
    <m/>
    <m/>
    <x v="0"/>
  </r>
  <r>
    <d v="2021-09-30T00:00:00"/>
    <x v="9"/>
    <x v="25"/>
    <x v="25"/>
    <n v="2973500"/>
    <n v="2973500"/>
    <n v="0"/>
    <x v="548"/>
    <s v="Cali"/>
    <m/>
    <m/>
    <m/>
    <m/>
    <x v="0"/>
  </r>
  <r>
    <d v="2021-09-30T00:00:00"/>
    <x v="9"/>
    <x v="5"/>
    <x v="5"/>
    <n v="11819013"/>
    <n v="11819013"/>
    <n v="0"/>
    <x v="548"/>
    <s v="Cali"/>
    <m/>
    <m/>
    <m/>
    <m/>
    <x v="0"/>
  </r>
  <r>
    <d v="2021-09-30T00:00:00"/>
    <x v="9"/>
    <x v="15"/>
    <x v="15"/>
    <n v="-2918288"/>
    <n v="0"/>
    <n v="2918288"/>
    <x v="548"/>
    <s v="Cali"/>
    <m/>
    <m/>
    <m/>
    <m/>
    <x v="0"/>
  </r>
  <r>
    <d v="2021-09-30T00:00:00"/>
    <x v="9"/>
    <x v="38"/>
    <x v="38"/>
    <n v="2918288"/>
    <n v="2918288"/>
    <n v="0"/>
    <x v="548"/>
    <s v="Cali"/>
    <m/>
    <m/>
    <m/>
    <m/>
    <x v="0"/>
  </r>
  <r>
    <d v="2021-09-30T00:00:00"/>
    <x v="9"/>
    <x v="16"/>
    <x v="16"/>
    <n v="-54840"/>
    <n v="0"/>
    <n v="54840"/>
    <x v="548"/>
    <s v="Cali"/>
    <m/>
    <m/>
    <m/>
    <m/>
    <x v="0"/>
  </r>
  <r>
    <d v="2021-09-30T00:00:00"/>
    <x v="9"/>
    <x v="14"/>
    <x v="14"/>
    <n v="-161848"/>
    <n v="0"/>
    <n v="161848"/>
    <x v="548"/>
    <s v="Cali"/>
    <m/>
    <m/>
    <m/>
    <m/>
    <x v="0"/>
  </r>
  <r>
    <d v="2021-09-30T00:00:00"/>
    <x v="9"/>
    <x v="39"/>
    <x v="39"/>
    <n v="54840"/>
    <n v="54840"/>
    <n v="0"/>
    <x v="548"/>
    <s v="Cali"/>
    <m/>
    <m/>
    <m/>
    <m/>
    <x v="0"/>
  </r>
  <r>
    <d v="2021-09-30T00:00:00"/>
    <x v="9"/>
    <x v="40"/>
    <x v="40"/>
    <n v="161848"/>
    <n v="161848"/>
    <n v="0"/>
    <x v="548"/>
    <s v="Cali"/>
    <m/>
    <m/>
    <m/>
    <m/>
    <x v="0"/>
  </r>
  <r>
    <d v="2021-09-30T00:00:00"/>
    <x v="9"/>
    <x v="41"/>
    <x v="41"/>
    <n v="-5853767"/>
    <n v="0"/>
    <n v="5853767"/>
    <x v="548"/>
    <s v="Cali"/>
    <m/>
    <m/>
    <m/>
    <m/>
    <x v="0"/>
  </r>
  <r>
    <d v="2021-09-30T00:00:00"/>
    <x v="9"/>
    <x v="42"/>
    <x v="42"/>
    <n v="-1970500"/>
    <n v="0"/>
    <n v="1970500"/>
    <x v="548"/>
    <s v="Cali"/>
    <m/>
    <m/>
    <m/>
    <m/>
    <x v="0"/>
  </r>
  <r>
    <d v="2021-09-30T00:00:00"/>
    <x v="9"/>
    <x v="43"/>
    <x v="43"/>
    <n v="400621"/>
    <n v="400621"/>
    <n v="0"/>
    <x v="548"/>
    <s v="Cali"/>
    <m/>
    <m/>
    <m/>
    <m/>
    <x v="0"/>
  </r>
  <r>
    <d v="2021-09-30T00:00:00"/>
    <x v="9"/>
    <x v="43"/>
    <x v="43"/>
    <n v="49263"/>
    <n v="49263"/>
    <n v="0"/>
    <x v="548"/>
    <s v="Cali"/>
    <m/>
    <m/>
    <m/>
    <m/>
    <x v="0"/>
  </r>
  <r>
    <d v="2021-09-30T00:00:00"/>
    <x v="9"/>
    <x v="38"/>
    <x v="38"/>
    <n v="3236765"/>
    <n v="3236765"/>
    <n v="0"/>
    <x v="548"/>
    <s v="Cali"/>
    <m/>
    <m/>
    <m/>
    <m/>
    <x v="0"/>
  </r>
  <r>
    <d v="2021-09-30T00:00:00"/>
    <x v="9"/>
    <x v="40"/>
    <x v="40"/>
    <n v="58538"/>
    <n v="58538"/>
    <n v="0"/>
    <x v="548"/>
    <s v="Cali"/>
    <m/>
    <m/>
    <m/>
    <m/>
    <x v="0"/>
  </r>
  <r>
    <d v="2021-09-30T00:00:00"/>
    <x v="9"/>
    <x v="40"/>
    <x v="40"/>
    <n v="19705"/>
    <n v="19705"/>
    <n v="0"/>
    <x v="548"/>
    <s v="Cali"/>
    <m/>
    <m/>
    <m/>
    <m/>
    <x v="0"/>
  </r>
  <r>
    <d v="2021-09-30T00:00:00"/>
    <x v="9"/>
    <x v="44"/>
    <x v="44"/>
    <n v="2157843"/>
    <n v="2157843"/>
    <n v="0"/>
    <x v="548"/>
    <s v="Cali"/>
    <m/>
    <m/>
    <m/>
    <m/>
    <x v="0"/>
  </r>
  <r>
    <d v="2021-09-30T00:00:00"/>
    <x v="9"/>
    <x v="45"/>
    <x v="45"/>
    <n v="1901532"/>
    <n v="1901532"/>
    <n v="0"/>
    <x v="548"/>
    <s v="Cali"/>
    <m/>
    <m/>
    <m/>
    <m/>
    <x v="0"/>
  </r>
  <r>
    <d v="2021-09-30T00:00:00"/>
    <x v="9"/>
    <x v="5"/>
    <x v="5"/>
    <n v="-395216"/>
    <n v="0"/>
    <n v="395216"/>
    <x v="548"/>
    <s v="Cali"/>
    <m/>
    <m/>
    <m/>
    <m/>
    <x v="0"/>
  </r>
  <r>
    <d v="2021-09-30T00:00:00"/>
    <x v="9"/>
    <x v="30"/>
    <x v="30"/>
    <n v="395216"/>
    <n v="395216"/>
    <n v="0"/>
    <x v="548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13"/>
    <x v="13"/>
    <n v="30000"/>
    <n v="30000"/>
    <n v="0"/>
    <x v="465"/>
    <s v="Cali"/>
    <m/>
    <m/>
    <m/>
    <m/>
    <x v="0"/>
  </r>
  <r>
    <d v="2021-09-30T00:00:00"/>
    <x v="9"/>
    <x v="13"/>
    <x v="13"/>
    <n v="20000"/>
    <n v="20000"/>
    <n v="0"/>
    <x v="299"/>
    <s v="Cali"/>
    <m/>
    <m/>
    <m/>
    <m/>
    <x v="0"/>
  </r>
  <r>
    <d v="2021-09-30T00:00:00"/>
    <x v="9"/>
    <x v="13"/>
    <x v="13"/>
    <n v="50000"/>
    <n v="50000"/>
    <n v="0"/>
    <x v="357"/>
    <s v="Cali"/>
    <m/>
    <m/>
    <m/>
    <m/>
    <x v="0"/>
  </r>
  <r>
    <d v="2021-09-30T00:00:00"/>
    <x v="9"/>
    <x v="13"/>
    <x v="13"/>
    <n v="-48353"/>
    <n v="0"/>
    <n v="48353"/>
    <x v="543"/>
    <s v="Cali"/>
    <m/>
    <m/>
    <m/>
    <m/>
    <x v="0"/>
  </r>
  <r>
    <d v="2021-09-30T00:00:00"/>
    <x v="9"/>
    <x v="13"/>
    <x v="13"/>
    <n v="30000"/>
    <n v="30000"/>
    <n v="0"/>
    <x v="221"/>
    <s v="Cali"/>
    <m/>
    <m/>
    <m/>
    <m/>
    <x v="0"/>
  </r>
  <r>
    <d v="2021-09-30T00:00:00"/>
    <x v="9"/>
    <x v="13"/>
    <x v="13"/>
    <n v="13000"/>
    <n v="13000"/>
    <n v="0"/>
    <x v="589"/>
    <s v="Cali"/>
    <m/>
    <m/>
    <m/>
    <m/>
    <x v="0"/>
  </r>
  <r>
    <d v="2021-09-30T00:00:00"/>
    <x v="9"/>
    <x v="13"/>
    <x v="13"/>
    <n v="13000"/>
    <n v="13000"/>
    <n v="0"/>
    <x v="590"/>
    <s v="Cali"/>
    <m/>
    <m/>
    <m/>
    <m/>
    <x v="0"/>
  </r>
  <r>
    <d v="2021-09-30T00:00:00"/>
    <x v="9"/>
    <x v="13"/>
    <x v="13"/>
    <n v="13000"/>
    <n v="13000"/>
    <n v="0"/>
    <x v="591"/>
    <s v="Cali"/>
    <m/>
    <m/>
    <m/>
    <m/>
    <x v="0"/>
  </r>
  <r>
    <d v="2021-09-30T00:00:00"/>
    <x v="9"/>
    <x v="13"/>
    <x v="13"/>
    <n v="21000"/>
    <n v="21000"/>
    <n v="0"/>
    <x v="545"/>
    <s v="Cali"/>
    <m/>
    <m/>
    <m/>
    <m/>
    <x v="0"/>
  </r>
  <r>
    <d v="2021-09-30T00:00:00"/>
    <x v="9"/>
    <x v="13"/>
    <x v="13"/>
    <n v="35000"/>
    <n v="35000"/>
    <n v="0"/>
    <x v="546"/>
    <s v="Cali"/>
    <m/>
    <m/>
    <m/>
    <m/>
    <x v="0"/>
  </r>
  <r>
    <d v="2021-09-30T00:00:00"/>
    <x v="9"/>
    <x v="13"/>
    <x v="13"/>
    <n v="15000"/>
    <n v="15000"/>
    <n v="0"/>
    <x v="301"/>
    <s v="Cali"/>
    <m/>
    <m/>
    <m/>
    <m/>
    <x v="0"/>
  </r>
  <r>
    <d v="2021-09-30T00:00:00"/>
    <x v="9"/>
    <x v="13"/>
    <x v="13"/>
    <n v="50000"/>
    <n v="50000"/>
    <n v="0"/>
    <x v="407"/>
    <s v="Cali"/>
    <m/>
    <m/>
    <m/>
    <m/>
    <x v="0"/>
  </r>
  <r>
    <d v="2021-09-30T00:00:00"/>
    <x v="9"/>
    <x v="13"/>
    <x v="13"/>
    <n v="20000"/>
    <n v="20000"/>
    <n v="0"/>
    <x v="592"/>
    <s v="Cali"/>
    <m/>
    <m/>
    <m/>
    <m/>
    <x v="0"/>
  </r>
  <r>
    <d v="2021-09-30T00:00:00"/>
    <x v="9"/>
    <x v="13"/>
    <x v="13"/>
    <n v="450000"/>
    <n v="450000"/>
    <n v="0"/>
    <x v="593"/>
    <s v="Cali"/>
    <m/>
    <m/>
    <m/>
    <m/>
    <x v="0"/>
  </r>
  <r>
    <d v="2021-09-30T00:00:00"/>
    <x v="9"/>
    <x v="13"/>
    <x v="13"/>
    <n v="450000"/>
    <n v="450000"/>
    <n v="0"/>
    <x v="594"/>
    <s v="Cali"/>
    <m/>
    <m/>
    <m/>
    <m/>
    <x v="0"/>
  </r>
  <r>
    <d v="2021-09-30T00:00:00"/>
    <x v="9"/>
    <x v="13"/>
    <x v="13"/>
    <n v="20000"/>
    <n v="20000"/>
    <n v="0"/>
    <x v="595"/>
    <s v="Cali"/>
    <m/>
    <m/>
    <m/>
    <m/>
    <x v="0"/>
  </r>
  <r>
    <d v="2021-09-30T00:00:00"/>
    <x v="9"/>
    <x v="13"/>
    <x v="13"/>
    <n v="10000"/>
    <n v="10000"/>
    <n v="0"/>
    <x v="520"/>
    <s v="Cali"/>
    <m/>
    <m/>
    <m/>
    <m/>
    <x v="0"/>
  </r>
  <r>
    <d v="2021-09-30T00:00:00"/>
    <x v="9"/>
    <x v="13"/>
    <x v="13"/>
    <n v="30000"/>
    <n v="30000"/>
    <n v="0"/>
    <x v="304"/>
    <s v="Cali"/>
    <m/>
    <m/>
    <m/>
    <m/>
    <x v="0"/>
  </r>
  <r>
    <d v="2021-09-30T00:00:00"/>
    <x v="9"/>
    <x v="29"/>
    <x v="29"/>
    <n v="-30000"/>
    <n v="0"/>
    <n v="30000"/>
    <x v="465"/>
    <s v="Cali"/>
    <m/>
    <m/>
    <m/>
    <m/>
    <x v="0"/>
  </r>
  <r>
    <d v="2021-09-30T00:00:00"/>
    <x v="9"/>
    <x v="26"/>
    <x v="26"/>
    <n v="-20000"/>
    <n v="0"/>
    <n v="20000"/>
    <x v="299"/>
    <s v="Cali"/>
    <m/>
    <m/>
    <m/>
    <m/>
    <x v="0"/>
  </r>
  <r>
    <d v="2021-09-30T00:00:00"/>
    <x v="9"/>
    <x v="26"/>
    <x v="26"/>
    <n v="-50000"/>
    <n v="0"/>
    <n v="50000"/>
    <x v="357"/>
    <s v="Cali"/>
    <m/>
    <m/>
    <m/>
    <m/>
    <x v="0"/>
  </r>
  <r>
    <d v="2021-09-30T00:00:00"/>
    <x v="9"/>
    <x v="17"/>
    <x v="17"/>
    <n v="48353"/>
    <n v="48353"/>
    <n v="0"/>
    <x v="543"/>
    <s v="Cali"/>
    <m/>
    <m/>
    <m/>
    <m/>
    <x v="0"/>
  </r>
  <r>
    <d v="2021-09-30T00:00:00"/>
    <x v="9"/>
    <x v="25"/>
    <x v="25"/>
    <n v="-30000"/>
    <n v="0"/>
    <n v="30000"/>
    <x v="221"/>
    <s v="Cali"/>
    <m/>
    <m/>
    <m/>
    <m/>
    <x v="0"/>
  </r>
  <r>
    <d v="2021-09-30T00:00:00"/>
    <x v="9"/>
    <x v="25"/>
    <x v="25"/>
    <n v="-13000"/>
    <n v="0"/>
    <n v="13000"/>
    <x v="589"/>
    <s v="Cali"/>
    <m/>
    <m/>
    <m/>
    <m/>
    <x v="0"/>
  </r>
  <r>
    <d v="2021-09-30T00:00:00"/>
    <x v="9"/>
    <x v="25"/>
    <x v="25"/>
    <n v="-13000"/>
    <n v="0"/>
    <n v="13000"/>
    <x v="590"/>
    <s v="Cali"/>
    <m/>
    <m/>
    <m/>
    <m/>
    <x v="0"/>
  </r>
  <r>
    <d v="2021-09-30T00:00:00"/>
    <x v="9"/>
    <x v="25"/>
    <x v="25"/>
    <n v="-13000"/>
    <n v="0"/>
    <n v="13000"/>
    <x v="591"/>
    <s v="Cali"/>
    <m/>
    <m/>
    <m/>
    <m/>
    <x v="0"/>
  </r>
  <r>
    <d v="2021-09-30T00:00:00"/>
    <x v="9"/>
    <x v="27"/>
    <x v="27"/>
    <n v="-21000"/>
    <n v="0"/>
    <n v="21000"/>
    <x v="545"/>
    <s v="Cali"/>
    <m/>
    <m/>
    <m/>
    <m/>
    <x v="0"/>
  </r>
  <r>
    <d v="2021-09-30T00:00:00"/>
    <x v="9"/>
    <x v="25"/>
    <x v="25"/>
    <n v="-35000"/>
    <n v="0"/>
    <n v="35000"/>
    <x v="546"/>
    <s v="Cali"/>
    <m/>
    <m/>
    <m/>
    <m/>
    <x v="0"/>
  </r>
  <r>
    <d v="2021-09-30T00:00:00"/>
    <x v="9"/>
    <x v="25"/>
    <x v="25"/>
    <n v="-15000"/>
    <n v="0"/>
    <n v="15000"/>
    <x v="301"/>
    <s v="Cali"/>
    <m/>
    <m/>
    <m/>
    <m/>
    <x v="0"/>
  </r>
  <r>
    <d v="2021-09-30T00:00:00"/>
    <x v="9"/>
    <x v="25"/>
    <x v="25"/>
    <n v="-50000"/>
    <n v="0"/>
    <n v="50000"/>
    <x v="407"/>
    <s v="Cali"/>
    <m/>
    <m/>
    <m/>
    <m/>
    <x v="0"/>
  </r>
  <r>
    <d v="2021-09-30T00:00:00"/>
    <x v="9"/>
    <x v="25"/>
    <x v="25"/>
    <n v="-20000"/>
    <n v="0"/>
    <n v="20000"/>
    <x v="592"/>
    <s v="Cali"/>
    <m/>
    <m/>
    <m/>
    <m/>
    <x v="0"/>
  </r>
  <r>
    <d v="2021-09-30T00:00:00"/>
    <x v="9"/>
    <x v="26"/>
    <x v="26"/>
    <n v="-450000"/>
    <n v="0"/>
    <n v="450000"/>
    <x v="593"/>
    <s v="Cali"/>
    <m/>
    <m/>
    <m/>
    <m/>
    <x v="0"/>
  </r>
  <r>
    <d v="2021-09-30T00:00:00"/>
    <x v="9"/>
    <x v="26"/>
    <x v="26"/>
    <n v="-450000"/>
    <n v="0"/>
    <n v="450000"/>
    <x v="594"/>
    <s v="Cali"/>
    <m/>
    <m/>
    <m/>
    <m/>
    <x v="0"/>
  </r>
  <r>
    <d v="2021-09-30T00:00:00"/>
    <x v="9"/>
    <x v="25"/>
    <x v="25"/>
    <n v="-20000"/>
    <n v="0"/>
    <n v="20000"/>
    <x v="595"/>
    <s v="Cali"/>
    <m/>
    <m/>
    <m/>
    <m/>
    <x v="0"/>
  </r>
  <r>
    <d v="2021-09-30T00:00:00"/>
    <x v="9"/>
    <x v="25"/>
    <x v="25"/>
    <n v="-10000"/>
    <n v="0"/>
    <n v="10000"/>
    <x v="520"/>
    <s v="Cali"/>
    <m/>
    <m/>
    <m/>
    <m/>
    <x v="0"/>
  </r>
  <r>
    <d v="2021-09-30T00:00:00"/>
    <x v="9"/>
    <x v="25"/>
    <x v="25"/>
    <n v="-30000"/>
    <n v="0"/>
    <n v="30000"/>
    <x v="304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4"/>
    <x v="4"/>
    <n v="135000"/>
    <n v="135000"/>
    <n v="0"/>
    <x v="596"/>
    <s v="Cali"/>
    <m/>
    <m/>
    <m/>
    <m/>
    <x v="0"/>
  </r>
  <r>
    <d v="2021-09-30T00:00:00"/>
    <x v="9"/>
    <x v="29"/>
    <x v="29"/>
    <n v="-135000"/>
    <n v="0"/>
    <n v="135000"/>
    <x v="596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13"/>
    <x v="13"/>
    <n v="40000"/>
    <n v="40000"/>
    <n v="0"/>
    <x v="463"/>
    <s v="Cali"/>
    <m/>
    <m/>
    <m/>
    <m/>
    <x v="0"/>
  </r>
  <r>
    <d v="2021-09-30T00:00:00"/>
    <x v="9"/>
    <x v="13"/>
    <x v="13"/>
    <n v="50000"/>
    <n v="50000"/>
    <n v="0"/>
    <x v="357"/>
    <s v="Cali"/>
    <m/>
    <m/>
    <m/>
    <m/>
    <x v="0"/>
  </r>
  <r>
    <d v="2021-09-30T00:00:00"/>
    <x v="9"/>
    <x v="13"/>
    <x v="13"/>
    <n v="1000000"/>
    <n v="1000000"/>
    <n v="0"/>
    <x v="597"/>
    <s v="Cali"/>
    <m/>
    <m/>
    <m/>
    <m/>
    <x v="0"/>
  </r>
  <r>
    <d v="2021-09-30T00:00:00"/>
    <x v="9"/>
    <x v="25"/>
    <x v="25"/>
    <n v="-40000"/>
    <n v="0"/>
    <n v="40000"/>
    <x v="463"/>
    <s v="Cali"/>
    <m/>
    <m/>
    <m/>
    <m/>
    <x v="0"/>
  </r>
  <r>
    <d v="2021-09-30T00:00:00"/>
    <x v="9"/>
    <x v="26"/>
    <x v="26"/>
    <n v="-50000"/>
    <n v="0"/>
    <n v="50000"/>
    <x v="357"/>
    <s v="Cali"/>
    <m/>
    <m/>
    <m/>
    <m/>
    <x v="0"/>
  </r>
  <r>
    <d v="2021-09-30T00:00:00"/>
    <x v="9"/>
    <x v="26"/>
    <x v="26"/>
    <n v="-1000000"/>
    <n v="0"/>
    <n v="1000000"/>
    <x v="597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46"/>
    <x v="46"/>
    <n v="0"/>
    <n v="0"/>
    <n v="0"/>
    <x v="110"/>
    <s v="Cali"/>
    <m/>
    <m/>
    <m/>
    <m/>
    <x v="0"/>
  </r>
  <r>
    <d v="2021-09-30T00:00:00"/>
    <x v="9"/>
    <x v="47"/>
    <x v="47"/>
    <n v="0"/>
    <n v="0"/>
    <n v="0"/>
    <x v="110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2"/>
    <x v="2"/>
    <n v="0"/>
    <n v="0"/>
    <n v="0"/>
    <x v="111"/>
    <s v="Cali"/>
    <m/>
    <m/>
    <m/>
    <m/>
    <x v="0"/>
  </r>
  <r>
    <d v="2021-09-30T00:00:00"/>
    <x v="9"/>
    <x v="47"/>
    <x v="47"/>
    <n v="0"/>
    <n v="0"/>
    <n v="0"/>
    <x v="111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3"/>
    <x v="3"/>
    <n v="-152625"/>
    <n v="0"/>
    <n v="152625"/>
    <x v="112"/>
    <s v="Cali"/>
    <m/>
    <m/>
    <m/>
    <m/>
    <x v="0"/>
  </r>
  <r>
    <d v="2021-09-30T00:00:00"/>
    <x v="9"/>
    <x v="47"/>
    <x v="47"/>
    <n v="152625"/>
    <n v="152625"/>
    <n v="0"/>
    <x v="112"/>
    <s v="Cali"/>
    <m/>
    <m/>
    <m/>
    <m/>
    <x v="0"/>
  </r>
  <r>
    <m/>
    <x v="1"/>
    <x v="23"/>
    <x v="23"/>
    <m/>
    <m/>
    <m/>
    <x v="1"/>
    <m/>
    <m/>
    <m/>
    <m/>
    <m/>
    <x v="0"/>
  </r>
  <r>
    <d v="2021-09-30T00:00:00"/>
    <x v="9"/>
    <x v="53"/>
    <x v="53"/>
    <n v="533716"/>
    <n v="533716"/>
    <n v="0"/>
    <x v="305"/>
    <s v="Cali"/>
    <m/>
    <m/>
    <m/>
    <m/>
    <x v="0"/>
  </r>
  <r>
    <d v="2021-09-30T00:00:00"/>
    <x v="9"/>
    <x v="47"/>
    <x v="47"/>
    <n v="-533716"/>
    <n v="0"/>
    <n v="533716"/>
    <x v="305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30000"/>
    <n v="30000"/>
    <n v="0"/>
    <x v="321"/>
    <s v="Cali"/>
    <m/>
    <m/>
    <m/>
    <m/>
    <x v="0"/>
  </r>
  <r>
    <d v="2021-10-01T00:00:00"/>
    <x v="10"/>
    <x v="27"/>
    <x v="27"/>
    <n v="-30000"/>
    <n v="0"/>
    <n v="30000"/>
    <x v="321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20000"/>
    <n v="20000"/>
    <n v="0"/>
    <x v="132"/>
    <s v="Cali"/>
    <m/>
    <m/>
    <m/>
    <m/>
    <x v="0"/>
  </r>
  <r>
    <d v="2021-10-01T00:00:00"/>
    <x v="10"/>
    <x v="25"/>
    <x v="25"/>
    <n v="-20000"/>
    <n v="0"/>
    <n v="20000"/>
    <x v="132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10000"/>
    <n v="10000"/>
    <n v="0"/>
    <x v="142"/>
    <s v="Cali"/>
    <m/>
    <m/>
    <m/>
    <m/>
    <x v="0"/>
  </r>
  <r>
    <d v="2021-10-01T00:00:00"/>
    <x v="10"/>
    <x v="25"/>
    <x v="25"/>
    <n v="-10000"/>
    <n v="0"/>
    <n v="10000"/>
    <x v="142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50000"/>
    <n v="50000"/>
    <n v="0"/>
    <x v="143"/>
    <s v="Cali"/>
    <m/>
    <m/>
    <m/>
    <m/>
    <x v="0"/>
  </r>
  <r>
    <d v="2021-10-01T00:00:00"/>
    <x v="10"/>
    <x v="25"/>
    <x v="25"/>
    <n v="-50000"/>
    <n v="0"/>
    <n v="50000"/>
    <x v="143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14000"/>
    <n v="14000"/>
    <n v="0"/>
    <x v="289"/>
    <s v="Cali"/>
    <m/>
    <m/>
    <m/>
    <m/>
    <x v="0"/>
  </r>
  <r>
    <d v="2021-10-01T00:00:00"/>
    <x v="10"/>
    <x v="26"/>
    <x v="26"/>
    <n v="-14000"/>
    <n v="0"/>
    <n v="14000"/>
    <x v="289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48000"/>
    <n v="48000"/>
    <n v="0"/>
    <x v="144"/>
    <s v="Cali"/>
    <m/>
    <m/>
    <m/>
    <m/>
    <x v="0"/>
  </r>
  <r>
    <d v="2021-10-01T00:00:00"/>
    <x v="10"/>
    <x v="27"/>
    <x v="27"/>
    <n v="-48000"/>
    <n v="0"/>
    <n v="48000"/>
    <x v="144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15000"/>
    <n v="15000"/>
    <n v="0"/>
    <x v="415"/>
    <s v="Cali"/>
    <m/>
    <m/>
    <m/>
    <m/>
    <x v="0"/>
  </r>
  <r>
    <d v="2021-10-01T00:00:00"/>
    <x v="10"/>
    <x v="25"/>
    <x v="25"/>
    <n v="-15000"/>
    <n v="0"/>
    <n v="15000"/>
    <x v="415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40000"/>
    <n v="40000"/>
    <n v="0"/>
    <x v="145"/>
    <s v="Cali"/>
    <m/>
    <m/>
    <m/>
    <m/>
    <x v="0"/>
  </r>
  <r>
    <d v="2021-10-01T00:00:00"/>
    <x v="10"/>
    <x v="25"/>
    <x v="25"/>
    <n v="-40000"/>
    <n v="0"/>
    <n v="40000"/>
    <x v="145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70000"/>
    <n v="70000"/>
    <n v="0"/>
    <x v="515"/>
    <s v="Cali"/>
    <m/>
    <m/>
    <m/>
    <m/>
    <x v="0"/>
  </r>
  <r>
    <d v="2021-10-01T00:00:00"/>
    <x v="10"/>
    <x v="26"/>
    <x v="26"/>
    <n v="-70000"/>
    <n v="0"/>
    <n v="70000"/>
    <x v="515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20000"/>
    <n v="20000"/>
    <n v="0"/>
    <x v="146"/>
    <s v="Cali"/>
    <m/>
    <m/>
    <m/>
    <m/>
    <x v="0"/>
  </r>
  <r>
    <d v="2021-10-01T00:00:00"/>
    <x v="10"/>
    <x v="26"/>
    <x v="26"/>
    <n v="-20000"/>
    <n v="0"/>
    <n v="20000"/>
    <x v="146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15000"/>
    <n v="15000"/>
    <n v="0"/>
    <x v="364"/>
    <s v="Cali"/>
    <m/>
    <m/>
    <m/>
    <m/>
    <x v="0"/>
  </r>
  <r>
    <d v="2021-10-01T00:00:00"/>
    <x v="10"/>
    <x v="25"/>
    <x v="25"/>
    <n v="-15000"/>
    <n v="0"/>
    <n v="15000"/>
    <x v="364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20000"/>
    <n v="20000"/>
    <n v="0"/>
    <x v="17"/>
    <s v="Cali"/>
    <m/>
    <m/>
    <m/>
    <m/>
    <x v="0"/>
  </r>
  <r>
    <d v="2021-10-01T00:00:00"/>
    <x v="10"/>
    <x v="25"/>
    <x v="25"/>
    <n v="-20000"/>
    <n v="0"/>
    <n v="20000"/>
    <x v="17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50000"/>
    <n v="50000"/>
    <n v="0"/>
    <x v="19"/>
    <s v="Cali"/>
    <m/>
    <m/>
    <m/>
    <m/>
    <x v="0"/>
  </r>
  <r>
    <d v="2021-10-01T00:00:00"/>
    <x v="10"/>
    <x v="25"/>
    <x v="25"/>
    <n v="-50000"/>
    <n v="0"/>
    <n v="50000"/>
    <x v="19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30000"/>
    <n v="30000"/>
    <n v="0"/>
    <x v="147"/>
    <s v="Cali"/>
    <m/>
    <m/>
    <m/>
    <m/>
    <x v="0"/>
  </r>
  <r>
    <d v="2021-10-01T00:00:00"/>
    <x v="10"/>
    <x v="26"/>
    <x v="26"/>
    <n v="-30000"/>
    <n v="0"/>
    <n v="30000"/>
    <x v="147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40000"/>
    <n v="40000"/>
    <n v="0"/>
    <x v="168"/>
    <s v="Cali"/>
    <m/>
    <m/>
    <m/>
    <m/>
    <x v="0"/>
  </r>
  <r>
    <d v="2021-10-01T00:00:00"/>
    <x v="10"/>
    <x v="26"/>
    <x v="26"/>
    <n v="-40000"/>
    <n v="0"/>
    <n v="40000"/>
    <x v="168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15000"/>
    <n v="15000"/>
    <n v="0"/>
    <x v="148"/>
    <s v="Cali"/>
    <m/>
    <m/>
    <m/>
    <m/>
    <x v="0"/>
  </r>
  <r>
    <d v="2021-10-01T00:00:00"/>
    <x v="10"/>
    <x v="25"/>
    <x v="25"/>
    <n v="-15000"/>
    <n v="0"/>
    <n v="15000"/>
    <x v="148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11423764"/>
    <n v="11423764"/>
    <n v="0"/>
    <x v="598"/>
    <s v="Cali"/>
    <m/>
    <m/>
    <m/>
    <m/>
    <x v="0"/>
  </r>
  <r>
    <d v="2021-10-01T00:00:00"/>
    <x v="10"/>
    <x v="5"/>
    <x v="5"/>
    <n v="-11423764"/>
    <n v="0"/>
    <n v="11423764"/>
    <x v="598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160000"/>
    <n v="160000"/>
    <n v="0"/>
    <x v="22"/>
    <s v="Cali"/>
    <m/>
    <m/>
    <m/>
    <m/>
    <x v="0"/>
  </r>
  <r>
    <d v="2021-10-01T00:00:00"/>
    <x v="10"/>
    <x v="27"/>
    <x v="27"/>
    <n v="-160000"/>
    <n v="0"/>
    <n v="160000"/>
    <x v="22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40000"/>
    <n v="40000"/>
    <n v="0"/>
    <x v="157"/>
    <s v="Cali"/>
    <m/>
    <m/>
    <m/>
    <m/>
    <x v="0"/>
  </r>
  <r>
    <d v="2021-10-01T00:00:00"/>
    <x v="10"/>
    <x v="27"/>
    <x v="27"/>
    <n v="-40000"/>
    <n v="0"/>
    <n v="40000"/>
    <x v="157"/>
    <s v="Cali"/>
    <m/>
    <m/>
    <m/>
    <m/>
    <x v="0"/>
  </r>
  <r>
    <m/>
    <x v="1"/>
    <x v="23"/>
    <x v="23"/>
    <m/>
    <m/>
    <m/>
    <x v="1"/>
    <m/>
    <m/>
    <m/>
    <m/>
    <m/>
    <x v="0"/>
  </r>
  <r>
    <d v="2021-10-01T00:00:00"/>
    <x v="10"/>
    <x v="0"/>
    <x v="0"/>
    <n v="30000"/>
    <n v="30000"/>
    <n v="0"/>
    <x v="307"/>
    <s v="Cali"/>
    <m/>
    <m/>
    <m/>
    <m/>
    <x v="0"/>
  </r>
  <r>
    <d v="2021-10-01T00:00:00"/>
    <x v="10"/>
    <x v="25"/>
    <x v="25"/>
    <n v="-30000"/>
    <n v="0"/>
    <n v="30000"/>
    <x v="307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25000"/>
    <n v="25000"/>
    <n v="0"/>
    <x v="38"/>
    <s v="Cali"/>
    <m/>
    <m/>
    <m/>
    <m/>
    <x v="0"/>
  </r>
  <r>
    <d v="2021-10-04T00:00:00"/>
    <x v="10"/>
    <x v="25"/>
    <x v="25"/>
    <n v="-25000"/>
    <n v="0"/>
    <n v="25000"/>
    <x v="38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15000"/>
    <n v="15000"/>
    <n v="0"/>
    <x v="150"/>
    <s v="Cali"/>
    <m/>
    <m/>
    <m/>
    <m/>
    <x v="0"/>
  </r>
  <r>
    <d v="2021-10-04T00:00:00"/>
    <x v="10"/>
    <x v="19"/>
    <x v="19"/>
    <n v="-15000"/>
    <n v="0"/>
    <n v="15000"/>
    <x v="150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20000"/>
    <n v="20000"/>
    <n v="0"/>
    <x v="205"/>
    <s v="Cali"/>
    <m/>
    <m/>
    <m/>
    <m/>
    <x v="0"/>
  </r>
  <r>
    <d v="2021-10-04T00:00:00"/>
    <x v="10"/>
    <x v="27"/>
    <x v="27"/>
    <n v="-20000"/>
    <n v="0"/>
    <n v="20000"/>
    <x v="205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50000"/>
    <n v="50000"/>
    <n v="0"/>
    <x v="10"/>
    <s v="Cali"/>
    <m/>
    <m/>
    <m/>
    <m/>
    <x v="0"/>
  </r>
  <r>
    <d v="2021-10-04T00:00:00"/>
    <x v="10"/>
    <x v="25"/>
    <x v="25"/>
    <n v="-50000"/>
    <n v="0"/>
    <n v="50000"/>
    <x v="10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1000000"/>
    <n v="1000000"/>
    <n v="0"/>
    <x v="560"/>
    <s v="Cali"/>
    <m/>
    <m/>
    <m/>
    <m/>
    <x v="0"/>
  </r>
  <r>
    <d v="2021-10-04T00:00:00"/>
    <x v="10"/>
    <x v="26"/>
    <x v="26"/>
    <n v="-1000000"/>
    <n v="0"/>
    <n v="1000000"/>
    <x v="560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40000"/>
    <n v="40000"/>
    <n v="0"/>
    <x v="267"/>
    <s v="Cali"/>
    <m/>
    <m/>
    <m/>
    <m/>
    <x v="0"/>
  </r>
  <r>
    <d v="2021-10-04T00:00:00"/>
    <x v="10"/>
    <x v="25"/>
    <x v="25"/>
    <n v="-40000"/>
    <n v="0"/>
    <n v="40000"/>
    <x v="267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45000"/>
    <n v="45000"/>
    <n v="0"/>
    <x v="161"/>
    <s v="Cali"/>
    <m/>
    <m/>
    <m/>
    <m/>
    <x v="0"/>
  </r>
  <r>
    <d v="2021-10-04T00:00:00"/>
    <x v="10"/>
    <x v="26"/>
    <x v="26"/>
    <n v="-45000"/>
    <n v="0"/>
    <n v="45000"/>
    <x v="161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120000"/>
    <n v="120000"/>
    <n v="0"/>
    <x v="155"/>
    <s v="Cali"/>
    <m/>
    <m/>
    <m/>
    <m/>
    <x v="0"/>
  </r>
  <r>
    <d v="2021-10-04T00:00:00"/>
    <x v="10"/>
    <x v="27"/>
    <x v="27"/>
    <n v="-120000"/>
    <n v="0"/>
    <n v="120000"/>
    <x v="155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3000000"/>
    <n v="3000000"/>
    <n v="0"/>
    <x v="306"/>
    <s v="Cali"/>
    <m/>
    <m/>
    <m/>
    <m/>
    <x v="0"/>
  </r>
  <r>
    <d v="2021-10-04T00:00:00"/>
    <x v="10"/>
    <x v="26"/>
    <x v="26"/>
    <n v="-3000000"/>
    <n v="0"/>
    <n v="3000000"/>
    <x v="306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30000"/>
    <n v="30000"/>
    <n v="0"/>
    <x v="164"/>
    <s v="Cali"/>
    <m/>
    <m/>
    <m/>
    <m/>
    <x v="0"/>
  </r>
  <r>
    <d v="2021-10-04T00:00:00"/>
    <x v="10"/>
    <x v="26"/>
    <x v="26"/>
    <n v="-30000"/>
    <n v="0"/>
    <n v="30000"/>
    <x v="164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1500"/>
    <n v="1500"/>
    <n v="0"/>
    <x v="177"/>
    <s v="Cali"/>
    <m/>
    <m/>
    <m/>
    <m/>
    <x v="0"/>
  </r>
  <r>
    <d v="2021-10-04T00:00:00"/>
    <x v="10"/>
    <x v="19"/>
    <x v="19"/>
    <n v="-1500"/>
    <n v="0"/>
    <n v="15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45000"/>
    <n v="45000"/>
    <n v="0"/>
    <x v="178"/>
    <s v="Cali"/>
    <m/>
    <m/>
    <m/>
    <m/>
    <x v="0"/>
  </r>
  <r>
    <d v="2021-10-04T00:00:00"/>
    <x v="10"/>
    <x v="25"/>
    <x v="25"/>
    <n v="-45000"/>
    <n v="0"/>
    <n v="45000"/>
    <x v="178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50000"/>
    <n v="50000"/>
    <n v="0"/>
    <x v="599"/>
    <s v="Cali"/>
    <m/>
    <m/>
    <m/>
    <m/>
    <x v="0"/>
  </r>
  <r>
    <d v="2021-10-04T00:00:00"/>
    <x v="10"/>
    <x v="26"/>
    <x v="26"/>
    <n v="-50000"/>
    <n v="0"/>
    <n v="50000"/>
    <x v="599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20000"/>
    <n v="20000"/>
    <n v="0"/>
    <x v="165"/>
    <s v="Cali"/>
    <m/>
    <m/>
    <m/>
    <m/>
    <x v="0"/>
  </r>
  <r>
    <d v="2021-10-04T00:00:00"/>
    <x v="10"/>
    <x v="25"/>
    <x v="25"/>
    <n v="-20000"/>
    <n v="0"/>
    <n v="20000"/>
    <x v="165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60000"/>
    <n v="60000"/>
    <n v="0"/>
    <x v="160"/>
    <s v="Cali"/>
    <m/>
    <m/>
    <m/>
    <m/>
    <x v="0"/>
  </r>
  <r>
    <d v="2021-10-04T00:00:00"/>
    <x v="10"/>
    <x v="25"/>
    <x v="25"/>
    <n v="-60000"/>
    <n v="0"/>
    <n v="60000"/>
    <x v="160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60000"/>
    <n v="60000"/>
    <n v="0"/>
    <x v="213"/>
    <s v="Cali"/>
    <m/>
    <m/>
    <m/>
    <m/>
    <x v="0"/>
  </r>
  <r>
    <d v="2021-10-04T00:00:00"/>
    <x v="10"/>
    <x v="29"/>
    <x v="29"/>
    <n v="-60000"/>
    <n v="0"/>
    <n v="60000"/>
    <x v="213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200000"/>
    <n v="200000"/>
    <n v="0"/>
    <x v="192"/>
    <s v="Cali"/>
    <m/>
    <m/>
    <m/>
    <m/>
    <x v="0"/>
  </r>
  <r>
    <d v="2021-10-04T00:00:00"/>
    <x v="10"/>
    <x v="26"/>
    <x v="26"/>
    <n v="-200000"/>
    <n v="0"/>
    <n v="20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60000"/>
    <n v="60000"/>
    <n v="0"/>
    <x v="372"/>
    <s v="Cali"/>
    <m/>
    <m/>
    <m/>
    <m/>
    <x v="0"/>
  </r>
  <r>
    <d v="2021-10-04T00:00:00"/>
    <x v="10"/>
    <x v="25"/>
    <x v="25"/>
    <n v="-60000"/>
    <n v="0"/>
    <n v="60000"/>
    <x v="372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12000"/>
    <n v="12000"/>
    <n v="0"/>
    <x v="310"/>
    <s v="Cali"/>
    <m/>
    <m/>
    <m/>
    <m/>
    <x v="0"/>
  </r>
  <r>
    <d v="2021-10-04T00:00:00"/>
    <x v="10"/>
    <x v="25"/>
    <x v="25"/>
    <n v="-12000"/>
    <n v="0"/>
    <n v="12000"/>
    <x v="310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35000"/>
    <n v="35000"/>
    <n v="0"/>
    <x v="600"/>
    <s v="Cali"/>
    <m/>
    <m/>
    <m/>
    <m/>
    <x v="0"/>
  </r>
  <r>
    <d v="2021-10-04T00:00:00"/>
    <x v="10"/>
    <x v="25"/>
    <x v="25"/>
    <n v="-35000"/>
    <n v="0"/>
    <n v="35000"/>
    <x v="600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150000"/>
    <n v="150000"/>
    <n v="0"/>
    <x v="169"/>
    <s v="Cali"/>
    <m/>
    <m/>
    <m/>
    <m/>
    <x v="0"/>
  </r>
  <r>
    <d v="2021-10-04T00:00:00"/>
    <x v="10"/>
    <x v="25"/>
    <x v="25"/>
    <n v="-150000"/>
    <n v="0"/>
    <n v="150000"/>
    <x v="169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70000"/>
    <n v="70000"/>
    <n v="0"/>
    <x v="37"/>
    <s v="Cali"/>
    <m/>
    <m/>
    <m/>
    <m/>
    <x v="0"/>
  </r>
  <r>
    <d v="2021-10-04T00:00:00"/>
    <x v="10"/>
    <x v="25"/>
    <x v="25"/>
    <n v="-70000"/>
    <n v="0"/>
    <n v="70000"/>
    <x v="37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57994"/>
    <n v="57994"/>
    <n v="0"/>
    <x v="601"/>
    <s v="Cali"/>
    <m/>
    <m/>
    <m/>
    <m/>
    <x v="0"/>
  </r>
  <r>
    <d v="2021-10-04T00:00:00"/>
    <x v="10"/>
    <x v="26"/>
    <x v="26"/>
    <n v="-57994"/>
    <n v="0"/>
    <n v="57994"/>
    <x v="601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25000"/>
    <n v="25000"/>
    <n v="0"/>
    <x v="602"/>
    <s v="Cali"/>
    <m/>
    <m/>
    <m/>
    <m/>
    <x v="0"/>
  </r>
  <r>
    <d v="2021-10-04T00:00:00"/>
    <x v="10"/>
    <x v="4"/>
    <x v="4"/>
    <n v="-25000"/>
    <n v="0"/>
    <n v="25000"/>
    <x v="602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60000"/>
    <n v="60000"/>
    <n v="0"/>
    <x v="602"/>
    <s v="Cali"/>
    <m/>
    <m/>
    <m/>
    <m/>
    <x v="0"/>
  </r>
  <r>
    <d v="2021-10-04T00:00:00"/>
    <x v="10"/>
    <x v="4"/>
    <x v="4"/>
    <n v="-60000"/>
    <n v="0"/>
    <n v="60000"/>
    <x v="602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30000"/>
    <n v="30000"/>
    <n v="0"/>
    <x v="602"/>
    <s v="Cali"/>
    <m/>
    <m/>
    <m/>
    <m/>
    <x v="0"/>
  </r>
  <r>
    <d v="2021-10-04T00:00:00"/>
    <x v="10"/>
    <x v="4"/>
    <x v="4"/>
    <n v="-30000"/>
    <n v="0"/>
    <n v="30000"/>
    <x v="602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20000"/>
    <n v="20000"/>
    <n v="0"/>
    <x v="602"/>
    <s v="Cali"/>
    <m/>
    <m/>
    <m/>
    <m/>
    <x v="0"/>
  </r>
  <r>
    <d v="2021-10-04T00:00:00"/>
    <x v="10"/>
    <x v="4"/>
    <x v="4"/>
    <n v="-20000"/>
    <n v="0"/>
    <n v="20000"/>
    <x v="602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200000"/>
    <n v="200000"/>
    <n v="0"/>
    <x v="242"/>
    <s v="Cali"/>
    <m/>
    <m/>
    <m/>
    <m/>
    <x v="0"/>
  </r>
  <r>
    <d v="2021-10-04T00:00:00"/>
    <x v="10"/>
    <x v="26"/>
    <x v="26"/>
    <n v="-200000"/>
    <n v="0"/>
    <n v="200000"/>
    <x v="242"/>
    <s v="Cali"/>
    <m/>
    <m/>
    <m/>
    <m/>
    <x v="0"/>
  </r>
  <r>
    <m/>
    <x v="1"/>
    <x v="23"/>
    <x v="23"/>
    <m/>
    <m/>
    <m/>
    <x v="1"/>
    <m/>
    <m/>
    <m/>
    <m/>
    <m/>
    <x v="0"/>
  </r>
  <r>
    <d v="2021-10-04T00:00:00"/>
    <x v="10"/>
    <x v="0"/>
    <x v="0"/>
    <n v="100000"/>
    <n v="100000"/>
    <n v="0"/>
    <x v="374"/>
    <s v="Cali"/>
    <m/>
    <m/>
    <m/>
    <m/>
    <x v="0"/>
  </r>
  <r>
    <d v="2021-10-04T00:00:00"/>
    <x v="10"/>
    <x v="26"/>
    <x v="26"/>
    <n v="-100000"/>
    <n v="0"/>
    <n v="100000"/>
    <x v="374"/>
    <s v="Cali"/>
    <m/>
    <m/>
    <m/>
    <m/>
    <x v="0"/>
  </r>
  <r>
    <m/>
    <x v="1"/>
    <x v="23"/>
    <x v="23"/>
    <m/>
    <m/>
    <m/>
    <x v="1"/>
    <m/>
    <m/>
    <m/>
    <m/>
    <m/>
    <x v="0"/>
  </r>
  <r>
    <d v="2021-10-05T00:00:00"/>
    <x v="10"/>
    <x v="0"/>
    <x v="0"/>
    <n v="50000"/>
    <n v="50000"/>
    <n v="0"/>
    <x v="163"/>
    <s v="Cali"/>
    <m/>
    <m/>
    <m/>
    <m/>
    <x v="0"/>
  </r>
  <r>
    <d v="2021-10-05T00:00:00"/>
    <x v="10"/>
    <x v="25"/>
    <x v="25"/>
    <n v="-50000"/>
    <n v="0"/>
    <n v="50000"/>
    <x v="163"/>
    <s v="Cali"/>
    <m/>
    <m/>
    <m/>
    <m/>
    <x v="0"/>
  </r>
  <r>
    <m/>
    <x v="1"/>
    <x v="23"/>
    <x v="23"/>
    <m/>
    <m/>
    <m/>
    <x v="1"/>
    <m/>
    <m/>
    <m/>
    <m/>
    <m/>
    <x v="0"/>
  </r>
  <r>
    <d v="2021-10-05T00:00:00"/>
    <x v="10"/>
    <x v="0"/>
    <x v="0"/>
    <n v="30000"/>
    <n v="30000"/>
    <n v="0"/>
    <x v="179"/>
    <s v="Cali"/>
    <m/>
    <m/>
    <m/>
    <m/>
    <x v="0"/>
  </r>
  <r>
    <d v="2021-10-05T00:00:00"/>
    <x v="10"/>
    <x v="25"/>
    <x v="25"/>
    <n v="-30000"/>
    <n v="0"/>
    <n v="30000"/>
    <x v="179"/>
    <s v="Cali"/>
    <m/>
    <m/>
    <m/>
    <m/>
    <x v="0"/>
  </r>
  <r>
    <m/>
    <x v="1"/>
    <x v="23"/>
    <x v="23"/>
    <m/>
    <m/>
    <m/>
    <x v="1"/>
    <m/>
    <m/>
    <m/>
    <m/>
    <m/>
    <x v="0"/>
  </r>
  <r>
    <d v="2021-10-05T00:00:00"/>
    <x v="10"/>
    <x v="0"/>
    <x v="0"/>
    <n v="15000"/>
    <n v="15000"/>
    <n v="0"/>
    <x v="282"/>
    <s v="Cali"/>
    <m/>
    <m/>
    <m/>
    <m/>
    <x v="0"/>
  </r>
  <r>
    <d v="2021-10-05T00:00:00"/>
    <x v="10"/>
    <x v="25"/>
    <x v="25"/>
    <n v="-15000"/>
    <n v="0"/>
    <n v="15000"/>
    <x v="282"/>
    <s v="Cali"/>
    <m/>
    <m/>
    <m/>
    <m/>
    <x v="0"/>
  </r>
  <r>
    <m/>
    <x v="1"/>
    <x v="23"/>
    <x v="23"/>
    <m/>
    <m/>
    <m/>
    <x v="1"/>
    <m/>
    <m/>
    <m/>
    <m/>
    <m/>
    <x v="0"/>
  </r>
  <r>
    <d v="2021-10-05T00:00:00"/>
    <x v="10"/>
    <x v="0"/>
    <x v="0"/>
    <n v="15000"/>
    <n v="15000"/>
    <n v="0"/>
    <x v="216"/>
    <s v="Cali"/>
    <m/>
    <m/>
    <m/>
    <m/>
    <x v="0"/>
  </r>
  <r>
    <d v="2021-10-05T00:00:00"/>
    <x v="10"/>
    <x v="29"/>
    <x v="29"/>
    <n v="-15000"/>
    <n v="0"/>
    <n v="15000"/>
    <x v="216"/>
    <s v="Cali"/>
    <m/>
    <m/>
    <m/>
    <m/>
    <x v="0"/>
  </r>
  <r>
    <m/>
    <x v="1"/>
    <x v="23"/>
    <x v="23"/>
    <m/>
    <m/>
    <m/>
    <x v="1"/>
    <m/>
    <m/>
    <m/>
    <m/>
    <m/>
    <x v="0"/>
  </r>
  <r>
    <d v="2021-10-05T00:00:00"/>
    <x v="10"/>
    <x v="0"/>
    <x v="0"/>
    <n v="100000"/>
    <n v="100000"/>
    <n v="0"/>
    <x v="363"/>
    <s v="Cali"/>
    <m/>
    <m/>
    <m/>
    <m/>
    <x v="0"/>
  </r>
  <r>
    <d v="2021-10-05T00:00:00"/>
    <x v="10"/>
    <x v="25"/>
    <x v="25"/>
    <n v="-100000"/>
    <n v="0"/>
    <n v="100000"/>
    <x v="363"/>
    <s v="Cali"/>
    <m/>
    <m/>
    <m/>
    <m/>
    <x v="0"/>
  </r>
  <r>
    <m/>
    <x v="1"/>
    <x v="23"/>
    <x v="23"/>
    <m/>
    <m/>
    <m/>
    <x v="1"/>
    <m/>
    <m/>
    <m/>
    <m/>
    <m/>
    <x v="0"/>
  </r>
  <r>
    <d v="2021-10-05T00:00:00"/>
    <x v="10"/>
    <x v="0"/>
    <x v="0"/>
    <n v="75000"/>
    <n v="75000"/>
    <n v="0"/>
    <x v="316"/>
    <s v="Cali"/>
    <m/>
    <m/>
    <m/>
    <m/>
    <x v="0"/>
  </r>
  <r>
    <d v="2021-10-05T00:00:00"/>
    <x v="10"/>
    <x v="25"/>
    <x v="25"/>
    <n v="-75000"/>
    <n v="0"/>
    <n v="75000"/>
    <x v="316"/>
    <s v="Cali"/>
    <m/>
    <m/>
    <m/>
    <m/>
    <x v="0"/>
  </r>
  <r>
    <m/>
    <x v="1"/>
    <x v="23"/>
    <x v="23"/>
    <m/>
    <m/>
    <m/>
    <x v="1"/>
    <m/>
    <m/>
    <m/>
    <m/>
    <m/>
    <x v="0"/>
  </r>
  <r>
    <d v="2021-10-05T00:00:00"/>
    <x v="10"/>
    <x v="0"/>
    <x v="0"/>
    <n v="20000"/>
    <n v="20000"/>
    <n v="0"/>
    <x v="246"/>
    <s v="Cali"/>
    <m/>
    <m/>
    <m/>
    <m/>
    <x v="0"/>
  </r>
  <r>
    <d v="2021-10-05T00:00:00"/>
    <x v="10"/>
    <x v="25"/>
    <x v="25"/>
    <n v="-20000"/>
    <n v="0"/>
    <n v="20000"/>
    <x v="246"/>
    <s v="Cali"/>
    <m/>
    <m/>
    <m/>
    <m/>
    <x v="0"/>
  </r>
  <r>
    <m/>
    <x v="1"/>
    <x v="23"/>
    <x v="23"/>
    <m/>
    <m/>
    <m/>
    <x v="1"/>
    <m/>
    <m/>
    <m/>
    <m/>
    <m/>
    <x v="0"/>
  </r>
  <r>
    <d v="2021-10-05T00:00:00"/>
    <x v="10"/>
    <x v="0"/>
    <x v="0"/>
    <n v="20000"/>
    <n v="20000"/>
    <n v="0"/>
    <x v="151"/>
    <s v="Cali"/>
    <m/>
    <m/>
    <m/>
    <m/>
    <x v="0"/>
  </r>
  <r>
    <d v="2021-10-05T00:00:00"/>
    <x v="10"/>
    <x v="25"/>
    <x v="25"/>
    <n v="-20000"/>
    <n v="0"/>
    <n v="20000"/>
    <x v="151"/>
    <s v="Cali"/>
    <m/>
    <m/>
    <m/>
    <m/>
    <x v="0"/>
  </r>
  <r>
    <m/>
    <x v="1"/>
    <x v="23"/>
    <x v="23"/>
    <m/>
    <m/>
    <m/>
    <x v="1"/>
    <m/>
    <m/>
    <m/>
    <m/>
    <m/>
    <x v="0"/>
  </r>
  <r>
    <d v="2021-10-06T00:00:00"/>
    <x v="10"/>
    <x v="0"/>
    <x v="0"/>
    <n v="40000"/>
    <n v="40000"/>
    <n v="0"/>
    <x v="176"/>
    <s v="Cali"/>
    <m/>
    <m/>
    <m/>
    <m/>
    <x v="0"/>
  </r>
  <r>
    <d v="2021-10-06T00:00:00"/>
    <x v="10"/>
    <x v="25"/>
    <x v="25"/>
    <n v="-40000"/>
    <n v="0"/>
    <n v="40000"/>
    <x v="176"/>
    <s v="Cali"/>
    <m/>
    <m/>
    <m/>
    <m/>
    <x v="0"/>
  </r>
  <r>
    <m/>
    <x v="1"/>
    <x v="23"/>
    <x v="23"/>
    <m/>
    <m/>
    <m/>
    <x v="1"/>
    <m/>
    <m/>
    <m/>
    <m/>
    <m/>
    <x v="0"/>
  </r>
  <r>
    <d v="2021-10-06T00:00:00"/>
    <x v="10"/>
    <x v="0"/>
    <x v="0"/>
    <n v="60000"/>
    <n v="60000"/>
    <n v="0"/>
    <x v="202"/>
    <s v="Cali"/>
    <m/>
    <m/>
    <m/>
    <m/>
    <x v="0"/>
  </r>
  <r>
    <d v="2021-10-06T00:00:00"/>
    <x v="10"/>
    <x v="27"/>
    <x v="27"/>
    <n v="-60000"/>
    <n v="0"/>
    <n v="60000"/>
    <x v="202"/>
    <s v="Cali"/>
    <m/>
    <m/>
    <m/>
    <m/>
    <x v="0"/>
  </r>
  <r>
    <m/>
    <x v="1"/>
    <x v="23"/>
    <x v="23"/>
    <m/>
    <m/>
    <m/>
    <x v="1"/>
    <m/>
    <m/>
    <m/>
    <m/>
    <m/>
    <x v="0"/>
  </r>
  <r>
    <d v="2021-10-06T00:00:00"/>
    <x v="10"/>
    <x v="0"/>
    <x v="0"/>
    <n v="500000"/>
    <n v="500000"/>
    <n v="0"/>
    <x v="603"/>
    <s v="Cali"/>
    <m/>
    <m/>
    <m/>
    <m/>
    <x v="0"/>
  </r>
  <r>
    <d v="2021-10-06T00:00:00"/>
    <x v="10"/>
    <x v="25"/>
    <x v="25"/>
    <n v="-500000"/>
    <n v="0"/>
    <n v="500000"/>
    <x v="603"/>
    <s v="Cali"/>
    <m/>
    <m/>
    <m/>
    <m/>
    <x v="0"/>
  </r>
  <r>
    <m/>
    <x v="1"/>
    <x v="23"/>
    <x v="23"/>
    <m/>
    <m/>
    <m/>
    <x v="1"/>
    <m/>
    <m/>
    <m/>
    <m/>
    <m/>
    <x v="0"/>
  </r>
  <r>
    <d v="2021-10-07T00:00:00"/>
    <x v="10"/>
    <x v="0"/>
    <x v="0"/>
    <n v="20000"/>
    <n v="20000"/>
    <n v="0"/>
    <x v="166"/>
    <s v="Cali"/>
    <m/>
    <m/>
    <m/>
    <m/>
    <x v="0"/>
  </r>
  <r>
    <d v="2021-10-07T00:00:00"/>
    <x v="10"/>
    <x v="25"/>
    <x v="25"/>
    <n v="-20000"/>
    <n v="0"/>
    <n v="20000"/>
    <x v="166"/>
    <s v="Cali"/>
    <m/>
    <m/>
    <m/>
    <m/>
    <x v="0"/>
  </r>
  <r>
    <m/>
    <x v="1"/>
    <x v="23"/>
    <x v="23"/>
    <m/>
    <m/>
    <m/>
    <x v="1"/>
    <m/>
    <m/>
    <m/>
    <m/>
    <m/>
    <x v="0"/>
  </r>
  <r>
    <d v="2021-10-07T00:00:00"/>
    <x v="10"/>
    <x v="0"/>
    <x v="0"/>
    <n v="966442"/>
    <n v="966442"/>
    <n v="0"/>
    <x v="604"/>
    <s v="Cali"/>
    <m/>
    <m/>
    <m/>
    <m/>
    <x v="0"/>
  </r>
  <r>
    <d v="2021-10-07T00:00:00"/>
    <x v="10"/>
    <x v="26"/>
    <x v="26"/>
    <n v="-966442"/>
    <n v="0"/>
    <n v="966442"/>
    <x v="604"/>
    <s v="Cali"/>
    <m/>
    <m/>
    <m/>
    <m/>
    <x v="0"/>
  </r>
  <r>
    <m/>
    <x v="1"/>
    <x v="23"/>
    <x v="23"/>
    <m/>
    <m/>
    <m/>
    <x v="1"/>
    <m/>
    <m/>
    <m/>
    <m/>
    <m/>
    <x v="0"/>
  </r>
  <r>
    <d v="2021-10-07T00:00:00"/>
    <x v="10"/>
    <x v="31"/>
    <x v="31"/>
    <n v="2148"/>
    <n v="2148"/>
    <n v="0"/>
    <x v="172"/>
    <s v="Cali"/>
    <m/>
    <m/>
    <m/>
    <m/>
    <x v="0"/>
  </r>
  <r>
    <d v="2021-10-07T00:00:00"/>
    <x v="10"/>
    <x v="0"/>
    <x v="0"/>
    <n v="-2148"/>
    <n v="0"/>
    <n v="2148"/>
    <x v="172"/>
    <s v="Cali"/>
    <m/>
    <m/>
    <m/>
    <m/>
    <x v="0"/>
  </r>
  <r>
    <m/>
    <x v="1"/>
    <x v="23"/>
    <x v="23"/>
    <m/>
    <m/>
    <m/>
    <x v="1"/>
    <m/>
    <m/>
    <m/>
    <m/>
    <m/>
    <x v="0"/>
  </r>
  <r>
    <d v="2021-10-08T00:00:00"/>
    <x v="10"/>
    <x v="0"/>
    <x v="0"/>
    <n v="300000"/>
    <n v="300000"/>
    <n v="0"/>
    <x v="605"/>
    <s v="Cali"/>
    <m/>
    <m/>
    <m/>
    <m/>
    <x v="0"/>
  </r>
  <r>
    <d v="2021-10-08T00:00:00"/>
    <x v="10"/>
    <x v="26"/>
    <x v="26"/>
    <n v="-300000"/>
    <n v="0"/>
    <n v="300000"/>
    <x v="605"/>
    <s v="Cali"/>
    <m/>
    <m/>
    <m/>
    <m/>
    <x v="0"/>
  </r>
  <r>
    <m/>
    <x v="1"/>
    <x v="23"/>
    <x v="23"/>
    <m/>
    <m/>
    <m/>
    <x v="1"/>
    <m/>
    <m/>
    <m/>
    <m/>
    <m/>
    <x v="0"/>
  </r>
  <r>
    <d v="2021-10-08T00:00:00"/>
    <x v="10"/>
    <x v="0"/>
    <x v="0"/>
    <n v="30000"/>
    <n v="30000"/>
    <n v="0"/>
    <x v="514"/>
    <s v="Cali"/>
    <m/>
    <m/>
    <m/>
    <m/>
    <x v="0"/>
  </r>
  <r>
    <d v="2021-10-08T00:00:00"/>
    <x v="10"/>
    <x v="25"/>
    <x v="25"/>
    <n v="-30000"/>
    <n v="0"/>
    <n v="30000"/>
    <x v="514"/>
    <s v="Cali"/>
    <m/>
    <m/>
    <m/>
    <m/>
    <x v="0"/>
  </r>
  <r>
    <m/>
    <x v="1"/>
    <x v="23"/>
    <x v="23"/>
    <m/>
    <m/>
    <m/>
    <x v="1"/>
    <m/>
    <m/>
    <m/>
    <m/>
    <m/>
    <x v="0"/>
  </r>
  <r>
    <d v="2021-10-08T00:00:00"/>
    <x v="10"/>
    <x v="0"/>
    <x v="0"/>
    <n v="150000"/>
    <n v="150000"/>
    <n v="0"/>
    <x v="251"/>
    <s v="Cali"/>
    <m/>
    <m/>
    <m/>
    <m/>
    <x v="0"/>
  </r>
  <r>
    <d v="2021-10-08T00:00:00"/>
    <x v="10"/>
    <x v="27"/>
    <x v="27"/>
    <n v="-150000"/>
    <n v="0"/>
    <n v="150000"/>
    <x v="251"/>
    <s v="Cali"/>
    <m/>
    <m/>
    <m/>
    <m/>
    <x v="0"/>
  </r>
  <r>
    <m/>
    <x v="1"/>
    <x v="23"/>
    <x v="23"/>
    <m/>
    <m/>
    <m/>
    <x v="1"/>
    <m/>
    <m/>
    <m/>
    <m/>
    <m/>
    <x v="0"/>
  </r>
  <r>
    <d v="2021-10-12T00:00:00"/>
    <x v="10"/>
    <x v="0"/>
    <x v="0"/>
    <n v="12000"/>
    <n v="12000"/>
    <n v="0"/>
    <x v="175"/>
    <s v="Cali"/>
    <m/>
    <m/>
    <m/>
    <m/>
    <x v="0"/>
  </r>
  <r>
    <d v="2021-10-12T00:00:00"/>
    <x v="10"/>
    <x v="25"/>
    <x v="25"/>
    <n v="-12000"/>
    <n v="0"/>
    <n v="12000"/>
    <x v="175"/>
    <s v="Cali"/>
    <m/>
    <m/>
    <m/>
    <m/>
    <x v="0"/>
  </r>
  <r>
    <m/>
    <x v="1"/>
    <x v="23"/>
    <x v="23"/>
    <m/>
    <m/>
    <m/>
    <x v="1"/>
    <m/>
    <m/>
    <m/>
    <m/>
    <m/>
    <x v="0"/>
  </r>
  <r>
    <d v="2021-10-12T00:00:00"/>
    <x v="10"/>
    <x v="0"/>
    <x v="0"/>
    <n v="15000"/>
    <n v="15000"/>
    <n v="0"/>
    <x v="420"/>
    <s v="Cali"/>
    <m/>
    <m/>
    <m/>
    <m/>
    <x v="0"/>
  </r>
  <r>
    <d v="2021-10-12T00:00:00"/>
    <x v="10"/>
    <x v="26"/>
    <x v="26"/>
    <n v="-15000"/>
    <n v="0"/>
    <n v="15000"/>
    <x v="420"/>
    <s v="Cali"/>
    <m/>
    <m/>
    <m/>
    <m/>
    <x v="0"/>
  </r>
  <r>
    <m/>
    <x v="1"/>
    <x v="23"/>
    <x v="23"/>
    <m/>
    <m/>
    <m/>
    <x v="1"/>
    <m/>
    <m/>
    <m/>
    <m/>
    <m/>
    <x v="0"/>
  </r>
  <r>
    <d v="2021-10-12T00:00:00"/>
    <x v="10"/>
    <x v="0"/>
    <x v="0"/>
    <n v="30000"/>
    <n v="30000"/>
    <n v="0"/>
    <x v="256"/>
    <s v="Cali"/>
    <m/>
    <m/>
    <m/>
    <m/>
    <x v="0"/>
  </r>
  <r>
    <d v="2021-10-12T00:00:00"/>
    <x v="10"/>
    <x v="25"/>
    <x v="25"/>
    <n v="-30000"/>
    <n v="0"/>
    <n v="30000"/>
    <x v="256"/>
    <s v="Cali"/>
    <m/>
    <m/>
    <m/>
    <m/>
    <x v="0"/>
  </r>
  <r>
    <m/>
    <x v="1"/>
    <x v="23"/>
    <x v="23"/>
    <m/>
    <m/>
    <m/>
    <x v="1"/>
    <m/>
    <m/>
    <m/>
    <m/>
    <m/>
    <x v="0"/>
  </r>
  <r>
    <d v="2021-10-12T00:00:00"/>
    <x v="10"/>
    <x v="0"/>
    <x v="0"/>
    <n v="30000"/>
    <n v="30000"/>
    <n v="0"/>
    <x v="239"/>
    <s v="Cali"/>
    <m/>
    <m/>
    <m/>
    <m/>
    <x v="0"/>
  </r>
  <r>
    <d v="2021-10-12T00:00:00"/>
    <x v="10"/>
    <x v="27"/>
    <x v="27"/>
    <n v="-30000"/>
    <n v="0"/>
    <n v="30000"/>
    <x v="239"/>
    <s v="Cali"/>
    <m/>
    <m/>
    <m/>
    <m/>
    <x v="0"/>
  </r>
  <r>
    <m/>
    <x v="1"/>
    <x v="23"/>
    <x v="23"/>
    <m/>
    <m/>
    <m/>
    <x v="1"/>
    <m/>
    <m/>
    <m/>
    <m/>
    <m/>
    <x v="0"/>
  </r>
  <r>
    <d v="2021-10-12T00:00:00"/>
    <x v="10"/>
    <x v="0"/>
    <x v="0"/>
    <n v="195000"/>
    <n v="195000"/>
    <n v="0"/>
    <x v="606"/>
    <s v="Cali"/>
    <m/>
    <m/>
    <m/>
    <m/>
    <x v="0"/>
  </r>
  <r>
    <d v="2021-10-12T00:00:00"/>
    <x v="10"/>
    <x v="25"/>
    <x v="25"/>
    <n v="-195000"/>
    <n v="0"/>
    <n v="195000"/>
    <x v="606"/>
    <s v="Cali"/>
    <m/>
    <m/>
    <m/>
    <m/>
    <x v="0"/>
  </r>
  <r>
    <m/>
    <x v="1"/>
    <x v="23"/>
    <x v="23"/>
    <m/>
    <m/>
    <m/>
    <x v="1"/>
    <m/>
    <m/>
    <m/>
    <m/>
    <m/>
    <x v="0"/>
  </r>
  <r>
    <d v="2021-10-12T00:00:00"/>
    <x v="10"/>
    <x v="0"/>
    <x v="0"/>
    <n v="30000"/>
    <n v="30000"/>
    <n v="0"/>
    <x v="185"/>
    <s v="Cali"/>
    <m/>
    <m/>
    <m/>
    <m/>
    <x v="0"/>
  </r>
  <r>
    <d v="2021-10-12T00:00:00"/>
    <x v="10"/>
    <x v="25"/>
    <x v="25"/>
    <n v="-30000"/>
    <n v="0"/>
    <n v="30000"/>
    <x v="185"/>
    <s v="Cali"/>
    <m/>
    <m/>
    <m/>
    <m/>
    <x v="0"/>
  </r>
  <r>
    <m/>
    <x v="1"/>
    <x v="23"/>
    <x v="23"/>
    <m/>
    <m/>
    <m/>
    <x v="1"/>
    <m/>
    <m/>
    <m/>
    <m/>
    <m/>
    <x v="0"/>
  </r>
  <r>
    <d v="2021-10-12T00:00:00"/>
    <x v="10"/>
    <x v="0"/>
    <x v="0"/>
    <n v="17000"/>
    <n v="17000"/>
    <n v="0"/>
    <x v="186"/>
    <s v="Cali"/>
    <m/>
    <m/>
    <m/>
    <m/>
    <x v="0"/>
  </r>
  <r>
    <d v="2021-10-12T00:00:00"/>
    <x v="10"/>
    <x v="25"/>
    <x v="25"/>
    <n v="-17000"/>
    <n v="0"/>
    <n v="17000"/>
    <x v="186"/>
    <s v="Cali"/>
    <m/>
    <m/>
    <m/>
    <m/>
    <x v="0"/>
  </r>
  <r>
    <m/>
    <x v="1"/>
    <x v="23"/>
    <x v="23"/>
    <m/>
    <m/>
    <m/>
    <x v="1"/>
    <m/>
    <m/>
    <m/>
    <m/>
    <m/>
    <x v="0"/>
  </r>
  <r>
    <d v="2021-10-12T00:00:00"/>
    <x v="10"/>
    <x v="0"/>
    <x v="0"/>
    <n v="20000"/>
    <n v="20000"/>
    <n v="0"/>
    <x v="199"/>
    <s v="Cali"/>
    <m/>
    <m/>
    <m/>
    <m/>
    <x v="0"/>
  </r>
  <r>
    <d v="2021-10-12T00:00:00"/>
    <x v="10"/>
    <x v="27"/>
    <x v="27"/>
    <n v="-20000"/>
    <n v="0"/>
    <n v="20000"/>
    <x v="199"/>
    <s v="Cali"/>
    <m/>
    <m/>
    <m/>
    <m/>
    <x v="0"/>
  </r>
  <r>
    <m/>
    <x v="1"/>
    <x v="23"/>
    <x v="23"/>
    <m/>
    <m/>
    <m/>
    <x v="1"/>
    <m/>
    <m/>
    <m/>
    <m/>
    <m/>
    <x v="0"/>
  </r>
  <r>
    <d v="2021-10-12T00:00:00"/>
    <x v="10"/>
    <x v="0"/>
    <x v="0"/>
    <n v="30000"/>
    <n v="30000"/>
    <n v="0"/>
    <x v="156"/>
    <s v="Cali"/>
    <m/>
    <m/>
    <m/>
    <m/>
    <x v="0"/>
  </r>
  <r>
    <d v="2021-10-12T00:00:00"/>
    <x v="10"/>
    <x v="25"/>
    <x v="25"/>
    <n v="-30000"/>
    <n v="0"/>
    <n v="30000"/>
    <x v="156"/>
    <s v="Cali"/>
    <m/>
    <m/>
    <m/>
    <m/>
    <x v="0"/>
  </r>
  <r>
    <m/>
    <x v="1"/>
    <x v="23"/>
    <x v="23"/>
    <m/>
    <m/>
    <m/>
    <x v="1"/>
    <m/>
    <m/>
    <m/>
    <m/>
    <m/>
    <x v="0"/>
  </r>
  <r>
    <d v="2021-10-12T00:00:00"/>
    <x v="10"/>
    <x v="0"/>
    <x v="0"/>
    <n v="30000"/>
    <n v="30000"/>
    <n v="0"/>
    <x v="188"/>
    <s v="Cali"/>
    <m/>
    <m/>
    <m/>
    <m/>
    <x v="0"/>
  </r>
  <r>
    <d v="2021-10-12T00:00:00"/>
    <x v="10"/>
    <x v="29"/>
    <x v="29"/>
    <n v="-30000"/>
    <n v="0"/>
    <n v="30000"/>
    <x v="188"/>
    <s v="Cali"/>
    <m/>
    <m/>
    <m/>
    <m/>
    <x v="0"/>
  </r>
  <r>
    <m/>
    <x v="1"/>
    <x v="23"/>
    <x v="23"/>
    <m/>
    <m/>
    <m/>
    <x v="1"/>
    <m/>
    <m/>
    <m/>
    <m/>
    <m/>
    <x v="0"/>
  </r>
  <r>
    <d v="2021-10-13T00:00:00"/>
    <x v="10"/>
    <x v="0"/>
    <x v="0"/>
    <n v="11000"/>
    <n v="11000"/>
    <n v="0"/>
    <x v="191"/>
    <s v="Cali"/>
    <m/>
    <m/>
    <m/>
    <m/>
    <x v="0"/>
  </r>
  <r>
    <d v="2021-10-13T00:00:00"/>
    <x v="10"/>
    <x v="27"/>
    <x v="27"/>
    <n v="-11000"/>
    <n v="0"/>
    <n v="11000"/>
    <x v="191"/>
    <s v="Cali"/>
    <m/>
    <m/>
    <m/>
    <m/>
    <x v="0"/>
  </r>
  <r>
    <m/>
    <x v="1"/>
    <x v="23"/>
    <x v="23"/>
    <m/>
    <m/>
    <m/>
    <x v="1"/>
    <m/>
    <m/>
    <m/>
    <m/>
    <m/>
    <x v="0"/>
  </r>
  <r>
    <d v="2021-10-13T00:00:00"/>
    <x v="10"/>
    <x v="0"/>
    <x v="0"/>
    <n v="40000"/>
    <n v="40000"/>
    <n v="0"/>
    <x v="170"/>
    <s v="Cali"/>
    <m/>
    <m/>
    <m/>
    <m/>
    <x v="0"/>
  </r>
  <r>
    <d v="2021-10-13T00:00:00"/>
    <x v="10"/>
    <x v="26"/>
    <x v="26"/>
    <n v="-40000"/>
    <n v="0"/>
    <n v="40000"/>
    <x v="170"/>
    <s v="Cali"/>
    <m/>
    <m/>
    <m/>
    <m/>
    <x v="0"/>
  </r>
  <r>
    <m/>
    <x v="1"/>
    <x v="23"/>
    <x v="23"/>
    <m/>
    <m/>
    <m/>
    <x v="1"/>
    <m/>
    <m/>
    <m/>
    <m/>
    <m/>
    <x v="0"/>
  </r>
  <r>
    <d v="2021-10-13T00:00:00"/>
    <x v="10"/>
    <x v="0"/>
    <x v="0"/>
    <n v="30000"/>
    <n v="30000"/>
    <n v="0"/>
    <x v="524"/>
    <s v="Cali"/>
    <m/>
    <m/>
    <m/>
    <m/>
    <x v="0"/>
  </r>
  <r>
    <d v="2021-10-13T00:00:00"/>
    <x v="10"/>
    <x v="19"/>
    <x v="19"/>
    <n v="-30000"/>
    <n v="0"/>
    <n v="30000"/>
    <x v="524"/>
    <s v="Cali"/>
    <m/>
    <m/>
    <m/>
    <m/>
    <x v="0"/>
  </r>
  <r>
    <m/>
    <x v="1"/>
    <x v="23"/>
    <x v="23"/>
    <m/>
    <m/>
    <m/>
    <x v="1"/>
    <m/>
    <m/>
    <m/>
    <m/>
    <m/>
    <x v="0"/>
  </r>
  <r>
    <d v="2021-10-13T00:00:00"/>
    <x v="10"/>
    <x v="0"/>
    <x v="0"/>
    <n v="20000"/>
    <n v="20000"/>
    <n v="0"/>
    <x v="193"/>
    <s v="Cali"/>
    <m/>
    <m/>
    <m/>
    <m/>
    <x v="0"/>
  </r>
  <r>
    <d v="2021-10-13T00:00:00"/>
    <x v="10"/>
    <x v="26"/>
    <x v="26"/>
    <n v="-20000"/>
    <n v="0"/>
    <n v="20000"/>
    <x v="193"/>
    <s v="Cali"/>
    <m/>
    <m/>
    <m/>
    <m/>
    <x v="0"/>
  </r>
  <r>
    <m/>
    <x v="1"/>
    <x v="23"/>
    <x v="23"/>
    <m/>
    <m/>
    <m/>
    <x v="1"/>
    <m/>
    <m/>
    <m/>
    <m/>
    <m/>
    <x v="0"/>
  </r>
  <r>
    <d v="2021-10-13T00:00:00"/>
    <x v="10"/>
    <x v="0"/>
    <x v="0"/>
    <n v="25000"/>
    <n v="25000"/>
    <n v="0"/>
    <x v="194"/>
    <s v="Cali"/>
    <m/>
    <m/>
    <m/>
    <m/>
    <x v="0"/>
  </r>
  <r>
    <d v="2021-10-13T00:00:00"/>
    <x v="10"/>
    <x v="25"/>
    <x v="25"/>
    <n v="-25000"/>
    <n v="0"/>
    <n v="25000"/>
    <x v="194"/>
    <s v="Cali"/>
    <m/>
    <m/>
    <m/>
    <m/>
    <x v="0"/>
  </r>
  <r>
    <m/>
    <x v="1"/>
    <x v="23"/>
    <x v="23"/>
    <m/>
    <m/>
    <m/>
    <x v="1"/>
    <m/>
    <m/>
    <m/>
    <m/>
    <m/>
    <x v="0"/>
  </r>
  <r>
    <d v="2021-10-13T00:00:00"/>
    <x v="10"/>
    <x v="0"/>
    <x v="0"/>
    <n v="7000"/>
    <n v="7000"/>
    <n v="0"/>
    <x v="261"/>
    <s v="Cali"/>
    <m/>
    <m/>
    <m/>
    <m/>
    <x v="0"/>
  </r>
  <r>
    <d v="2021-10-13T00:00:00"/>
    <x v="10"/>
    <x v="25"/>
    <x v="25"/>
    <n v="-7000"/>
    <n v="0"/>
    <n v="7000"/>
    <x v="261"/>
    <s v="Cali"/>
    <m/>
    <m/>
    <m/>
    <m/>
    <x v="0"/>
  </r>
  <r>
    <m/>
    <x v="1"/>
    <x v="23"/>
    <x v="23"/>
    <m/>
    <m/>
    <m/>
    <x v="1"/>
    <m/>
    <m/>
    <m/>
    <m/>
    <m/>
    <x v="0"/>
  </r>
  <r>
    <d v="2021-10-13T00:00:00"/>
    <x v="10"/>
    <x v="0"/>
    <x v="0"/>
    <n v="25000"/>
    <n v="25000"/>
    <n v="0"/>
    <x v="149"/>
    <s v="Cali"/>
    <m/>
    <m/>
    <m/>
    <m/>
    <x v="0"/>
  </r>
  <r>
    <d v="2021-10-13T00:00:00"/>
    <x v="10"/>
    <x v="27"/>
    <x v="27"/>
    <n v="-25000"/>
    <n v="0"/>
    <n v="25000"/>
    <x v="149"/>
    <s v="Cali"/>
    <m/>
    <m/>
    <m/>
    <m/>
    <x v="0"/>
  </r>
  <r>
    <m/>
    <x v="1"/>
    <x v="23"/>
    <x v="23"/>
    <m/>
    <m/>
    <m/>
    <x v="1"/>
    <m/>
    <m/>
    <m/>
    <m/>
    <m/>
    <x v="0"/>
  </r>
  <r>
    <d v="2021-10-13T00:00:00"/>
    <x v="10"/>
    <x v="0"/>
    <x v="0"/>
    <n v="40000"/>
    <n v="40000"/>
    <n v="0"/>
    <x v="607"/>
    <s v="Cali"/>
    <m/>
    <m/>
    <m/>
    <m/>
    <x v="0"/>
  </r>
  <r>
    <d v="2021-10-13T00:00:00"/>
    <x v="10"/>
    <x v="25"/>
    <x v="25"/>
    <n v="-40000"/>
    <n v="0"/>
    <n v="40000"/>
    <x v="607"/>
    <s v="Cali"/>
    <m/>
    <m/>
    <m/>
    <m/>
    <x v="0"/>
  </r>
  <r>
    <m/>
    <x v="1"/>
    <x v="23"/>
    <x v="23"/>
    <m/>
    <m/>
    <m/>
    <x v="1"/>
    <m/>
    <m/>
    <m/>
    <m/>
    <m/>
    <x v="0"/>
  </r>
  <r>
    <d v="2021-10-14T00:00:00"/>
    <x v="10"/>
    <x v="0"/>
    <x v="0"/>
    <n v="30000"/>
    <n v="30000"/>
    <n v="0"/>
    <x v="608"/>
    <s v="Cali"/>
    <m/>
    <m/>
    <m/>
    <m/>
    <x v="0"/>
  </r>
  <r>
    <d v="2021-10-14T00:00:00"/>
    <x v="10"/>
    <x v="26"/>
    <x v="26"/>
    <n v="-30000"/>
    <n v="0"/>
    <n v="30000"/>
    <x v="608"/>
    <s v="Cali"/>
    <m/>
    <m/>
    <m/>
    <m/>
    <x v="0"/>
  </r>
  <r>
    <m/>
    <x v="1"/>
    <x v="23"/>
    <x v="23"/>
    <m/>
    <m/>
    <m/>
    <x v="1"/>
    <m/>
    <m/>
    <m/>
    <m/>
    <m/>
    <x v="0"/>
  </r>
  <r>
    <d v="2021-10-14T00:00:00"/>
    <x v="10"/>
    <x v="0"/>
    <x v="0"/>
    <n v="65000"/>
    <n v="65000"/>
    <n v="0"/>
    <x v="64"/>
    <s v="Cali"/>
    <m/>
    <m/>
    <m/>
    <m/>
    <x v="0"/>
  </r>
  <r>
    <d v="2021-10-14T00:00:00"/>
    <x v="10"/>
    <x v="27"/>
    <x v="27"/>
    <n v="-65000"/>
    <n v="0"/>
    <n v="65000"/>
    <x v="64"/>
    <s v="Cali"/>
    <m/>
    <m/>
    <m/>
    <m/>
    <x v="0"/>
  </r>
  <r>
    <m/>
    <x v="1"/>
    <x v="23"/>
    <x v="23"/>
    <m/>
    <m/>
    <m/>
    <x v="1"/>
    <m/>
    <m/>
    <m/>
    <m/>
    <m/>
    <x v="0"/>
  </r>
  <r>
    <d v="2021-10-15T00:00:00"/>
    <x v="10"/>
    <x v="0"/>
    <x v="0"/>
    <n v="50000"/>
    <n v="50000"/>
    <n v="0"/>
    <x v="195"/>
    <s v="Cali"/>
    <m/>
    <m/>
    <m/>
    <m/>
    <x v="0"/>
  </r>
  <r>
    <d v="2021-10-15T00:00:00"/>
    <x v="10"/>
    <x v="25"/>
    <x v="25"/>
    <n v="-50000"/>
    <n v="0"/>
    <n v="50000"/>
    <x v="195"/>
    <s v="Cali"/>
    <m/>
    <m/>
    <m/>
    <m/>
    <x v="0"/>
  </r>
  <r>
    <m/>
    <x v="1"/>
    <x v="23"/>
    <x v="23"/>
    <m/>
    <m/>
    <m/>
    <x v="1"/>
    <m/>
    <m/>
    <m/>
    <m/>
    <m/>
    <x v="0"/>
  </r>
  <r>
    <d v="2021-10-15T00:00:00"/>
    <x v="10"/>
    <x v="0"/>
    <x v="0"/>
    <n v="5000"/>
    <n v="5000"/>
    <n v="0"/>
    <x v="482"/>
    <s v="Cali"/>
    <m/>
    <m/>
    <m/>
    <m/>
    <x v="0"/>
  </r>
  <r>
    <d v="2021-10-15T00:00:00"/>
    <x v="10"/>
    <x v="19"/>
    <x v="19"/>
    <n v="-5000"/>
    <n v="0"/>
    <n v="5000"/>
    <x v="482"/>
    <s v="Cali"/>
    <m/>
    <m/>
    <m/>
    <m/>
    <x v="0"/>
  </r>
  <r>
    <m/>
    <x v="1"/>
    <x v="23"/>
    <x v="23"/>
    <m/>
    <m/>
    <m/>
    <x v="1"/>
    <m/>
    <m/>
    <m/>
    <m/>
    <m/>
    <x v="0"/>
  </r>
  <r>
    <d v="2021-10-15T00:00:00"/>
    <x v="10"/>
    <x v="0"/>
    <x v="0"/>
    <n v="20000"/>
    <n v="20000"/>
    <n v="0"/>
    <x v="196"/>
    <s v="Cali"/>
    <m/>
    <m/>
    <m/>
    <m/>
    <x v="0"/>
  </r>
  <r>
    <d v="2021-10-15T00:00:00"/>
    <x v="10"/>
    <x v="25"/>
    <x v="25"/>
    <n v="-20000"/>
    <n v="0"/>
    <n v="20000"/>
    <x v="196"/>
    <s v="Cali"/>
    <m/>
    <m/>
    <m/>
    <m/>
    <x v="0"/>
  </r>
  <r>
    <m/>
    <x v="1"/>
    <x v="23"/>
    <x v="23"/>
    <m/>
    <m/>
    <m/>
    <x v="1"/>
    <m/>
    <m/>
    <m/>
    <m/>
    <m/>
    <x v="0"/>
  </r>
  <r>
    <d v="2021-10-15T00:00:00"/>
    <x v="10"/>
    <x v="16"/>
    <x v="16"/>
    <n v="54840"/>
    <n v="54840"/>
    <n v="0"/>
    <x v="609"/>
    <s v="Cali"/>
    <m/>
    <m/>
    <m/>
    <m/>
    <x v="0"/>
  </r>
  <r>
    <d v="2021-10-15T00:00:00"/>
    <x v="10"/>
    <x v="0"/>
    <x v="0"/>
    <n v="-48533"/>
    <n v="0"/>
    <n v="48533"/>
    <x v="609"/>
    <s v="Cali"/>
    <m/>
    <m/>
    <m/>
    <m/>
    <x v="0"/>
  </r>
  <r>
    <d v="2021-10-15T00:00:00"/>
    <x v="10"/>
    <x v="17"/>
    <x v="17"/>
    <n v="-6307"/>
    <n v="0"/>
    <n v="6307"/>
    <x v="609"/>
    <s v="Cali"/>
    <m/>
    <m/>
    <m/>
    <m/>
    <x v="0"/>
  </r>
  <r>
    <m/>
    <x v="1"/>
    <x v="23"/>
    <x v="23"/>
    <m/>
    <m/>
    <m/>
    <x v="1"/>
    <m/>
    <m/>
    <m/>
    <m/>
    <m/>
    <x v="0"/>
  </r>
  <r>
    <d v="2021-10-15T00:00:00"/>
    <x v="10"/>
    <x v="1"/>
    <x v="1"/>
    <n v="27000000"/>
    <n v="27000000"/>
    <n v="0"/>
    <x v="429"/>
    <s v="Cali"/>
    <m/>
    <m/>
    <m/>
    <m/>
    <x v="0"/>
  </r>
  <r>
    <d v="2021-10-15T00:00:00"/>
    <x v="10"/>
    <x v="0"/>
    <x v="0"/>
    <n v="-27000000"/>
    <n v="0"/>
    <n v="27000000"/>
    <x v="429"/>
    <s v="Cali"/>
    <m/>
    <m/>
    <m/>
    <m/>
    <x v="0"/>
  </r>
  <r>
    <m/>
    <x v="1"/>
    <x v="23"/>
    <x v="23"/>
    <m/>
    <m/>
    <m/>
    <x v="1"/>
    <m/>
    <m/>
    <m/>
    <m/>
    <m/>
    <x v="0"/>
  </r>
  <r>
    <d v="2021-10-15T00:00:00"/>
    <x v="10"/>
    <x v="0"/>
    <x v="0"/>
    <n v="3000000"/>
    <n v="3000000"/>
    <n v="0"/>
    <x v="373"/>
    <s v="Cali"/>
    <m/>
    <m/>
    <m/>
    <m/>
    <x v="0"/>
  </r>
  <r>
    <d v="2021-10-15T00:00:00"/>
    <x v="10"/>
    <x v="26"/>
    <x v="26"/>
    <n v="-3000000"/>
    <n v="0"/>
    <n v="3000000"/>
    <x v="373"/>
    <s v="Cali"/>
    <m/>
    <m/>
    <m/>
    <m/>
    <x v="0"/>
  </r>
  <r>
    <m/>
    <x v="1"/>
    <x v="23"/>
    <x v="23"/>
    <m/>
    <m/>
    <m/>
    <x v="1"/>
    <m/>
    <m/>
    <m/>
    <m/>
    <m/>
    <x v="0"/>
  </r>
  <r>
    <d v="2021-10-18T00:00:00"/>
    <x v="10"/>
    <x v="0"/>
    <x v="0"/>
    <n v="250000"/>
    <n v="250000"/>
    <n v="0"/>
    <x v="610"/>
    <s v="Cali"/>
    <m/>
    <m/>
    <m/>
    <m/>
    <x v="0"/>
  </r>
  <r>
    <d v="2021-10-18T00:00:00"/>
    <x v="10"/>
    <x v="26"/>
    <x v="26"/>
    <n v="-250000"/>
    <n v="0"/>
    <n v="250000"/>
    <x v="610"/>
    <s v="Cali"/>
    <m/>
    <m/>
    <m/>
    <m/>
    <x v="0"/>
  </r>
  <r>
    <m/>
    <x v="1"/>
    <x v="23"/>
    <x v="23"/>
    <m/>
    <m/>
    <m/>
    <x v="1"/>
    <m/>
    <m/>
    <m/>
    <m/>
    <m/>
    <x v="0"/>
  </r>
  <r>
    <d v="2021-10-18T00:00:00"/>
    <x v="10"/>
    <x v="0"/>
    <x v="0"/>
    <n v="2000"/>
    <n v="2000"/>
    <n v="0"/>
    <x v="177"/>
    <s v="Cali"/>
    <m/>
    <m/>
    <m/>
    <m/>
    <x v="0"/>
  </r>
  <r>
    <d v="2021-10-18T00:00:00"/>
    <x v="10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10-18T00:00:00"/>
    <x v="10"/>
    <x v="0"/>
    <x v="0"/>
    <n v="100000"/>
    <n v="100000"/>
    <n v="0"/>
    <x v="192"/>
    <s v="Cali"/>
    <m/>
    <m/>
    <m/>
    <m/>
    <x v="0"/>
  </r>
  <r>
    <d v="2021-10-18T00:00:00"/>
    <x v="10"/>
    <x v="26"/>
    <x v="26"/>
    <n v="-100000"/>
    <n v="0"/>
    <n v="10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10-18T00:00:00"/>
    <x v="10"/>
    <x v="0"/>
    <x v="0"/>
    <n v="470000"/>
    <n v="470000"/>
    <n v="0"/>
    <x v="608"/>
    <s v="Cali"/>
    <m/>
    <m/>
    <m/>
    <m/>
    <x v="0"/>
  </r>
  <r>
    <d v="2021-10-18T00:00:00"/>
    <x v="10"/>
    <x v="26"/>
    <x v="26"/>
    <n v="-470000"/>
    <n v="0"/>
    <n v="470000"/>
    <x v="608"/>
    <s v="Cali"/>
    <m/>
    <m/>
    <m/>
    <m/>
    <x v="0"/>
  </r>
  <r>
    <m/>
    <x v="1"/>
    <x v="23"/>
    <x v="23"/>
    <m/>
    <m/>
    <m/>
    <x v="1"/>
    <m/>
    <m/>
    <m/>
    <m/>
    <m/>
    <x v="0"/>
  </r>
  <r>
    <d v="2021-10-18T00:00:00"/>
    <x v="10"/>
    <x v="0"/>
    <x v="0"/>
    <n v="10000"/>
    <n v="10000"/>
    <n v="0"/>
    <x v="611"/>
    <s v="Cali"/>
    <m/>
    <m/>
    <m/>
    <m/>
    <x v="0"/>
  </r>
  <r>
    <d v="2021-10-18T00:00:00"/>
    <x v="10"/>
    <x v="26"/>
    <x v="26"/>
    <n v="-10000"/>
    <n v="0"/>
    <n v="10000"/>
    <x v="611"/>
    <s v="Cali"/>
    <m/>
    <m/>
    <m/>
    <m/>
    <x v="0"/>
  </r>
  <r>
    <m/>
    <x v="1"/>
    <x v="23"/>
    <x v="23"/>
    <m/>
    <m/>
    <m/>
    <x v="1"/>
    <m/>
    <m/>
    <m/>
    <m/>
    <m/>
    <x v="0"/>
  </r>
  <r>
    <d v="2021-10-19T00:00:00"/>
    <x v="10"/>
    <x v="0"/>
    <x v="0"/>
    <n v="142"/>
    <n v="142"/>
    <n v="0"/>
    <x v="612"/>
    <s v="Cali"/>
    <m/>
    <m/>
    <m/>
    <m/>
    <x v="0"/>
  </r>
  <r>
    <d v="2021-10-19T00:00:00"/>
    <x v="10"/>
    <x v="26"/>
    <x v="26"/>
    <n v="-142"/>
    <n v="0"/>
    <n v="142"/>
    <x v="612"/>
    <s v="Cali"/>
    <m/>
    <m/>
    <m/>
    <m/>
    <x v="0"/>
  </r>
  <r>
    <m/>
    <x v="1"/>
    <x v="23"/>
    <x v="23"/>
    <m/>
    <m/>
    <m/>
    <x v="1"/>
    <m/>
    <m/>
    <m/>
    <m/>
    <m/>
    <x v="0"/>
  </r>
  <r>
    <d v="2021-10-20T00:00:00"/>
    <x v="10"/>
    <x v="0"/>
    <x v="0"/>
    <n v="20000"/>
    <n v="20000"/>
    <n v="0"/>
    <x v="201"/>
    <s v="Cali"/>
    <m/>
    <m/>
    <m/>
    <m/>
    <x v="0"/>
  </r>
  <r>
    <d v="2021-10-20T00:00:00"/>
    <x v="10"/>
    <x v="25"/>
    <x v="25"/>
    <n v="-20000"/>
    <n v="0"/>
    <n v="20000"/>
    <x v="201"/>
    <s v="Cali"/>
    <m/>
    <m/>
    <m/>
    <m/>
    <x v="0"/>
  </r>
  <r>
    <m/>
    <x v="1"/>
    <x v="23"/>
    <x v="23"/>
    <m/>
    <m/>
    <m/>
    <x v="1"/>
    <m/>
    <m/>
    <m/>
    <m/>
    <m/>
    <x v="0"/>
  </r>
  <r>
    <d v="2021-10-20T00:00:00"/>
    <x v="10"/>
    <x v="0"/>
    <x v="0"/>
    <n v="1000000"/>
    <n v="1000000"/>
    <n v="0"/>
    <x v="560"/>
    <s v="Cali"/>
    <m/>
    <m/>
    <m/>
    <m/>
    <x v="0"/>
  </r>
  <r>
    <d v="2021-10-20T00:00:00"/>
    <x v="10"/>
    <x v="26"/>
    <x v="26"/>
    <n v="-1000000"/>
    <n v="0"/>
    <n v="1000000"/>
    <x v="560"/>
    <s v="Cali"/>
    <m/>
    <m/>
    <m/>
    <m/>
    <x v="0"/>
  </r>
  <r>
    <m/>
    <x v="1"/>
    <x v="23"/>
    <x v="23"/>
    <m/>
    <m/>
    <m/>
    <x v="1"/>
    <m/>
    <m/>
    <m/>
    <m/>
    <m/>
    <x v="0"/>
  </r>
  <r>
    <d v="2021-10-20T00:00:00"/>
    <x v="10"/>
    <x v="0"/>
    <x v="0"/>
    <n v="150000"/>
    <n v="150000"/>
    <n v="0"/>
    <x v="431"/>
    <s v="Cali"/>
    <m/>
    <m/>
    <m/>
    <m/>
    <x v="0"/>
  </r>
  <r>
    <d v="2021-10-20T00:00:00"/>
    <x v="10"/>
    <x v="25"/>
    <x v="25"/>
    <n v="-150000"/>
    <n v="0"/>
    <n v="150000"/>
    <x v="431"/>
    <s v="Cali"/>
    <m/>
    <m/>
    <m/>
    <m/>
    <x v="0"/>
  </r>
  <r>
    <m/>
    <x v="1"/>
    <x v="23"/>
    <x v="23"/>
    <m/>
    <m/>
    <m/>
    <x v="1"/>
    <m/>
    <m/>
    <m/>
    <m/>
    <m/>
    <x v="0"/>
  </r>
  <r>
    <d v="2021-10-20T00:00:00"/>
    <x v="10"/>
    <x v="0"/>
    <x v="0"/>
    <n v="5000"/>
    <n v="5000"/>
    <n v="0"/>
    <x v="367"/>
    <s v="Cali"/>
    <m/>
    <m/>
    <m/>
    <m/>
    <x v="0"/>
  </r>
  <r>
    <d v="2021-10-20T00:00:00"/>
    <x v="10"/>
    <x v="25"/>
    <x v="25"/>
    <n v="-5000"/>
    <n v="0"/>
    <n v="5000"/>
    <x v="367"/>
    <s v="Cali"/>
    <m/>
    <m/>
    <m/>
    <m/>
    <x v="0"/>
  </r>
  <r>
    <m/>
    <x v="1"/>
    <x v="23"/>
    <x v="23"/>
    <m/>
    <m/>
    <m/>
    <x v="1"/>
    <m/>
    <m/>
    <m/>
    <m/>
    <m/>
    <x v="0"/>
  </r>
  <r>
    <d v="2021-10-21T00:00:00"/>
    <x v="10"/>
    <x v="0"/>
    <x v="0"/>
    <n v="10000"/>
    <n v="10000"/>
    <n v="0"/>
    <x v="198"/>
    <s v="Cali"/>
    <m/>
    <m/>
    <m/>
    <m/>
    <x v="0"/>
  </r>
  <r>
    <d v="2021-10-21T00:00:00"/>
    <x v="10"/>
    <x v="27"/>
    <x v="27"/>
    <n v="-10000"/>
    <n v="0"/>
    <n v="10000"/>
    <x v="198"/>
    <s v="Cali"/>
    <m/>
    <m/>
    <m/>
    <m/>
    <x v="0"/>
  </r>
  <r>
    <m/>
    <x v="1"/>
    <x v="23"/>
    <x v="23"/>
    <m/>
    <m/>
    <m/>
    <x v="1"/>
    <m/>
    <m/>
    <m/>
    <m/>
    <m/>
    <x v="0"/>
  </r>
  <r>
    <d v="2021-10-21T00:00:00"/>
    <x v="10"/>
    <x v="0"/>
    <x v="0"/>
    <n v="42000"/>
    <n v="42000"/>
    <n v="0"/>
    <x v="65"/>
    <s v="Cali"/>
    <m/>
    <m/>
    <m/>
    <m/>
    <x v="0"/>
  </r>
  <r>
    <d v="2021-10-21T00:00:00"/>
    <x v="10"/>
    <x v="29"/>
    <x v="29"/>
    <n v="-42000"/>
    <n v="0"/>
    <n v="42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0-21T00:00:00"/>
    <x v="10"/>
    <x v="0"/>
    <x v="0"/>
    <n v="220000"/>
    <n v="220000"/>
    <n v="0"/>
    <x v="65"/>
    <s v="Cali"/>
    <m/>
    <m/>
    <m/>
    <m/>
    <x v="0"/>
  </r>
  <r>
    <d v="2021-10-21T00:00:00"/>
    <x v="10"/>
    <x v="29"/>
    <x v="29"/>
    <n v="-220000"/>
    <n v="0"/>
    <n v="22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0-22T00:00:00"/>
    <x v="10"/>
    <x v="0"/>
    <x v="0"/>
    <n v="10000"/>
    <n v="10000"/>
    <n v="0"/>
    <x v="409"/>
    <s v="Cali"/>
    <m/>
    <m/>
    <m/>
    <m/>
    <x v="0"/>
  </r>
  <r>
    <d v="2021-10-22T00:00:00"/>
    <x v="10"/>
    <x v="25"/>
    <x v="25"/>
    <n v="-10000"/>
    <n v="0"/>
    <n v="10000"/>
    <x v="409"/>
    <s v="Cali"/>
    <m/>
    <m/>
    <m/>
    <m/>
    <x v="0"/>
  </r>
  <r>
    <m/>
    <x v="1"/>
    <x v="23"/>
    <x v="23"/>
    <m/>
    <m/>
    <m/>
    <x v="1"/>
    <m/>
    <m/>
    <m/>
    <m/>
    <m/>
    <x v="0"/>
  </r>
  <r>
    <d v="2021-10-25T00:00:00"/>
    <x v="10"/>
    <x v="0"/>
    <x v="0"/>
    <n v="30000"/>
    <n v="30000"/>
    <n v="0"/>
    <x v="139"/>
    <s v="Cali"/>
    <m/>
    <m/>
    <m/>
    <m/>
    <x v="0"/>
  </r>
  <r>
    <d v="2021-10-25T00:00:00"/>
    <x v="10"/>
    <x v="25"/>
    <x v="25"/>
    <n v="-30000"/>
    <n v="0"/>
    <n v="30000"/>
    <x v="139"/>
    <s v="Cali"/>
    <m/>
    <m/>
    <m/>
    <m/>
    <x v="0"/>
  </r>
  <r>
    <m/>
    <x v="1"/>
    <x v="23"/>
    <x v="23"/>
    <m/>
    <m/>
    <m/>
    <x v="1"/>
    <m/>
    <m/>
    <m/>
    <m/>
    <m/>
    <x v="0"/>
  </r>
  <r>
    <d v="2021-10-25T00:00:00"/>
    <x v="10"/>
    <x v="0"/>
    <x v="0"/>
    <n v="30000"/>
    <n v="30000"/>
    <n v="0"/>
    <x v="203"/>
    <s v="Cali"/>
    <m/>
    <m/>
    <m/>
    <m/>
    <x v="0"/>
  </r>
  <r>
    <d v="2021-10-25T00:00:00"/>
    <x v="10"/>
    <x v="27"/>
    <x v="27"/>
    <n v="-30000"/>
    <n v="0"/>
    <n v="30000"/>
    <x v="203"/>
    <s v="Cali"/>
    <m/>
    <m/>
    <m/>
    <m/>
    <x v="0"/>
  </r>
  <r>
    <m/>
    <x v="1"/>
    <x v="23"/>
    <x v="23"/>
    <m/>
    <m/>
    <m/>
    <x v="1"/>
    <m/>
    <m/>
    <m/>
    <m/>
    <m/>
    <x v="0"/>
  </r>
  <r>
    <d v="2021-10-25T00:00:00"/>
    <x v="10"/>
    <x v="0"/>
    <x v="0"/>
    <n v="100000"/>
    <n v="100000"/>
    <n v="0"/>
    <x v="333"/>
    <s v="Cali"/>
    <m/>
    <m/>
    <m/>
    <m/>
    <x v="0"/>
  </r>
  <r>
    <d v="2021-10-25T00:00:00"/>
    <x v="10"/>
    <x v="26"/>
    <x v="26"/>
    <n v="-100000"/>
    <n v="0"/>
    <n v="100000"/>
    <x v="333"/>
    <s v="Cali"/>
    <m/>
    <m/>
    <m/>
    <m/>
    <x v="0"/>
  </r>
  <r>
    <m/>
    <x v="1"/>
    <x v="23"/>
    <x v="23"/>
    <m/>
    <m/>
    <m/>
    <x v="1"/>
    <m/>
    <m/>
    <m/>
    <m/>
    <m/>
    <x v="0"/>
  </r>
  <r>
    <d v="2021-10-25T00:00:00"/>
    <x v="10"/>
    <x v="0"/>
    <x v="0"/>
    <n v="20000"/>
    <n v="20000"/>
    <n v="0"/>
    <x v="85"/>
    <s v="Cali"/>
    <m/>
    <m/>
    <m/>
    <m/>
    <x v="0"/>
  </r>
  <r>
    <d v="2021-10-25T00:00:00"/>
    <x v="10"/>
    <x v="25"/>
    <x v="25"/>
    <n v="-20000"/>
    <n v="0"/>
    <n v="20000"/>
    <x v="85"/>
    <s v="Cali"/>
    <m/>
    <m/>
    <m/>
    <m/>
    <x v="0"/>
  </r>
  <r>
    <m/>
    <x v="1"/>
    <x v="23"/>
    <x v="23"/>
    <m/>
    <m/>
    <m/>
    <x v="1"/>
    <m/>
    <m/>
    <m/>
    <m/>
    <m/>
    <x v="0"/>
  </r>
  <r>
    <d v="2021-10-25T00:00:00"/>
    <x v="10"/>
    <x v="0"/>
    <x v="0"/>
    <n v="2000"/>
    <n v="2000"/>
    <n v="0"/>
    <x v="177"/>
    <s v="Cali"/>
    <m/>
    <m/>
    <m/>
    <m/>
    <x v="0"/>
  </r>
  <r>
    <d v="2021-10-25T00:00:00"/>
    <x v="10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10-25T00:00:00"/>
    <x v="10"/>
    <x v="0"/>
    <x v="0"/>
    <n v="10000"/>
    <n v="10000"/>
    <n v="0"/>
    <x v="206"/>
    <s v="Cali"/>
    <m/>
    <m/>
    <m/>
    <m/>
    <x v="0"/>
  </r>
  <r>
    <d v="2021-10-25T00:00:00"/>
    <x v="10"/>
    <x v="26"/>
    <x v="26"/>
    <n v="-10000"/>
    <n v="0"/>
    <n v="10000"/>
    <x v="206"/>
    <s v="Cali"/>
    <m/>
    <m/>
    <m/>
    <m/>
    <x v="0"/>
  </r>
  <r>
    <m/>
    <x v="1"/>
    <x v="23"/>
    <x v="23"/>
    <m/>
    <m/>
    <m/>
    <x v="1"/>
    <m/>
    <m/>
    <m/>
    <m/>
    <m/>
    <x v="0"/>
  </r>
  <r>
    <d v="2021-10-25T00:00:00"/>
    <x v="10"/>
    <x v="0"/>
    <x v="0"/>
    <n v="196073"/>
    <n v="196073"/>
    <n v="0"/>
    <x v="613"/>
    <s v="Cali"/>
    <m/>
    <m/>
    <m/>
    <m/>
    <x v="0"/>
  </r>
  <r>
    <d v="2021-10-25T00:00:00"/>
    <x v="10"/>
    <x v="26"/>
    <x v="26"/>
    <n v="-196073"/>
    <n v="0"/>
    <n v="196073"/>
    <x v="613"/>
    <s v="Cali"/>
    <m/>
    <m/>
    <m/>
    <m/>
    <x v="0"/>
  </r>
  <r>
    <m/>
    <x v="1"/>
    <x v="23"/>
    <x v="23"/>
    <m/>
    <m/>
    <m/>
    <x v="1"/>
    <m/>
    <m/>
    <m/>
    <m/>
    <m/>
    <x v="0"/>
  </r>
  <r>
    <d v="2021-10-28T00:00:00"/>
    <x v="10"/>
    <x v="0"/>
    <x v="0"/>
    <n v="30000"/>
    <n v="30000"/>
    <n v="0"/>
    <x v="156"/>
    <s v="Cali"/>
    <m/>
    <m/>
    <m/>
    <m/>
    <x v="0"/>
  </r>
  <r>
    <d v="2021-10-28T00:00:00"/>
    <x v="10"/>
    <x v="25"/>
    <x v="25"/>
    <n v="-30000"/>
    <n v="0"/>
    <n v="30000"/>
    <x v="156"/>
    <s v="Cali"/>
    <m/>
    <m/>
    <m/>
    <m/>
    <x v="0"/>
  </r>
  <r>
    <m/>
    <x v="1"/>
    <x v="23"/>
    <x v="23"/>
    <m/>
    <m/>
    <m/>
    <x v="1"/>
    <m/>
    <m/>
    <m/>
    <m/>
    <m/>
    <x v="0"/>
  </r>
  <r>
    <d v="2021-10-28T00:00:00"/>
    <x v="10"/>
    <x v="0"/>
    <x v="0"/>
    <n v="100000"/>
    <n v="100000"/>
    <n v="0"/>
    <x v="192"/>
    <s v="Cali"/>
    <m/>
    <m/>
    <m/>
    <m/>
    <x v="0"/>
  </r>
  <r>
    <d v="2021-10-28T00:00:00"/>
    <x v="10"/>
    <x v="26"/>
    <x v="26"/>
    <n v="-100000"/>
    <n v="0"/>
    <n v="10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10-28T00:00:00"/>
    <x v="10"/>
    <x v="0"/>
    <x v="0"/>
    <n v="73000"/>
    <n v="73000"/>
    <n v="0"/>
    <x v="240"/>
    <s v="Cali"/>
    <m/>
    <m/>
    <m/>
    <m/>
    <x v="0"/>
  </r>
  <r>
    <d v="2021-10-28T00:00:00"/>
    <x v="10"/>
    <x v="26"/>
    <x v="26"/>
    <n v="-73000"/>
    <n v="0"/>
    <n v="73000"/>
    <x v="240"/>
    <s v="Cali"/>
    <m/>
    <m/>
    <m/>
    <m/>
    <x v="0"/>
  </r>
  <r>
    <m/>
    <x v="1"/>
    <x v="23"/>
    <x v="23"/>
    <m/>
    <m/>
    <m/>
    <x v="1"/>
    <m/>
    <m/>
    <m/>
    <m/>
    <m/>
    <x v="0"/>
  </r>
  <r>
    <d v="2021-10-28T00:00:00"/>
    <x v="10"/>
    <x v="0"/>
    <x v="0"/>
    <n v="10000"/>
    <n v="10000"/>
    <n v="0"/>
    <x v="236"/>
    <s v="Cali"/>
    <m/>
    <m/>
    <m/>
    <m/>
    <x v="0"/>
  </r>
  <r>
    <d v="2021-10-28T00:00:00"/>
    <x v="10"/>
    <x v="25"/>
    <x v="25"/>
    <n v="-10000"/>
    <n v="0"/>
    <n v="10000"/>
    <x v="236"/>
    <s v="Cali"/>
    <m/>
    <m/>
    <m/>
    <m/>
    <x v="0"/>
  </r>
  <r>
    <m/>
    <x v="1"/>
    <x v="23"/>
    <x v="23"/>
    <m/>
    <m/>
    <m/>
    <x v="1"/>
    <m/>
    <m/>
    <m/>
    <m/>
    <m/>
    <x v="0"/>
  </r>
  <r>
    <d v="2021-10-28T00:00:00"/>
    <x v="10"/>
    <x v="0"/>
    <x v="0"/>
    <n v="125000"/>
    <n v="125000"/>
    <n v="0"/>
    <x v="136"/>
    <s v="Cali"/>
    <m/>
    <m/>
    <m/>
    <m/>
    <x v="0"/>
  </r>
  <r>
    <d v="2021-10-28T00:00:00"/>
    <x v="10"/>
    <x v="26"/>
    <x v="26"/>
    <n v="-125000"/>
    <n v="0"/>
    <n v="125000"/>
    <x v="136"/>
    <s v="Cali"/>
    <m/>
    <m/>
    <m/>
    <m/>
    <x v="0"/>
  </r>
  <r>
    <m/>
    <x v="1"/>
    <x v="23"/>
    <x v="23"/>
    <m/>
    <m/>
    <m/>
    <x v="1"/>
    <m/>
    <m/>
    <m/>
    <m/>
    <m/>
    <x v="0"/>
  </r>
  <r>
    <d v="2021-10-28T00:00:00"/>
    <x v="10"/>
    <x v="0"/>
    <x v="0"/>
    <n v="1419370"/>
    <n v="1419370"/>
    <n v="0"/>
    <x v="614"/>
    <s v="Cali"/>
    <m/>
    <m/>
    <m/>
    <m/>
    <x v="0"/>
  </r>
  <r>
    <d v="2021-10-28T00:00:00"/>
    <x v="10"/>
    <x v="26"/>
    <x v="26"/>
    <n v="-1419370"/>
    <n v="0"/>
    <n v="1419370"/>
    <x v="614"/>
    <s v="Cali"/>
    <m/>
    <m/>
    <m/>
    <m/>
    <x v="0"/>
  </r>
  <r>
    <m/>
    <x v="1"/>
    <x v="23"/>
    <x v="23"/>
    <m/>
    <m/>
    <m/>
    <x v="1"/>
    <m/>
    <m/>
    <m/>
    <m/>
    <m/>
    <x v="0"/>
  </r>
  <r>
    <d v="2021-10-28T00:00:00"/>
    <x v="10"/>
    <x v="0"/>
    <x v="0"/>
    <n v="2196669"/>
    <n v="2196669"/>
    <n v="0"/>
    <x v="615"/>
    <s v="Cali"/>
    <m/>
    <m/>
    <m/>
    <m/>
    <x v="0"/>
  </r>
  <r>
    <d v="2021-10-28T00:00:00"/>
    <x v="10"/>
    <x v="44"/>
    <x v="44"/>
    <n v="-2196669"/>
    <n v="0"/>
    <n v="2196669"/>
    <x v="615"/>
    <s v="Cali"/>
    <m/>
    <m/>
    <m/>
    <m/>
    <x v="0"/>
  </r>
  <r>
    <m/>
    <x v="1"/>
    <x v="23"/>
    <x v="23"/>
    <m/>
    <m/>
    <m/>
    <x v="1"/>
    <m/>
    <m/>
    <m/>
    <m/>
    <m/>
    <x v="0"/>
  </r>
  <r>
    <d v="2021-10-28T00:00:00"/>
    <x v="10"/>
    <x v="0"/>
    <x v="0"/>
    <n v="1916008"/>
    <n v="1916008"/>
    <n v="0"/>
    <x v="616"/>
    <s v="Cali"/>
    <m/>
    <m/>
    <m/>
    <m/>
    <x v="0"/>
  </r>
  <r>
    <d v="2021-10-28T00:00:00"/>
    <x v="10"/>
    <x v="45"/>
    <x v="45"/>
    <n v="-1916008"/>
    <n v="0"/>
    <n v="1916008"/>
    <x v="616"/>
    <s v="Cali"/>
    <m/>
    <m/>
    <m/>
    <m/>
    <x v="0"/>
  </r>
  <r>
    <m/>
    <x v="1"/>
    <x v="23"/>
    <x v="23"/>
    <m/>
    <m/>
    <m/>
    <x v="1"/>
    <m/>
    <m/>
    <m/>
    <m/>
    <m/>
    <x v="0"/>
  </r>
  <r>
    <d v="2021-10-29T00:00:00"/>
    <x v="10"/>
    <x v="14"/>
    <x v="14"/>
    <n v="161848"/>
    <n v="161848"/>
    <n v="0"/>
    <x v="617"/>
    <s v="Cali"/>
    <m/>
    <m/>
    <m/>
    <m/>
    <x v="0"/>
  </r>
  <r>
    <d v="2021-10-29T00:00:00"/>
    <x v="10"/>
    <x v="15"/>
    <x v="15"/>
    <n v="2918288"/>
    <n v="2918288"/>
    <n v="0"/>
    <x v="617"/>
    <s v="Cali"/>
    <m/>
    <m/>
    <m/>
    <m/>
    <x v="0"/>
  </r>
  <r>
    <d v="2021-10-29T00:00:00"/>
    <x v="10"/>
    <x v="0"/>
    <x v="0"/>
    <n v="-3080136"/>
    <n v="0"/>
    <n v="3080136"/>
    <x v="617"/>
    <s v="Cali"/>
    <m/>
    <m/>
    <m/>
    <m/>
    <x v="0"/>
  </r>
  <r>
    <m/>
    <x v="1"/>
    <x v="23"/>
    <x v="23"/>
    <m/>
    <m/>
    <m/>
    <x v="1"/>
    <m/>
    <m/>
    <m/>
    <m/>
    <m/>
    <x v="0"/>
  </r>
  <r>
    <d v="2021-10-29T00:00:00"/>
    <x v="10"/>
    <x v="0"/>
    <x v="0"/>
    <n v="22000"/>
    <n v="22000"/>
    <n v="0"/>
    <x v="342"/>
    <s v="Cali"/>
    <m/>
    <m/>
    <m/>
    <m/>
    <x v="0"/>
  </r>
  <r>
    <d v="2021-10-29T00:00:00"/>
    <x v="10"/>
    <x v="25"/>
    <x v="25"/>
    <n v="-22000"/>
    <n v="0"/>
    <n v="22000"/>
    <x v="342"/>
    <s v="Cali"/>
    <m/>
    <m/>
    <m/>
    <m/>
    <x v="0"/>
  </r>
  <r>
    <m/>
    <x v="1"/>
    <x v="23"/>
    <x v="23"/>
    <m/>
    <m/>
    <m/>
    <x v="1"/>
    <m/>
    <m/>
    <m/>
    <m/>
    <m/>
    <x v="0"/>
  </r>
  <r>
    <d v="2021-10-29T00:00:00"/>
    <x v="10"/>
    <x v="0"/>
    <x v="0"/>
    <n v="20000"/>
    <n v="20000"/>
    <n v="0"/>
    <x v="132"/>
    <s v="Cali"/>
    <m/>
    <m/>
    <m/>
    <m/>
    <x v="0"/>
  </r>
  <r>
    <d v="2021-10-29T00:00:00"/>
    <x v="10"/>
    <x v="25"/>
    <x v="25"/>
    <n v="-20000"/>
    <n v="0"/>
    <n v="20000"/>
    <x v="132"/>
    <s v="Cali"/>
    <m/>
    <m/>
    <m/>
    <m/>
    <x v="0"/>
  </r>
  <r>
    <m/>
    <x v="1"/>
    <x v="23"/>
    <x v="23"/>
    <m/>
    <m/>
    <m/>
    <x v="1"/>
    <m/>
    <m/>
    <m/>
    <m/>
    <m/>
    <x v="0"/>
  </r>
  <r>
    <d v="2021-10-29T00:00:00"/>
    <x v="10"/>
    <x v="0"/>
    <x v="0"/>
    <n v="30000"/>
    <n v="30000"/>
    <n v="0"/>
    <x v="266"/>
    <s v="Cali"/>
    <m/>
    <m/>
    <m/>
    <m/>
    <x v="0"/>
  </r>
  <r>
    <d v="2021-10-29T00:00:00"/>
    <x v="10"/>
    <x v="25"/>
    <x v="25"/>
    <n v="-30000"/>
    <n v="0"/>
    <n v="30000"/>
    <x v="266"/>
    <s v="Cali"/>
    <m/>
    <m/>
    <m/>
    <m/>
    <x v="0"/>
  </r>
  <r>
    <m/>
    <x v="1"/>
    <x v="23"/>
    <x v="23"/>
    <m/>
    <m/>
    <m/>
    <x v="1"/>
    <m/>
    <m/>
    <m/>
    <m/>
    <m/>
    <x v="0"/>
  </r>
  <r>
    <d v="2021-10-29T00:00:00"/>
    <x v="10"/>
    <x v="0"/>
    <x v="0"/>
    <n v="40000"/>
    <n v="40000"/>
    <n v="0"/>
    <x v="241"/>
    <s v="Cali"/>
    <m/>
    <m/>
    <m/>
    <m/>
    <x v="0"/>
  </r>
  <r>
    <d v="2021-10-29T00:00:00"/>
    <x v="10"/>
    <x v="26"/>
    <x v="26"/>
    <n v="-40000"/>
    <n v="0"/>
    <n v="40000"/>
    <x v="241"/>
    <s v="Cali"/>
    <m/>
    <m/>
    <m/>
    <m/>
    <x v="0"/>
  </r>
  <r>
    <m/>
    <x v="1"/>
    <x v="23"/>
    <x v="23"/>
    <m/>
    <m/>
    <m/>
    <x v="1"/>
    <m/>
    <m/>
    <m/>
    <m/>
    <m/>
    <x v="0"/>
  </r>
  <r>
    <d v="2021-10-29T00:00:00"/>
    <x v="10"/>
    <x v="0"/>
    <x v="0"/>
    <n v="25000"/>
    <n v="25000"/>
    <n v="0"/>
    <x v="138"/>
    <s v="Cali"/>
    <m/>
    <m/>
    <m/>
    <m/>
    <x v="0"/>
  </r>
  <r>
    <d v="2021-10-29T00:00:00"/>
    <x v="10"/>
    <x v="27"/>
    <x v="27"/>
    <n v="-25000"/>
    <n v="0"/>
    <n v="25000"/>
    <x v="138"/>
    <s v="Cali"/>
    <m/>
    <m/>
    <m/>
    <m/>
    <x v="0"/>
  </r>
  <r>
    <m/>
    <x v="1"/>
    <x v="23"/>
    <x v="23"/>
    <m/>
    <m/>
    <m/>
    <x v="1"/>
    <m/>
    <m/>
    <m/>
    <m/>
    <m/>
    <x v="0"/>
  </r>
  <r>
    <d v="2021-10-29T00:00:00"/>
    <x v="10"/>
    <x v="0"/>
    <x v="0"/>
    <n v="20000"/>
    <n v="20000"/>
    <n v="0"/>
    <x v="151"/>
    <s v="Cali"/>
    <m/>
    <m/>
    <m/>
    <m/>
    <x v="0"/>
  </r>
  <r>
    <d v="2021-10-29T00:00:00"/>
    <x v="10"/>
    <x v="25"/>
    <x v="25"/>
    <n v="-20000"/>
    <n v="0"/>
    <n v="20000"/>
    <x v="151"/>
    <s v="Cali"/>
    <m/>
    <m/>
    <m/>
    <m/>
    <x v="0"/>
  </r>
  <r>
    <m/>
    <x v="1"/>
    <x v="23"/>
    <x v="23"/>
    <m/>
    <m/>
    <m/>
    <x v="1"/>
    <m/>
    <m/>
    <m/>
    <m/>
    <m/>
    <x v="0"/>
  </r>
  <r>
    <d v="2021-10-29T00:00:00"/>
    <x v="10"/>
    <x v="0"/>
    <x v="0"/>
    <n v="40000"/>
    <n v="40000"/>
    <n v="0"/>
    <x v="157"/>
    <s v="Cali"/>
    <m/>
    <m/>
    <m/>
    <m/>
    <x v="0"/>
  </r>
  <r>
    <d v="2021-10-29T00:00:00"/>
    <x v="10"/>
    <x v="27"/>
    <x v="27"/>
    <n v="-40000"/>
    <n v="0"/>
    <n v="40000"/>
    <x v="157"/>
    <s v="Cali"/>
    <m/>
    <m/>
    <m/>
    <m/>
    <x v="0"/>
  </r>
  <r>
    <m/>
    <x v="1"/>
    <x v="23"/>
    <x v="23"/>
    <m/>
    <m/>
    <m/>
    <x v="1"/>
    <m/>
    <m/>
    <m/>
    <m/>
    <m/>
    <x v="0"/>
  </r>
  <r>
    <d v="2021-10-29T00:00:00"/>
    <x v="10"/>
    <x v="0"/>
    <x v="0"/>
    <n v="50000"/>
    <n v="50000"/>
    <n v="0"/>
    <x v="618"/>
    <s v="Cali"/>
    <m/>
    <m/>
    <m/>
    <m/>
    <x v="0"/>
  </r>
  <r>
    <d v="2021-10-29T00:00:00"/>
    <x v="10"/>
    <x v="25"/>
    <x v="25"/>
    <n v="-50000"/>
    <n v="0"/>
    <n v="50000"/>
    <x v="618"/>
    <s v="Cali"/>
    <m/>
    <m/>
    <m/>
    <m/>
    <x v="0"/>
  </r>
  <r>
    <m/>
    <x v="1"/>
    <x v="23"/>
    <x v="23"/>
    <m/>
    <m/>
    <m/>
    <x v="1"/>
    <m/>
    <m/>
    <m/>
    <m/>
    <m/>
    <x v="0"/>
  </r>
  <r>
    <d v="2021-10-29T00:00:00"/>
    <x v="10"/>
    <x v="0"/>
    <x v="0"/>
    <n v="60000"/>
    <n v="60000"/>
    <n v="0"/>
    <x v="10"/>
    <s v="Cali"/>
    <m/>
    <m/>
    <m/>
    <m/>
    <x v="0"/>
  </r>
  <r>
    <d v="2021-10-29T00:00:00"/>
    <x v="10"/>
    <x v="25"/>
    <x v="25"/>
    <n v="-60000"/>
    <n v="0"/>
    <n v="60000"/>
    <x v="10"/>
    <s v="Cali"/>
    <m/>
    <m/>
    <m/>
    <m/>
    <x v="0"/>
  </r>
  <r>
    <m/>
    <x v="1"/>
    <x v="23"/>
    <x v="23"/>
    <m/>
    <m/>
    <m/>
    <x v="1"/>
    <m/>
    <m/>
    <m/>
    <m/>
    <m/>
    <x v="0"/>
  </r>
  <r>
    <d v="2021-10-29T00:00:00"/>
    <x v="10"/>
    <x v="0"/>
    <x v="0"/>
    <n v="200000"/>
    <n v="200000"/>
    <n v="0"/>
    <x v="242"/>
    <s v="Cali"/>
    <m/>
    <m/>
    <m/>
    <m/>
    <x v="0"/>
  </r>
  <r>
    <d v="2021-10-29T00:00:00"/>
    <x v="10"/>
    <x v="26"/>
    <x v="26"/>
    <n v="-200000"/>
    <n v="0"/>
    <n v="200000"/>
    <x v="242"/>
    <s v="Cali"/>
    <m/>
    <m/>
    <m/>
    <m/>
    <x v="0"/>
  </r>
  <r>
    <m/>
    <x v="1"/>
    <x v="23"/>
    <x v="23"/>
    <m/>
    <m/>
    <m/>
    <x v="1"/>
    <m/>
    <m/>
    <m/>
    <m/>
    <m/>
    <x v="0"/>
  </r>
  <r>
    <d v="2021-10-06T00:00:00"/>
    <x v="10"/>
    <x v="31"/>
    <x v="31"/>
    <n v="1625"/>
    <n v="1625"/>
    <n v="0"/>
    <x v="215"/>
    <s v="Cali"/>
    <m/>
    <m/>
    <m/>
    <m/>
    <x v="0"/>
  </r>
  <r>
    <d v="2021-10-06T00:00:00"/>
    <x v="10"/>
    <x v="1"/>
    <x v="1"/>
    <n v="-1625"/>
    <n v="0"/>
    <n v="1625"/>
    <x v="215"/>
    <s v="Cali"/>
    <m/>
    <m/>
    <m/>
    <m/>
    <x v="0"/>
  </r>
  <r>
    <m/>
    <x v="1"/>
    <x v="23"/>
    <x v="23"/>
    <m/>
    <m/>
    <m/>
    <x v="1"/>
    <m/>
    <m/>
    <m/>
    <m/>
    <m/>
    <x v="0"/>
  </r>
  <r>
    <d v="2021-10-06T00:00:00"/>
    <x v="10"/>
    <x v="31"/>
    <x v="31"/>
    <n v="309"/>
    <n v="309"/>
    <n v="0"/>
    <x v="215"/>
    <s v="Cali"/>
    <m/>
    <m/>
    <m/>
    <m/>
    <x v="0"/>
  </r>
  <r>
    <d v="2021-10-06T00:00:00"/>
    <x v="10"/>
    <x v="1"/>
    <x v="1"/>
    <n v="-309"/>
    <n v="0"/>
    <n v="309"/>
    <x v="215"/>
    <s v="Cali"/>
    <m/>
    <m/>
    <m/>
    <m/>
    <x v="0"/>
  </r>
  <r>
    <m/>
    <x v="1"/>
    <x v="23"/>
    <x v="23"/>
    <m/>
    <m/>
    <m/>
    <x v="1"/>
    <m/>
    <m/>
    <m/>
    <m/>
    <m/>
    <x v="0"/>
  </r>
  <r>
    <d v="2021-10-06T00:00:00"/>
    <x v="10"/>
    <x v="1"/>
    <x v="1"/>
    <n v="32000000"/>
    <n v="32000000"/>
    <n v="0"/>
    <x v="579"/>
    <s v="Cali"/>
    <m/>
    <m/>
    <m/>
    <m/>
    <x v="0"/>
  </r>
  <r>
    <d v="2021-10-20T00:00:00"/>
    <x v="10"/>
    <x v="51"/>
    <x v="51"/>
    <n v="-32000000"/>
    <n v="0"/>
    <n v="32000000"/>
    <x v="579"/>
    <s v="Cali"/>
    <m/>
    <m/>
    <m/>
    <m/>
    <x v="0"/>
  </r>
  <r>
    <m/>
    <x v="1"/>
    <x v="23"/>
    <x v="23"/>
    <m/>
    <m/>
    <m/>
    <x v="1"/>
    <m/>
    <m/>
    <m/>
    <m/>
    <m/>
    <x v="0"/>
  </r>
  <r>
    <d v="2021-10-22T00:00:00"/>
    <x v="10"/>
    <x v="12"/>
    <x v="12"/>
    <n v="129328"/>
    <n v="129328"/>
    <n v="0"/>
    <x v="619"/>
    <s v="Cali"/>
    <s v="76197476-9"/>
    <s v="INGENIERIA LICENCIADO LAS PENAS LIMITADA"/>
    <n v="2774"/>
    <m/>
    <x v="0"/>
  </r>
  <r>
    <d v="2021-10-22T00:00:00"/>
    <x v="10"/>
    <x v="1"/>
    <x v="1"/>
    <n v="-129328"/>
    <n v="0"/>
    <n v="129328"/>
    <x v="619"/>
    <s v="Cali"/>
    <s v="76197476-9"/>
    <s v="INGENIERIA LICENCIADO LAS PENAS LIMITADA"/>
    <n v="2728"/>
    <m/>
    <x v="0"/>
  </r>
  <r>
    <m/>
    <x v="1"/>
    <x v="23"/>
    <x v="23"/>
    <m/>
    <m/>
    <m/>
    <x v="1"/>
    <m/>
    <m/>
    <m/>
    <m/>
    <m/>
    <x v="0"/>
  </r>
  <r>
    <d v="2021-10-22T00:00:00"/>
    <x v="10"/>
    <x v="12"/>
    <x v="12"/>
    <n v="4361654"/>
    <n v="4361654"/>
    <n v="0"/>
    <x v="620"/>
    <s v="Cali"/>
    <s v="89485200-3"/>
    <s v="COZ Y COMPAÃ‘IA S.A."/>
    <n v="6409"/>
    <s v="138-01"/>
    <x v="3"/>
  </r>
  <r>
    <d v="2021-10-22T00:00:00"/>
    <x v="10"/>
    <x v="1"/>
    <x v="1"/>
    <n v="-4361654"/>
    <n v="0"/>
    <n v="4361654"/>
    <x v="620"/>
    <s v="Cali"/>
    <s v="89485200-3"/>
    <s v="COZ Y COMPAÃ‘IA S.A."/>
    <n v="6409"/>
    <s v="138-01"/>
    <x v="3"/>
  </r>
  <r>
    <m/>
    <x v="1"/>
    <x v="23"/>
    <x v="23"/>
    <m/>
    <m/>
    <m/>
    <x v="1"/>
    <m/>
    <m/>
    <m/>
    <m/>
    <m/>
    <x v="0"/>
  </r>
  <r>
    <d v="2021-10-22T00:00:00"/>
    <x v="10"/>
    <x v="48"/>
    <x v="48"/>
    <n v="50248964"/>
    <n v="50248964"/>
    <n v="0"/>
    <x v="621"/>
    <s v="Cali"/>
    <s v="80965500-8"/>
    <s v="PROYECTOS Y CONSTRUCCIONES TASCO LIMITADA"/>
    <n v="3048"/>
    <m/>
    <x v="0"/>
  </r>
  <r>
    <d v="2021-10-22T00:00:00"/>
    <x v="10"/>
    <x v="1"/>
    <x v="1"/>
    <n v="-50248964"/>
    <n v="0"/>
    <n v="50248964"/>
    <x v="621"/>
    <s v="Cali"/>
    <s v="80965500-8"/>
    <s v="PROYECTOS Y CONSTRUCCIONES TASCO LIMITADA"/>
    <n v="3048"/>
    <m/>
    <x v="0"/>
  </r>
  <r>
    <m/>
    <x v="1"/>
    <x v="23"/>
    <x v="23"/>
    <m/>
    <m/>
    <m/>
    <x v="1"/>
    <m/>
    <m/>
    <m/>
    <m/>
    <m/>
    <x v="0"/>
  </r>
  <r>
    <d v="2021-10-22T00:00:00"/>
    <x v="10"/>
    <x v="12"/>
    <x v="12"/>
    <n v="3005600"/>
    <n v="3005600"/>
    <n v="0"/>
    <x v="622"/>
    <s v="Cali"/>
    <m/>
    <m/>
    <n v="429"/>
    <m/>
    <x v="0"/>
  </r>
  <r>
    <d v="2021-10-22T00:00:00"/>
    <x v="10"/>
    <x v="1"/>
    <x v="1"/>
    <n v="-3005600"/>
    <n v="0"/>
    <n v="3005600"/>
    <x v="622"/>
    <s v="Cali"/>
    <m/>
    <m/>
    <n v="429"/>
    <m/>
    <x v="0"/>
  </r>
  <r>
    <m/>
    <x v="1"/>
    <x v="23"/>
    <x v="23"/>
    <m/>
    <m/>
    <m/>
    <x v="1"/>
    <m/>
    <m/>
    <m/>
    <m/>
    <m/>
    <x v="0"/>
  </r>
  <r>
    <d v="2021-10-22T00:00:00"/>
    <x v="10"/>
    <x v="11"/>
    <x v="11"/>
    <n v="-7042958"/>
    <n v="0"/>
    <n v="7042958"/>
    <x v="623"/>
    <s v="Cali"/>
    <s v="80965500-8"/>
    <s v="PROYECTOS Y CONSTRUCCIONES TASCO LIMITADA"/>
    <n v="3048"/>
    <m/>
    <x v="0"/>
  </r>
  <r>
    <d v="2021-10-22T00:00:00"/>
    <x v="10"/>
    <x v="8"/>
    <x v="8"/>
    <n v="59884938"/>
    <n v="59884938"/>
    <n v="0"/>
    <x v="129"/>
    <s v="Cali"/>
    <s v="80965500-8"/>
    <s v="PROYECTOS Y CONSTRUCCIONES TASCO LIMITADA"/>
    <n v="3048"/>
    <m/>
    <x v="0"/>
  </r>
  <r>
    <d v="2021-10-22T00:00:00"/>
    <x v="10"/>
    <x v="18"/>
    <x v="18"/>
    <n v="-2593016"/>
    <n v="0"/>
    <n v="2593016"/>
    <x v="624"/>
    <s v="Cali"/>
    <s v="80965500-8"/>
    <s v="PROYECTOS Y CONSTRUCCIONES TASCO LIMITADA"/>
    <n v="3048"/>
    <m/>
    <x v="0"/>
  </r>
  <r>
    <d v="2021-10-22T00:00:00"/>
    <x v="10"/>
    <x v="48"/>
    <x v="48"/>
    <n v="-50248964"/>
    <n v="0"/>
    <n v="50248964"/>
    <x v="625"/>
    <s v="Cali"/>
    <s v="80965500-8"/>
    <s v="PROYECTOS Y CONSTRUCCIONES TASCO LIMITADA"/>
    <n v="3048"/>
    <m/>
    <x v="0"/>
  </r>
  <r>
    <m/>
    <x v="1"/>
    <x v="23"/>
    <x v="23"/>
    <m/>
    <m/>
    <m/>
    <x v="1"/>
    <m/>
    <m/>
    <m/>
    <m/>
    <m/>
    <x v="0"/>
  </r>
  <r>
    <d v="2021-10-12T00:00:00"/>
    <x v="10"/>
    <x v="31"/>
    <x v="31"/>
    <n v="11444"/>
    <n v="11444"/>
    <n v="0"/>
    <x v="626"/>
    <s v="Cali"/>
    <m/>
    <m/>
    <m/>
    <m/>
    <x v="0"/>
  </r>
  <r>
    <d v="2021-10-12T00:00:00"/>
    <x v="10"/>
    <x v="51"/>
    <x v="51"/>
    <n v="-11444"/>
    <n v="0"/>
    <n v="11444"/>
    <x v="626"/>
    <s v="Cali"/>
    <m/>
    <m/>
    <m/>
    <m/>
    <x v="0"/>
  </r>
  <r>
    <m/>
    <x v="1"/>
    <x v="23"/>
    <x v="23"/>
    <m/>
    <m/>
    <m/>
    <x v="1"/>
    <m/>
    <m/>
    <m/>
    <m/>
    <m/>
    <x v="0"/>
  </r>
  <r>
    <d v="2021-10-14T00:00:00"/>
    <x v="10"/>
    <x v="51"/>
    <x v="51"/>
    <n v="400560000"/>
    <n v="400560000"/>
    <n v="0"/>
    <x v="627"/>
    <s v="Cali"/>
    <m/>
    <m/>
    <m/>
    <m/>
    <x v="0"/>
  </r>
  <r>
    <d v="2021-10-14T00:00:00"/>
    <x v="10"/>
    <x v="53"/>
    <x v="53"/>
    <n v="-400560000"/>
    <n v="0"/>
    <n v="400560000"/>
    <x v="627"/>
    <s v="Cali"/>
    <m/>
    <m/>
    <m/>
    <m/>
    <x v="0"/>
  </r>
  <r>
    <m/>
    <x v="1"/>
    <x v="23"/>
    <x v="23"/>
    <m/>
    <m/>
    <m/>
    <x v="1"/>
    <m/>
    <m/>
    <m/>
    <m/>
    <m/>
    <x v="0"/>
  </r>
  <r>
    <d v="2021-10-14T00:00:00"/>
    <x v="10"/>
    <x v="53"/>
    <x v="53"/>
    <n v="370000000"/>
    <n v="370000000"/>
    <n v="0"/>
    <x v="628"/>
    <s v="Cali"/>
    <m/>
    <m/>
    <m/>
    <m/>
    <x v="0"/>
  </r>
  <r>
    <d v="2021-10-14T00:00:00"/>
    <x v="10"/>
    <x v="51"/>
    <x v="51"/>
    <n v="-370000000"/>
    <n v="0"/>
    <n v="370000000"/>
    <x v="628"/>
    <s v="Cali"/>
    <m/>
    <m/>
    <m/>
    <m/>
    <x v="0"/>
  </r>
  <r>
    <m/>
    <x v="1"/>
    <x v="23"/>
    <x v="23"/>
    <m/>
    <m/>
    <m/>
    <x v="1"/>
    <m/>
    <m/>
    <m/>
    <m/>
    <m/>
    <x v="0"/>
  </r>
  <r>
    <d v="2021-10-27T00:00:00"/>
    <x v="10"/>
    <x v="51"/>
    <x v="51"/>
    <n v="795000"/>
    <n v="795000"/>
    <n v="0"/>
    <x v="449"/>
    <s v="Cali"/>
    <m/>
    <m/>
    <m/>
    <m/>
    <x v="0"/>
  </r>
  <r>
    <d v="2021-10-27T00:00:00"/>
    <x v="10"/>
    <x v="25"/>
    <x v="25"/>
    <n v="-795000"/>
    <n v="0"/>
    <n v="795000"/>
    <x v="449"/>
    <s v="Cali"/>
    <m/>
    <m/>
    <m/>
    <m/>
    <x v="0"/>
  </r>
  <r>
    <m/>
    <x v="1"/>
    <x v="23"/>
    <x v="23"/>
    <m/>
    <m/>
    <m/>
    <x v="1"/>
    <m/>
    <m/>
    <m/>
    <m/>
    <m/>
    <x v="0"/>
  </r>
  <r>
    <d v="2021-10-29T00:00:00"/>
    <x v="10"/>
    <x v="51"/>
    <x v="51"/>
    <n v="10000"/>
    <n v="10000"/>
    <n v="0"/>
    <x v="449"/>
    <s v="Cali"/>
    <m/>
    <m/>
    <m/>
    <m/>
    <x v="0"/>
  </r>
  <r>
    <d v="2021-10-29T00:00:00"/>
    <x v="10"/>
    <x v="25"/>
    <x v="25"/>
    <n v="-10000"/>
    <n v="0"/>
    <n v="10000"/>
    <x v="449"/>
    <s v="Cali"/>
    <m/>
    <m/>
    <m/>
    <m/>
    <x v="0"/>
  </r>
  <r>
    <m/>
    <x v="1"/>
    <x v="23"/>
    <x v="23"/>
    <m/>
    <m/>
    <m/>
    <x v="1"/>
    <m/>
    <m/>
    <m/>
    <m/>
    <m/>
    <x v="0"/>
  </r>
  <r>
    <d v="2021-10-30T00:00:00"/>
    <x v="10"/>
    <x v="32"/>
    <x v="32"/>
    <n v="-562000"/>
    <n v="0"/>
    <n v="562000"/>
    <x v="629"/>
    <s v="Cali"/>
    <m/>
    <m/>
    <m/>
    <m/>
    <x v="0"/>
  </r>
  <r>
    <d v="2021-10-30T00:00:00"/>
    <x v="10"/>
    <x v="33"/>
    <x v="33"/>
    <n v="0"/>
    <n v="0"/>
    <n v="0"/>
    <x v="629"/>
    <s v="Cali"/>
    <m/>
    <m/>
    <m/>
    <m/>
    <x v="0"/>
  </r>
  <r>
    <d v="2021-10-30T00:00:00"/>
    <x v="10"/>
    <x v="34"/>
    <x v="34"/>
    <n v="-905000"/>
    <n v="0"/>
    <n v="905000"/>
    <x v="629"/>
    <s v="Cali"/>
    <m/>
    <m/>
    <m/>
    <m/>
    <x v="0"/>
  </r>
  <r>
    <d v="2021-10-30T00:00:00"/>
    <x v="10"/>
    <x v="35"/>
    <x v="35"/>
    <n v="-3698500"/>
    <n v="0"/>
    <n v="3698500"/>
    <x v="629"/>
    <s v="Cali"/>
    <m/>
    <m/>
    <m/>
    <m/>
    <x v="0"/>
  </r>
  <r>
    <d v="2021-10-30T00:00:00"/>
    <x v="10"/>
    <x v="36"/>
    <x v="36"/>
    <n v="-4210600"/>
    <n v="0"/>
    <n v="4210600"/>
    <x v="629"/>
    <s v="Cali"/>
    <m/>
    <m/>
    <m/>
    <m/>
    <x v="0"/>
  </r>
  <r>
    <d v="2021-10-30T00:00:00"/>
    <x v="10"/>
    <x v="37"/>
    <x v="37"/>
    <n v="-8137913"/>
    <n v="0"/>
    <n v="8137913"/>
    <x v="629"/>
    <s v="Cali"/>
    <m/>
    <m/>
    <m/>
    <m/>
    <x v="0"/>
  </r>
  <r>
    <d v="2021-10-30T00:00:00"/>
    <x v="10"/>
    <x v="29"/>
    <x v="29"/>
    <n v="562000"/>
    <n v="562000"/>
    <n v="0"/>
    <x v="629"/>
    <s v="Cali"/>
    <m/>
    <m/>
    <m/>
    <m/>
    <x v="0"/>
  </r>
  <r>
    <d v="2021-10-30T00:00:00"/>
    <x v="10"/>
    <x v="27"/>
    <x v="27"/>
    <n v="905000"/>
    <n v="905000"/>
    <n v="0"/>
    <x v="629"/>
    <s v="Cali"/>
    <m/>
    <m/>
    <m/>
    <m/>
    <x v="0"/>
  </r>
  <r>
    <d v="2021-10-30T00:00:00"/>
    <x v="10"/>
    <x v="25"/>
    <x v="25"/>
    <n v="3698500"/>
    <n v="3698500"/>
    <n v="0"/>
    <x v="629"/>
    <s v="Cali"/>
    <m/>
    <m/>
    <m/>
    <m/>
    <x v="0"/>
  </r>
  <r>
    <d v="2021-10-30T00:00:00"/>
    <x v="10"/>
    <x v="5"/>
    <x v="5"/>
    <n v="12348513"/>
    <n v="12348513"/>
    <n v="0"/>
    <x v="629"/>
    <s v="Cali"/>
    <m/>
    <m/>
    <m/>
    <m/>
    <x v="0"/>
  </r>
  <r>
    <d v="2021-10-30T00:00:00"/>
    <x v="10"/>
    <x v="15"/>
    <x v="15"/>
    <n v="-2967795"/>
    <n v="0"/>
    <n v="2967795"/>
    <x v="629"/>
    <s v="Cali"/>
    <m/>
    <m/>
    <m/>
    <m/>
    <x v="0"/>
  </r>
  <r>
    <d v="2021-10-30T00:00:00"/>
    <x v="10"/>
    <x v="38"/>
    <x v="38"/>
    <n v="2967795"/>
    <n v="2967795"/>
    <n v="0"/>
    <x v="629"/>
    <s v="Cali"/>
    <m/>
    <m/>
    <m/>
    <m/>
    <x v="0"/>
  </r>
  <r>
    <d v="2021-10-30T00:00:00"/>
    <x v="10"/>
    <x v="16"/>
    <x v="16"/>
    <n v="-67440"/>
    <n v="0"/>
    <n v="67440"/>
    <x v="629"/>
    <s v="Cali"/>
    <m/>
    <m/>
    <m/>
    <m/>
    <x v="0"/>
  </r>
  <r>
    <d v="2021-10-30T00:00:00"/>
    <x v="10"/>
    <x v="14"/>
    <x v="14"/>
    <n v="-175140"/>
    <n v="0"/>
    <n v="175140"/>
    <x v="629"/>
    <s v="Cali"/>
    <m/>
    <m/>
    <m/>
    <m/>
    <x v="0"/>
  </r>
  <r>
    <d v="2021-10-30T00:00:00"/>
    <x v="10"/>
    <x v="39"/>
    <x v="39"/>
    <n v="67440"/>
    <n v="67440"/>
    <n v="0"/>
    <x v="629"/>
    <s v="Cali"/>
    <m/>
    <m/>
    <m/>
    <m/>
    <x v="0"/>
  </r>
  <r>
    <d v="2021-10-30T00:00:00"/>
    <x v="10"/>
    <x v="40"/>
    <x v="40"/>
    <n v="175140"/>
    <n v="175140"/>
    <n v="0"/>
    <x v="629"/>
    <s v="Cali"/>
    <m/>
    <m/>
    <m/>
    <m/>
    <x v="0"/>
  </r>
  <r>
    <d v="2021-10-30T00:00:00"/>
    <x v="10"/>
    <x v="41"/>
    <x v="41"/>
    <n v="-5970964"/>
    <n v="0"/>
    <n v="5970964"/>
    <x v="629"/>
    <s v="Cali"/>
    <m/>
    <m/>
    <m/>
    <m/>
    <x v="0"/>
  </r>
  <r>
    <d v="2021-10-30T00:00:00"/>
    <x v="10"/>
    <x v="42"/>
    <x v="42"/>
    <n v="-1985500"/>
    <n v="0"/>
    <n v="1985500"/>
    <x v="629"/>
    <s v="Cali"/>
    <m/>
    <m/>
    <m/>
    <m/>
    <x v="0"/>
  </r>
  <r>
    <d v="2021-10-30T00:00:00"/>
    <x v="10"/>
    <x v="43"/>
    <x v="43"/>
    <n v="419582"/>
    <n v="419582"/>
    <n v="0"/>
    <x v="629"/>
    <s v="Cali"/>
    <m/>
    <m/>
    <m/>
    <m/>
    <x v="0"/>
  </r>
  <r>
    <d v="2021-10-30T00:00:00"/>
    <x v="10"/>
    <x v="43"/>
    <x v="43"/>
    <n v="49638"/>
    <n v="49638"/>
    <n v="0"/>
    <x v="629"/>
    <s v="Cali"/>
    <m/>
    <m/>
    <m/>
    <m/>
    <x v="0"/>
  </r>
  <r>
    <d v="2021-10-30T00:00:00"/>
    <x v="10"/>
    <x v="38"/>
    <x v="38"/>
    <n v="3295003"/>
    <n v="3295003"/>
    <n v="0"/>
    <x v="629"/>
    <s v="Cali"/>
    <m/>
    <m/>
    <m/>
    <m/>
    <x v="0"/>
  </r>
  <r>
    <d v="2021-10-30T00:00:00"/>
    <x v="10"/>
    <x v="40"/>
    <x v="40"/>
    <n v="59710"/>
    <n v="59710"/>
    <n v="0"/>
    <x v="629"/>
    <s v="Cali"/>
    <m/>
    <m/>
    <m/>
    <m/>
    <x v="0"/>
  </r>
  <r>
    <d v="2021-10-30T00:00:00"/>
    <x v="10"/>
    <x v="40"/>
    <x v="40"/>
    <n v="19855"/>
    <n v="19855"/>
    <n v="0"/>
    <x v="629"/>
    <s v="Cali"/>
    <m/>
    <m/>
    <m/>
    <m/>
    <x v="0"/>
  </r>
  <r>
    <d v="2021-10-30T00:00:00"/>
    <x v="10"/>
    <x v="44"/>
    <x v="44"/>
    <n v="2196669"/>
    <n v="2196669"/>
    <n v="0"/>
    <x v="629"/>
    <s v="Cali"/>
    <m/>
    <m/>
    <m/>
    <m/>
    <x v="0"/>
  </r>
  <r>
    <d v="2021-10-30T00:00:00"/>
    <x v="10"/>
    <x v="45"/>
    <x v="45"/>
    <n v="1916007"/>
    <n v="1916007"/>
    <n v="0"/>
    <x v="629"/>
    <s v="Cali"/>
    <m/>
    <m/>
    <m/>
    <m/>
    <x v="0"/>
  </r>
  <r>
    <d v="2021-10-30T00:00:00"/>
    <x v="10"/>
    <x v="5"/>
    <x v="5"/>
    <n v="-412922"/>
    <n v="0"/>
    <n v="412922"/>
    <x v="629"/>
    <s v="Cali"/>
    <m/>
    <m/>
    <m/>
    <m/>
    <x v="0"/>
  </r>
  <r>
    <d v="2021-10-30T00:00:00"/>
    <x v="10"/>
    <x v="30"/>
    <x v="30"/>
    <n v="412922"/>
    <n v="412922"/>
    <n v="0"/>
    <x v="629"/>
    <s v="Cali"/>
    <m/>
    <m/>
    <m/>
    <m/>
    <x v="0"/>
  </r>
  <r>
    <m/>
    <x v="1"/>
    <x v="23"/>
    <x v="23"/>
    <m/>
    <m/>
    <m/>
    <x v="1"/>
    <m/>
    <m/>
    <m/>
    <m/>
    <m/>
    <x v="0"/>
  </r>
  <r>
    <d v="2021-10-30T00:00:00"/>
    <x v="10"/>
    <x v="13"/>
    <x v="13"/>
    <n v="30000"/>
    <n v="30000"/>
    <n v="0"/>
    <x v="465"/>
    <s v="Cali"/>
    <m/>
    <m/>
    <m/>
    <m/>
    <x v="0"/>
  </r>
  <r>
    <d v="2021-10-30T00:00:00"/>
    <x v="10"/>
    <x v="13"/>
    <x v="13"/>
    <n v="30000"/>
    <n v="30000"/>
    <n v="0"/>
    <x v="405"/>
    <s v="Cali"/>
    <m/>
    <m/>
    <m/>
    <m/>
    <x v="0"/>
  </r>
  <r>
    <d v="2021-10-30T00:00:00"/>
    <x v="10"/>
    <x v="13"/>
    <x v="13"/>
    <n v="20000"/>
    <n v="20000"/>
    <n v="0"/>
    <x v="299"/>
    <s v="Cali"/>
    <m/>
    <m/>
    <m/>
    <m/>
    <x v="0"/>
  </r>
  <r>
    <d v="2021-10-30T00:00:00"/>
    <x v="10"/>
    <x v="13"/>
    <x v="13"/>
    <n v="50000"/>
    <n v="50000"/>
    <n v="0"/>
    <x v="220"/>
    <s v="Cali"/>
    <m/>
    <m/>
    <m/>
    <m/>
    <x v="0"/>
  </r>
  <r>
    <d v="2021-10-30T00:00:00"/>
    <x v="10"/>
    <x v="13"/>
    <x v="13"/>
    <n v="-47291"/>
    <n v="0"/>
    <n v="47291"/>
    <x v="630"/>
    <s v="Cali"/>
    <m/>
    <m/>
    <m/>
    <m/>
    <x v="0"/>
  </r>
  <r>
    <d v="2021-10-30T00:00:00"/>
    <x v="10"/>
    <x v="13"/>
    <x v="13"/>
    <n v="30000"/>
    <n v="30000"/>
    <n v="0"/>
    <x v="221"/>
    <s v="Cali"/>
    <m/>
    <m/>
    <m/>
    <m/>
    <x v="0"/>
  </r>
  <r>
    <d v="2021-10-30T00:00:00"/>
    <x v="10"/>
    <x v="13"/>
    <x v="13"/>
    <n v="8500"/>
    <n v="8500"/>
    <n v="0"/>
    <x v="631"/>
    <s v="Cali"/>
    <m/>
    <m/>
    <m/>
    <m/>
    <x v="0"/>
  </r>
  <r>
    <d v="2021-10-30T00:00:00"/>
    <x v="10"/>
    <x v="13"/>
    <x v="13"/>
    <n v="21000"/>
    <n v="21000"/>
    <n v="0"/>
    <x v="545"/>
    <s v="Cali"/>
    <m/>
    <m/>
    <m/>
    <m/>
    <x v="0"/>
  </r>
  <r>
    <d v="2021-10-30T00:00:00"/>
    <x v="10"/>
    <x v="13"/>
    <x v="13"/>
    <n v="15000"/>
    <n v="15000"/>
    <n v="0"/>
    <x v="301"/>
    <s v="Cali"/>
    <m/>
    <m/>
    <m/>
    <m/>
    <x v="0"/>
  </r>
  <r>
    <d v="2021-10-30T00:00:00"/>
    <x v="10"/>
    <x v="13"/>
    <x v="13"/>
    <n v="95000"/>
    <n v="95000"/>
    <n v="0"/>
    <x v="407"/>
    <s v="Cali"/>
    <m/>
    <m/>
    <m/>
    <m/>
    <x v="0"/>
  </r>
  <r>
    <d v="2021-10-30T00:00:00"/>
    <x v="10"/>
    <x v="13"/>
    <x v="13"/>
    <n v="30000"/>
    <n v="30000"/>
    <n v="0"/>
    <x v="304"/>
    <s v="Cali"/>
    <m/>
    <m/>
    <m/>
    <m/>
    <x v="0"/>
  </r>
  <r>
    <d v="2021-10-30T00:00:00"/>
    <x v="10"/>
    <x v="29"/>
    <x v="29"/>
    <n v="-30000"/>
    <n v="0"/>
    <n v="30000"/>
    <x v="465"/>
    <s v="Cali"/>
    <m/>
    <m/>
    <m/>
    <m/>
    <x v="0"/>
  </r>
  <r>
    <d v="2021-10-30T00:00:00"/>
    <x v="10"/>
    <x v="26"/>
    <x v="26"/>
    <n v="-30000"/>
    <n v="0"/>
    <n v="30000"/>
    <x v="405"/>
    <s v="Cali"/>
    <m/>
    <m/>
    <m/>
    <m/>
    <x v="0"/>
  </r>
  <r>
    <d v="2021-10-30T00:00:00"/>
    <x v="10"/>
    <x v="26"/>
    <x v="26"/>
    <n v="-20000"/>
    <n v="0"/>
    <n v="20000"/>
    <x v="299"/>
    <s v="Cali"/>
    <m/>
    <m/>
    <m/>
    <m/>
    <x v="0"/>
  </r>
  <r>
    <d v="2021-10-30T00:00:00"/>
    <x v="10"/>
    <x v="25"/>
    <x v="25"/>
    <n v="-50000"/>
    <n v="0"/>
    <n v="50000"/>
    <x v="220"/>
    <s v="Cali"/>
    <m/>
    <m/>
    <m/>
    <m/>
    <x v="0"/>
  </r>
  <r>
    <d v="2021-10-30T00:00:00"/>
    <x v="10"/>
    <x v="17"/>
    <x v="17"/>
    <n v="47291"/>
    <n v="47291"/>
    <n v="0"/>
    <x v="630"/>
    <s v="Cali"/>
    <m/>
    <m/>
    <m/>
    <m/>
    <x v="0"/>
  </r>
  <r>
    <d v="2021-10-30T00:00:00"/>
    <x v="10"/>
    <x v="25"/>
    <x v="25"/>
    <n v="-30000"/>
    <n v="0"/>
    <n v="30000"/>
    <x v="221"/>
    <s v="Cali"/>
    <m/>
    <m/>
    <m/>
    <m/>
    <x v="0"/>
  </r>
  <r>
    <d v="2021-10-30T00:00:00"/>
    <x v="10"/>
    <x v="25"/>
    <x v="25"/>
    <n v="-8500"/>
    <n v="0"/>
    <n v="8500"/>
    <x v="631"/>
    <s v="Cali"/>
    <m/>
    <m/>
    <m/>
    <m/>
    <x v="0"/>
  </r>
  <r>
    <d v="2021-10-30T00:00:00"/>
    <x v="10"/>
    <x v="27"/>
    <x v="27"/>
    <n v="-21000"/>
    <n v="0"/>
    <n v="21000"/>
    <x v="545"/>
    <s v="Cali"/>
    <m/>
    <m/>
    <m/>
    <m/>
    <x v="0"/>
  </r>
  <r>
    <d v="2021-10-30T00:00:00"/>
    <x v="10"/>
    <x v="25"/>
    <x v="25"/>
    <n v="-15000"/>
    <n v="0"/>
    <n v="15000"/>
    <x v="301"/>
    <s v="Cali"/>
    <m/>
    <m/>
    <m/>
    <m/>
    <x v="0"/>
  </r>
  <r>
    <d v="2021-10-30T00:00:00"/>
    <x v="10"/>
    <x v="25"/>
    <x v="25"/>
    <n v="-95000"/>
    <n v="0"/>
    <n v="95000"/>
    <x v="407"/>
    <s v="Cali"/>
    <m/>
    <m/>
    <m/>
    <m/>
    <x v="0"/>
  </r>
  <r>
    <d v="2021-10-30T00:00:00"/>
    <x v="10"/>
    <x v="25"/>
    <x v="25"/>
    <n v="-30000"/>
    <n v="0"/>
    <n v="30000"/>
    <x v="304"/>
    <s v="Cali"/>
    <m/>
    <m/>
    <m/>
    <m/>
    <x v="0"/>
  </r>
  <r>
    <m/>
    <x v="1"/>
    <x v="23"/>
    <x v="23"/>
    <m/>
    <m/>
    <m/>
    <x v="1"/>
    <m/>
    <m/>
    <m/>
    <m/>
    <m/>
    <x v="0"/>
  </r>
  <r>
    <d v="2021-10-30T00:00:00"/>
    <x v="10"/>
    <x v="4"/>
    <x v="4"/>
    <n v="80000"/>
    <n v="80000"/>
    <n v="0"/>
    <x v="632"/>
    <s v="Cali"/>
    <m/>
    <m/>
    <m/>
    <m/>
    <x v="0"/>
  </r>
  <r>
    <d v="2021-10-30T00:00:00"/>
    <x v="10"/>
    <x v="29"/>
    <x v="29"/>
    <n v="-80000"/>
    <n v="0"/>
    <n v="80000"/>
    <x v="632"/>
    <s v="Cali"/>
    <m/>
    <m/>
    <m/>
    <m/>
    <x v="0"/>
  </r>
  <r>
    <m/>
    <x v="1"/>
    <x v="23"/>
    <x v="23"/>
    <m/>
    <m/>
    <m/>
    <x v="1"/>
    <m/>
    <m/>
    <m/>
    <m/>
    <m/>
    <x v="0"/>
  </r>
  <r>
    <d v="2021-10-30T00:00:00"/>
    <x v="10"/>
    <x v="4"/>
    <x v="4"/>
    <n v="65000"/>
    <n v="65000"/>
    <n v="0"/>
    <x v="632"/>
    <s v="Cali"/>
    <m/>
    <m/>
    <m/>
    <m/>
    <x v="0"/>
  </r>
  <r>
    <d v="2021-10-30T00:00:00"/>
    <x v="10"/>
    <x v="29"/>
    <x v="29"/>
    <n v="-65000"/>
    <n v="0"/>
    <n v="65000"/>
    <x v="632"/>
    <s v="Cali"/>
    <m/>
    <m/>
    <m/>
    <m/>
    <x v="0"/>
  </r>
  <r>
    <m/>
    <x v="1"/>
    <x v="23"/>
    <x v="23"/>
    <m/>
    <m/>
    <m/>
    <x v="1"/>
    <m/>
    <m/>
    <m/>
    <m/>
    <m/>
    <x v="0"/>
  </r>
  <r>
    <d v="2021-10-30T00:00:00"/>
    <x v="10"/>
    <x v="4"/>
    <x v="4"/>
    <n v="20000"/>
    <n v="20000"/>
    <n v="0"/>
    <x v="632"/>
    <s v="Cali"/>
    <m/>
    <m/>
    <m/>
    <m/>
    <x v="0"/>
  </r>
  <r>
    <d v="2021-10-30T00:00:00"/>
    <x v="10"/>
    <x v="29"/>
    <x v="29"/>
    <n v="-20000"/>
    <n v="0"/>
    <n v="20000"/>
    <x v="632"/>
    <s v="Cali"/>
    <m/>
    <m/>
    <m/>
    <m/>
    <x v="0"/>
  </r>
  <r>
    <m/>
    <x v="1"/>
    <x v="23"/>
    <x v="23"/>
    <m/>
    <m/>
    <m/>
    <x v="1"/>
    <m/>
    <m/>
    <m/>
    <m/>
    <m/>
    <x v="0"/>
  </r>
  <r>
    <d v="2021-10-30T00:00:00"/>
    <x v="10"/>
    <x v="46"/>
    <x v="46"/>
    <n v="0"/>
    <n v="0"/>
    <n v="0"/>
    <x v="110"/>
    <s v="Cali"/>
    <m/>
    <m/>
    <m/>
    <m/>
    <x v="0"/>
  </r>
  <r>
    <d v="2021-10-30T00:00:00"/>
    <x v="10"/>
    <x v="47"/>
    <x v="47"/>
    <n v="0"/>
    <n v="0"/>
    <n v="0"/>
    <x v="110"/>
    <s v="Cali"/>
    <m/>
    <m/>
    <m/>
    <m/>
    <x v="0"/>
  </r>
  <r>
    <m/>
    <x v="1"/>
    <x v="23"/>
    <x v="23"/>
    <m/>
    <m/>
    <m/>
    <x v="1"/>
    <m/>
    <m/>
    <m/>
    <m/>
    <m/>
    <x v="0"/>
  </r>
  <r>
    <d v="2021-10-30T00:00:00"/>
    <x v="10"/>
    <x v="2"/>
    <x v="2"/>
    <n v="0"/>
    <n v="0"/>
    <n v="0"/>
    <x v="111"/>
    <s v="Cali"/>
    <m/>
    <m/>
    <m/>
    <m/>
    <x v="0"/>
  </r>
  <r>
    <d v="2021-10-30T00:00:00"/>
    <x v="10"/>
    <x v="47"/>
    <x v="47"/>
    <n v="0"/>
    <n v="0"/>
    <n v="0"/>
    <x v="111"/>
    <s v="Cali"/>
    <m/>
    <m/>
    <m/>
    <m/>
    <x v="0"/>
  </r>
  <r>
    <m/>
    <x v="1"/>
    <x v="23"/>
    <x v="23"/>
    <m/>
    <m/>
    <m/>
    <x v="1"/>
    <m/>
    <m/>
    <m/>
    <m/>
    <m/>
    <x v="0"/>
  </r>
  <r>
    <d v="2021-10-30T00:00:00"/>
    <x v="10"/>
    <x v="3"/>
    <x v="3"/>
    <n v="0"/>
    <n v="0"/>
    <n v="0"/>
    <x v="112"/>
    <s v="Cali"/>
    <m/>
    <m/>
    <m/>
    <m/>
    <x v="0"/>
  </r>
  <r>
    <d v="2021-10-30T00:00:00"/>
    <x v="10"/>
    <x v="47"/>
    <x v="47"/>
    <n v="0"/>
    <n v="0"/>
    <n v="0"/>
    <x v="112"/>
    <s v="Cali"/>
    <m/>
    <m/>
    <m/>
    <m/>
    <x v="0"/>
  </r>
  <r>
    <m/>
    <x v="1"/>
    <x v="23"/>
    <x v="23"/>
    <m/>
    <m/>
    <m/>
    <x v="1"/>
    <m/>
    <m/>
    <m/>
    <m/>
    <m/>
    <x v="0"/>
  </r>
  <r>
    <d v="2021-10-30T00:00:00"/>
    <x v="10"/>
    <x v="53"/>
    <x v="53"/>
    <n v="560000"/>
    <n v="560000"/>
    <n v="0"/>
    <x v="305"/>
    <s v="Cali"/>
    <m/>
    <m/>
    <m/>
    <m/>
    <x v="0"/>
  </r>
  <r>
    <d v="2021-10-30T00:00:00"/>
    <x v="10"/>
    <x v="47"/>
    <x v="47"/>
    <n v="-560000"/>
    <n v="0"/>
    <n v="560000"/>
    <x v="305"/>
    <s v="Cali"/>
    <m/>
    <m/>
    <m/>
    <m/>
    <x v="0"/>
  </r>
  <r>
    <m/>
    <x v="1"/>
    <x v="23"/>
    <x v="23"/>
    <m/>
    <m/>
    <m/>
    <x v="1"/>
    <m/>
    <m/>
    <m/>
    <m/>
    <m/>
    <x v="0"/>
  </r>
  <r>
    <d v="2021-10-30T00:00:00"/>
    <x v="10"/>
    <x v="31"/>
    <x v="31"/>
    <n v="338983"/>
    <n v="338983"/>
    <n v="0"/>
    <x v="633"/>
    <s v="Cali"/>
    <m/>
    <m/>
    <m/>
    <m/>
    <x v="0"/>
  </r>
  <r>
    <d v="2021-10-30T00:00:00"/>
    <x v="10"/>
    <x v="17"/>
    <x v="17"/>
    <n v="-38983"/>
    <n v="0"/>
    <n v="38983"/>
    <x v="633"/>
    <s v="Cali"/>
    <m/>
    <m/>
    <m/>
    <m/>
    <x v="0"/>
  </r>
  <r>
    <d v="2021-10-30T00:00:00"/>
    <x v="10"/>
    <x v="52"/>
    <x v="52"/>
    <n v="-300000"/>
    <n v="0"/>
    <n v="300000"/>
    <x v="633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50000"/>
    <n v="50000"/>
    <n v="0"/>
    <x v="135"/>
    <s v="Cali"/>
    <m/>
    <m/>
    <m/>
    <m/>
    <x v="0"/>
  </r>
  <r>
    <d v="2021-11-02T00:00:00"/>
    <x v="11"/>
    <x v="26"/>
    <x v="26"/>
    <n v="-50000"/>
    <n v="0"/>
    <n v="50000"/>
    <x v="135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20000"/>
    <n v="20000"/>
    <n v="0"/>
    <x v="174"/>
    <s v="Cali"/>
    <m/>
    <m/>
    <m/>
    <m/>
    <x v="0"/>
  </r>
  <r>
    <d v="2021-11-02T00:00:00"/>
    <x v="11"/>
    <x v="25"/>
    <x v="25"/>
    <n v="-20000"/>
    <n v="0"/>
    <n v="20000"/>
    <x v="174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100000"/>
    <n v="100000"/>
    <n v="0"/>
    <x v="134"/>
    <s v="Cali"/>
    <m/>
    <m/>
    <m/>
    <m/>
    <x v="0"/>
  </r>
  <r>
    <d v="2021-11-02T00:00:00"/>
    <x v="11"/>
    <x v="26"/>
    <x v="26"/>
    <n v="-100000"/>
    <n v="0"/>
    <n v="100000"/>
    <x v="134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40000"/>
    <n v="40000"/>
    <n v="0"/>
    <x v="133"/>
    <s v="Cali"/>
    <m/>
    <m/>
    <m/>
    <m/>
    <x v="0"/>
  </r>
  <r>
    <d v="2021-11-02T00:00:00"/>
    <x v="11"/>
    <x v="25"/>
    <x v="25"/>
    <n v="-40000"/>
    <n v="0"/>
    <n v="40000"/>
    <x v="133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15000"/>
    <n v="15000"/>
    <n v="0"/>
    <x v="137"/>
    <s v="Cali"/>
    <m/>
    <m/>
    <m/>
    <m/>
    <x v="0"/>
  </r>
  <r>
    <d v="2021-11-02T00:00:00"/>
    <x v="11"/>
    <x v="26"/>
    <x v="26"/>
    <n v="-15000"/>
    <n v="0"/>
    <n v="15000"/>
    <x v="137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2000"/>
    <n v="2000"/>
    <n v="0"/>
    <x v="177"/>
    <s v="Cali"/>
    <m/>
    <m/>
    <m/>
    <m/>
    <x v="0"/>
  </r>
  <r>
    <d v="2021-11-02T00:00:00"/>
    <x v="11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50000"/>
    <n v="50000"/>
    <n v="0"/>
    <x v="634"/>
    <s v="Cali"/>
    <m/>
    <m/>
    <m/>
    <m/>
    <x v="0"/>
  </r>
  <r>
    <d v="2021-11-02T00:00:00"/>
    <x v="11"/>
    <x v="26"/>
    <x v="26"/>
    <n v="-50000"/>
    <n v="0"/>
    <n v="50000"/>
    <x v="634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48000"/>
    <n v="48000"/>
    <n v="0"/>
    <x v="144"/>
    <s v="Cali"/>
    <m/>
    <m/>
    <m/>
    <m/>
    <x v="0"/>
  </r>
  <r>
    <d v="2021-11-02T00:00:00"/>
    <x v="11"/>
    <x v="27"/>
    <x v="27"/>
    <n v="-48000"/>
    <n v="0"/>
    <n v="48000"/>
    <x v="144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40000"/>
    <n v="40000"/>
    <n v="0"/>
    <x v="145"/>
    <s v="Cali"/>
    <m/>
    <m/>
    <m/>
    <m/>
    <x v="0"/>
  </r>
  <r>
    <d v="2021-11-02T00:00:00"/>
    <x v="11"/>
    <x v="25"/>
    <x v="25"/>
    <n v="-40000"/>
    <n v="0"/>
    <n v="40000"/>
    <x v="145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15000"/>
    <n v="15000"/>
    <n v="0"/>
    <x v="415"/>
    <s v="Cali"/>
    <m/>
    <m/>
    <m/>
    <m/>
    <x v="0"/>
  </r>
  <r>
    <d v="2021-11-02T00:00:00"/>
    <x v="11"/>
    <x v="25"/>
    <x v="25"/>
    <n v="-15000"/>
    <n v="0"/>
    <n v="15000"/>
    <x v="415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15000"/>
    <n v="15000"/>
    <n v="0"/>
    <x v="364"/>
    <s v="Cali"/>
    <m/>
    <m/>
    <m/>
    <m/>
    <x v="0"/>
  </r>
  <r>
    <d v="2021-11-02T00:00:00"/>
    <x v="11"/>
    <x v="25"/>
    <x v="25"/>
    <n v="-15000"/>
    <n v="0"/>
    <n v="15000"/>
    <x v="364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70000"/>
    <n v="70000"/>
    <n v="0"/>
    <x v="515"/>
    <s v="Cali"/>
    <m/>
    <m/>
    <m/>
    <m/>
    <x v="0"/>
  </r>
  <r>
    <d v="2021-11-02T00:00:00"/>
    <x v="11"/>
    <x v="26"/>
    <x v="26"/>
    <n v="-70000"/>
    <n v="0"/>
    <n v="70000"/>
    <x v="515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20000"/>
    <n v="20000"/>
    <n v="0"/>
    <x v="146"/>
    <s v="Cali"/>
    <m/>
    <m/>
    <m/>
    <m/>
    <x v="0"/>
  </r>
  <r>
    <d v="2021-11-02T00:00:00"/>
    <x v="11"/>
    <x v="26"/>
    <x v="26"/>
    <n v="-20000"/>
    <n v="0"/>
    <n v="20000"/>
    <x v="146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20000"/>
    <n v="20000"/>
    <n v="0"/>
    <x v="17"/>
    <s v="Cali"/>
    <m/>
    <m/>
    <m/>
    <m/>
    <x v="0"/>
  </r>
  <r>
    <d v="2021-11-02T00:00:00"/>
    <x v="11"/>
    <x v="25"/>
    <x v="25"/>
    <n v="-20000"/>
    <n v="0"/>
    <n v="20000"/>
    <x v="17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30000"/>
    <n v="30000"/>
    <n v="0"/>
    <x v="147"/>
    <s v="Cali"/>
    <m/>
    <m/>
    <m/>
    <m/>
    <x v="0"/>
  </r>
  <r>
    <d v="2021-11-02T00:00:00"/>
    <x v="11"/>
    <x v="26"/>
    <x v="26"/>
    <n v="-30000"/>
    <n v="0"/>
    <n v="30000"/>
    <x v="147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40000"/>
    <n v="40000"/>
    <n v="0"/>
    <x v="168"/>
    <s v="Cali"/>
    <m/>
    <m/>
    <m/>
    <m/>
    <x v="0"/>
  </r>
  <r>
    <d v="2021-11-02T00:00:00"/>
    <x v="11"/>
    <x v="26"/>
    <x v="26"/>
    <n v="-40000"/>
    <n v="0"/>
    <n v="40000"/>
    <x v="168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50000"/>
    <n v="50000"/>
    <n v="0"/>
    <x v="19"/>
    <s v="Cali"/>
    <m/>
    <m/>
    <m/>
    <m/>
    <x v="0"/>
  </r>
  <r>
    <d v="2021-11-02T00:00:00"/>
    <x v="11"/>
    <x v="25"/>
    <x v="25"/>
    <n v="-50000"/>
    <n v="0"/>
    <n v="50000"/>
    <x v="19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15000"/>
    <n v="15000"/>
    <n v="0"/>
    <x v="148"/>
    <s v="Cali"/>
    <m/>
    <m/>
    <m/>
    <m/>
    <x v="0"/>
  </r>
  <r>
    <d v="2021-11-02T00:00:00"/>
    <x v="11"/>
    <x v="25"/>
    <x v="25"/>
    <n v="-15000"/>
    <n v="0"/>
    <n v="15000"/>
    <x v="148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45000"/>
    <n v="45000"/>
    <n v="0"/>
    <x v="161"/>
    <s v="Cali"/>
    <m/>
    <m/>
    <m/>
    <m/>
    <x v="0"/>
  </r>
  <r>
    <d v="2021-11-02T00:00:00"/>
    <x v="11"/>
    <x v="26"/>
    <x v="26"/>
    <n v="-45000"/>
    <n v="0"/>
    <n v="45000"/>
    <x v="161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160000"/>
    <n v="160000"/>
    <n v="0"/>
    <x v="22"/>
    <s v="Cali"/>
    <m/>
    <m/>
    <m/>
    <m/>
    <x v="0"/>
  </r>
  <r>
    <d v="2021-11-02T00:00:00"/>
    <x v="11"/>
    <x v="27"/>
    <x v="27"/>
    <n v="-160000"/>
    <n v="0"/>
    <n v="160000"/>
    <x v="22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85000"/>
    <n v="85000"/>
    <n v="0"/>
    <x v="635"/>
    <s v="Cali"/>
    <m/>
    <m/>
    <m/>
    <m/>
    <x v="0"/>
  </r>
  <r>
    <d v="2021-11-02T00:00:00"/>
    <x v="11"/>
    <x v="26"/>
    <x v="26"/>
    <n v="-85000"/>
    <n v="0"/>
    <n v="85000"/>
    <x v="635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12000"/>
    <n v="12000"/>
    <n v="0"/>
    <x v="175"/>
    <s v="Cali"/>
    <m/>
    <m/>
    <m/>
    <m/>
    <x v="0"/>
  </r>
  <r>
    <d v="2021-11-02T00:00:00"/>
    <x v="11"/>
    <x v="25"/>
    <x v="25"/>
    <n v="-12000"/>
    <n v="0"/>
    <n v="12000"/>
    <x v="175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500000"/>
    <n v="500000"/>
    <n v="0"/>
    <x v="608"/>
    <s v="Cali"/>
    <m/>
    <m/>
    <m/>
    <m/>
    <x v="0"/>
  </r>
  <r>
    <d v="2021-11-02T00:00:00"/>
    <x v="11"/>
    <x v="26"/>
    <x v="26"/>
    <n v="-500000"/>
    <n v="0"/>
    <n v="500000"/>
    <x v="608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20000"/>
    <n v="20000"/>
    <n v="0"/>
    <x v="205"/>
    <s v="Cali"/>
    <m/>
    <m/>
    <m/>
    <m/>
    <x v="0"/>
  </r>
  <r>
    <d v="2021-11-02T00:00:00"/>
    <x v="11"/>
    <x v="27"/>
    <x v="27"/>
    <n v="-20000"/>
    <n v="0"/>
    <n v="20000"/>
    <x v="205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30000"/>
    <n v="30000"/>
    <n v="0"/>
    <x v="497"/>
    <s v="Cali"/>
    <m/>
    <m/>
    <m/>
    <m/>
    <x v="0"/>
  </r>
  <r>
    <d v="2021-11-02T00:00:00"/>
    <x v="11"/>
    <x v="25"/>
    <x v="25"/>
    <n v="-30000"/>
    <n v="0"/>
    <n v="30000"/>
    <x v="497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10000"/>
    <n v="10000"/>
    <n v="0"/>
    <x v="142"/>
    <s v="Cali"/>
    <m/>
    <m/>
    <m/>
    <m/>
    <x v="0"/>
  </r>
  <r>
    <d v="2021-11-02T00:00:00"/>
    <x v="11"/>
    <x v="25"/>
    <x v="25"/>
    <n v="-10000"/>
    <n v="0"/>
    <n v="10000"/>
    <x v="142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50000"/>
    <n v="50000"/>
    <n v="0"/>
    <x v="143"/>
    <s v="Cali"/>
    <m/>
    <m/>
    <m/>
    <m/>
    <x v="0"/>
  </r>
  <r>
    <d v="2021-11-02T00:00:00"/>
    <x v="11"/>
    <x v="25"/>
    <x v="25"/>
    <n v="-50000"/>
    <n v="0"/>
    <n v="50000"/>
    <x v="143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14000"/>
    <n v="14000"/>
    <n v="0"/>
    <x v="289"/>
    <s v="Cali"/>
    <m/>
    <m/>
    <m/>
    <m/>
    <x v="0"/>
  </r>
  <r>
    <d v="2021-11-02T00:00:00"/>
    <x v="11"/>
    <x v="26"/>
    <x v="26"/>
    <n v="-14000"/>
    <n v="0"/>
    <n v="14000"/>
    <x v="289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30000"/>
    <n v="30000"/>
    <n v="0"/>
    <x v="197"/>
    <s v="Cali"/>
    <m/>
    <m/>
    <m/>
    <m/>
    <x v="0"/>
  </r>
  <r>
    <d v="2021-11-02T00:00:00"/>
    <x v="11"/>
    <x v="26"/>
    <x v="26"/>
    <n v="-30000"/>
    <n v="0"/>
    <n v="30000"/>
    <x v="197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20000"/>
    <n v="20000"/>
    <n v="0"/>
    <x v="636"/>
    <s v="Cali"/>
    <m/>
    <m/>
    <m/>
    <m/>
    <x v="0"/>
  </r>
  <r>
    <d v="2021-11-02T00:00:00"/>
    <x v="11"/>
    <x v="4"/>
    <x v="4"/>
    <n v="-20000"/>
    <n v="0"/>
    <n v="20000"/>
    <x v="636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65000"/>
    <n v="65000"/>
    <n v="0"/>
    <x v="636"/>
    <s v="Cali"/>
    <m/>
    <m/>
    <m/>
    <m/>
    <x v="0"/>
  </r>
  <r>
    <d v="2021-11-02T00:00:00"/>
    <x v="11"/>
    <x v="4"/>
    <x v="4"/>
    <n v="-65000"/>
    <n v="0"/>
    <n v="65000"/>
    <x v="636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80000"/>
    <n v="80000"/>
    <n v="0"/>
    <x v="636"/>
    <s v="Cali"/>
    <m/>
    <m/>
    <m/>
    <m/>
    <x v="0"/>
  </r>
  <r>
    <d v="2021-11-02T00:00:00"/>
    <x v="11"/>
    <x v="4"/>
    <x v="4"/>
    <n v="-80000"/>
    <n v="0"/>
    <n v="80000"/>
    <x v="636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30000"/>
    <n v="30000"/>
    <n v="0"/>
    <x v="307"/>
    <s v="Cali"/>
    <m/>
    <m/>
    <m/>
    <m/>
    <x v="0"/>
  </r>
  <r>
    <d v="2021-11-02T00:00:00"/>
    <x v="11"/>
    <x v="25"/>
    <x v="25"/>
    <n v="-30000"/>
    <n v="0"/>
    <n v="30000"/>
    <x v="307"/>
    <s v="Cali"/>
    <m/>
    <m/>
    <m/>
    <m/>
    <x v="0"/>
  </r>
  <r>
    <m/>
    <x v="1"/>
    <x v="23"/>
    <x v="23"/>
    <m/>
    <m/>
    <m/>
    <x v="1"/>
    <m/>
    <m/>
    <m/>
    <m/>
    <m/>
    <x v="0"/>
  </r>
  <r>
    <d v="2021-11-02T00:00:00"/>
    <x v="11"/>
    <x v="0"/>
    <x v="0"/>
    <n v="20000"/>
    <n v="20000"/>
    <n v="0"/>
    <x v="246"/>
    <s v="Cali"/>
    <m/>
    <m/>
    <m/>
    <m/>
    <x v="0"/>
  </r>
  <r>
    <d v="2021-11-02T00:00:00"/>
    <x v="11"/>
    <x v="25"/>
    <x v="25"/>
    <n v="-20000"/>
    <n v="0"/>
    <n v="20000"/>
    <x v="246"/>
    <s v="Cali"/>
    <m/>
    <m/>
    <m/>
    <m/>
    <x v="0"/>
  </r>
  <r>
    <m/>
    <x v="1"/>
    <x v="23"/>
    <x v="23"/>
    <m/>
    <m/>
    <m/>
    <x v="1"/>
    <m/>
    <m/>
    <m/>
    <m/>
    <m/>
    <x v="0"/>
  </r>
  <r>
    <d v="2021-11-03T00:00:00"/>
    <x v="11"/>
    <x v="0"/>
    <x v="0"/>
    <n v="100000"/>
    <n v="100000"/>
    <n v="0"/>
    <x v="374"/>
    <s v="Cali"/>
    <m/>
    <m/>
    <m/>
    <m/>
    <x v="0"/>
  </r>
  <r>
    <d v="2021-11-03T00:00:00"/>
    <x v="11"/>
    <x v="26"/>
    <x v="26"/>
    <n v="-100000"/>
    <n v="0"/>
    <n v="100000"/>
    <x v="374"/>
    <s v="Cali"/>
    <m/>
    <m/>
    <m/>
    <m/>
    <x v="0"/>
  </r>
  <r>
    <m/>
    <x v="1"/>
    <x v="23"/>
    <x v="23"/>
    <m/>
    <m/>
    <m/>
    <x v="1"/>
    <m/>
    <m/>
    <m/>
    <m/>
    <m/>
    <x v="0"/>
  </r>
  <r>
    <d v="2021-11-03T00:00:00"/>
    <x v="11"/>
    <x v="0"/>
    <x v="0"/>
    <n v="25000"/>
    <n v="25000"/>
    <n v="0"/>
    <x v="321"/>
    <s v="Cali"/>
    <m/>
    <m/>
    <m/>
    <m/>
    <x v="0"/>
  </r>
  <r>
    <d v="2021-11-03T00:00:00"/>
    <x v="11"/>
    <x v="27"/>
    <x v="27"/>
    <n v="-25000"/>
    <n v="0"/>
    <n v="25000"/>
    <x v="321"/>
    <s v="Cali"/>
    <m/>
    <m/>
    <m/>
    <m/>
    <x v="0"/>
  </r>
  <r>
    <m/>
    <x v="1"/>
    <x v="23"/>
    <x v="23"/>
    <m/>
    <m/>
    <m/>
    <x v="1"/>
    <m/>
    <m/>
    <m/>
    <m/>
    <m/>
    <x v="0"/>
  </r>
  <r>
    <d v="2021-11-03T00:00:00"/>
    <x v="11"/>
    <x v="0"/>
    <x v="0"/>
    <n v="50000"/>
    <n v="50000"/>
    <n v="0"/>
    <x v="599"/>
    <s v="Cali"/>
    <m/>
    <m/>
    <m/>
    <m/>
    <x v="0"/>
  </r>
  <r>
    <d v="2021-11-03T00:00:00"/>
    <x v="11"/>
    <x v="26"/>
    <x v="26"/>
    <n v="-50000"/>
    <n v="0"/>
    <n v="50000"/>
    <x v="599"/>
    <s v="Cali"/>
    <m/>
    <m/>
    <m/>
    <m/>
    <x v="0"/>
  </r>
  <r>
    <m/>
    <x v="1"/>
    <x v="23"/>
    <x v="23"/>
    <m/>
    <m/>
    <m/>
    <x v="1"/>
    <m/>
    <m/>
    <m/>
    <m/>
    <m/>
    <x v="0"/>
  </r>
  <r>
    <d v="2021-11-03T00:00:00"/>
    <x v="11"/>
    <x v="0"/>
    <x v="0"/>
    <n v="60000"/>
    <n v="60000"/>
    <n v="0"/>
    <x v="372"/>
    <s v="Cali"/>
    <m/>
    <m/>
    <m/>
    <m/>
    <x v="0"/>
  </r>
  <r>
    <d v="2021-11-03T00:00:00"/>
    <x v="11"/>
    <x v="25"/>
    <x v="25"/>
    <n v="-60000"/>
    <n v="0"/>
    <n v="60000"/>
    <x v="372"/>
    <s v="Cali"/>
    <m/>
    <m/>
    <m/>
    <m/>
    <x v="0"/>
  </r>
  <r>
    <m/>
    <x v="1"/>
    <x v="23"/>
    <x v="23"/>
    <m/>
    <m/>
    <m/>
    <x v="1"/>
    <m/>
    <m/>
    <m/>
    <m/>
    <m/>
    <x v="0"/>
  </r>
  <r>
    <d v="2021-11-03T00:00:00"/>
    <x v="11"/>
    <x v="0"/>
    <x v="0"/>
    <n v="12000"/>
    <n v="12000"/>
    <n v="0"/>
    <x v="310"/>
    <s v="Cali"/>
    <m/>
    <m/>
    <m/>
    <m/>
    <x v="0"/>
  </r>
  <r>
    <d v="2021-11-03T00:00:00"/>
    <x v="11"/>
    <x v="25"/>
    <x v="25"/>
    <n v="-12000"/>
    <n v="0"/>
    <n v="12000"/>
    <x v="310"/>
    <s v="Cali"/>
    <m/>
    <m/>
    <m/>
    <m/>
    <x v="0"/>
  </r>
  <r>
    <m/>
    <x v="1"/>
    <x v="23"/>
    <x v="23"/>
    <m/>
    <m/>
    <m/>
    <x v="1"/>
    <m/>
    <m/>
    <m/>
    <m/>
    <m/>
    <x v="0"/>
  </r>
  <r>
    <d v="2021-11-03T00:00:00"/>
    <x v="11"/>
    <x v="0"/>
    <x v="0"/>
    <n v="30000"/>
    <n v="30000"/>
    <n v="0"/>
    <x v="164"/>
    <s v="Cali"/>
    <m/>
    <m/>
    <m/>
    <m/>
    <x v="0"/>
  </r>
  <r>
    <d v="2021-11-03T00:00:00"/>
    <x v="11"/>
    <x v="26"/>
    <x v="26"/>
    <n v="-30000"/>
    <n v="0"/>
    <n v="30000"/>
    <x v="164"/>
    <s v="Cali"/>
    <m/>
    <m/>
    <m/>
    <m/>
    <x v="0"/>
  </r>
  <r>
    <m/>
    <x v="1"/>
    <x v="23"/>
    <x v="23"/>
    <m/>
    <m/>
    <m/>
    <x v="1"/>
    <m/>
    <m/>
    <m/>
    <m/>
    <m/>
    <x v="0"/>
  </r>
  <r>
    <d v="2021-11-03T00:00:00"/>
    <x v="11"/>
    <x v="0"/>
    <x v="0"/>
    <n v="70000"/>
    <n v="70000"/>
    <n v="0"/>
    <x v="37"/>
    <s v="Cali"/>
    <m/>
    <m/>
    <m/>
    <m/>
    <x v="0"/>
  </r>
  <r>
    <d v="2021-11-03T00:00:00"/>
    <x v="11"/>
    <x v="25"/>
    <x v="25"/>
    <n v="-70000"/>
    <n v="0"/>
    <n v="70000"/>
    <x v="37"/>
    <s v="Cali"/>
    <m/>
    <m/>
    <m/>
    <m/>
    <x v="0"/>
  </r>
  <r>
    <m/>
    <x v="1"/>
    <x v="23"/>
    <x v="23"/>
    <m/>
    <m/>
    <m/>
    <x v="1"/>
    <m/>
    <m/>
    <m/>
    <m/>
    <m/>
    <x v="0"/>
  </r>
  <r>
    <d v="2021-11-03T00:00:00"/>
    <x v="11"/>
    <x v="0"/>
    <x v="0"/>
    <n v="36000"/>
    <n v="36000"/>
    <n v="0"/>
    <x v="637"/>
    <s v="Cali"/>
    <m/>
    <m/>
    <m/>
    <m/>
    <x v="0"/>
  </r>
  <r>
    <d v="2021-11-03T00:00:00"/>
    <x v="11"/>
    <x v="27"/>
    <x v="27"/>
    <n v="-36000"/>
    <n v="0"/>
    <n v="36000"/>
    <x v="637"/>
    <s v="Cali"/>
    <m/>
    <m/>
    <m/>
    <m/>
    <x v="0"/>
  </r>
  <r>
    <m/>
    <x v="1"/>
    <x v="23"/>
    <x v="23"/>
    <m/>
    <m/>
    <m/>
    <x v="1"/>
    <m/>
    <m/>
    <m/>
    <m/>
    <m/>
    <x v="0"/>
  </r>
  <r>
    <d v="2021-11-03T00:00:00"/>
    <x v="11"/>
    <x v="0"/>
    <x v="0"/>
    <n v="50000"/>
    <n v="50000"/>
    <n v="0"/>
    <x v="163"/>
    <s v="Cali"/>
    <m/>
    <m/>
    <m/>
    <m/>
    <x v="0"/>
  </r>
  <r>
    <d v="2021-11-03T00:00:00"/>
    <x v="11"/>
    <x v="25"/>
    <x v="25"/>
    <n v="-50000"/>
    <n v="0"/>
    <n v="50000"/>
    <x v="163"/>
    <s v="Cali"/>
    <m/>
    <m/>
    <m/>
    <m/>
    <x v="0"/>
  </r>
  <r>
    <m/>
    <x v="1"/>
    <x v="23"/>
    <x v="23"/>
    <m/>
    <m/>
    <m/>
    <x v="1"/>
    <m/>
    <m/>
    <m/>
    <m/>
    <m/>
    <x v="0"/>
  </r>
  <r>
    <d v="2021-11-03T00:00:00"/>
    <x v="11"/>
    <x v="0"/>
    <x v="0"/>
    <n v="30000"/>
    <n v="30000"/>
    <n v="0"/>
    <x v="638"/>
    <s v="Cali"/>
    <m/>
    <m/>
    <m/>
    <m/>
    <x v="0"/>
  </r>
  <r>
    <d v="2021-11-03T00:00:00"/>
    <x v="11"/>
    <x v="25"/>
    <x v="25"/>
    <n v="-30000"/>
    <n v="0"/>
    <n v="30000"/>
    <x v="638"/>
    <s v="Cali"/>
    <m/>
    <m/>
    <m/>
    <m/>
    <x v="0"/>
  </r>
  <r>
    <m/>
    <x v="1"/>
    <x v="23"/>
    <x v="23"/>
    <m/>
    <m/>
    <m/>
    <x v="1"/>
    <m/>
    <m/>
    <m/>
    <m/>
    <m/>
    <x v="0"/>
  </r>
  <r>
    <d v="2021-11-03T00:00:00"/>
    <x v="11"/>
    <x v="0"/>
    <x v="0"/>
    <n v="30000"/>
    <n v="30000"/>
    <n v="0"/>
    <x v="514"/>
    <s v="Cali"/>
    <m/>
    <m/>
    <m/>
    <m/>
    <x v="0"/>
  </r>
  <r>
    <d v="2021-11-03T00:00:00"/>
    <x v="11"/>
    <x v="25"/>
    <x v="25"/>
    <n v="-30000"/>
    <n v="0"/>
    <n v="30000"/>
    <x v="514"/>
    <s v="Cali"/>
    <m/>
    <m/>
    <m/>
    <m/>
    <x v="0"/>
  </r>
  <r>
    <m/>
    <x v="1"/>
    <x v="23"/>
    <x v="23"/>
    <m/>
    <m/>
    <m/>
    <x v="1"/>
    <m/>
    <m/>
    <m/>
    <m/>
    <m/>
    <x v="0"/>
  </r>
  <r>
    <d v="2021-11-04T00:00:00"/>
    <x v="11"/>
    <x v="0"/>
    <x v="0"/>
    <n v="25000"/>
    <n v="25000"/>
    <n v="0"/>
    <x v="38"/>
    <s v="Cali"/>
    <m/>
    <m/>
    <m/>
    <m/>
    <x v="0"/>
  </r>
  <r>
    <d v="2021-11-04T00:00:00"/>
    <x v="11"/>
    <x v="25"/>
    <x v="25"/>
    <n v="-25000"/>
    <n v="0"/>
    <n v="25000"/>
    <x v="38"/>
    <s v="Cali"/>
    <m/>
    <m/>
    <m/>
    <m/>
    <x v="0"/>
  </r>
  <r>
    <m/>
    <x v="1"/>
    <x v="23"/>
    <x v="23"/>
    <m/>
    <m/>
    <m/>
    <x v="1"/>
    <m/>
    <m/>
    <m/>
    <m/>
    <m/>
    <x v="0"/>
  </r>
  <r>
    <d v="2021-11-04T00:00:00"/>
    <x v="11"/>
    <x v="0"/>
    <x v="0"/>
    <n v="15000"/>
    <n v="15000"/>
    <n v="0"/>
    <x v="150"/>
    <s v="Cali"/>
    <m/>
    <m/>
    <m/>
    <m/>
    <x v="0"/>
  </r>
  <r>
    <d v="2021-11-04T00:00:00"/>
    <x v="11"/>
    <x v="19"/>
    <x v="19"/>
    <n v="-15000"/>
    <n v="0"/>
    <n v="15000"/>
    <x v="150"/>
    <s v="Cali"/>
    <m/>
    <m/>
    <m/>
    <m/>
    <x v="0"/>
  </r>
  <r>
    <m/>
    <x v="1"/>
    <x v="23"/>
    <x v="23"/>
    <m/>
    <m/>
    <m/>
    <x v="1"/>
    <m/>
    <m/>
    <m/>
    <m/>
    <m/>
    <x v="0"/>
  </r>
  <r>
    <d v="2021-11-04T00:00:00"/>
    <x v="11"/>
    <x v="0"/>
    <x v="0"/>
    <n v="15000"/>
    <n v="15000"/>
    <n v="0"/>
    <x v="282"/>
    <s v="Cali"/>
    <m/>
    <m/>
    <m/>
    <m/>
    <x v="0"/>
  </r>
  <r>
    <d v="2021-11-04T00:00:00"/>
    <x v="11"/>
    <x v="25"/>
    <x v="25"/>
    <n v="-15000"/>
    <n v="0"/>
    <n v="15000"/>
    <x v="282"/>
    <s v="Cali"/>
    <m/>
    <m/>
    <m/>
    <m/>
    <x v="0"/>
  </r>
  <r>
    <m/>
    <x v="1"/>
    <x v="23"/>
    <x v="23"/>
    <m/>
    <m/>
    <m/>
    <x v="1"/>
    <m/>
    <m/>
    <m/>
    <m/>
    <m/>
    <x v="0"/>
  </r>
  <r>
    <d v="2021-11-04T00:00:00"/>
    <x v="11"/>
    <x v="0"/>
    <x v="0"/>
    <n v="60000"/>
    <n v="60000"/>
    <n v="0"/>
    <x v="160"/>
    <s v="Cali"/>
    <m/>
    <m/>
    <m/>
    <m/>
    <x v="0"/>
  </r>
  <r>
    <d v="2021-11-04T00:00:00"/>
    <x v="11"/>
    <x v="25"/>
    <x v="25"/>
    <n v="-60000"/>
    <n v="0"/>
    <n v="60000"/>
    <x v="160"/>
    <s v="Cali"/>
    <m/>
    <m/>
    <m/>
    <m/>
    <x v="0"/>
  </r>
  <r>
    <m/>
    <x v="1"/>
    <x v="23"/>
    <x v="23"/>
    <m/>
    <m/>
    <m/>
    <x v="1"/>
    <m/>
    <m/>
    <m/>
    <m/>
    <m/>
    <x v="0"/>
  </r>
  <r>
    <d v="2021-11-04T00:00:00"/>
    <x v="11"/>
    <x v="0"/>
    <x v="0"/>
    <n v="20000"/>
    <n v="20000"/>
    <n v="0"/>
    <x v="308"/>
    <s v="Cali"/>
    <m/>
    <m/>
    <m/>
    <m/>
    <x v="0"/>
  </r>
  <r>
    <d v="2021-11-04T00:00:00"/>
    <x v="11"/>
    <x v="25"/>
    <x v="25"/>
    <n v="-20000"/>
    <n v="0"/>
    <n v="20000"/>
    <x v="308"/>
    <s v="Cali"/>
    <m/>
    <m/>
    <m/>
    <m/>
    <x v="0"/>
  </r>
  <r>
    <m/>
    <x v="1"/>
    <x v="23"/>
    <x v="23"/>
    <m/>
    <m/>
    <m/>
    <x v="1"/>
    <m/>
    <m/>
    <m/>
    <m/>
    <m/>
    <x v="0"/>
  </r>
  <r>
    <d v="2021-11-04T00:00:00"/>
    <x v="11"/>
    <x v="0"/>
    <x v="0"/>
    <n v="40000"/>
    <n v="40000"/>
    <n v="0"/>
    <x v="170"/>
    <s v="Cali"/>
    <m/>
    <m/>
    <m/>
    <m/>
    <x v="0"/>
  </r>
  <r>
    <d v="2021-11-04T00:00:00"/>
    <x v="11"/>
    <x v="26"/>
    <x v="26"/>
    <n v="-40000"/>
    <n v="0"/>
    <n v="40000"/>
    <x v="170"/>
    <s v="Cali"/>
    <m/>
    <m/>
    <m/>
    <m/>
    <x v="0"/>
  </r>
  <r>
    <m/>
    <x v="1"/>
    <x v="23"/>
    <x v="23"/>
    <m/>
    <m/>
    <m/>
    <x v="1"/>
    <m/>
    <m/>
    <m/>
    <m/>
    <m/>
    <x v="0"/>
  </r>
  <r>
    <d v="2021-11-04T00:00:00"/>
    <x v="11"/>
    <x v="0"/>
    <x v="0"/>
    <n v="150000"/>
    <n v="150000"/>
    <n v="0"/>
    <x v="169"/>
    <s v="Cali"/>
    <m/>
    <m/>
    <m/>
    <m/>
    <x v="0"/>
  </r>
  <r>
    <d v="2021-11-04T00:00:00"/>
    <x v="11"/>
    <x v="25"/>
    <x v="25"/>
    <n v="-150000"/>
    <n v="0"/>
    <n v="150000"/>
    <x v="169"/>
    <s v="Cali"/>
    <m/>
    <m/>
    <m/>
    <m/>
    <x v="0"/>
  </r>
  <r>
    <m/>
    <x v="1"/>
    <x v="23"/>
    <x v="23"/>
    <m/>
    <m/>
    <m/>
    <x v="1"/>
    <m/>
    <m/>
    <m/>
    <m/>
    <m/>
    <x v="0"/>
  </r>
  <r>
    <d v="2021-11-04T00:00:00"/>
    <x v="11"/>
    <x v="0"/>
    <x v="0"/>
    <n v="11953189"/>
    <n v="11953189"/>
    <n v="0"/>
    <x v="639"/>
    <s v="Cali"/>
    <m/>
    <m/>
    <m/>
    <m/>
    <x v="0"/>
  </r>
  <r>
    <d v="2021-11-04T00:00:00"/>
    <x v="11"/>
    <x v="5"/>
    <x v="5"/>
    <n v="-11953189"/>
    <n v="0"/>
    <n v="11953189"/>
    <x v="639"/>
    <s v="Cali"/>
    <m/>
    <m/>
    <m/>
    <m/>
    <x v="0"/>
  </r>
  <r>
    <m/>
    <x v="1"/>
    <x v="23"/>
    <x v="23"/>
    <m/>
    <m/>
    <m/>
    <x v="1"/>
    <m/>
    <m/>
    <m/>
    <m/>
    <m/>
    <x v="0"/>
  </r>
  <r>
    <d v="2021-11-05T00:00:00"/>
    <x v="11"/>
    <x v="52"/>
    <x v="52"/>
    <n v="300000"/>
    <n v="300000"/>
    <n v="0"/>
    <x v="633"/>
    <s v="Cali"/>
    <m/>
    <m/>
    <m/>
    <m/>
    <x v="0"/>
  </r>
  <r>
    <d v="2021-11-05T00:00:00"/>
    <x v="11"/>
    <x v="0"/>
    <x v="0"/>
    <n v="-300000"/>
    <n v="0"/>
    <n v="300000"/>
    <x v="633"/>
    <s v="Cali"/>
    <m/>
    <m/>
    <m/>
    <m/>
    <x v="0"/>
  </r>
  <r>
    <m/>
    <x v="1"/>
    <x v="23"/>
    <x v="23"/>
    <m/>
    <m/>
    <m/>
    <x v="1"/>
    <m/>
    <m/>
    <m/>
    <m/>
    <m/>
    <x v="0"/>
  </r>
  <r>
    <d v="2021-11-05T00:00:00"/>
    <x v="11"/>
    <x v="0"/>
    <x v="0"/>
    <n v="100000"/>
    <n v="100000"/>
    <n v="0"/>
    <x v="363"/>
    <s v="Cali"/>
    <m/>
    <m/>
    <m/>
    <m/>
    <x v="0"/>
  </r>
  <r>
    <d v="2021-11-05T00:00:00"/>
    <x v="11"/>
    <x v="25"/>
    <x v="25"/>
    <n v="-100000"/>
    <n v="0"/>
    <n v="100000"/>
    <x v="363"/>
    <s v="Cali"/>
    <m/>
    <m/>
    <m/>
    <m/>
    <x v="0"/>
  </r>
  <r>
    <m/>
    <x v="1"/>
    <x v="23"/>
    <x v="23"/>
    <m/>
    <m/>
    <m/>
    <x v="1"/>
    <m/>
    <m/>
    <m/>
    <m/>
    <m/>
    <x v="0"/>
  </r>
  <r>
    <d v="2021-11-05T00:00:00"/>
    <x v="11"/>
    <x v="0"/>
    <x v="0"/>
    <n v="35000"/>
    <n v="35000"/>
    <n v="0"/>
    <x v="600"/>
    <s v="Cali"/>
    <m/>
    <m/>
    <m/>
    <m/>
    <x v="0"/>
  </r>
  <r>
    <d v="2021-11-05T00:00:00"/>
    <x v="11"/>
    <x v="25"/>
    <x v="25"/>
    <n v="-35000"/>
    <n v="0"/>
    <n v="35000"/>
    <x v="600"/>
    <s v="Cali"/>
    <m/>
    <m/>
    <m/>
    <m/>
    <x v="0"/>
  </r>
  <r>
    <m/>
    <x v="1"/>
    <x v="23"/>
    <x v="23"/>
    <m/>
    <m/>
    <m/>
    <x v="1"/>
    <m/>
    <m/>
    <m/>
    <m/>
    <m/>
    <x v="0"/>
  </r>
  <r>
    <d v="2021-11-05T00:00:00"/>
    <x v="11"/>
    <x v="0"/>
    <x v="0"/>
    <n v="75000"/>
    <n v="75000"/>
    <n v="0"/>
    <x v="316"/>
    <s v="Cali"/>
    <m/>
    <m/>
    <m/>
    <m/>
    <x v="0"/>
  </r>
  <r>
    <d v="2021-11-05T00:00:00"/>
    <x v="11"/>
    <x v="25"/>
    <x v="25"/>
    <n v="-75000"/>
    <n v="0"/>
    <n v="75000"/>
    <x v="316"/>
    <s v="Cali"/>
    <m/>
    <m/>
    <m/>
    <m/>
    <x v="0"/>
  </r>
  <r>
    <m/>
    <x v="1"/>
    <x v="23"/>
    <x v="23"/>
    <m/>
    <m/>
    <m/>
    <x v="1"/>
    <m/>
    <m/>
    <m/>
    <m/>
    <m/>
    <x v="0"/>
  </r>
  <r>
    <d v="2021-11-05T00:00:00"/>
    <x v="11"/>
    <x v="0"/>
    <x v="0"/>
    <n v="45000"/>
    <n v="45000"/>
    <n v="0"/>
    <x v="178"/>
    <s v="Cali"/>
    <m/>
    <m/>
    <m/>
    <m/>
    <x v="0"/>
  </r>
  <r>
    <d v="2021-11-05T00:00:00"/>
    <x v="11"/>
    <x v="25"/>
    <x v="25"/>
    <n v="-45000"/>
    <n v="0"/>
    <n v="45000"/>
    <x v="178"/>
    <s v="Cali"/>
    <m/>
    <m/>
    <m/>
    <m/>
    <x v="0"/>
  </r>
  <r>
    <m/>
    <x v="1"/>
    <x v="23"/>
    <x v="23"/>
    <m/>
    <m/>
    <m/>
    <x v="1"/>
    <m/>
    <m/>
    <m/>
    <m/>
    <m/>
    <x v="0"/>
  </r>
  <r>
    <d v="2021-11-05T00:00:00"/>
    <x v="11"/>
    <x v="0"/>
    <x v="0"/>
    <n v="11000"/>
    <n v="11000"/>
    <n v="0"/>
    <x v="191"/>
    <s v="Cali"/>
    <m/>
    <m/>
    <m/>
    <m/>
    <x v="0"/>
  </r>
  <r>
    <d v="2021-11-05T00:00:00"/>
    <x v="11"/>
    <x v="27"/>
    <x v="27"/>
    <n v="-11000"/>
    <n v="0"/>
    <n v="11000"/>
    <x v="191"/>
    <s v="Cali"/>
    <m/>
    <m/>
    <m/>
    <m/>
    <x v="0"/>
  </r>
  <r>
    <m/>
    <x v="1"/>
    <x v="23"/>
    <x v="23"/>
    <m/>
    <m/>
    <m/>
    <x v="1"/>
    <m/>
    <m/>
    <m/>
    <m/>
    <m/>
    <x v="0"/>
  </r>
  <r>
    <d v="2021-11-05T00:00:00"/>
    <x v="11"/>
    <x v="0"/>
    <x v="0"/>
    <n v="10000"/>
    <n v="10000"/>
    <n v="0"/>
    <x v="640"/>
    <s v="Cali"/>
    <m/>
    <m/>
    <m/>
    <m/>
    <x v="0"/>
  </r>
  <r>
    <d v="2021-11-05T00:00:00"/>
    <x v="11"/>
    <x v="25"/>
    <x v="25"/>
    <n v="-10000"/>
    <n v="0"/>
    <n v="10000"/>
    <x v="640"/>
    <s v="Cali"/>
    <m/>
    <m/>
    <m/>
    <m/>
    <x v="0"/>
  </r>
  <r>
    <m/>
    <x v="1"/>
    <x v="23"/>
    <x v="23"/>
    <m/>
    <m/>
    <m/>
    <x v="1"/>
    <m/>
    <m/>
    <m/>
    <m/>
    <m/>
    <x v="0"/>
  </r>
  <r>
    <d v="2021-11-08T00:00:00"/>
    <x v="11"/>
    <x v="0"/>
    <x v="0"/>
    <n v="30000"/>
    <n v="30000"/>
    <n v="0"/>
    <x v="139"/>
    <s v="Cali"/>
    <m/>
    <m/>
    <m/>
    <m/>
    <x v="0"/>
  </r>
  <r>
    <d v="2021-11-08T00:00:00"/>
    <x v="11"/>
    <x v="25"/>
    <x v="25"/>
    <n v="-30000"/>
    <n v="0"/>
    <n v="30000"/>
    <x v="139"/>
    <s v="Cali"/>
    <m/>
    <m/>
    <m/>
    <m/>
    <x v="0"/>
  </r>
  <r>
    <m/>
    <x v="1"/>
    <x v="23"/>
    <x v="23"/>
    <m/>
    <m/>
    <m/>
    <x v="1"/>
    <m/>
    <m/>
    <m/>
    <m/>
    <m/>
    <x v="0"/>
  </r>
  <r>
    <d v="2021-11-08T00:00:00"/>
    <x v="11"/>
    <x v="0"/>
    <x v="0"/>
    <n v="1000000"/>
    <n v="1000000"/>
    <n v="0"/>
    <x v="560"/>
    <s v="Cali"/>
    <m/>
    <m/>
    <m/>
    <m/>
    <x v="0"/>
  </r>
  <r>
    <d v="2021-11-08T00:00:00"/>
    <x v="11"/>
    <x v="26"/>
    <x v="26"/>
    <n v="-1000000"/>
    <n v="0"/>
    <n v="1000000"/>
    <x v="560"/>
    <s v="Cali"/>
    <m/>
    <m/>
    <m/>
    <m/>
    <x v="0"/>
  </r>
  <r>
    <m/>
    <x v="1"/>
    <x v="23"/>
    <x v="23"/>
    <m/>
    <m/>
    <m/>
    <x v="1"/>
    <m/>
    <m/>
    <m/>
    <m/>
    <m/>
    <x v="0"/>
  </r>
  <r>
    <d v="2021-11-08T00:00:00"/>
    <x v="11"/>
    <x v="0"/>
    <x v="0"/>
    <n v="40000"/>
    <n v="40000"/>
    <n v="0"/>
    <x v="176"/>
    <s v="Cali"/>
    <m/>
    <m/>
    <m/>
    <m/>
    <x v="0"/>
  </r>
  <r>
    <d v="2021-11-08T00:00:00"/>
    <x v="11"/>
    <x v="25"/>
    <x v="25"/>
    <n v="-40000"/>
    <n v="0"/>
    <n v="40000"/>
    <x v="176"/>
    <s v="Cali"/>
    <m/>
    <m/>
    <m/>
    <m/>
    <x v="0"/>
  </r>
  <r>
    <m/>
    <x v="1"/>
    <x v="23"/>
    <x v="23"/>
    <m/>
    <m/>
    <m/>
    <x v="1"/>
    <m/>
    <m/>
    <m/>
    <m/>
    <m/>
    <x v="0"/>
  </r>
  <r>
    <d v="2021-11-08T00:00:00"/>
    <x v="11"/>
    <x v="0"/>
    <x v="0"/>
    <n v="54100"/>
    <n v="54100"/>
    <n v="0"/>
    <x v="641"/>
    <s v="Cali"/>
    <m/>
    <m/>
    <m/>
    <m/>
    <x v="0"/>
  </r>
  <r>
    <d v="2021-11-08T00:00:00"/>
    <x v="11"/>
    <x v="27"/>
    <x v="27"/>
    <n v="-54100"/>
    <n v="0"/>
    <n v="54100"/>
    <x v="641"/>
    <s v="Cali"/>
    <m/>
    <m/>
    <m/>
    <m/>
    <x v="0"/>
  </r>
  <r>
    <m/>
    <x v="1"/>
    <x v="23"/>
    <x v="23"/>
    <m/>
    <m/>
    <m/>
    <x v="1"/>
    <m/>
    <m/>
    <m/>
    <m/>
    <m/>
    <x v="0"/>
  </r>
  <r>
    <d v="2021-11-08T00:00:00"/>
    <x v="11"/>
    <x v="0"/>
    <x v="0"/>
    <n v="2000"/>
    <n v="2000"/>
    <n v="0"/>
    <x v="177"/>
    <s v="Cali"/>
    <m/>
    <m/>
    <m/>
    <m/>
    <x v="0"/>
  </r>
  <r>
    <d v="2021-11-08T00:00:00"/>
    <x v="11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11-08T00:00:00"/>
    <x v="11"/>
    <x v="0"/>
    <x v="0"/>
    <n v="25000"/>
    <n v="25000"/>
    <n v="0"/>
    <x v="149"/>
    <s v="Cali"/>
    <m/>
    <m/>
    <m/>
    <m/>
    <x v="0"/>
  </r>
  <r>
    <d v="2021-11-08T00:00:00"/>
    <x v="11"/>
    <x v="27"/>
    <x v="27"/>
    <n v="-25000"/>
    <n v="0"/>
    <n v="25000"/>
    <x v="149"/>
    <s v="Cali"/>
    <m/>
    <m/>
    <m/>
    <m/>
    <x v="0"/>
  </r>
  <r>
    <m/>
    <x v="1"/>
    <x v="23"/>
    <x v="23"/>
    <m/>
    <m/>
    <m/>
    <x v="1"/>
    <m/>
    <m/>
    <m/>
    <m/>
    <m/>
    <x v="0"/>
  </r>
  <r>
    <d v="2021-11-08T00:00:00"/>
    <x v="11"/>
    <x v="0"/>
    <x v="0"/>
    <n v="30000"/>
    <n v="30000"/>
    <n v="0"/>
    <x v="256"/>
    <s v="Cali"/>
    <m/>
    <m/>
    <m/>
    <m/>
    <x v="0"/>
  </r>
  <r>
    <d v="2021-11-08T00:00:00"/>
    <x v="11"/>
    <x v="25"/>
    <x v="25"/>
    <n v="-30000"/>
    <n v="0"/>
    <n v="30000"/>
    <x v="256"/>
    <s v="Cali"/>
    <m/>
    <m/>
    <m/>
    <m/>
    <x v="0"/>
  </r>
  <r>
    <m/>
    <x v="1"/>
    <x v="23"/>
    <x v="23"/>
    <m/>
    <m/>
    <m/>
    <x v="1"/>
    <m/>
    <m/>
    <m/>
    <m/>
    <m/>
    <x v="0"/>
  </r>
  <r>
    <d v="2021-11-08T00:00:00"/>
    <x v="11"/>
    <x v="0"/>
    <x v="0"/>
    <n v="60000"/>
    <n v="60000"/>
    <n v="0"/>
    <x v="238"/>
    <s v="Cali"/>
    <m/>
    <m/>
    <m/>
    <m/>
    <x v="0"/>
  </r>
  <r>
    <d v="2021-11-08T00:00:00"/>
    <x v="11"/>
    <x v="25"/>
    <x v="25"/>
    <n v="-60000"/>
    <n v="0"/>
    <n v="60000"/>
    <x v="238"/>
    <s v="Cali"/>
    <m/>
    <m/>
    <m/>
    <m/>
    <x v="0"/>
  </r>
  <r>
    <m/>
    <x v="1"/>
    <x v="23"/>
    <x v="23"/>
    <m/>
    <m/>
    <m/>
    <x v="1"/>
    <m/>
    <m/>
    <m/>
    <m/>
    <m/>
    <x v="0"/>
  </r>
  <r>
    <d v="2021-11-08T00:00:00"/>
    <x v="11"/>
    <x v="0"/>
    <x v="0"/>
    <n v="85000"/>
    <n v="85000"/>
    <n v="0"/>
    <x v="154"/>
    <s v="Cali"/>
    <m/>
    <m/>
    <m/>
    <m/>
    <x v="0"/>
  </r>
  <r>
    <d v="2021-11-08T00:00:00"/>
    <x v="11"/>
    <x v="13"/>
    <x v="13"/>
    <n v="-85000"/>
    <n v="0"/>
    <n v="85000"/>
    <x v="154"/>
    <s v="Cali"/>
    <m/>
    <m/>
    <m/>
    <m/>
    <x v="0"/>
  </r>
  <r>
    <m/>
    <x v="1"/>
    <x v="23"/>
    <x v="23"/>
    <m/>
    <m/>
    <m/>
    <x v="1"/>
    <m/>
    <m/>
    <m/>
    <m/>
    <m/>
    <x v="0"/>
  </r>
  <r>
    <d v="2021-11-08T00:00:00"/>
    <x v="11"/>
    <x v="0"/>
    <x v="0"/>
    <n v="19631"/>
    <n v="19631"/>
    <n v="0"/>
    <x v="479"/>
    <s v="Cali"/>
    <m/>
    <m/>
    <m/>
    <m/>
    <x v="0"/>
  </r>
  <r>
    <d v="2021-11-08T00:00:00"/>
    <x v="11"/>
    <x v="25"/>
    <x v="25"/>
    <n v="-20000"/>
    <n v="0"/>
    <n v="20000"/>
    <x v="479"/>
    <s v="Cali"/>
    <m/>
    <m/>
    <m/>
    <m/>
    <x v="0"/>
  </r>
  <r>
    <d v="2021-11-08T00:00:00"/>
    <x v="11"/>
    <x v="31"/>
    <x v="31"/>
    <n v="369"/>
    <n v="369"/>
    <n v="0"/>
    <x v="479"/>
    <s v="Cali"/>
    <m/>
    <m/>
    <m/>
    <m/>
    <x v="0"/>
  </r>
  <r>
    <m/>
    <x v="1"/>
    <x v="23"/>
    <x v="23"/>
    <m/>
    <m/>
    <m/>
    <x v="1"/>
    <m/>
    <m/>
    <m/>
    <m/>
    <m/>
    <x v="0"/>
  </r>
  <r>
    <d v="2021-11-08T00:00:00"/>
    <x v="11"/>
    <x v="0"/>
    <x v="0"/>
    <n v="60000"/>
    <n v="60000"/>
    <n v="0"/>
    <x v="202"/>
    <s v="Cali"/>
    <m/>
    <m/>
    <m/>
    <m/>
    <x v="0"/>
  </r>
  <r>
    <d v="2021-11-08T00:00:00"/>
    <x v="11"/>
    <x v="27"/>
    <x v="27"/>
    <n v="-60000"/>
    <n v="0"/>
    <n v="60000"/>
    <x v="202"/>
    <s v="Cali"/>
    <m/>
    <m/>
    <m/>
    <m/>
    <x v="0"/>
  </r>
  <r>
    <m/>
    <x v="1"/>
    <x v="23"/>
    <x v="23"/>
    <m/>
    <m/>
    <m/>
    <x v="1"/>
    <m/>
    <m/>
    <m/>
    <m/>
    <m/>
    <x v="0"/>
  </r>
  <r>
    <d v="2021-11-09T00:00:00"/>
    <x v="11"/>
    <x v="0"/>
    <x v="0"/>
    <n v="150000"/>
    <n v="150000"/>
    <n v="0"/>
    <x v="251"/>
    <s v="Cali"/>
    <m/>
    <m/>
    <m/>
    <m/>
    <x v="0"/>
  </r>
  <r>
    <d v="2021-11-09T00:00:00"/>
    <x v="11"/>
    <x v="27"/>
    <x v="27"/>
    <n v="-150000"/>
    <n v="0"/>
    <n v="150000"/>
    <x v="251"/>
    <s v="Cali"/>
    <m/>
    <m/>
    <m/>
    <m/>
    <x v="0"/>
  </r>
  <r>
    <m/>
    <x v="1"/>
    <x v="23"/>
    <x v="23"/>
    <m/>
    <m/>
    <m/>
    <x v="1"/>
    <m/>
    <m/>
    <m/>
    <m/>
    <m/>
    <x v="0"/>
  </r>
  <r>
    <d v="2021-11-09T00:00:00"/>
    <x v="11"/>
    <x v="0"/>
    <x v="0"/>
    <n v="15000"/>
    <n v="15000"/>
    <n v="0"/>
    <x v="216"/>
    <s v="Cali"/>
    <m/>
    <m/>
    <m/>
    <m/>
    <x v="0"/>
  </r>
  <r>
    <d v="2021-11-09T00:00:00"/>
    <x v="11"/>
    <x v="29"/>
    <x v="29"/>
    <n v="-15000"/>
    <n v="0"/>
    <n v="15000"/>
    <x v="216"/>
    <s v="Cali"/>
    <m/>
    <m/>
    <m/>
    <m/>
    <x v="0"/>
  </r>
  <r>
    <m/>
    <x v="1"/>
    <x v="23"/>
    <x v="23"/>
    <m/>
    <m/>
    <m/>
    <x v="1"/>
    <m/>
    <m/>
    <m/>
    <m/>
    <m/>
    <x v="0"/>
  </r>
  <r>
    <d v="2021-11-09T00:00:00"/>
    <x v="11"/>
    <x v="0"/>
    <x v="0"/>
    <n v="30000"/>
    <n v="30000"/>
    <n v="0"/>
    <x v="179"/>
    <s v="Cali"/>
    <m/>
    <m/>
    <m/>
    <m/>
    <x v="0"/>
  </r>
  <r>
    <d v="2021-11-09T00:00:00"/>
    <x v="11"/>
    <x v="25"/>
    <x v="25"/>
    <n v="-30000"/>
    <n v="0"/>
    <n v="30000"/>
    <x v="179"/>
    <s v="Cali"/>
    <m/>
    <m/>
    <m/>
    <m/>
    <x v="0"/>
  </r>
  <r>
    <m/>
    <x v="1"/>
    <x v="23"/>
    <x v="23"/>
    <m/>
    <m/>
    <m/>
    <x v="1"/>
    <m/>
    <m/>
    <m/>
    <m/>
    <m/>
    <x v="0"/>
  </r>
  <r>
    <d v="2021-11-09T00:00:00"/>
    <x v="11"/>
    <x v="0"/>
    <x v="0"/>
    <n v="15000"/>
    <n v="15000"/>
    <n v="0"/>
    <x v="420"/>
    <s v="Cali"/>
    <m/>
    <m/>
    <m/>
    <m/>
    <x v="0"/>
  </r>
  <r>
    <d v="2021-11-09T00:00:00"/>
    <x v="11"/>
    <x v="26"/>
    <x v="26"/>
    <n v="-15000"/>
    <n v="0"/>
    <n v="15000"/>
    <x v="420"/>
    <s v="Cali"/>
    <m/>
    <m/>
    <m/>
    <m/>
    <x v="0"/>
  </r>
  <r>
    <m/>
    <x v="1"/>
    <x v="23"/>
    <x v="23"/>
    <m/>
    <m/>
    <m/>
    <x v="1"/>
    <m/>
    <m/>
    <m/>
    <m/>
    <m/>
    <x v="0"/>
  </r>
  <r>
    <d v="2021-11-09T00:00:00"/>
    <x v="11"/>
    <x v="0"/>
    <x v="0"/>
    <n v="15705"/>
    <n v="15705"/>
    <n v="0"/>
    <x v="642"/>
    <s v="Cali"/>
    <m/>
    <m/>
    <m/>
    <m/>
    <x v="0"/>
  </r>
  <r>
    <d v="2021-11-09T00:00:00"/>
    <x v="11"/>
    <x v="25"/>
    <x v="25"/>
    <n v="-16000"/>
    <n v="0"/>
    <n v="16000"/>
    <x v="642"/>
    <s v="Cali"/>
    <m/>
    <m/>
    <m/>
    <m/>
    <x v="0"/>
  </r>
  <r>
    <d v="2021-11-09T00:00:00"/>
    <x v="11"/>
    <x v="31"/>
    <x v="31"/>
    <n v="295"/>
    <n v="295"/>
    <n v="0"/>
    <x v="642"/>
    <s v="Cali"/>
    <m/>
    <m/>
    <m/>
    <m/>
    <x v="0"/>
  </r>
  <r>
    <m/>
    <x v="1"/>
    <x v="23"/>
    <x v="23"/>
    <m/>
    <m/>
    <m/>
    <x v="1"/>
    <m/>
    <m/>
    <m/>
    <m/>
    <m/>
    <x v="0"/>
  </r>
  <r>
    <d v="2021-11-10T00:00:00"/>
    <x v="11"/>
    <x v="0"/>
    <x v="0"/>
    <n v="30000"/>
    <n v="30000"/>
    <n v="0"/>
    <x v="185"/>
    <s v="Cali"/>
    <m/>
    <m/>
    <m/>
    <m/>
    <x v="0"/>
  </r>
  <r>
    <d v="2021-11-10T00:00:00"/>
    <x v="11"/>
    <x v="25"/>
    <x v="25"/>
    <n v="-30000"/>
    <n v="0"/>
    <n v="30000"/>
    <x v="185"/>
    <s v="Cali"/>
    <m/>
    <m/>
    <m/>
    <m/>
    <x v="0"/>
  </r>
  <r>
    <m/>
    <x v="1"/>
    <x v="23"/>
    <x v="23"/>
    <m/>
    <m/>
    <m/>
    <x v="1"/>
    <m/>
    <m/>
    <m/>
    <m/>
    <m/>
    <x v="0"/>
  </r>
  <r>
    <d v="2021-11-10T00:00:00"/>
    <x v="11"/>
    <x v="0"/>
    <x v="0"/>
    <n v="17000"/>
    <n v="17000"/>
    <n v="0"/>
    <x v="186"/>
    <s v="Cali"/>
    <m/>
    <m/>
    <m/>
    <m/>
    <x v="0"/>
  </r>
  <r>
    <d v="2021-11-10T00:00:00"/>
    <x v="11"/>
    <x v="25"/>
    <x v="25"/>
    <n v="-17000"/>
    <n v="0"/>
    <n v="17000"/>
    <x v="186"/>
    <s v="Cali"/>
    <m/>
    <m/>
    <m/>
    <m/>
    <x v="0"/>
  </r>
  <r>
    <m/>
    <x v="1"/>
    <x v="23"/>
    <x v="23"/>
    <m/>
    <m/>
    <m/>
    <x v="1"/>
    <m/>
    <m/>
    <m/>
    <m/>
    <m/>
    <x v="0"/>
  </r>
  <r>
    <d v="2021-11-11T00:00:00"/>
    <x v="11"/>
    <x v="0"/>
    <x v="0"/>
    <n v="3000000"/>
    <n v="3000000"/>
    <n v="0"/>
    <x v="306"/>
    <s v="Cali"/>
    <m/>
    <m/>
    <m/>
    <m/>
    <x v="0"/>
  </r>
  <r>
    <d v="2021-11-11T00:00:00"/>
    <x v="11"/>
    <x v="26"/>
    <x v="26"/>
    <n v="-3000000"/>
    <n v="0"/>
    <n v="3000000"/>
    <x v="306"/>
    <s v="Cali"/>
    <m/>
    <m/>
    <m/>
    <m/>
    <x v="0"/>
  </r>
  <r>
    <m/>
    <x v="1"/>
    <x v="23"/>
    <x v="23"/>
    <m/>
    <m/>
    <m/>
    <x v="1"/>
    <m/>
    <m/>
    <m/>
    <m/>
    <m/>
    <x v="0"/>
  </r>
  <r>
    <d v="2021-11-11T00:00:00"/>
    <x v="11"/>
    <x v="0"/>
    <x v="0"/>
    <n v="65000"/>
    <n v="65000"/>
    <n v="0"/>
    <x v="64"/>
    <s v="Cali"/>
    <m/>
    <m/>
    <m/>
    <m/>
    <x v="0"/>
  </r>
  <r>
    <d v="2021-11-11T00:00:00"/>
    <x v="11"/>
    <x v="27"/>
    <x v="27"/>
    <n v="-65000"/>
    <n v="0"/>
    <n v="65000"/>
    <x v="64"/>
    <s v="Cali"/>
    <m/>
    <m/>
    <m/>
    <m/>
    <x v="0"/>
  </r>
  <r>
    <m/>
    <x v="1"/>
    <x v="23"/>
    <x v="23"/>
    <m/>
    <m/>
    <m/>
    <x v="1"/>
    <m/>
    <m/>
    <m/>
    <m/>
    <m/>
    <x v="0"/>
  </r>
  <r>
    <d v="2021-11-12T00:00:00"/>
    <x v="11"/>
    <x v="0"/>
    <x v="0"/>
    <n v="60000"/>
    <n v="60000"/>
    <n v="0"/>
    <x v="213"/>
    <s v="Cali"/>
    <m/>
    <m/>
    <m/>
    <m/>
    <x v="0"/>
  </r>
  <r>
    <d v="2021-11-12T00:00:00"/>
    <x v="11"/>
    <x v="29"/>
    <x v="29"/>
    <n v="-60000"/>
    <n v="0"/>
    <n v="60000"/>
    <x v="213"/>
    <s v="Cali"/>
    <m/>
    <m/>
    <m/>
    <m/>
    <x v="0"/>
  </r>
  <r>
    <m/>
    <x v="1"/>
    <x v="23"/>
    <x v="23"/>
    <m/>
    <m/>
    <m/>
    <x v="1"/>
    <m/>
    <m/>
    <m/>
    <m/>
    <m/>
    <x v="0"/>
  </r>
  <r>
    <d v="2021-11-12T00:00:00"/>
    <x v="11"/>
    <x v="0"/>
    <x v="0"/>
    <n v="20000"/>
    <n v="20000"/>
    <n v="0"/>
    <x v="199"/>
    <s v="Cali"/>
    <m/>
    <m/>
    <m/>
    <m/>
    <x v="0"/>
  </r>
  <r>
    <d v="2021-11-12T00:00:00"/>
    <x v="11"/>
    <x v="27"/>
    <x v="27"/>
    <n v="-20000"/>
    <n v="0"/>
    <n v="20000"/>
    <x v="199"/>
    <s v="Cali"/>
    <m/>
    <m/>
    <m/>
    <m/>
    <x v="0"/>
  </r>
  <r>
    <m/>
    <x v="1"/>
    <x v="23"/>
    <x v="23"/>
    <m/>
    <m/>
    <m/>
    <x v="1"/>
    <m/>
    <m/>
    <m/>
    <m/>
    <m/>
    <x v="0"/>
  </r>
  <r>
    <d v="2021-11-15T00:00:00"/>
    <x v="11"/>
    <x v="0"/>
    <x v="0"/>
    <n v="20000"/>
    <n v="20000"/>
    <n v="0"/>
    <x v="166"/>
    <s v="Cali"/>
    <m/>
    <m/>
    <m/>
    <m/>
    <x v="0"/>
  </r>
  <r>
    <d v="2021-11-15T00:00:00"/>
    <x v="11"/>
    <x v="25"/>
    <x v="25"/>
    <n v="-20000"/>
    <n v="0"/>
    <n v="20000"/>
    <x v="166"/>
    <s v="Cali"/>
    <m/>
    <m/>
    <m/>
    <m/>
    <x v="0"/>
  </r>
  <r>
    <m/>
    <x v="1"/>
    <x v="23"/>
    <x v="23"/>
    <m/>
    <m/>
    <m/>
    <x v="1"/>
    <m/>
    <m/>
    <m/>
    <m/>
    <m/>
    <x v="0"/>
  </r>
  <r>
    <d v="2021-11-15T00:00:00"/>
    <x v="11"/>
    <x v="0"/>
    <x v="0"/>
    <n v="7000"/>
    <n v="7000"/>
    <n v="0"/>
    <x v="261"/>
    <s v="Cali"/>
    <m/>
    <m/>
    <m/>
    <m/>
    <x v="0"/>
  </r>
  <r>
    <d v="2021-11-15T00:00:00"/>
    <x v="11"/>
    <x v="25"/>
    <x v="25"/>
    <n v="-7000"/>
    <n v="0"/>
    <n v="7000"/>
    <x v="261"/>
    <s v="Cali"/>
    <m/>
    <m/>
    <m/>
    <m/>
    <x v="0"/>
  </r>
  <r>
    <m/>
    <x v="1"/>
    <x v="23"/>
    <x v="23"/>
    <m/>
    <m/>
    <m/>
    <x v="1"/>
    <m/>
    <m/>
    <m/>
    <m/>
    <m/>
    <x v="0"/>
  </r>
  <r>
    <d v="2021-11-15T00:00:00"/>
    <x v="11"/>
    <x v="0"/>
    <x v="0"/>
    <n v="2000"/>
    <n v="2000"/>
    <n v="0"/>
    <x v="177"/>
    <s v="Cali"/>
    <m/>
    <m/>
    <m/>
    <m/>
    <x v="0"/>
  </r>
  <r>
    <d v="2021-11-15T00:00:00"/>
    <x v="11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11-15T00:00:00"/>
    <x v="11"/>
    <x v="0"/>
    <x v="0"/>
    <n v="20000"/>
    <n v="20000"/>
    <n v="0"/>
    <x v="193"/>
    <s v="Cali"/>
    <m/>
    <m/>
    <m/>
    <m/>
    <x v="0"/>
  </r>
  <r>
    <d v="2021-11-15T00:00:00"/>
    <x v="11"/>
    <x v="26"/>
    <x v="26"/>
    <n v="-20000"/>
    <n v="0"/>
    <n v="20000"/>
    <x v="193"/>
    <s v="Cali"/>
    <m/>
    <m/>
    <m/>
    <m/>
    <x v="0"/>
  </r>
  <r>
    <m/>
    <x v="1"/>
    <x v="23"/>
    <x v="23"/>
    <m/>
    <m/>
    <m/>
    <x v="1"/>
    <m/>
    <m/>
    <m/>
    <m/>
    <m/>
    <x v="0"/>
  </r>
  <r>
    <d v="2021-11-15T00:00:00"/>
    <x v="11"/>
    <x v="0"/>
    <x v="0"/>
    <n v="25000"/>
    <n v="25000"/>
    <n v="0"/>
    <x v="194"/>
    <s v="Cali"/>
    <m/>
    <m/>
    <m/>
    <m/>
    <x v="0"/>
  </r>
  <r>
    <d v="2021-11-15T00:00:00"/>
    <x v="11"/>
    <x v="25"/>
    <x v="25"/>
    <n v="-25000"/>
    <n v="0"/>
    <n v="25000"/>
    <x v="194"/>
    <s v="Cali"/>
    <m/>
    <m/>
    <m/>
    <m/>
    <x v="0"/>
  </r>
  <r>
    <m/>
    <x v="1"/>
    <x v="23"/>
    <x v="23"/>
    <m/>
    <m/>
    <m/>
    <x v="1"/>
    <m/>
    <m/>
    <m/>
    <m/>
    <m/>
    <x v="0"/>
  </r>
  <r>
    <d v="2021-11-15T00:00:00"/>
    <x v="11"/>
    <x v="0"/>
    <x v="0"/>
    <n v="50000"/>
    <n v="50000"/>
    <n v="0"/>
    <x v="195"/>
    <s v="Cali"/>
    <m/>
    <m/>
    <m/>
    <m/>
    <x v="0"/>
  </r>
  <r>
    <d v="2021-11-15T00:00:00"/>
    <x v="11"/>
    <x v="25"/>
    <x v="25"/>
    <n v="-50000"/>
    <n v="0"/>
    <n v="50000"/>
    <x v="195"/>
    <s v="Cali"/>
    <m/>
    <m/>
    <m/>
    <m/>
    <x v="0"/>
  </r>
  <r>
    <m/>
    <x v="1"/>
    <x v="23"/>
    <x v="23"/>
    <m/>
    <m/>
    <m/>
    <x v="1"/>
    <m/>
    <m/>
    <m/>
    <m/>
    <m/>
    <x v="0"/>
  </r>
  <r>
    <d v="2021-11-15T00:00:00"/>
    <x v="11"/>
    <x v="0"/>
    <x v="0"/>
    <n v="5000"/>
    <n v="5000"/>
    <n v="0"/>
    <x v="482"/>
    <s v="Cali"/>
    <m/>
    <m/>
    <m/>
    <m/>
    <x v="0"/>
  </r>
  <r>
    <d v="2021-11-15T00:00:00"/>
    <x v="11"/>
    <x v="19"/>
    <x v="19"/>
    <n v="-5000"/>
    <n v="0"/>
    <n v="5000"/>
    <x v="482"/>
    <s v="Cali"/>
    <m/>
    <m/>
    <m/>
    <m/>
    <x v="0"/>
  </r>
  <r>
    <m/>
    <x v="1"/>
    <x v="23"/>
    <x v="23"/>
    <m/>
    <m/>
    <m/>
    <x v="1"/>
    <m/>
    <m/>
    <m/>
    <m/>
    <m/>
    <x v="0"/>
  </r>
  <r>
    <d v="2021-11-15T00:00:00"/>
    <x v="11"/>
    <x v="0"/>
    <x v="0"/>
    <n v="20000"/>
    <n v="20000"/>
    <n v="0"/>
    <x v="196"/>
    <s v="Cali"/>
    <m/>
    <m/>
    <m/>
    <m/>
    <x v="0"/>
  </r>
  <r>
    <d v="2021-11-15T00:00:00"/>
    <x v="11"/>
    <x v="25"/>
    <x v="25"/>
    <n v="-20000"/>
    <n v="0"/>
    <n v="20000"/>
    <x v="196"/>
    <s v="Cali"/>
    <m/>
    <m/>
    <m/>
    <m/>
    <x v="0"/>
  </r>
  <r>
    <m/>
    <x v="1"/>
    <x v="23"/>
    <x v="23"/>
    <m/>
    <m/>
    <m/>
    <x v="1"/>
    <m/>
    <m/>
    <m/>
    <m/>
    <m/>
    <x v="0"/>
  </r>
  <r>
    <d v="2021-11-15T00:00:00"/>
    <x v="11"/>
    <x v="0"/>
    <x v="0"/>
    <n v="64000"/>
    <n v="64000"/>
    <n v="0"/>
    <x v="643"/>
    <s v="Cali"/>
    <m/>
    <m/>
    <m/>
    <m/>
    <x v="0"/>
  </r>
  <r>
    <d v="2021-11-15T00:00:00"/>
    <x v="11"/>
    <x v="13"/>
    <x v="13"/>
    <n v="-64000"/>
    <n v="0"/>
    <n v="64000"/>
    <x v="643"/>
    <s v="Cali"/>
    <m/>
    <m/>
    <m/>
    <m/>
    <x v="0"/>
  </r>
  <r>
    <m/>
    <x v="1"/>
    <x v="23"/>
    <x v="23"/>
    <m/>
    <m/>
    <m/>
    <x v="1"/>
    <m/>
    <m/>
    <m/>
    <m/>
    <m/>
    <x v="0"/>
  </r>
  <r>
    <d v="2021-11-17T00:00:00"/>
    <x v="11"/>
    <x v="16"/>
    <x v="16"/>
    <n v="67440"/>
    <n v="67440"/>
    <n v="0"/>
    <x v="644"/>
    <s v="Cali"/>
    <m/>
    <m/>
    <m/>
    <m/>
    <x v="0"/>
  </r>
  <r>
    <d v="2021-11-17T00:00:00"/>
    <x v="11"/>
    <x v="17"/>
    <x v="17"/>
    <n v="-7756"/>
    <n v="0"/>
    <n v="7756"/>
    <x v="644"/>
    <s v="Cali"/>
    <m/>
    <m/>
    <m/>
    <m/>
    <x v="0"/>
  </r>
  <r>
    <d v="2021-11-17T00:00:00"/>
    <x v="11"/>
    <x v="0"/>
    <x v="0"/>
    <n v="-59684"/>
    <n v="0"/>
    <n v="59684"/>
    <x v="644"/>
    <s v="Cali"/>
    <m/>
    <m/>
    <m/>
    <m/>
    <x v="0"/>
  </r>
  <r>
    <m/>
    <x v="1"/>
    <x v="23"/>
    <x v="23"/>
    <m/>
    <m/>
    <m/>
    <x v="1"/>
    <m/>
    <m/>
    <m/>
    <m/>
    <m/>
    <x v="0"/>
  </r>
  <r>
    <d v="2021-11-15T00:00:00"/>
    <x v="11"/>
    <x v="1"/>
    <x v="1"/>
    <n v="30000000"/>
    <n v="30000000"/>
    <n v="0"/>
    <x v="429"/>
    <s v="Cali"/>
    <m/>
    <m/>
    <m/>
    <m/>
    <x v="0"/>
  </r>
  <r>
    <d v="2021-11-15T00:00:00"/>
    <x v="11"/>
    <x v="0"/>
    <x v="0"/>
    <n v="-30000000"/>
    <n v="0"/>
    <n v="30000000"/>
    <x v="429"/>
    <s v="Cali"/>
    <m/>
    <m/>
    <m/>
    <m/>
    <x v="0"/>
  </r>
  <r>
    <m/>
    <x v="1"/>
    <x v="23"/>
    <x v="23"/>
    <m/>
    <m/>
    <m/>
    <x v="1"/>
    <m/>
    <m/>
    <m/>
    <m/>
    <m/>
    <x v="0"/>
  </r>
  <r>
    <d v="2021-11-17T00:00:00"/>
    <x v="11"/>
    <x v="31"/>
    <x v="31"/>
    <n v="90000"/>
    <n v="90000"/>
    <n v="0"/>
    <x v="645"/>
    <s v="Cali"/>
    <m/>
    <m/>
    <m/>
    <m/>
    <x v="0"/>
  </r>
  <r>
    <d v="2021-11-17T00:00:00"/>
    <x v="11"/>
    <x v="0"/>
    <x v="0"/>
    <n v="-90000"/>
    <n v="0"/>
    <n v="90000"/>
    <x v="645"/>
    <s v="Cali"/>
    <m/>
    <m/>
    <m/>
    <m/>
    <x v="0"/>
  </r>
  <r>
    <m/>
    <x v="1"/>
    <x v="23"/>
    <x v="23"/>
    <m/>
    <m/>
    <m/>
    <x v="1"/>
    <m/>
    <m/>
    <m/>
    <m/>
    <m/>
    <x v="0"/>
  </r>
  <r>
    <d v="2021-11-17T00:00:00"/>
    <x v="11"/>
    <x v="0"/>
    <x v="0"/>
    <n v="30000"/>
    <n v="30000"/>
    <n v="0"/>
    <x v="188"/>
    <s v="Cali"/>
    <m/>
    <m/>
    <m/>
    <m/>
    <x v="0"/>
  </r>
  <r>
    <d v="2021-11-17T00:00:00"/>
    <x v="11"/>
    <x v="29"/>
    <x v="29"/>
    <n v="-30000"/>
    <n v="0"/>
    <n v="30000"/>
    <x v="188"/>
    <s v="Cali"/>
    <m/>
    <m/>
    <m/>
    <m/>
    <x v="0"/>
  </r>
  <r>
    <m/>
    <x v="1"/>
    <x v="23"/>
    <x v="23"/>
    <m/>
    <m/>
    <m/>
    <x v="1"/>
    <m/>
    <m/>
    <m/>
    <m/>
    <m/>
    <x v="0"/>
  </r>
  <r>
    <d v="2021-11-17T00:00:00"/>
    <x v="11"/>
    <x v="0"/>
    <x v="0"/>
    <n v="5000"/>
    <n v="5000"/>
    <n v="0"/>
    <x v="367"/>
    <s v="Cali"/>
    <m/>
    <m/>
    <m/>
    <m/>
    <x v="0"/>
  </r>
  <r>
    <d v="2021-11-17T00:00:00"/>
    <x v="11"/>
    <x v="25"/>
    <x v="25"/>
    <n v="-5000"/>
    <n v="0"/>
    <n v="5000"/>
    <x v="367"/>
    <s v="Cali"/>
    <m/>
    <m/>
    <m/>
    <m/>
    <x v="0"/>
  </r>
  <r>
    <m/>
    <x v="1"/>
    <x v="23"/>
    <x v="23"/>
    <m/>
    <m/>
    <m/>
    <x v="1"/>
    <m/>
    <m/>
    <m/>
    <m/>
    <m/>
    <x v="0"/>
  </r>
  <r>
    <d v="2021-11-18T00:00:00"/>
    <x v="11"/>
    <x v="0"/>
    <x v="0"/>
    <n v="50000"/>
    <n v="50000"/>
    <n v="0"/>
    <x v="386"/>
    <s v="Cali"/>
    <m/>
    <m/>
    <m/>
    <m/>
    <x v="0"/>
  </r>
  <r>
    <d v="2021-11-18T00:00:00"/>
    <x v="11"/>
    <x v="27"/>
    <x v="27"/>
    <n v="-50000"/>
    <n v="0"/>
    <n v="50000"/>
    <x v="386"/>
    <s v="Cali"/>
    <m/>
    <m/>
    <m/>
    <m/>
    <x v="0"/>
  </r>
  <r>
    <m/>
    <x v="1"/>
    <x v="23"/>
    <x v="23"/>
    <m/>
    <m/>
    <m/>
    <x v="1"/>
    <m/>
    <m/>
    <m/>
    <m/>
    <m/>
    <x v="0"/>
  </r>
  <r>
    <d v="2021-11-18T00:00:00"/>
    <x v="11"/>
    <x v="0"/>
    <x v="0"/>
    <n v="20000"/>
    <n v="20000"/>
    <n v="0"/>
    <x v="201"/>
    <s v="Cali"/>
    <m/>
    <m/>
    <m/>
    <m/>
    <x v="0"/>
  </r>
  <r>
    <d v="2021-11-18T00:00:00"/>
    <x v="11"/>
    <x v="25"/>
    <x v="25"/>
    <n v="-20000"/>
    <n v="0"/>
    <n v="20000"/>
    <x v="201"/>
    <s v="Cali"/>
    <m/>
    <m/>
    <m/>
    <m/>
    <x v="0"/>
  </r>
  <r>
    <m/>
    <x v="1"/>
    <x v="23"/>
    <x v="23"/>
    <m/>
    <m/>
    <m/>
    <x v="1"/>
    <m/>
    <m/>
    <m/>
    <m/>
    <m/>
    <x v="0"/>
  </r>
  <r>
    <d v="2021-11-18T00:00:00"/>
    <x v="11"/>
    <x v="0"/>
    <x v="0"/>
    <n v="20000"/>
    <n v="20000"/>
    <n v="0"/>
    <x v="65"/>
    <s v="Cali"/>
    <m/>
    <m/>
    <m/>
    <m/>
    <x v="0"/>
  </r>
  <r>
    <d v="2021-11-18T00:00:00"/>
    <x v="11"/>
    <x v="29"/>
    <x v="29"/>
    <n v="-20000"/>
    <n v="0"/>
    <n v="2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1-18T00:00:00"/>
    <x v="11"/>
    <x v="0"/>
    <x v="0"/>
    <n v="62000"/>
    <n v="62000"/>
    <n v="0"/>
    <x v="65"/>
    <s v="Cali"/>
    <m/>
    <m/>
    <m/>
    <m/>
    <x v="0"/>
  </r>
  <r>
    <d v="2021-11-18T00:00:00"/>
    <x v="11"/>
    <x v="29"/>
    <x v="29"/>
    <n v="-62000"/>
    <n v="0"/>
    <n v="62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1-18T00:00:00"/>
    <x v="11"/>
    <x v="0"/>
    <x v="0"/>
    <n v="240000"/>
    <n v="240000"/>
    <n v="0"/>
    <x v="65"/>
    <s v="Cali"/>
    <m/>
    <m/>
    <m/>
    <m/>
    <x v="0"/>
  </r>
  <r>
    <d v="2021-11-18T00:00:00"/>
    <x v="11"/>
    <x v="29"/>
    <x v="29"/>
    <n v="-240000"/>
    <n v="0"/>
    <n v="24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1-22T00:00:00"/>
    <x v="11"/>
    <x v="0"/>
    <x v="0"/>
    <n v="150000"/>
    <n v="150000"/>
    <n v="0"/>
    <x v="431"/>
    <s v="Cali"/>
    <m/>
    <m/>
    <m/>
    <m/>
    <x v="0"/>
  </r>
  <r>
    <d v="2021-11-22T00:00:00"/>
    <x v="11"/>
    <x v="25"/>
    <x v="25"/>
    <n v="-150000"/>
    <n v="0"/>
    <n v="150000"/>
    <x v="431"/>
    <s v="Cali"/>
    <m/>
    <m/>
    <m/>
    <m/>
    <x v="0"/>
  </r>
  <r>
    <m/>
    <x v="1"/>
    <x v="23"/>
    <x v="23"/>
    <m/>
    <m/>
    <m/>
    <x v="1"/>
    <m/>
    <m/>
    <m/>
    <m/>
    <m/>
    <x v="0"/>
  </r>
  <r>
    <d v="2021-11-22T00:00:00"/>
    <x v="11"/>
    <x v="0"/>
    <x v="0"/>
    <n v="10000"/>
    <n v="10000"/>
    <n v="0"/>
    <x v="409"/>
    <s v="Cali"/>
    <m/>
    <m/>
    <m/>
    <m/>
    <x v="0"/>
  </r>
  <r>
    <d v="2021-11-22T00:00:00"/>
    <x v="11"/>
    <x v="25"/>
    <x v="25"/>
    <n v="-10000"/>
    <n v="0"/>
    <n v="10000"/>
    <x v="409"/>
    <s v="Cali"/>
    <m/>
    <m/>
    <m/>
    <m/>
    <x v="0"/>
  </r>
  <r>
    <m/>
    <x v="1"/>
    <x v="23"/>
    <x v="23"/>
    <m/>
    <m/>
    <m/>
    <x v="1"/>
    <m/>
    <m/>
    <m/>
    <m/>
    <m/>
    <x v="0"/>
  </r>
  <r>
    <d v="2021-11-22T00:00:00"/>
    <x v="11"/>
    <x v="31"/>
    <x v="31"/>
    <n v="1084"/>
    <n v="1084"/>
    <n v="0"/>
    <x v="172"/>
    <s v="Cali"/>
    <m/>
    <m/>
    <m/>
    <m/>
    <x v="0"/>
  </r>
  <r>
    <d v="2021-11-22T00:00:00"/>
    <x v="11"/>
    <x v="0"/>
    <x v="0"/>
    <n v="-1084"/>
    <n v="0"/>
    <n v="1084"/>
    <x v="172"/>
    <s v="Cali"/>
    <m/>
    <m/>
    <m/>
    <m/>
    <x v="0"/>
  </r>
  <r>
    <m/>
    <x v="1"/>
    <x v="23"/>
    <x v="23"/>
    <m/>
    <m/>
    <m/>
    <x v="1"/>
    <m/>
    <m/>
    <m/>
    <m/>
    <m/>
    <x v="0"/>
  </r>
  <r>
    <d v="2021-11-23T00:00:00"/>
    <x v="11"/>
    <x v="0"/>
    <x v="0"/>
    <n v="200000"/>
    <n v="200000"/>
    <n v="0"/>
    <x v="192"/>
    <s v="Cali"/>
    <m/>
    <m/>
    <m/>
    <m/>
    <x v="0"/>
  </r>
  <r>
    <d v="2021-11-23T00:00:00"/>
    <x v="11"/>
    <x v="26"/>
    <x v="26"/>
    <n v="-200000"/>
    <n v="0"/>
    <n v="20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11-23T00:00:00"/>
    <x v="11"/>
    <x v="0"/>
    <x v="0"/>
    <n v="30000"/>
    <n v="30000"/>
    <n v="0"/>
    <x v="203"/>
    <s v="Cali"/>
    <m/>
    <m/>
    <m/>
    <m/>
    <x v="0"/>
  </r>
  <r>
    <d v="2021-11-23T00:00:00"/>
    <x v="11"/>
    <x v="27"/>
    <x v="27"/>
    <n v="-30000"/>
    <n v="0"/>
    <n v="30000"/>
    <x v="203"/>
    <s v="Cali"/>
    <m/>
    <m/>
    <m/>
    <m/>
    <x v="0"/>
  </r>
  <r>
    <m/>
    <x v="1"/>
    <x v="23"/>
    <x v="23"/>
    <m/>
    <m/>
    <m/>
    <x v="1"/>
    <m/>
    <m/>
    <m/>
    <m/>
    <m/>
    <x v="0"/>
  </r>
  <r>
    <d v="2021-11-23T00:00:00"/>
    <x v="11"/>
    <x v="0"/>
    <x v="0"/>
    <n v="100000"/>
    <n v="100000"/>
    <n v="0"/>
    <x v="333"/>
    <s v="Cali"/>
    <m/>
    <m/>
    <m/>
    <m/>
    <x v="0"/>
  </r>
  <r>
    <d v="2021-11-23T00:00:00"/>
    <x v="11"/>
    <x v="26"/>
    <x v="26"/>
    <n v="-100000"/>
    <n v="0"/>
    <n v="100000"/>
    <x v="333"/>
    <s v="Cali"/>
    <m/>
    <m/>
    <m/>
    <m/>
    <x v="0"/>
  </r>
  <r>
    <m/>
    <x v="1"/>
    <x v="23"/>
    <x v="23"/>
    <m/>
    <m/>
    <m/>
    <x v="1"/>
    <m/>
    <m/>
    <m/>
    <m/>
    <m/>
    <x v="0"/>
  </r>
  <r>
    <d v="2021-11-23T00:00:00"/>
    <x v="11"/>
    <x v="0"/>
    <x v="0"/>
    <n v="20000"/>
    <n v="20000"/>
    <n v="0"/>
    <x v="85"/>
    <s v="Cali"/>
    <m/>
    <m/>
    <m/>
    <m/>
    <x v="0"/>
  </r>
  <r>
    <d v="2021-11-23T00:00:00"/>
    <x v="11"/>
    <x v="25"/>
    <x v="25"/>
    <n v="-20000"/>
    <n v="0"/>
    <n v="20000"/>
    <x v="85"/>
    <s v="Cali"/>
    <m/>
    <m/>
    <m/>
    <m/>
    <x v="0"/>
  </r>
  <r>
    <m/>
    <x v="1"/>
    <x v="23"/>
    <x v="23"/>
    <m/>
    <m/>
    <m/>
    <x v="1"/>
    <m/>
    <m/>
    <m/>
    <m/>
    <m/>
    <x v="0"/>
  </r>
  <r>
    <d v="2021-11-23T00:00:00"/>
    <x v="11"/>
    <x v="0"/>
    <x v="0"/>
    <n v="65967"/>
    <n v="65967"/>
    <n v="0"/>
    <x v="646"/>
    <s v="Cali"/>
    <m/>
    <m/>
    <m/>
    <m/>
    <x v="0"/>
  </r>
  <r>
    <d v="2021-11-23T00:00:00"/>
    <x v="11"/>
    <x v="13"/>
    <x v="13"/>
    <n v="-65967"/>
    <n v="0"/>
    <n v="65967"/>
    <x v="646"/>
    <s v="Cali"/>
    <m/>
    <m/>
    <m/>
    <m/>
    <x v="0"/>
  </r>
  <r>
    <m/>
    <x v="1"/>
    <x v="23"/>
    <x v="23"/>
    <m/>
    <m/>
    <m/>
    <x v="1"/>
    <m/>
    <m/>
    <m/>
    <m/>
    <m/>
    <x v="0"/>
  </r>
  <r>
    <d v="2021-11-24T00:00:00"/>
    <x v="11"/>
    <x v="0"/>
    <x v="0"/>
    <n v="94229"/>
    <n v="94229"/>
    <n v="0"/>
    <x v="647"/>
    <s v="Cali"/>
    <m/>
    <m/>
    <m/>
    <m/>
    <x v="0"/>
  </r>
  <r>
    <d v="2021-11-24T00:00:00"/>
    <x v="11"/>
    <x v="13"/>
    <x v="13"/>
    <n v="-94229"/>
    <n v="0"/>
    <n v="94229"/>
    <x v="647"/>
    <s v="Cali"/>
    <m/>
    <m/>
    <m/>
    <m/>
    <x v="0"/>
  </r>
  <r>
    <m/>
    <x v="1"/>
    <x v="23"/>
    <x v="23"/>
    <m/>
    <m/>
    <m/>
    <x v="1"/>
    <m/>
    <m/>
    <m/>
    <m/>
    <m/>
    <x v="0"/>
  </r>
  <r>
    <d v="2021-11-25T00:00:00"/>
    <x v="11"/>
    <x v="0"/>
    <x v="0"/>
    <n v="10000"/>
    <n v="10000"/>
    <n v="0"/>
    <x v="206"/>
    <s v="Cali"/>
    <m/>
    <m/>
    <m/>
    <m/>
    <x v="0"/>
  </r>
  <r>
    <d v="2021-11-25T00:00:00"/>
    <x v="11"/>
    <x v="26"/>
    <x v="26"/>
    <n v="-10000"/>
    <n v="0"/>
    <n v="10000"/>
    <x v="206"/>
    <s v="Cali"/>
    <m/>
    <m/>
    <m/>
    <m/>
    <x v="0"/>
  </r>
  <r>
    <m/>
    <x v="1"/>
    <x v="23"/>
    <x v="23"/>
    <m/>
    <m/>
    <m/>
    <x v="1"/>
    <m/>
    <m/>
    <m/>
    <m/>
    <m/>
    <x v="0"/>
  </r>
  <r>
    <d v="2021-11-26T00:00:00"/>
    <x v="11"/>
    <x v="0"/>
    <x v="0"/>
    <n v="11917543"/>
    <n v="11917543"/>
    <n v="0"/>
    <x v="648"/>
    <s v="Cali"/>
    <m/>
    <m/>
    <m/>
    <m/>
    <x v="0"/>
  </r>
  <r>
    <d v="2021-11-26T00:00:00"/>
    <x v="11"/>
    <x v="5"/>
    <x v="5"/>
    <n v="-11917543"/>
    <n v="0"/>
    <n v="11917543"/>
    <x v="648"/>
    <s v="Cali"/>
    <m/>
    <m/>
    <m/>
    <m/>
    <x v="0"/>
  </r>
  <r>
    <m/>
    <x v="1"/>
    <x v="23"/>
    <x v="23"/>
    <m/>
    <m/>
    <m/>
    <x v="1"/>
    <m/>
    <m/>
    <m/>
    <m/>
    <m/>
    <x v="0"/>
  </r>
  <r>
    <d v="2021-11-26T00:00:00"/>
    <x v="11"/>
    <x v="0"/>
    <x v="0"/>
    <n v="1908925"/>
    <n v="1908925"/>
    <n v="0"/>
    <x v="649"/>
    <s v="Cali"/>
    <m/>
    <m/>
    <m/>
    <m/>
    <x v="0"/>
  </r>
  <r>
    <d v="2021-11-26T00:00:00"/>
    <x v="11"/>
    <x v="26"/>
    <x v="26"/>
    <n v="-1908925"/>
    <n v="0"/>
    <n v="1908925"/>
    <x v="649"/>
    <s v="Cali"/>
    <m/>
    <m/>
    <m/>
    <m/>
    <x v="0"/>
  </r>
  <r>
    <m/>
    <x v="1"/>
    <x v="23"/>
    <x v="23"/>
    <m/>
    <m/>
    <m/>
    <x v="1"/>
    <m/>
    <m/>
    <m/>
    <m/>
    <m/>
    <x v="0"/>
  </r>
  <r>
    <d v="2021-11-26T00:00:00"/>
    <x v="11"/>
    <x v="0"/>
    <x v="0"/>
    <n v="45000"/>
    <n v="45000"/>
    <n v="0"/>
    <x v="650"/>
    <s v="Cali"/>
    <m/>
    <m/>
    <m/>
    <m/>
    <x v="0"/>
  </r>
  <r>
    <d v="2021-11-26T00:00:00"/>
    <x v="11"/>
    <x v="25"/>
    <x v="25"/>
    <n v="-45000"/>
    <n v="0"/>
    <n v="45000"/>
    <x v="650"/>
    <s v="Cali"/>
    <m/>
    <m/>
    <m/>
    <m/>
    <x v="0"/>
  </r>
  <r>
    <m/>
    <x v="1"/>
    <x v="23"/>
    <x v="23"/>
    <m/>
    <m/>
    <m/>
    <x v="1"/>
    <m/>
    <m/>
    <m/>
    <m/>
    <m/>
    <x v="0"/>
  </r>
  <r>
    <d v="2021-11-26T00:00:00"/>
    <x v="11"/>
    <x v="0"/>
    <x v="0"/>
    <n v="64000"/>
    <n v="64000"/>
    <n v="0"/>
    <x v="651"/>
    <s v="Cali"/>
    <m/>
    <m/>
    <m/>
    <m/>
    <x v="0"/>
  </r>
  <r>
    <d v="2021-11-26T00:00:00"/>
    <x v="11"/>
    <x v="13"/>
    <x v="13"/>
    <n v="-64000"/>
    <n v="0"/>
    <n v="64000"/>
    <x v="651"/>
    <s v="Cali"/>
    <m/>
    <m/>
    <m/>
    <m/>
    <x v="0"/>
  </r>
  <r>
    <m/>
    <x v="1"/>
    <x v="23"/>
    <x v="23"/>
    <m/>
    <m/>
    <m/>
    <x v="1"/>
    <m/>
    <m/>
    <m/>
    <m/>
    <m/>
    <x v="0"/>
  </r>
  <r>
    <d v="2021-11-29T00:00:00"/>
    <x v="11"/>
    <x v="0"/>
    <x v="0"/>
    <n v="10000"/>
    <n v="10000"/>
    <n v="0"/>
    <x v="236"/>
    <s v="Cali"/>
    <m/>
    <m/>
    <m/>
    <m/>
    <x v="0"/>
  </r>
  <r>
    <d v="2021-11-29T00:00:00"/>
    <x v="11"/>
    <x v="25"/>
    <x v="25"/>
    <n v="-10000"/>
    <n v="0"/>
    <n v="10000"/>
    <x v="236"/>
    <s v="Cali"/>
    <m/>
    <m/>
    <m/>
    <m/>
    <x v="0"/>
  </r>
  <r>
    <m/>
    <x v="1"/>
    <x v="23"/>
    <x v="23"/>
    <m/>
    <m/>
    <m/>
    <x v="1"/>
    <m/>
    <m/>
    <m/>
    <m/>
    <m/>
    <x v="0"/>
  </r>
  <r>
    <d v="2021-11-29T00:00:00"/>
    <x v="11"/>
    <x v="0"/>
    <x v="0"/>
    <n v="60000"/>
    <n v="60000"/>
    <n v="0"/>
    <x v="238"/>
    <s v="Cali"/>
    <m/>
    <m/>
    <m/>
    <m/>
    <x v="0"/>
  </r>
  <r>
    <d v="2021-11-29T00:00:00"/>
    <x v="11"/>
    <x v="25"/>
    <x v="25"/>
    <n v="-60000"/>
    <n v="0"/>
    <n v="60000"/>
    <x v="238"/>
    <s v="Cali"/>
    <m/>
    <m/>
    <m/>
    <m/>
    <x v="0"/>
  </r>
  <r>
    <m/>
    <x v="1"/>
    <x v="23"/>
    <x v="23"/>
    <m/>
    <m/>
    <m/>
    <x v="1"/>
    <m/>
    <m/>
    <m/>
    <m/>
    <m/>
    <x v="0"/>
  </r>
  <r>
    <d v="2021-11-29T00:00:00"/>
    <x v="11"/>
    <x v="0"/>
    <x v="0"/>
    <n v="10000"/>
    <n v="10000"/>
    <n v="0"/>
    <x v="277"/>
    <s v="Cali"/>
    <m/>
    <m/>
    <m/>
    <m/>
    <x v="0"/>
  </r>
  <r>
    <d v="2021-11-29T00:00:00"/>
    <x v="11"/>
    <x v="25"/>
    <x v="25"/>
    <n v="-10000"/>
    <n v="0"/>
    <n v="10000"/>
    <x v="277"/>
    <s v="Cali"/>
    <m/>
    <m/>
    <m/>
    <m/>
    <x v="0"/>
  </r>
  <r>
    <m/>
    <x v="1"/>
    <x v="23"/>
    <x v="23"/>
    <m/>
    <m/>
    <m/>
    <x v="1"/>
    <m/>
    <m/>
    <m/>
    <m/>
    <m/>
    <x v="0"/>
  </r>
  <r>
    <d v="2021-11-29T00:00:00"/>
    <x v="11"/>
    <x v="0"/>
    <x v="0"/>
    <n v="73000"/>
    <n v="73000"/>
    <n v="0"/>
    <x v="240"/>
    <s v="Cali"/>
    <m/>
    <m/>
    <m/>
    <m/>
    <x v="0"/>
  </r>
  <r>
    <d v="2021-11-29T00:00:00"/>
    <x v="11"/>
    <x v="26"/>
    <x v="26"/>
    <n v="-73000"/>
    <n v="0"/>
    <n v="73000"/>
    <x v="240"/>
    <s v="Cali"/>
    <m/>
    <m/>
    <m/>
    <m/>
    <x v="0"/>
  </r>
  <r>
    <m/>
    <x v="1"/>
    <x v="23"/>
    <x v="23"/>
    <m/>
    <m/>
    <m/>
    <x v="1"/>
    <m/>
    <m/>
    <m/>
    <m/>
    <m/>
    <x v="0"/>
  </r>
  <r>
    <d v="2021-11-29T00:00:00"/>
    <x v="11"/>
    <x v="0"/>
    <x v="0"/>
    <n v="40000"/>
    <n v="40000"/>
    <n v="0"/>
    <x v="241"/>
    <s v="Cali"/>
    <m/>
    <m/>
    <m/>
    <m/>
    <x v="0"/>
  </r>
  <r>
    <d v="2021-11-29T00:00:00"/>
    <x v="11"/>
    <x v="26"/>
    <x v="26"/>
    <n v="-40000"/>
    <n v="0"/>
    <n v="40000"/>
    <x v="241"/>
    <s v="Cali"/>
    <m/>
    <m/>
    <m/>
    <m/>
    <x v="0"/>
  </r>
  <r>
    <m/>
    <x v="1"/>
    <x v="23"/>
    <x v="23"/>
    <m/>
    <m/>
    <m/>
    <x v="1"/>
    <m/>
    <m/>
    <m/>
    <m/>
    <m/>
    <x v="0"/>
  </r>
  <r>
    <d v="2021-11-29T00:00:00"/>
    <x v="11"/>
    <x v="0"/>
    <x v="0"/>
    <n v="25000"/>
    <n v="25000"/>
    <n v="0"/>
    <x v="138"/>
    <s v="Cali"/>
    <m/>
    <m/>
    <m/>
    <m/>
    <x v="0"/>
  </r>
  <r>
    <d v="2021-11-29T00:00:00"/>
    <x v="11"/>
    <x v="27"/>
    <x v="27"/>
    <n v="-25000"/>
    <n v="0"/>
    <n v="25000"/>
    <x v="138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15"/>
    <x v="15"/>
    <n v="2967795"/>
    <n v="2967795"/>
    <n v="0"/>
    <x v="652"/>
    <s v="Cali"/>
    <m/>
    <m/>
    <m/>
    <m/>
    <x v="0"/>
  </r>
  <r>
    <d v="2021-11-30T00:00:00"/>
    <x v="11"/>
    <x v="14"/>
    <x v="14"/>
    <n v="175140"/>
    <n v="175140"/>
    <n v="0"/>
    <x v="652"/>
    <s v="Cali"/>
    <m/>
    <m/>
    <m/>
    <m/>
    <x v="0"/>
  </r>
  <r>
    <d v="2021-11-30T00:00:00"/>
    <x v="11"/>
    <x v="0"/>
    <x v="0"/>
    <n v="-3134885"/>
    <n v="0"/>
    <n v="3134885"/>
    <x v="652"/>
    <s v="Cali"/>
    <m/>
    <m/>
    <m/>
    <m/>
    <x v="0"/>
  </r>
  <r>
    <d v="2021-11-30T00:00:00"/>
    <x v="11"/>
    <x v="15"/>
    <x v="15"/>
    <n v="-8050"/>
    <n v="0"/>
    <n v="8050"/>
    <x v="653"/>
    <s v="Cali"/>
    <m/>
    <m/>
    <m/>
    <m/>
    <x v="0"/>
  </r>
  <r>
    <m/>
    <x v="1"/>
    <x v="23"/>
    <x v="23"/>
    <m/>
    <m/>
    <m/>
    <x v="1"/>
    <m/>
    <m/>
    <m/>
    <m/>
    <m/>
    <x v="0"/>
  </r>
  <r>
    <d v="2021-11-29T00:00:00"/>
    <x v="11"/>
    <x v="31"/>
    <x v="31"/>
    <n v="338983"/>
    <n v="338983"/>
    <n v="0"/>
    <x v="654"/>
    <s v="Cali"/>
    <m/>
    <m/>
    <m/>
    <m/>
    <x v="0"/>
  </r>
  <r>
    <d v="2021-11-29T00:00:00"/>
    <x v="11"/>
    <x v="17"/>
    <x v="17"/>
    <n v="-38983"/>
    <n v="0"/>
    <n v="38983"/>
    <x v="654"/>
    <s v="Cali"/>
    <m/>
    <m/>
    <m/>
    <m/>
    <x v="0"/>
  </r>
  <r>
    <d v="2021-11-29T00:00:00"/>
    <x v="11"/>
    <x v="0"/>
    <x v="0"/>
    <n v="-300000"/>
    <n v="0"/>
    <n v="300000"/>
    <x v="654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10000"/>
    <n v="10000"/>
    <n v="0"/>
    <x v="198"/>
    <s v="Cali"/>
    <m/>
    <m/>
    <m/>
    <m/>
    <x v="0"/>
  </r>
  <r>
    <d v="2021-11-30T00:00:00"/>
    <x v="11"/>
    <x v="27"/>
    <x v="27"/>
    <n v="-10000"/>
    <n v="0"/>
    <n v="10000"/>
    <x v="198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2195995"/>
    <n v="2195995"/>
    <n v="0"/>
    <x v="655"/>
    <s v="Cali"/>
    <m/>
    <m/>
    <m/>
    <m/>
    <x v="0"/>
  </r>
  <r>
    <d v="2021-11-30T00:00:00"/>
    <x v="11"/>
    <x v="44"/>
    <x v="44"/>
    <n v="-2195995"/>
    <n v="0"/>
    <n v="2195995"/>
    <x v="655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1964258"/>
    <n v="1964258"/>
    <n v="0"/>
    <x v="656"/>
    <s v="Cali"/>
    <m/>
    <m/>
    <m/>
    <m/>
    <x v="0"/>
  </r>
  <r>
    <d v="2021-11-30T00:00:00"/>
    <x v="11"/>
    <x v="45"/>
    <x v="45"/>
    <n v="-1964258"/>
    <n v="0"/>
    <n v="1964258"/>
    <x v="656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30000"/>
    <n v="30000"/>
    <n v="0"/>
    <x v="321"/>
    <s v="Cali"/>
    <m/>
    <m/>
    <m/>
    <m/>
    <x v="0"/>
  </r>
  <r>
    <d v="2021-11-30T00:00:00"/>
    <x v="11"/>
    <x v="27"/>
    <x v="27"/>
    <n v="-30000"/>
    <n v="0"/>
    <n v="30000"/>
    <x v="321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30000"/>
    <n v="30000"/>
    <n v="0"/>
    <x v="308"/>
    <s v="Cali"/>
    <m/>
    <m/>
    <m/>
    <m/>
    <x v="0"/>
  </r>
  <r>
    <d v="2021-11-30T00:00:00"/>
    <x v="11"/>
    <x v="25"/>
    <x v="25"/>
    <n v="-30000"/>
    <n v="0"/>
    <n v="30000"/>
    <x v="308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20000"/>
    <n v="20000"/>
    <n v="0"/>
    <x v="342"/>
    <s v="Cali"/>
    <m/>
    <m/>
    <m/>
    <m/>
    <x v="0"/>
  </r>
  <r>
    <d v="2021-11-30T00:00:00"/>
    <x v="11"/>
    <x v="25"/>
    <x v="25"/>
    <n v="-20000"/>
    <n v="0"/>
    <n v="20000"/>
    <x v="342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20000"/>
    <n v="20000"/>
    <n v="0"/>
    <x v="132"/>
    <s v="Cali"/>
    <m/>
    <m/>
    <m/>
    <m/>
    <x v="0"/>
  </r>
  <r>
    <d v="2021-11-30T00:00:00"/>
    <x v="11"/>
    <x v="25"/>
    <x v="25"/>
    <n v="-20000"/>
    <n v="0"/>
    <n v="20000"/>
    <x v="132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30000"/>
    <n v="30000"/>
    <n v="0"/>
    <x v="497"/>
    <s v="Cali"/>
    <m/>
    <m/>
    <m/>
    <m/>
    <x v="0"/>
  </r>
  <r>
    <d v="2021-11-30T00:00:00"/>
    <x v="11"/>
    <x v="25"/>
    <x v="25"/>
    <n v="-30000"/>
    <n v="0"/>
    <n v="30000"/>
    <x v="497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20000"/>
    <n v="20000"/>
    <n v="0"/>
    <x v="174"/>
    <s v="Cali"/>
    <m/>
    <m/>
    <m/>
    <m/>
    <x v="0"/>
  </r>
  <r>
    <d v="2021-11-30T00:00:00"/>
    <x v="11"/>
    <x v="25"/>
    <x v="25"/>
    <n v="-20000"/>
    <n v="0"/>
    <n v="20000"/>
    <x v="174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100000"/>
    <n v="100000"/>
    <n v="0"/>
    <x v="134"/>
    <s v="Cali"/>
    <m/>
    <m/>
    <m/>
    <m/>
    <x v="0"/>
  </r>
  <r>
    <d v="2021-11-30T00:00:00"/>
    <x v="11"/>
    <x v="26"/>
    <x v="26"/>
    <n v="-100000"/>
    <n v="0"/>
    <n v="100000"/>
    <x v="134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50000"/>
    <n v="50000"/>
    <n v="0"/>
    <x v="135"/>
    <s v="Cali"/>
    <m/>
    <m/>
    <m/>
    <m/>
    <x v="0"/>
  </r>
  <r>
    <d v="2021-11-30T00:00:00"/>
    <x v="11"/>
    <x v="26"/>
    <x v="26"/>
    <n v="-50000"/>
    <n v="0"/>
    <n v="50000"/>
    <x v="135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40000"/>
    <n v="40000"/>
    <n v="0"/>
    <x v="133"/>
    <s v="Cali"/>
    <m/>
    <m/>
    <m/>
    <m/>
    <x v="0"/>
  </r>
  <r>
    <d v="2021-11-30T00:00:00"/>
    <x v="11"/>
    <x v="25"/>
    <x v="25"/>
    <n v="-40000"/>
    <n v="0"/>
    <n v="40000"/>
    <x v="133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19360"/>
    <n v="19360"/>
    <n v="0"/>
    <x v="657"/>
    <s v="Cali"/>
    <m/>
    <m/>
    <m/>
    <m/>
    <x v="0"/>
  </r>
  <r>
    <d v="2021-11-30T00:00:00"/>
    <x v="11"/>
    <x v="25"/>
    <x v="25"/>
    <n v="-20000"/>
    <n v="0"/>
    <n v="20000"/>
    <x v="657"/>
    <s v="Cali"/>
    <m/>
    <m/>
    <m/>
    <m/>
    <x v="0"/>
  </r>
  <r>
    <d v="2021-11-30T00:00:00"/>
    <x v="11"/>
    <x v="31"/>
    <x v="31"/>
    <n v="640"/>
    <n v="640"/>
    <n v="0"/>
    <x v="657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20000"/>
    <n v="20000"/>
    <n v="0"/>
    <x v="151"/>
    <s v="Cali"/>
    <m/>
    <m/>
    <m/>
    <m/>
    <x v="0"/>
  </r>
  <r>
    <d v="2021-11-30T00:00:00"/>
    <x v="11"/>
    <x v="25"/>
    <x v="25"/>
    <n v="-20000"/>
    <n v="0"/>
    <n v="20000"/>
    <x v="151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60000"/>
    <n v="60000"/>
    <n v="0"/>
    <x v="65"/>
    <s v="Cali"/>
    <m/>
    <m/>
    <m/>
    <m/>
    <x v="0"/>
  </r>
  <r>
    <d v="2021-11-30T00:00:00"/>
    <x v="11"/>
    <x v="29"/>
    <x v="29"/>
    <n v="-60000"/>
    <n v="0"/>
    <n v="6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30000"/>
    <n v="30000"/>
    <n v="0"/>
    <x v="65"/>
    <s v="Cali"/>
    <m/>
    <m/>
    <m/>
    <m/>
    <x v="0"/>
  </r>
  <r>
    <d v="2021-11-30T00:00:00"/>
    <x v="11"/>
    <x v="29"/>
    <x v="29"/>
    <n v="-30000"/>
    <n v="0"/>
    <n v="3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20000"/>
    <n v="20000"/>
    <n v="0"/>
    <x v="65"/>
    <s v="Cali"/>
    <m/>
    <m/>
    <m/>
    <m/>
    <x v="0"/>
  </r>
  <r>
    <d v="2021-11-30T00:00:00"/>
    <x v="11"/>
    <x v="29"/>
    <x v="29"/>
    <n v="-20000"/>
    <n v="0"/>
    <n v="2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40000"/>
    <n v="40000"/>
    <n v="0"/>
    <x v="157"/>
    <s v="Cali"/>
    <m/>
    <m/>
    <m/>
    <m/>
    <x v="0"/>
  </r>
  <r>
    <d v="2021-11-30T00:00:00"/>
    <x v="11"/>
    <x v="27"/>
    <x v="27"/>
    <n v="-40000"/>
    <n v="0"/>
    <n v="40000"/>
    <x v="157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50000"/>
    <n v="50000"/>
    <n v="0"/>
    <x v="618"/>
    <s v="Cali"/>
    <m/>
    <m/>
    <m/>
    <m/>
    <x v="0"/>
  </r>
  <r>
    <d v="2021-11-30T00:00:00"/>
    <x v="11"/>
    <x v="25"/>
    <x v="25"/>
    <n v="-50000"/>
    <n v="0"/>
    <n v="50000"/>
    <x v="618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0"/>
    <x v="0"/>
    <n v="20000"/>
    <n v="20000"/>
    <n v="0"/>
    <x v="246"/>
    <s v="Cali"/>
    <m/>
    <m/>
    <m/>
    <m/>
    <x v="0"/>
  </r>
  <r>
    <d v="2021-11-30T00:00:00"/>
    <x v="11"/>
    <x v="25"/>
    <x v="25"/>
    <n v="-20000"/>
    <n v="0"/>
    <n v="20000"/>
    <x v="246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32"/>
    <x v="32"/>
    <n v="-592000"/>
    <n v="0"/>
    <n v="592000"/>
    <x v="658"/>
    <s v="Cali"/>
    <m/>
    <m/>
    <m/>
    <m/>
    <x v="0"/>
  </r>
  <r>
    <d v="2021-11-30T00:00:00"/>
    <x v="11"/>
    <x v="33"/>
    <x v="33"/>
    <n v="0"/>
    <n v="0"/>
    <n v="0"/>
    <x v="658"/>
    <s v="Cali"/>
    <m/>
    <m/>
    <m/>
    <m/>
    <x v="0"/>
  </r>
  <r>
    <d v="2021-11-30T00:00:00"/>
    <x v="11"/>
    <x v="34"/>
    <x v="34"/>
    <n v="-1000100"/>
    <n v="0"/>
    <n v="1000100"/>
    <x v="658"/>
    <s v="Cali"/>
    <m/>
    <m/>
    <m/>
    <m/>
    <x v="0"/>
  </r>
  <r>
    <d v="2021-11-30T00:00:00"/>
    <x v="11"/>
    <x v="35"/>
    <x v="35"/>
    <n v="-3666000"/>
    <n v="0"/>
    <n v="3666000"/>
    <x v="658"/>
    <s v="Cali"/>
    <m/>
    <m/>
    <m/>
    <m/>
    <x v="0"/>
  </r>
  <r>
    <d v="2021-11-30T00:00:00"/>
    <x v="11"/>
    <x v="36"/>
    <x v="36"/>
    <n v="-4310600"/>
    <n v="0"/>
    <n v="4310600"/>
    <x v="658"/>
    <s v="Cali"/>
    <m/>
    <m/>
    <m/>
    <m/>
    <x v="0"/>
  </r>
  <r>
    <d v="2021-11-30T00:00:00"/>
    <x v="11"/>
    <x v="37"/>
    <x v="37"/>
    <n v="-8692913"/>
    <n v="0"/>
    <n v="8692913"/>
    <x v="658"/>
    <s v="Cali"/>
    <m/>
    <m/>
    <m/>
    <m/>
    <x v="0"/>
  </r>
  <r>
    <d v="2021-11-30T00:00:00"/>
    <x v="11"/>
    <x v="29"/>
    <x v="29"/>
    <n v="592000"/>
    <n v="592000"/>
    <n v="0"/>
    <x v="658"/>
    <s v="Cali"/>
    <m/>
    <m/>
    <m/>
    <m/>
    <x v="0"/>
  </r>
  <r>
    <d v="2021-11-30T00:00:00"/>
    <x v="11"/>
    <x v="27"/>
    <x v="27"/>
    <n v="1000100"/>
    <n v="1000100"/>
    <n v="0"/>
    <x v="658"/>
    <s v="Cali"/>
    <m/>
    <m/>
    <m/>
    <m/>
    <x v="0"/>
  </r>
  <r>
    <d v="2021-11-30T00:00:00"/>
    <x v="11"/>
    <x v="25"/>
    <x v="25"/>
    <n v="3666000"/>
    <n v="3666000"/>
    <n v="0"/>
    <x v="658"/>
    <s v="Cali"/>
    <m/>
    <m/>
    <m/>
    <m/>
    <x v="0"/>
  </r>
  <r>
    <d v="2021-11-30T00:00:00"/>
    <x v="11"/>
    <x v="5"/>
    <x v="5"/>
    <n v="13003513"/>
    <n v="13003513"/>
    <n v="0"/>
    <x v="658"/>
    <s v="Cali"/>
    <m/>
    <m/>
    <m/>
    <m/>
    <x v="0"/>
  </r>
  <r>
    <d v="2021-11-30T00:00:00"/>
    <x v="11"/>
    <x v="15"/>
    <x v="15"/>
    <n v="-3085459"/>
    <n v="0"/>
    <n v="3085459"/>
    <x v="658"/>
    <s v="Cali"/>
    <m/>
    <m/>
    <m/>
    <m/>
    <x v="0"/>
  </r>
  <r>
    <d v="2021-11-30T00:00:00"/>
    <x v="11"/>
    <x v="38"/>
    <x v="38"/>
    <n v="3085459"/>
    <n v="3085459"/>
    <n v="0"/>
    <x v="658"/>
    <s v="Cali"/>
    <m/>
    <m/>
    <m/>
    <m/>
    <x v="0"/>
  </r>
  <r>
    <d v="2021-11-30T00:00:00"/>
    <x v="11"/>
    <x v="16"/>
    <x v="16"/>
    <n v="-71040"/>
    <n v="0"/>
    <n v="71040"/>
    <x v="658"/>
    <s v="Cali"/>
    <m/>
    <m/>
    <m/>
    <m/>
    <x v="0"/>
  </r>
  <r>
    <d v="2021-11-30T00:00:00"/>
    <x v="11"/>
    <x v="14"/>
    <x v="14"/>
    <n v="-182616"/>
    <n v="0"/>
    <n v="182616"/>
    <x v="658"/>
    <s v="Cali"/>
    <m/>
    <m/>
    <m/>
    <m/>
    <x v="0"/>
  </r>
  <r>
    <d v="2021-11-30T00:00:00"/>
    <x v="11"/>
    <x v="39"/>
    <x v="39"/>
    <n v="71040"/>
    <n v="71040"/>
    <n v="0"/>
    <x v="658"/>
    <s v="Cali"/>
    <m/>
    <m/>
    <m/>
    <m/>
    <x v="0"/>
  </r>
  <r>
    <d v="2021-11-30T00:00:00"/>
    <x v="11"/>
    <x v="40"/>
    <x v="40"/>
    <n v="182616"/>
    <n v="182616"/>
    <n v="0"/>
    <x v="658"/>
    <s v="Cali"/>
    <m/>
    <m/>
    <m/>
    <m/>
    <x v="0"/>
  </r>
  <r>
    <d v="2021-11-30T00:00:00"/>
    <x v="11"/>
    <x v="41"/>
    <x v="41"/>
    <n v="-5957168"/>
    <n v="0"/>
    <n v="5957168"/>
    <x v="658"/>
    <s v="Cali"/>
    <m/>
    <m/>
    <m/>
    <m/>
    <x v="0"/>
  </r>
  <r>
    <d v="2021-11-30T00:00:00"/>
    <x v="11"/>
    <x v="42"/>
    <x v="42"/>
    <n v="-2035500"/>
    <n v="0"/>
    <n v="2035500"/>
    <x v="658"/>
    <s v="Cali"/>
    <m/>
    <m/>
    <m/>
    <m/>
    <x v="0"/>
  </r>
  <r>
    <d v="2021-11-30T00:00:00"/>
    <x v="11"/>
    <x v="43"/>
    <x v="43"/>
    <n v="407610"/>
    <n v="407610"/>
    <n v="0"/>
    <x v="658"/>
    <s v="Cali"/>
    <m/>
    <m/>
    <m/>
    <m/>
    <x v="0"/>
  </r>
  <r>
    <d v="2021-11-30T00:00:00"/>
    <x v="11"/>
    <x v="43"/>
    <x v="43"/>
    <n v="50888"/>
    <n v="50888"/>
    <n v="0"/>
    <x v="658"/>
    <s v="Cali"/>
    <m/>
    <m/>
    <m/>
    <m/>
    <x v="0"/>
  </r>
  <r>
    <d v="2021-11-30T00:00:00"/>
    <x v="11"/>
    <x v="38"/>
    <x v="38"/>
    <n v="3293992"/>
    <n v="3293992"/>
    <n v="0"/>
    <x v="658"/>
    <s v="Cali"/>
    <m/>
    <m/>
    <m/>
    <m/>
    <x v="0"/>
  </r>
  <r>
    <d v="2021-11-30T00:00:00"/>
    <x v="11"/>
    <x v="40"/>
    <x v="40"/>
    <n v="59572"/>
    <n v="59572"/>
    <n v="0"/>
    <x v="658"/>
    <s v="Cali"/>
    <m/>
    <m/>
    <m/>
    <m/>
    <x v="0"/>
  </r>
  <r>
    <d v="2021-11-30T00:00:00"/>
    <x v="11"/>
    <x v="40"/>
    <x v="40"/>
    <n v="20355"/>
    <n v="20355"/>
    <n v="0"/>
    <x v="658"/>
    <s v="Cali"/>
    <m/>
    <m/>
    <m/>
    <m/>
    <x v="0"/>
  </r>
  <r>
    <d v="2021-11-30T00:00:00"/>
    <x v="11"/>
    <x v="44"/>
    <x v="44"/>
    <n v="2195994"/>
    <n v="2195994"/>
    <n v="0"/>
    <x v="658"/>
    <s v="Cali"/>
    <m/>
    <m/>
    <m/>
    <m/>
    <x v="0"/>
  </r>
  <r>
    <d v="2021-11-30T00:00:00"/>
    <x v="11"/>
    <x v="45"/>
    <x v="45"/>
    <n v="1964257"/>
    <n v="1964257"/>
    <n v="0"/>
    <x v="658"/>
    <s v="Cali"/>
    <m/>
    <m/>
    <m/>
    <m/>
    <x v="0"/>
  </r>
  <r>
    <d v="2021-11-30T00:00:00"/>
    <x v="11"/>
    <x v="5"/>
    <x v="5"/>
    <n v="-416255"/>
    <n v="0"/>
    <n v="416255"/>
    <x v="658"/>
    <s v="Cali"/>
    <m/>
    <m/>
    <m/>
    <m/>
    <x v="0"/>
  </r>
  <r>
    <d v="2021-11-30T00:00:00"/>
    <x v="11"/>
    <x v="30"/>
    <x v="30"/>
    <n v="416255"/>
    <n v="416255"/>
    <n v="0"/>
    <x v="658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13"/>
    <x v="13"/>
    <n v="30000"/>
    <n v="30000"/>
    <n v="0"/>
    <x v="465"/>
    <s v="Cali"/>
    <m/>
    <m/>
    <m/>
    <m/>
    <x v="0"/>
  </r>
  <r>
    <d v="2021-11-30T00:00:00"/>
    <x v="11"/>
    <x v="13"/>
    <x v="13"/>
    <n v="30000"/>
    <n v="30000"/>
    <n v="0"/>
    <x v="405"/>
    <s v="Cali"/>
    <m/>
    <m/>
    <m/>
    <m/>
    <x v="0"/>
  </r>
  <r>
    <d v="2021-11-30T00:00:00"/>
    <x v="11"/>
    <x v="13"/>
    <x v="13"/>
    <n v="29040"/>
    <n v="29040"/>
    <n v="0"/>
    <x v="659"/>
    <s v="Cali"/>
    <m/>
    <m/>
    <m/>
    <m/>
    <x v="0"/>
  </r>
  <r>
    <d v="2021-11-30T00:00:00"/>
    <x v="11"/>
    <x v="13"/>
    <x v="13"/>
    <n v="20000"/>
    <n v="20000"/>
    <n v="0"/>
    <x v="299"/>
    <s v="Cali"/>
    <m/>
    <m/>
    <m/>
    <m/>
    <x v="0"/>
  </r>
  <r>
    <d v="2021-11-30T00:00:00"/>
    <x v="11"/>
    <x v="13"/>
    <x v="13"/>
    <n v="80000"/>
    <n v="80000"/>
    <n v="0"/>
    <x v="463"/>
    <s v="Cali"/>
    <m/>
    <m/>
    <m/>
    <m/>
    <x v="0"/>
  </r>
  <r>
    <d v="2021-11-30T00:00:00"/>
    <x v="11"/>
    <x v="13"/>
    <x v="13"/>
    <n v="20000"/>
    <n v="20000"/>
    <n v="0"/>
    <x v="660"/>
    <s v="Cali"/>
    <m/>
    <m/>
    <m/>
    <m/>
    <x v="0"/>
  </r>
  <r>
    <d v="2021-11-30T00:00:00"/>
    <x v="11"/>
    <x v="13"/>
    <x v="13"/>
    <n v="50000"/>
    <n v="50000"/>
    <n v="0"/>
    <x v="357"/>
    <s v="Cali"/>
    <m/>
    <m/>
    <m/>
    <m/>
    <x v="0"/>
  </r>
  <r>
    <d v="2021-11-30T00:00:00"/>
    <x v="11"/>
    <x v="13"/>
    <x v="13"/>
    <n v="50000"/>
    <n v="50000"/>
    <n v="0"/>
    <x v="220"/>
    <s v="Cali"/>
    <m/>
    <m/>
    <m/>
    <m/>
    <x v="0"/>
  </r>
  <r>
    <d v="2021-11-30T00:00:00"/>
    <x v="11"/>
    <x v="13"/>
    <x v="13"/>
    <n v="120000"/>
    <n v="120000"/>
    <n v="0"/>
    <x v="155"/>
    <s v="Cali"/>
    <m/>
    <m/>
    <m/>
    <m/>
    <x v="0"/>
  </r>
  <r>
    <d v="2021-11-30T00:00:00"/>
    <x v="11"/>
    <x v="13"/>
    <x v="13"/>
    <n v="-45290"/>
    <n v="0"/>
    <n v="45290"/>
    <x v="661"/>
    <s v="Cali"/>
    <m/>
    <m/>
    <m/>
    <m/>
    <x v="0"/>
  </r>
  <r>
    <d v="2021-11-30T00:00:00"/>
    <x v="11"/>
    <x v="13"/>
    <x v="13"/>
    <n v="30000"/>
    <n v="30000"/>
    <n v="0"/>
    <x v="221"/>
    <s v="Cali"/>
    <m/>
    <m/>
    <m/>
    <m/>
    <x v="0"/>
  </r>
  <r>
    <d v="2021-11-30T00:00:00"/>
    <x v="11"/>
    <x v="13"/>
    <x v="13"/>
    <n v="16686"/>
    <n v="16686"/>
    <n v="0"/>
    <x v="662"/>
    <s v="Cali"/>
    <m/>
    <m/>
    <m/>
    <m/>
    <x v="0"/>
  </r>
  <r>
    <d v="2021-11-30T00:00:00"/>
    <x v="11"/>
    <x v="13"/>
    <x v="13"/>
    <n v="21000"/>
    <n v="21000"/>
    <n v="0"/>
    <x v="545"/>
    <s v="Cali"/>
    <m/>
    <m/>
    <m/>
    <m/>
    <x v="0"/>
  </r>
  <r>
    <d v="2021-11-30T00:00:00"/>
    <x v="11"/>
    <x v="13"/>
    <x v="13"/>
    <n v="35000"/>
    <n v="35000"/>
    <n v="0"/>
    <x v="546"/>
    <s v="Cali"/>
    <m/>
    <m/>
    <m/>
    <m/>
    <x v="0"/>
  </r>
  <r>
    <d v="2021-11-30T00:00:00"/>
    <x v="11"/>
    <x v="13"/>
    <x v="13"/>
    <n v="15000"/>
    <n v="15000"/>
    <n v="0"/>
    <x v="301"/>
    <s v="Cali"/>
    <m/>
    <m/>
    <m/>
    <m/>
    <x v="0"/>
  </r>
  <r>
    <d v="2021-11-30T00:00:00"/>
    <x v="11"/>
    <x v="13"/>
    <x v="13"/>
    <n v="9816"/>
    <n v="9816"/>
    <n v="0"/>
    <x v="663"/>
    <s v="Cali"/>
    <m/>
    <m/>
    <m/>
    <m/>
    <x v="0"/>
  </r>
  <r>
    <d v="2021-11-30T00:00:00"/>
    <x v="11"/>
    <x v="13"/>
    <x v="13"/>
    <n v="14519"/>
    <n v="14519"/>
    <n v="0"/>
    <x v="664"/>
    <s v="Cali"/>
    <m/>
    <m/>
    <m/>
    <m/>
    <x v="0"/>
  </r>
  <r>
    <d v="2021-11-30T00:00:00"/>
    <x v="11"/>
    <x v="13"/>
    <x v="13"/>
    <n v="29040"/>
    <n v="29040"/>
    <n v="0"/>
    <x v="665"/>
    <s v="Cali"/>
    <m/>
    <m/>
    <m/>
    <m/>
    <x v="0"/>
  </r>
  <r>
    <d v="2021-11-30T00:00:00"/>
    <x v="11"/>
    <x v="13"/>
    <x v="13"/>
    <n v="49078"/>
    <n v="49078"/>
    <n v="0"/>
    <x v="666"/>
    <s v="Cali"/>
    <m/>
    <m/>
    <m/>
    <m/>
    <x v="0"/>
  </r>
  <r>
    <d v="2021-11-30T00:00:00"/>
    <x v="11"/>
    <x v="13"/>
    <x v="13"/>
    <n v="90000"/>
    <n v="90000"/>
    <n v="0"/>
    <x v="407"/>
    <s v="Cali"/>
    <m/>
    <m/>
    <m/>
    <m/>
    <x v="0"/>
  </r>
  <r>
    <d v="2021-11-30T00:00:00"/>
    <x v="11"/>
    <x v="13"/>
    <x v="13"/>
    <n v="9816"/>
    <n v="9816"/>
    <n v="0"/>
    <x v="667"/>
    <s v="Cali"/>
    <m/>
    <m/>
    <m/>
    <m/>
    <x v="0"/>
  </r>
  <r>
    <d v="2021-11-30T00:00:00"/>
    <x v="11"/>
    <x v="13"/>
    <x v="13"/>
    <n v="60000"/>
    <n v="60000"/>
    <n v="0"/>
    <x v="668"/>
    <s v="Cali"/>
    <m/>
    <m/>
    <m/>
    <m/>
    <x v="0"/>
  </r>
  <r>
    <d v="2021-11-30T00:00:00"/>
    <x v="11"/>
    <x v="13"/>
    <x v="13"/>
    <n v="9816"/>
    <n v="9816"/>
    <n v="0"/>
    <x v="669"/>
    <s v="Cali"/>
    <m/>
    <m/>
    <m/>
    <m/>
    <x v="0"/>
  </r>
  <r>
    <d v="2021-11-30T00:00:00"/>
    <x v="11"/>
    <x v="13"/>
    <x v="13"/>
    <n v="60000"/>
    <n v="60000"/>
    <n v="0"/>
    <x v="670"/>
    <s v="Cali"/>
    <m/>
    <m/>
    <m/>
    <m/>
    <x v="0"/>
  </r>
  <r>
    <d v="2021-11-30T00:00:00"/>
    <x v="11"/>
    <x v="13"/>
    <x v="13"/>
    <n v="30000"/>
    <n v="30000"/>
    <n v="0"/>
    <x v="304"/>
    <s v="Cali"/>
    <m/>
    <m/>
    <m/>
    <m/>
    <x v="0"/>
  </r>
  <r>
    <d v="2021-11-30T00:00:00"/>
    <x v="11"/>
    <x v="29"/>
    <x v="29"/>
    <n v="-30000"/>
    <n v="0"/>
    <n v="30000"/>
    <x v="465"/>
    <s v="Cali"/>
    <m/>
    <m/>
    <m/>
    <m/>
    <x v="0"/>
  </r>
  <r>
    <d v="2021-11-30T00:00:00"/>
    <x v="11"/>
    <x v="26"/>
    <x v="26"/>
    <n v="-30000"/>
    <n v="0"/>
    <n v="30000"/>
    <x v="405"/>
    <s v="Cali"/>
    <m/>
    <m/>
    <m/>
    <m/>
    <x v="0"/>
  </r>
  <r>
    <d v="2021-11-30T00:00:00"/>
    <x v="11"/>
    <x v="25"/>
    <x v="25"/>
    <n v="-30000"/>
    <n v="0"/>
    <n v="30000"/>
    <x v="659"/>
    <s v="Cali"/>
    <m/>
    <m/>
    <m/>
    <m/>
    <x v="0"/>
  </r>
  <r>
    <d v="2021-11-30T00:00:00"/>
    <x v="11"/>
    <x v="31"/>
    <x v="31"/>
    <n v="960"/>
    <n v="960"/>
    <n v="0"/>
    <x v="659"/>
    <s v="Cali"/>
    <m/>
    <m/>
    <m/>
    <m/>
    <x v="0"/>
  </r>
  <r>
    <d v="2021-11-30T00:00:00"/>
    <x v="11"/>
    <x v="26"/>
    <x v="26"/>
    <n v="-20000"/>
    <n v="0"/>
    <n v="20000"/>
    <x v="299"/>
    <s v="Cali"/>
    <m/>
    <m/>
    <m/>
    <m/>
    <x v="0"/>
  </r>
  <r>
    <d v="2021-11-30T00:00:00"/>
    <x v="11"/>
    <x v="25"/>
    <x v="25"/>
    <n v="-80000"/>
    <n v="0"/>
    <n v="80000"/>
    <x v="463"/>
    <s v="Cali"/>
    <m/>
    <m/>
    <m/>
    <m/>
    <x v="0"/>
  </r>
  <r>
    <d v="2021-11-30T00:00:00"/>
    <x v="11"/>
    <x v="25"/>
    <x v="25"/>
    <n v="-20000"/>
    <n v="0"/>
    <n v="20000"/>
    <x v="660"/>
    <s v="Cali"/>
    <m/>
    <m/>
    <m/>
    <m/>
    <x v="0"/>
  </r>
  <r>
    <d v="2021-11-30T00:00:00"/>
    <x v="11"/>
    <x v="26"/>
    <x v="26"/>
    <n v="-50000"/>
    <n v="0"/>
    <n v="50000"/>
    <x v="357"/>
    <s v="Cali"/>
    <m/>
    <m/>
    <m/>
    <m/>
    <x v="0"/>
  </r>
  <r>
    <d v="2021-11-30T00:00:00"/>
    <x v="11"/>
    <x v="25"/>
    <x v="25"/>
    <n v="-50000"/>
    <n v="0"/>
    <n v="50000"/>
    <x v="220"/>
    <s v="Cali"/>
    <m/>
    <m/>
    <m/>
    <m/>
    <x v="0"/>
  </r>
  <r>
    <d v="2021-11-30T00:00:00"/>
    <x v="11"/>
    <x v="27"/>
    <x v="27"/>
    <n v="-120000"/>
    <n v="0"/>
    <n v="120000"/>
    <x v="155"/>
    <s v="Cali"/>
    <m/>
    <m/>
    <m/>
    <m/>
    <x v="0"/>
  </r>
  <r>
    <d v="2021-11-30T00:00:00"/>
    <x v="11"/>
    <x v="17"/>
    <x v="17"/>
    <n v="45290"/>
    <n v="45290"/>
    <n v="0"/>
    <x v="661"/>
    <s v="Cali"/>
    <m/>
    <m/>
    <m/>
    <m/>
    <x v="0"/>
  </r>
  <r>
    <d v="2021-11-30T00:00:00"/>
    <x v="11"/>
    <x v="25"/>
    <x v="25"/>
    <n v="-30000"/>
    <n v="0"/>
    <n v="30000"/>
    <x v="221"/>
    <s v="Cali"/>
    <m/>
    <m/>
    <m/>
    <m/>
    <x v="0"/>
  </r>
  <r>
    <d v="2021-11-30T00:00:00"/>
    <x v="11"/>
    <x v="25"/>
    <x v="25"/>
    <n v="-17000"/>
    <n v="0"/>
    <n v="17000"/>
    <x v="662"/>
    <s v="Cali"/>
    <m/>
    <m/>
    <m/>
    <m/>
    <x v="0"/>
  </r>
  <r>
    <d v="2021-11-30T00:00:00"/>
    <x v="11"/>
    <x v="31"/>
    <x v="31"/>
    <n v="314"/>
    <n v="314"/>
    <n v="0"/>
    <x v="662"/>
    <s v="Cali"/>
    <m/>
    <m/>
    <m/>
    <m/>
    <x v="0"/>
  </r>
  <r>
    <d v="2021-11-30T00:00:00"/>
    <x v="11"/>
    <x v="27"/>
    <x v="27"/>
    <n v="-21000"/>
    <n v="0"/>
    <n v="21000"/>
    <x v="545"/>
    <s v="Cali"/>
    <m/>
    <m/>
    <m/>
    <m/>
    <x v="0"/>
  </r>
  <r>
    <d v="2021-11-30T00:00:00"/>
    <x v="11"/>
    <x v="25"/>
    <x v="25"/>
    <n v="-35000"/>
    <n v="0"/>
    <n v="35000"/>
    <x v="546"/>
    <s v="Cali"/>
    <m/>
    <m/>
    <m/>
    <m/>
    <x v="0"/>
  </r>
  <r>
    <d v="2021-11-30T00:00:00"/>
    <x v="11"/>
    <x v="25"/>
    <x v="25"/>
    <n v="-15000"/>
    <n v="0"/>
    <n v="15000"/>
    <x v="301"/>
    <s v="Cali"/>
    <m/>
    <m/>
    <m/>
    <m/>
    <x v="0"/>
  </r>
  <r>
    <d v="2021-11-30T00:00:00"/>
    <x v="11"/>
    <x v="25"/>
    <x v="25"/>
    <n v="-10000"/>
    <n v="0"/>
    <n v="10000"/>
    <x v="663"/>
    <s v="Cali"/>
    <m/>
    <m/>
    <m/>
    <m/>
    <x v="0"/>
  </r>
  <r>
    <d v="2021-11-30T00:00:00"/>
    <x v="11"/>
    <x v="31"/>
    <x v="31"/>
    <n v="184"/>
    <n v="184"/>
    <n v="0"/>
    <x v="663"/>
    <s v="Cali"/>
    <m/>
    <m/>
    <m/>
    <m/>
    <x v="0"/>
  </r>
  <r>
    <d v="2021-11-30T00:00:00"/>
    <x v="11"/>
    <x v="25"/>
    <x v="25"/>
    <n v="-15000"/>
    <n v="0"/>
    <n v="15000"/>
    <x v="664"/>
    <s v="Cali"/>
    <m/>
    <m/>
    <m/>
    <m/>
    <x v="0"/>
  </r>
  <r>
    <d v="2021-11-30T00:00:00"/>
    <x v="11"/>
    <x v="31"/>
    <x v="31"/>
    <n v="481"/>
    <n v="481"/>
    <n v="0"/>
    <x v="664"/>
    <s v="Cali"/>
    <m/>
    <m/>
    <m/>
    <m/>
    <x v="0"/>
  </r>
  <r>
    <d v="2021-11-30T00:00:00"/>
    <x v="11"/>
    <x v="25"/>
    <x v="25"/>
    <n v="-30000"/>
    <n v="0"/>
    <n v="30000"/>
    <x v="665"/>
    <s v="Cali"/>
    <m/>
    <m/>
    <m/>
    <m/>
    <x v="0"/>
  </r>
  <r>
    <d v="2021-11-30T00:00:00"/>
    <x v="11"/>
    <x v="31"/>
    <x v="31"/>
    <n v="960"/>
    <n v="960"/>
    <n v="0"/>
    <x v="665"/>
    <s v="Cali"/>
    <m/>
    <m/>
    <m/>
    <m/>
    <x v="0"/>
  </r>
  <r>
    <d v="2021-11-30T00:00:00"/>
    <x v="11"/>
    <x v="25"/>
    <x v="25"/>
    <n v="-50000"/>
    <n v="0"/>
    <n v="50000"/>
    <x v="666"/>
    <s v="Cali"/>
    <m/>
    <m/>
    <m/>
    <m/>
    <x v="0"/>
  </r>
  <r>
    <d v="2021-11-30T00:00:00"/>
    <x v="11"/>
    <x v="31"/>
    <x v="31"/>
    <n v="922"/>
    <n v="922"/>
    <n v="0"/>
    <x v="666"/>
    <s v="Cali"/>
    <m/>
    <m/>
    <m/>
    <m/>
    <x v="0"/>
  </r>
  <r>
    <d v="2021-11-30T00:00:00"/>
    <x v="11"/>
    <x v="25"/>
    <x v="25"/>
    <n v="-90000"/>
    <n v="0"/>
    <n v="90000"/>
    <x v="407"/>
    <s v="Cali"/>
    <m/>
    <m/>
    <m/>
    <m/>
    <x v="0"/>
  </r>
  <r>
    <d v="2021-11-30T00:00:00"/>
    <x v="11"/>
    <x v="25"/>
    <x v="25"/>
    <n v="-10000"/>
    <n v="0"/>
    <n v="10000"/>
    <x v="667"/>
    <s v="Cali"/>
    <m/>
    <m/>
    <m/>
    <m/>
    <x v="0"/>
  </r>
  <r>
    <d v="2021-11-30T00:00:00"/>
    <x v="11"/>
    <x v="31"/>
    <x v="31"/>
    <n v="184"/>
    <n v="184"/>
    <n v="0"/>
    <x v="667"/>
    <s v="Cali"/>
    <m/>
    <m/>
    <m/>
    <m/>
    <x v="0"/>
  </r>
  <r>
    <d v="2021-11-30T00:00:00"/>
    <x v="11"/>
    <x v="25"/>
    <x v="25"/>
    <n v="-60000"/>
    <n v="0"/>
    <n v="60000"/>
    <x v="668"/>
    <s v="Cali"/>
    <m/>
    <m/>
    <m/>
    <m/>
    <x v="0"/>
  </r>
  <r>
    <d v="2021-11-30T00:00:00"/>
    <x v="11"/>
    <x v="25"/>
    <x v="25"/>
    <n v="-10000"/>
    <n v="0"/>
    <n v="10000"/>
    <x v="669"/>
    <s v="Cali"/>
    <m/>
    <m/>
    <m/>
    <m/>
    <x v="0"/>
  </r>
  <r>
    <d v="2021-11-30T00:00:00"/>
    <x v="11"/>
    <x v="31"/>
    <x v="31"/>
    <n v="184"/>
    <n v="184"/>
    <n v="0"/>
    <x v="669"/>
    <s v="Cali"/>
    <m/>
    <m/>
    <m/>
    <m/>
    <x v="0"/>
  </r>
  <r>
    <d v="2021-11-30T00:00:00"/>
    <x v="11"/>
    <x v="25"/>
    <x v="25"/>
    <n v="-60000"/>
    <n v="0"/>
    <n v="60000"/>
    <x v="670"/>
    <s v="Cali"/>
    <m/>
    <m/>
    <m/>
    <m/>
    <x v="0"/>
  </r>
  <r>
    <d v="2021-11-30T00:00:00"/>
    <x v="11"/>
    <x v="25"/>
    <x v="25"/>
    <n v="-30000"/>
    <n v="0"/>
    <n v="30000"/>
    <x v="304"/>
    <s v="Cali"/>
    <m/>
    <m/>
    <m/>
    <m/>
    <x v="0"/>
  </r>
  <r>
    <m/>
    <x v="1"/>
    <x v="23"/>
    <x v="23"/>
    <m/>
    <m/>
    <m/>
    <x v="1"/>
    <m/>
    <m/>
    <m/>
    <m/>
    <m/>
    <x v="0"/>
  </r>
  <r>
    <d v="2021-11-10T00:00:00"/>
    <x v="11"/>
    <x v="31"/>
    <x v="31"/>
    <n v="12274"/>
    <n v="12274"/>
    <n v="0"/>
    <x v="671"/>
    <s v="Cali"/>
    <m/>
    <m/>
    <m/>
    <m/>
    <x v="0"/>
  </r>
  <r>
    <d v="2021-11-10T00:00:00"/>
    <x v="11"/>
    <x v="51"/>
    <x v="51"/>
    <n v="-12274"/>
    <n v="0"/>
    <n v="12274"/>
    <x v="671"/>
    <s v="Cali"/>
    <m/>
    <m/>
    <m/>
    <m/>
    <x v="0"/>
  </r>
  <r>
    <m/>
    <x v="1"/>
    <x v="23"/>
    <x v="23"/>
    <m/>
    <m/>
    <m/>
    <x v="1"/>
    <m/>
    <m/>
    <m/>
    <m/>
    <m/>
    <x v="0"/>
  </r>
  <r>
    <d v="2021-11-18T00:00:00"/>
    <x v="11"/>
    <x v="51"/>
    <x v="51"/>
    <n v="371036000"/>
    <n v="371036000"/>
    <n v="0"/>
    <x v="627"/>
    <s v="Cali"/>
    <m/>
    <m/>
    <m/>
    <m/>
    <x v="0"/>
  </r>
  <r>
    <d v="2021-11-18T00:00:00"/>
    <x v="11"/>
    <x v="53"/>
    <x v="53"/>
    <n v="-371036000"/>
    <n v="0"/>
    <n v="371036000"/>
    <x v="627"/>
    <s v="Cali"/>
    <m/>
    <m/>
    <m/>
    <m/>
    <x v="0"/>
  </r>
  <r>
    <m/>
    <x v="1"/>
    <x v="23"/>
    <x v="23"/>
    <m/>
    <m/>
    <m/>
    <x v="1"/>
    <m/>
    <m/>
    <m/>
    <m/>
    <m/>
    <x v="0"/>
  </r>
  <r>
    <d v="2021-11-18T00:00:00"/>
    <x v="11"/>
    <x v="53"/>
    <x v="53"/>
    <n v="289000000"/>
    <n v="289000000"/>
    <n v="0"/>
    <x v="672"/>
    <s v="Cali"/>
    <m/>
    <m/>
    <m/>
    <m/>
    <x v="0"/>
  </r>
  <r>
    <d v="2021-11-18T00:00:00"/>
    <x v="11"/>
    <x v="51"/>
    <x v="51"/>
    <n v="-289000000"/>
    <n v="0"/>
    <n v="289000000"/>
    <x v="672"/>
    <s v="Cali"/>
    <m/>
    <m/>
    <m/>
    <m/>
    <x v="0"/>
  </r>
  <r>
    <m/>
    <x v="1"/>
    <x v="23"/>
    <x v="23"/>
    <m/>
    <m/>
    <m/>
    <x v="1"/>
    <m/>
    <m/>
    <m/>
    <m/>
    <m/>
    <x v="0"/>
  </r>
  <r>
    <d v="2021-11-18T00:00:00"/>
    <x v="11"/>
    <x v="1"/>
    <x v="1"/>
    <n v="82000000"/>
    <n v="82000000"/>
    <n v="0"/>
    <x v="673"/>
    <s v="Cali"/>
    <m/>
    <m/>
    <m/>
    <m/>
    <x v="0"/>
  </r>
  <r>
    <d v="2021-11-18T00:00:00"/>
    <x v="11"/>
    <x v="51"/>
    <x v="51"/>
    <n v="-82000000"/>
    <n v="0"/>
    <n v="82000000"/>
    <x v="673"/>
    <s v="Cali"/>
    <m/>
    <m/>
    <m/>
    <m/>
    <x v="0"/>
  </r>
  <r>
    <m/>
    <x v="1"/>
    <x v="23"/>
    <x v="23"/>
    <m/>
    <m/>
    <m/>
    <x v="1"/>
    <m/>
    <m/>
    <m/>
    <m/>
    <m/>
    <x v="0"/>
  </r>
  <r>
    <d v="2021-11-08T00:00:00"/>
    <x v="11"/>
    <x v="31"/>
    <x v="31"/>
    <n v="2187"/>
    <n v="2187"/>
    <n v="0"/>
    <x v="215"/>
    <s v="Cali"/>
    <m/>
    <m/>
    <m/>
    <m/>
    <x v="0"/>
  </r>
  <r>
    <d v="2021-11-08T00:00:00"/>
    <x v="11"/>
    <x v="1"/>
    <x v="1"/>
    <n v="-2187"/>
    <n v="0"/>
    <n v="2187"/>
    <x v="215"/>
    <s v="Cali"/>
    <m/>
    <m/>
    <m/>
    <m/>
    <x v="0"/>
  </r>
  <r>
    <m/>
    <x v="1"/>
    <x v="23"/>
    <x v="23"/>
    <m/>
    <m/>
    <m/>
    <x v="1"/>
    <m/>
    <m/>
    <m/>
    <m/>
    <m/>
    <x v="0"/>
  </r>
  <r>
    <d v="2021-11-08T00:00:00"/>
    <x v="11"/>
    <x v="31"/>
    <x v="31"/>
    <n v="416"/>
    <n v="416"/>
    <n v="0"/>
    <x v="215"/>
    <s v="Cali"/>
    <m/>
    <m/>
    <m/>
    <m/>
    <x v="0"/>
  </r>
  <r>
    <d v="2021-11-08T00:00:00"/>
    <x v="11"/>
    <x v="1"/>
    <x v="1"/>
    <n v="-416"/>
    <n v="0"/>
    <n v="416"/>
    <x v="215"/>
    <s v="Cali"/>
    <m/>
    <m/>
    <m/>
    <m/>
    <x v="0"/>
  </r>
  <r>
    <m/>
    <x v="1"/>
    <x v="23"/>
    <x v="23"/>
    <m/>
    <m/>
    <m/>
    <x v="1"/>
    <m/>
    <m/>
    <m/>
    <m/>
    <m/>
    <x v="0"/>
  </r>
  <r>
    <d v="2021-11-09T00:00:00"/>
    <x v="11"/>
    <x v="12"/>
    <x v="12"/>
    <n v="5493952"/>
    <n v="5493952"/>
    <n v="0"/>
    <x v="674"/>
    <s v="Cali"/>
    <s v="76197476-9"/>
    <s v="INGENIERIA LICENCIADO LAS PENAS LIMITADA"/>
    <n v="2889020"/>
    <m/>
    <x v="0"/>
  </r>
  <r>
    <d v="2021-11-09T00:00:00"/>
    <x v="11"/>
    <x v="1"/>
    <x v="1"/>
    <n v="-5493952"/>
    <n v="0"/>
    <n v="5493952"/>
    <x v="674"/>
    <s v="Cali"/>
    <s v="76197476-9"/>
    <s v="INGENIERIA LICENCIADO LAS PENAS LIMITADA"/>
    <n v="2889020"/>
    <m/>
    <x v="0"/>
  </r>
  <r>
    <m/>
    <x v="1"/>
    <x v="23"/>
    <x v="23"/>
    <m/>
    <m/>
    <m/>
    <x v="1"/>
    <m/>
    <m/>
    <m/>
    <m/>
    <m/>
    <x v="0"/>
  </r>
  <r>
    <d v="2021-11-22T00:00:00"/>
    <x v="11"/>
    <x v="12"/>
    <x v="12"/>
    <n v="4400048"/>
    <n v="4400048"/>
    <n v="0"/>
    <x v="675"/>
    <s v="Cali"/>
    <s v="89485200-3"/>
    <s v="COZ Y COMPAÃ‘IA S.A."/>
    <n v="6495"/>
    <s v="138-01"/>
    <x v="3"/>
  </r>
  <r>
    <d v="2021-11-22T00:00:00"/>
    <x v="11"/>
    <x v="1"/>
    <x v="1"/>
    <n v="-4400048"/>
    <n v="0"/>
    <n v="4400048"/>
    <x v="675"/>
    <s v="Cali"/>
    <s v="89485200-3"/>
    <s v="COZ Y COMPAÃ‘IA S.A."/>
    <n v="6495"/>
    <s v="138-01"/>
    <x v="3"/>
  </r>
  <r>
    <m/>
    <x v="1"/>
    <x v="23"/>
    <x v="23"/>
    <m/>
    <m/>
    <m/>
    <x v="1"/>
    <m/>
    <m/>
    <m/>
    <m/>
    <m/>
    <x v="0"/>
  </r>
  <r>
    <d v="2021-11-22T00:00:00"/>
    <x v="11"/>
    <x v="48"/>
    <x v="48"/>
    <n v="106523067"/>
    <n v="106523067"/>
    <n v="0"/>
    <x v="676"/>
    <s v="Cali"/>
    <s v="80965500-8"/>
    <s v="PROYECTOS Y CONSTRUCCIONES TASCO LIMITADA"/>
    <n v="3075"/>
    <m/>
    <x v="0"/>
  </r>
  <r>
    <d v="2021-11-22T00:00:00"/>
    <x v="11"/>
    <x v="1"/>
    <x v="1"/>
    <n v="-106523067"/>
    <n v="0"/>
    <n v="106523067"/>
    <x v="676"/>
    <s v="Cali"/>
    <s v="80965500-8"/>
    <s v="PROYECTOS Y CONSTRUCCIONES TASCO LIMITADA"/>
    <n v="3075"/>
    <m/>
    <x v="0"/>
  </r>
  <r>
    <m/>
    <x v="1"/>
    <x v="23"/>
    <x v="23"/>
    <m/>
    <m/>
    <m/>
    <x v="1"/>
    <m/>
    <m/>
    <m/>
    <m/>
    <m/>
    <x v="0"/>
  </r>
  <r>
    <d v="2021-11-22T00:00:00"/>
    <x v="11"/>
    <x v="12"/>
    <x v="12"/>
    <n v="3005600"/>
    <n v="3005600"/>
    <n v="0"/>
    <x v="677"/>
    <s v="Cali"/>
    <m/>
    <m/>
    <n v="440"/>
    <m/>
    <x v="0"/>
  </r>
  <r>
    <d v="2021-11-22T00:00:00"/>
    <x v="11"/>
    <x v="1"/>
    <x v="1"/>
    <n v="-3005600"/>
    <n v="0"/>
    <n v="3005600"/>
    <x v="677"/>
    <s v="Cali"/>
    <m/>
    <m/>
    <n v="440"/>
    <m/>
    <x v="0"/>
  </r>
  <r>
    <m/>
    <x v="1"/>
    <x v="23"/>
    <x v="23"/>
    <m/>
    <m/>
    <m/>
    <x v="1"/>
    <m/>
    <m/>
    <m/>
    <m/>
    <m/>
    <x v="0"/>
  </r>
  <r>
    <d v="2021-11-22T00:00:00"/>
    <x v="11"/>
    <x v="11"/>
    <x v="11"/>
    <n v="-14930099"/>
    <m/>
    <n v="14930099"/>
    <x v="678"/>
    <s v="Cali"/>
    <s v="80965500-8"/>
    <s v="PROYECTOS Y CONSTRUCCIONES TASCO LIMITADA"/>
    <n v="3075"/>
    <m/>
    <x v="0"/>
  </r>
  <r>
    <d v="2021-11-22T00:00:00"/>
    <x v="11"/>
    <x v="8"/>
    <x v="8"/>
    <n v="126950219"/>
    <n v="126950219"/>
    <m/>
    <x v="129"/>
    <s v="Cali"/>
    <s v="80965500-8"/>
    <s v="PROYECTOS Y CONSTRUCCIONES TASCO LIMITADA"/>
    <n v="3075"/>
    <m/>
    <x v="0"/>
  </r>
  <r>
    <d v="2021-11-22T00:00:00"/>
    <x v="11"/>
    <x v="18"/>
    <x v="18"/>
    <n v="-5497053"/>
    <m/>
    <n v="5497053"/>
    <x v="679"/>
    <s v="Cali"/>
    <s v="80965500-8"/>
    <s v="PROYECTOS Y CONSTRUCCIONES TASCO LIMITADA"/>
    <n v="3075"/>
    <m/>
    <x v="0"/>
  </r>
  <r>
    <d v="2021-11-22T00:00:00"/>
    <x v="11"/>
    <x v="48"/>
    <x v="48"/>
    <n v="-106523067"/>
    <m/>
    <n v="106523067"/>
    <x v="680"/>
    <s v="Cali"/>
    <s v="80965500-8"/>
    <s v="PROYECTOS Y CONSTRUCCIONES TASCO LIMITADA"/>
    <n v="3075"/>
    <m/>
    <x v="0"/>
  </r>
  <r>
    <m/>
    <x v="1"/>
    <x v="23"/>
    <x v="23"/>
    <m/>
    <m/>
    <m/>
    <x v="1"/>
    <m/>
    <m/>
    <m/>
    <m/>
    <m/>
    <x v="0"/>
  </r>
  <r>
    <d v="2021-11-22T00:00:00"/>
    <x v="11"/>
    <x v="31"/>
    <x v="31"/>
    <n v="4644"/>
    <n v="4644"/>
    <n v="0"/>
    <x v="681"/>
    <s v="Cali"/>
    <m/>
    <m/>
    <m/>
    <m/>
    <x v="0"/>
  </r>
  <r>
    <d v="2021-11-22T00:00:00"/>
    <x v="11"/>
    <x v="1"/>
    <x v="1"/>
    <n v="-4644"/>
    <n v="0"/>
    <n v="4644"/>
    <x v="681"/>
    <s v="Cali"/>
    <m/>
    <m/>
    <m/>
    <m/>
    <x v="0"/>
  </r>
  <r>
    <m/>
    <x v="1"/>
    <x v="23"/>
    <x v="23"/>
    <m/>
    <m/>
    <m/>
    <x v="1"/>
    <m/>
    <m/>
    <m/>
    <m/>
    <m/>
    <x v="0"/>
  </r>
  <r>
    <d v="2021-11-22T00:00:00"/>
    <x v="11"/>
    <x v="31"/>
    <x v="31"/>
    <n v="882"/>
    <n v="882"/>
    <n v="0"/>
    <x v="681"/>
    <s v="Cali"/>
    <m/>
    <m/>
    <m/>
    <m/>
    <x v="0"/>
  </r>
  <r>
    <d v="2021-11-22T00:00:00"/>
    <x v="11"/>
    <x v="1"/>
    <x v="1"/>
    <n v="-882"/>
    <n v="0"/>
    <n v="882"/>
    <x v="681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4"/>
    <x v="4"/>
    <n v="875000"/>
    <n v="875000"/>
    <n v="0"/>
    <x v="682"/>
    <s v="Cali"/>
    <m/>
    <m/>
    <m/>
    <m/>
    <x v="0"/>
  </r>
  <r>
    <d v="2021-11-30T00:00:00"/>
    <x v="11"/>
    <x v="25"/>
    <x v="25"/>
    <n v="-875000"/>
    <n v="0"/>
    <n v="875000"/>
    <x v="682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4"/>
    <x v="4"/>
    <n v="25000"/>
    <n v="25000"/>
    <n v="0"/>
    <x v="683"/>
    <s v="Cali"/>
    <m/>
    <m/>
    <m/>
    <m/>
    <x v="0"/>
  </r>
  <r>
    <d v="2021-11-30T00:00:00"/>
    <x v="11"/>
    <x v="29"/>
    <x v="29"/>
    <n v="-25000"/>
    <n v="0"/>
    <n v="25000"/>
    <x v="683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31"/>
    <x v="31"/>
    <n v="10000"/>
    <n v="10000"/>
    <n v="0"/>
    <x v="684"/>
    <s v="Cali"/>
    <m/>
    <m/>
    <m/>
    <m/>
    <x v="0"/>
  </r>
  <r>
    <d v="2021-11-30T00:00:00"/>
    <x v="11"/>
    <x v="27"/>
    <x v="27"/>
    <n v="-10000"/>
    <n v="0"/>
    <n v="10000"/>
    <x v="684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46"/>
    <x v="46"/>
    <n v="0"/>
    <n v="0"/>
    <n v="0"/>
    <x v="110"/>
    <s v="Cali"/>
    <m/>
    <m/>
    <m/>
    <m/>
    <x v="0"/>
  </r>
  <r>
    <d v="2021-11-30T00:00:00"/>
    <x v="11"/>
    <x v="47"/>
    <x v="47"/>
    <n v="0"/>
    <n v="0"/>
    <n v="0"/>
    <x v="110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2"/>
    <x v="2"/>
    <n v="0"/>
    <n v="0"/>
    <n v="0"/>
    <x v="111"/>
    <s v="Cali"/>
    <m/>
    <m/>
    <m/>
    <m/>
    <x v="0"/>
  </r>
  <r>
    <d v="2021-11-30T00:00:00"/>
    <x v="11"/>
    <x v="47"/>
    <x v="47"/>
    <n v="0"/>
    <n v="0"/>
    <n v="0"/>
    <x v="111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3"/>
    <x v="3"/>
    <n v="0"/>
    <n v="0"/>
    <n v="0"/>
    <x v="112"/>
    <s v="Cali"/>
    <m/>
    <m/>
    <m/>
    <m/>
    <x v="0"/>
  </r>
  <r>
    <d v="2021-11-30T00:00:00"/>
    <x v="11"/>
    <x v="47"/>
    <x v="47"/>
    <n v="0"/>
    <n v="0"/>
    <n v="0"/>
    <x v="112"/>
    <s v="Cali"/>
    <m/>
    <m/>
    <m/>
    <m/>
    <x v="0"/>
  </r>
  <r>
    <m/>
    <x v="1"/>
    <x v="23"/>
    <x v="23"/>
    <m/>
    <m/>
    <m/>
    <x v="1"/>
    <m/>
    <m/>
    <m/>
    <m/>
    <m/>
    <x v="0"/>
  </r>
  <r>
    <d v="2021-11-30T00:00:00"/>
    <x v="11"/>
    <x v="53"/>
    <x v="53"/>
    <n v="1036000"/>
    <n v="1036000"/>
    <n v="0"/>
    <x v="305"/>
    <s v="Cali"/>
    <m/>
    <m/>
    <m/>
    <m/>
    <x v="0"/>
  </r>
  <r>
    <d v="2021-11-30T00:00:00"/>
    <x v="11"/>
    <x v="47"/>
    <x v="47"/>
    <n v="-1036000"/>
    <n v="0"/>
    <n v="1036000"/>
    <x v="305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12000"/>
    <n v="12000"/>
    <n v="0"/>
    <x v="175"/>
    <s v="Cali"/>
    <m/>
    <m/>
    <m/>
    <m/>
    <x v="0"/>
  </r>
  <r>
    <d v="2021-12-01T00:00:00"/>
    <x v="12"/>
    <x v="25"/>
    <x v="25"/>
    <n v="-12000"/>
    <n v="0"/>
    <n v="12000"/>
    <x v="175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10000"/>
    <n v="10000"/>
    <n v="0"/>
    <x v="142"/>
    <s v="Cali"/>
    <m/>
    <m/>
    <m/>
    <m/>
    <x v="0"/>
  </r>
  <r>
    <d v="2021-12-01T00:00:00"/>
    <x v="12"/>
    <x v="25"/>
    <x v="25"/>
    <n v="-10000"/>
    <n v="0"/>
    <n v="10000"/>
    <x v="142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50000"/>
    <n v="50000"/>
    <n v="0"/>
    <x v="143"/>
    <s v="Cali"/>
    <m/>
    <m/>
    <m/>
    <m/>
    <x v="0"/>
  </r>
  <r>
    <d v="2021-12-01T00:00:00"/>
    <x v="12"/>
    <x v="25"/>
    <x v="25"/>
    <n v="-50000"/>
    <n v="0"/>
    <n v="50000"/>
    <x v="143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14000"/>
    <n v="14000"/>
    <n v="0"/>
    <x v="289"/>
    <s v="Cali"/>
    <m/>
    <m/>
    <m/>
    <m/>
    <x v="0"/>
  </r>
  <r>
    <d v="2021-12-01T00:00:00"/>
    <x v="12"/>
    <x v="26"/>
    <x v="26"/>
    <n v="-14000"/>
    <n v="0"/>
    <n v="14000"/>
    <x v="289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48000"/>
    <n v="48000"/>
    <n v="0"/>
    <x v="144"/>
    <s v="Cali"/>
    <m/>
    <m/>
    <m/>
    <m/>
    <x v="0"/>
  </r>
  <r>
    <d v="2021-12-01T00:00:00"/>
    <x v="12"/>
    <x v="27"/>
    <x v="27"/>
    <n v="-48000"/>
    <n v="0"/>
    <n v="48000"/>
    <x v="144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40000"/>
    <n v="40000"/>
    <n v="0"/>
    <x v="145"/>
    <s v="Cali"/>
    <m/>
    <m/>
    <m/>
    <m/>
    <x v="0"/>
  </r>
  <r>
    <d v="2021-12-01T00:00:00"/>
    <x v="12"/>
    <x v="25"/>
    <x v="25"/>
    <n v="-40000"/>
    <n v="0"/>
    <n v="40000"/>
    <x v="145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30000"/>
    <n v="30000"/>
    <n v="0"/>
    <x v="147"/>
    <s v="Cali"/>
    <m/>
    <m/>
    <m/>
    <m/>
    <x v="0"/>
  </r>
  <r>
    <d v="2021-12-01T00:00:00"/>
    <x v="12"/>
    <x v="26"/>
    <x v="26"/>
    <n v="-30000"/>
    <n v="0"/>
    <n v="30000"/>
    <x v="147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40000"/>
    <n v="40000"/>
    <n v="0"/>
    <x v="168"/>
    <s v="Cali"/>
    <m/>
    <m/>
    <m/>
    <m/>
    <x v="0"/>
  </r>
  <r>
    <d v="2021-12-01T00:00:00"/>
    <x v="12"/>
    <x v="26"/>
    <x v="26"/>
    <n v="-40000"/>
    <n v="0"/>
    <n v="40000"/>
    <x v="168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15000"/>
    <n v="15000"/>
    <n v="0"/>
    <x v="364"/>
    <s v="Cali"/>
    <m/>
    <m/>
    <m/>
    <m/>
    <x v="0"/>
  </r>
  <r>
    <d v="2021-12-01T00:00:00"/>
    <x v="12"/>
    <x v="25"/>
    <x v="25"/>
    <n v="-15000"/>
    <n v="0"/>
    <n v="15000"/>
    <x v="364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100000"/>
    <n v="100000"/>
    <n v="0"/>
    <x v="685"/>
    <s v="Cali"/>
    <m/>
    <m/>
    <m/>
    <m/>
    <x v="0"/>
  </r>
  <r>
    <d v="2021-12-01T00:00:00"/>
    <x v="12"/>
    <x v="25"/>
    <x v="25"/>
    <n v="-100000"/>
    <n v="0"/>
    <n v="100000"/>
    <x v="685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20000"/>
    <n v="20000"/>
    <n v="0"/>
    <x v="17"/>
    <s v="Cali"/>
    <m/>
    <m/>
    <m/>
    <m/>
    <x v="0"/>
  </r>
  <r>
    <d v="2021-12-01T00:00:00"/>
    <x v="12"/>
    <x v="25"/>
    <x v="25"/>
    <n v="-20000"/>
    <n v="0"/>
    <n v="20000"/>
    <x v="17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50000"/>
    <n v="50000"/>
    <n v="0"/>
    <x v="19"/>
    <s v="Cali"/>
    <m/>
    <m/>
    <m/>
    <m/>
    <x v="0"/>
  </r>
  <r>
    <d v="2021-12-01T00:00:00"/>
    <x v="12"/>
    <x v="25"/>
    <x v="25"/>
    <n v="-50000"/>
    <n v="0"/>
    <n v="50000"/>
    <x v="19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15000"/>
    <n v="15000"/>
    <n v="0"/>
    <x v="148"/>
    <s v="Cali"/>
    <m/>
    <m/>
    <m/>
    <m/>
    <x v="0"/>
  </r>
  <r>
    <d v="2021-12-01T00:00:00"/>
    <x v="12"/>
    <x v="25"/>
    <x v="25"/>
    <n v="-15000"/>
    <n v="0"/>
    <n v="15000"/>
    <x v="148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70000"/>
    <n v="70000"/>
    <n v="0"/>
    <x v="515"/>
    <s v="Cali"/>
    <m/>
    <m/>
    <m/>
    <m/>
    <x v="0"/>
  </r>
  <r>
    <d v="2021-12-01T00:00:00"/>
    <x v="12"/>
    <x v="26"/>
    <x v="26"/>
    <n v="-70000"/>
    <n v="0"/>
    <n v="70000"/>
    <x v="515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67759"/>
    <n v="67759"/>
    <n v="0"/>
    <x v="686"/>
    <s v="Cali"/>
    <m/>
    <m/>
    <m/>
    <m/>
    <x v="0"/>
  </r>
  <r>
    <d v="2021-12-01T00:00:00"/>
    <x v="12"/>
    <x v="25"/>
    <x v="25"/>
    <n v="-70000"/>
    <n v="0"/>
    <n v="70000"/>
    <x v="686"/>
    <s v="Cali"/>
    <m/>
    <m/>
    <m/>
    <m/>
    <x v="0"/>
  </r>
  <r>
    <d v="2021-12-01T00:00:00"/>
    <x v="12"/>
    <x v="31"/>
    <x v="31"/>
    <n v="2241"/>
    <n v="2241"/>
    <n v="0"/>
    <x v="686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160000"/>
    <n v="160000"/>
    <n v="0"/>
    <x v="22"/>
    <s v="Cali"/>
    <m/>
    <m/>
    <m/>
    <m/>
    <x v="0"/>
  </r>
  <r>
    <d v="2021-12-01T00:00:00"/>
    <x v="12"/>
    <x v="27"/>
    <x v="27"/>
    <n v="-160000"/>
    <n v="0"/>
    <n v="160000"/>
    <x v="22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50000"/>
    <n v="50000"/>
    <n v="0"/>
    <x v="634"/>
    <s v="Cali"/>
    <m/>
    <m/>
    <m/>
    <m/>
    <x v="0"/>
  </r>
  <r>
    <d v="2021-12-01T00:00:00"/>
    <x v="12"/>
    <x v="26"/>
    <x v="26"/>
    <n v="-50000"/>
    <n v="0"/>
    <n v="50000"/>
    <x v="634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30000"/>
    <n v="30000"/>
    <n v="0"/>
    <x v="307"/>
    <s v="Cali"/>
    <m/>
    <m/>
    <m/>
    <m/>
    <x v="0"/>
  </r>
  <r>
    <d v="2021-12-01T00:00:00"/>
    <x v="12"/>
    <x v="25"/>
    <x v="25"/>
    <n v="-30000"/>
    <n v="0"/>
    <n v="30000"/>
    <x v="307"/>
    <s v="Cali"/>
    <m/>
    <m/>
    <m/>
    <m/>
    <x v="0"/>
  </r>
  <r>
    <m/>
    <x v="1"/>
    <x v="23"/>
    <x v="23"/>
    <m/>
    <m/>
    <m/>
    <x v="1"/>
    <m/>
    <m/>
    <m/>
    <m/>
    <m/>
    <x v="0"/>
  </r>
  <r>
    <d v="2021-12-01T00:00:00"/>
    <x v="12"/>
    <x v="0"/>
    <x v="0"/>
    <n v="250000"/>
    <n v="250000"/>
    <n v="0"/>
    <x v="687"/>
    <s v="Cali"/>
    <m/>
    <m/>
    <m/>
    <m/>
    <x v="5"/>
  </r>
  <r>
    <d v="2021-12-01T00:00:00"/>
    <x v="12"/>
    <x v="55"/>
    <x v="55"/>
    <n v="-250000"/>
    <n v="0"/>
    <n v="250000"/>
    <x v="687"/>
    <s v="Cali"/>
    <m/>
    <m/>
    <m/>
    <m/>
    <x v="5"/>
  </r>
  <r>
    <m/>
    <x v="1"/>
    <x v="23"/>
    <x v="23"/>
    <m/>
    <m/>
    <m/>
    <x v="1"/>
    <m/>
    <m/>
    <m/>
    <m/>
    <m/>
    <x v="0"/>
  </r>
  <r>
    <d v="2021-12-01T00:00:00"/>
    <x v="12"/>
    <x v="0"/>
    <x v="0"/>
    <n v="25000"/>
    <n v="25000"/>
    <n v="0"/>
    <x v="65"/>
    <s v="Cali"/>
    <m/>
    <m/>
    <m/>
    <m/>
    <x v="0"/>
  </r>
  <r>
    <d v="2021-12-01T00:00:00"/>
    <x v="12"/>
    <x v="4"/>
    <x v="4"/>
    <n v="-25000"/>
    <n v="0"/>
    <n v="2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2-02T00:00:00"/>
    <x v="12"/>
    <x v="0"/>
    <x v="0"/>
    <n v="500000"/>
    <n v="500000"/>
    <n v="0"/>
    <x v="608"/>
    <s v="Cali"/>
    <m/>
    <m/>
    <m/>
    <m/>
    <x v="0"/>
  </r>
  <r>
    <d v="2021-12-02T00:00:00"/>
    <x v="12"/>
    <x v="26"/>
    <x v="26"/>
    <n v="-500000"/>
    <n v="0"/>
    <n v="500000"/>
    <x v="608"/>
    <s v="Cali"/>
    <m/>
    <m/>
    <m/>
    <m/>
    <x v="0"/>
  </r>
  <r>
    <m/>
    <x v="1"/>
    <x v="23"/>
    <x v="23"/>
    <m/>
    <m/>
    <m/>
    <x v="1"/>
    <m/>
    <m/>
    <m/>
    <m/>
    <m/>
    <x v="0"/>
  </r>
  <r>
    <d v="2021-12-02T00:00:00"/>
    <x v="12"/>
    <x v="0"/>
    <x v="0"/>
    <n v="15000"/>
    <n v="15000"/>
    <n v="0"/>
    <x v="415"/>
    <s v="Cali"/>
    <m/>
    <m/>
    <m/>
    <m/>
    <x v="0"/>
  </r>
  <r>
    <d v="2021-12-02T00:00:00"/>
    <x v="12"/>
    <x v="25"/>
    <x v="25"/>
    <n v="-15000"/>
    <n v="0"/>
    <n v="15000"/>
    <x v="415"/>
    <s v="Cali"/>
    <m/>
    <m/>
    <m/>
    <m/>
    <x v="0"/>
  </r>
  <r>
    <m/>
    <x v="1"/>
    <x v="23"/>
    <x v="23"/>
    <m/>
    <m/>
    <m/>
    <x v="1"/>
    <m/>
    <m/>
    <m/>
    <m/>
    <m/>
    <x v="0"/>
  </r>
  <r>
    <d v="2021-12-02T00:00:00"/>
    <x v="12"/>
    <x v="0"/>
    <x v="0"/>
    <n v="30000"/>
    <n v="30000"/>
    <n v="0"/>
    <x v="239"/>
    <s v="Cali"/>
    <m/>
    <m/>
    <m/>
    <m/>
    <x v="0"/>
  </r>
  <r>
    <d v="2021-12-02T00:00:00"/>
    <x v="12"/>
    <x v="27"/>
    <x v="27"/>
    <n v="-30000"/>
    <n v="0"/>
    <n v="30000"/>
    <x v="239"/>
    <s v="Cali"/>
    <m/>
    <m/>
    <m/>
    <m/>
    <x v="0"/>
  </r>
  <r>
    <m/>
    <x v="1"/>
    <x v="23"/>
    <x v="23"/>
    <m/>
    <m/>
    <m/>
    <x v="1"/>
    <m/>
    <m/>
    <m/>
    <m/>
    <m/>
    <x v="0"/>
  </r>
  <r>
    <d v="2021-12-02T00:00:00"/>
    <x v="12"/>
    <x v="0"/>
    <x v="0"/>
    <n v="30000"/>
    <n v="30000"/>
    <n v="0"/>
    <x v="266"/>
    <s v="Cali"/>
    <m/>
    <m/>
    <m/>
    <m/>
    <x v="0"/>
  </r>
  <r>
    <d v="2021-12-02T00:00:00"/>
    <x v="12"/>
    <x v="25"/>
    <x v="25"/>
    <n v="-30000"/>
    <n v="0"/>
    <n v="30000"/>
    <x v="266"/>
    <s v="Cali"/>
    <m/>
    <m/>
    <m/>
    <m/>
    <x v="0"/>
  </r>
  <r>
    <m/>
    <x v="1"/>
    <x v="23"/>
    <x v="23"/>
    <m/>
    <m/>
    <m/>
    <x v="1"/>
    <m/>
    <m/>
    <m/>
    <m/>
    <m/>
    <x v="0"/>
  </r>
  <r>
    <d v="2021-12-02T00:00:00"/>
    <x v="12"/>
    <x v="0"/>
    <x v="0"/>
    <n v="20000"/>
    <n v="20000"/>
    <n v="0"/>
    <x v="165"/>
    <s v="Cali"/>
    <m/>
    <m/>
    <m/>
    <m/>
    <x v="0"/>
  </r>
  <r>
    <d v="2021-12-02T00:00:00"/>
    <x v="12"/>
    <x v="25"/>
    <x v="25"/>
    <n v="-20000"/>
    <n v="0"/>
    <n v="20000"/>
    <x v="165"/>
    <s v="Cali"/>
    <m/>
    <m/>
    <m/>
    <m/>
    <x v="0"/>
  </r>
  <r>
    <m/>
    <x v="1"/>
    <x v="23"/>
    <x v="23"/>
    <m/>
    <m/>
    <m/>
    <x v="1"/>
    <m/>
    <m/>
    <m/>
    <m/>
    <m/>
    <x v="0"/>
  </r>
  <r>
    <d v="2021-12-02T00:00:00"/>
    <x v="12"/>
    <x v="0"/>
    <x v="0"/>
    <n v="30000"/>
    <n v="30000"/>
    <n v="0"/>
    <x v="179"/>
    <s v="Cali"/>
    <m/>
    <m/>
    <m/>
    <m/>
    <x v="0"/>
  </r>
  <r>
    <d v="2021-12-02T00:00:00"/>
    <x v="12"/>
    <x v="25"/>
    <x v="25"/>
    <n v="-30000"/>
    <n v="0"/>
    <n v="30000"/>
    <x v="179"/>
    <s v="Cali"/>
    <m/>
    <m/>
    <m/>
    <m/>
    <x v="0"/>
  </r>
  <r>
    <m/>
    <x v="1"/>
    <x v="23"/>
    <x v="23"/>
    <m/>
    <m/>
    <m/>
    <x v="1"/>
    <m/>
    <m/>
    <m/>
    <m/>
    <m/>
    <x v="0"/>
  </r>
  <r>
    <d v="2021-12-02T00:00:00"/>
    <x v="12"/>
    <x v="0"/>
    <x v="0"/>
    <n v="100000"/>
    <n v="100000"/>
    <n v="0"/>
    <x v="374"/>
    <s v="Cali"/>
    <m/>
    <m/>
    <m/>
    <m/>
    <x v="0"/>
  </r>
  <r>
    <d v="2021-12-02T00:00:00"/>
    <x v="12"/>
    <x v="26"/>
    <x v="26"/>
    <n v="-100000"/>
    <n v="0"/>
    <n v="100000"/>
    <x v="374"/>
    <s v="Cali"/>
    <m/>
    <m/>
    <m/>
    <m/>
    <x v="0"/>
  </r>
  <r>
    <m/>
    <x v="1"/>
    <x v="23"/>
    <x v="23"/>
    <m/>
    <m/>
    <m/>
    <x v="1"/>
    <m/>
    <m/>
    <m/>
    <m/>
    <m/>
    <x v="0"/>
  </r>
  <r>
    <d v="2021-12-03T00:00:00"/>
    <x v="12"/>
    <x v="0"/>
    <x v="0"/>
    <n v="60000"/>
    <n v="60000"/>
    <n v="0"/>
    <x v="160"/>
    <s v="Cali"/>
    <m/>
    <m/>
    <m/>
    <m/>
    <x v="0"/>
  </r>
  <r>
    <d v="2021-12-03T00:00:00"/>
    <x v="12"/>
    <x v="25"/>
    <x v="25"/>
    <n v="-60000"/>
    <n v="0"/>
    <n v="60000"/>
    <x v="160"/>
    <s v="Cali"/>
    <m/>
    <m/>
    <m/>
    <m/>
    <x v="0"/>
  </r>
  <r>
    <m/>
    <x v="1"/>
    <x v="23"/>
    <x v="23"/>
    <m/>
    <m/>
    <m/>
    <x v="1"/>
    <m/>
    <m/>
    <m/>
    <m/>
    <m/>
    <x v="0"/>
  </r>
  <r>
    <d v="2021-12-03T00:00:00"/>
    <x v="12"/>
    <x v="0"/>
    <x v="0"/>
    <n v="50000"/>
    <n v="50000"/>
    <n v="0"/>
    <x v="163"/>
    <s v="Cali"/>
    <m/>
    <m/>
    <m/>
    <m/>
    <x v="0"/>
  </r>
  <r>
    <d v="2021-12-03T00:00:00"/>
    <x v="12"/>
    <x v="25"/>
    <x v="25"/>
    <n v="-50000"/>
    <n v="0"/>
    <n v="50000"/>
    <x v="163"/>
    <s v="Cali"/>
    <m/>
    <m/>
    <m/>
    <m/>
    <x v="0"/>
  </r>
  <r>
    <m/>
    <x v="1"/>
    <x v="23"/>
    <x v="23"/>
    <m/>
    <m/>
    <m/>
    <x v="1"/>
    <m/>
    <m/>
    <m/>
    <m/>
    <m/>
    <x v="0"/>
  </r>
  <r>
    <d v="2021-12-03T00:00:00"/>
    <x v="12"/>
    <x v="0"/>
    <x v="0"/>
    <n v="5000000"/>
    <n v="5000000"/>
    <n v="0"/>
    <x v="688"/>
    <s v="Cali"/>
    <m/>
    <m/>
    <m/>
    <m/>
    <x v="5"/>
  </r>
  <r>
    <d v="2021-12-03T00:00:00"/>
    <x v="12"/>
    <x v="55"/>
    <x v="55"/>
    <n v="-5000000"/>
    <n v="0"/>
    <n v="5000000"/>
    <x v="688"/>
    <s v="Cali"/>
    <m/>
    <m/>
    <m/>
    <m/>
    <x v="5"/>
  </r>
  <r>
    <m/>
    <x v="1"/>
    <x v="23"/>
    <x v="23"/>
    <m/>
    <m/>
    <m/>
    <x v="1"/>
    <m/>
    <m/>
    <m/>
    <m/>
    <m/>
    <x v="0"/>
  </r>
  <r>
    <d v="2021-12-03T00:00:00"/>
    <x v="12"/>
    <x v="0"/>
    <x v="0"/>
    <n v="32000"/>
    <n v="32000"/>
    <n v="0"/>
    <x v="689"/>
    <s v="Cali"/>
    <m/>
    <m/>
    <m/>
    <m/>
    <x v="0"/>
  </r>
  <r>
    <d v="2021-12-03T00:00:00"/>
    <x v="12"/>
    <x v="13"/>
    <x v="13"/>
    <n v="-32000"/>
    <n v="0"/>
    <n v="32000"/>
    <x v="689"/>
    <s v="Cali"/>
    <m/>
    <m/>
    <m/>
    <m/>
    <x v="0"/>
  </r>
  <r>
    <m/>
    <x v="1"/>
    <x v="23"/>
    <x v="23"/>
    <m/>
    <m/>
    <m/>
    <x v="1"/>
    <m/>
    <m/>
    <m/>
    <m/>
    <m/>
    <x v="0"/>
  </r>
  <r>
    <d v="2021-12-03T00:00:00"/>
    <x v="12"/>
    <x v="0"/>
    <x v="0"/>
    <n v="45000"/>
    <n v="45000"/>
    <n v="0"/>
    <x v="161"/>
    <s v="Cali"/>
    <m/>
    <m/>
    <m/>
    <m/>
    <x v="0"/>
  </r>
  <r>
    <d v="2021-12-03T00:00:00"/>
    <x v="12"/>
    <x v="26"/>
    <x v="26"/>
    <n v="-45000"/>
    <n v="0"/>
    <n v="45000"/>
    <x v="161"/>
    <s v="Cali"/>
    <m/>
    <m/>
    <m/>
    <m/>
    <x v="0"/>
  </r>
  <r>
    <m/>
    <x v="1"/>
    <x v="23"/>
    <x v="23"/>
    <m/>
    <m/>
    <m/>
    <x v="1"/>
    <m/>
    <m/>
    <m/>
    <m/>
    <m/>
    <x v="0"/>
  </r>
  <r>
    <d v="2021-12-03T00:00:00"/>
    <x v="12"/>
    <x v="0"/>
    <x v="0"/>
    <n v="200000"/>
    <n v="200000"/>
    <n v="0"/>
    <x v="242"/>
    <s v="Cali"/>
    <m/>
    <m/>
    <m/>
    <m/>
    <x v="0"/>
  </r>
  <r>
    <d v="2021-12-03T00:00:00"/>
    <x v="12"/>
    <x v="26"/>
    <x v="26"/>
    <n v="-200000"/>
    <n v="0"/>
    <n v="200000"/>
    <x v="242"/>
    <s v="Cali"/>
    <m/>
    <m/>
    <m/>
    <m/>
    <x v="0"/>
  </r>
  <r>
    <m/>
    <x v="1"/>
    <x v="23"/>
    <x v="23"/>
    <m/>
    <m/>
    <m/>
    <x v="1"/>
    <m/>
    <m/>
    <m/>
    <m/>
    <m/>
    <x v="0"/>
  </r>
  <r>
    <d v="2021-12-03T00:00:00"/>
    <x v="12"/>
    <x v="0"/>
    <x v="0"/>
    <n v="60000"/>
    <n v="60000"/>
    <n v="0"/>
    <x v="372"/>
    <s v="Cali"/>
    <m/>
    <m/>
    <m/>
    <m/>
    <x v="0"/>
  </r>
  <r>
    <d v="2021-12-03T00:00:00"/>
    <x v="12"/>
    <x v="25"/>
    <x v="25"/>
    <n v="-60000"/>
    <n v="0"/>
    <n v="60000"/>
    <x v="372"/>
    <s v="Cali"/>
    <m/>
    <m/>
    <m/>
    <m/>
    <x v="0"/>
  </r>
  <r>
    <m/>
    <x v="1"/>
    <x v="23"/>
    <x v="23"/>
    <m/>
    <m/>
    <m/>
    <x v="1"/>
    <m/>
    <m/>
    <m/>
    <m/>
    <m/>
    <x v="0"/>
  </r>
  <r>
    <d v="2021-12-03T00:00:00"/>
    <x v="12"/>
    <x v="0"/>
    <x v="0"/>
    <n v="12000"/>
    <n v="12000"/>
    <n v="0"/>
    <x v="310"/>
    <s v="Cali"/>
    <m/>
    <m/>
    <m/>
    <m/>
    <x v="0"/>
  </r>
  <r>
    <d v="2021-12-03T00:00:00"/>
    <x v="12"/>
    <x v="25"/>
    <x v="25"/>
    <n v="-12000"/>
    <n v="0"/>
    <n v="12000"/>
    <x v="310"/>
    <s v="Cali"/>
    <m/>
    <m/>
    <m/>
    <m/>
    <x v="0"/>
  </r>
  <r>
    <m/>
    <x v="1"/>
    <x v="23"/>
    <x v="23"/>
    <m/>
    <m/>
    <m/>
    <x v="1"/>
    <m/>
    <m/>
    <m/>
    <m/>
    <m/>
    <x v="0"/>
  </r>
  <r>
    <d v="2021-12-03T00:00:00"/>
    <x v="12"/>
    <x v="0"/>
    <x v="0"/>
    <n v="30000"/>
    <n v="30000"/>
    <n v="0"/>
    <x v="164"/>
    <s v="Cali"/>
    <m/>
    <m/>
    <m/>
    <m/>
    <x v="0"/>
  </r>
  <r>
    <d v="2021-12-03T00:00:00"/>
    <x v="12"/>
    <x v="26"/>
    <x v="26"/>
    <n v="-30000"/>
    <n v="0"/>
    <n v="30000"/>
    <x v="164"/>
    <s v="Cali"/>
    <m/>
    <m/>
    <m/>
    <m/>
    <x v="0"/>
  </r>
  <r>
    <m/>
    <x v="1"/>
    <x v="23"/>
    <x v="23"/>
    <m/>
    <m/>
    <m/>
    <x v="1"/>
    <m/>
    <m/>
    <m/>
    <m/>
    <m/>
    <x v="0"/>
  </r>
  <r>
    <d v="2021-12-03T00:00:00"/>
    <x v="12"/>
    <x v="0"/>
    <x v="0"/>
    <n v="15000"/>
    <n v="15000"/>
    <n v="0"/>
    <x v="282"/>
    <s v="Cali"/>
    <m/>
    <m/>
    <m/>
    <m/>
    <x v="0"/>
  </r>
  <r>
    <d v="2021-12-03T00:00:00"/>
    <x v="12"/>
    <x v="25"/>
    <x v="25"/>
    <n v="-15000"/>
    <n v="0"/>
    <n v="15000"/>
    <x v="282"/>
    <s v="Cali"/>
    <m/>
    <m/>
    <m/>
    <m/>
    <x v="0"/>
  </r>
  <r>
    <m/>
    <x v="1"/>
    <x v="23"/>
    <x v="23"/>
    <m/>
    <m/>
    <m/>
    <x v="1"/>
    <m/>
    <m/>
    <m/>
    <m/>
    <m/>
    <x v="0"/>
  </r>
  <r>
    <d v="2021-12-03T00:00:00"/>
    <x v="12"/>
    <x v="0"/>
    <x v="0"/>
    <n v="20000"/>
    <n v="20000"/>
    <n v="0"/>
    <x v="166"/>
    <s v="Cali"/>
    <m/>
    <m/>
    <m/>
    <m/>
    <x v="0"/>
  </r>
  <r>
    <d v="2021-12-03T00:00:00"/>
    <x v="12"/>
    <x v="25"/>
    <x v="25"/>
    <n v="-20000"/>
    <n v="0"/>
    <n v="20000"/>
    <x v="166"/>
    <s v="Cali"/>
    <m/>
    <m/>
    <m/>
    <m/>
    <x v="0"/>
  </r>
  <r>
    <m/>
    <x v="1"/>
    <x v="23"/>
    <x v="23"/>
    <m/>
    <m/>
    <m/>
    <x v="1"/>
    <m/>
    <m/>
    <m/>
    <m/>
    <m/>
    <x v="0"/>
  </r>
  <r>
    <d v="2021-12-03T00:00:00"/>
    <x v="12"/>
    <x v="0"/>
    <x v="0"/>
    <n v="14512"/>
    <n v="14512"/>
    <n v="0"/>
    <x v="690"/>
    <s v="Cali"/>
    <m/>
    <m/>
    <m/>
    <m/>
    <x v="0"/>
  </r>
  <r>
    <d v="2021-12-03T00:00:00"/>
    <x v="12"/>
    <x v="26"/>
    <x v="26"/>
    <n v="-14512"/>
    <n v="0"/>
    <n v="14512"/>
    <x v="690"/>
    <s v="Cali"/>
    <m/>
    <m/>
    <m/>
    <m/>
    <x v="0"/>
  </r>
  <r>
    <m/>
    <x v="1"/>
    <x v="23"/>
    <x v="23"/>
    <m/>
    <m/>
    <m/>
    <x v="1"/>
    <m/>
    <m/>
    <m/>
    <m/>
    <m/>
    <x v="0"/>
  </r>
  <r>
    <d v="2021-12-03T00:00:00"/>
    <x v="12"/>
    <x v="0"/>
    <x v="0"/>
    <n v="24187"/>
    <n v="24187"/>
    <n v="0"/>
    <x v="691"/>
    <s v="Cali"/>
    <m/>
    <m/>
    <m/>
    <m/>
    <x v="0"/>
  </r>
  <r>
    <d v="2021-12-03T00:00:00"/>
    <x v="12"/>
    <x v="25"/>
    <x v="25"/>
    <n v="-25000"/>
    <n v="0"/>
    <n v="25000"/>
    <x v="691"/>
    <s v="Cali"/>
    <m/>
    <m/>
    <m/>
    <m/>
    <x v="0"/>
  </r>
  <r>
    <d v="2021-12-03T00:00:00"/>
    <x v="12"/>
    <x v="31"/>
    <x v="31"/>
    <n v="813"/>
    <n v="813"/>
    <n v="0"/>
    <x v="691"/>
    <s v="Cali"/>
    <m/>
    <m/>
    <m/>
    <m/>
    <x v="0"/>
  </r>
  <r>
    <m/>
    <x v="1"/>
    <x v="23"/>
    <x v="23"/>
    <m/>
    <m/>
    <m/>
    <x v="1"/>
    <m/>
    <m/>
    <m/>
    <m/>
    <m/>
    <x v="0"/>
  </r>
  <r>
    <d v="2021-12-03T00:00:00"/>
    <x v="12"/>
    <x v="0"/>
    <x v="0"/>
    <n v="30000"/>
    <n v="30000"/>
    <n v="0"/>
    <x v="638"/>
    <s v="Cali"/>
    <m/>
    <m/>
    <m/>
    <m/>
    <x v="0"/>
  </r>
  <r>
    <d v="2021-12-03T00:00:00"/>
    <x v="12"/>
    <x v="25"/>
    <x v="25"/>
    <n v="-30000"/>
    <n v="0"/>
    <n v="30000"/>
    <x v="638"/>
    <s v="Cali"/>
    <m/>
    <m/>
    <m/>
    <m/>
    <x v="0"/>
  </r>
  <r>
    <m/>
    <x v="1"/>
    <x v="23"/>
    <x v="23"/>
    <m/>
    <m/>
    <m/>
    <x v="1"/>
    <m/>
    <m/>
    <m/>
    <m/>
    <m/>
    <x v="0"/>
  </r>
  <r>
    <d v="2021-12-03T00:00:00"/>
    <x v="12"/>
    <x v="0"/>
    <x v="0"/>
    <n v="70000"/>
    <n v="70000"/>
    <n v="0"/>
    <x v="37"/>
    <s v="Cali"/>
    <m/>
    <m/>
    <m/>
    <m/>
    <x v="0"/>
  </r>
  <r>
    <d v="2021-12-03T00:00:00"/>
    <x v="12"/>
    <x v="25"/>
    <x v="25"/>
    <n v="-70000"/>
    <n v="0"/>
    <n v="70000"/>
    <x v="37"/>
    <s v="Cali"/>
    <m/>
    <m/>
    <m/>
    <m/>
    <x v="0"/>
  </r>
  <r>
    <m/>
    <x v="1"/>
    <x v="23"/>
    <x v="23"/>
    <m/>
    <m/>
    <m/>
    <x v="1"/>
    <m/>
    <m/>
    <m/>
    <m/>
    <m/>
    <x v="0"/>
  </r>
  <r>
    <d v="2021-12-06T00:00:00"/>
    <x v="12"/>
    <x v="0"/>
    <x v="0"/>
    <n v="30000"/>
    <n v="30000"/>
    <n v="0"/>
    <x v="309"/>
    <s v="Cali"/>
    <m/>
    <m/>
    <m/>
    <m/>
    <x v="0"/>
  </r>
  <r>
    <d v="2021-12-06T00:00:00"/>
    <x v="12"/>
    <x v="26"/>
    <x v="26"/>
    <n v="-30000"/>
    <n v="0"/>
    <n v="30000"/>
    <x v="309"/>
    <s v="Cali"/>
    <m/>
    <m/>
    <m/>
    <m/>
    <x v="0"/>
  </r>
  <r>
    <m/>
    <x v="1"/>
    <x v="23"/>
    <x v="23"/>
    <m/>
    <m/>
    <m/>
    <x v="1"/>
    <m/>
    <m/>
    <m/>
    <m/>
    <m/>
    <x v="0"/>
  </r>
  <r>
    <d v="2021-12-06T00:00:00"/>
    <x v="12"/>
    <x v="0"/>
    <x v="0"/>
    <n v="40000"/>
    <n v="40000"/>
    <n v="0"/>
    <x v="692"/>
    <s v="Cali"/>
    <m/>
    <m/>
    <m/>
    <m/>
    <x v="0"/>
  </r>
  <r>
    <d v="2021-12-06T00:00:00"/>
    <x v="12"/>
    <x v="25"/>
    <x v="25"/>
    <n v="-40000"/>
    <n v="0"/>
    <n v="40000"/>
    <x v="692"/>
    <s v="Cali"/>
    <m/>
    <m/>
    <m/>
    <m/>
    <x v="0"/>
  </r>
  <r>
    <m/>
    <x v="1"/>
    <x v="23"/>
    <x v="23"/>
    <m/>
    <m/>
    <m/>
    <x v="1"/>
    <m/>
    <m/>
    <m/>
    <m/>
    <m/>
    <x v="0"/>
  </r>
  <r>
    <d v="2021-12-06T00:00:00"/>
    <x v="12"/>
    <x v="0"/>
    <x v="0"/>
    <n v="150000"/>
    <n v="150000"/>
    <n v="0"/>
    <x v="169"/>
    <s v="Cali"/>
    <m/>
    <m/>
    <m/>
    <m/>
    <x v="0"/>
  </r>
  <r>
    <d v="2021-12-06T00:00:00"/>
    <x v="12"/>
    <x v="25"/>
    <x v="25"/>
    <n v="-150000"/>
    <n v="0"/>
    <n v="150000"/>
    <x v="169"/>
    <s v="Cali"/>
    <m/>
    <m/>
    <m/>
    <m/>
    <x v="0"/>
  </r>
  <r>
    <m/>
    <x v="1"/>
    <x v="23"/>
    <x v="23"/>
    <m/>
    <m/>
    <m/>
    <x v="1"/>
    <m/>
    <m/>
    <m/>
    <m/>
    <m/>
    <x v="0"/>
  </r>
  <r>
    <d v="2021-12-06T00:00:00"/>
    <x v="12"/>
    <x v="31"/>
    <x v="31"/>
    <n v="280000"/>
    <n v="280000"/>
    <n v="0"/>
    <x v="693"/>
    <s v="Cali"/>
    <m/>
    <m/>
    <m/>
    <m/>
    <x v="0"/>
  </r>
  <r>
    <d v="2021-12-06T00:00:00"/>
    <x v="12"/>
    <x v="0"/>
    <x v="0"/>
    <n v="-280000"/>
    <n v="0"/>
    <n v="280000"/>
    <x v="693"/>
    <s v="Cali"/>
    <m/>
    <m/>
    <m/>
    <m/>
    <x v="0"/>
  </r>
  <r>
    <m/>
    <x v="1"/>
    <x v="23"/>
    <x v="23"/>
    <m/>
    <m/>
    <m/>
    <x v="1"/>
    <m/>
    <m/>
    <m/>
    <m/>
    <m/>
    <x v="0"/>
  </r>
  <r>
    <d v="2021-12-06T00:00:00"/>
    <x v="12"/>
    <x v="0"/>
    <x v="0"/>
    <n v="350000"/>
    <n v="350000"/>
    <n v="0"/>
    <x v="694"/>
    <s v="Cali"/>
    <m/>
    <m/>
    <m/>
    <m/>
    <x v="0"/>
  </r>
  <r>
    <d v="2021-12-06T00:00:00"/>
    <x v="12"/>
    <x v="26"/>
    <x v="26"/>
    <n v="-350000"/>
    <n v="0"/>
    <n v="350000"/>
    <x v="694"/>
    <s v="Cali"/>
    <m/>
    <m/>
    <m/>
    <m/>
    <x v="0"/>
  </r>
  <r>
    <m/>
    <x v="1"/>
    <x v="23"/>
    <x v="23"/>
    <m/>
    <m/>
    <m/>
    <x v="1"/>
    <m/>
    <m/>
    <m/>
    <m/>
    <m/>
    <x v="0"/>
  </r>
  <r>
    <d v="2021-12-06T00:00:00"/>
    <x v="12"/>
    <x v="0"/>
    <x v="0"/>
    <n v="150000"/>
    <n v="150000"/>
    <n v="0"/>
    <x v="694"/>
    <s v="Cali"/>
    <m/>
    <m/>
    <m/>
    <m/>
    <x v="0"/>
  </r>
  <r>
    <d v="2021-12-06T00:00:00"/>
    <x v="12"/>
    <x v="26"/>
    <x v="26"/>
    <n v="-150000"/>
    <n v="0"/>
    <n v="150000"/>
    <x v="694"/>
    <s v="Cali"/>
    <m/>
    <m/>
    <m/>
    <m/>
    <x v="0"/>
  </r>
  <r>
    <m/>
    <x v="1"/>
    <x v="23"/>
    <x v="23"/>
    <m/>
    <m/>
    <m/>
    <x v="1"/>
    <m/>
    <m/>
    <m/>
    <m/>
    <m/>
    <x v="0"/>
  </r>
  <r>
    <d v="2021-12-06T00:00:00"/>
    <x v="12"/>
    <x v="0"/>
    <x v="0"/>
    <n v="15000"/>
    <n v="15000"/>
    <n v="0"/>
    <x v="137"/>
    <s v="Cali"/>
    <m/>
    <m/>
    <m/>
    <m/>
    <x v="0"/>
  </r>
  <r>
    <d v="2021-12-06T00:00:00"/>
    <x v="12"/>
    <x v="26"/>
    <x v="26"/>
    <n v="-15000"/>
    <n v="0"/>
    <n v="15000"/>
    <x v="137"/>
    <s v="Cali"/>
    <m/>
    <m/>
    <m/>
    <m/>
    <x v="0"/>
  </r>
  <r>
    <m/>
    <x v="1"/>
    <x v="23"/>
    <x v="23"/>
    <m/>
    <m/>
    <m/>
    <x v="1"/>
    <m/>
    <m/>
    <m/>
    <m/>
    <m/>
    <x v="0"/>
  </r>
  <r>
    <d v="2021-12-06T00:00:00"/>
    <x v="12"/>
    <x v="0"/>
    <x v="0"/>
    <n v="100000"/>
    <n v="100000"/>
    <n v="0"/>
    <x v="363"/>
    <s v="Cali"/>
    <m/>
    <m/>
    <m/>
    <m/>
    <x v="0"/>
  </r>
  <r>
    <d v="2021-12-06T00:00:00"/>
    <x v="12"/>
    <x v="25"/>
    <x v="25"/>
    <n v="-100000"/>
    <n v="0"/>
    <n v="100000"/>
    <x v="363"/>
    <s v="Cali"/>
    <m/>
    <m/>
    <m/>
    <m/>
    <x v="0"/>
  </r>
  <r>
    <m/>
    <x v="1"/>
    <x v="23"/>
    <x v="23"/>
    <m/>
    <m/>
    <m/>
    <x v="1"/>
    <m/>
    <m/>
    <m/>
    <m/>
    <m/>
    <x v="0"/>
  </r>
  <r>
    <d v="2021-12-06T00:00:00"/>
    <x v="12"/>
    <x v="0"/>
    <x v="0"/>
    <n v="75000"/>
    <n v="75000"/>
    <n v="0"/>
    <x v="316"/>
    <s v="Cali"/>
    <m/>
    <m/>
    <m/>
    <m/>
    <x v="0"/>
  </r>
  <r>
    <d v="2021-12-06T00:00:00"/>
    <x v="12"/>
    <x v="25"/>
    <x v="25"/>
    <n v="-75000"/>
    <n v="0"/>
    <n v="75000"/>
    <x v="316"/>
    <s v="Cali"/>
    <m/>
    <m/>
    <m/>
    <m/>
    <x v="0"/>
  </r>
  <r>
    <m/>
    <x v="1"/>
    <x v="23"/>
    <x v="23"/>
    <m/>
    <m/>
    <m/>
    <x v="1"/>
    <m/>
    <m/>
    <m/>
    <m/>
    <m/>
    <x v="0"/>
  </r>
  <r>
    <d v="2021-12-06T00:00:00"/>
    <x v="12"/>
    <x v="0"/>
    <x v="0"/>
    <n v="35000"/>
    <n v="35000"/>
    <n v="0"/>
    <x v="600"/>
    <s v="Cali"/>
    <m/>
    <m/>
    <m/>
    <m/>
    <x v="0"/>
  </r>
  <r>
    <d v="2021-12-06T00:00:00"/>
    <x v="12"/>
    <x v="25"/>
    <x v="25"/>
    <n v="-35000"/>
    <n v="0"/>
    <n v="35000"/>
    <x v="600"/>
    <s v="Cali"/>
    <m/>
    <m/>
    <m/>
    <m/>
    <x v="0"/>
  </r>
  <r>
    <m/>
    <x v="1"/>
    <x v="23"/>
    <x v="23"/>
    <m/>
    <m/>
    <m/>
    <x v="1"/>
    <m/>
    <m/>
    <m/>
    <m/>
    <m/>
    <x v="0"/>
  </r>
  <r>
    <d v="2021-12-06T00:00:00"/>
    <x v="12"/>
    <x v="0"/>
    <x v="0"/>
    <n v="30000"/>
    <n v="30000"/>
    <n v="0"/>
    <x v="514"/>
    <s v="Cali"/>
    <m/>
    <m/>
    <m/>
    <m/>
    <x v="0"/>
  </r>
  <r>
    <d v="2021-12-06T00:00:00"/>
    <x v="12"/>
    <x v="25"/>
    <x v="25"/>
    <n v="-30000"/>
    <n v="0"/>
    <n v="30000"/>
    <x v="514"/>
    <s v="Cali"/>
    <m/>
    <m/>
    <m/>
    <m/>
    <x v="0"/>
  </r>
  <r>
    <m/>
    <x v="1"/>
    <x v="23"/>
    <x v="23"/>
    <m/>
    <m/>
    <m/>
    <x v="1"/>
    <m/>
    <m/>
    <m/>
    <m/>
    <m/>
    <x v="0"/>
  </r>
  <r>
    <d v="2021-12-06T00:00:00"/>
    <x v="12"/>
    <x v="0"/>
    <x v="0"/>
    <n v="2000"/>
    <n v="2000"/>
    <n v="0"/>
    <x v="177"/>
    <s v="Cali"/>
    <m/>
    <m/>
    <m/>
    <m/>
    <x v="0"/>
  </r>
  <r>
    <d v="2021-12-06T00:00:00"/>
    <x v="12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12-06T00:00:00"/>
    <x v="12"/>
    <x v="0"/>
    <x v="0"/>
    <n v="40000"/>
    <n v="40000"/>
    <n v="0"/>
    <x v="176"/>
    <s v="Cali"/>
    <m/>
    <m/>
    <m/>
    <m/>
    <x v="0"/>
  </r>
  <r>
    <d v="2021-12-06T00:00:00"/>
    <x v="12"/>
    <x v="25"/>
    <x v="25"/>
    <n v="-40000"/>
    <n v="0"/>
    <n v="40000"/>
    <x v="176"/>
    <s v="Cali"/>
    <m/>
    <m/>
    <m/>
    <m/>
    <x v="0"/>
  </r>
  <r>
    <m/>
    <x v="1"/>
    <x v="23"/>
    <x v="23"/>
    <m/>
    <m/>
    <m/>
    <x v="1"/>
    <m/>
    <m/>
    <m/>
    <m/>
    <m/>
    <x v="0"/>
  </r>
  <r>
    <d v="2021-12-06T00:00:00"/>
    <x v="12"/>
    <x v="0"/>
    <x v="0"/>
    <n v="3000000"/>
    <n v="3000000"/>
    <n v="0"/>
    <x v="306"/>
    <s v="Cali"/>
    <m/>
    <m/>
    <m/>
    <m/>
    <x v="0"/>
  </r>
  <r>
    <d v="2021-12-06T00:00:00"/>
    <x v="12"/>
    <x v="26"/>
    <x v="26"/>
    <n v="-3000000"/>
    <n v="0"/>
    <n v="3000000"/>
    <x v="306"/>
    <s v="Cali"/>
    <m/>
    <m/>
    <m/>
    <m/>
    <x v="0"/>
  </r>
  <r>
    <m/>
    <x v="1"/>
    <x v="23"/>
    <x v="23"/>
    <m/>
    <m/>
    <m/>
    <x v="1"/>
    <m/>
    <m/>
    <m/>
    <m/>
    <m/>
    <x v="0"/>
  </r>
  <r>
    <d v="2021-12-07T00:00:00"/>
    <x v="12"/>
    <x v="0"/>
    <x v="0"/>
    <n v="19000"/>
    <n v="19000"/>
    <n v="0"/>
    <x v="695"/>
    <s v="Cali"/>
    <m/>
    <m/>
    <m/>
    <m/>
    <x v="0"/>
  </r>
  <r>
    <d v="2021-12-07T00:00:00"/>
    <x v="12"/>
    <x v="27"/>
    <x v="27"/>
    <n v="-19000"/>
    <n v="0"/>
    <n v="19000"/>
    <x v="695"/>
    <s v="Cali"/>
    <m/>
    <m/>
    <m/>
    <m/>
    <x v="0"/>
  </r>
  <r>
    <m/>
    <x v="1"/>
    <x v="23"/>
    <x v="23"/>
    <m/>
    <m/>
    <m/>
    <x v="1"/>
    <m/>
    <m/>
    <m/>
    <m/>
    <m/>
    <x v="0"/>
  </r>
  <r>
    <d v="2021-12-07T00:00:00"/>
    <x v="12"/>
    <x v="0"/>
    <x v="0"/>
    <n v="12000"/>
    <n v="12000"/>
    <n v="0"/>
    <x v="150"/>
    <s v="Cali"/>
    <m/>
    <m/>
    <m/>
    <m/>
    <x v="0"/>
  </r>
  <r>
    <d v="2021-12-07T00:00:00"/>
    <x v="12"/>
    <x v="19"/>
    <x v="19"/>
    <n v="-12000"/>
    <n v="0"/>
    <n v="12000"/>
    <x v="150"/>
    <s v="Cali"/>
    <m/>
    <m/>
    <m/>
    <m/>
    <x v="0"/>
  </r>
  <r>
    <m/>
    <x v="1"/>
    <x v="23"/>
    <x v="23"/>
    <m/>
    <m/>
    <m/>
    <x v="1"/>
    <m/>
    <m/>
    <m/>
    <m/>
    <m/>
    <x v="0"/>
  </r>
  <r>
    <d v="2021-12-07T00:00:00"/>
    <x v="12"/>
    <x v="0"/>
    <x v="0"/>
    <n v="25000"/>
    <n v="25000"/>
    <n v="0"/>
    <x v="38"/>
    <s v="Cali"/>
    <m/>
    <m/>
    <m/>
    <m/>
    <x v="0"/>
  </r>
  <r>
    <d v="2021-12-07T00:00:00"/>
    <x v="12"/>
    <x v="25"/>
    <x v="25"/>
    <n v="-25000"/>
    <n v="0"/>
    <n v="25000"/>
    <x v="38"/>
    <s v="Cali"/>
    <m/>
    <m/>
    <m/>
    <m/>
    <x v="0"/>
  </r>
  <r>
    <m/>
    <x v="1"/>
    <x v="23"/>
    <x v="23"/>
    <m/>
    <m/>
    <m/>
    <x v="1"/>
    <m/>
    <m/>
    <m/>
    <m/>
    <m/>
    <x v="0"/>
  </r>
  <r>
    <d v="2021-12-07T00:00:00"/>
    <x v="12"/>
    <x v="0"/>
    <x v="0"/>
    <n v="667584"/>
    <n v="667584"/>
    <n v="0"/>
    <x v="648"/>
    <s v="Cali"/>
    <m/>
    <m/>
    <m/>
    <m/>
    <x v="0"/>
  </r>
  <r>
    <d v="2021-12-07T00:00:00"/>
    <x v="12"/>
    <x v="5"/>
    <x v="5"/>
    <n v="-667584"/>
    <n v="0"/>
    <n v="667584"/>
    <x v="648"/>
    <s v="Cali"/>
    <m/>
    <m/>
    <m/>
    <m/>
    <x v="0"/>
  </r>
  <r>
    <m/>
    <x v="1"/>
    <x v="23"/>
    <x v="23"/>
    <m/>
    <m/>
    <m/>
    <x v="1"/>
    <m/>
    <m/>
    <m/>
    <m/>
    <m/>
    <x v="0"/>
  </r>
  <r>
    <d v="2021-12-07T00:00:00"/>
    <x v="12"/>
    <x v="31"/>
    <x v="31"/>
    <n v="131674"/>
    <n v="131674"/>
    <n v="0"/>
    <x v="696"/>
    <s v="Cali"/>
    <m/>
    <m/>
    <m/>
    <m/>
    <x v="0"/>
  </r>
  <r>
    <d v="2021-12-07T00:00:00"/>
    <x v="12"/>
    <x v="0"/>
    <x v="0"/>
    <n v="-131674"/>
    <n v="0"/>
    <n v="131674"/>
    <x v="696"/>
    <s v="Cali"/>
    <m/>
    <m/>
    <m/>
    <m/>
    <x v="0"/>
  </r>
  <r>
    <m/>
    <x v="1"/>
    <x v="23"/>
    <x v="23"/>
    <m/>
    <m/>
    <m/>
    <x v="1"/>
    <m/>
    <m/>
    <m/>
    <m/>
    <m/>
    <x v="0"/>
  </r>
  <r>
    <d v="2021-12-07T00:00:00"/>
    <x v="12"/>
    <x v="0"/>
    <x v="0"/>
    <n v="160000"/>
    <n v="160000"/>
    <n v="0"/>
    <x v="338"/>
    <s v="Cali"/>
    <m/>
    <m/>
    <m/>
    <m/>
    <x v="0"/>
  </r>
  <r>
    <d v="2021-12-07T00:00:00"/>
    <x v="12"/>
    <x v="27"/>
    <x v="27"/>
    <n v="-160000"/>
    <n v="0"/>
    <n v="160000"/>
    <x v="338"/>
    <s v="Cali"/>
    <m/>
    <m/>
    <m/>
    <m/>
    <x v="0"/>
  </r>
  <r>
    <m/>
    <x v="1"/>
    <x v="23"/>
    <x v="23"/>
    <m/>
    <m/>
    <m/>
    <x v="1"/>
    <m/>
    <m/>
    <m/>
    <m/>
    <m/>
    <x v="0"/>
  </r>
  <r>
    <d v="2021-12-09T00:00:00"/>
    <x v="12"/>
    <x v="0"/>
    <x v="0"/>
    <n v="408333"/>
    <n v="408333"/>
    <n v="0"/>
    <x v="688"/>
    <s v="Cali"/>
    <m/>
    <m/>
    <m/>
    <m/>
    <x v="5"/>
  </r>
  <r>
    <d v="2021-12-09T00:00:00"/>
    <x v="12"/>
    <x v="55"/>
    <x v="55"/>
    <n v="-408333"/>
    <n v="0"/>
    <n v="408333"/>
    <x v="688"/>
    <s v="Cali"/>
    <m/>
    <m/>
    <m/>
    <m/>
    <x v="5"/>
  </r>
  <r>
    <m/>
    <x v="1"/>
    <x v="23"/>
    <x v="23"/>
    <m/>
    <m/>
    <m/>
    <x v="1"/>
    <m/>
    <m/>
    <m/>
    <m/>
    <m/>
    <x v="0"/>
  </r>
  <r>
    <d v="2021-12-09T00:00:00"/>
    <x v="12"/>
    <x v="0"/>
    <x v="0"/>
    <n v="250000"/>
    <n v="250000"/>
    <n v="0"/>
    <x v="697"/>
    <s v="Cali"/>
    <m/>
    <m/>
    <m/>
    <m/>
    <x v="5"/>
  </r>
  <r>
    <d v="2021-12-09T00:00:00"/>
    <x v="12"/>
    <x v="55"/>
    <x v="55"/>
    <n v="-250000"/>
    <n v="0"/>
    <n v="250000"/>
    <x v="697"/>
    <s v="Cali"/>
    <m/>
    <m/>
    <m/>
    <m/>
    <x v="5"/>
  </r>
  <r>
    <m/>
    <x v="1"/>
    <x v="23"/>
    <x v="23"/>
    <m/>
    <m/>
    <m/>
    <x v="1"/>
    <m/>
    <m/>
    <m/>
    <m/>
    <m/>
    <x v="0"/>
  </r>
  <r>
    <d v="2021-12-09T00:00:00"/>
    <x v="12"/>
    <x v="0"/>
    <x v="0"/>
    <n v="45000"/>
    <n v="45000"/>
    <n v="0"/>
    <x v="178"/>
    <s v="Cali"/>
    <m/>
    <m/>
    <m/>
    <m/>
    <x v="0"/>
  </r>
  <r>
    <d v="2021-12-09T00:00:00"/>
    <x v="12"/>
    <x v="25"/>
    <x v="25"/>
    <n v="-45000"/>
    <n v="0"/>
    <n v="45000"/>
    <x v="178"/>
    <s v="Cali"/>
    <m/>
    <m/>
    <m/>
    <m/>
    <x v="0"/>
  </r>
  <r>
    <m/>
    <x v="1"/>
    <x v="23"/>
    <x v="23"/>
    <m/>
    <m/>
    <m/>
    <x v="1"/>
    <m/>
    <m/>
    <m/>
    <m/>
    <m/>
    <x v="0"/>
  </r>
  <r>
    <d v="2021-12-09T00:00:00"/>
    <x v="12"/>
    <x v="0"/>
    <x v="0"/>
    <n v="15000"/>
    <n v="15000"/>
    <n v="0"/>
    <x v="420"/>
    <s v="Cali"/>
    <m/>
    <m/>
    <m/>
    <m/>
    <x v="0"/>
  </r>
  <r>
    <d v="2021-12-09T00:00:00"/>
    <x v="12"/>
    <x v="26"/>
    <x v="26"/>
    <n v="-15000"/>
    <n v="0"/>
    <n v="15000"/>
    <x v="420"/>
    <s v="Cali"/>
    <m/>
    <m/>
    <m/>
    <m/>
    <x v="0"/>
  </r>
  <r>
    <m/>
    <x v="1"/>
    <x v="23"/>
    <x v="23"/>
    <m/>
    <m/>
    <m/>
    <x v="1"/>
    <m/>
    <m/>
    <m/>
    <m/>
    <m/>
    <x v="0"/>
  </r>
  <r>
    <d v="2021-12-09T00:00:00"/>
    <x v="12"/>
    <x v="0"/>
    <x v="0"/>
    <n v="96751"/>
    <n v="96751"/>
    <n v="0"/>
    <x v="698"/>
    <s v="Cali"/>
    <m/>
    <m/>
    <m/>
    <m/>
    <x v="0"/>
  </r>
  <r>
    <d v="2021-12-09T00:00:00"/>
    <x v="12"/>
    <x v="26"/>
    <x v="26"/>
    <n v="-96751"/>
    <n v="0"/>
    <n v="96751"/>
    <x v="698"/>
    <s v="Cali"/>
    <m/>
    <m/>
    <m/>
    <m/>
    <x v="0"/>
  </r>
  <r>
    <m/>
    <x v="1"/>
    <x v="23"/>
    <x v="23"/>
    <m/>
    <m/>
    <m/>
    <x v="1"/>
    <m/>
    <m/>
    <m/>
    <m/>
    <m/>
    <x v="0"/>
  </r>
  <r>
    <d v="2021-12-10T00:00:00"/>
    <x v="12"/>
    <x v="0"/>
    <x v="0"/>
    <n v="120000"/>
    <n v="120000"/>
    <n v="0"/>
    <x v="155"/>
    <s v="Cali"/>
    <m/>
    <m/>
    <m/>
    <m/>
    <x v="0"/>
  </r>
  <r>
    <d v="2021-12-10T00:00:00"/>
    <x v="12"/>
    <x v="27"/>
    <x v="27"/>
    <n v="-120000"/>
    <n v="0"/>
    <n v="120000"/>
    <x v="155"/>
    <s v="Cali"/>
    <m/>
    <m/>
    <m/>
    <m/>
    <x v="0"/>
  </r>
  <r>
    <m/>
    <x v="1"/>
    <x v="23"/>
    <x v="23"/>
    <m/>
    <m/>
    <m/>
    <x v="1"/>
    <m/>
    <m/>
    <m/>
    <m/>
    <m/>
    <x v="0"/>
  </r>
  <r>
    <d v="2021-12-10T00:00:00"/>
    <x v="12"/>
    <x v="0"/>
    <x v="0"/>
    <n v="12000"/>
    <n v="12000"/>
    <n v="0"/>
    <x v="191"/>
    <s v="Cali"/>
    <m/>
    <m/>
    <m/>
    <m/>
    <x v="0"/>
  </r>
  <r>
    <d v="2021-12-10T00:00:00"/>
    <x v="12"/>
    <x v="27"/>
    <x v="27"/>
    <n v="-12000"/>
    <n v="0"/>
    <n v="12000"/>
    <x v="191"/>
    <s v="Cali"/>
    <m/>
    <m/>
    <m/>
    <m/>
    <x v="0"/>
  </r>
  <r>
    <m/>
    <x v="1"/>
    <x v="23"/>
    <x v="23"/>
    <m/>
    <m/>
    <m/>
    <x v="1"/>
    <m/>
    <m/>
    <m/>
    <m/>
    <m/>
    <x v="0"/>
  </r>
  <r>
    <d v="2021-12-10T00:00:00"/>
    <x v="12"/>
    <x v="0"/>
    <x v="0"/>
    <n v="20000"/>
    <n v="20000"/>
    <n v="0"/>
    <x v="205"/>
    <s v="Cali"/>
    <m/>
    <m/>
    <m/>
    <m/>
    <x v="0"/>
  </r>
  <r>
    <d v="2021-12-10T00:00:00"/>
    <x v="12"/>
    <x v="27"/>
    <x v="27"/>
    <n v="-20000"/>
    <n v="0"/>
    <n v="20000"/>
    <x v="205"/>
    <s v="Cali"/>
    <m/>
    <m/>
    <m/>
    <m/>
    <x v="0"/>
  </r>
  <r>
    <m/>
    <x v="1"/>
    <x v="23"/>
    <x v="23"/>
    <m/>
    <m/>
    <m/>
    <x v="1"/>
    <m/>
    <m/>
    <m/>
    <m/>
    <m/>
    <x v="0"/>
  </r>
  <r>
    <d v="2021-12-10T00:00:00"/>
    <x v="12"/>
    <x v="0"/>
    <x v="0"/>
    <n v="30000"/>
    <n v="30000"/>
    <n v="0"/>
    <x v="185"/>
    <s v="Cali"/>
    <m/>
    <m/>
    <m/>
    <m/>
    <x v="0"/>
  </r>
  <r>
    <d v="2021-12-10T00:00:00"/>
    <x v="12"/>
    <x v="25"/>
    <x v="25"/>
    <n v="-30000"/>
    <n v="0"/>
    <n v="30000"/>
    <x v="185"/>
    <s v="Cali"/>
    <m/>
    <m/>
    <m/>
    <m/>
    <x v="0"/>
  </r>
  <r>
    <m/>
    <x v="1"/>
    <x v="23"/>
    <x v="23"/>
    <m/>
    <m/>
    <m/>
    <x v="1"/>
    <m/>
    <m/>
    <m/>
    <m/>
    <m/>
    <x v="0"/>
  </r>
  <r>
    <d v="2021-12-10T00:00:00"/>
    <x v="12"/>
    <x v="0"/>
    <x v="0"/>
    <n v="17000"/>
    <n v="17000"/>
    <n v="0"/>
    <x v="186"/>
    <s v="Cali"/>
    <m/>
    <m/>
    <m/>
    <m/>
    <x v="0"/>
  </r>
  <r>
    <d v="2021-12-10T00:00:00"/>
    <x v="12"/>
    <x v="25"/>
    <x v="25"/>
    <n v="-17000"/>
    <n v="0"/>
    <n v="17000"/>
    <x v="186"/>
    <s v="Cali"/>
    <m/>
    <m/>
    <m/>
    <m/>
    <x v="0"/>
  </r>
  <r>
    <m/>
    <x v="1"/>
    <x v="23"/>
    <x v="23"/>
    <m/>
    <m/>
    <m/>
    <x v="1"/>
    <m/>
    <m/>
    <m/>
    <m/>
    <m/>
    <x v="0"/>
  </r>
  <r>
    <d v="2021-12-10T00:00:00"/>
    <x v="12"/>
    <x v="0"/>
    <x v="0"/>
    <n v="100000000"/>
    <n v="100000000"/>
    <n v="0"/>
    <x v="699"/>
    <s v="Cali"/>
    <m/>
    <m/>
    <m/>
    <m/>
    <x v="0"/>
  </r>
  <r>
    <d v="2021-12-10T00:00:00"/>
    <x v="12"/>
    <x v="26"/>
    <x v="26"/>
    <n v="-100000000"/>
    <n v="0"/>
    <n v="100000000"/>
    <x v="699"/>
    <s v="Cali"/>
    <m/>
    <m/>
    <m/>
    <m/>
    <x v="0"/>
  </r>
  <r>
    <m/>
    <x v="1"/>
    <x v="23"/>
    <x v="23"/>
    <m/>
    <m/>
    <m/>
    <x v="1"/>
    <m/>
    <m/>
    <m/>
    <m/>
    <m/>
    <x v="0"/>
  </r>
  <r>
    <d v="2021-12-10T00:00:00"/>
    <x v="12"/>
    <x v="0"/>
    <x v="0"/>
    <n v="30000"/>
    <n v="30000"/>
    <n v="0"/>
    <x v="256"/>
    <s v="Cali"/>
    <m/>
    <m/>
    <m/>
    <m/>
    <x v="0"/>
  </r>
  <r>
    <d v="2021-12-10T00:00:00"/>
    <x v="12"/>
    <x v="25"/>
    <x v="25"/>
    <n v="-30000"/>
    <n v="0"/>
    <n v="30000"/>
    <x v="256"/>
    <s v="Cali"/>
    <m/>
    <m/>
    <m/>
    <m/>
    <x v="0"/>
  </r>
  <r>
    <m/>
    <x v="1"/>
    <x v="23"/>
    <x v="23"/>
    <m/>
    <m/>
    <m/>
    <x v="1"/>
    <m/>
    <m/>
    <m/>
    <m/>
    <m/>
    <x v="0"/>
  </r>
  <r>
    <d v="2021-12-10T00:00:00"/>
    <x v="12"/>
    <x v="0"/>
    <x v="0"/>
    <n v="60000"/>
    <n v="60000"/>
    <n v="0"/>
    <x v="202"/>
    <s v="Cali"/>
    <m/>
    <m/>
    <m/>
    <m/>
    <x v="0"/>
  </r>
  <r>
    <d v="2021-12-10T00:00:00"/>
    <x v="12"/>
    <x v="27"/>
    <x v="27"/>
    <n v="-60000"/>
    <n v="0"/>
    <n v="60000"/>
    <x v="202"/>
    <s v="Cali"/>
    <m/>
    <m/>
    <m/>
    <m/>
    <x v="0"/>
  </r>
  <r>
    <m/>
    <x v="1"/>
    <x v="23"/>
    <x v="23"/>
    <m/>
    <m/>
    <m/>
    <x v="1"/>
    <m/>
    <m/>
    <m/>
    <m/>
    <m/>
    <x v="0"/>
  </r>
  <r>
    <d v="2021-12-13T00:00:00"/>
    <x v="12"/>
    <x v="0"/>
    <x v="0"/>
    <n v="60000"/>
    <n v="60000"/>
    <n v="0"/>
    <x v="170"/>
    <s v="Cali"/>
    <m/>
    <m/>
    <m/>
    <m/>
    <x v="0"/>
  </r>
  <r>
    <d v="2021-12-13T00:00:00"/>
    <x v="12"/>
    <x v="26"/>
    <x v="26"/>
    <n v="-60000"/>
    <n v="0"/>
    <n v="60000"/>
    <x v="170"/>
    <s v="Cali"/>
    <m/>
    <m/>
    <m/>
    <m/>
    <x v="0"/>
  </r>
  <r>
    <m/>
    <x v="1"/>
    <x v="23"/>
    <x v="23"/>
    <m/>
    <m/>
    <m/>
    <x v="1"/>
    <m/>
    <m/>
    <m/>
    <m/>
    <m/>
    <x v="0"/>
  </r>
  <r>
    <d v="2021-12-13T00:00:00"/>
    <x v="12"/>
    <x v="0"/>
    <x v="0"/>
    <n v="25000"/>
    <n v="25000"/>
    <n v="0"/>
    <x v="149"/>
    <s v="Cali"/>
    <m/>
    <m/>
    <m/>
    <m/>
    <x v="0"/>
  </r>
  <r>
    <d v="2021-12-13T00:00:00"/>
    <x v="12"/>
    <x v="27"/>
    <x v="27"/>
    <n v="-25000"/>
    <n v="0"/>
    <n v="25000"/>
    <x v="149"/>
    <s v="Cali"/>
    <m/>
    <m/>
    <m/>
    <m/>
    <x v="0"/>
  </r>
  <r>
    <m/>
    <x v="1"/>
    <x v="23"/>
    <x v="23"/>
    <m/>
    <m/>
    <m/>
    <x v="1"/>
    <m/>
    <m/>
    <m/>
    <m/>
    <m/>
    <x v="0"/>
  </r>
  <r>
    <d v="2021-12-13T00:00:00"/>
    <x v="12"/>
    <x v="0"/>
    <x v="0"/>
    <n v="20000"/>
    <n v="20000"/>
    <n v="0"/>
    <x v="193"/>
    <s v="Cali"/>
    <m/>
    <m/>
    <m/>
    <m/>
    <x v="0"/>
  </r>
  <r>
    <d v="2021-12-13T00:00:00"/>
    <x v="12"/>
    <x v="26"/>
    <x v="26"/>
    <n v="-20000"/>
    <n v="0"/>
    <n v="20000"/>
    <x v="193"/>
    <s v="Cali"/>
    <m/>
    <m/>
    <m/>
    <m/>
    <x v="0"/>
  </r>
  <r>
    <m/>
    <x v="1"/>
    <x v="23"/>
    <x v="23"/>
    <m/>
    <m/>
    <m/>
    <x v="1"/>
    <m/>
    <m/>
    <m/>
    <m/>
    <m/>
    <x v="0"/>
  </r>
  <r>
    <d v="2021-12-13T00:00:00"/>
    <x v="12"/>
    <x v="0"/>
    <x v="0"/>
    <n v="25000"/>
    <n v="25000"/>
    <n v="0"/>
    <x v="194"/>
    <s v="Cali"/>
    <m/>
    <m/>
    <m/>
    <m/>
    <x v="0"/>
  </r>
  <r>
    <d v="2021-12-13T00:00:00"/>
    <x v="12"/>
    <x v="25"/>
    <x v="25"/>
    <n v="-25000"/>
    <n v="0"/>
    <n v="25000"/>
    <x v="194"/>
    <s v="Cali"/>
    <m/>
    <m/>
    <m/>
    <m/>
    <x v="0"/>
  </r>
  <r>
    <m/>
    <x v="1"/>
    <x v="23"/>
    <x v="23"/>
    <m/>
    <m/>
    <m/>
    <x v="1"/>
    <m/>
    <m/>
    <m/>
    <m/>
    <m/>
    <x v="0"/>
  </r>
  <r>
    <d v="2021-12-13T00:00:00"/>
    <x v="12"/>
    <x v="0"/>
    <x v="0"/>
    <n v="7000"/>
    <n v="7000"/>
    <n v="0"/>
    <x v="261"/>
    <s v="Cali"/>
    <m/>
    <m/>
    <m/>
    <m/>
    <x v="0"/>
  </r>
  <r>
    <d v="2021-12-13T00:00:00"/>
    <x v="12"/>
    <x v="25"/>
    <x v="25"/>
    <n v="-7000"/>
    <n v="0"/>
    <n v="7000"/>
    <x v="261"/>
    <s v="Cali"/>
    <m/>
    <m/>
    <m/>
    <m/>
    <x v="0"/>
  </r>
  <r>
    <m/>
    <x v="1"/>
    <x v="23"/>
    <x v="23"/>
    <m/>
    <m/>
    <m/>
    <x v="1"/>
    <m/>
    <m/>
    <m/>
    <m/>
    <m/>
    <x v="0"/>
  </r>
  <r>
    <d v="2021-12-13T00:00:00"/>
    <x v="12"/>
    <x v="0"/>
    <x v="0"/>
    <n v="10000000"/>
    <n v="10000000"/>
    <n v="0"/>
    <x v="700"/>
    <s v="Cali"/>
    <m/>
    <m/>
    <m/>
    <m/>
    <x v="0"/>
  </r>
  <r>
    <d v="2021-12-13T00:00:00"/>
    <x v="12"/>
    <x v="26"/>
    <x v="26"/>
    <n v="-10000000"/>
    <n v="0"/>
    <n v="10000000"/>
    <x v="700"/>
    <s v="Cali"/>
    <m/>
    <m/>
    <m/>
    <m/>
    <x v="0"/>
  </r>
  <r>
    <m/>
    <x v="1"/>
    <x v="23"/>
    <x v="23"/>
    <m/>
    <m/>
    <m/>
    <x v="1"/>
    <m/>
    <m/>
    <m/>
    <m/>
    <m/>
    <x v="0"/>
  </r>
  <r>
    <d v="2021-12-13T00:00:00"/>
    <x v="12"/>
    <x v="0"/>
    <x v="0"/>
    <n v="30000"/>
    <n v="30000"/>
    <n v="0"/>
    <x v="188"/>
    <s v="Cali"/>
    <m/>
    <m/>
    <m/>
    <m/>
    <x v="0"/>
  </r>
  <r>
    <d v="2021-12-13T00:00:00"/>
    <x v="12"/>
    <x v="29"/>
    <x v="29"/>
    <n v="-30000"/>
    <n v="0"/>
    <n v="30000"/>
    <x v="188"/>
    <s v="Cali"/>
    <m/>
    <m/>
    <m/>
    <m/>
    <x v="0"/>
  </r>
  <r>
    <m/>
    <x v="1"/>
    <x v="23"/>
    <x v="23"/>
    <m/>
    <m/>
    <m/>
    <x v="1"/>
    <m/>
    <m/>
    <m/>
    <m/>
    <m/>
    <x v="0"/>
  </r>
  <r>
    <d v="2021-12-14T00:00:00"/>
    <x v="12"/>
    <x v="0"/>
    <x v="0"/>
    <n v="30000"/>
    <n v="30000"/>
    <n v="0"/>
    <x v="156"/>
    <s v="Cali"/>
    <m/>
    <m/>
    <m/>
    <m/>
    <x v="0"/>
  </r>
  <r>
    <d v="2021-12-14T00:00:00"/>
    <x v="12"/>
    <x v="25"/>
    <x v="25"/>
    <n v="-30000"/>
    <n v="0"/>
    <n v="30000"/>
    <x v="156"/>
    <s v="Cali"/>
    <m/>
    <m/>
    <m/>
    <m/>
    <x v="0"/>
  </r>
  <r>
    <m/>
    <x v="1"/>
    <x v="23"/>
    <x v="23"/>
    <m/>
    <m/>
    <m/>
    <x v="1"/>
    <m/>
    <m/>
    <m/>
    <m/>
    <m/>
    <x v="0"/>
  </r>
  <r>
    <d v="2021-12-15T00:00:00"/>
    <x v="12"/>
    <x v="0"/>
    <x v="0"/>
    <n v="65000"/>
    <n v="65000"/>
    <n v="0"/>
    <x v="64"/>
    <s v="Cali"/>
    <m/>
    <m/>
    <m/>
    <m/>
    <x v="0"/>
  </r>
  <r>
    <d v="2021-12-15T00:00:00"/>
    <x v="12"/>
    <x v="27"/>
    <x v="27"/>
    <n v="-65000"/>
    <n v="0"/>
    <n v="65000"/>
    <x v="64"/>
    <s v="Cali"/>
    <m/>
    <m/>
    <m/>
    <m/>
    <x v="0"/>
  </r>
  <r>
    <m/>
    <x v="1"/>
    <x v="23"/>
    <x v="23"/>
    <m/>
    <m/>
    <m/>
    <x v="1"/>
    <m/>
    <m/>
    <m/>
    <m/>
    <m/>
    <x v="0"/>
  </r>
  <r>
    <d v="2021-12-15T00:00:00"/>
    <x v="12"/>
    <x v="0"/>
    <x v="0"/>
    <n v="5000"/>
    <n v="5000"/>
    <n v="0"/>
    <x v="701"/>
    <s v="Cali"/>
    <m/>
    <m/>
    <m/>
    <m/>
    <x v="0"/>
  </r>
  <r>
    <d v="2021-12-15T00:00:00"/>
    <x v="12"/>
    <x v="25"/>
    <x v="25"/>
    <n v="-5000"/>
    <n v="0"/>
    <n v="5000"/>
    <x v="701"/>
    <s v="Cali"/>
    <m/>
    <m/>
    <m/>
    <m/>
    <x v="0"/>
  </r>
  <r>
    <m/>
    <x v="1"/>
    <x v="23"/>
    <x v="23"/>
    <m/>
    <m/>
    <m/>
    <x v="1"/>
    <m/>
    <m/>
    <m/>
    <m/>
    <m/>
    <x v="0"/>
  </r>
  <r>
    <d v="2021-12-15T00:00:00"/>
    <x v="12"/>
    <x v="0"/>
    <x v="0"/>
    <n v="50000"/>
    <n v="50000"/>
    <n v="0"/>
    <x v="195"/>
    <s v="Cali"/>
    <m/>
    <m/>
    <m/>
    <m/>
    <x v="0"/>
  </r>
  <r>
    <d v="2021-12-15T00:00:00"/>
    <x v="12"/>
    <x v="25"/>
    <x v="25"/>
    <n v="-50000"/>
    <n v="0"/>
    <n v="50000"/>
    <x v="195"/>
    <s v="Cali"/>
    <m/>
    <m/>
    <m/>
    <m/>
    <x v="0"/>
  </r>
  <r>
    <m/>
    <x v="1"/>
    <x v="23"/>
    <x v="23"/>
    <m/>
    <m/>
    <m/>
    <x v="1"/>
    <m/>
    <m/>
    <m/>
    <m/>
    <m/>
    <x v="0"/>
  </r>
  <r>
    <d v="2021-12-15T00:00:00"/>
    <x v="12"/>
    <x v="0"/>
    <x v="0"/>
    <n v="5000"/>
    <n v="5000"/>
    <n v="0"/>
    <x v="482"/>
    <s v="Cali"/>
    <m/>
    <m/>
    <m/>
    <m/>
    <x v="0"/>
  </r>
  <r>
    <d v="2021-12-15T00:00:00"/>
    <x v="12"/>
    <x v="19"/>
    <x v="19"/>
    <n v="-5000"/>
    <n v="0"/>
    <n v="5000"/>
    <x v="482"/>
    <s v="Cali"/>
    <m/>
    <m/>
    <m/>
    <m/>
    <x v="0"/>
  </r>
  <r>
    <m/>
    <x v="1"/>
    <x v="23"/>
    <x v="23"/>
    <m/>
    <m/>
    <m/>
    <x v="1"/>
    <m/>
    <m/>
    <m/>
    <m/>
    <m/>
    <x v="0"/>
  </r>
  <r>
    <d v="2021-12-15T00:00:00"/>
    <x v="12"/>
    <x v="0"/>
    <x v="0"/>
    <n v="20000"/>
    <n v="20000"/>
    <n v="0"/>
    <x v="196"/>
    <s v="Cali"/>
    <m/>
    <m/>
    <m/>
    <m/>
    <x v="0"/>
  </r>
  <r>
    <d v="2021-12-15T00:00:00"/>
    <x v="12"/>
    <x v="25"/>
    <x v="25"/>
    <n v="-20000"/>
    <n v="0"/>
    <n v="20000"/>
    <x v="196"/>
    <s v="Cali"/>
    <m/>
    <m/>
    <m/>
    <m/>
    <x v="0"/>
  </r>
  <r>
    <m/>
    <x v="1"/>
    <x v="23"/>
    <x v="23"/>
    <m/>
    <m/>
    <m/>
    <x v="1"/>
    <m/>
    <m/>
    <m/>
    <m/>
    <m/>
    <x v="0"/>
  </r>
  <r>
    <d v="2021-12-15T00:00:00"/>
    <x v="12"/>
    <x v="0"/>
    <x v="0"/>
    <n v="48376"/>
    <n v="48376"/>
    <n v="0"/>
    <x v="702"/>
    <s v="Cali"/>
    <m/>
    <m/>
    <m/>
    <m/>
    <x v="0"/>
  </r>
  <r>
    <d v="2021-12-15T00:00:00"/>
    <x v="12"/>
    <x v="25"/>
    <x v="25"/>
    <n v="-50000"/>
    <n v="0"/>
    <n v="50000"/>
    <x v="702"/>
    <s v="Cali"/>
    <m/>
    <m/>
    <m/>
    <m/>
    <x v="0"/>
  </r>
  <r>
    <d v="2021-12-15T00:00:00"/>
    <x v="12"/>
    <x v="31"/>
    <x v="31"/>
    <n v="1624"/>
    <n v="1624"/>
    <n v="0"/>
    <x v="702"/>
    <s v="Cali"/>
    <m/>
    <m/>
    <m/>
    <m/>
    <x v="0"/>
  </r>
  <r>
    <m/>
    <x v="1"/>
    <x v="23"/>
    <x v="23"/>
    <m/>
    <m/>
    <m/>
    <x v="1"/>
    <m/>
    <m/>
    <m/>
    <m/>
    <m/>
    <x v="0"/>
  </r>
  <r>
    <d v="2021-12-15T00:00:00"/>
    <x v="12"/>
    <x v="31"/>
    <x v="31"/>
    <n v="1830"/>
    <n v="1830"/>
    <n v="0"/>
    <x v="172"/>
    <s v="Cali"/>
    <m/>
    <m/>
    <m/>
    <m/>
    <x v="0"/>
  </r>
  <r>
    <d v="2021-12-15T00:00:00"/>
    <x v="12"/>
    <x v="0"/>
    <x v="0"/>
    <n v="-1830"/>
    <n v="0"/>
    <n v="1830"/>
    <x v="172"/>
    <s v="Cali"/>
    <m/>
    <m/>
    <m/>
    <m/>
    <x v="0"/>
  </r>
  <r>
    <m/>
    <x v="1"/>
    <x v="23"/>
    <x v="23"/>
    <m/>
    <m/>
    <m/>
    <x v="1"/>
    <m/>
    <m/>
    <m/>
    <m/>
    <m/>
    <x v="0"/>
  </r>
  <r>
    <d v="2021-12-16T00:00:00"/>
    <x v="12"/>
    <x v="0"/>
    <x v="0"/>
    <n v="43537"/>
    <n v="43537"/>
    <n v="0"/>
    <x v="703"/>
    <s v="Cali"/>
    <m/>
    <m/>
    <m/>
    <m/>
    <x v="0"/>
  </r>
  <r>
    <d v="2021-12-16T00:00:00"/>
    <x v="12"/>
    <x v="25"/>
    <x v="25"/>
    <n v="-45000"/>
    <n v="0"/>
    <n v="45000"/>
    <x v="703"/>
    <s v="Cali"/>
    <m/>
    <m/>
    <m/>
    <m/>
    <x v="0"/>
  </r>
  <r>
    <d v="2021-12-16T00:00:00"/>
    <x v="12"/>
    <x v="31"/>
    <x v="31"/>
    <n v="1463"/>
    <n v="1463"/>
    <n v="0"/>
    <x v="703"/>
    <s v="Cali"/>
    <m/>
    <m/>
    <m/>
    <m/>
    <x v="0"/>
  </r>
  <r>
    <m/>
    <x v="1"/>
    <x v="23"/>
    <x v="23"/>
    <m/>
    <m/>
    <m/>
    <x v="1"/>
    <m/>
    <m/>
    <m/>
    <m/>
    <m/>
    <x v="0"/>
  </r>
  <r>
    <d v="2021-12-16T00:00:00"/>
    <x v="12"/>
    <x v="0"/>
    <x v="0"/>
    <n v="43537"/>
    <n v="43537"/>
    <n v="0"/>
    <x v="704"/>
    <s v="Cali"/>
    <m/>
    <m/>
    <m/>
    <m/>
    <x v="0"/>
  </r>
  <r>
    <d v="2021-12-16T00:00:00"/>
    <x v="12"/>
    <x v="25"/>
    <x v="25"/>
    <n v="-45000"/>
    <n v="0"/>
    <n v="45000"/>
    <x v="704"/>
    <s v="Cali"/>
    <m/>
    <m/>
    <m/>
    <m/>
    <x v="0"/>
  </r>
  <r>
    <d v="2021-12-16T00:00:00"/>
    <x v="12"/>
    <x v="31"/>
    <x v="31"/>
    <n v="1463"/>
    <n v="1463"/>
    <n v="0"/>
    <x v="704"/>
    <s v="Cali"/>
    <m/>
    <m/>
    <m/>
    <m/>
    <x v="0"/>
  </r>
  <r>
    <m/>
    <x v="1"/>
    <x v="23"/>
    <x v="23"/>
    <m/>
    <m/>
    <m/>
    <x v="1"/>
    <m/>
    <m/>
    <m/>
    <m/>
    <m/>
    <x v="0"/>
  </r>
  <r>
    <d v="2021-12-16T00:00:00"/>
    <x v="12"/>
    <x v="0"/>
    <x v="0"/>
    <n v="30000"/>
    <n v="30000"/>
    <n v="0"/>
    <x v="139"/>
    <s v="Cali"/>
    <m/>
    <m/>
    <m/>
    <m/>
    <x v="0"/>
  </r>
  <r>
    <d v="2021-12-16T00:00:00"/>
    <x v="12"/>
    <x v="25"/>
    <x v="25"/>
    <n v="-30000"/>
    <n v="0"/>
    <n v="30000"/>
    <x v="139"/>
    <s v="Cali"/>
    <m/>
    <m/>
    <m/>
    <m/>
    <x v="0"/>
  </r>
  <r>
    <m/>
    <x v="1"/>
    <x v="23"/>
    <x v="23"/>
    <m/>
    <m/>
    <m/>
    <x v="1"/>
    <m/>
    <m/>
    <m/>
    <m/>
    <m/>
    <x v="0"/>
  </r>
  <r>
    <d v="2021-12-16T00:00:00"/>
    <x v="12"/>
    <x v="0"/>
    <x v="0"/>
    <n v="150000"/>
    <n v="150000"/>
    <n v="0"/>
    <x v="251"/>
    <s v="Cali"/>
    <m/>
    <m/>
    <m/>
    <m/>
    <x v="0"/>
  </r>
  <r>
    <d v="2021-12-16T00:00:00"/>
    <x v="12"/>
    <x v="27"/>
    <x v="27"/>
    <n v="-150000"/>
    <n v="0"/>
    <n v="150000"/>
    <x v="251"/>
    <s v="Cali"/>
    <m/>
    <m/>
    <m/>
    <m/>
    <x v="0"/>
  </r>
  <r>
    <m/>
    <x v="1"/>
    <x v="23"/>
    <x v="23"/>
    <m/>
    <m/>
    <m/>
    <x v="1"/>
    <m/>
    <m/>
    <m/>
    <m/>
    <m/>
    <x v="0"/>
  </r>
  <r>
    <d v="2021-12-17T00:00:00"/>
    <x v="12"/>
    <x v="16"/>
    <x v="16"/>
    <n v="71040"/>
    <n v="71040"/>
    <n v="0"/>
    <x v="705"/>
    <s v="Cali"/>
    <m/>
    <m/>
    <m/>
    <m/>
    <x v="0"/>
  </r>
  <r>
    <d v="2021-12-17T00:00:00"/>
    <x v="12"/>
    <x v="17"/>
    <x v="17"/>
    <n v="-8170"/>
    <n v="0"/>
    <n v="8170"/>
    <x v="705"/>
    <s v="Cali"/>
    <m/>
    <m/>
    <m/>
    <m/>
    <x v="0"/>
  </r>
  <r>
    <d v="2021-12-17T00:00:00"/>
    <x v="12"/>
    <x v="0"/>
    <x v="0"/>
    <n v="-62870"/>
    <n v="0"/>
    <n v="62870"/>
    <x v="705"/>
    <s v="Cali"/>
    <m/>
    <m/>
    <m/>
    <m/>
    <x v="0"/>
  </r>
  <r>
    <m/>
    <x v="1"/>
    <x v="23"/>
    <x v="23"/>
    <m/>
    <m/>
    <m/>
    <x v="1"/>
    <m/>
    <m/>
    <m/>
    <m/>
    <m/>
    <x v="0"/>
  </r>
  <r>
    <d v="2021-12-17T00:00:00"/>
    <x v="12"/>
    <x v="15"/>
    <x v="15"/>
    <n v="3085459"/>
    <n v="3085459"/>
    <n v="0"/>
    <x v="706"/>
    <s v="Cali"/>
    <m/>
    <m/>
    <m/>
    <m/>
    <x v="0"/>
  </r>
  <r>
    <d v="2021-12-17T00:00:00"/>
    <x v="12"/>
    <x v="14"/>
    <x v="14"/>
    <n v="182616"/>
    <n v="182616"/>
    <n v="0"/>
    <x v="706"/>
    <s v="Cali"/>
    <m/>
    <m/>
    <m/>
    <m/>
    <x v="0"/>
  </r>
  <r>
    <d v="2021-12-17T00:00:00"/>
    <x v="12"/>
    <x v="0"/>
    <x v="0"/>
    <n v="-3268075"/>
    <n v="0"/>
    <n v="3268075"/>
    <x v="706"/>
    <s v="Cali"/>
    <m/>
    <m/>
    <m/>
    <m/>
    <x v="0"/>
  </r>
  <r>
    <m/>
    <x v="1"/>
    <x v="23"/>
    <x v="23"/>
    <m/>
    <m/>
    <m/>
    <x v="1"/>
    <m/>
    <m/>
    <m/>
    <m/>
    <m/>
    <x v="0"/>
  </r>
  <r>
    <d v="2021-12-17T00:00:00"/>
    <x v="12"/>
    <x v="31"/>
    <x v="31"/>
    <n v="338983"/>
    <n v="338983"/>
    <n v="0"/>
    <x v="707"/>
    <s v="Cali"/>
    <m/>
    <m/>
    <m/>
    <m/>
    <x v="0"/>
  </r>
  <r>
    <d v="2021-12-17T00:00:00"/>
    <x v="12"/>
    <x v="17"/>
    <x v="17"/>
    <n v="-38983"/>
    <n v="0"/>
    <n v="38983"/>
    <x v="707"/>
    <s v="Cali"/>
    <m/>
    <m/>
    <m/>
    <m/>
    <x v="0"/>
  </r>
  <r>
    <d v="2021-12-17T00:00:00"/>
    <x v="12"/>
    <x v="0"/>
    <x v="0"/>
    <n v="-300000"/>
    <n v="0"/>
    <n v="300000"/>
    <x v="707"/>
    <s v="Cali"/>
    <m/>
    <m/>
    <m/>
    <m/>
    <x v="0"/>
  </r>
  <r>
    <m/>
    <x v="1"/>
    <x v="23"/>
    <x v="23"/>
    <m/>
    <m/>
    <m/>
    <x v="1"/>
    <m/>
    <m/>
    <m/>
    <m/>
    <m/>
    <x v="0"/>
  </r>
  <r>
    <d v="2021-12-17T00:00:00"/>
    <x v="12"/>
    <x v="1"/>
    <x v="1"/>
    <n v="140000000"/>
    <n v="140000000"/>
    <n v="0"/>
    <x v="429"/>
    <s v="Cali"/>
    <m/>
    <m/>
    <m/>
    <m/>
    <x v="0"/>
  </r>
  <r>
    <d v="2021-12-17T00:00:00"/>
    <x v="12"/>
    <x v="0"/>
    <x v="0"/>
    <n v="-140000000"/>
    <n v="0"/>
    <n v="140000000"/>
    <x v="429"/>
    <s v="Cali"/>
    <m/>
    <m/>
    <m/>
    <m/>
    <x v="0"/>
  </r>
  <r>
    <m/>
    <x v="1"/>
    <x v="23"/>
    <x v="23"/>
    <m/>
    <m/>
    <m/>
    <x v="1"/>
    <m/>
    <m/>
    <m/>
    <m/>
    <m/>
    <x v="0"/>
  </r>
  <r>
    <d v="2021-12-17T00:00:00"/>
    <x v="12"/>
    <x v="0"/>
    <x v="0"/>
    <n v="30000"/>
    <n v="30000"/>
    <n v="0"/>
    <x v="266"/>
    <s v="Cali"/>
    <m/>
    <m/>
    <m/>
    <m/>
    <x v="0"/>
  </r>
  <r>
    <d v="2021-12-17T00:00:00"/>
    <x v="12"/>
    <x v="25"/>
    <x v="25"/>
    <n v="-30000"/>
    <n v="0"/>
    <n v="30000"/>
    <x v="266"/>
    <s v="Cali"/>
    <m/>
    <m/>
    <m/>
    <m/>
    <x v="0"/>
  </r>
  <r>
    <m/>
    <x v="1"/>
    <x v="23"/>
    <x v="23"/>
    <m/>
    <m/>
    <m/>
    <x v="1"/>
    <m/>
    <m/>
    <m/>
    <m/>
    <m/>
    <x v="0"/>
  </r>
  <r>
    <d v="2021-12-17T00:00:00"/>
    <x v="12"/>
    <x v="0"/>
    <x v="0"/>
    <n v="29025"/>
    <n v="29025"/>
    <n v="0"/>
    <x v="665"/>
    <s v="Cali"/>
    <m/>
    <m/>
    <m/>
    <m/>
    <x v="0"/>
  </r>
  <r>
    <d v="2021-12-17T00:00:00"/>
    <x v="12"/>
    <x v="25"/>
    <x v="25"/>
    <n v="-30000"/>
    <n v="0"/>
    <n v="30000"/>
    <x v="665"/>
    <s v="Cali"/>
    <m/>
    <m/>
    <m/>
    <m/>
    <x v="0"/>
  </r>
  <r>
    <d v="2021-12-17T00:00:00"/>
    <x v="12"/>
    <x v="31"/>
    <x v="31"/>
    <n v="975"/>
    <n v="975"/>
    <n v="0"/>
    <x v="665"/>
    <s v="Cali"/>
    <m/>
    <m/>
    <m/>
    <m/>
    <x v="0"/>
  </r>
  <r>
    <m/>
    <x v="1"/>
    <x v="23"/>
    <x v="23"/>
    <m/>
    <m/>
    <m/>
    <x v="1"/>
    <m/>
    <m/>
    <m/>
    <m/>
    <m/>
    <x v="0"/>
  </r>
  <r>
    <d v="2021-12-17T00:00:00"/>
    <x v="12"/>
    <x v="0"/>
    <x v="0"/>
    <n v="14513"/>
    <n v="14513"/>
    <n v="0"/>
    <x v="664"/>
    <s v="Cali"/>
    <m/>
    <m/>
    <m/>
    <m/>
    <x v="0"/>
  </r>
  <r>
    <d v="2021-12-17T00:00:00"/>
    <x v="12"/>
    <x v="25"/>
    <x v="25"/>
    <n v="-15000"/>
    <n v="0"/>
    <n v="15000"/>
    <x v="664"/>
    <s v="Cali"/>
    <m/>
    <m/>
    <m/>
    <m/>
    <x v="0"/>
  </r>
  <r>
    <d v="2021-12-17T00:00:00"/>
    <x v="12"/>
    <x v="31"/>
    <x v="31"/>
    <n v="487"/>
    <n v="487"/>
    <n v="0"/>
    <x v="664"/>
    <s v="Cali"/>
    <m/>
    <m/>
    <m/>
    <m/>
    <x v="0"/>
  </r>
  <r>
    <m/>
    <x v="1"/>
    <x v="23"/>
    <x v="23"/>
    <m/>
    <m/>
    <m/>
    <x v="1"/>
    <m/>
    <m/>
    <m/>
    <m/>
    <m/>
    <x v="0"/>
  </r>
  <r>
    <d v="2021-12-17T00:00:00"/>
    <x v="12"/>
    <x v="0"/>
    <x v="0"/>
    <n v="29025"/>
    <n v="29025"/>
    <n v="0"/>
    <x v="659"/>
    <s v="Cali"/>
    <m/>
    <m/>
    <m/>
    <m/>
    <x v="0"/>
  </r>
  <r>
    <d v="2021-12-17T00:00:00"/>
    <x v="12"/>
    <x v="25"/>
    <x v="25"/>
    <n v="-30000"/>
    <n v="0"/>
    <n v="30000"/>
    <x v="659"/>
    <s v="Cali"/>
    <m/>
    <m/>
    <m/>
    <m/>
    <x v="0"/>
  </r>
  <r>
    <d v="2021-12-17T00:00:00"/>
    <x v="12"/>
    <x v="31"/>
    <x v="31"/>
    <n v="975"/>
    <n v="975"/>
    <n v="0"/>
    <x v="659"/>
    <s v="Cali"/>
    <m/>
    <m/>
    <m/>
    <m/>
    <x v="0"/>
  </r>
  <r>
    <m/>
    <x v="1"/>
    <x v="23"/>
    <x v="23"/>
    <m/>
    <m/>
    <m/>
    <x v="1"/>
    <m/>
    <m/>
    <m/>
    <m/>
    <m/>
    <x v="0"/>
  </r>
  <r>
    <d v="2021-12-17T00:00:00"/>
    <x v="12"/>
    <x v="0"/>
    <x v="0"/>
    <n v="19350"/>
    <n v="19350"/>
    <n v="0"/>
    <x v="657"/>
    <s v="Cali"/>
    <m/>
    <m/>
    <m/>
    <m/>
    <x v="0"/>
  </r>
  <r>
    <d v="2021-12-17T00:00:00"/>
    <x v="12"/>
    <x v="25"/>
    <x v="25"/>
    <n v="-20000"/>
    <n v="0"/>
    <n v="20000"/>
    <x v="657"/>
    <s v="Cali"/>
    <m/>
    <m/>
    <m/>
    <m/>
    <x v="0"/>
  </r>
  <r>
    <d v="2021-12-17T00:00:00"/>
    <x v="12"/>
    <x v="31"/>
    <x v="31"/>
    <n v="650"/>
    <n v="650"/>
    <n v="0"/>
    <x v="657"/>
    <s v="Cali"/>
    <m/>
    <m/>
    <m/>
    <m/>
    <x v="0"/>
  </r>
  <r>
    <m/>
    <x v="1"/>
    <x v="23"/>
    <x v="23"/>
    <m/>
    <m/>
    <m/>
    <x v="1"/>
    <m/>
    <m/>
    <m/>
    <m/>
    <m/>
    <x v="0"/>
  </r>
  <r>
    <d v="2021-12-17T00:00:00"/>
    <x v="12"/>
    <x v="0"/>
    <x v="0"/>
    <n v="50000"/>
    <n v="50000"/>
    <n v="0"/>
    <x v="599"/>
    <s v="Cali"/>
    <m/>
    <m/>
    <m/>
    <m/>
    <x v="0"/>
  </r>
  <r>
    <d v="2021-12-17T00:00:00"/>
    <x v="12"/>
    <x v="26"/>
    <x v="26"/>
    <n v="-50000"/>
    <n v="0"/>
    <n v="50000"/>
    <x v="599"/>
    <s v="Cali"/>
    <m/>
    <m/>
    <m/>
    <m/>
    <x v="0"/>
  </r>
  <r>
    <m/>
    <x v="1"/>
    <x v="23"/>
    <x v="23"/>
    <m/>
    <m/>
    <m/>
    <x v="1"/>
    <m/>
    <m/>
    <m/>
    <m/>
    <m/>
    <x v="0"/>
  </r>
  <r>
    <d v="2021-12-17T00:00:00"/>
    <x v="12"/>
    <x v="0"/>
    <x v="0"/>
    <n v="240000"/>
    <n v="240000"/>
    <n v="0"/>
    <x v="65"/>
    <s v="Cali"/>
    <m/>
    <m/>
    <m/>
    <m/>
    <x v="0"/>
  </r>
  <r>
    <d v="2021-12-17T00:00:00"/>
    <x v="12"/>
    <x v="29"/>
    <x v="29"/>
    <n v="-240000"/>
    <n v="0"/>
    <n v="24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2-17T00:00:00"/>
    <x v="12"/>
    <x v="0"/>
    <x v="0"/>
    <n v="30000"/>
    <n v="30000"/>
    <n v="0"/>
    <x v="65"/>
    <s v="Cali"/>
    <m/>
    <m/>
    <m/>
    <m/>
    <x v="0"/>
  </r>
  <r>
    <d v="2021-12-17T00:00:00"/>
    <x v="12"/>
    <x v="29"/>
    <x v="29"/>
    <n v="-30000"/>
    <n v="0"/>
    <n v="3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2-17T00:00:00"/>
    <x v="12"/>
    <x v="0"/>
    <x v="0"/>
    <n v="20000"/>
    <n v="20000"/>
    <n v="0"/>
    <x v="65"/>
    <s v="Cali"/>
    <m/>
    <m/>
    <m/>
    <m/>
    <x v="0"/>
  </r>
  <r>
    <d v="2021-12-17T00:00:00"/>
    <x v="12"/>
    <x v="29"/>
    <x v="29"/>
    <n v="-20000"/>
    <n v="0"/>
    <n v="2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2-17T00:00:00"/>
    <x v="12"/>
    <x v="0"/>
    <x v="0"/>
    <n v="15000"/>
    <n v="15000"/>
    <n v="0"/>
    <x v="65"/>
    <s v="Cali"/>
    <m/>
    <m/>
    <m/>
    <m/>
    <x v="0"/>
  </r>
  <r>
    <d v="2021-12-17T00:00:00"/>
    <x v="12"/>
    <x v="29"/>
    <x v="29"/>
    <n v="-15000"/>
    <n v="0"/>
    <n v="1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2-17T00:00:00"/>
    <x v="12"/>
    <x v="0"/>
    <x v="0"/>
    <n v="35000"/>
    <n v="35000"/>
    <n v="0"/>
    <x v="65"/>
    <s v="Cali"/>
    <m/>
    <m/>
    <m/>
    <m/>
    <x v="0"/>
  </r>
  <r>
    <d v="2021-12-17T00:00:00"/>
    <x v="12"/>
    <x v="29"/>
    <x v="29"/>
    <n v="-35000"/>
    <n v="0"/>
    <n v="3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2-20T00:00:00"/>
    <x v="12"/>
    <x v="0"/>
    <x v="0"/>
    <n v="20000"/>
    <n v="20000"/>
    <n v="0"/>
    <x v="65"/>
    <s v="Cali"/>
    <m/>
    <m/>
    <m/>
    <m/>
    <x v="0"/>
  </r>
  <r>
    <d v="2021-12-20T00:00:00"/>
    <x v="12"/>
    <x v="29"/>
    <x v="29"/>
    <n v="-20000"/>
    <n v="0"/>
    <n v="2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2-20T00:00:00"/>
    <x v="12"/>
    <x v="0"/>
    <x v="0"/>
    <n v="7000"/>
    <n v="7000"/>
    <n v="0"/>
    <x v="65"/>
    <s v="Cali"/>
    <m/>
    <m/>
    <m/>
    <m/>
    <x v="0"/>
  </r>
  <r>
    <d v="2021-12-20T00:00:00"/>
    <x v="12"/>
    <x v="29"/>
    <x v="29"/>
    <n v="-7000"/>
    <n v="0"/>
    <n v="7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2-20T00:00:00"/>
    <x v="12"/>
    <x v="0"/>
    <x v="0"/>
    <n v="20000"/>
    <n v="20000"/>
    <n v="0"/>
    <x v="201"/>
    <s v="Cali"/>
    <m/>
    <m/>
    <m/>
    <m/>
    <x v="0"/>
  </r>
  <r>
    <d v="2021-12-20T00:00:00"/>
    <x v="12"/>
    <x v="25"/>
    <x v="25"/>
    <n v="-20000"/>
    <n v="0"/>
    <n v="20000"/>
    <x v="201"/>
    <s v="Cali"/>
    <m/>
    <m/>
    <m/>
    <m/>
    <x v="0"/>
  </r>
  <r>
    <m/>
    <x v="1"/>
    <x v="23"/>
    <x v="23"/>
    <m/>
    <m/>
    <m/>
    <x v="1"/>
    <m/>
    <m/>
    <m/>
    <m/>
    <m/>
    <x v="0"/>
  </r>
  <r>
    <d v="2021-12-20T00:00:00"/>
    <x v="12"/>
    <x v="0"/>
    <x v="0"/>
    <n v="5000"/>
    <n v="5000"/>
    <n v="0"/>
    <x v="367"/>
    <s v="Cali"/>
    <m/>
    <m/>
    <m/>
    <m/>
    <x v="0"/>
  </r>
  <r>
    <d v="2021-12-20T00:00:00"/>
    <x v="12"/>
    <x v="25"/>
    <x v="25"/>
    <n v="-5000"/>
    <n v="0"/>
    <n v="5000"/>
    <x v="367"/>
    <s v="Cali"/>
    <m/>
    <m/>
    <m/>
    <m/>
    <x v="0"/>
  </r>
  <r>
    <m/>
    <x v="1"/>
    <x v="23"/>
    <x v="23"/>
    <m/>
    <m/>
    <m/>
    <x v="1"/>
    <m/>
    <m/>
    <m/>
    <m/>
    <m/>
    <x v="0"/>
  </r>
  <r>
    <d v="2021-12-20T00:00:00"/>
    <x v="12"/>
    <x v="0"/>
    <x v="0"/>
    <n v="150000"/>
    <n v="150000"/>
    <n v="0"/>
    <x v="431"/>
    <s v="Cali"/>
    <m/>
    <m/>
    <m/>
    <m/>
    <x v="0"/>
  </r>
  <r>
    <d v="2021-12-20T00:00:00"/>
    <x v="12"/>
    <x v="25"/>
    <x v="25"/>
    <n v="-150000"/>
    <n v="0"/>
    <n v="150000"/>
    <x v="431"/>
    <s v="Cali"/>
    <m/>
    <m/>
    <m/>
    <m/>
    <x v="0"/>
  </r>
  <r>
    <m/>
    <x v="1"/>
    <x v="23"/>
    <x v="23"/>
    <m/>
    <m/>
    <m/>
    <x v="1"/>
    <m/>
    <m/>
    <m/>
    <m/>
    <m/>
    <x v="0"/>
  </r>
  <r>
    <d v="2021-12-20T00:00:00"/>
    <x v="12"/>
    <x v="0"/>
    <x v="0"/>
    <n v="2000"/>
    <n v="2000"/>
    <n v="0"/>
    <x v="177"/>
    <s v="Cali"/>
    <m/>
    <m/>
    <m/>
    <m/>
    <x v="0"/>
  </r>
  <r>
    <d v="2021-12-20T00:00:00"/>
    <x v="12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12-20T00:00:00"/>
    <x v="12"/>
    <x v="0"/>
    <x v="0"/>
    <n v="200000"/>
    <n v="200000"/>
    <n v="0"/>
    <x v="518"/>
    <s v="Cali"/>
    <m/>
    <m/>
    <m/>
    <m/>
    <x v="0"/>
  </r>
  <r>
    <d v="2021-12-20T00:00:00"/>
    <x v="12"/>
    <x v="26"/>
    <x v="26"/>
    <n v="-200000"/>
    <n v="0"/>
    <n v="200000"/>
    <x v="518"/>
    <s v="Cali"/>
    <m/>
    <m/>
    <m/>
    <m/>
    <x v="0"/>
  </r>
  <r>
    <m/>
    <x v="1"/>
    <x v="23"/>
    <x v="23"/>
    <m/>
    <m/>
    <m/>
    <x v="1"/>
    <m/>
    <m/>
    <m/>
    <m/>
    <m/>
    <x v="0"/>
  </r>
  <r>
    <d v="2021-12-22T00:00:00"/>
    <x v="12"/>
    <x v="0"/>
    <x v="0"/>
    <n v="20000"/>
    <n v="20000"/>
    <n v="0"/>
    <x v="199"/>
    <s v="Cali"/>
    <m/>
    <m/>
    <m/>
    <m/>
    <x v="0"/>
  </r>
  <r>
    <d v="2021-12-22T00:00:00"/>
    <x v="12"/>
    <x v="27"/>
    <x v="27"/>
    <n v="-20000"/>
    <n v="0"/>
    <n v="20000"/>
    <x v="199"/>
    <s v="Cali"/>
    <m/>
    <m/>
    <m/>
    <m/>
    <x v="0"/>
  </r>
  <r>
    <m/>
    <x v="1"/>
    <x v="23"/>
    <x v="23"/>
    <m/>
    <m/>
    <m/>
    <x v="1"/>
    <m/>
    <m/>
    <m/>
    <m/>
    <m/>
    <x v="0"/>
  </r>
  <r>
    <d v="2021-12-22T00:00:00"/>
    <x v="12"/>
    <x v="0"/>
    <x v="0"/>
    <n v="10000"/>
    <n v="10000"/>
    <n v="0"/>
    <x v="409"/>
    <s v="Cali"/>
    <m/>
    <m/>
    <m/>
    <m/>
    <x v="0"/>
  </r>
  <r>
    <d v="2021-12-22T00:00:00"/>
    <x v="12"/>
    <x v="25"/>
    <x v="25"/>
    <n v="-10000"/>
    <n v="0"/>
    <n v="10000"/>
    <x v="409"/>
    <s v="Cali"/>
    <m/>
    <m/>
    <m/>
    <m/>
    <x v="0"/>
  </r>
  <r>
    <m/>
    <x v="1"/>
    <x v="23"/>
    <x v="23"/>
    <m/>
    <m/>
    <m/>
    <x v="1"/>
    <m/>
    <m/>
    <m/>
    <m/>
    <m/>
    <x v="0"/>
  </r>
  <r>
    <d v="2021-12-23T00:00:00"/>
    <x v="12"/>
    <x v="0"/>
    <x v="0"/>
    <n v="20000"/>
    <n v="20000"/>
    <n v="0"/>
    <x v="166"/>
    <s v="Cali"/>
    <m/>
    <m/>
    <m/>
    <m/>
    <x v="0"/>
  </r>
  <r>
    <d v="2021-12-23T00:00:00"/>
    <x v="12"/>
    <x v="25"/>
    <x v="25"/>
    <n v="-20000"/>
    <n v="0"/>
    <n v="20000"/>
    <x v="166"/>
    <s v="Cali"/>
    <m/>
    <m/>
    <m/>
    <m/>
    <x v="0"/>
  </r>
  <r>
    <m/>
    <x v="1"/>
    <x v="23"/>
    <x v="23"/>
    <m/>
    <m/>
    <m/>
    <x v="1"/>
    <m/>
    <m/>
    <m/>
    <m/>
    <m/>
    <x v="0"/>
  </r>
  <r>
    <d v="2021-12-23T00:00:00"/>
    <x v="12"/>
    <x v="0"/>
    <x v="0"/>
    <n v="73740"/>
    <n v="73740"/>
    <n v="0"/>
    <x v="708"/>
    <s v="Cali"/>
    <m/>
    <m/>
    <m/>
    <m/>
    <x v="0"/>
  </r>
  <r>
    <d v="2021-12-23T00:00:00"/>
    <x v="12"/>
    <x v="4"/>
    <x v="4"/>
    <n v="-73740"/>
    <n v="0"/>
    <n v="73740"/>
    <x v="708"/>
    <s v="Cali"/>
    <m/>
    <m/>
    <m/>
    <m/>
    <x v="0"/>
  </r>
  <r>
    <m/>
    <x v="1"/>
    <x v="23"/>
    <x v="23"/>
    <m/>
    <m/>
    <m/>
    <x v="1"/>
    <m/>
    <m/>
    <m/>
    <m/>
    <m/>
    <x v="0"/>
  </r>
  <r>
    <d v="2021-12-23T00:00:00"/>
    <x v="12"/>
    <x v="0"/>
    <x v="0"/>
    <n v="30000"/>
    <n v="30000"/>
    <n v="0"/>
    <x v="203"/>
    <s v="Cali"/>
    <m/>
    <m/>
    <m/>
    <m/>
    <x v="0"/>
  </r>
  <r>
    <d v="2021-12-23T00:00:00"/>
    <x v="12"/>
    <x v="27"/>
    <x v="27"/>
    <n v="-30000"/>
    <n v="0"/>
    <n v="30000"/>
    <x v="203"/>
    <s v="Cali"/>
    <m/>
    <m/>
    <m/>
    <m/>
    <x v="0"/>
  </r>
  <r>
    <m/>
    <x v="1"/>
    <x v="23"/>
    <x v="23"/>
    <m/>
    <m/>
    <m/>
    <x v="1"/>
    <m/>
    <m/>
    <m/>
    <m/>
    <m/>
    <x v="0"/>
  </r>
  <r>
    <d v="2021-12-23T00:00:00"/>
    <x v="12"/>
    <x v="0"/>
    <x v="0"/>
    <n v="100000"/>
    <n v="100000"/>
    <n v="0"/>
    <x v="333"/>
    <s v="Cali"/>
    <m/>
    <m/>
    <m/>
    <m/>
    <x v="0"/>
  </r>
  <r>
    <d v="2021-12-23T00:00:00"/>
    <x v="12"/>
    <x v="26"/>
    <x v="26"/>
    <n v="-100000"/>
    <n v="0"/>
    <n v="100000"/>
    <x v="333"/>
    <s v="Cali"/>
    <m/>
    <m/>
    <m/>
    <m/>
    <x v="0"/>
  </r>
  <r>
    <m/>
    <x v="1"/>
    <x v="23"/>
    <x v="23"/>
    <m/>
    <m/>
    <m/>
    <x v="1"/>
    <m/>
    <m/>
    <m/>
    <m/>
    <m/>
    <x v="0"/>
  </r>
  <r>
    <d v="2021-12-23T00:00:00"/>
    <x v="12"/>
    <x v="0"/>
    <x v="0"/>
    <n v="20000"/>
    <n v="20000"/>
    <n v="0"/>
    <x v="85"/>
    <s v="Cali"/>
    <m/>
    <m/>
    <m/>
    <m/>
    <x v="0"/>
  </r>
  <r>
    <d v="2021-12-23T00:00:00"/>
    <x v="12"/>
    <x v="25"/>
    <x v="25"/>
    <n v="-20000"/>
    <n v="0"/>
    <n v="20000"/>
    <x v="85"/>
    <s v="Cali"/>
    <m/>
    <m/>
    <m/>
    <m/>
    <x v="0"/>
  </r>
  <r>
    <m/>
    <x v="1"/>
    <x v="23"/>
    <x v="23"/>
    <m/>
    <m/>
    <m/>
    <x v="1"/>
    <m/>
    <m/>
    <m/>
    <m/>
    <m/>
    <x v="0"/>
  </r>
  <r>
    <d v="2021-12-23T00:00:00"/>
    <x v="12"/>
    <x v="0"/>
    <x v="0"/>
    <n v="40151"/>
    <n v="40151"/>
    <n v="0"/>
    <x v="709"/>
    <s v="Cali"/>
    <m/>
    <m/>
    <m/>
    <m/>
    <x v="0"/>
  </r>
  <r>
    <d v="2021-12-23T00:00:00"/>
    <x v="12"/>
    <x v="26"/>
    <x v="26"/>
    <n v="-40151"/>
    <n v="0"/>
    <n v="40151"/>
    <x v="709"/>
    <s v="Cali"/>
    <m/>
    <m/>
    <m/>
    <m/>
    <x v="0"/>
  </r>
  <r>
    <m/>
    <x v="1"/>
    <x v="23"/>
    <x v="23"/>
    <m/>
    <m/>
    <m/>
    <x v="1"/>
    <m/>
    <m/>
    <m/>
    <m/>
    <m/>
    <x v="0"/>
  </r>
  <r>
    <d v="2021-12-24T00:00:00"/>
    <x v="12"/>
    <x v="0"/>
    <x v="0"/>
    <n v="1425114"/>
    <n v="1425114"/>
    <n v="0"/>
    <x v="710"/>
    <s v="Cali"/>
    <m/>
    <m/>
    <m/>
    <m/>
    <x v="0"/>
  </r>
  <r>
    <d v="2021-12-24T00:00:00"/>
    <x v="12"/>
    <x v="26"/>
    <x v="26"/>
    <n v="-1425114"/>
    <n v="0"/>
    <n v="1425114"/>
    <x v="710"/>
    <s v="Cali"/>
    <m/>
    <m/>
    <m/>
    <m/>
    <x v="0"/>
  </r>
  <r>
    <m/>
    <x v="1"/>
    <x v="23"/>
    <x v="23"/>
    <m/>
    <m/>
    <m/>
    <x v="1"/>
    <m/>
    <m/>
    <m/>
    <m/>
    <m/>
    <x v="0"/>
  </r>
  <r>
    <d v="2021-12-27T00:00:00"/>
    <x v="12"/>
    <x v="0"/>
    <x v="0"/>
    <n v="2000"/>
    <n v="2000"/>
    <n v="0"/>
    <x v="177"/>
    <s v="Cali"/>
    <m/>
    <m/>
    <m/>
    <m/>
    <x v="0"/>
  </r>
  <r>
    <d v="2021-12-27T00:00:00"/>
    <x v="12"/>
    <x v="19"/>
    <x v="19"/>
    <n v="-2000"/>
    <n v="0"/>
    <n v="2000"/>
    <x v="177"/>
    <s v="Cali"/>
    <m/>
    <m/>
    <m/>
    <m/>
    <x v="0"/>
  </r>
  <r>
    <m/>
    <x v="1"/>
    <x v="23"/>
    <x v="23"/>
    <m/>
    <m/>
    <m/>
    <x v="1"/>
    <m/>
    <m/>
    <m/>
    <m/>
    <m/>
    <x v="0"/>
  </r>
  <r>
    <d v="2021-12-27T00:00:00"/>
    <x v="12"/>
    <x v="0"/>
    <x v="0"/>
    <n v="200000"/>
    <n v="200000"/>
    <n v="0"/>
    <x v="192"/>
    <s v="Cali"/>
    <m/>
    <m/>
    <m/>
    <m/>
    <x v="0"/>
  </r>
  <r>
    <d v="2021-12-27T00:00:00"/>
    <x v="12"/>
    <x v="26"/>
    <x v="26"/>
    <n v="-200000"/>
    <n v="0"/>
    <n v="200000"/>
    <x v="192"/>
    <s v="Cali"/>
    <m/>
    <m/>
    <m/>
    <m/>
    <x v="0"/>
  </r>
  <r>
    <m/>
    <x v="1"/>
    <x v="23"/>
    <x v="23"/>
    <m/>
    <m/>
    <m/>
    <x v="1"/>
    <m/>
    <m/>
    <m/>
    <m/>
    <m/>
    <x v="0"/>
  </r>
  <r>
    <d v="2021-12-27T00:00:00"/>
    <x v="12"/>
    <x v="0"/>
    <x v="0"/>
    <n v="10000"/>
    <n v="10000"/>
    <n v="0"/>
    <x v="206"/>
    <s v="Cali"/>
    <m/>
    <m/>
    <m/>
    <m/>
    <x v="0"/>
  </r>
  <r>
    <d v="2021-12-27T00:00:00"/>
    <x v="12"/>
    <x v="26"/>
    <x v="26"/>
    <n v="-10000"/>
    <n v="0"/>
    <n v="10000"/>
    <x v="206"/>
    <s v="Cali"/>
    <m/>
    <m/>
    <m/>
    <m/>
    <x v="0"/>
  </r>
  <r>
    <m/>
    <x v="1"/>
    <x v="23"/>
    <x v="23"/>
    <m/>
    <m/>
    <m/>
    <x v="1"/>
    <m/>
    <m/>
    <m/>
    <m/>
    <m/>
    <x v="0"/>
  </r>
  <r>
    <d v="2021-12-27T00:00:00"/>
    <x v="12"/>
    <x v="0"/>
    <x v="0"/>
    <n v="60000"/>
    <n v="60000"/>
    <n v="0"/>
    <x v="213"/>
    <s v="Cali"/>
    <m/>
    <m/>
    <m/>
    <m/>
    <x v="0"/>
  </r>
  <r>
    <d v="2021-12-27T00:00:00"/>
    <x v="12"/>
    <x v="29"/>
    <x v="29"/>
    <n v="-60000"/>
    <n v="0"/>
    <n v="60000"/>
    <x v="213"/>
    <s v="Cali"/>
    <m/>
    <m/>
    <m/>
    <m/>
    <x v="0"/>
  </r>
  <r>
    <m/>
    <x v="1"/>
    <x v="23"/>
    <x v="23"/>
    <m/>
    <m/>
    <m/>
    <x v="1"/>
    <m/>
    <m/>
    <m/>
    <m/>
    <m/>
    <x v="0"/>
  </r>
  <r>
    <d v="2021-12-28T00:00:00"/>
    <x v="12"/>
    <x v="0"/>
    <x v="0"/>
    <n v="73000"/>
    <n v="73000"/>
    <n v="0"/>
    <x v="240"/>
    <s v="Cali"/>
    <m/>
    <m/>
    <m/>
    <m/>
    <x v="0"/>
  </r>
  <r>
    <d v="2021-12-28T00:00:00"/>
    <x v="12"/>
    <x v="26"/>
    <x v="26"/>
    <n v="-73000"/>
    <n v="0"/>
    <n v="73000"/>
    <x v="240"/>
    <s v="Cali"/>
    <m/>
    <m/>
    <m/>
    <m/>
    <x v="0"/>
  </r>
  <r>
    <m/>
    <x v="1"/>
    <x v="23"/>
    <x v="23"/>
    <m/>
    <m/>
    <m/>
    <x v="1"/>
    <m/>
    <m/>
    <m/>
    <m/>
    <m/>
    <x v="0"/>
  </r>
  <r>
    <d v="2021-12-28T00:00:00"/>
    <x v="12"/>
    <x v="0"/>
    <x v="0"/>
    <n v="10000"/>
    <n v="10000"/>
    <n v="0"/>
    <x v="236"/>
    <s v="Cali"/>
    <m/>
    <m/>
    <m/>
    <m/>
    <x v="0"/>
  </r>
  <r>
    <d v="2021-12-28T00:00:00"/>
    <x v="12"/>
    <x v="25"/>
    <x v="25"/>
    <n v="-10000"/>
    <n v="0"/>
    <n v="10000"/>
    <x v="236"/>
    <s v="Cali"/>
    <m/>
    <m/>
    <m/>
    <m/>
    <x v="0"/>
  </r>
  <r>
    <m/>
    <x v="1"/>
    <x v="23"/>
    <x v="23"/>
    <m/>
    <m/>
    <m/>
    <x v="1"/>
    <m/>
    <m/>
    <m/>
    <m/>
    <m/>
    <x v="0"/>
  </r>
  <r>
    <d v="2021-12-28T00:00:00"/>
    <x v="12"/>
    <x v="0"/>
    <x v="0"/>
    <n v="25000"/>
    <n v="25000"/>
    <n v="0"/>
    <x v="138"/>
    <s v="Cali"/>
    <m/>
    <m/>
    <m/>
    <m/>
    <x v="0"/>
  </r>
  <r>
    <d v="2021-12-28T00:00:00"/>
    <x v="12"/>
    <x v="27"/>
    <x v="27"/>
    <n v="-25000"/>
    <n v="0"/>
    <n v="25000"/>
    <x v="138"/>
    <s v="Cali"/>
    <m/>
    <m/>
    <m/>
    <m/>
    <x v="0"/>
  </r>
  <r>
    <m/>
    <x v="1"/>
    <x v="23"/>
    <x v="23"/>
    <m/>
    <m/>
    <m/>
    <x v="1"/>
    <m/>
    <m/>
    <m/>
    <m/>
    <m/>
    <x v="0"/>
  </r>
  <r>
    <d v="2021-12-28T00:00:00"/>
    <x v="12"/>
    <x v="0"/>
    <x v="0"/>
    <n v="60000"/>
    <n v="60000"/>
    <n v="0"/>
    <x v="65"/>
    <s v="Cali"/>
    <m/>
    <m/>
    <m/>
    <m/>
    <x v="0"/>
  </r>
  <r>
    <d v="2021-12-28T00:00:00"/>
    <x v="12"/>
    <x v="29"/>
    <x v="29"/>
    <n v="-60000"/>
    <n v="0"/>
    <n v="6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2-28T00:00:00"/>
    <x v="12"/>
    <x v="0"/>
    <x v="0"/>
    <n v="40000"/>
    <n v="40000"/>
    <n v="0"/>
    <x v="65"/>
    <s v="Cali"/>
    <m/>
    <m/>
    <m/>
    <m/>
    <x v="0"/>
  </r>
  <r>
    <d v="2021-12-28T00:00:00"/>
    <x v="12"/>
    <x v="29"/>
    <x v="29"/>
    <n v="-40000"/>
    <n v="0"/>
    <n v="40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2-29T00:00:00"/>
    <x v="12"/>
    <x v="56"/>
    <x v="56"/>
    <n v="327000"/>
    <n v="327000"/>
    <n v="0"/>
    <x v="711"/>
    <s v="Cali"/>
    <m/>
    <m/>
    <m/>
    <m/>
    <x v="0"/>
  </r>
  <r>
    <d v="2021-12-29T00:00:00"/>
    <x v="12"/>
    <x v="0"/>
    <x v="0"/>
    <n v="-327000"/>
    <n v="0"/>
    <n v="327000"/>
    <x v="711"/>
    <s v="Cali"/>
    <m/>
    <m/>
    <m/>
    <m/>
    <x v="0"/>
  </r>
  <r>
    <m/>
    <x v="1"/>
    <x v="23"/>
    <x v="23"/>
    <m/>
    <m/>
    <m/>
    <x v="1"/>
    <m/>
    <m/>
    <m/>
    <m/>
    <m/>
    <x v="0"/>
  </r>
  <r>
    <d v="2021-12-29T00:00:00"/>
    <x v="12"/>
    <x v="0"/>
    <x v="0"/>
    <n v="40000"/>
    <n v="40000"/>
    <n v="0"/>
    <x v="241"/>
    <s v="Cali"/>
    <m/>
    <m/>
    <m/>
    <m/>
    <x v="0"/>
  </r>
  <r>
    <d v="2021-12-29T00:00:00"/>
    <x v="12"/>
    <x v="26"/>
    <x v="26"/>
    <n v="-40000"/>
    <n v="0"/>
    <n v="40000"/>
    <x v="241"/>
    <s v="Cali"/>
    <m/>
    <m/>
    <m/>
    <m/>
    <x v="0"/>
  </r>
  <r>
    <m/>
    <x v="1"/>
    <x v="23"/>
    <x v="23"/>
    <m/>
    <m/>
    <m/>
    <x v="1"/>
    <m/>
    <m/>
    <m/>
    <m/>
    <m/>
    <x v="0"/>
  </r>
  <r>
    <d v="2021-12-29T00:00:00"/>
    <x v="12"/>
    <x v="0"/>
    <x v="0"/>
    <n v="774010"/>
    <n v="774010"/>
    <n v="0"/>
    <x v="712"/>
    <s v="Cali"/>
    <m/>
    <m/>
    <m/>
    <m/>
    <x v="0"/>
  </r>
  <r>
    <d v="2021-12-29T00:00:00"/>
    <x v="12"/>
    <x v="26"/>
    <x v="26"/>
    <n v="-774010"/>
    <n v="0"/>
    <n v="774010"/>
    <x v="712"/>
    <s v="Cali"/>
    <m/>
    <m/>
    <m/>
    <m/>
    <x v="0"/>
  </r>
  <r>
    <m/>
    <x v="1"/>
    <x v="23"/>
    <x v="23"/>
    <m/>
    <m/>
    <m/>
    <x v="1"/>
    <m/>
    <m/>
    <m/>
    <m/>
    <m/>
    <x v="0"/>
  </r>
  <r>
    <d v="2021-12-29T00:00:00"/>
    <x v="12"/>
    <x v="0"/>
    <x v="0"/>
    <n v="5000"/>
    <n v="5000"/>
    <n v="0"/>
    <x v="713"/>
    <s v="Cali"/>
    <m/>
    <m/>
    <m/>
    <m/>
    <x v="0"/>
  </r>
  <r>
    <d v="2021-12-29T00:00:00"/>
    <x v="12"/>
    <x v="27"/>
    <x v="27"/>
    <n v="-5000"/>
    <n v="0"/>
    <n v="5000"/>
    <x v="713"/>
    <s v="Cali"/>
    <m/>
    <m/>
    <m/>
    <m/>
    <x v="0"/>
  </r>
  <r>
    <m/>
    <x v="1"/>
    <x v="23"/>
    <x v="23"/>
    <m/>
    <m/>
    <m/>
    <x v="1"/>
    <m/>
    <m/>
    <m/>
    <m/>
    <m/>
    <x v="0"/>
  </r>
  <r>
    <d v="2021-12-29T00:00:00"/>
    <x v="12"/>
    <x v="0"/>
    <x v="0"/>
    <n v="200000"/>
    <n v="200000"/>
    <n v="0"/>
    <x v="242"/>
    <s v="Cali"/>
    <m/>
    <m/>
    <m/>
    <m/>
    <x v="0"/>
  </r>
  <r>
    <d v="2021-12-29T00:00:00"/>
    <x v="12"/>
    <x v="26"/>
    <x v="26"/>
    <n v="-200000"/>
    <n v="0"/>
    <n v="200000"/>
    <x v="242"/>
    <s v="Cali"/>
    <m/>
    <m/>
    <m/>
    <m/>
    <x v="0"/>
  </r>
  <r>
    <m/>
    <x v="1"/>
    <x v="23"/>
    <x v="23"/>
    <m/>
    <m/>
    <m/>
    <x v="1"/>
    <m/>
    <m/>
    <m/>
    <m/>
    <m/>
    <x v="0"/>
  </r>
  <r>
    <d v="2021-12-29T00:00:00"/>
    <x v="12"/>
    <x v="0"/>
    <x v="0"/>
    <n v="45000"/>
    <n v="45000"/>
    <n v="0"/>
    <x v="65"/>
    <s v="Cali"/>
    <m/>
    <m/>
    <m/>
    <m/>
    <x v="0"/>
  </r>
  <r>
    <d v="2021-12-29T00:00:00"/>
    <x v="12"/>
    <x v="29"/>
    <x v="29"/>
    <n v="-45000"/>
    <n v="0"/>
    <n v="45000"/>
    <x v="65"/>
    <s v="Cali"/>
    <m/>
    <m/>
    <m/>
    <m/>
    <x v="0"/>
  </r>
  <r>
    <m/>
    <x v="1"/>
    <x v="23"/>
    <x v="23"/>
    <m/>
    <m/>
    <m/>
    <x v="1"/>
    <m/>
    <m/>
    <m/>
    <m/>
    <m/>
    <x v="0"/>
  </r>
  <r>
    <d v="2021-12-29T00:00:00"/>
    <x v="12"/>
    <x v="0"/>
    <x v="0"/>
    <n v="20000"/>
    <n v="20000"/>
    <n v="0"/>
    <x v="137"/>
    <s v="Cali"/>
    <m/>
    <m/>
    <m/>
    <m/>
    <x v="0"/>
  </r>
  <r>
    <d v="2021-12-29T00:00:00"/>
    <x v="12"/>
    <x v="26"/>
    <x v="26"/>
    <n v="-20000"/>
    <n v="0"/>
    <n v="20000"/>
    <x v="137"/>
    <s v="Cali"/>
    <m/>
    <m/>
    <m/>
    <m/>
    <x v="0"/>
  </r>
  <r>
    <m/>
    <x v="1"/>
    <x v="23"/>
    <x v="23"/>
    <m/>
    <m/>
    <m/>
    <x v="1"/>
    <m/>
    <m/>
    <m/>
    <m/>
    <m/>
    <x v="0"/>
  </r>
  <r>
    <d v="2021-12-30T00:00:00"/>
    <x v="12"/>
    <x v="0"/>
    <x v="0"/>
    <n v="20000"/>
    <n v="20000"/>
    <n v="0"/>
    <x v="132"/>
    <s v="Cali"/>
    <m/>
    <m/>
    <m/>
    <m/>
    <x v="0"/>
  </r>
  <r>
    <d v="2021-12-30T00:00:00"/>
    <x v="12"/>
    <x v="25"/>
    <x v="25"/>
    <n v="-20000"/>
    <n v="0"/>
    <n v="20000"/>
    <x v="132"/>
    <s v="Cali"/>
    <m/>
    <m/>
    <m/>
    <m/>
    <x v="0"/>
  </r>
  <r>
    <m/>
    <x v="1"/>
    <x v="23"/>
    <x v="23"/>
    <m/>
    <m/>
    <m/>
    <x v="1"/>
    <m/>
    <m/>
    <m/>
    <m/>
    <m/>
    <x v="0"/>
  </r>
  <r>
    <d v="2021-12-30T00:00:00"/>
    <x v="12"/>
    <x v="0"/>
    <x v="0"/>
    <n v="30000"/>
    <n v="30000"/>
    <n v="0"/>
    <x v="497"/>
    <s v="Cali"/>
    <m/>
    <m/>
    <m/>
    <m/>
    <x v="0"/>
  </r>
  <r>
    <d v="2021-12-30T00:00:00"/>
    <x v="12"/>
    <x v="25"/>
    <x v="25"/>
    <n v="-30000"/>
    <n v="0"/>
    <n v="30000"/>
    <x v="497"/>
    <s v="Cali"/>
    <m/>
    <m/>
    <m/>
    <m/>
    <x v="0"/>
  </r>
  <r>
    <m/>
    <x v="1"/>
    <x v="23"/>
    <x v="23"/>
    <m/>
    <m/>
    <m/>
    <x v="1"/>
    <m/>
    <m/>
    <m/>
    <m/>
    <m/>
    <x v="0"/>
  </r>
  <r>
    <d v="2021-12-30T00:00:00"/>
    <x v="12"/>
    <x v="0"/>
    <x v="0"/>
    <n v="50000"/>
    <n v="50000"/>
    <n v="0"/>
    <x v="135"/>
    <s v="Cali"/>
    <m/>
    <m/>
    <m/>
    <m/>
    <x v="0"/>
  </r>
  <r>
    <d v="2021-12-30T00:00:00"/>
    <x v="12"/>
    <x v="26"/>
    <x v="26"/>
    <n v="-50000"/>
    <n v="0"/>
    <n v="50000"/>
    <x v="135"/>
    <s v="Cali"/>
    <m/>
    <m/>
    <m/>
    <m/>
    <x v="0"/>
  </r>
  <r>
    <m/>
    <x v="1"/>
    <x v="23"/>
    <x v="23"/>
    <m/>
    <m/>
    <m/>
    <x v="1"/>
    <m/>
    <m/>
    <m/>
    <m/>
    <m/>
    <x v="0"/>
  </r>
  <r>
    <d v="2021-12-30T00:00:00"/>
    <x v="12"/>
    <x v="0"/>
    <x v="0"/>
    <n v="20000"/>
    <n v="20000"/>
    <n v="0"/>
    <x v="174"/>
    <s v="Cali"/>
    <m/>
    <m/>
    <m/>
    <m/>
    <x v="0"/>
  </r>
  <r>
    <d v="2021-12-30T00:00:00"/>
    <x v="12"/>
    <x v="25"/>
    <x v="25"/>
    <n v="-20000"/>
    <n v="0"/>
    <n v="20000"/>
    <x v="174"/>
    <s v="Cali"/>
    <m/>
    <m/>
    <m/>
    <m/>
    <x v="0"/>
  </r>
  <r>
    <m/>
    <x v="1"/>
    <x v="23"/>
    <x v="23"/>
    <m/>
    <m/>
    <m/>
    <x v="1"/>
    <m/>
    <m/>
    <m/>
    <m/>
    <m/>
    <x v="0"/>
  </r>
  <r>
    <d v="2021-12-30T00:00:00"/>
    <x v="12"/>
    <x v="0"/>
    <x v="0"/>
    <n v="40000"/>
    <n v="40000"/>
    <n v="0"/>
    <x v="133"/>
    <s v="Cali"/>
    <m/>
    <m/>
    <m/>
    <m/>
    <x v="0"/>
  </r>
  <r>
    <d v="2021-12-30T00:00:00"/>
    <x v="12"/>
    <x v="25"/>
    <x v="25"/>
    <n v="-40000"/>
    <n v="0"/>
    <n v="40000"/>
    <x v="133"/>
    <s v="Cali"/>
    <m/>
    <m/>
    <m/>
    <m/>
    <x v="0"/>
  </r>
  <r>
    <m/>
    <x v="1"/>
    <x v="23"/>
    <x v="23"/>
    <m/>
    <m/>
    <m/>
    <x v="1"/>
    <m/>
    <m/>
    <m/>
    <m/>
    <m/>
    <x v="0"/>
  </r>
  <r>
    <d v="2021-12-30T00:00:00"/>
    <x v="12"/>
    <x v="0"/>
    <x v="0"/>
    <n v="100000"/>
    <n v="100000"/>
    <n v="0"/>
    <x v="134"/>
    <s v="Cali"/>
    <m/>
    <m/>
    <m/>
    <m/>
    <x v="0"/>
  </r>
  <r>
    <d v="2021-12-30T00:00:00"/>
    <x v="12"/>
    <x v="26"/>
    <x v="26"/>
    <n v="-100000"/>
    <n v="0"/>
    <n v="100000"/>
    <x v="134"/>
    <s v="Cali"/>
    <m/>
    <m/>
    <m/>
    <m/>
    <x v="0"/>
  </r>
  <r>
    <m/>
    <x v="1"/>
    <x v="23"/>
    <x v="23"/>
    <m/>
    <m/>
    <m/>
    <x v="1"/>
    <m/>
    <m/>
    <m/>
    <m/>
    <m/>
    <x v="0"/>
  </r>
  <r>
    <d v="2021-12-30T00:00:00"/>
    <x v="12"/>
    <x v="0"/>
    <x v="0"/>
    <n v="22000"/>
    <n v="22000"/>
    <n v="0"/>
    <x v="342"/>
    <s v="Cali"/>
    <m/>
    <m/>
    <m/>
    <m/>
    <x v="0"/>
  </r>
  <r>
    <d v="2021-12-30T00:00:00"/>
    <x v="12"/>
    <x v="25"/>
    <x v="25"/>
    <n v="-22000"/>
    <n v="0"/>
    <n v="22000"/>
    <x v="342"/>
    <s v="Cali"/>
    <m/>
    <m/>
    <m/>
    <m/>
    <x v="0"/>
  </r>
  <r>
    <m/>
    <x v="1"/>
    <x v="23"/>
    <x v="23"/>
    <m/>
    <m/>
    <m/>
    <x v="1"/>
    <m/>
    <m/>
    <m/>
    <m/>
    <m/>
    <x v="0"/>
  </r>
  <r>
    <d v="2021-12-30T00:00:00"/>
    <x v="12"/>
    <x v="0"/>
    <x v="0"/>
    <n v="2081474"/>
    <n v="2081474"/>
    <n v="0"/>
    <x v="714"/>
    <s v="Cali"/>
    <m/>
    <m/>
    <m/>
    <m/>
    <x v="0"/>
  </r>
  <r>
    <d v="2021-12-30T00:00:00"/>
    <x v="12"/>
    <x v="44"/>
    <x v="44"/>
    <n v="-2081474"/>
    <n v="0"/>
    <n v="2081474"/>
    <x v="714"/>
    <s v="Cali"/>
    <m/>
    <m/>
    <m/>
    <m/>
    <x v="0"/>
  </r>
  <r>
    <m/>
    <x v="1"/>
    <x v="23"/>
    <x v="23"/>
    <m/>
    <m/>
    <m/>
    <x v="1"/>
    <m/>
    <m/>
    <m/>
    <m/>
    <m/>
    <x v="0"/>
  </r>
  <r>
    <d v="2021-12-30T00:00:00"/>
    <x v="12"/>
    <x v="0"/>
    <x v="0"/>
    <n v="1930483"/>
    <n v="1930483"/>
    <n v="0"/>
    <x v="715"/>
    <s v="Cali"/>
    <m/>
    <m/>
    <m/>
    <m/>
    <x v="0"/>
  </r>
  <r>
    <d v="2021-12-30T00:00:00"/>
    <x v="12"/>
    <x v="45"/>
    <x v="45"/>
    <n v="-1930483"/>
    <n v="0"/>
    <n v="1930483"/>
    <x v="715"/>
    <s v="Cali"/>
    <m/>
    <m/>
    <m/>
    <m/>
    <x v="0"/>
  </r>
  <r>
    <m/>
    <x v="1"/>
    <x v="23"/>
    <x v="23"/>
    <m/>
    <m/>
    <m/>
    <x v="1"/>
    <m/>
    <m/>
    <m/>
    <m/>
    <m/>
    <x v="0"/>
  </r>
  <r>
    <d v="2021-12-30T00:00:00"/>
    <x v="12"/>
    <x v="0"/>
    <x v="0"/>
    <n v="20000"/>
    <n v="20000"/>
    <n v="0"/>
    <x v="151"/>
    <s v="Cali"/>
    <m/>
    <m/>
    <m/>
    <m/>
    <x v="0"/>
  </r>
  <r>
    <d v="2021-12-30T00:00:00"/>
    <x v="12"/>
    <x v="25"/>
    <x v="25"/>
    <n v="-20000"/>
    <n v="0"/>
    <n v="20000"/>
    <x v="151"/>
    <s v="Cali"/>
    <m/>
    <m/>
    <m/>
    <m/>
    <x v="0"/>
  </r>
  <r>
    <m/>
    <x v="1"/>
    <x v="23"/>
    <x v="23"/>
    <m/>
    <m/>
    <m/>
    <x v="1"/>
    <m/>
    <m/>
    <m/>
    <m/>
    <m/>
    <x v="0"/>
  </r>
  <r>
    <d v="2021-12-09T00:00:00"/>
    <x v="12"/>
    <x v="51"/>
    <x v="51"/>
    <n v="875000"/>
    <n v="875000"/>
    <n v="0"/>
    <x v="449"/>
    <s v="Cali"/>
    <m/>
    <m/>
    <m/>
    <m/>
    <x v="0"/>
  </r>
  <r>
    <d v="2021-12-09T00:00:00"/>
    <x v="12"/>
    <x v="4"/>
    <x v="4"/>
    <n v="-875000"/>
    <n v="0"/>
    <n v="875000"/>
    <x v="449"/>
    <s v="Cali"/>
    <m/>
    <m/>
    <m/>
    <m/>
    <x v="0"/>
  </r>
  <r>
    <m/>
    <x v="1"/>
    <x v="23"/>
    <x v="23"/>
    <m/>
    <m/>
    <m/>
    <x v="1"/>
    <m/>
    <m/>
    <m/>
    <m/>
    <m/>
    <x v="0"/>
  </r>
  <r>
    <d v="2021-12-13T00:00:00"/>
    <x v="12"/>
    <x v="51"/>
    <x v="51"/>
    <n v="10000"/>
    <n v="10000"/>
    <n v="0"/>
    <x v="449"/>
    <s v="Cali"/>
    <m/>
    <m/>
    <m/>
    <m/>
    <x v="0"/>
  </r>
  <r>
    <d v="2021-12-13T00:00:00"/>
    <x v="12"/>
    <x v="25"/>
    <x v="25"/>
    <n v="-10000"/>
    <n v="0"/>
    <n v="10000"/>
    <x v="449"/>
    <s v="Cali"/>
    <m/>
    <m/>
    <m/>
    <m/>
    <x v="0"/>
  </r>
  <r>
    <m/>
    <x v="1"/>
    <x v="23"/>
    <x v="23"/>
    <m/>
    <m/>
    <m/>
    <x v="1"/>
    <m/>
    <m/>
    <m/>
    <m/>
    <m/>
    <x v="0"/>
  </r>
  <r>
    <d v="2021-12-20T00:00:00"/>
    <x v="12"/>
    <x v="51"/>
    <x v="51"/>
    <n v="289832320"/>
    <n v="289832320"/>
    <n v="0"/>
    <x v="627"/>
    <s v="Cali"/>
    <m/>
    <m/>
    <m/>
    <m/>
    <x v="0"/>
  </r>
  <r>
    <d v="2021-12-20T00:00:00"/>
    <x v="12"/>
    <x v="53"/>
    <x v="53"/>
    <n v="-289832320"/>
    <n v="0"/>
    <n v="289832320"/>
    <x v="627"/>
    <s v="Cali"/>
    <m/>
    <m/>
    <m/>
    <m/>
    <x v="0"/>
  </r>
  <r>
    <m/>
    <x v="1"/>
    <x v="23"/>
    <x v="23"/>
    <m/>
    <m/>
    <m/>
    <x v="1"/>
    <m/>
    <m/>
    <m/>
    <m/>
    <m/>
    <x v="0"/>
  </r>
  <r>
    <d v="2021-12-20T00:00:00"/>
    <x v="12"/>
    <x v="53"/>
    <x v="53"/>
    <n v="248000000"/>
    <n v="248000000"/>
    <n v="0"/>
    <x v="716"/>
    <s v="Cali"/>
    <m/>
    <m/>
    <m/>
    <m/>
    <x v="0"/>
  </r>
  <r>
    <d v="2021-12-20T00:00:00"/>
    <x v="12"/>
    <x v="51"/>
    <x v="51"/>
    <n v="-248000000"/>
    <n v="0"/>
    <n v="248000000"/>
    <x v="716"/>
    <s v="Cali"/>
    <m/>
    <m/>
    <m/>
    <m/>
    <x v="0"/>
  </r>
  <r>
    <m/>
    <x v="1"/>
    <x v="23"/>
    <x v="23"/>
    <m/>
    <m/>
    <m/>
    <x v="1"/>
    <m/>
    <m/>
    <m/>
    <m/>
    <m/>
    <x v="0"/>
  </r>
  <r>
    <d v="2021-12-22T00:00:00"/>
    <x v="12"/>
    <x v="1"/>
    <x v="1"/>
    <n v="43000000"/>
    <n v="43000000"/>
    <n v="0"/>
    <x v="717"/>
    <s v="Cali"/>
    <m/>
    <m/>
    <m/>
    <m/>
    <x v="0"/>
  </r>
  <r>
    <d v="2021-12-22T00:00:00"/>
    <x v="12"/>
    <x v="51"/>
    <x v="51"/>
    <n v="-43000000"/>
    <n v="0"/>
    <n v="43000000"/>
    <x v="717"/>
    <s v="Cali"/>
    <m/>
    <m/>
    <m/>
    <m/>
    <x v="0"/>
  </r>
  <r>
    <m/>
    <x v="1"/>
    <x v="23"/>
    <x v="23"/>
    <m/>
    <m/>
    <m/>
    <x v="1"/>
    <m/>
    <m/>
    <m/>
    <m/>
    <m/>
    <x v="0"/>
  </r>
  <r>
    <d v="2021-12-27T00:00:00"/>
    <x v="12"/>
    <x v="51"/>
    <x v="51"/>
    <n v="880000"/>
    <n v="880000"/>
    <n v="0"/>
    <x v="449"/>
    <s v="Cali"/>
    <m/>
    <m/>
    <m/>
    <m/>
    <x v="0"/>
  </r>
  <r>
    <d v="2021-12-27T00:00:00"/>
    <x v="12"/>
    <x v="25"/>
    <x v="25"/>
    <n v="-880000"/>
    <n v="0"/>
    <n v="880000"/>
    <x v="449"/>
    <s v="Cali"/>
    <m/>
    <m/>
    <m/>
    <m/>
    <x v="0"/>
  </r>
  <r>
    <m/>
    <x v="1"/>
    <x v="23"/>
    <x v="23"/>
    <m/>
    <m/>
    <m/>
    <x v="1"/>
    <m/>
    <m/>
    <m/>
    <m/>
    <m/>
    <x v="0"/>
  </r>
  <r>
    <d v="2021-12-07T00:00:00"/>
    <x v="12"/>
    <x v="31"/>
    <x v="31"/>
    <n v="1661"/>
    <n v="1661"/>
    <n v="0"/>
    <x v="215"/>
    <s v="Cali"/>
    <m/>
    <m/>
    <m/>
    <m/>
    <x v="0"/>
  </r>
  <r>
    <d v="2021-12-07T00:00:00"/>
    <x v="12"/>
    <x v="1"/>
    <x v="1"/>
    <n v="-1661"/>
    <n v="0"/>
    <n v="1661"/>
    <x v="215"/>
    <s v="Cali"/>
    <m/>
    <m/>
    <m/>
    <m/>
    <x v="0"/>
  </r>
  <r>
    <m/>
    <x v="1"/>
    <x v="23"/>
    <x v="23"/>
    <m/>
    <m/>
    <m/>
    <x v="1"/>
    <m/>
    <m/>
    <m/>
    <m/>
    <m/>
    <x v="0"/>
  </r>
  <r>
    <d v="2021-12-07T00:00:00"/>
    <x v="12"/>
    <x v="31"/>
    <x v="31"/>
    <n v="316"/>
    <n v="316"/>
    <n v="0"/>
    <x v="498"/>
    <s v="Cali"/>
    <m/>
    <m/>
    <m/>
    <m/>
    <x v="0"/>
  </r>
  <r>
    <d v="2021-12-07T00:00:00"/>
    <x v="12"/>
    <x v="1"/>
    <x v="1"/>
    <n v="-316"/>
    <n v="0"/>
    <n v="316"/>
    <x v="498"/>
    <s v="Cali"/>
    <m/>
    <m/>
    <m/>
    <m/>
    <x v="0"/>
  </r>
  <r>
    <m/>
    <x v="1"/>
    <x v="23"/>
    <x v="23"/>
    <m/>
    <m/>
    <m/>
    <x v="1"/>
    <m/>
    <m/>
    <m/>
    <m/>
    <m/>
    <x v="0"/>
  </r>
  <r>
    <d v="2021-12-23T00:00:00"/>
    <x v="12"/>
    <x v="12"/>
    <x v="12"/>
    <n v="4460606"/>
    <n v="4460606"/>
    <n v="0"/>
    <x v="718"/>
    <s v="Cali"/>
    <s v="89485200-3"/>
    <s v="COZ Y COMPAÃ‘IA S.A."/>
    <n v="6579"/>
    <s v="138-01"/>
    <x v="3"/>
  </r>
  <r>
    <d v="2021-12-23T00:00:00"/>
    <x v="12"/>
    <x v="1"/>
    <x v="1"/>
    <n v="-4460606"/>
    <n v="0"/>
    <n v="4460606"/>
    <x v="718"/>
    <s v="Cali"/>
    <s v="89485200-3"/>
    <s v="COZ Y COMPAÃ‘IA S.A."/>
    <n v="6579"/>
    <s v="138-01"/>
    <x v="3"/>
  </r>
  <r>
    <m/>
    <x v="1"/>
    <x v="23"/>
    <x v="23"/>
    <m/>
    <m/>
    <m/>
    <x v="1"/>
    <m/>
    <m/>
    <m/>
    <m/>
    <m/>
    <x v="0"/>
  </r>
  <r>
    <d v="2021-12-24T00:00:00"/>
    <x v="12"/>
    <x v="9"/>
    <x v="9"/>
    <n v="12628142"/>
    <n v="12628142"/>
    <n v="0"/>
    <x v="719"/>
    <s v="Cali"/>
    <s v="80965500-8"/>
    <s v="PROYECTOS Y CONSTRUCCIONES TASCO LIMITADA"/>
    <n v="3113"/>
    <m/>
    <x v="0"/>
  </r>
  <r>
    <d v="2021-12-24T00:00:00"/>
    <x v="12"/>
    <x v="1"/>
    <x v="1"/>
    <n v="-12628142"/>
    <n v="0"/>
    <n v="12628142"/>
    <x v="719"/>
    <s v="Cali"/>
    <s v="80965500-8"/>
    <s v="PROYECTOS Y CONSTRUCCIONES TASCO LIMITADA"/>
    <n v="3113"/>
    <m/>
    <x v="0"/>
  </r>
  <r>
    <m/>
    <x v="1"/>
    <x v="23"/>
    <x v="23"/>
    <m/>
    <m/>
    <m/>
    <x v="1"/>
    <m/>
    <m/>
    <m/>
    <m/>
    <m/>
    <x v="0"/>
  </r>
  <r>
    <d v="2021-12-24T00:00:00"/>
    <x v="12"/>
    <x v="48"/>
    <x v="48"/>
    <n v="163057739"/>
    <n v="163057739"/>
    <n v="0"/>
    <x v="720"/>
    <s v="Cali"/>
    <s v="80965500-8"/>
    <s v="PROYECTOS Y CONSTRUCCIONES TASCO LIMITADA"/>
    <n v="3112"/>
    <m/>
    <x v="0"/>
  </r>
  <r>
    <d v="2021-12-24T00:00:00"/>
    <x v="12"/>
    <x v="1"/>
    <x v="1"/>
    <n v="-163057739"/>
    <n v="0"/>
    <n v="163057739"/>
    <x v="720"/>
    <s v="Cali"/>
    <s v="80965500-8"/>
    <s v="PROYECTOS Y CONSTRUCCIONES TASCO LIMITADA"/>
    <n v="3112"/>
    <m/>
    <x v="0"/>
  </r>
  <r>
    <m/>
    <x v="1"/>
    <x v="23"/>
    <x v="23"/>
    <m/>
    <m/>
    <m/>
    <x v="1"/>
    <m/>
    <m/>
    <m/>
    <m/>
    <m/>
    <x v="0"/>
  </r>
  <r>
    <d v="2021-12-24T00:00:00"/>
    <x v="12"/>
    <x v="12"/>
    <x v="12"/>
    <n v="3077600"/>
    <n v="3077600"/>
    <n v="0"/>
    <x v="721"/>
    <s v="Cali"/>
    <m/>
    <m/>
    <n v="453"/>
    <m/>
    <x v="0"/>
  </r>
  <r>
    <d v="2021-12-24T00:00:00"/>
    <x v="12"/>
    <x v="1"/>
    <x v="1"/>
    <n v="-3077600"/>
    <n v="0"/>
    <n v="3077600"/>
    <x v="721"/>
    <s v="Cali"/>
    <m/>
    <m/>
    <n v="453"/>
    <m/>
    <x v="0"/>
  </r>
  <r>
    <m/>
    <x v="1"/>
    <x v="23"/>
    <x v="23"/>
    <m/>
    <m/>
    <m/>
    <x v="1"/>
    <m/>
    <m/>
    <m/>
    <m/>
    <m/>
    <x v="0"/>
  </r>
  <r>
    <d v="2021-12-24T00:00:00"/>
    <x v="12"/>
    <x v="11"/>
    <x v="11"/>
    <n v="-22854095"/>
    <n v="0"/>
    <n v="22854095"/>
    <x v="722"/>
    <s v="Cali"/>
    <s v="80965500-8"/>
    <s v="PROYECTOS Y CONSTRUCCIONES TASCO LIMITADA"/>
    <n v="3112"/>
    <m/>
    <x v="0"/>
  </r>
  <r>
    <d v="2021-12-24T00:00:00"/>
    <x v="12"/>
    <x v="8"/>
    <x v="8"/>
    <n v="194326383"/>
    <n v="194326383"/>
    <n v="0"/>
    <x v="129"/>
    <s v="Cali"/>
    <s v="80965500-8"/>
    <s v="PROYECTOS Y CONSTRUCCIONES TASCO LIMITADA"/>
    <n v="3112"/>
    <m/>
    <x v="0"/>
  </r>
  <r>
    <d v="2021-12-24T00:00:00"/>
    <x v="12"/>
    <x v="18"/>
    <x v="18"/>
    <n v="-8414549"/>
    <n v="0"/>
    <n v="8414549"/>
    <x v="723"/>
    <s v="Cali"/>
    <s v="80965500-8"/>
    <s v="PROYECTOS Y CONSTRUCCIONES TASCO LIMITADA"/>
    <n v="3112"/>
    <m/>
    <x v="0"/>
  </r>
  <r>
    <d v="2021-12-24T00:00:00"/>
    <x v="12"/>
    <x v="48"/>
    <x v="48"/>
    <n v="-163057739"/>
    <n v="0"/>
    <n v="163057739"/>
    <x v="724"/>
    <s v="Cali"/>
    <s v="80965500-8"/>
    <s v="PROYECTOS Y CONSTRUCCIONES TASCO LIMITADA"/>
    <n v="3112"/>
    <m/>
    <x v="0"/>
  </r>
  <r>
    <m/>
    <x v="1"/>
    <x v="23"/>
    <x v="23"/>
    <m/>
    <m/>
    <m/>
    <x v="1"/>
    <m/>
    <m/>
    <m/>
    <m/>
    <m/>
    <x v="0"/>
  </r>
  <r>
    <d v="2021-12-27T00:00:00"/>
    <x v="12"/>
    <x v="31"/>
    <x v="31"/>
    <n v="4686"/>
    <n v="4686"/>
    <n v="0"/>
    <x v="215"/>
    <s v="Cali"/>
    <m/>
    <m/>
    <m/>
    <m/>
    <x v="0"/>
  </r>
  <r>
    <d v="2021-12-27T00:00:00"/>
    <x v="12"/>
    <x v="1"/>
    <x v="1"/>
    <n v="-4686"/>
    <n v="0"/>
    <n v="4686"/>
    <x v="215"/>
    <s v="Cali"/>
    <m/>
    <m/>
    <m/>
    <m/>
    <x v="0"/>
  </r>
  <r>
    <m/>
    <x v="1"/>
    <x v="23"/>
    <x v="23"/>
    <m/>
    <m/>
    <m/>
    <x v="1"/>
    <m/>
    <m/>
    <m/>
    <m/>
    <m/>
    <x v="0"/>
  </r>
  <r>
    <d v="2021-12-27T00:00:00"/>
    <x v="12"/>
    <x v="31"/>
    <x v="31"/>
    <n v="890"/>
    <n v="890"/>
    <n v="0"/>
    <x v="215"/>
    <s v="Cali"/>
    <m/>
    <m/>
    <m/>
    <m/>
    <x v="0"/>
  </r>
  <r>
    <d v="2021-12-27T00:00:00"/>
    <x v="12"/>
    <x v="1"/>
    <x v="1"/>
    <n v="-890"/>
    <n v="0"/>
    <n v="890"/>
    <x v="215"/>
    <s v="Cali"/>
    <m/>
    <m/>
    <m/>
    <m/>
    <x v="0"/>
  </r>
  <r>
    <m/>
    <x v="1"/>
    <x v="23"/>
    <x v="23"/>
    <m/>
    <m/>
    <m/>
    <x v="1"/>
    <m/>
    <m/>
    <m/>
    <m/>
    <m/>
    <x v="0"/>
  </r>
  <r>
    <d v="2021-12-31T00:00:00"/>
    <x v="12"/>
    <x v="32"/>
    <x v="32"/>
    <n v="-632000"/>
    <n v="0"/>
    <n v="632000"/>
    <x v="725"/>
    <s v="Cali"/>
    <m/>
    <m/>
    <m/>
    <m/>
    <x v="0"/>
  </r>
  <r>
    <d v="2021-12-31T00:00:00"/>
    <x v="12"/>
    <x v="33"/>
    <x v="33"/>
    <n v="0"/>
    <n v="0"/>
    <n v="0"/>
    <x v="725"/>
    <s v="Cali"/>
    <m/>
    <m/>
    <m/>
    <m/>
    <x v="0"/>
  </r>
  <r>
    <d v="2021-12-31T00:00:00"/>
    <x v="12"/>
    <x v="34"/>
    <x v="34"/>
    <n v="-970000"/>
    <n v="0"/>
    <n v="970000"/>
    <x v="725"/>
    <s v="Cali"/>
    <m/>
    <m/>
    <m/>
    <m/>
    <x v="0"/>
  </r>
  <r>
    <d v="2021-12-31T00:00:00"/>
    <x v="12"/>
    <x v="35"/>
    <x v="35"/>
    <n v="-3572000"/>
    <n v="0"/>
    <n v="3572000"/>
    <x v="725"/>
    <s v="Cali"/>
    <m/>
    <m/>
    <m/>
    <m/>
    <x v="0"/>
  </r>
  <r>
    <d v="2021-12-31T00:00:00"/>
    <x v="12"/>
    <x v="36"/>
    <x v="36"/>
    <n v="-4120600"/>
    <n v="0"/>
    <n v="4120600"/>
    <x v="725"/>
    <s v="Cali"/>
    <m/>
    <m/>
    <m/>
    <m/>
    <x v="0"/>
  </r>
  <r>
    <d v="2021-12-31T00:00:00"/>
    <x v="12"/>
    <x v="37"/>
    <x v="37"/>
    <n v="-8451913"/>
    <n v="0"/>
    <n v="8451913"/>
    <x v="725"/>
    <s v="Cali"/>
    <m/>
    <m/>
    <m/>
    <m/>
    <x v="0"/>
  </r>
  <r>
    <d v="2021-12-31T00:00:00"/>
    <x v="12"/>
    <x v="29"/>
    <x v="29"/>
    <n v="632000"/>
    <n v="632000"/>
    <n v="0"/>
    <x v="725"/>
    <s v="Cali"/>
    <m/>
    <m/>
    <m/>
    <m/>
    <x v="0"/>
  </r>
  <r>
    <d v="2021-12-31T00:00:00"/>
    <x v="12"/>
    <x v="27"/>
    <x v="27"/>
    <n v="970000"/>
    <n v="970000"/>
    <n v="0"/>
    <x v="725"/>
    <s v="Cali"/>
    <m/>
    <m/>
    <m/>
    <m/>
    <x v="0"/>
  </r>
  <r>
    <d v="2021-12-31T00:00:00"/>
    <x v="12"/>
    <x v="25"/>
    <x v="25"/>
    <n v="3572000"/>
    <n v="3572000"/>
    <n v="0"/>
    <x v="725"/>
    <s v="Cali"/>
    <m/>
    <m/>
    <m/>
    <m/>
    <x v="0"/>
  </r>
  <r>
    <d v="2021-12-31T00:00:00"/>
    <x v="12"/>
    <x v="5"/>
    <x v="5"/>
    <n v="12572513"/>
    <n v="12572513"/>
    <n v="0"/>
    <x v="725"/>
    <s v="Cali"/>
    <m/>
    <m/>
    <m/>
    <m/>
    <x v="0"/>
  </r>
  <r>
    <d v="2021-12-31T00:00:00"/>
    <x v="12"/>
    <x v="15"/>
    <x v="15"/>
    <n v="-2991317"/>
    <n v="0"/>
    <n v="2991317"/>
    <x v="725"/>
    <s v="Cali"/>
    <m/>
    <m/>
    <m/>
    <m/>
    <x v="0"/>
  </r>
  <r>
    <d v="2021-12-31T00:00:00"/>
    <x v="12"/>
    <x v="38"/>
    <x v="38"/>
    <n v="2991317"/>
    <n v="2991317"/>
    <n v="0"/>
    <x v="725"/>
    <s v="Cali"/>
    <m/>
    <m/>
    <m/>
    <m/>
    <x v="0"/>
  </r>
  <r>
    <d v="2021-12-31T00:00:00"/>
    <x v="12"/>
    <x v="16"/>
    <x v="16"/>
    <n v="-75840"/>
    <n v="0"/>
    <n v="75840"/>
    <x v="725"/>
    <s v="Cali"/>
    <m/>
    <m/>
    <m/>
    <m/>
    <x v="0"/>
  </r>
  <r>
    <d v="2021-12-31T00:00:00"/>
    <x v="12"/>
    <x v="14"/>
    <x v="14"/>
    <n v="-177465"/>
    <n v="0"/>
    <n v="177465"/>
    <x v="725"/>
    <s v="Cali"/>
    <m/>
    <m/>
    <m/>
    <m/>
    <x v="0"/>
  </r>
  <r>
    <d v="2021-12-31T00:00:00"/>
    <x v="12"/>
    <x v="39"/>
    <x v="39"/>
    <n v="75840"/>
    <n v="75840"/>
    <n v="0"/>
    <x v="725"/>
    <s v="Cali"/>
    <m/>
    <m/>
    <m/>
    <m/>
    <x v="0"/>
  </r>
  <r>
    <d v="2021-12-31T00:00:00"/>
    <x v="12"/>
    <x v="40"/>
    <x v="40"/>
    <n v="177465"/>
    <n v="177465"/>
    <n v="0"/>
    <x v="725"/>
    <s v="Cali"/>
    <m/>
    <m/>
    <m/>
    <m/>
    <x v="0"/>
  </r>
  <r>
    <d v="2021-12-31T00:00:00"/>
    <x v="12"/>
    <x v="41"/>
    <x v="41"/>
    <n v="-5652747"/>
    <n v="0"/>
    <n v="5652747"/>
    <x v="725"/>
    <s v="Cali"/>
    <m/>
    <m/>
    <m/>
    <m/>
    <x v="0"/>
  </r>
  <r>
    <d v="2021-12-31T00:00:00"/>
    <x v="12"/>
    <x v="42"/>
    <x v="42"/>
    <n v="-2000500"/>
    <n v="0"/>
    <n v="2000500"/>
    <x v="725"/>
    <s v="Cali"/>
    <m/>
    <m/>
    <m/>
    <m/>
    <x v="0"/>
  </r>
  <r>
    <d v="2021-12-31T00:00:00"/>
    <x v="12"/>
    <x v="43"/>
    <x v="43"/>
    <n v="392534"/>
    <n v="392534"/>
    <n v="0"/>
    <x v="725"/>
    <s v="Cali"/>
    <m/>
    <m/>
    <m/>
    <m/>
    <x v="0"/>
  </r>
  <r>
    <d v="2021-12-31T00:00:00"/>
    <x v="12"/>
    <x v="43"/>
    <x v="43"/>
    <n v="50013"/>
    <n v="50013"/>
    <n v="0"/>
    <x v="725"/>
    <s v="Cali"/>
    <m/>
    <m/>
    <m/>
    <m/>
    <x v="0"/>
  </r>
  <r>
    <d v="2021-12-31T00:00:00"/>
    <x v="12"/>
    <x v="38"/>
    <x v="38"/>
    <n v="3122212"/>
    <n v="3122212"/>
    <n v="0"/>
    <x v="725"/>
    <s v="Cali"/>
    <m/>
    <m/>
    <m/>
    <m/>
    <x v="0"/>
  </r>
  <r>
    <d v="2021-12-31T00:00:00"/>
    <x v="12"/>
    <x v="40"/>
    <x v="40"/>
    <n v="56527"/>
    <n v="56527"/>
    <n v="0"/>
    <x v="725"/>
    <s v="Cali"/>
    <m/>
    <m/>
    <m/>
    <m/>
    <x v="0"/>
  </r>
  <r>
    <d v="2021-12-31T00:00:00"/>
    <x v="12"/>
    <x v="40"/>
    <x v="40"/>
    <n v="20005"/>
    <n v="20005"/>
    <n v="0"/>
    <x v="725"/>
    <s v="Cali"/>
    <m/>
    <m/>
    <m/>
    <m/>
    <x v="0"/>
  </r>
  <r>
    <d v="2021-12-31T00:00:00"/>
    <x v="12"/>
    <x v="44"/>
    <x v="44"/>
    <n v="2081474"/>
    <n v="2081474"/>
    <n v="0"/>
    <x v="725"/>
    <s v="Cali"/>
    <m/>
    <m/>
    <m/>
    <m/>
    <x v="0"/>
  </r>
  <r>
    <d v="2021-12-31T00:00:00"/>
    <x v="12"/>
    <x v="45"/>
    <x v="45"/>
    <n v="1930482"/>
    <n v="1930482"/>
    <n v="0"/>
    <x v="725"/>
    <s v="Cali"/>
    <m/>
    <m/>
    <m/>
    <m/>
    <x v="0"/>
  </r>
  <r>
    <d v="2021-12-31T00:00:00"/>
    <x v="12"/>
    <x v="5"/>
    <x v="5"/>
    <n v="-393197"/>
    <n v="0"/>
    <n v="393197"/>
    <x v="725"/>
    <s v="Cali"/>
    <m/>
    <m/>
    <m/>
    <m/>
    <x v="0"/>
  </r>
  <r>
    <d v="2021-12-31T00:00:00"/>
    <x v="12"/>
    <x v="30"/>
    <x v="30"/>
    <n v="393197"/>
    <n v="393197"/>
    <n v="0"/>
    <x v="725"/>
    <s v="Cali"/>
    <m/>
    <m/>
    <m/>
    <m/>
    <x v="0"/>
  </r>
  <r>
    <m/>
    <x v="1"/>
    <x v="23"/>
    <x v="23"/>
    <m/>
    <m/>
    <m/>
    <x v="1"/>
    <m/>
    <m/>
    <m/>
    <m/>
    <m/>
    <x v="0"/>
  </r>
  <r>
    <d v="2021-12-31T00:00:00"/>
    <x v="12"/>
    <x v="13"/>
    <x v="13"/>
    <n v="30000"/>
    <n v="30000"/>
    <n v="0"/>
    <x v="465"/>
    <s v="Cali"/>
    <m/>
    <m/>
    <m/>
    <m/>
    <x v="0"/>
  </r>
  <r>
    <d v="2021-12-31T00:00:00"/>
    <x v="12"/>
    <x v="13"/>
    <x v="13"/>
    <n v="3000000"/>
    <n v="3000000"/>
    <n v="0"/>
    <x v="726"/>
    <s v="Cali"/>
    <m/>
    <m/>
    <m/>
    <m/>
    <x v="0"/>
  </r>
  <r>
    <d v="2021-12-31T00:00:00"/>
    <x v="12"/>
    <x v="13"/>
    <x v="13"/>
    <n v="7860"/>
    <n v="7860"/>
    <n v="0"/>
    <x v="727"/>
    <s v="Cali"/>
    <m/>
    <m/>
    <m/>
    <m/>
    <x v="0"/>
  </r>
  <r>
    <d v="2021-12-31T00:00:00"/>
    <x v="12"/>
    <x v="13"/>
    <x v="13"/>
    <n v="20000"/>
    <n v="20000"/>
    <n v="0"/>
    <x v="299"/>
    <s v="Cali"/>
    <m/>
    <m/>
    <m/>
    <m/>
    <x v="0"/>
  </r>
  <r>
    <d v="2021-12-31T00:00:00"/>
    <x v="12"/>
    <x v="13"/>
    <x v="13"/>
    <n v="40000"/>
    <n v="40000"/>
    <n v="0"/>
    <x v="463"/>
    <s v="Cali"/>
    <m/>
    <m/>
    <m/>
    <m/>
    <x v="0"/>
  </r>
  <r>
    <d v="2021-12-31T00:00:00"/>
    <x v="12"/>
    <x v="13"/>
    <x v="13"/>
    <n v="50000"/>
    <n v="50000"/>
    <n v="0"/>
    <x v="357"/>
    <s v="Cali"/>
    <m/>
    <m/>
    <m/>
    <m/>
    <x v="0"/>
  </r>
  <r>
    <d v="2021-12-31T00:00:00"/>
    <x v="12"/>
    <x v="13"/>
    <x v="13"/>
    <n v="50000"/>
    <n v="50000"/>
    <n v="0"/>
    <x v="220"/>
    <s v="Cali"/>
    <m/>
    <m/>
    <m/>
    <m/>
    <x v="0"/>
  </r>
  <r>
    <d v="2021-12-31T00:00:00"/>
    <x v="12"/>
    <x v="13"/>
    <x v="13"/>
    <n v="-46739"/>
    <n v="0"/>
    <n v="46739"/>
    <x v="728"/>
    <s v="Cali"/>
    <m/>
    <m/>
    <m/>
    <m/>
    <x v="0"/>
  </r>
  <r>
    <d v="2021-12-31T00:00:00"/>
    <x v="12"/>
    <x v="13"/>
    <x v="13"/>
    <n v="15000"/>
    <n v="15000"/>
    <n v="0"/>
    <x v="406"/>
    <s v="Cali"/>
    <m/>
    <m/>
    <m/>
    <m/>
    <x v="0"/>
  </r>
  <r>
    <d v="2021-12-31T00:00:00"/>
    <x v="12"/>
    <x v="13"/>
    <x v="13"/>
    <n v="30000"/>
    <n v="30000"/>
    <n v="0"/>
    <x v="729"/>
    <s v="Cali"/>
    <m/>
    <m/>
    <m/>
    <m/>
    <x v="0"/>
  </r>
  <r>
    <d v="2021-12-31T00:00:00"/>
    <x v="12"/>
    <x v="13"/>
    <x v="13"/>
    <n v="29472"/>
    <n v="29472"/>
    <n v="0"/>
    <x v="730"/>
    <s v="Cali"/>
    <m/>
    <m/>
    <m/>
    <m/>
    <x v="0"/>
  </r>
  <r>
    <d v="2021-12-31T00:00:00"/>
    <x v="12"/>
    <x v="13"/>
    <x v="13"/>
    <n v="17000"/>
    <n v="17000"/>
    <n v="0"/>
    <x v="631"/>
    <s v="Cali"/>
    <m/>
    <m/>
    <m/>
    <m/>
    <x v="0"/>
  </r>
  <r>
    <d v="2021-12-31T00:00:00"/>
    <x v="12"/>
    <x v="13"/>
    <x v="13"/>
    <n v="19648"/>
    <n v="19648"/>
    <n v="0"/>
    <x v="731"/>
    <s v="Cali"/>
    <m/>
    <m/>
    <m/>
    <m/>
    <x v="0"/>
  </r>
  <r>
    <d v="2021-12-31T00:00:00"/>
    <x v="12"/>
    <x v="13"/>
    <x v="13"/>
    <n v="16700"/>
    <n v="16700"/>
    <n v="0"/>
    <x v="732"/>
    <s v="Cali"/>
    <m/>
    <m/>
    <m/>
    <m/>
    <x v="0"/>
  </r>
  <r>
    <d v="2021-12-31T00:00:00"/>
    <x v="12"/>
    <x v="13"/>
    <x v="13"/>
    <n v="21000"/>
    <n v="21000"/>
    <n v="0"/>
    <x v="545"/>
    <s v="Cali"/>
    <m/>
    <m/>
    <m/>
    <m/>
    <x v="0"/>
  </r>
  <r>
    <d v="2021-12-31T00:00:00"/>
    <x v="12"/>
    <x v="13"/>
    <x v="13"/>
    <n v="15000"/>
    <n v="15000"/>
    <n v="0"/>
    <x v="301"/>
    <s v="Cali"/>
    <m/>
    <m/>
    <m/>
    <m/>
    <x v="0"/>
  </r>
  <r>
    <d v="2021-12-31T00:00:00"/>
    <x v="12"/>
    <x v="13"/>
    <x v="13"/>
    <n v="9824"/>
    <n v="9824"/>
    <n v="0"/>
    <x v="733"/>
    <s v="Cali"/>
    <m/>
    <m/>
    <m/>
    <m/>
    <x v="0"/>
  </r>
  <r>
    <d v="2021-12-31T00:00:00"/>
    <x v="12"/>
    <x v="13"/>
    <x v="13"/>
    <n v="49119"/>
    <n v="49119"/>
    <n v="0"/>
    <x v="734"/>
    <s v="Cali"/>
    <m/>
    <m/>
    <m/>
    <m/>
    <x v="0"/>
  </r>
  <r>
    <d v="2021-12-31T00:00:00"/>
    <x v="12"/>
    <x v="13"/>
    <x v="13"/>
    <n v="9824"/>
    <n v="9824"/>
    <n v="0"/>
    <x v="667"/>
    <s v="Cali"/>
    <m/>
    <m/>
    <m/>
    <m/>
    <x v="0"/>
  </r>
  <r>
    <d v="2021-12-31T00:00:00"/>
    <x v="12"/>
    <x v="13"/>
    <x v="13"/>
    <n v="100000"/>
    <n v="100000"/>
    <n v="0"/>
    <x v="735"/>
    <s v="Cali"/>
    <m/>
    <m/>
    <m/>
    <m/>
    <x v="0"/>
  </r>
  <r>
    <d v="2021-12-31T00:00:00"/>
    <x v="12"/>
    <x v="13"/>
    <x v="13"/>
    <n v="60000"/>
    <n v="60000"/>
    <n v="0"/>
    <x v="668"/>
    <s v="Cali"/>
    <m/>
    <m/>
    <m/>
    <m/>
    <x v="0"/>
  </r>
  <r>
    <d v="2021-12-31T00:00:00"/>
    <x v="12"/>
    <x v="13"/>
    <x v="13"/>
    <n v="9824"/>
    <n v="9824"/>
    <n v="0"/>
    <x v="736"/>
    <s v="Cali"/>
    <m/>
    <m/>
    <m/>
    <m/>
    <x v="0"/>
  </r>
  <r>
    <d v="2021-12-31T00:00:00"/>
    <x v="12"/>
    <x v="13"/>
    <x v="13"/>
    <n v="30000"/>
    <n v="30000"/>
    <n v="0"/>
    <x v="304"/>
    <s v="Cali"/>
    <m/>
    <m/>
    <m/>
    <m/>
    <x v="0"/>
  </r>
  <r>
    <d v="2021-12-31T00:00:00"/>
    <x v="12"/>
    <x v="29"/>
    <x v="29"/>
    <n v="-30000"/>
    <n v="0"/>
    <n v="30000"/>
    <x v="465"/>
    <s v="Cali"/>
    <m/>
    <m/>
    <m/>
    <m/>
    <x v="0"/>
  </r>
  <r>
    <d v="2021-12-31T00:00:00"/>
    <x v="12"/>
    <x v="26"/>
    <x v="26"/>
    <n v="-3000000"/>
    <n v="0"/>
    <n v="3000000"/>
    <x v="726"/>
    <s v="Cali"/>
    <m/>
    <m/>
    <m/>
    <m/>
    <x v="0"/>
  </r>
  <r>
    <d v="2021-12-31T00:00:00"/>
    <x v="12"/>
    <x v="25"/>
    <x v="25"/>
    <n v="-8000"/>
    <n v="0"/>
    <n v="8000"/>
    <x v="727"/>
    <s v="Cali"/>
    <m/>
    <m/>
    <m/>
    <m/>
    <x v="0"/>
  </r>
  <r>
    <d v="2021-12-31T00:00:00"/>
    <x v="12"/>
    <x v="26"/>
    <x v="26"/>
    <n v="-20000"/>
    <n v="0"/>
    <n v="20000"/>
    <x v="299"/>
    <s v="Cali"/>
    <m/>
    <m/>
    <m/>
    <m/>
    <x v="0"/>
  </r>
  <r>
    <d v="2021-12-31T00:00:00"/>
    <x v="12"/>
    <x v="25"/>
    <x v="25"/>
    <n v="-40000"/>
    <n v="0"/>
    <n v="40000"/>
    <x v="463"/>
    <s v="Cali"/>
    <m/>
    <m/>
    <m/>
    <m/>
    <x v="0"/>
  </r>
  <r>
    <d v="2021-12-31T00:00:00"/>
    <x v="12"/>
    <x v="26"/>
    <x v="26"/>
    <n v="-50000"/>
    <n v="0"/>
    <n v="50000"/>
    <x v="357"/>
    <s v="Cali"/>
    <m/>
    <m/>
    <m/>
    <m/>
    <x v="0"/>
  </r>
  <r>
    <d v="2021-12-31T00:00:00"/>
    <x v="12"/>
    <x v="25"/>
    <x v="25"/>
    <n v="-50000"/>
    <n v="0"/>
    <n v="50000"/>
    <x v="220"/>
    <s v="Cali"/>
    <m/>
    <m/>
    <m/>
    <m/>
    <x v="0"/>
  </r>
  <r>
    <d v="2021-12-31T00:00:00"/>
    <x v="12"/>
    <x v="17"/>
    <x v="17"/>
    <n v="46739"/>
    <n v="46739"/>
    <n v="0"/>
    <x v="728"/>
    <s v="Cali"/>
    <m/>
    <m/>
    <m/>
    <m/>
    <x v="0"/>
  </r>
  <r>
    <d v="2021-12-31T00:00:00"/>
    <x v="12"/>
    <x v="26"/>
    <x v="26"/>
    <n v="-15000"/>
    <n v="0"/>
    <n v="15000"/>
    <x v="406"/>
    <s v="Cali"/>
    <m/>
    <m/>
    <m/>
    <m/>
    <x v="0"/>
  </r>
  <r>
    <d v="2021-12-31T00:00:00"/>
    <x v="12"/>
    <x v="25"/>
    <x v="25"/>
    <n v="-30000"/>
    <n v="0"/>
    <n v="30000"/>
    <x v="729"/>
    <s v="Cali"/>
    <m/>
    <m/>
    <m/>
    <m/>
    <x v="0"/>
  </r>
  <r>
    <d v="2021-12-31T00:00:00"/>
    <x v="12"/>
    <x v="25"/>
    <x v="25"/>
    <n v="-30000"/>
    <n v="0"/>
    <n v="30000"/>
    <x v="730"/>
    <s v="Cali"/>
    <m/>
    <m/>
    <m/>
    <m/>
    <x v="0"/>
  </r>
  <r>
    <d v="2021-12-31T00:00:00"/>
    <x v="12"/>
    <x v="25"/>
    <x v="25"/>
    <n v="-17000"/>
    <n v="0"/>
    <n v="17000"/>
    <x v="631"/>
    <s v="Cali"/>
    <m/>
    <m/>
    <m/>
    <m/>
    <x v="0"/>
  </r>
  <r>
    <d v="2021-12-31T00:00:00"/>
    <x v="12"/>
    <x v="25"/>
    <x v="25"/>
    <n v="-20000"/>
    <n v="0"/>
    <n v="20000"/>
    <x v="731"/>
    <s v="Cali"/>
    <m/>
    <m/>
    <m/>
    <m/>
    <x v="0"/>
  </r>
  <r>
    <d v="2021-12-31T00:00:00"/>
    <x v="12"/>
    <x v="25"/>
    <x v="25"/>
    <n v="-17000"/>
    <n v="0"/>
    <n v="17000"/>
    <x v="732"/>
    <s v="Cali"/>
    <m/>
    <m/>
    <m/>
    <m/>
    <x v="0"/>
  </r>
  <r>
    <d v="2021-12-31T00:00:00"/>
    <x v="12"/>
    <x v="27"/>
    <x v="27"/>
    <n v="-21000"/>
    <n v="0"/>
    <n v="21000"/>
    <x v="545"/>
    <s v="Cali"/>
    <m/>
    <m/>
    <m/>
    <m/>
    <x v="0"/>
  </r>
  <r>
    <d v="2021-12-31T00:00:00"/>
    <x v="12"/>
    <x v="25"/>
    <x v="25"/>
    <n v="-15000"/>
    <n v="0"/>
    <n v="15000"/>
    <x v="301"/>
    <s v="Cali"/>
    <m/>
    <m/>
    <m/>
    <m/>
    <x v="0"/>
  </r>
  <r>
    <d v="2021-12-31T00:00:00"/>
    <x v="12"/>
    <x v="25"/>
    <x v="25"/>
    <n v="-10000"/>
    <n v="0"/>
    <n v="10000"/>
    <x v="733"/>
    <s v="Cali"/>
    <m/>
    <m/>
    <m/>
    <m/>
    <x v="0"/>
  </r>
  <r>
    <d v="2021-12-31T00:00:00"/>
    <x v="12"/>
    <x v="25"/>
    <x v="25"/>
    <n v="-50000"/>
    <n v="0"/>
    <n v="50000"/>
    <x v="734"/>
    <s v="Cali"/>
    <m/>
    <m/>
    <m/>
    <m/>
    <x v="0"/>
  </r>
  <r>
    <d v="2021-12-31T00:00:00"/>
    <x v="12"/>
    <x v="25"/>
    <x v="25"/>
    <n v="-10000"/>
    <n v="0"/>
    <n v="10000"/>
    <x v="667"/>
    <s v="Cali"/>
    <m/>
    <m/>
    <m/>
    <m/>
    <x v="0"/>
  </r>
  <r>
    <d v="2021-12-31T00:00:00"/>
    <x v="12"/>
    <x v="26"/>
    <x v="26"/>
    <n v="-100000"/>
    <n v="0"/>
    <n v="100000"/>
    <x v="735"/>
    <s v="Cali"/>
    <m/>
    <m/>
    <m/>
    <m/>
    <x v="0"/>
  </r>
  <r>
    <d v="2021-12-31T00:00:00"/>
    <x v="12"/>
    <x v="25"/>
    <x v="25"/>
    <n v="-60000"/>
    <n v="0"/>
    <n v="60000"/>
    <x v="668"/>
    <s v="Cali"/>
    <m/>
    <m/>
    <m/>
    <m/>
    <x v="0"/>
  </r>
  <r>
    <d v="2021-12-31T00:00:00"/>
    <x v="12"/>
    <x v="25"/>
    <x v="25"/>
    <n v="-10000"/>
    <n v="0"/>
    <n v="10000"/>
    <x v="736"/>
    <s v="Cali"/>
    <m/>
    <m/>
    <m/>
    <m/>
    <x v="0"/>
  </r>
  <r>
    <d v="2021-12-31T00:00:00"/>
    <x v="12"/>
    <x v="25"/>
    <x v="25"/>
    <n v="-30000"/>
    <n v="0"/>
    <n v="30000"/>
    <x v="304"/>
    <s v="Cali"/>
    <m/>
    <m/>
    <m/>
    <m/>
    <x v="0"/>
  </r>
  <r>
    <d v="2021-12-31T00:00:00"/>
    <x v="12"/>
    <x v="31"/>
    <x v="31"/>
    <n v="140"/>
    <n v="140"/>
    <n v="0"/>
    <x v="727"/>
    <s v="Cali"/>
    <m/>
    <m/>
    <m/>
    <m/>
    <x v="0"/>
  </r>
  <r>
    <d v="2021-12-31T00:00:00"/>
    <x v="12"/>
    <x v="31"/>
    <x v="31"/>
    <n v="528"/>
    <n v="528"/>
    <n v="0"/>
    <x v="730"/>
    <s v="Cali"/>
    <m/>
    <m/>
    <m/>
    <m/>
    <x v="0"/>
  </r>
  <r>
    <d v="2021-12-31T00:00:00"/>
    <x v="12"/>
    <x v="31"/>
    <x v="31"/>
    <n v="352"/>
    <n v="352"/>
    <n v="0"/>
    <x v="731"/>
    <s v="Cali"/>
    <m/>
    <m/>
    <m/>
    <m/>
    <x v="0"/>
  </r>
  <r>
    <d v="2021-12-31T00:00:00"/>
    <x v="12"/>
    <x v="31"/>
    <x v="31"/>
    <n v="300"/>
    <n v="300"/>
    <n v="0"/>
    <x v="732"/>
    <s v="Cali"/>
    <m/>
    <m/>
    <m/>
    <m/>
    <x v="0"/>
  </r>
  <r>
    <d v="2021-12-31T00:00:00"/>
    <x v="12"/>
    <x v="31"/>
    <x v="31"/>
    <n v="176"/>
    <n v="176"/>
    <n v="0"/>
    <x v="733"/>
    <s v="Cali"/>
    <m/>
    <m/>
    <m/>
    <m/>
    <x v="0"/>
  </r>
  <r>
    <d v="2021-12-31T00:00:00"/>
    <x v="12"/>
    <x v="31"/>
    <x v="31"/>
    <n v="881"/>
    <n v="881"/>
    <n v="0"/>
    <x v="734"/>
    <s v="Cali"/>
    <m/>
    <m/>
    <m/>
    <m/>
    <x v="0"/>
  </r>
  <r>
    <d v="2021-12-31T00:00:00"/>
    <x v="12"/>
    <x v="31"/>
    <x v="31"/>
    <n v="176"/>
    <n v="176"/>
    <n v="0"/>
    <x v="667"/>
    <s v="Cali"/>
    <m/>
    <m/>
    <m/>
    <m/>
    <x v="0"/>
  </r>
  <r>
    <d v="2021-12-31T00:00:00"/>
    <x v="12"/>
    <x v="31"/>
    <x v="31"/>
    <n v="176"/>
    <n v="176"/>
    <n v="0"/>
    <x v="736"/>
    <s v="Cali"/>
    <m/>
    <m/>
    <m/>
    <m/>
    <x v="0"/>
  </r>
  <r>
    <m/>
    <x v="1"/>
    <x v="23"/>
    <x v="23"/>
    <m/>
    <m/>
    <m/>
    <x v="1"/>
    <m/>
    <m/>
    <m/>
    <m/>
    <m/>
    <x v="0"/>
  </r>
  <r>
    <d v="2021-12-31T00:00:00"/>
    <x v="12"/>
    <x v="46"/>
    <x v="46"/>
    <n v="0"/>
    <n v="0"/>
    <n v="0"/>
    <x v="110"/>
    <s v="Cali"/>
    <m/>
    <m/>
    <m/>
    <m/>
    <x v="0"/>
  </r>
  <r>
    <d v="2021-12-31T00:00:00"/>
    <x v="12"/>
    <x v="47"/>
    <x v="47"/>
    <n v="0"/>
    <n v="0"/>
    <n v="0"/>
    <x v="110"/>
    <s v="Cali"/>
    <m/>
    <m/>
    <m/>
    <m/>
    <x v="0"/>
  </r>
  <r>
    <m/>
    <x v="1"/>
    <x v="23"/>
    <x v="23"/>
    <m/>
    <m/>
    <m/>
    <x v="1"/>
    <m/>
    <m/>
    <m/>
    <m/>
    <m/>
    <x v="0"/>
  </r>
  <r>
    <d v="2021-12-31T00:00:00"/>
    <x v="12"/>
    <x v="2"/>
    <x v="2"/>
    <n v="0"/>
    <n v="0"/>
    <n v="0"/>
    <x v="111"/>
    <s v="Cali"/>
    <m/>
    <m/>
    <m/>
    <m/>
    <x v="0"/>
  </r>
  <r>
    <d v="2021-12-31T00:00:00"/>
    <x v="12"/>
    <x v="47"/>
    <x v="47"/>
    <n v="0"/>
    <n v="0"/>
    <n v="0"/>
    <x v="111"/>
    <s v="Cali"/>
    <m/>
    <m/>
    <m/>
    <m/>
    <x v="0"/>
  </r>
  <r>
    <m/>
    <x v="1"/>
    <x v="23"/>
    <x v="23"/>
    <m/>
    <m/>
    <m/>
    <x v="1"/>
    <m/>
    <m/>
    <m/>
    <m/>
    <m/>
    <x v="0"/>
  </r>
  <r>
    <d v="2021-12-31T00:00:00"/>
    <x v="12"/>
    <x v="3"/>
    <x v="3"/>
    <n v="0"/>
    <n v="0"/>
    <n v="0"/>
    <x v="112"/>
    <s v="Cali"/>
    <m/>
    <m/>
    <m/>
    <m/>
    <x v="0"/>
  </r>
  <r>
    <d v="2021-12-31T00:00:00"/>
    <x v="12"/>
    <x v="47"/>
    <x v="47"/>
    <n v="0"/>
    <n v="0"/>
    <n v="0"/>
    <x v="112"/>
    <s v="Cali"/>
    <m/>
    <m/>
    <m/>
    <m/>
    <x v="0"/>
  </r>
  <r>
    <m/>
    <x v="1"/>
    <x v="23"/>
    <x v="23"/>
    <m/>
    <m/>
    <m/>
    <x v="1"/>
    <m/>
    <m/>
    <m/>
    <m/>
    <m/>
    <x v="0"/>
  </r>
  <r>
    <d v="2021-12-31T00:00:00"/>
    <x v="12"/>
    <x v="53"/>
    <x v="53"/>
    <n v="832320"/>
    <n v="832320"/>
    <n v="0"/>
    <x v="305"/>
    <s v="Cali"/>
    <m/>
    <m/>
    <m/>
    <m/>
    <x v="0"/>
  </r>
  <r>
    <d v="2021-12-31T00:00:00"/>
    <x v="12"/>
    <x v="47"/>
    <x v="47"/>
    <n v="-832320"/>
    <n v="0"/>
    <n v="832320"/>
    <x v="305"/>
    <s v="Cali"/>
    <m/>
    <m/>
    <m/>
    <m/>
    <x v="0"/>
  </r>
  <r>
    <m/>
    <x v="1"/>
    <x v="23"/>
    <x v="23"/>
    <m/>
    <m/>
    <m/>
    <x v="1"/>
    <m/>
    <m/>
    <m/>
    <m/>
    <m/>
    <x v="0"/>
  </r>
  <r>
    <d v="2021-12-31T00:00:00"/>
    <x v="12"/>
    <x v="44"/>
    <x v="44"/>
    <n v="2"/>
    <n v="2"/>
    <n v="0"/>
    <x v="737"/>
    <s v="Cali"/>
    <m/>
    <m/>
    <m/>
    <m/>
    <x v="0"/>
  </r>
  <r>
    <d v="2021-12-31T00:00:00"/>
    <x v="12"/>
    <x v="45"/>
    <x v="45"/>
    <n v="5"/>
    <n v="5"/>
    <n v="0"/>
    <x v="737"/>
    <s v="Cali"/>
    <m/>
    <m/>
    <m/>
    <m/>
    <x v="0"/>
  </r>
  <r>
    <d v="2021-12-31T00:00:00"/>
    <x v="12"/>
    <x v="3"/>
    <x v="3"/>
    <n v="37"/>
    <n v="37"/>
    <n v="0"/>
    <x v="737"/>
    <s v="Cali"/>
    <m/>
    <m/>
    <m/>
    <m/>
    <x v="0"/>
  </r>
  <r>
    <d v="2021-12-31T00:00:00"/>
    <x v="12"/>
    <x v="31"/>
    <x v="31"/>
    <n v="-44"/>
    <n v="0"/>
    <n v="44"/>
    <x v="737"/>
    <s v="Cali"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  <r>
    <m/>
    <x v="1"/>
    <x v="23"/>
    <x v="23"/>
    <m/>
    <m/>
    <m/>
    <x v="1"/>
    <m/>
    <m/>
    <m/>
    <m/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87">
  <r>
    <d v="2021-01-01T00:00:00"/>
    <x v="0"/>
    <x v="0"/>
    <x v="0"/>
    <n v="889379"/>
    <n v="889379"/>
    <n v="0"/>
    <x v="0"/>
    <s v="Administración"/>
    <m/>
    <m/>
    <m/>
    <m/>
    <m/>
    <m/>
    <m/>
  </r>
  <r>
    <d v="2021-01-01T00:00:00"/>
    <x v="0"/>
    <x v="1"/>
    <x v="1"/>
    <n v="200000"/>
    <n v="200000"/>
    <n v="0"/>
    <x v="0"/>
    <s v="Administración"/>
    <m/>
    <m/>
    <m/>
    <m/>
    <m/>
    <m/>
    <m/>
  </r>
  <r>
    <d v="2021-01-01T00:00:00"/>
    <x v="0"/>
    <x v="2"/>
    <x v="2"/>
    <n v="210"/>
    <n v="210"/>
    <n v="0"/>
    <x v="0"/>
    <s v="Administración"/>
    <m/>
    <m/>
    <m/>
    <m/>
    <m/>
    <m/>
    <m/>
  </r>
  <r>
    <d v="2021-01-01T00:00:00"/>
    <x v="0"/>
    <x v="3"/>
    <x v="3"/>
    <n v="590000"/>
    <n v="590000"/>
    <n v="0"/>
    <x v="0"/>
    <s v="Administración"/>
    <m/>
    <m/>
    <m/>
    <m/>
    <s v=""/>
    <m/>
    <m/>
  </r>
  <r>
    <d v="2021-01-01T00:00:00"/>
    <x v="0"/>
    <x v="4"/>
    <x v="4"/>
    <n v="2748035"/>
    <n v="2748035"/>
    <n v="0"/>
    <x v="0"/>
    <s v="Administración"/>
    <m/>
    <m/>
    <m/>
    <m/>
    <s v=""/>
    <m/>
    <m/>
  </r>
  <r>
    <d v="2021-01-01T00:00:00"/>
    <x v="0"/>
    <x v="5"/>
    <x v="5"/>
    <n v="3900000"/>
    <n v="3900000"/>
    <n v="0"/>
    <x v="0"/>
    <s v="Administración"/>
    <m/>
    <m/>
    <m/>
    <m/>
    <s v=""/>
    <m/>
    <m/>
  </r>
  <r>
    <d v="2021-01-01T00:00:00"/>
    <x v="0"/>
    <x v="6"/>
    <x v="6"/>
    <n v="-110822645"/>
    <n v="0"/>
    <n v="110822645"/>
    <x v="0"/>
    <s v="Administración"/>
    <m/>
    <m/>
    <m/>
    <m/>
    <m/>
    <m/>
    <m/>
  </r>
  <r>
    <d v="2021-01-01T00:00:00"/>
    <x v="0"/>
    <x v="7"/>
    <x v="7"/>
    <n v="-878224"/>
    <n v="0"/>
    <n v="878224"/>
    <x v="0"/>
    <s v="Administración"/>
    <m/>
    <m/>
    <m/>
    <m/>
    <m/>
    <m/>
    <m/>
  </r>
  <r>
    <d v="2021-01-01T00:00:00"/>
    <x v="0"/>
    <x v="8"/>
    <x v="8"/>
    <n v="-200817"/>
    <n v="0"/>
    <n v="200817"/>
    <x v="0"/>
    <s v="Administración"/>
    <m/>
    <m/>
    <m/>
    <m/>
    <s v=""/>
    <m/>
    <m/>
  </r>
  <r>
    <d v="2021-01-01T00:00:00"/>
    <x v="0"/>
    <x v="9"/>
    <x v="9"/>
    <n v="-62898"/>
    <n v="0"/>
    <n v="62898"/>
    <x v="0"/>
    <s v="Administración"/>
    <m/>
    <m/>
    <m/>
    <m/>
    <s v=""/>
    <m/>
    <m/>
  </r>
  <r>
    <d v="2021-01-01T00:00:00"/>
    <x v="0"/>
    <x v="10"/>
    <x v="10"/>
    <n v="-660747"/>
    <n v="0"/>
    <n v="660747"/>
    <x v="0"/>
    <s v="Administración"/>
    <m/>
    <m/>
    <m/>
    <m/>
    <m/>
    <m/>
    <m/>
  </r>
  <r>
    <d v="2021-01-01T00:00:00"/>
    <x v="0"/>
    <x v="11"/>
    <x v="11"/>
    <n v="-2"/>
    <n v="0"/>
    <n v="2"/>
    <x v="0"/>
    <s v="Administración"/>
    <m/>
    <m/>
    <m/>
    <m/>
    <s v=""/>
    <m/>
    <m/>
  </r>
  <r>
    <d v="2021-01-01T00:00:00"/>
    <x v="0"/>
    <x v="12"/>
    <x v="12"/>
    <n v="-951186"/>
    <n v="0"/>
    <n v="951186"/>
    <x v="1"/>
    <s v="Administración"/>
    <m/>
    <m/>
    <m/>
    <m/>
    <s v=""/>
    <m/>
    <m/>
  </r>
  <r>
    <d v="2021-01-01T00:00:00"/>
    <x v="0"/>
    <x v="12"/>
    <x v="12"/>
    <n v="-2289057"/>
    <n v="0"/>
    <n v="2289057"/>
    <x v="2"/>
    <s v="Administración"/>
    <m/>
    <m/>
    <m/>
    <m/>
    <s v=""/>
    <m/>
    <m/>
  </r>
  <r>
    <d v="2021-01-01T00:00:00"/>
    <x v="0"/>
    <x v="12"/>
    <x v="12"/>
    <n v="-214993"/>
    <n v="0"/>
    <n v="214993"/>
    <x v="3"/>
    <s v="Administración"/>
    <m/>
    <m/>
    <m/>
    <m/>
    <s v=""/>
    <m/>
    <m/>
  </r>
  <r>
    <d v="2021-01-01T00:00:00"/>
    <x v="0"/>
    <x v="13"/>
    <x v="13"/>
    <n v="-2076559"/>
    <n v="0"/>
    <n v="2076559"/>
    <x v="0"/>
    <s v="Administración"/>
    <m/>
    <m/>
    <m/>
    <m/>
    <s v=""/>
    <m/>
    <m/>
  </r>
  <r>
    <d v="2021-01-01T00:00:00"/>
    <x v="0"/>
    <x v="14"/>
    <x v="14"/>
    <n v="-11530679"/>
    <n v="0"/>
    <n v="11530679"/>
    <x v="0"/>
    <s v="Administración"/>
    <m/>
    <m/>
    <m/>
    <m/>
    <s v=""/>
    <m/>
    <m/>
  </r>
  <r>
    <d v="2021-01-01T00:00:00"/>
    <x v="0"/>
    <x v="15"/>
    <x v="15"/>
    <n v="118607614"/>
    <n v="118607614"/>
    <n v="0"/>
    <x v="0"/>
    <s v="Administración"/>
    <m/>
    <m/>
    <m/>
    <m/>
    <s v=""/>
    <m/>
    <m/>
  </r>
  <r>
    <d v="2021-01-01T00:00:00"/>
    <x v="0"/>
    <x v="16"/>
    <x v="16"/>
    <n v="2157569"/>
    <n v="2157569"/>
    <n v="0"/>
    <x v="0"/>
    <s v="Administración"/>
    <m/>
    <m/>
    <m/>
    <m/>
    <s v=""/>
    <m/>
    <m/>
  </r>
  <r>
    <d v="2021-01-01T00:00:00"/>
    <x v="0"/>
    <x v="17"/>
    <x v="17"/>
    <n v="595000"/>
    <n v="595000"/>
    <n v="0"/>
    <x v="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4T00:00:00"/>
    <x v="0"/>
    <x v="0"/>
    <x v="0"/>
    <n v="791000"/>
    <n v="791000"/>
    <n v="0"/>
    <x v="5"/>
    <s v="Administración"/>
    <m/>
    <m/>
    <m/>
    <m/>
    <m/>
    <m/>
    <m/>
  </r>
  <r>
    <d v="2021-01-04T00:00:00"/>
    <x v="0"/>
    <x v="19"/>
    <x v="19"/>
    <n v="-791000"/>
    <m/>
    <n v="791000"/>
    <x v="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4T00:00:00"/>
    <x v="0"/>
    <x v="0"/>
    <x v="0"/>
    <n v="20000"/>
    <n v="20000"/>
    <n v="0"/>
    <x v="6"/>
    <s v="Administración"/>
    <m/>
    <m/>
    <m/>
    <m/>
    <m/>
    <m/>
    <m/>
  </r>
  <r>
    <d v="2021-01-04T00:00:00"/>
    <x v="0"/>
    <x v="20"/>
    <x v="20"/>
    <n v="-20000"/>
    <m/>
    <n v="20000"/>
    <x v="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4T00:00:00"/>
    <x v="0"/>
    <x v="0"/>
    <x v="0"/>
    <n v="100000"/>
    <n v="100000"/>
    <n v="0"/>
    <x v="7"/>
    <s v="Administración"/>
    <m/>
    <m/>
    <m/>
    <m/>
    <m/>
    <m/>
    <m/>
  </r>
  <r>
    <d v="2021-01-04T00:00:00"/>
    <x v="0"/>
    <x v="21"/>
    <x v="21"/>
    <n v="-100000"/>
    <m/>
    <n v="100000"/>
    <x v="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4T00:00:00"/>
    <x v="0"/>
    <x v="0"/>
    <x v="0"/>
    <n v="15000"/>
    <n v="15000"/>
    <n v="0"/>
    <x v="8"/>
    <s v="Administración"/>
    <m/>
    <m/>
    <m/>
    <m/>
    <s v=""/>
    <m/>
    <m/>
  </r>
  <r>
    <d v="2021-01-04T00:00:00"/>
    <x v="0"/>
    <x v="6"/>
    <x v="6"/>
    <n v="-15000"/>
    <n v="0"/>
    <n v="15000"/>
    <x v="8"/>
    <s v="Administración"/>
    <m/>
    <m/>
    <m/>
    <m/>
    <s v=""/>
    <m/>
    <m/>
  </r>
  <r>
    <m/>
    <x v="1"/>
    <x v="18"/>
    <x v="18"/>
    <m/>
    <m/>
    <m/>
    <x v="4"/>
    <m/>
    <m/>
    <m/>
    <m/>
    <m/>
    <m/>
    <m/>
    <m/>
  </r>
  <r>
    <d v="2021-01-04T00:00:00"/>
    <x v="0"/>
    <x v="22"/>
    <x v="22"/>
    <n v="8495"/>
    <n v="8495"/>
    <n v="0"/>
    <x v="9"/>
    <s v="Administración"/>
    <m/>
    <m/>
    <m/>
    <m/>
    <s v=""/>
    <m/>
    <m/>
  </r>
  <r>
    <d v="2021-01-04T00:00:00"/>
    <x v="0"/>
    <x v="0"/>
    <x v="0"/>
    <n v="-8495"/>
    <m/>
    <n v="8495"/>
    <x v="9"/>
    <s v="Administración"/>
    <m/>
    <m/>
    <m/>
    <m/>
    <s v=""/>
    <m/>
    <m/>
  </r>
  <r>
    <m/>
    <x v="1"/>
    <x v="18"/>
    <x v="18"/>
    <m/>
    <m/>
    <m/>
    <x v="4"/>
    <m/>
    <m/>
    <m/>
    <m/>
    <m/>
    <m/>
    <m/>
    <m/>
  </r>
  <r>
    <d v="2021-01-04T00:00:00"/>
    <x v="0"/>
    <x v="12"/>
    <x v="12"/>
    <n v="600000"/>
    <n v="600000"/>
    <n v="0"/>
    <x v="10"/>
    <s v="Administración"/>
    <m/>
    <m/>
    <m/>
    <m/>
    <s v=""/>
    <m/>
    <m/>
  </r>
  <r>
    <d v="2021-01-04T00:00:00"/>
    <x v="0"/>
    <x v="0"/>
    <x v="0"/>
    <n v="-600000"/>
    <m/>
    <n v="600000"/>
    <x v="10"/>
    <s v="Administración"/>
    <m/>
    <m/>
    <m/>
    <m/>
    <s v=""/>
    <m/>
    <m/>
  </r>
  <r>
    <m/>
    <x v="1"/>
    <x v="18"/>
    <x v="18"/>
    <m/>
    <m/>
    <m/>
    <x v="4"/>
    <m/>
    <m/>
    <m/>
    <m/>
    <m/>
    <m/>
    <m/>
    <m/>
  </r>
  <r>
    <d v="2021-01-04T00:00:00"/>
    <x v="0"/>
    <x v="0"/>
    <x v="0"/>
    <n v="1464057"/>
    <n v="1464057"/>
    <n v="0"/>
    <x v="11"/>
    <s v="Administración"/>
    <m/>
    <m/>
    <m/>
    <m/>
    <s v=""/>
    <m/>
    <m/>
  </r>
  <r>
    <d v="2021-01-04T00:00:00"/>
    <x v="0"/>
    <x v="12"/>
    <x v="12"/>
    <n v="-1464057"/>
    <m/>
    <n v="1464057"/>
    <x v="11"/>
    <s v="Administración"/>
    <m/>
    <m/>
    <m/>
    <m/>
    <s v=""/>
    <m/>
    <m/>
  </r>
  <r>
    <m/>
    <x v="1"/>
    <x v="18"/>
    <x v="18"/>
    <m/>
    <m/>
    <m/>
    <x v="4"/>
    <m/>
    <m/>
    <m/>
    <m/>
    <m/>
    <m/>
    <m/>
    <m/>
  </r>
  <r>
    <d v="2021-01-04T00:00:00"/>
    <x v="0"/>
    <x v="0"/>
    <x v="0"/>
    <n v="50000"/>
    <n v="50000"/>
    <n v="0"/>
    <x v="12"/>
    <s v="Administración"/>
    <m/>
    <m/>
    <m/>
    <m/>
    <s v=""/>
    <m/>
    <m/>
  </r>
  <r>
    <d v="2021-01-04T00:00:00"/>
    <x v="0"/>
    <x v="6"/>
    <x v="6"/>
    <n v="-50000"/>
    <n v="0"/>
    <n v="50000"/>
    <x v="12"/>
    <s v="Administración"/>
    <m/>
    <m/>
    <m/>
    <m/>
    <s v=""/>
    <m/>
    <m/>
  </r>
  <r>
    <m/>
    <x v="1"/>
    <x v="18"/>
    <x v="18"/>
    <m/>
    <m/>
    <m/>
    <x v="4"/>
    <m/>
    <m/>
    <m/>
    <m/>
    <m/>
    <m/>
    <m/>
    <m/>
  </r>
  <r>
    <d v="2021-01-04T00:00:00"/>
    <x v="0"/>
    <x v="0"/>
    <x v="0"/>
    <n v="3000000"/>
    <n v="3000000"/>
    <n v="0"/>
    <x v="13"/>
    <s v="Administración"/>
    <m/>
    <m/>
    <m/>
    <m/>
    <s v=""/>
    <m/>
    <m/>
  </r>
  <r>
    <d v="2021-01-04T00:00:00"/>
    <x v="0"/>
    <x v="6"/>
    <x v="6"/>
    <n v="-3000000"/>
    <n v="0"/>
    <n v="3000000"/>
    <x v="13"/>
    <s v="Administración"/>
    <m/>
    <m/>
    <m/>
    <m/>
    <s v=""/>
    <m/>
    <m/>
  </r>
  <r>
    <m/>
    <x v="1"/>
    <x v="18"/>
    <x v="18"/>
    <m/>
    <m/>
    <m/>
    <x v="4"/>
    <m/>
    <m/>
    <m/>
    <m/>
    <m/>
    <m/>
    <m/>
    <m/>
  </r>
  <r>
    <d v="2021-01-05T00:00:00"/>
    <x v="0"/>
    <x v="0"/>
    <x v="0"/>
    <n v="142000"/>
    <n v="142000"/>
    <n v="0"/>
    <x v="14"/>
    <s v="Administración"/>
    <m/>
    <m/>
    <m/>
    <m/>
    <m/>
    <m/>
    <m/>
  </r>
  <r>
    <d v="2021-01-05T00:00:00"/>
    <x v="0"/>
    <x v="19"/>
    <x v="19"/>
    <n v="-142000"/>
    <m/>
    <n v="142000"/>
    <x v="1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5T00:00:00"/>
    <x v="0"/>
    <x v="22"/>
    <x v="22"/>
    <n v="50567"/>
    <n v="50567"/>
    <n v="0"/>
    <x v="15"/>
    <s v="Administración"/>
    <m/>
    <m/>
    <m/>
    <m/>
    <m/>
    <m/>
    <m/>
  </r>
  <r>
    <d v="2021-01-05T00:00:00"/>
    <x v="0"/>
    <x v="0"/>
    <x v="0"/>
    <n v="-50567"/>
    <m/>
    <n v="50567"/>
    <x v="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5T00:00:00"/>
    <x v="0"/>
    <x v="0"/>
    <x v="0"/>
    <n v="30000"/>
    <n v="30000"/>
    <n v="0"/>
    <x v="16"/>
    <s v="Administración"/>
    <m/>
    <m/>
    <m/>
    <m/>
    <m/>
    <m/>
    <m/>
  </r>
  <r>
    <d v="2021-01-05T00:00:00"/>
    <x v="0"/>
    <x v="6"/>
    <x v="6"/>
    <n v="-30000"/>
    <n v="0"/>
    <n v="30000"/>
    <x v="1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6T00:00:00"/>
    <x v="0"/>
    <x v="0"/>
    <x v="0"/>
    <n v="82000"/>
    <n v="82000"/>
    <n v="0"/>
    <x v="17"/>
    <s v="Administración"/>
    <m/>
    <m/>
    <m/>
    <m/>
    <m/>
    <m/>
    <m/>
  </r>
  <r>
    <d v="2021-01-06T00:00:00"/>
    <x v="0"/>
    <x v="19"/>
    <x v="19"/>
    <n v="-82000"/>
    <m/>
    <n v="82000"/>
    <x v="1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6T00:00:00"/>
    <x v="0"/>
    <x v="0"/>
    <x v="0"/>
    <n v="30000"/>
    <n v="30000"/>
    <n v="0"/>
    <x v="18"/>
    <s v="Administración"/>
    <m/>
    <m/>
    <m/>
    <m/>
    <m/>
    <m/>
    <m/>
  </r>
  <r>
    <d v="2021-01-06T00:00:00"/>
    <x v="0"/>
    <x v="6"/>
    <x v="6"/>
    <n v="-30000"/>
    <n v="0"/>
    <n v="30000"/>
    <x v="1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6T00:00:00"/>
    <x v="0"/>
    <x v="23"/>
    <x v="23"/>
    <n v="4325"/>
    <n v="4325"/>
    <n v="0"/>
    <x v="19"/>
    <s v="Administración"/>
    <m/>
    <m/>
    <m/>
    <m/>
    <m/>
    <m/>
    <m/>
  </r>
  <r>
    <d v="2021-01-06T00:00:00"/>
    <x v="0"/>
    <x v="0"/>
    <x v="0"/>
    <n v="-4325"/>
    <n v="0"/>
    <n v="4325"/>
    <x v="1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6T00:00:00"/>
    <x v="0"/>
    <x v="23"/>
    <x v="23"/>
    <n v="1384"/>
    <n v="1384"/>
    <n v="0"/>
    <x v="19"/>
    <s v="Administración"/>
    <m/>
    <m/>
    <m/>
    <m/>
    <m/>
    <m/>
    <m/>
  </r>
  <r>
    <d v="2021-01-06T00:00:00"/>
    <x v="0"/>
    <x v="0"/>
    <x v="0"/>
    <n v="-1384"/>
    <n v="0"/>
    <n v="1384"/>
    <x v="1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7T00:00:00"/>
    <x v="0"/>
    <x v="0"/>
    <x v="0"/>
    <n v="70000"/>
    <n v="70000"/>
    <n v="0"/>
    <x v="20"/>
    <s v="Administración"/>
    <m/>
    <m/>
    <m/>
    <m/>
    <m/>
    <m/>
    <m/>
  </r>
  <r>
    <d v="2021-01-07T00:00:00"/>
    <x v="0"/>
    <x v="19"/>
    <x v="19"/>
    <n v="-70000"/>
    <m/>
    <n v="70000"/>
    <x v="2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7T00:00:00"/>
    <x v="0"/>
    <x v="0"/>
    <x v="0"/>
    <n v="15000"/>
    <n v="15000"/>
    <n v="0"/>
    <x v="21"/>
    <s v="Administración"/>
    <m/>
    <m/>
    <m/>
    <m/>
    <m/>
    <m/>
    <m/>
  </r>
  <r>
    <d v="2021-01-07T00:00:00"/>
    <x v="0"/>
    <x v="24"/>
    <x v="24"/>
    <n v="-15000"/>
    <m/>
    <n v="15000"/>
    <x v="2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8T00:00:00"/>
    <x v="0"/>
    <x v="0"/>
    <x v="0"/>
    <n v="35000"/>
    <n v="35000"/>
    <n v="0"/>
    <x v="20"/>
    <s v="Administración"/>
    <m/>
    <m/>
    <m/>
    <m/>
    <m/>
    <m/>
    <m/>
  </r>
  <r>
    <d v="2021-01-08T00:00:00"/>
    <x v="0"/>
    <x v="19"/>
    <x v="19"/>
    <n v="-35000"/>
    <m/>
    <n v="35000"/>
    <x v="2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8T00:00:00"/>
    <x v="0"/>
    <x v="0"/>
    <x v="0"/>
    <n v="20000"/>
    <n v="20000"/>
    <n v="0"/>
    <x v="21"/>
    <s v="Administración"/>
    <m/>
    <m/>
    <m/>
    <m/>
    <m/>
    <m/>
    <m/>
  </r>
  <r>
    <d v="2021-01-08T00:00:00"/>
    <x v="0"/>
    <x v="24"/>
    <x v="24"/>
    <n v="-20000"/>
    <m/>
    <n v="20000"/>
    <x v="2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8T00:00:00"/>
    <x v="0"/>
    <x v="25"/>
    <x v="25"/>
    <n v="783874"/>
    <n v="783874"/>
    <n v="0"/>
    <x v="22"/>
    <s v="Administración"/>
    <m/>
    <m/>
    <m/>
    <m/>
    <m/>
    <m/>
    <m/>
  </r>
  <r>
    <d v="2021-01-08T00:00:00"/>
    <x v="0"/>
    <x v="0"/>
    <x v="0"/>
    <n v="-783874"/>
    <m/>
    <n v="783874"/>
    <x v="2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08T00:00:00"/>
    <x v="0"/>
    <x v="26"/>
    <x v="26"/>
    <n v="2813"/>
    <n v="2813"/>
    <n v="0"/>
    <x v="23"/>
    <s v="Administración"/>
    <m/>
    <m/>
    <m/>
    <m/>
    <m/>
    <m/>
    <m/>
  </r>
  <r>
    <d v="2021-01-08T00:00:00"/>
    <x v="0"/>
    <x v="0"/>
    <x v="0"/>
    <n v="-2813"/>
    <m/>
    <n v="2813"/>
    <x v="2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1T00:00:00"/>
    <x v="0"/>
    <x v="0"/>
    <x v="0"/>
    <n v="224000"/>
    <n v="224000"/>
    <n v="0"/>
    <x v="24"/>
    <s v="Administración"/>
    <m/>
    <m/>
    <m/>
    <m/>
    <m/>
    <m/>
    <m/>
  </r>
  <r>
    <d v="2021-01-11T00:00:00"/>
    <x v="0"/>
    <x v="19"/>
    <x v="19"/>
    <n v="-224000"/>
    <m/>
    <n v="224000"/>
    <x v="2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1T00:00:00"/>
    <x v="0"/>
    <x v="0"/>
    <x v="0"/>
    <n v="100000"/>
    <n v="100000"/>
    <n v="0"/>
    <x v="25"/>
    <s v="Administración"/>
    <m/>
    <m/>
    <m/>
    <m/>
    <m/>
    <m/>
    <m/>
  </r>
  <r>
    <d v="2021-01-11T00:00:00"/>
    <x v="0"/>
    <x v="6"/>
    <x v="6"/>
    <n v="-100000"/>
    <n v="0"/>
    <n v="100000"/>
    <x v="2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1T00:00:00"/>
    <x v="0"/>
    <x v="0"/>
    <x v="0"/>
    <n v="350000"/>
    <n v="350000"/>
    <n v="0"/>
    <x v="26"/>
    <s v="Administración"/>
    <m/>
    <m/>
    <m/>
    <m/>
    <m/>
    <m/>
    <m/>
  </r>
  <r>
    <d v="2021-01-11T00:00:00"/>
    <x v="0"/>
    <x v="6"/>
    <x v="6"/>
    <n v="-350000"/>
    <n v="0"/>
    <n v="350000"/>
    <x v="2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1T00:00:00"/>
    <x v="0"/>
    <x v="6"/>
    <x v="6"/>
    <n v="326103"/>
    <n v="326103"/>
    <n v="0"/>
    <x v="27"/>
    <s v="Administración"/>
    <m/>
    <m/>
    <m/>
    <m/>
    <m/>
    <m/>
    <m/>
  </r>
  <r>
    <d v="2021-01-11T00:00:00"/>
    <x v="0"/>
    <x v="9"/>
    <x v="9"/>
    <n v="62898"/>
    <n v="62898"/>
    <n v="0"/>
    <x v="27"/>
    <s v="Administración"/>
    <m/>
    <m/>
    <m/>
    <m/>
    <m/>
    <m/>
    <m/>
  </r>
  <r>
    <d v="2021-01-11T00:00:00"/>
    <x v="0"/>
    <x v="0"/>
    <x v="0"/>
    <n v="-389001"/>
    <n v="0"/>
    <n v="389001"/>
    <x v="2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1T00:00:00"/>
    <x v="0"/>
    <x v="10"/>
    <x v="10"/>
    <n v="490789"/>
    <n v="490789"/>
    <n v="0"/>
    <x v="28"/>
    <s v="Administración"/>
    <m/>
    <m/>
    <m/>
    <m/>
    <m/>
    <m/>
    <m/>
  </r>
  <r>
    <d v="2021-01-11T00:00:00"/>
    <x v="0"/>
    <x v="0"/>
    <x v="0"/>
    <n v="-490789"/>
    <n v="0"/>
    <n v="490789"/>
    <x v="2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1T00:00:00"/>
    <x v="0"/>
    <x v="10"/>
    <x v="10"/>
    <n v="169958"/>
    <n v="169958"/>
    <n v="0"/>
    <x v="29"/>
    <s v="Administración"/>
    <m/>
    <m/>
    <m/>
    <m/>
    <m/>
    <m/>
    <m/>
  </r>
  <r>
    <d v="2021-01-11T00:00:00"/>
    <x v="0"/>
    <x v="0"/>
    <x v="0"/>
    <n v="-169958"/>
    <n v="0"/>
    <n v="169958"/>
    <x v="2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2T00:00:00"/>
    <x v="0"/>
    <x v="0"/>
    <x v="0"/>
    <n v="160000"/>
    <n v="160000"/>
    <n v="0"/>
    <x v="20"/>
    <s v="Administración"/>
    <m/>
    <m/>
    <m/>
    <m/>
    <m/>
    <m/>
    <m/>
  </r>
  <r>
    <d v="2021-01-12T00:00:00"/>
    <x v="0"/>
    <x v="19"/>
    <x v="19"/>
    <n v="-160000"/>
    <m/>
    <n v="160000"/>
    <x v="2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2T00:00:00"/>
    <x v="0"/>
    <x v="0"/>
    <x v="0"/>
    <n v="22000"/>
    <n v="22000"/>
    <n v="0"/>
    <x v="30"/>
    <s v="Administración"/>
    <m/>
    <m/>
    <m/>
    <m/>
    <m/>
    <m/>
    <m/>
  </r>
  <r>
    <d v="2021-01-12T00:00:00"/>
    <x v="0"/>
    <x v="24"/>
    <x v="24"/>
    <n v="-22000"/>
    <m/>
    <n v="22000"/>
    <x v="3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2T00:00:00"/>
    <x v="0"/>
    <x v="27"/>
    <x v="27"/>
    <n v="56269"/>
    <n v="56269"/>
    <n v="0"/>
    <x v="31"/>
    <s v="Administración"/>
    <m/>
    <m/>
    <m/>
    <m/>
    <m/>
    <m/>
    <m/>
  </r>
  <r>
    <d v="2021-01-12T00:00:00"/>
    <x v="0"/>
    <x v="0"/>
    <x v="0"/>
    <n v="-56269"/>
    <m/>
    <n v="56269"/>
    <x v="3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2T00:00:00"/>
    <x v="0"/>
    <x v="0"/>
    <x v="0"/>
    <n v="25000"/>
    <n v="25000"/>
    <n v="0"/>
    <x v="32"/>
    <s v="Administración"/>
    <m/>
    <m/>
    <m/>
    <m/>
    <m/>
    <m/>
    <m/>
  </r>
  <r>
    <d v="2021-01-12T00:00:00"/>
    <x v="0"/>
    <x v="6"/>
    <x v="6"/>
    <n v="-25000"/>
    <n v="0"/>
    <n v="25000"/>
    <x v="3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3T00:00:00"/>
    <x v="0"/>
    <x v="0"/>
    <x v="0"/>
    <n v="66000"/>
    <n v="66000"/>
    <n v="0"/>
    <x v="17"/>
    <s v="Administración"/>
    <m/>
    <m/>
    <m/>
    <m/>
    <m/>
    <m/>
    <m/>
  </r>
  <r>
    <d v="2021-01-13T00:00:00"/>
    <x v="0"/>
    <x v="19"/>
    <x v="19"/>
    <n v="-66000"/>
    <m/>
    <n v="66000"/>
    <x v="1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3T00:00:00"/>
    <x v="0"/>
    <x v="0"/>
    <x v="0"/>
    <n v="60000"/>
    <n v="60000"/>
    <n v="0"/>
    <x v="30"/>
    <s v="Administración"/>
    <m/>
    <m/>
    <m/>
    <m/>
    <m/>
    <m/>
    <m/>
  </r>
  <r>
    <d v="2021-01-13T00:00:00"/>
    <x v="0"/>
    <x v="24"/>
    <x v="24"/>
    <n v="-60000"/>
    <m/>
    <n v="60000"/>
    <x v="3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4T00:00:00"/>
    <x v="0"/>
    <x v="0"/>
    <x v="0"/>
    <n v="30000"/>
    <n v="30000"/>
    <n v="0"/>
    <x v="33"/>
    <s v="Administración"/>
    <m/>
    <m/>
    <m/>
    <m/>
    <m/>
    <m/>
    <m/>
  </r>
  <r>
    <d v="2021-01-14T00:00:00"/>
    <x v="0"/>
    <x v="19"/>
    <x v="19"/>
    <n v="-30000"/>
    <m/>
    <n v="30000"/>
    <x v="3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4T00:00:00"/>
    <x v="0"/>
    <x v="0"/>
    <x v="0"/>
    <n v="50000"/>
    <n v="50000"/>
    <n v="0"/>
    <x v="34"/>
    <s v="Administración"/>
    <m/>
    <m/>
    <m/>
    <m/>
    <m/>
    <m/>
    <m/>
  </r>
  <r>
    <d v="2021-01-14T00:00:00"/>
    <x v="0"/>
    <x v="20"/>
    <x v="20"/>
    <n v="-50000"/>
    <m/>
    <n v="50000"/>
    <x v="3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4T00:00:00"/>
    <x v="0"/>
    <x v="0"/>
    <x v="0"/>
    <n v="25000"/>
    <n v="25000"/>
    <n v="0"/>
    <x v="30"/>
    <s v="Administración"/>
    <m/>
    <m/>
    <m/>
    <m/>
    <m/>
    <m/>
    <m/>
  </r>
  <r>
    <d v="2021-01-14T00:00:00"/>
    <x v="0"/>
    <x v="24"/>
    <x v="24"/>
    <n v="-25000"/>
    <m/>
    <n v="25000"/>
    <x v="3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4T00:00:00"/>
    <x v="0"/>
    <x v="0"/>
    <x v="0"/>
    <n v="600000"/>
    <n v="600000"/>
    <n v="0"/>
    <x v="35"/>
    <s v="Administración"/>
    <m/>
    <m/>
    <m/>
    <m/>
    <m/>
    <m/>
    <m/>
  </r>
  <r>
    <d v="2021-01-14T00:00:00"/>
    <x v="0"/>
    <x v="6"/>
    <x v="6"/>
    <n v="-600000"/>
    <n v="0"/>
    <n v="600000"/>
    <x v="3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5T00:00:00"/>
    <x v="0"/>
    <x v="28"/>
    <x v="28"/>
    <n v="672268"/>
    <n v="672268"/>
    <n v="0"/>
    <x v="36"/>
    <s v="Administración"/>
    <m/>
    <m/>
    <m/>
    <m/>
    <m/>
    <m/>
    <m/>
  </r>
  <r>
    <d v="2021-01-15T00:00:00"/>
    <x v="0"/>
    <x v="9"/>
    <x v="9"/>
    <n v="-77311"/>
    <m/>
    <n v="77311"/>
    <x v="36"/>
    <s v="Administración"/>
    <m/>
    <m/>
    <m/>
    <m/>
    <m/>
    <m/>
    <m/>
  </r>
  <r>
    <d v="2021-01-15T00:00:00"/>
    <x v="0"/>
    <x v="0"/>
    <x v="0"/>
    <n v="-594957"/>
    <m/>
    <n v="594957"/>
    <x v="3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5T00:00:00"/>
    <x v="0"/>
    <x v="23"/>
    <x v="23"/>
    <n v="43000"/>
    <n v="43000"/>
    <n v="0"/>
    <x v="37"/>
    <s v="Administración"/>
    <m/>
    <m/>
    <m/>
    <m/>
    <m/>
    <m/>
    <m/>
  </r>
  <r>
    <d v="2021-01-15T00:00:00"/>
    <x v="0"/>
    <x v="9"/>
    <x v="9"/>
    <n v="-4945"/>
    <m/>
    <n v="4945"/>
    <x v="37"/>
    <s v="Administración"/>
    <m/>
    <m/>
    <m/>
    <m/>
    <m/>
    <m/>
    <m/>
  </r>
  <r>
    <d v="2021-01-15T00:00:00"/>
    <x v="0"/>
    <x v="0"/>
    <x v="0"/>
    <n v="-38055"/>
    <m/>
    <n v="38055"/>
    <x v="3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5T00:00:00"/>
    <x v="0"/>
    <x v="0"/>
    <x v="0"/>
    <n v="10000"/>
    <n v="10000"/>
    <n v="0"/>
    <x v="33"/>
    <s v="Administración"/>
    <m/>
    <m/>
    <m/>
    <m/>
    <m/>
    <m/>
    <m/>
  </r>
  <r>
    <d v="2021-01-15T00:00:00"/>
    <x v="0"/>
    <x v="19"/>
    <x v="19"/>
    <n v="-10000"/>
    <m/>
    <n v="10000"/>
    <x v="3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5T00:00:00"/>
    <x v="0"/>
    <x v="6"/>
    <x v="6"/>
    <n v="20000"/>
    <n v="20000"/>
    <n v="0"/>
    <x v="38"/>
    <s v="Administración"/>
    <m/>
    <m/>
    <m/>
    <m/>
    <m/>
    <m/>
    <m/>
  </r>
  <r>
    <d v="2021-01-15T00:00:00"/>
    <x v="0"/>
    <x v="0"/>
    <x v="0"/>
    <n v="-20000"/>
    <m/>
    <n v="20000"/>
    <x v="3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5T00:00:00"/>
    <x v="0"/>
    <x v="25"/>
    <x v="25"/>
    <n v="10000"/>
    <n v="10000"/>
    <n v="0"/>
    <x v="39"/>
    <s v="Administración"/>
    <m/>
    <m/>
    <m/>
    <m/>
    <m/>
    <m/>
    <m/>
  </r>
  <r>
    <d v="2021-01-15T00:00:00"/>
    <x v="0"/>
    <x v="0"/>
    <x v="0"/>
    <n v="-10000"/>
    <m/>
    <n v="10000"/>
    <x v="3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5T00:00:00"/>
    <x v="0"/>
    <x v="27"/>
    <x v="27"/>
    <n v="20990"/>
    <n v="20990"/>
    <n v="0"/>
    <x v="40"/>
    <s v="Administración"/>
    <m/>
    <m/>
    <m/>
    <m/>
    <m/>
    <m/>
    <m/>
  </r>
  <r>
    <d v="2021-01-15T00:00:00"/>
    <x v="0"/>
    <x v="0"/>
    <x v="0"/>
    <n v="-20990"/>
    <m/>
    <n v="20990"/>
    <x v="4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5T00:00:00"/>
    <x v="0"/>
    <x v="29"/>
    <x v="29"/>
    <n v="42441"/>
    <n v="42441"/>
    <n v="0"/>
    <x v="41"/>
    <s v="Administración"/>
    <m/>
    <m/>
    <m/>
    <m/>
    <m/>
    <m/>
    <m/>
  </r>
  <r>
    <d v="2021-01-15T00:00:00"/>
    <x v="0"/>
    <x v="0"/>
    <x v="0"/>
    <n v="-42441"/>
    <m/>
    <n v="42441"/>
    <x v="4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5T00:00:00"/>
    <x v="0"/>
    <x v="12"/>
    <x v="12"/>
    <n v="1464057"/>
    <n v="1464057"/>
    <n v="0"/>
    <x v="42"/>
    <s v="Administración"/>
    <m/>
    <m/>
    <m/>
    <m/>
    <m/>
    <m/>
    <m/>
  </r>
  <r>
    <d v="2021-01-15T00:00:00"/>
    <x v="0"/>
    <x v="0"/>
    <x v="0"/>
    <n v="-1464057"/>
    <m/>
    <n v="1464057"/>
    <x v="4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5T00:00:00"/>
    <x v="0"/>
    <x v="12"/>
    <x v="12"/>
    <n v="225000"/>
    <n v="225000"/>
    <n v="0"/>
    <x v="43"/>
    <s v="Administración"/>
    <m/>
    <m/>
    <m/>
    <m/>
    <m/>
    <m/>
    <m/>
  </r>
  <r>
    <d v="2021-01-15T00:00:00"/>
    <x v="0"/>
    <x v="0"/>
    <x v="0"/>
    <n v="-225000"/>
    <m/>
    <n v="225000"/>
    <x v="4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5T00:00:00"/>
    <x v="0"/>
    <x v="12"/>
    <x v="12"/>
    <n v="980000"/>
    <n v="980000"/>
    <n v="0"/>
    <x v="44"/>
    <s v="Administración"/>
    <m/>
    <m/>
    <m/>
    <m/>
    <m/>
    <m/>
    <m/>
  </r>
  <r>
    <d v="2021-01-15T00:00:00"/>
    <x v="0"/>
    <x v="0"/>
    <x v="0"/>
    <n v="-980000"/>
    <m/>
    <n v="980000"/>
    <x v="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5T00:00:00"/>
    <x v="0"/>
    <x v="8"/>
    <x v="8"/>
    <n v="200812"/>
    <n v="200812"/>
    <n v="0"/>
    <x v="45"/>
    <s v="Administración"/>
    <m/>
    <m/>
    <m/>
    <m/>
    <m/>
    <m/>
    <m/>
  </r>
  <r>
    <d v="2021-01-15T00:00:00"/>
    <x v="0"/>
    <x v="0"/>
    <x v="0"/>
    <n v="-200812"/>
    <m/>
    <n v="200812"/>
    <x v="4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8T00:00:00"/>
    <x v="0"/>
    <x v="0"/>
    <x v="0"/>
    <n v="85000"/>
    <n v="85000"/>
    <n v="0"/>
    <x v="46"/>
    <s v="Administración"/>
    <m/>
    <m/>
    <m/>
    <m/>
    <m/>
    <m/>
    <m/>
  </r>
  <r>
    <d v="2021-01-18T00:00:00"/>
    <x v="0"/>
    <x v="19"/>
    <x v="19"/>
    <n v="-85000"/>
    <m/>
    <n v="85000"/>
    <x v="4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8T00:00:00"/>
    <x v="0"/>
    <x v="0"/>
    <x v="0"/>
    <n v="10000"/>
    <n v="10000"/>
    <n v="0"/>
    <x v="34"/>
    <s v="Administración"/>
    <m/>
    <m/>
    <m/>
    <m/>
    <m/>
    <m/>
    <m/>
  </r>
  <r>
    <d v="2021-01-18T00:00:00"/>
    <x v="0"/>
    <x v="20"/>
    <x v="20"/>
    <n v="-10000"/>
    <m/>
    <n v="10000"/>
    <x v="3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9T00:00:00"/>
    <x v="0"/>
    <x v="0"/>
    <x v="0"/>
    <n v="103926"/>
    <n v="103926"/>
    <n v="0"/>
    <x v="47"/>
    <s v="Administración"/>
    <m/>
    <m/>
    <m/>
    <m/>
    <m/>
    <m/>
    <m/>
  </r>
  <r>
    <d v="2021-01-19T00:00:00"/>
    <x v="0"/>
    <x v="19"/>
    <x v="19"/>
    <n v="-103926"/>
    <m/>
    <n v="103926"/>
    <x v="4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9T00:00:00"/>
    <x v="0"/>
    <x v="0"/>
    <x v="0"/>
    <n v="5000"/>
    <n v="5000"/>
    <n v="0"/>
    <x v="48"/>
    <s v="Administración"/>
    <m/>
    <m/>
    <m/>
    <m/>
    <m/>
    <m/>
    <m/>
  </r>
  <r>
    <d v="2021-01-19T00:00:00"/>
    <x v="0"/>
    <x v="30"/>
    <x v="30"/>
    <n v="-5000"/>
    <m/>
    <n v="5000"/>
    <x v="4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19T00:00:00"/>
    <x v="0"/>
    <x v="0"/>
    <x v="0"/>
    <n v="20000"/>
    <n v="20000"/>
    <n v="0"/>
    <x v="21"/>
    <s v="Administración"/>
    <m/>
    <m/>
    <m/>
    <m/>
    <m/>
    <m/>
    <m/>
  </r>
  <r>
    <d v="2021-01-19T00:00:00"/>
    <x v="0"/>
    <x v="24"/>
    <x v="24"/>
    <n v="-20000"/>
    <m/>
    <n v="20000"/>
    <x v="2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0T00:00:00"/>
    <x v="0"/>
    <x v="0"/>
    <x v="0"/>
    <n v="140000"/>
    <n v="140000"/>
    <n v="0"/>
    <x v="49"/>
    <s v="Administración"/>
    <m/>
    <m/>
    <m/>
    <m/>
    <m/>
    <m/>
    <m/>
  </r>
  <r>
    <d v="2021-01-20T00:00:00"/>
    <x v="0"/>
    <x v="19"/>
    <x v="19"/>
    <n v="-140000"/>
    <m/>
    <n v="140000"/>
    <x v="4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1T00:00:00"/>
    <x v="0"/>
    <x v="0"/>
    <x v="0"/>
    <n v="165120"/>
    <n v="165120"/>
    <n v="0"/>
    <x v="49"/>
    <s v="Administración"/>
    <m/>
    <m/>
    <m/>
    <m/>
    <m/>
    <m/>
    <m/>
  </r>
  <r>
    <d v="2021-01-21T00:00:00"/>
    <x v="0"/>
    <x v="19"/>
    <x v="19"/>
    <n v="-165120"/>
    <m/>
    <n v="165120"/>
    <x v="4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5T00:00:00"/>
    <x v="0"/>
    <x v="0"/>
    <x v="0"/>
    <n v="125869"/>
    <n v="125869"/>
    <n v="0"/>
    <x v="50"/>
    <s v="Administración"/>
    <m/>
    <m/>
    <m/>
    <m/>
    <m/>
    <m/>
    <m/>
  </r>
  <r>
    <d v="2021-01-25T00:00:00"/>
    <x v="0"/>
    <x v="19"/>
    <x v="19"/>
    <n v="-125869"/>
    <m/>
    <n v="125869"/>
    <x v="5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5T00:00:00"/>
    <x v="0"/>
    <x v="31"/>
    <x v="31"/>
    <n v="49980"/>
    <n v="49980"/>
    <n v="0"/>
    <x v="51"/>
    <s v="Administración"/>
    <m/>
    <m/>
    <m/>
    <m/>
    <m/>
    <m/>
    <m/>
  </r>
  <r>
    <d v="2021-01-25T00:00:00"/>
    <x v="0"/>
    <x v="0"/>
    <x v="0"/>
    <n v="-49980"/>
    <m/>
    <n v="49980"/>
    <x v="5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6T00:00:00"/>
    <x v="0"/>
    <x v="0"/>
    <x v="0"/>
    <n v="16000"/>
    <n v="16000"/>
    <n v="0"/>
    <x v="20"/>
    <s v="Administración"/>
    <m/>
    <m/>
    <m/>
    <m/>
    <m/>
    <m/>
    <m/>
  </r>
  <r>
    <d v="2021-01-26T00:00:00"/>
    <x v="0"/>
    <x v="19"/>
    <x v="19"/>
    <n v="-16000"/>
    <m/>
    <n v="16000"/>
    <x v="2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6T00:00:00"/>
    <x v="0"/>
    <x v="0"/>
    <x v="0"/>
    <n v="29788"/>
    <n v="29788"/>
    <n v="0"/>
    <x v="52"/>
    <s v="Administración"/>
    <m/>
    <m/>
    <m/>
    <m/>
    <m/>
    <m/>
    <m/>
  </r>
  <r>
    <d v="2021-01-26T00:00:00"/>
    <x v="0"/>
    <x v="20"/>
    <x v="20"/>
    <n v="-29788"/>
    <m/>
    <n v="29788"/>
    <x v="5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7T00:00:00"/>
    <x v="0"/>
    <x v="0"/>
    <x v="0"/>
    <n v="8000"/>
    <n v="8000"/>
    <n v="0"/>
    <x v="33"/>
    <s v="Administración"/>
    <m/>
    <m/>
    <m/>
    <m/>
    <m/>
    <m/>
    <m/>
  </r>
  <r>
    <d v="2021-01-27T00:00:00"/>
    <x v="0"/>
    <x v="19"/>
    <x v="19"/>
    <n v="-8000"/>
    <m/>
    <n v="8000"/>
    <x v="3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7T00:00:00"/>
    <x v="0"/>
    <x v="0"/>
    <x v="0"/>
    <n v="4940"/>
    <n v="4940"/>
    <n v="0"/>
    <x v="34"/>
    <s v="Administración"/>
    <m/>
    <m/>
    <m/>
    <m/>
    <m/>
    <m/>
    <m/>
  </r>
  <r>
    <d v="2021-01-27T00:00:00"/>
    <x v="0"/>
    <x v="20"/>
    <x v="20"/>
    <n v="-4940"/>
    <m/>
    <n v="4940"/>
    <x v="3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7T00:00:00"/>
    <x v="0"/>
    <x v="0"/>
    <x v="0"/>
    <n v="100000"/>
    <n v="100000"/>
    <n v="0"/>
    <x v="53"/>
    <s v="Administración"/>
    <m/>
    <m/>
    <m/>
    <m/>
    <m/>
    <m/>
    <m/>
  </r>
  <r>
    <d v="2021-01-27T00:00:00"/>
    <x v="0"/>
    <x v="6"/>
    <x v="6"/>
    <n v="-100000"/>
    <n v="0"/>
    <n v="100000"/>
    <x v="5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8T00:00:00"/>
    <x v="0"/>
    <x v="0"/>
    <x v="0"/>
    <n v="175000"/>
    <n v="175000"/>
    <n v="0"/>
    <x v="47"/>
    <s v="Administración"/>
    <m/>
    <m/>
    <m/>
    <m/>
    <m/>
    <m/>
    <m/>
  </r>
  <r>
    <d v="2021-01-28T00:00:00"/>
    <x v="0"/>
    <x v="19"/>
    <x v="19"/>
    <n v="-175000"/>
    <m/>
    <n v="175000"/>
    <x v="4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8T00:00:00"/>
    <x v="0"/>
    <x v="0"/>
    <x v="0"/>
    <n v="30000"/>
    <n v="30000"/>
    <n v="0"/>
    <x v="54"/>
    <s v="Administración"/>
    <m/>
    <m/>
    <m/>
    <m/>
    <m/>
    <m/>
    <m/>
  </r>
  <r>
    <d v="2021-01-28T00:00:00"/>
    <x v="0"/>
    <x v="6"/>
    <x v="6"/>
    <n v="-30000"/>
    <n v="0"/>
    <n v="30000"/>
    <x v="5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8T00:00:00"/>
    <x v="0"/>
    <x v="0"/>
    <x v="0"/>
    <n v="5000000"/>
    <n v="5000000"/>
    <n v="0"/>
    <x v="13"/>
    <s v="Administración"/>
    <m/>
    <m/>
    <m/>
    <m/>
    <m/>
    <m/>
    <m/>
  </r>
  <r>
    <d v="2021-01-28T00:00:00"/>
    <x v="0"/>
    <x v="6"/>
    <x v="6"/>
    <n v="-5000000"/>
    <n v="0"/>
    <n v="5000000"/>
    <x v="1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9T00:00:00"/>
    <x v="0"/>
    <x v="0"/>
    <x v="0"/>
    <n v="93000"/>
    <n v="93000"/>
    <n v="0"/>
    <x v="17"/>
    <s v="Administración"/>
    <m/>
    <m/>
    <m/>
    <m/>
    <m/>
    <m/>
    <m/>
  </r>
  <r>
    <d v="2021-01-29T00:00:00"/>
    <x v="0"/>
    <x v="19"/>
    <x v="19"/>
    <n v="-93000"/>
    <m/>
    <n v="93000"/>
    <x v="1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9T00:00:00"/>
    <x v="0"/>
    <x v="22"/>
    <x v="22"/>
    <n v="8495"/>
    <n v="8495"/>
    <n v="0"/>
    <x v="9"/>
    <s v="Administración"/>
    <m/>
    <m/>
    <m/>
    <m/>
    <m/>
    <m/>
    <m/>
  </r>
  <r>
    <d v="2021-01-29T00:00:00"/>
    <x v="0"/>
    <x v="0"/>
    <x v="0"/>
    <n v="-8495"/>
    <m/>
    <n v="8495"/>
    <x v="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9T00:00:00"/>
    <x v="0"/>
    <x v="0"/>
    <x v="0"/>
    <n v="50000"/>
    <n v="50000"/>
    <n v="0"/>
    <x v="55"/>
    <s v="Administración"/>
    <m/>
    <m/>
    <m/>
    <m/>
    <m/>
    <m/>
    <m/>
  </r>
  <r>
    <d v="2021-01-29T00:00:00"/>
    <x v="0"/>
    <x v="6"/>
    <x v="6"/>
    <n v="-50000"/>
    <n v="0"/>
    <n v="50000"/>
    <x v="5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9T00:00:00"/>
    <x v="0"/>
    <x v="0"/>
    <x v="0"/>
    <n v="118015"/>
    <n v="118015"/>
    <m/>
    <x v="56"/>
    <s v="Administración"/>
    <m/>
    <m/>
    <m/>
    <m/>
    <m/>
    <m/>
    <m/>
  </r>
  <r>
    <d v="2021-01-29T00:00:00"/>
    <x v="0"/>
    <x v="6"/>
    <x v="6"/>
    <n v="-118015"/>
    <m/>
    <n v="118015"/>
    <x v="5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9T00:00:00"/>
    <x v="0"/>
    <x v="16"/>
    <x v="16"/>
    <n v="52015"/>
    <n v="52015"/>
    <m/>
    <x v="57"/>
    <s v="Administración"/>
    <m/>
    <m/>
    <m/>
    <m/>
    <m/>
    <m/>
    <m/>
  </r>
  <r>
    <d v="2021-01-29T00:00:00"/>
    <x v="0"/>
    <x v="19"/>
    <x v="19"/>
    <n v="-52015"/>
    <m/>
    <n v="52015"/>
    <x v="5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9T00:00:00"/>
    <x v="0"/>
    <x v="16"/>
    <x v="16"/>
    <n v="35000"/>
    <n v="35000"/>
    <m/>
    <x v="57"/>
    <s v="Administración"/>
    <m/>
    <m/>
    <m/>
    <m/>
    <m/>
    <m/>
    <m/>
  </r>
  <r>
    <d v="2021-01-29T00:00:00"/>
    <x v="0"/>
    <x v="19"/>
    <x v="19"/>
    <n v="-35000"/>
    <m/>
    <n v="35000"/>
    <x v="5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9T00:00:00"/>
    <x v="0"/>
    <x v="16"/>
    <x v="16"/>
    <n v="46000"/>
    <n v="46000"/>
    <m/>
    <x v="57"/>
    <s v="Administración"/>
    <m/>
    <m/>
    <m/>
    <m/>
    <m/>
    <m/>
    <m/>
  </r>
  <r>
    <d v="2021-01-29T00:00:00"/>
    <x v="0"/>
    <x v="19"/>
    <x v="19"/>
    <n v="-46000"/>
    <m/>
    <n v="46000"/>
    <x v="5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9T00:00:00"/>
    <x v="0"/>
    <x v="12"/>
    <x v="12"/>
    <n v="214500"/>
    <n v="214500"/>
    <m/>
    <x v="58"/>
    <s v="Administración"/>
    <m/>
    <m/>
    <m/>
    <m/>
    <m/>
    <m/>
    <m/>
  </r>
  <r>
    <d v="2021-01-29T00:00:00"/>
    <x v="0"/>
    <x v="16"/>
    <x v="16"/>
    <n v="-214500"/>
    <m/>
    <n v="214500"/>
    <x v="5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9T00:00:00"/>
    <x v="0"/>
    <x v="11"/>
    <x v="11"/>
    <n v="780991"/>
    <n v="780991"/>
    <n v="0"/>
    <x v="59"/>
    <s v="Administración"/>
    <m/>
    <m/>
    <m/>
    <m/>
    <m/>
    <m/>
    <m/>
  </r>
  <r>
    <d v="2021-01-29T00:00:00"/>
    <x v="0"/>
    <x v="11"/>
    <x v="11"/>
    <n v="516648"/>
    <n v="516648"/>
    <n v="0"/>
    <x v="60"/>
    <s v="Administración"/>
    <m/>
    <m/>
    <m/>
    <m/>
    <m/>
    <m/>
    <m/>
  </r>
  <r>
    <d v="2021-01-29T00:00:00"/>
    <x v="0"/>
    <x v="11"/>
    <x v="11"/>
    <n v="190199"/>
    <n v="190199"/>
    <n v="0"/>
    <x v="61"/>
    <s v="Administración"/>
    <m/>
    <m/>
    <m/>
    <m/>
    <m/>
    <m/>
    <m/>
  </r>
  <r>
    <d v="2021-01-29T00:00:00"/>
    <x v="0"/>
    <x v="11"/>
    <x v="11"/>
    <n v="1062348"/>
    <n v="1062348"/>
    <n v="0"/>
    <x v="62"/>
    <s v="Administración"/>
    <m/>
    <m/>
    <m/>
    <m/>
    <m/>
    <m/>
    <m/>
  </r>
  <r>
    <d v="2021-01-29T00:00:00"/>
    <x v="0"/>
    <x v="11"/>
    <x v="11"/>
    <n v="735000"/>
    <n v="735000"/>
    <n v="0"/>
    <x v="63"/>
    <s v="Administración"/>
    <m/>
    <m/>
    <m/>
    <m/>
    <m/>
    <m/>
    <m/>
  </r>
  <r>
    <d v="2021-01-29T00:00:00"/>
    <x v="0"/>
    <x v="0"/>
    <x v="0"/>
    <n v="-3285186"/>
    <n v="0"/>
    <n v="3285186"/>
    <x v="6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9T00:00:00"/>
    <x v="0"/>
    <x v="32"/>
    <x v="32"/>
    <n v="45198"/>
    <n v="45198"/>
    <n v="0"/>
    <x v="65"/>
    <s v="Administración"/>
    <m/>
    <m/>
    <m/>
    <m/>
    <m/>
    <m/>
    <m/>
  </r>
  <r>
    <d v="2021-01-29T00:00:00"/>
    <x v="0"/>
    <x v="32"/>
    <x v="32"/>
    <n v="50848"/>
    <n v="50848"/>
    <n v="0"/>
    <x v="66"/>
    <s v="Administración"/>
    <m/>
    <m/>
    <m/>
    <m/>
    <m/>
    <m/>
    <m/>
  </r>
  <r>
    <d v="2021-01-29T00:00:00"/>
    <x v="0"/>
    <x v="33"/>
    <x v="33"/>
    <n v="100000"/>
    <n v="100000"/>
    <n v="0"/>
    <x v="67"/>
    <s v="Administración"/>
    <m/>
    <m/>
    <m/>
    <m/>
    <m/>
    <m/>
    <m/>
  </r>
  <r>
    <d v="2021-01-29T00:00:00"/>
    <x v="0"/>
    <x v="34"/>
    <x v="34"/>
    <n v="477848"/>
    <n v="477848"/>
    <n v="0"/>
    <x v="68"/>
    <s v="Administración"/>
    <m/>
    <m/>
    <m/>
    <m/>
    <m/>
    <m/>
    <m/>
  </r>
  <r>
    <d v="2021-01-29T00:00:00"/>
    <x v="0"/>
    <x v="35"/>
    <x v="21"/>
    <n v="420000"/>
    <n v="420000"/>
    <n v="0"/>
    <x v="69"/>
    <s v="Administración"/>
    <m/>
    <m/>
    <m/>
    <m/>
    <m/>
    <m/>
    <m/>
  </r>
  <r>
    <d v="2021-01-29T00:00:00"/>
    <x v="0"/>
    <x v="9"/>
    <x v="9"/>
    <n v="-22546"/>
    <n v="0"/>
    <n v="22546"/>
    <x v="70"/>
    <s v="Administración"/>
    <m/>
    <m/>
    <m/>
    <m/>
    <m/>
    <m/>
    <m/>
  </r>
  <r>
    <d v="2021-01-29T00:00:00"/>
    <x v="0"/>
    <x v="0"/>
    <x v="0"/>
    <n v="-897848"/>
    <n v="0"/>
    <n v="897848"/>
    <x v="71"/>
    <s v="Administración"/>
    <m/>
    <m/>
    <m/>
    <m/>
    <m/>
    <m/>
    <m/>
  </r>
  <r>
    <d v="2021-01-29T00:00:00"/>
    <x v="0"/>
    <x v="8"/>
    <x v="8"/>
    <n v="-173500"/>
    <n v="0"/>
    <n v="173500"/>
    <x v="7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29T00:00:00"/>
    <x v="0"/>
    <x v="8"/>
    <x v="8"/>
    <n v="40000"/>
    <n v="40000"/>
    <n v="0"/>
    <x v="65"/>
    <s v="Administración"/>
    <m/>
    <m/>
    <m/>
    <m/>
    <m/>
    <m/>
    <m/>
  </r>
  <r>
    <d v="2021-01-29T00:00:00"/>
    <x v="0"/>
    <x v="8"/>
    <x v="8"/>
    <n v="45000"/>
    <n v="45000"/>
    <n v="0"/>
    <x v="66"/>
    <s v="Administración"/>
    <m/>
    <m/>
    <m/>
    <m/>
    <m/>
    <m/>
    <m/>
  </r>
  <r>
    <d v="2021-01-29T00:00:00"/>
    <x v="0"/>
    <x v="8"/>
    <x v="8"/>
    <n v="88500"/>
    <n v="88500"/>
    <n v="0"/>
    <x v="67"/>
    <s v="Administración"/>
    <m/>
    <m/>
    <m/>
    <m/>
    <m/>
    <m/>
    <m/>
  </r>
  <r>
    <d v="2021-01-29T00:00:00"/>
    <x v="0"/>
    <x v="0"/>
    <x v="0"/>
    <n v="-173500"/>
    <n v="0"/>
    <n v="173500"/>
    <x v="7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1-31T00:00:00"/>
    <x v="0"/>
    <x v="36"/>
    <x v="35"/>
    <n v="2990029"/>
    <n v="2990029"/>
    <n v="0"/>
    <x v="72"/>
    <s v="Administración"/>
    <m/>
    <m/>
    <m/>
    <m/>
    <m/>
    <m/>
    <m/>
  </r>
  <r>
    <d v="2021-01-31T00:00:00"/>
    <x v="0"/>
    <x v="37"/>
    <x v="36"/>
    <n v="907876"/>
    <n v="907876"/>
    <n v="0"/>
    <x v="72"/>
    <s v="Administración"/>
    <m/>
    <m/>
    <m/>
    <m/>
    <m/>
    <m/>
    <m/>
  </r>
  <r>
    <d v="2021-01-31T00:00:00"/>
    <x v="0"/>
    <x v="36"/>
    <x v="35"/>
    <n v="51171"/>
    <n v="51171"/>
    <n v="0"/>
    <x v="72"/>
    <s v="Administración"/>
    <m/>
    <m/>
    <m/>
    <m/>
    <m/>
    <m/>
    <m/>
  </r>
  <r>
    <d v="2021-01-31T00:00:00"/>
    <x v="0"/>
    <x v="11"/>
    <x v="11"/>
    <n v="-3285186"/>
    <n v="0"/>
    <n v="3285186"/>
    <x v="72"/>
    <s v="Administración"/>
    <m/>
    <m/>
    <m/>
    <m/>
    <m/>
    <m/>
    <m/>
  </r>
  <r>
    <d v="2021-01-31T00:00:00"/>
    <x v="0"/>
    <x v="10"/>
    <x v="10"/>
    <n v="-476142"/>
    <n v="0"/>
    <n v="476142"/>
    <x v="72"/>
    <s v="Administración"/>
    <m/>
    <m/>
    <m/>
    <m/>
    <m/>
    <m/>
    <m/>
  </r>
  <r>
    <d v="2021-01-31T00:00:00"/>
    <x v="0"/>
    <x v="10"/>
    <x v="10"/>
    <n v="-172876"/>
    <n v="0"/>
    <n v="172876"/>
    <x v="72"/>
    <s v="Administración"/>
    <m/>
    <m/>
    <m/>
    <m/>
    <m/>
    <m/>
    <m/>
  </r>
  <r>
    <d v="2021-01-31T00:00:00"/>
    <x v="0"/>
    <x v="9"/>
    <x v="9"/>
    <n v="-14872"/>
    <n v="0"/>
    <n v="14872"/>
    <x v="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40000"/>
    <n v="40000"/>
    <n v="0"/>
    <x v="73"/>
    <s v="Administración"/>
    <m/>
    <m/>
    <m/>
    <m/>
    <m/>
    <m/>
    <m/>
  </r>
  <r>
    <d v="2021-02-01T00:00:00"/>
    <x v="2"/>
    <x v="19"/>
    <x v="19"/>
    <n v="-40000"/>
    <n v="0"/>
    <n v="40000"/>
    <x v="7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20000"/>
    <n v="20000"/>
    <n v="0"/>
    <x v="74"/>
    <s v="Administración"/>
    <m/>
    <m/>
    <m/>
    <m/>
    <m/>
    <m/>
    <m/>
  </r>
  <r>
    <d v="2021-02-01T00:00:00"/>
    <x v="2"/>
    <x v="19"/>
    <x v="19"/>
    <n v="-20000"/>
    <n v="0"/>
    <n v="20000"/>
    <x v="7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16000"/>
    <n v="16000"/>
    <n v="0"/>
    <x v="75"/>
    <s v="Administración"/>
    <m/>
    <m/>
    <m/>
    <m/>
    <m/>
    <m/>
    <m/>
  </r>
  <r>
    <d v="2021-02-01T00:00:00"/>
    <x v="2"/>
    <x v="19"/>
    <x v="19"/>
    <n v="-16000"/>
    <n v="0"/>
    <n v="16000"/>
    <x v="7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10000"/>
    <n v="10000"/>
    <n v="0"/>
    <x v="76"/>
    <s v="Administración"/>
    <m/>
    <m/>
    <m/>
    <m/>
    <m/>
    <m/>
    <m/>
  </r>
  <r>
    <d v="2021-02-01T00:00:00"/>
    <x v="2"/>
    <x v="19"/>
    <x v="19"/>
    <n v="-10000"/>
    <n v="0"/>
    <n v="10000"/>
    <x v="7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200000"/>
    <n v="200000"/>
    <n v="0"/>
    <x v="77"/>
    <s v="Administración"/>
    <m/>
    <m/>
    <m/>
    <m/>
    <m/>
    <m/>
    <m/>
  </r>
  <r>
    <d v="2021-02-01T00:00:00"/>
    <x v="2"/>
    <x v="6"/>
    <x v="6"/>
    <n v="-200000"/>
    <n v="0"/>
    <n v="200000"/>
    <x v="7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10000"/>
    <n v="10000"/>
    <n v="0"/>
    <x v="78"/>
    <s v="Administración"/>
    <m/>
    <m/>
    <m/>
    <m/>
    <m/>
    <m/>
    <m/>
  </r>
  <r>
    <d v="2021-02-01T00:00:00"/>
    <x v="2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3000"/>
    <n v="3000"/>
    <n v="0"/>
    <x v="79"/>
    <s v="Administración"/>
    <m/>
    <m/>
    <m/>
    <m/>
    <m/>
    <m/>
    <m/>
  </r>
  <r>
    <d v="2021-02-01T00:00:00"/>
    <x v="2"/>
    <x v="19"/>
    <x v="19"/>
    <n v="-3000"/>
    <n v="0"/>
    <n v="3000"/>
    <x v="7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15000"/>
    <n v="15000"/>
    <n v="0"/>
    <x v="80"/>
    <s v="Administración"/>
    <m/>
    <m/>
    <m/>
    <m/>
    <m/>
    <m/>
    <m/>
  </r>
  <r>
    <d v="2021-02-01T00:00:00"/>
    <x v="2"/>
    <x v="6"/>
    <x v="6"/>
    <n v="-15000"/>
    <n v="0"/>
    <n v="15000"/>
    <x v="8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10000"/>
    <n v="10000"/>
    <n v="0"/>
    <x v="81"/>
    <s v="Administración"/>
    <m/>
    <m/>
    <m/>
    <m/>
    <m/>
    <m/>
    <m/>
  </r>
  <r>
    <d v="2021-02-01T00:00:00"/>
    <x v="2"/>
    <x v="19"/>
    <x v="19"/>
    <n v="-10000"/>
    <n v="0"/>
    <n v="10000"/>
    <x v="8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100000"/>
    <n v="100000"/>
    <n v="0"/>
    <x v="82"/>
    <s v="Administración"/>
    <m/>
    <m/>
    <m/>
    <m/>
    <m/>
    <m/>
    <m/>
  </r>
  <r>
    <d v="2021-02-01T00:00:00"/>
    <x v="2"/>
    <x v="6"/>
    <x v="6"/>
    <n v="-100000"/>
    <n v="0"/>
    <n v="100000"/>
    <x v="8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8000"/>
    <n v="8000"/>
    <n v="0"/>
    <x v="83"/>
    <s v="Administración"/>
    <m/>
    <m/>
    <m/>
    <m/>
    <m/>
    <m/>
    <m/>
  </r>
  <r>
    <d v="2021-02-01T00:00:00"/>
    <x v="2"/>
    <x v="19"/>
    <x v="19"/>
    <n v="-8000"/>
    <n v="0"/>
    <n v="8000"/>
    <x v="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100000"/>
    <n v="100000"/>
    <n v="0"/>
    <x v="84"/>
    <s v="Administración"/>
    <m/>
    <m/>
    <m/>
    <m/>
    <m/>
    <m/>
    <m/>
  </r>
  <r>
    <d v="2021-02-01T00:00:00"/>
    <x v="2"/>
    <x v="19"/>
    <x v="19"/>
    <n v="-100000"/>
    <n v="0"/>
    <n v="100000"/>
    <x v="8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15000"/>
    <n v="15000"/>
    <n v="0"/>
    <x v="85"/>
    <s v="Administración"/>
    <m/>
    <m/>
    <m/>
    <m/>
    <m/>
    <m/>
    <m/>
  </r>
  <r>
    <d v="2021-02-01T00:00:00"/>
    <x v="2"/>
    <x v="19"/>
    <x v="19"/>
    <n v="-15000"/>
    <n v="0"/>
    <n v="15000"/>
    <x v="8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12000"/>
    <n v="12000"/>
    <n v="0"/>
    <x v="86"/>
    <s v="Administración"/>
    <m/>
    <m/>
    <m/>
    <m/>
    <m/>
    <m/>
    <m/>
  </r>
  <r>
    <d v="2021-02-01T00:00:00"/>
    <x v="2"/>
    <x v="19"/>
    <x v="19"/>
    <n v="-12000"/>
    <n v="0"/>
    <n v="12000"/>
    <x v="8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2000"/>
    <n v="2000"/>
    <n v="0"/>
    <x v="86"/>
    <s v="Administración"/>
    <m/>
    <m/>
    <m/>
    <m/>
    <m/>
    <m/>
    <m/>
  </r>
  <r>
    <d v="2021-02-01T00:00:00"/>
    <x v="2"/>
    <x v="19"/>
    <x v="19"/>
    <n v="-2000"/>
    <n v="0"/>
    <n v="2000"/>
    <x v="8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1T00:00:00"/>
    <x v="2"/>
    <x v="0"/>
    <x v="0"/>
    <n v="29000"/>
    <n v="29000"/>
    <n v="0"/>
    <x v="87"/>
    <s v="Administración"/>
    <m/>
    <m/>
    <m/>
    <m/>
    <m/>
    <m/>
    <m/>
  </r>
  <r>
    <d v="2021-02-01T00:00:00"/>
    <x v="2"/>
    <x v="19"/>
    <x v="19"/>
    <n v="-29000"/>
    <n v="0"/>
    <n v="29000"/>
    <x v="8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2T00:00:00"/>
    <x v="2"/>
    <x v="0"/>
    <x v="0"/>
    <n v="50000"/>
    <n v="50000"/>
    <n v="0"/>
    <x v="88"/>
    <s v="Administración"/>
    <m/>
    <m/>
    <m/>
    <m/>
    <m/>
    <m/>
    <m/>
  </r>
  <r>
    <d v="2021-02-02T00:00:00"/>
    <x v="2"/>
    <x v="20"/>
    <x v="20"/>
    <n v="-50000"/>
    <n v="0"/>
    <n v="50000"/>
    <x v="8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2T00:00:00"/>
    <x v="2"/>
    <x v="0"/>
    <x v="0"/>
    <n v="10000"/>
    <n v="10000"/>
    <n v="0"/>
    <x v="89"/>
    <s v="Administración"/>
    <m/>
    <m/>
    <m/>
    <m/>
    <m/>
    <m/>
    <m/>
  </r>
  <r>
    <d v="2021-02-02T00:00:00"/>
    <x v="2"/>
    <x v="20"/>
    <x v="20"/>
    <n v="-10000"/>
    <n v="0"/>
    <n v="10000"/>
    <x v="8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2T00:00:00"/>
    <x v="2"/>
    <x v="0"/>
    <x v="0"/>
    <n v="70000"/>
    <n v="70000"/>
    <n v="0"/>
    <x v="90"/>
    <s v="Administración"/>
    <m/>
    <m/>
    <m/>
    <m/>
    <m/>
    <m/>
    <m/>
  </r>
  <r>
    <d v="2021-02-02T00:00:00"/>
    <x v="2"/>
    <x v="19"/>
    <x v="19"/>
    <n v="-70000"/>
    <n v="0"/>
    <n v="70000"/>
    <x v="9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2T00:00:00"/>
    <x v="2"/>
    <x v="0"/>
    <x v="0"/>
    <n v="100000"/>
    <n v="100000"/>
    <n v="0"/>
    <x v="91"/>
    <s v="Administración"/>
    <m/>
    <m/>
    <m/>
    <m/>
    <m/>
    <m/>
    <m/>
  </r>
  <r>
    <d v="2021-02-02T00:00:00"/>
    <x v="2"/>
    <x v="21"/>
    <x v="21"/>
    <n v="-100000"/>
    <n v="0"/>
    <n v="100000"/>
    <x v="9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2T00:00:00"/>
    <x v="2"/>
    <x v="0"/>
    <x v="0"/>
    <n v="5000"/>
    <n v="5000"/>
    <n v="0"/>
    <x v="92"/>
    <s v="Administración"/>
    <m/>
    <m/>
    <m/>
    <m/>
    <m/>
    <m/>
    <m/>
  </r>
  <r>
    <d v="2021-02-02T00:00:00"/>
    <x v="2"/>
    <x v="19"/>
    <x v="19"/>
    <n v="-5000"/>
    <n v="0"/>
    <n v="5000"/>
    <x v="9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2T00:00:00"/>
    <x v="2"/>
    <x v="0"/>
    <x v="0"/>
    <n v="40000"/>
    <n v="40000"/>
    <n v="0"/>
    <x v="93"/>
    <s v="Administración"/>
    <m/>
    <m/>
    <m/>
    <m/>
    <m/>
    <m/>
    <m/>
  </r>
  <r>
    <d v="2021-02-02T00:00:00"/>
    <x v="2"/>
    <x v="19"/>
    <x v="19"/>
    <n v="-40000"/>
    <n v="0"/>
    <n v="40000"/>
    <x v="9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2T00:00:00"/>
    <x v="2"/>
    <x v="0"/>
    <x v="0"/>
    <n v="20000"/>
    <n v="20000"/>
    <n v="0"/>
    <x v="94"/>
    <s v="Administración"/>
    <m/>
    <m/>
    <m/>
    <m/>
    <m/>
    <m/>
    <m/>
  </r>
  <r>
    <d v="2021-02-02T00:00:00"/>
    <x v="2"/>
    <x v="19"/>
    <x v="19"/>
    <n v="-20000"/>
    <n v="0"/>
    <n v="20000"/>
    <x v="9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2T00:00:00"/>
    <x v="2"/>
    <x v="0"/>
    <x v="0"/>
    <n v="50000"/>
    <n v="50000"/>
    <n v="0"/>
    <x v="95"/>
    <s v="Administración"/>
    <m/>
    <m/>
    <m/>
    <m/>
    <m/>
    <m/>
    <m/>
  </r>
  <r>
    <d v="2021-02-02T00:00:00"/>
    <x v="2"/>
    <x v="19"/>
    <x v="19"/>
    <n v="-50000"/>
    <n v="0"/>
    <n v="50000"/>
    <x v="9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2T00:00:00"/>
    <x v="2"/>
    <x v="0"/>
    <x v="0"/>
    <n v="5886"/>
    <n v="5886"/>
    <n v="0"/>
    <x v="96"/>
    <s v="Administración"/>
    <m/>
    <m/>
    <m/>
    <m/>
    <m/>
    <m/>
    <m/>
  </r>
  <r>
    <d v="2021-02-02T00:00:00"/>
    <x v="2"/>
    <x v="19"/>
    <x v="19"/>
    <n v="-5886"/>
    <n v="0"/>
    <n v="5886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2T00:00:00"/>
    <x v="2"/>
    <x v="0"/>
    <x v="0"/>
    <n v="10000"/>
    <n v="10000"/>
    <n v="0"/>
    <x v="97"/>
    <s v="Administración"/>
    <m/>
    <m/>
    <m/>
    <m/>
    <m/>
    <m/>
    <m/>
  </r>
  <r>
    <d v="2021-02-02T00:00:00"/>
    <x v="2"/>
    <x v="19"/>
    <x v="19"/>
    <n v="-10000"/>
    <n v="0"/>
    <n v="10000"/>
    <x v="9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2T00:00:00"/>
    <x v="2"/>
    <x v="0"/>
    <x v="0"/>
    <n v="10000"/>
    <n v="10000"/>
    <n v="0"/>
    <x v="98"/>
    <s v="Administración"/>
    <m/>
    <m/>
    <m/>
    <m/>
    <m/>
    <m/>
    <m/>
  </r>
  <r>
    <d v="2021-02-02T00:00:00"/>
    <x v="2"/>
    <x v="19"/>
    <x v="19"/>
    <n v="-10000"/>
    <n v="0"/>
    <n v="10000"/>
    <x v="9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2T00:00:00"/>
    <x v="2"/>
    <x v="0"/>
    <x v="0"/>
    <n v="10000"/>
    <n v="10000"/>
    <n v="0"/>
    <x v="99"/>
    <s v="Administración"/>
    <m/>
    <m/>
    <m/>
    <m/>
    <m/>
    <m/>
    <m/>
  </r>
  <r>
    <d v="2021-02-02T00:00:00"/>
    <x v="2"/>
    <x v="19"/>
    <x v="19"/>
    <n v="-10000"/>
    <n v="0"/>
    <n v="10000"/>
    <x v="9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2T00:00:00"/>
    <x v="2"/>
    <x v="0"/>
    <x v="0"/>
    <n v="10000"/>
    <n v="10000"/>
    <n v="0"/>
    <x v="100"/>
    <s v="Administración"/>
    <m/>
    <m/>
    <m/>
    <m/>
    <m/>
    <m/>
    <m/>
  </r>
  <r>
    <d v="2021-02-02T00:00:00"/>
    <x v="2"/>
    <x v="19"/>
    <x v="19"/>
    <n v="-10000"/>
    <n v="0"/>
    <n v="10000"/>
    <x v="10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3T00:00:00"/>
    <x v="2"/>
    <x v="38"/>
    <x v="37"/>
    <n v="57577"/>
    <n v="57577"/>
    <n v="0"/>
    <x v="101"/>
    <s v="Administración"/>
    <m/>
    <m/>
    <m/>
    <m/>
    <m/>
    <m/>
    <m/>
  </r>
  <r>
    <d v="2021-02-03T00:00:00"/>
    <x v="2"/>
    <x v="0"/>
    <x v="0"/>
    <n v="-57577"/>
    <n v="0"/>
    <n v="57577"/>
    <x v="10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3T00:00:00"/>
    <x v="2"/>
    <x v="0"/>
    <x v="0"/>
    <n v="25000"/>
    <n v="25000"/>
    <n v="0"/>
    <x v="102"/>
    <s v="Administración"/>
    <m/>
    <m/>
    <m/>
    <m/>
    <m/>
    <m/>
    <m/>
  </r>
  <r>
    <d v="2021-02-03T00:00:00"/>
    <x v="2"/>
    <x v="19"/>
    <x v="19"/>
    <n v="-25000"/>
    <n v="0"/>
    <n v="25000"/>
    <x v="10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3T00:00:00"/>
    <x v="2"/>
    <x v="0"/>
    <x v="0"/>
    <n v="15000"/>
    <n v="15000"/>
    <n v="0"/>
    <x v="103"/>
    <s v="Administración"/>
    <m/>
    <m/>
    <m/>
    <m/>
    <m/>
    <m/>
    <m/>
  </r>
  <r>
    <d v="2021-02-03T00:00:00"/>
    <x v="2"/>
    <x v="19"/>
    <x v="19"/>
    <n v="-15000"/>
    <n v="0"/>
    <n v="15000"/>
    <x v="10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4T00:00:00"/>
    <x v="2"/>
    <x v="0"/>
    <x v="0"/>
    <n v="30000"/>
    <n v="30000"/>
    <n v="0"/>
    <x v="18"/>
    <s v="Administración"/>
    <m/>
    <m/>
    <m/>
    <m/>
    <m/>
    <m/>
    <m/>
  </r>
  <r>
    <d v="2021-02-04T00:00:00"/>
    <x v="2"/>
    <x v="6"/>
    <x v="6"/>
    <n v="-30000"/>
    <n v="0"/>
    <n v="30000"/>
    <x v="1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4T00:00:00"/>
    <x v="2"/>
    <x v="0"/>
    <x v="0"/>
    <n v="12000"/>
    <n v="12000"/>
    <n v="0"/>
    <x v="104"/>
    <s v="Administración"/>
    <m/>
    <m/>
    <m/>
    <m/>
    <m/>
    <m/>
    <m/>
  </r>
  <r>
    <d v="2021-02-04T00:00:00"/>
    <x v="2"/>
    <x v="19"/>
    <x v="19"/>
    <n v="-12000"/>
    <n v="0"/>
    <n v="12000"/>
    <x v="10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4T00:00:00"/>
    <x v="2"/>
    <x v="0"/>
    <x v="0"/>
    <n v="6000"/>
    <n v="6000"/>
    <n v="0"/>
    <x v="104"/>
    <s v="Administración"/>
    <m/>
    <m/>
    <m/>
    <m/>
    <m/>
    <m/>
    <m/>
  </r>
  <r>
    <d v="2021-02-04T00:00:00"/>
    <x v="2"/>
    <x v="19"/>
    <x v="19"/>
    <n v="-6000"/>
    <n v="0"/>
    <n v="6000"/>
    <x v="10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4T00:00:00"/>
    <x v="2"/>
    <x v="0"/>
    <x v="0"/>
    <n v="15000"/>
    <n v="15000"/>
    <n v="0"/>
    <x v="105"/>
    <s v="Administración"/>
    <m/>
    <m/>
    <m/>
    <m/>
    <m/>
    <m/>
    <m/>
  </r>
  <r>
    <d v="2021-02-04T00:00:00"/>
    <x v="2"/>
    <x v="19"/>
    <x v="19"/>
    <n v="-15000"/>
    <n v="0"/>
    <n v="15000"/>
    <x v="10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4T00:00:00"/>
    <x v="2"/>
    <x v="0"/>
    <x v="0"/>
    <n v="40000"/>
    <n v="40000"/>
    <n v="0"/>
    <x v="106"/>
    <s v="Administración"/>
    <m/>
    <m/>
    <m/>
    <m/>
    <m/>
    <m/>
    <m/>
  </r>
  <r>
    <d v="2021-02-04T00:00:00"/>
    <x v="2"/>
    <x v="30"/>
    <x v="30"/>
    <n v="-40000"/>
    <m/>
    <n v="40000"/>
    <x v="10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4T00:00:00"/>
    <x v="2"/>
    <x v="0"/>
    <x v="0"/>
    <n v="4905"/>
    <n v="4905"/>
    <n v="0"/>
    <x v="96"/>
    <s v="Administración"/>
    <m/>
    <m/>
    <m/>
    <m/>
    <m/>
    <m/>
    <m/>
  </r>
  <r>
    <d v="2021-02-04T00:00:00"/>
    <x v="2"/>
    <x v="19"/>
    <x v="19"/>
    <n v="-4905"/>
    <n v="0"/>
    <n v="4905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4T00:00:00"/>
    <x v="2"/>
    <x v="0"/>
    <x v="0"/>
    <n v="5000"/>
    <n v="5000"/>
    <n v="0"/>
    <x v="107"/>
    <s v="Administración"/>
    <m/>
    <m/>
    <m/>
    <m/>
    <m/>
    <m/>
    <m/>
  </r>
  <r>
    <d v="2021-02-04T00:00:00"/>
    <x v="2"/>
    <x v="19"/>
    <x v="19"/>
    <n v="-5000"/>
    <n v="0"/>
    <n v="5000"/>
    <x v="10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4T00:00:00"/>
    <x v="2"/>
    <x v="23"/>
    <x v="23"/>
    <n v="4678"/>
    <n v="4678"/>
    <n v="0"/>
    <x v="19"/>
    <s v="Administración"/>
    <m/>
    <m/>
    <m/>
    <m/>
    <m/>
    <m/>
    <m/>
  </r>
  <r>
    <d v="2021-02-04T00:00:00"/>
    <x v="2"/>
    <x v="0"/>
    <x v="0"/>
    <n v="-4678"/>
    <n v="0"/>
    <n v="4678"/>
    <x v="1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4T00:00:00"/>
    <x v="2"/>
    <x v="23"/>
    <x v="23"/>
    <n v="1040"/>
    <n v="1040"/>
    <n v="0"/>
    <x v="19"/>
    <s v="Administración"/>
    <m/>
    <m/>
    <m/>
    <m/>
    <m/>
    <m/>
    <m/>
  </r>
  <r>
    <d v="2021-02-04T00:00:00"/>
    <x v="2"/>
    <x v="0"/>
    <x v="0"/>
    <n v="-1040"/>
    <n v="0"/>
    <n v="1040"/>
    <x v="1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5T00:00:00"/>
    <x v="2"/>
    <x v="25"/>
    <x v="25"/>
    <n v="793874"/>
    <n v="793874"/>
    <n v="0"/>
    <x v="108"/>
    <s v="Administración"/>
    <m/>
    <m/>
    <m/>
    <m/>
    <m/>
    <m/>
    <m/>
  </r>
  <r>
    <d v="2021-02-05T00:00:00"/>
    <x v="2"/>
    <x v="0"/>
    <x v="0"/>
    <n v="-793874"/>
    <m/>
    <n v="793874"/>
    <x v="10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5T00:00:00"/>
    <x v="2"/>
    <x v="6"/>
    <x v="6"/>
    <n v="28192"/>
    <n v="28192"/>
    <n v="0"/>
    <x v="27"/>
    <s v="Administración"/>
    <m/>
    <m/>
    <m/>
    <m/>
    <m/>
    <m/>
    <m/>
  </r>
  <r>
    <d v="2021-02-05T00:00:00"/>
    <x v="2"/>
    <x v="12"/>
    <x v="12"/>
    <n v="231949"/>
    <n v="231949"/>
    <n v="0"/>
    <x v="109"/>
    <s v="Administración"/>
    <m/>
    <m/>
    <m/>
    <m/>
    <m/>
    <m/>
    <m/>
  </r>
  <r>
    <d v="2021-02-05T00:00:00"/>
    <x v="2"/>
    <x v="9"/>
    <x v="9"/>
    <n v="119674"/>
    <n v="119674"/>
    <n v="0"/>
    <x v="27"/>
    <s v="Administración"/>
    <m/>
    <m/>
    <m/>
    <m/>
    <m/>
    <m/>
    <m/>
  </r>
  <r>
    <d v="2021-02-05T00:00:00"/>
    <x v="2"/>
    <x v="0"/>
    <x v="0"/>
    <n v="-379815"/>
    <n v="0"/>
    <n v="379815"/>
    <x v="2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5T00:00:00"/>
    <x v="2"/>
    <x v="10"/>
    <x v="10"/>
    <n v="476142"/>
    <n v="476142"/>
    <n v="0"/>
    <x v="28"/>
    <s v="Administración"/>
    <m/>
    <m/>
    <m/>
    <m/>
    <m/>
    <m/>
    <m/>
  </r>
  <r>
    <d v="2021-02-05T00:00:00"/>
    <x v="2"/>
    <x v="0"/>
    <x v="0"/>
    <n v="-476142"/>
    <n v="0"/>
    <n v="476142"/>
    <x v="2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5T00:00:00"/>
    <x v="2"/>
    <x v="10"/>
    <x v="10"/>
    <n v="172876"/>
    <n v="172876"/>
    <n v="0"/>
    <x v="29"/>
    <s v="Administración"/>
    <m/>
    <m/>
    <m/>
    <m/>
    <m/>
    <m/>
    <m/>
  </r>
  <r>
    <d v="2021-02-05T00:00:00"/>
    <x v="2"/>
    <x v="0"/>
    <x v="0"/>
    <n v="-172876"/>
    <n v="0"/>
    <n v="172876"/>
    <x v="2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5T00:00:00"/>
    <x v="2"/>
    <x v="0"/>
    <x v="0"/>
    <n v="40000"/>
    <n v="40000"/>
    <n v="0"/>
    <x v="110"/>
    <s v="Administración"/>
    <m/>
    <m/>
    <m/>
    <m/>
    <m/>
    <m/>
    <m/>
  </r>
  <r>
    <d v="2021-02-05T00:00:00"/>
    <x v="2"/>
    <x v="19"/>
    <x v="19"/>
    <n v="-40000"/>
    <n v="0"/>
    <n v="40000"/>
    <x v="11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5T00:00:00"/>
    <x v="2"/>
    <x v="0"/>
    <x v="0"/>
    <n v="2000"/>
    <n v="2000"/>
    <n v="0"/>
    <x v="111"/>
    <s v="Administración"/>
    <m/>
    <m/>
    <m/>
    <m/>
    <m/>
    <m/>
    <m/>
  </r>
  <r>
    <d v="2021-02-05T00:00:00"/>
    <x v="2"/>
    <x v="19"/>
    <x v="19"/>
    <n v="-2000"/>
    <n v="0"/>
    <n v="2000"/>
    <x v="11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5T00:00:00"/>
    <x v="2"/>
    <x v="0"/>
    <x v="0"/>
    <n v="40000"/>
    <n v="40000"/>
    <n v="0"/>
    <x v="112"/>
    <s v="Administración"/>
    <m/>
    <m/>
    <m/>
    <m/>
    <m/>
    <m/>
    <m/>
  </r>
  <r>
    <d v="2021-02-05T00:00:00"/>
    <x v="2"/>
    <x v="19"/>
    <x v="19"/>
    <n v="-40000"/>
    <n v="0"/>
    <n v="40000"/>
    <x v="11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5T00:00:00"/>
    <x v="2"/>
    <x v="0"/>
    <x v="0"/>
    <n v="49405"/>
    <n v="49405"/>
    <n v="0"/>
    <x v="96"/>
    <s v="Administración"/>
    <m/>
    <m/>
    <m/>
    <m/>
    <m/>
    <m/>
    <m/>
  </r>
  <r>
    <d v="2021-02-05T00:00:00"/>
    <x v="2"/>
    <x v="19"/>
    <x v="19"/>
    <n v="-49405"/>
    <n v="0"/>
    <n v="49405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8T00:00:00"/>
    <x v="2"/>
    <x v="0"/>
    <x v="0"/>
    <n v="20000"/>
    <n v="20000"/>
    <n v="0"/>
    <x v="113"/>
    <s v="Administración"/>
    <m/>
    <m/>
    <m/>
    <m/>
    <m/>
    <m/>
    <m/>
  </r>
  <r>
    <d v="2021-02-08T00:00:00"/>
    <x v="2"/>
    <x v="19"/>
    <x v="19"/>
    <n v="-20000"/>
    <n v="0"/>
    <n v="20000"/>
    <x v="11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8T00:00:00"/>
    <x v="2"/>
    <x v="0"/>
    <x v="0"/>
    <n v="10000"/>
    <n v="10000"/>
    <n v="0"/>
    <x v="78"/>
    <s v="Administración"/>
    <m/>
    <m/>
    <m/>
    <m/>
    <m/>
    <m/>
    <m/>
  </r>
  <r>
    <d v="2021-02-08T00:00:00"/>
    <x v="2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8T00:00:00"/>
    <x v="2"/>
    <x v="0"/>
    <x v="0"/>
    <n v="10000"/>
    <n v="10000"/>
    <n v="0"/>
    <x v="114"/>
    <s v="Administración"/>
    <m/>
    <m/>
    <m/>
    <m/>
    <m/>
    <m/>
    <m/>
  </r>
  <r>
    <d v="2021-02-08T00:00:00"/>
    <x v="2"/>
    <x v="19"/>
    <x v="19"/>
    <n v="-10000"/>
    <n v="0"/>
    <n v="10000"/>
    <x v="11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8T00:00:00"/>
    <x v="2"/>
    <x v="0"/>
    <x v="0"/>
    <n v="3000"/>
    <n v="3000"/>
    <n v="0"/>
    <x v="115"/>
    <s v="Administración"/>
    <m/>
    <m/>
    <m/>
    <m/>
    <m/>
    <m/>
    <m/>
  </r>
  <r>
    <d v="2021-02-08T00:00:00"/>
    <x v="2"/>
    <x v="19"/>
    <x v="19"/>
    <n v="-3000"/>
    <n v="0"/>
    <n v="3000"/>
    <x v="1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8T00:00:00"/>
    <x v="2"/>
    <x v="0"/>
    <x v="0"/>
    <n v="10000"/>
    <n v="10000"/>
    <n v="0"/>
    <x v="116"/>
    <s v="Administración"/>
    <m/>
    <m/>
    <m/>
    <m/>
    <m/>
    <m/>
    <m/>
  </r>
  <r>
    <d v="2021-02-08T00:00:00"/>
    <x v="2"/>
    <x v="19"/>
    <x v="19"/>
    <n v="-10000"/>
    <n v="0"/>
    <n v="10000"/>
    <x v="11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8T00:00:00"/>
    <x v="2"/>
    <x v="0"/>
    <x v="0"/>
    <n v="10000"/>
    <n v="10000"/>
    <n v="0"/>
    <x v="117"/>
    <s v="Administración"/>
    <m/>
    <m/>
    <m/>
    <m/>
    <m/>
    <m/>
    <m/>
  </r>
  <r>
    <d v="2021-02-08T00:00:00"/>
    <x v="2"/>
    <x v="19"/>
    <x v="19"/>
    <n v="-10000"/>
    <n v="0"/>
    <n v="10000"/>
    <x v="11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8T00:00:00"/>
    <x v="2"/>
    <x v="0"/>
    <x v="0"/>
    <n v="20000"/>
    <n v="20000"/>
    <n v="0"/>
    <x v="118"/>
    <s v="Administración"/>
    <m/>
    <m/>
    <m/>
    <m/>
    <m/>
    <m/>
    <m/>
  </r>
  <r>
    <d v="2021-02-08T00:00:00"/>
    <x v="2"/>
    <x v="19"/>
    <x v="19"/>
    <n v="-20000"/>
    <n v="0"/>
    <n v="20000"/>
    <x v="11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8T00:00:00"/>
    <x v="2"/>
    <x v="0"/>
    <x v="0"/>
    <n v="30000"/>
    <n v="30000"/>
    <n v="0"/>
    <x v="119"/>
    <s v="Administración"/>
    <m/>
    <m/>
    <m/>
    <m/>
    <m/>
    <m/>
    <m/>
  </r>
  <r>
    <d v="2021-02-08T00:00:00"/>
    <x v="2"/>
    <x v="19"/>
    <x v="19"/>
    <n v="-30000"/>
    <n v="0"/>
    <n v="30000"/>
    <x v="11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8T00:00:00"/>
    <x v="2"/>
    <x v="0"/>
    <x v="0"/>
    <n v="10000"/>
    <n v="10000"/>
    <n v="0"/>
    <x v="98"/>
    <s v="Administración"/>
    <m/>
    <m/>
    <m/>
    <m/>
    <m/>
    <m/>
    <m/>
  </r>
  <r>
    <d v="2021-02-08T00:00:00"/>
    <x v="2"/>
    <x v="19"/>
    <x v="19"/>
    <n v="-10000"/>
    <n v="0"/>
    <n v="10000"/>
    <x v="9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8T00:00:00"/>
    <x v="2"/>
    <x v="0"/>
    <x v="0"/>
    <n v="40000"/>
    <n v="40000"/>
    <n v="0"/>
    <x v="120"/>
    <s v="Administración"/>
    <m/>
    <m/>
    <m/>
    <m/>
    <m/>
    <m/>
    <m/>
  </r>
  <r>
    <d v="2021-02-08T00:00:00"/>
    <x v="2"/>
    <x v="19"/>
    <x v="19"/>
    <n v="-40000"/>
    <n v="0"/>
    <n v="40000"/>
    <x v="12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9T00:00:00"/>
    <x v="2"/>
    <x v="0"/>
    <x v="0"/>
    <n v="200000"/>
    <n v="200000"/>
    <n v="0"/>
    <x v="25"/>
    <s v="Administración"/>
    <m/>
    <m/>
    <m/>
    <m/>
    <m/>
    <m/>
    <m/>
  </r>
  <r>
    <d v="2021-02-09T00:00:00"/>
    <x v="2"/>
    <x v="6"/>
    <x v="6"/>
    <n v="-200000"/>
    <n v="0"/>
    <n v="200000"/>
    <x v="2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9T00:00:00"/>
    <x v="2"/>
    <x v="26"/>
    <x v="26"/>
    <n v="4195"/>
    <n v="4195"/>
    <n v="0"/>
    <x v="23"/>
    <s v="Administración"/>
    <m/>
    <m/>
    <m/>
    <m/>
    <m/>
    <m/>
    <m/>
  </r>
  <r>
    <d v="2021-02-09T00:00:00"/>
    <x v="2"/>
    <x v="0"/>
    <x v="0"/>
    <n v="-4195"/>
    <m/>
    <n v="4195"/>
    <x v="2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9T00:00:00"/>
    <x v="2"/>
    <x v="0"/>
    <x v="0"/>
    <n v="981"/>
    <n v="981"/>
    <n v="0"/>
    <x v="121"/>
    <s v="Administración"/>
    <m/>
    <m/>
    <m/>
    <m/>
    <m/>
    <m/>
    <m/>
  </r>
  <r>
    <d v="2021-02-09T00:00:00"/>
    <x v="2"/>
    <x v="19"/>
    <x v="19"/>
    <n v="-981"/>
    <n v="0"/>
    <n v="981"/>
    <x v="12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9T00:00:00"/>
    <x v="2"/>
    <x v="0"/>
    <x v="0"/>
    <n v="92000"/>
    <n v="92000"/>
    <n v="0"/>
    <x v="122"/>
    <s v="Administración"/>
    <m/>
    <m/>
    <m/>
    <m/>
    <m/>
    <m/>
    <m/>
  </r>
  <r>
    <d v="2021-02-09T00:00:00"/>
    <x v="2"/>
    <x v="19"/>
    <x v="19"/>
    <n v="-92000"/>
    <n v="0"/>
    <n v="92000"/>
    <x v="12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08T00:00:00"/>
    <x v="2"/>
    <x v="0"/>
    <x v="0"/>
    <n v="10000"/>
    <n v="10000"/>
    <n v="0"/>
    <x v="123"/>
    <s v="Administración"/>
    <m/>
    <m/>
    <m/>
    <m/>
    <m/>
    <m/>
    <m/>
  </r>
  <r>
    <d v="2021-02-08T00:00:00"/>
    <x v="2"/>
    <x v="19"/>
    <x v="19"/>
    <n v="-10000"/>
    <n v="0"/>
    <n v="10000"/>
    <x v="12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0T00:00:00"/>
    <x v="2"/>
    <x v="27"/>
    <x v="27"/>
    <n v="57119"/>
    <n v="57119"/>
    <n v="0"/>
    <x v="31"/>
    <s v="Administración"/>
    <m/>
    <m/>
    <m/>
    <m/>
    <m/>
    <m/>
    <m/>
  </r>
  <r>
    <d v="2021-02-10T00:00:00"/>
    <x v="2"/>
    <x v="0"/>
    <x v="0"/>
    <n v="-57119"/>
    <m/>
    <n v="57119"/>
    <x v="3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1T00:00:00"/>
    <x v="2"/>
    <x v="0"/>
    <x v="0"/>
    <n v="10000"/>
    <n v="10000"/>
    <n v="0"/>
    <x v="124"/>
    <s v="Administración"/>
    <m/>
    <m/>
    <m/>
    <m/>
    <m/>
    <m/>
    <m/>
  </r>
  <r>
    <d v="2021-02-11T00:00:00"/>
    <x v="2"/>
    <x v="19"/>
    <x v="19"/>
    <n v="-10000"/>
    <n v="0"/>
    <n v="10000"/>
    <x v="12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1T00:00:00"/>
    <x v="2"/>
    <x v="0"/>
    <x v="0"/>
    <n v="5000"/>
    <n v="5000"/>
    <n v="0"/>
    <x v="125"/>
    <s v="Administración"/>
    <m/>
    <m/>
    <m/>
    <m/>
    <m/>
    <m/>
    <m/>
  </r>
  <r>
    <d v="2021-02-11T00:00:00"/>
    <x v="2"/>
    <x v="19"/>
    <x v="19"/>
    <n v="-5000"/>
    <n v="0"/>
    <n v="5000"/>
    <x v="12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2T00:00:00"/>
    <x v="2"/>
    <x v="0"/>
    <x v="0"/>
    <n v="29643"/>
    <n v="29643"/>
    <n v="0"/>
    <x v="96"/>
    <s v="Administración"/>
    <m/>
    <m/>
    <m/>
    <m/>
    <m/>
    <m/>
    <m/>
  </r>
  <r>
    <d v="2021-02-12T00:00:00"/>
    <x v="2"/>
    <x v="19"/>
    <x v="19"/>
    <n v="-29643"/>
    <n v="0"/>
    <n v="29643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2T00:00:00"/>
    <x v="2"/>
    <x v="0"/>
    <x v="0"/>
    <n v="25000"/>
    <n v="25000"/>
    <n v="0"/>
    <x v="126"/>
    <s v="Administración"/>
    <m/>
    <m/>
    <m/>
    <m/>
    <m/>
    <m/>
    <m/>
  </r>
  <r>
    <d v="2021-02-12T00:00:00"/>
    <x v="2"/>
    <x v="19"/>
    <x v="19"/>
    <n v="-25000"/>
    <n v="0"/>
    <n v="25000"/>
    <x v="12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2T00:00:00"/>
    <x v="2"/>
    <x v="0"/>
    <x v="0"/>
    <n v="20000"/>
    <n v="20000"/>
    <n v="0"/>
    <x v="127"/>
    <s v="Administración"/>
    <m/>
    <m/>
    <m/>
    <m/>
    <m/>
    <m/>
    <m/>
  </r>
  <r>
    <d v="2021-02-12T00:00:00"/>
    <x v="2"/>
    <x v="19"/>
    <x v="19"/>
    <n v="-20000"/>
    <n v="0"/>
    <n v="20000"/>
    <x v="12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5T00:00:00"/>
    <x v="2"/>
    <x v="0"/>
    <x v="0"/>
    <n v="50000"/>
    <n v="50000"/>
    <n v="0"/>
    <x v="128"/>
    <s v="Administración"/>
    <m/>
    <m/>
    <m/>
    <m/>
    <m/>
    <m/>
    <m/>
  </r>
  <r>
    <d v="2021-02-15T00:00:00"/>
    <x v="2"/>
    <x v="20"/>
    <x v="20"/>
    <n v="-50000"/>
    <n v="0"/>
    <n v="50000"/>
    <x v="12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5T00:00:00"/>
    <x v="2"/>
    <x v="39"/>
    <x v="38"/>
    <n v="255000"/>
    <n v="255000"/>
    <n v="0"/>
    <x v="129"/>
    <s v="Administración"/>
    <m/>
    <m/>
    <m/>
    <m/>
    <m/>
    <m/>
    <m/>
  </r>
  <r>
    <d v="2021-02-15T00:00:00"/>
    <x v="2"/>
    <x v="0"/>
    <x v="0"/>
    <n v="-255000"/>
    <n v="0"/>
    <n v="255000"/>
    <x v="12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5T00:00:00"/>
    <x v="2"/>
    <x v="40"/>
    <x v="39"/>
    <n v="55360"/>
    <n v="55360"/>
    <n v="0"/>
    <x v="130"/>
    <s v="Administración"/>
    <m/>
    <m/>
    <m/>
    <m/>
    <m/>
    <m/>
    <m/>
  </r>
  <r>
    <d v="2021-02-15T00:00:00"/>
    <x v="2"/>
    <x v="0"/>
    <x v="0"/>
    <n v="-55360"/>
    <n v="0"/>
    <n v="55360"/>
    <x v="13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5T00:00:00"/>
    <x v="2"/>
    <x v="11"/>
    <x v="11"/>
    <n v="50000"/>
    <n v="50000"/>
    <n v="0"/>
    <x v="131"/>
    <s v="Administración"/>
    <m/>
    <m/>
    <m/>
    <m/>
    <m/>
    <m/>
    <m/>
  </r>
  <r>
    <d v="2021-02-15T00:00:00"/>
    <x v="2"/>
    <x v="0"/>
    <x v="0"/>
    <n v="-50000"/>
    <n v="0"/>
    <n v="50000"/>
    <x v="13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5T00:00:00"/>
    <x v="2"/>
    <x v="0"/>
    <x v="0"/>
    <n v="25000"/>
    <n v="25000"/>
    <n v="0"/>
    <x v="132"/>
    <s v="Administración"/>
    <m/>
    <m/>
    <m/>
    <m/>
    <m/>
    <m/>
    <m/>
  </r>
  <r>
    <d v="2021-02-15T00:00:00"/>
    <x v="2"/>
    <x v="19"/>
    <x v="19"/>
    <n v="-25000"/>
    <n v="0"/>
    <n v="25000"/>
    <x v="13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5T00:00:00"/>
    <x v="2"/>
    <x v="0"/>
    <x v="0"/>
    <n v="20000"/>
    <n v="20000"/>
    <n v="0"/>
    <x v="133"/>
    <s v="Administración"/>
    <m/>
    <m/>
    <m/>
    <m/>
    <m/>
    <m/>
    <m/>
  </r>
  <r>
    <d v="2021-02-15T00:00:00"/>
    <x v="2"/>
    <x v="24"/>
    <x v="24"/>
    <n v="-20000"/>
    <n v="0"/>
    <n v="20000"/>
    <x v="13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5T00:00:00"/>
    <x v="2"/>
    <x v="29"/>
    <x v="29"/>
    <n v="42525"/>
    <n v="42525"/>
    <n v="0"/>
    <x v="41"/>
    <s v="Administración"/>
    <m/>
    <m/>
    <m/>
    <m/>
    <m/>
    <m/>
    <m/>
  </r>
  <r>
    <d v="2021-02-15T00:00:00"/>
    <x v="2"/>
    <x v="0"/>
    <x v="0"/>
    <n v="-42525"/>
    <m/>
    <n v="42525"/>
    <x v="4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5T00:00:00"/>
    <x v="2"/>
    <x v="0"/>
    <x v="0"/>
    <n v="50000"/>
    <n v="50000"/>
    <n v="0"/>
    <x v="77"/>
    <s v="Administración"/>
    <m/>
    <m/>
    <m/>
    <m/>
    <m/>
    <m/>
    <m/>
  </r>
  <r>
    <d v="2021-02-15T00:00:00"/>
    <x v="2"/>
    <x v="6"/>
    <x v="6"/>
    <n v="-50000"/>
    <n v="0"/>
    <n v="50000"/>
    <x v="7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5T00:00:00"/>
    <x v="2"/>
    <x v="0"/>
    <x v="0"/>
    <n v="10000"/>
    <n v="10000"/>
    <n v="0"/>
    <x v="78"/>
    <s v="Administración"/>
    <m/>
    <m/>
    <m/>
    <m/>
    <m/>
    <m/>
    <m/>
  </r>
  <r>
    <d v="2021-02-15T00:00:00"/>
    <x v="2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5T00:00:00"/>
    <x v="2"/>
    <x v="0"/>
    <x v="0"/>
    <n v="5000"/>
    <n v="5000"/>
    <n v="0"/>
    <x v="134"/>
    <s v="Administración"/>
    <m/>
    <m/>
    <m/>
    <m/>
    <m/>
    <m/>
    <m/>
  </r>
  <r>
    <d v="2021-02-15T00:00:00"/>
    <x v="2"/>
    <x v="19"/>
    <x v="19"/>
    <n v="-5000"/>
    <n v="0"/>
    <n v="5000"/>
    <x v="13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5T00:00:00"/>
    <x v="2"/>
    <x v="0"/>
    <x v="0"/>
    <n v="10000"/>
    <n v="10000"/>
    <n v="0"/>
    <x v="117"/>
    <s v="Administración"/>
    <m/>
    <m/>
    <m/>
    <m/>
    <m/>
    <m/>
    <m/>
  </r>
  <r>
    <d v="2021-02-15T00:00:00"/>
    <x v="2"/>
    <x v="19"/>
    <x v="19"/>
    <n v="-10000"/>
    <n v="0"/>
    <n v="10000"/>
    <x v="11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5T00:00:00"/>
    <x v="2"/>
    <x v="0"/>
    <x v="0"/>
    <n v="10000"/>
    <n v="10000"/>
    <n v="0"/>
    <x v="135"/>
    <s v="Administración"/>
    <m/>
    <m/>
    <m/>
    <m/>
    <m/>
    <m/>
    <m/>
  </r>
  <r>
    <d v="2021-02-15T00:00:00"/>
    <x v="2"/>
    <x v="19"/>
    <x v="19"/>
    <n v="-10000"/>
    <n v="0"/>
    <n v="10000"/>
    <x v="13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5T00:00:00"/>
    <x v="2"/>
    <x v="0"/>
    <x v="0"/>
    <n v="16000"/>
    <n v="16000"/>
    <n v="0"/>
    <x v="83"/>
    <s v="Administración"/>
    <m/>
    <m/>
    <m/>
    <m/>
    <m/>
    <m/>
    <m/>
  </r>
  <r>
    <d v="2021-02-15T00:00:00"/>
    <x v="2"/>
    <x v="19"/>
    <x v="19"/>
    <n v="-16000"/>
    <n v="0"/>
    <n v="16000"/>
    <x v="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5T00:00:00"/>
    <x v="2"/>
    <x v="0"/>
    <x v="0"/>
    <n v="10000"/>
    <n v="10000"/>
    <n v="0"/>
    <x v="98"/>
    <s v="Administración"/>
    <m/>
    <m/>
    <m/>
    <m/>
    <m/>
    <m/>
    <m/>
  </r>
  <r>
    <d v="2021-02-15T00:00:00"/>
    <x v="2"/>
    <x v="19"/>
    <x v="19"/>
    <n v="-10000"/>
    <n v="0"/>
    <n v="10000"/>
    <x v="9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5T00:00:00"/>
    <x v="2"/>
    <x v="0"/>
    <x v="0"/>
    <n v="128000"/>
    <n v="128000"/>
    <n v="0"/>
    <x v="136"/>
    <s v="Administración"/>
    <m/>
    <m/>
    <m/>
    <m/>
    <m/>
    <m/>
    <m/>
  </r>
  <r>
    <d v="2021-02-15T00:00:00"/>
    <x v="2"/>
    <x v="41"/>
    <x v="40"/>
    <n v="-128000"/>
    <n v="0"/>
    <n v="128000"/>
    <x v="13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6T00:00:00"/>
    <x v="2"/>
    <x v="0"/>
    <x v="0"/>
    <n v="10000"/>
    <n v="10000"/>
    <n v="0"/>
    <x v="92"/>
    <s v="Administración"/>
    <m/>
    <m/>
    <m/>
    <m/>
    <m/>
    <m/>
    <m/>
  </r>
  <r>
    <d v="2021-02-16T00:00:00"/>
    <x v="2"/>
    <x v="19"/>
    <x v="19"/>
    <n v="-10000"/>
    <n v="0"/>
    <n v="10000"/>
    <x v="9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6T00:00:00"/>
    <x v="2"/>
    <x v="27"/>
    <x v="27"/>
    <n v="20990"/>
    <n v="20990"/>
    <n v="0"/>
    <x v="40"/>
    <s v="Administración"/>
    <m/>
    <m/>
    <m/>
    <m/>
    <m/>
    <m/>
    <m/>
  </r>
  <r>
    <d v="2021-02-16T00:00:00"/>
    <x v="2"/>
    <x v="0"/>
    <x v="0"/>
    <n v="-20990"/>
    <n v="0"/>
    <n v="20990"/>
    <x v="4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6T00:00:00"/>
    <x v="2"/>
    <x v="0"/>
    <x v="0"/>
    <n v="42181"/>
    <n v="42181"/>
    <n v="0"/>
    <x v="137"/>
    <s v="Administración"/>
    <m/>
    <m/>
    <m/>
    <m/>
    <m/>
    <m/>
    <m/>
  </r>
  <r>
    <d v="2021-02-16T00:00:00"/>
    <x v="2"/>
    <x v="19"/>
    <x v="19"/>
    <n v="-42181"/>
    <n v="0"/>
    <n v="42181"/>
    <x v="13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7T00:00:00"/>
    <x v="2"/>
    <x v="0"/>
    <x v="0"/>
    <n v="3000"/>
    <n v="3000"/>
    <n v="0"/>
    <x v="115"/>
    <s v="Administración"/>
    <m/>
    <m/>
    <m/>
    <m/>
    <m/>
    <m/>
    <m/>
  </r>
  <r>
    <d v="2021-02-17T00:00:00"/>
    <x v="2"/>
    <x v="19"/>
    <x v="19"/>
    <n v="-3000"/>
    <n v="0"/>
    <n v="3000"/>
    <x v="1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8T00:00:00"/>
    <x v="2"/>
    <x v="0"/>
    <x v="0"/>
    <n v="19678"/>
    <n v="19678"/>
    <n v="0"/>
    <x v="138"/>
    <s v="Administración"/>
    <m/>
    <m/>
    <m/>
    <m/>
    <m/>
    <m/>
    <m/>
  </r>
  <r>
    <d v="2021-02-18T00:00:00"/>
    <x v="2"/>
    <x v="19"/>
    <x v="19"/>
    <n v="-19678"/>
    <n v="0"/>
    <n v="19678"/>
    <x v="13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8T00:00:00"/>
    <x v="2"/>
    <x v="0"/>
    <x v="0"/>
    <n v="5000"/>
    <n v="5000"/>
    <n v="0"/>
    <x v="123"/>
    <s v="Administración"/>
    <m/>
    <m/>
    <m/>
    <m/>
    <m/>
    <m/>
    <m/>
  </r>
  <r>
    <d v="2021-02-18T00:00:00"/>
    <x v="2"/>
    <x v="19"/>
    <x v="19"/>
    <n v="-5000"/>
    <n v="0"/>
    <n v="5000"/>
    <x v="12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9T00:00:00"/>
    <x v="2"/>
    <x v="0"/>
    <x v="0"/>
    <n v="20000"/>
    <n v="20000"/>
    <n v="0"/>
    <x v="139"/>
    <s v="Administración"/>
    <m/>
    <m/>
    <m/>
    <m/>
    <m/>
    <m/>
    <m/>
  </r>
  <r>
    <d v="2021-02-19T00:00:00"/>
    <x v="2"/>
    <x v="19"/>
    <x v="19"/>
    <n v="-20000"/>
    <n v="0"/>
    <n v="20000"/>
    <x v="13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9T00:00:00"/>
    <x v="2"/>
    <x v="0"/>
    <x v="0"/>
    <n v="25000"/>
    <n v="25000"/>
    <n v="0"/>
    <x v="140"/>
    <s v="Administración"/>
    <m/>
    <m/>
    <m/>
    <m/>
    <m/>
    <m/>
    <m/>
  </r>
  <r>
    <d v="2021-02-19T00:00:00"/>
    <x v="2"/>
    <x v="19"/>
    <x v="19"/>
    <n v="-25000"/>
    <n v="0"/>
    <n v="25000"/>
    <x v="14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9T00:00:00"/>
    <x v="2"/>
    <x v="0"/>
    <x v="0"/>
    <n v="15000"/>
    <n v="15000"/>
    <n v="0"/>
    <x v="141"/>
    <s v="Administración"/>
    <m/>
    <m/>
    <m/>
    <m/>
    <m/>
    <m/>
    <m/>
  </r>
  <r>
    <d v="2021-02-19T00:00:00"/>
    <x v="2"/>
    <x v="6"/>
    <x v="6"/>
    <n v="-15000"/>
    <n v="0"/>
    <n v="15000"/>
    <x v="14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19T00:00:00"/>
    <x v="2"/>
    <x v="0"/>
    <x v="0"/>
    <n v="15000"/>
    <n v="15000"/>
    <n v="0"/>
    <x v="142"/>
    <s v="Administración"/>
    <m/>
    <m/>
    <m/>
    <m/>
    <m/>
    <m/>
    <m/>
  </r>
  <r>
    <d v="2021-02-19T00:00:00"/>
    <x v="2"/>
    <x v="6"/>
    <x v="6"/>
    <n v="-15000"/>
    <n v="0"/>
    <n v="15000"/>
    <x v="14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2T00:00:00"/>
    <x v="2"/>
    <x v="0"/>
    <x v="0"/>
    <n v="15000"/>
    <n v="15000"/>
    <n v="0"/>
    <x v="143"/>
    <s v="Administración"/>
    <m/>
    <m/>
    <m/>
    <m/>
    <m/>
    <m/>
    <m/>
  </r>
  <r>
    <d v="2021-02-22T00:00:00"/>
    <x v="2"/>
    <x v="19"/>
    <x v="19"/>
    <n v="-15000"/>
    <n v="0"/>
    <n v="15000"/>
    <x v="14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2T00:00:00"/>
    <x v="2"/>
    <x v="0"/>
    <x v="0"/>
    <n v="15000"/>
    <n v="15000"/>
    <n v="0"/>
    <x v="144"/>
    <s v="Administración"/>
    <m/>
    <m/>
    <m/>
    <m/>
    <m/>
    <m/>
    <m/>
  </r>
  <r>
    <d v="2021-02-22T00:00:00"/>
    <x v="2"/>
    <x v="19"/>
    <x v="19"/>
    <n v="-15000"/>
    <n v="0"/>
    <n v="15000"/>
    <x v="1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2T00:00:00"/>
    <x v="2"/>
    <x v="0"/>
    <x v="0"/>
    <n v="10000"/>
    <n v="10000"/>
    <n v="0"/>
    <x v="78"/>
    <s v="Administración"/>
    <m/>
    <m/>
    <m/>
    <m/>
    <m/>
    <m/>
    <m/>
  </r>
  <r>
    <d v="2021-02-22T00:00:00"/>
    <x v="2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2T00:00:00"/>
    <x v="2"/>
    <x v="0"/>
    <x v="0"/>
    <n v="10000"/>
    <n v="10000"/>
    <n v="0"/>
    <x v="117"/>
    <s v="Administración"/>
    <m/>
    <m/>
    <m/>
    <m/>
    <m/>
    <m/>
    <m/>
  </r>
  <r>
    <d v="2021-02-22T00:00:00"/>
    <x v="2"/>
    <x v="19"/>
    <x v="19"/>
    <n v="-10000"/>
    <n v="0"/>
    <n v="10000"/>
    <x v="11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2T00:00:00"/>
    <x v="2"/>
    <x v="0"/>
    <x v="0"/>
    <n v="10000"/>
    <n v="10000"/>
    <n v="0"/>
    <x v="145"/>
    <s v="Administración"/>
    <m/>
    <m/>
    <m/>
    <m/>
    <m/>
    <m/>
    <m/>
  </r>
  <r>
    <d v="2021-02-22T00:00:00"/>
    <x v="2"/>
    <x v="19"/>
    <x v="19"/>
    <n v="-10000"/>
    <n v="0"/>
    <n v="10000"/>
    <x v="14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2T00:00:00"/>
    <x v="2"/>
    <x v="0"/>
    <x v="0"/>
    <n v="5000"/>
    <n v="5000"/>
    <n v="0"/>
    <x v="134"/>
    <s v="Administración"/>
    <m/>
    <m/>
    <m/>
    <m/>
    <m/>
    <m/>
    <m/>
  </r>
  <r>
    <d v="2021-02-22T00:00:00"/>
    <x v="2"/>
    <x v="19"/>
    <x v="19"/>
    <n v="-5000"/>
    <n v="0"/>
    <n v="5000"/>
    <x v="13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2T00:00:00"/>
    <x v="2"/>
    <x v="0"/>
    <x v="0"/>
    <n v="10000"/>
    <n v="10000"/>
    <n v="0"/>
    <x v="146"/>
    <s v="Administración"/>
    <m/>
    <m/>
    <m/>
    <m/>
    <m/>
    <m/>
    <m/>
  </r>
  <r>
    <d v="2021-02-22T00:00:00"/>
    <x v="2"/>
    <x v="19"/>
    <x v="19"/>
    <n v="-10000"/>
    <n v="0"/>
    <n v="10000"/>
    <x v="14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2T00:00:00"/>
    <x v="2"/>
    <x v="0"/>
    <x v="0"/>
    <n v="8000"/>
    <n v="8000"/>
    <n v="0"/>
    <x v="147"/>
    <s v="Administración"/>
    <m/>
    <m/>
    <m/>
    <m/>
    <m/>
    <m/>
    <m/>
  </r>
  <r>
    <d v="2021-02-22T00:00:00"/>
    <x v="2"/>
    <x v="19"/>
    <x v="19"/>
    <n v="-8000"/>
    <n v="0"/>
    <n v="8000"/>
    <x v="14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2T00:00:00"/>
    <x v="2"/>
    <x v="0"/>
    <x v="0"/>
    <n v="30000"/>
    <n v="30000"/>
    <n v="0"/>
    <x v="148"/>
    <s v="Administración"/>
    <m/>
    <m/>
    <m/>
    <m/>
    <m/>
    <m/>
    <m/>
  </r>
  <r>
    <d v="2021-02-22T00:00:00"/>
    <x v="2"/>
    <x v="19"/>
    <x v="19"/>
    <n v="-30000"/>
    <n v="0"/>
    <n v="30000"/>
    <x v="14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2T00:00:00"/>
    <x v="2"/>
    <x v="0"/>
    <x v="0"/>
    <n v="5000"/>
    <n v="5000"/>
    <n v="0"/>
    <x v="107"/>
    <s v="Administración"/>
    <m/>
    <m/>
    <m/>
    <m/>
    <m/>
    <m/>
    <m/>
  </r>
  <r>
    <d v="2021-02-22T00:00:00"/>
    <x v="2"/>
    <x v="19"/>
    <x v="19"/>
    <n v="-5000"/>
    <n v="0"/>
    <n v="5000"/>
    <x v="10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3T00:00:00"/>
    <x v="2"/>
    <x v="0"/>
    <x v="0"/>
    <n v="206000"/>
    <n v="206000"/>
    <n v="0"/>
    <x v="149"/>
    <s v="Administración"/>
    <m/>
    <m/>
    <m/>
    <m/>
    <m/>
    <m/>
    <m/>
  </r>
  <r>
    <d v="2021-02-23T00:00:00"/>
    <x v="2"/>
    <x v="19"/>
    <x v="19"/>
    <n v="-206000"/>
    <n v="0"/>
    <n v="206000"/>
    <x v="14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4T00:00:00"/>
    <x v="2"/>
    <x v="0"/>
    <x v="0"/>
    <n v="59286"/>
    <n v="59286"/>
    <n v="0"/>
    <x v="150"/>
    <s v="Administración"/>
    <m/>
    <m/>
    <m/>
    <m/>
    <m/>
    <m/>
    <m/>
  </r>
  <r>
    <d v="2021-02-24T00:00:00"/>
    <x v="2"/>
    <x v="19"/>
    <x v="19"/>
    <n v="-59286"/>
    <n v="0"/>
    <n v="59286"/>
    <x v="15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5T00:00:00"/>
    <x v="2"/>
    <x v="31"/>
    <x v="31"/>
    <n v="50253"/>
    <n v="50253"/>
    <n v="0"/>
    <x v="151"/>
    <s v="Administración"/>
    <m/>
    <m/>
    <m/>
    <m/>
    <m/>
    <m/>
    <m/>
  </r>
  <r>
    <d v="2021-02-25T00:00:00"/>
    <x v="2"/>
    <x v="0"/>
    <x v="0"/>
    <n v="-50253"/>
    <n v="0"/>
    <n v="50253"/>
    <x v="15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5T00:00:00"/>
    <x v="2"/>
    <x v="0"/>
    <x v="0"/>
    <n v="20000"/>
    <n v="20000"/>
    <n v="0"/>
    <x v="152"/>
    <s v="Administración"/>
    <m/>
    <m/>
    <m/>
    <m/>
    <m/>
    <m/>
    <m/>
  </r>
  <r>
    <d v="2021-02-25T00:00:00"/>
    <x v="2"/>
    <x v="19"/>
    <x v="19"/>
    <n v="-20000"/>
    <n v="0"/>
    <n v="20000"/>
    <x v="15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5T00:00:00"/>
    <x v="2"/>
    <x v="0"/>
    <x v="0"/>
    <n v="2000000"/>
    <n v="2000000"/>
    <n v="0"/>
    <x v="153"/>
    <s v="Administración"/>
    <m/>
    <m/>
    <m/>
    <m/>
    <m/>
    <m/>
    <m/>
  </r>
  <r>
    <d v="2021-02-25T00:00:00"/>
    <x v="2"/>
    <x v="6"/>
    <x v="6"/>
    <n v="-2000000"/>
    <n v="0"/>
    <n v="2000000"/>
    <x v="15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6T00:00:00"/>
    <x v="2"/>
    <x v="34"/>
    <x v="34"/>
    <n v="477893"/>
    <n v="477893"/>
    <n v="0"/>
    <x v="154"/>
    <s v="Administración"/>
    <m/>
    <m/>
    <m/>
    <m/>
    <m/>
    <m/>
    <m/>
  </r>
  <r>
    <d v="2021-02-26T00:00:00"/>
    <x v="2"/>
    <x v="0"/>
    <x v="0"/>
    <n v="-477893"/>
    <n v="0"/>
    <n v="477893"/>
    <x v="15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6T00:00:00"/>
    <x v="2"/>
    <x v="39"/>
    <x v="38"/>
    <n v="200000"/>
    <n v="200000"/>
    <n v="0"/>
    <x v="155"/>
    <s v="Administración"/>
    <m/>
    <m/>
    <m/>
    <m/>
    <m/>
    <m/>
    <m/>
  </r>
  <r>
    <d v="2021-02-26T00:00:00"/>
    <x v="2"/>
    <x v="0"/>
    <x v="0"/>
    <n v="-200000"/>
    <n v="0"/>
    <n v="200000"/>
    <x v="15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6T00:00:00"/>
    <x v="2"/>
    <x v="11"/>
    <x v="11"/>
    <n v="735000"/>
    <n v="735000"/>
    <n v="0"/>
    <x v="156"/>
    <s v="Administración"/>
    <m/>
    <m/>
    <m/>
    <m/>
    <m/>
    <m/>
    <m/>
  </r>
  <r>
    <d v="2021-02-26T00:00:00"/>
    <x v="2"/>
    <x v="0"/>
    <x v="0"/>
    <n v="-735000"/>
    <n v="0"/>
    <n v="735000"/>
    <x v="15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6T00:00:00"/>
    <x v="2"/>
    <x v="11"/>
    <x v="11"/>
    <n v="780885"/>
    <n v="780885"/>
    <n v="0"/>
    <x v="157"/>
    <s v="Administración"/>
    <m/>
    <m/>
    <m/>
    <m/>
    <m/>
    <m/>
    <m/>
  </r>
  <r>
    <d v="2021-02-26T00:00:00"/>
    <x v="2"/>
    <x v="0"/>
    <x v="0"/>
    <n v="-780885"/>
    <n v="0"/>
    <n v="780885"/>
    <x v="15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6T00:00:00"/>
    <x v="2"/>
    <x v="11"/>
    <x v="11"/>
    <n v="516342"/>
    <n v="516342"/>
    <n v="0"/>
    <x v="158"/>
    <s v="Administración"/>
    <m/>
    <m/>
    <m/>
    <m/>
    <m/>
    <m/>
    <m/>
  </r>
  <r>
    <d v="2021-02-26T00:00:00"/>
    <x v="2"/>
    <x v="0"/>
    <x v="0"/>
    <n v="-516342"/>
    <n v="0"/>
    <n v="516342"/>
    <x v="15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6T00:00:00"/>
    <x v="2"/>
    <x v="11"/>
    <x v="11"/>
    <n v="247407"/>
    <n v="247407"/>
    <n v="0"/>
    <x v="159"/>
    <s v="Administración"/>
    <m/>
    <m/>
    <m/>
    <m/>
    <m/>
    <m/>
    <m/>
  </r>
  <r>
    <d v="2021-02-26T00:00:00"/>
    <x v="2"/>
    <x v="0"/>
    <x v="0"/>
    <n v="-247407"/>
    <n v="0"/>
    <n v="247407"/>
    <x v="15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6T00:00:00"/>
    <x v="2"/>
    <x v="11"/>
    <x v="11"/>
    <n v="1118729"/>
    <n v="1118729"/>
    <n v="0"/>
    <x v="160"/>
    <s v="Administración"/>
    <m/>
    <m/>
    <m/>
    <m/>
    <m/>
    <m/>
    <m/>
  </r>
  <r>
    <d v="2021-02-26T00:00:00"/>
    <x v="2"/>
    <x v="0"/>
    <x v="0"/>
    <n v="-1118729"/>
    <n v="0"/>
    <n v="1118729"/>
    <x v="16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6T00:00:00"/>
    <x v="2"/>
    <x v="0"/>
    <x v="0"/>
    <n v="20000"/>
    <n v="20000"/>
    <n v="0"/>
    <x v="161"/>
    <s v="Administración"/>
    <m/>
    <m/>
    <m/>
    <m/>
    <m/>
    <m/>
    <m/>
  </r>
  <r>
    <d v="2021-02-26T00:00:00"/>
    <x v="2"/>
    <x v="19"/>
    <x v="19"/>
    <n v="-20000"/>
    <n v="0"/>
    <n v="20000"/>
    <x v="1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6T00:00:00"/>
    <x v="2"/>
    <x v="0"/>
    <x v="0"/>
    <n v="20000"/>
    <n v="20000"/>
    <n v="0"/>
    <x v="162"/>
    <s v="Administración"/>
    <m/>
    <m/>
    <m/>
    <m/>
    <m/>
    <m/>
    <m/>
  </r>
  <r>
    <d v="2021-02-26T00:00:00"/>
    <x v="2"/>
    <x v="19"/>
    <x v="19"/>
    <n v="-20000"/>
    <n v="0"/>
    <n v="20000"/>
    <x v="16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6T00:00:00"/>
    <x v="2"/>
    <x v="0"/>
    <x v="0"/>
    <n v="50000"/>
    <n v="50000"/>
    <n v="0"/>
    <x v="163"/>
    <s v="Administración"/>
    <m/>
    <m/>
    <m/>
    <m/>
    <m/>
    <m/>
    <m/>
  </r>
  <r>
    <d v="2021-02-26T00:00:00"/>
    <x v="2"/>
    <x v="19"/>
    <x v="19"/>
    <n v="-50000"/>
    <n v="0"/>
    <n v="50000"/>
    <x v="16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6T00:00:00"/>
    <x v="2"/>
    <x v="16"/>
    <x v="16"/>
    <n v="12000"/>
    <n v="12000"/>
    <n v="0"/>
    <x v="164"/>
    <s v="Administración"/>
    <m/>
    <m/>
    <m/>
    <m/>
    <m/>
    <m/>
    <m/>
  </r>
  <r>
    <d v="2021-02-26T00:00:00"/>
    <x v="2"/>
    <x v="16"/>
    <x v="16"/>
    <n v="5000"/>
    <n v="5000"/>
    <n v="0"/>
    <x v="165"/>
    <s v="Administración"/>
    <m/>
    <m/>
    <m/>
    <m/>
    <m/>
    <m/>
    <m/>
  </r>
  <r>
    <d v="2021-02-26T00:00:00"/>
    <x v="2"/>
    <x v="16"/>
    <x v="16"/>
    <n v="42000"/>
    <n v="42000"/>
    <n v="0"/>
    <x v="166"/>
    <s v="Administración"/>
    <m/>
    <m/>
    <m/>
    <m/>
    <m/>
    <m/>
    <m/>
  </r>
  <r>
    <d v="2021-02-26T00:00:00"/>
    <x v="2"/>
    <x v="16"/>
    <x v="16"/>
    <n v="30000"/>
    <n v="30000"/>
    <n v="0"/>
    <x v="167"/>
    <s v="Administración"/>
    <m/>
    <m/>
    <m/>
    <m/>
    <m/>
    <m/>
    <m/>
  </r>
  <r>
    <d v="2021-02-26T00:00:00"/>
    <x v="2"/>
    <x v="16"/>
    <x v="16"/>
    <n v="3000"/>
    <n v="3000"/>
    <n v="0"/>
    <x v="168"/>
    <s v="Administración"/>
    <m/>
    <m/>
    <m/>
    <m/>
    <m/>
    <m/>
    <m/>
  </r>
  <r>
    <d v="2021-02-26T00:00:00"/>
    <x v="2"/>
    <x v="19"/>
    <x v="19"/>
    <n v="-12000"/>
    <n v="0"/>
    <n v="12000"/>
    <x v="164"/>
    <s v="Administración"/>
    <m/>
    <m/>
    <m/>
    <m/>
    <m/>
    <m/>
    <m/>
  </r>
  <r>
    <d v="2021-02-26T00:00:00"/>
    <x v="2"/>
    <x v="19"/>
    <x v="19"/>
    <n v="-5000"/>
    <n v="0"/>
    <n v="5000"/>
    <x v="165"/>
    <s v="Administración"/>
    <m/>
    <m/>
    <m/>
    <m/>
    <m/>
    <m/>
    <m/>
  </r>
  <r>
    <d v="2021-02-26T00:00:00"/>
    <x v="2"/>
    <x v="19"/>
    <x v="19"/>
    <n v="-42000"/>
    <n v="0"/>
    <n v="42000"/>
    <x v="166"/>
    <s v="Administración"/>
    <m/>
    <m/>
    <m/>
    <m/>
    <m/>
    <m/>
    <m/>
  </r>
  <r>
    <d v="2021-02-26T00:00:00"/>
    <x v="2"/>
    <x v="19"/>
    <x v="19"/>
    <n v="-30000"/>
    <n v="0"/>
    <n v="30000"/>
    <x v="167"/>
    <s v="Administración"/>
    <m/>
    <m/>
    <m/>
    <m/>
    <m/>
    <m/>
    <m/>
  </r>
  <r>
    <d v="2021-02-26T00:00:00"/>
    <x v="2"/>
    <x v="19"/>
    <x v="19"/>
    <n v="-3000"/>
    <n v="0"/>
    <n v="3000"/>
    <x v="16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8T00:00:00"/>
    <x v="2"/>
    <x v="28"/>
    <x v="28"/>
    <n v="338983"/>
    <n v="338983"/>
    <n v="0"/>
    <x v="169"/>
    <s v="Administración"/>
    <m/>
    <m/>
    <m/>
    <m/>
    <m/>
    <m/>
    <m/>
  </r>
  <r>
    <d v="2021-02-28T00:00:00"/>
    <x v="2"/>
    <x v="9"/>
    <x v="9"/>
    <n v="-38983"/>
    <n v="0"/>
    <n v="38983"/>
    <x v="169"/>
    <s v="Administración"/>
    <m/>
    <m/>
    <m/>
    <m/>
    <m/>
    <m/>
    <m/>
  </r>
  <r>
    <d v="2021-02-28T00:00:00"/>
    <x v="2"/>
    <x v="0"/>
    <x v="0"/>
    <n v="-300000"/>
    <n v="0"/>
    <n v="300000"/>
    <x v="16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2-28T00:00:00"/>
    <x v="2"/>
    <x v="36"/>
    <x v="35"/>
    <n v="3097237"/>
    <n v="3097237"/>
    <n v="0"/>
    <x v="72"/>
    <s v="Administración"/>
    <m/>
    <m/>
    <m/>
    <m/>
    <m/>
    <m/>
    <m/>
  </r>
  <r>
    <d v="2021-02-28T00:00:00"/>
    <x v="2"/>
    <x v="37"/>
    <x v="36"/>
    <n v="908849"/>
    <n v="908849"/>
    <n v="0"/>
    <x v="72"/>
    <s v="Administración"/>
    <m/>
    <m/>
    <m/>
    <m/>
    <m/>
    <m/>
    <m/>
  </r>
  <r>
    <d v="2021-02-28T00:00:00"/>
    <x v="2"/>
    <x v="36"/>
    <x v="35"/>
    <n v="51171"/>
    <n v="51171"/>
    <n v="0"/>
    <x v="72"/>
    <s v="Administración"/>
    <m/>
    <m/>
    <m/>
    <m/>
    <m/>
    <m/>
    <m/>
  </r>
  <r>
    <d v="2021-02-28T00:00:00"/>
    <x v="2"/>
    <x v="11"/>
    <x v="11"/>
    <n v="-3398363"/>
    <n v="0"/>
    <n v="3398363"/>
    <x v="72"/>
    <s v="Administración"/>
    <m/>
    <m/>
    <m/>
    <m/>
    <m/>
    <m/>
    <m/>
  </r>
  <r>
    <d v="2021-02-28T00:00:00"/>
    <x v="2"/>
    <x v="10"/>
    <x v="10"/>
    <n v="-405523"/>
    <n v="0"/>
    <n v="405523"/>
    <x v="72"/>
    <s v="Administración"/>
    <m/>
    <m/>
    <m/>
    <m/>
    <m/>
    <m/>
    <m/>
  </r>
  <r>
    <d v="2021-02-28T00:00:00"/>
    <x v="2"/>
    <x v="10"/>
    <x v="10"/>
    <n v="-173849"/>
    <n v="0"/>
    <n v="173849"/>
    <x v="72"/>
    <s v="Administración"/>
    <m/>
    <m/>
    <m/>
    <m/>
    <m/>
    <m/>
    <m/>
  </r>
  <r>
    <d v="2021-02-28T00:00:00"/>
    <x v="2"/>
    <x v="9"/>
    <x v="9"/>
    <n v="-16642"/>
    <n v="0"/>
    <n v="16642"/>
    <x v="72"/>
    <s v="Administración"/>
    <m/>
    <m/>
    <m/>
    <m/>
    <m/>
    <m/>
    <m/>
  </r>
  <r>
    <d v="2021-02-28T00:00:00"/>
    <x v="2"/>
    <x v="36"/>
    <x v="35"/>
    <n v="-12880"/>
    <n v="0"/>
    <n v="12880"/>
    <x v="170"/>
    <s v="Administración"/>
    <m/>
    <m/>
    <m/>
    <m/>
    <m/>
    <m/>
    <m/>
  </r>
  <r>
    <d v="2021-02-28T00:00:00"/>
    <x v="2"/>
    <x v="11"/>
    <x v="11"/>
    <n v="-50000"/>
    <m/>
    <n v="50000"/>
    <x v="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22"/>
    <x v="22"/>
    <n v="8495"/>
    <n v="8495"/>
    <n v="0"/>
    <x v="9"/>
    <s v="Administración"/>
    <m/>
    <m/>
    <m/>
    <m/>
    <m/>
    <m/>
    <m/>
  </r>
  <r>
    <d v="2021-03-01T00:00:00"/>
    <x v="3"/>
    <x v="0"/>
    <x v="0"/>
    <n v="-8495"/>
    <m/>
    <n v="8495"/>
    <x v="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30000"/>
    <n v="30000"/>
    <n v="0"/>
    <x v="73"/>
    <s v="Administración"/>
    <m/>
    <m/>
    <m/>
    <m/>
    <m/>
    <m/>
    <m/>
  </r>
  <r>
    <d v="2021-03-01T00:00:00"/>
    <x v="3"/>
    <x v="19"/>
    <x v="19"/>
    <n v="-30000"/>
    <n v="0"/>
    <n v="30000"/>
    <x v="7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10000"/>
    <n v="10000"/>
    <n v="0"/>
    <x v="78"/>
    <s v="Administración"/>
    <m/>
    <m/>
    <m/>
    <m/>
    <m/>
    <m/>
    <m/>
  </r>
  <r>
    <d v="2021-03-01T00:00:00"/>
    <x v="3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3000"/>
    <n v="3000"/>
    <n v="0"/>
    <x v="171"/>
    <s v="Administración"/>
    <m/>
    <m/>
    <m/>
    <m/>
    <m/>
    <m/>
    <m/>
  </r>
  <r>
    <d v="2021-03-01T00:00:00"/>
    <x v="3"/>
    <x v="19"/>
    <x v="19"/>
    <n v="-3000"/>
    <n v="0"/>
    <n v="3000"/>
    <x v="17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65000"/>
    <n v="65000"/>
    <n v="0"/>
    <x v="90"/>
    <s v="Administración"/>
    <m/>
    <m/>
    <m/>
    <m/>
    <m/>
    <m/>
    <m/>
  </r>
  <r>
    <d v="2021-03-01T00:00:00"/>
    <x v="3"/>
    <x v="19"/>
    <x v="19"/>
    <n v="-65000"/>
    <n v="0"/>
    <n v="65000"/>
    <x v="9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100000"/>
    <n v="100000"/>
    <n v="0"/>
    <x v="91"/>
    <s v="Administración"/>
    <m/>
    <m/>
    <m/>
    <m/>
    <m/>
    <m/>
    <m/>
  </r>
  <r>
    <d v="2021-03-01T00:00:00"/>
    <x v="3"/>
    <x v="21"/>
    <x v="21"/>
    <n v="-100000"/>
    <n v="0"/>
    <n v="100000"/>
    <x v="9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8000"/>
    <n v="8000"/>
    <n v="0"/>
    <x v="83"/>
    <s v="Administración"/>
    <m/>
    <m/>
    <m/>
    <m/>
    <m/>
    <m/>
    <m/>
  </r>
  <r>
    <d v="2021-03-01T00:00:00"/>
    <x v="3"/>
    <x v="19"/>
    <x v="19"/>
    <n v="-8000"/>
    <n v="0"/>
    <n v="8000"/>
    <x v="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100000"/>
    <n v="100000"/>
    <n v="0"/>
    <x v="172"/>
    <s v="Administración"/>
    <m/>
    <m/>
    <m/>
    <m/>
    <m/>
    <m/>
    <m/>
  </r>
  <r>
    <d v="2021-03-01T00:00:00"/>
    <x v="3"/>
    <x v="19"/>
    <x v="19"/>
    <n v="-100000"/>
    <n v="0"/>
    <n v="100000"/>
    <x v="1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5000"/>
    <n v="5000"/>
    <n v="0"/>
    <x v="173"/>
    <s v="Administración"/>
    <m/>
    <m/>
    <m/>
    <m/>
    <m/>
    <m/>
    <m/>
  </r>
  <r>
    <d v="2021-03-01T00:00:00"/>
    <x v="3"/>
    <x v="19"/>
    <x v="19"/>
    <n v="-5000"/>
    <n v="0"/>
    <n v="5000"/>
    <x v="17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10000"/>
    <n v="10000"/>
    <n v="0"/>
    <x v="114"/>
    <s v="Administración"/>
    <m/>
    <m/>
    <m/>
    <m/>
    <m/>
    <m/>
    <m/>
  </r>
  <r>
    <d v="2021-03-01T00:00:00"/>
    <x v="3"/>
    <x v="19"/>
    <x v="19"/>
    <n v="-10000"/>
    <n v="0"/>
    <n v="10000"/>
    <x v="11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300000"/>
    <n v="300000"/>
    <n v="0"/>
    <x v="174"/>
    <s v="Administración"/>
    <m/>
    <m/>
    <m/>
    <m/>
    <m/>
    <m/>
    <m/>
  </r>
  <r>
    <d v="2021-03-01T00:00:00"/>
    <x v="3"/>
    <x v="19"/>
    <x v="19"/>
    <n v="-300000"/>
    <n v="0"/>
    <n v="300000"/>
    <x v="17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5000"/>
    <n v="5000"/>
    <n v="0"/>
    <x v="134"/>
    <s v="Administración"/>
    <m/>
    <m/>
    <m/>
    <m/>
    <m/>
    <m/>
    <m/>
  </r>
  <r>
    <d v="2021-03-01T00:00:00"/>
    <x v="3"/>
    <x v="19"/>
    <x v="19"/>
    <n v="-5000"/>
    <n v="0"/>
    <n v="5000"/>
    <x v="13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100000"/>
    <n v="100000"/>
    <n v="0"/>
    <x v="84"/>
    <s v="Administración"/>
    <m/>
    <m/>
    <m/>
    <m/>
    <m/>
    <m/>
    <m/>
  </r>
  <r>
    <d v="2021-03-01T00:00:00"/>
    <x v="3"/>
    <x v="19"/>
    <x v="19"/>
    <n v="-100000"/>
    <n v="0"/>
    <n v="100000"/>
    <x v="8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12000"/>
    <n v="12000"/>
    <n v="0"/>
    <x v="86"/>
    <s v="Administración"/>
    <m/>
    <m/>
    <m/>
    <m/>
    <m/>
    <m/>
    <m/>
  </r>
  <r>
    <d v="2021-03-01T00:00:00"/>
    <x v="3"/>
    <x v="19"/>
    <x v="19"/>
    <n v="-12000"/>
    <n v="0"/>
    <n v="12000"/>
    <x v="8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15000"/>
    <n v="15000"/>
    <n v="0"/>
    <x v="85"/>
    <s v="Administración"/>
    <m/>
    <m/>
    <m/>
    <m/>
    <m/>
    <m/>
    <m/>
  </r>
  <r>
    <d v="2021-03-01T00:00:00"/>
    <x v="3"/>
    <x v="19"/>
    <x v="19"/>
    <n v="-15000"/>
    <n v="0"/>
    <n v="15000"/>
    <x v="8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20000"/>
    <n v="20000"/>
    <n v="0"/>
    <x v="175"/>
    <s v="Administración"/>
    <m/>
    <m/>
    <m/>
    <m/>
    <m/>
    <m/>
    <m/>
  </r>
  <r>
    <d v="2021-03-01T00:00:00"/>
    <x v="3"/>
    <x v="6"/>
    <x v="6"/>
    <n v="-20000"/>
    <n v="0"/>
    <n v="20000"/>
    <x v="17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5000"/>
    <n v="5000"/>
    <n v="0"/>
    <x v="176"/>
    <s v="Administración"/>
    <m/>
    <m/>
    <m/>
    <m/>
    <m/>
    <m/>
    <m/>
  </r>
  <r>
    <d v="2021-03-01T00:00:00"/>
    <x v="3"/>
    <x v="24"/>
    <x v="24"/>
    <n v="-5000"/>
    <n v="0"/>
    <n v="5000"/>
    <x v="17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5000"/>
    <n v="5000"/>
    <n v="0"/>
    <x v="177"/>
    <s v="Administración"/>
    <m/>
    <m/>
    <m/>
    <m/>
    <m/>
    <m/>
    <m/>
  </r>
  <r>
    <d v="2021-03-01T00:00:00"/>
    <x v="3"/>
    <x v="24"/>
    <x v="24"/>
    <n v="-5000"/>
    <n v="0"/>
    <n v="5000"/>
    <x v="17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2000"/>
    <n v="2000"/>
    <n v="0"/>
    <x v="178"/>
    <s v="Administración"/>
    <m/>
    <m/>
    <m/>
    <m/>
    <m/>
    <m/>
    <m/>
  </r>
  <r>
    <d v="2021-03-01T00:00:00"/>
    <x v="3"/>
    <x v="24"/>
    <x v="24"/>
    <n v="-2000"/>
    <n v="0"/>
    <n v="2000"/>
    <x v="1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345310"/>
    <n v="345310"/>
    <n v="0"/>
    <x v="179"/>
    <s v="Administración"/>
    <m/>
    <m/>
    <m/>
    <m/>
    <m/>
    <m/>
    <m/>
  </r>
  <r>
    <d v="2021-03-01T00:00:00"/>
    <x v="3"/>
    <x v="19"/>
    <x v="19"/>
    <n v="-345310"/>
    <n v="0"/>
    <n v="345310"/>
    <x v="17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1T00:00:00"/>
    <x v="3"/>
    <x v="0"/>
    <x v="0"/>
    <n v="5000"/>
    <n v="5000"/>
    <n v="0"/>
    <x v="128"/>
    <s v="Administración"/>
    <m/>
    <m/>
    <m/>
    <m/>
    <m/>
    <m/>
    <m/>
  </r>
  <r>
    <d v="2021-03-01T00:00:00"/>
    <x v="3"/>
    <x v="20"/>
    <x v="20"/>
    <n v="-5000"/>
    <n v="0"/>
    <n v="5000"/>
    <x v="12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2T00:00:00"/>
    <x v="3"/>
    <x v="0"/>
    <x v="0"/>
    <n v="19600"/>
    <n v="19600"/>
    <n v="0"/>
    <x v="180"/>
    <s v="Administración"/>
    <m/>
    <m/>
    <m/>
    <m/>
    <m/>
    <m/>
    <m/>
  </r>
  <r>
    <d v="2021-03-02T00:00:00"/>
    <x v="3"/>
    <x v="20"/>
    <x v="20"/>
    <n v="-19600"/>
    <n v="0"/>
    <n v="19600"/>
    <x v="18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2T00:00:00"/>
    <x v="3"/>
    <x v="0"/>
    <x v="0"/>
    <n v="10000"/>
    <n v="10000"/>
    <n v="0"/>
    <x v="89"/>
    <s v="Administración"/>
    <m/>
    <m/>
    <m/>
    <m/>
    <m/>
    <m/>
    <m/>
  </r>
  <r>
    <d v="2021-03-02T00:00:00"/>
    <x v="3"/>
    <x v="20"/>
    <x v="20"/>
    <n v="-10000"/>
    <n v="0"/>
    <n v="10000"/>
    <x v="8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2T00:00:00"/>
    <x v="3"/>
    <x v="0"/>
    <x v="0"/>
    <n v="10000"/>
    <n v="10000"/>
    <n v="0"/>
    <x v="97"/>
    <s v="Administración"/>
    <m/>
    <m/>
    <m/>
    <m/>
    <m/>
    <m/>
    <m/>
  </r>
  <r>
    <d v="2021-03-02T00:00:00"/>
    <x v="3"/>
    <x v="19"/>
    <x v="19"/>
    <n v="-10000"/>
    <n v="0"/>
    <n v="10000"/>
    <x v="9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2T00:00:00"/>
    <x v="3"/>
    <x v="0"/>
    <x v="0"/>
    <n v="10000"/>
    <n v="10000"/>
    <n v="0"/>
    <x v="181"/>
    <s v="Administración"/>
    <m/>
    <m/>
    <m/>
    <m/>
    <m/>
    <m/>
    <m/>
  </r>
  <r>
    <d v="2021-03-02T00:00:00"/>
    <x v="3"/>
    <x v="19"/>
    <x v="19"/>
    <n v="-10000"/>
    <n v="0"/>
    <n v="10000"/>
    <x v="18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2T00:00:00"/>
    <x v="3"/>
    <x v="0"/>
    <x v="0"/>
    <n v="10000"/>
    <n v="10000"/>
    <n v="0"/>
    <x v="182"/>
    <s v="Administración"/>
    <m/>
    <m/>
    <m/>
    <m/>
    <m/>
    <m/>
    <m/>
  </r>
  <r>
    <d v="2021-03-02T00:00:00"/>
    <x v="3"/>
    <x v="19"/>
    <x v="19"/>
    <n v="-10000"/>
    <n v="0"/>
    <n v="10000"/>
    <x v="18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2T00:00:00"/>
    <x v="3"/>
    <x v="0"/>
    <x v="0"/>
    <n v="100000"/>
    <n v="100000"/>
    <n v="0"/>
    <x v="183"/>
    <s v="Administración"/>
    <m/>
    <m/>
    <m/>
    <m/>
    <m/>
    <m/>
    <m/>
  </r>
  <r>
    <d v="2021-03-02T00:00:00"/>
    <x v="3"/>
    <x v="19"/>
    <x v="19"/>
    <n v="-100000"/>
    <n v="0"/>
    <n v="100000"/>
    <x v="1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2T00:00:00"/>
    <x v="3"/>
    <x v="0"/>
    <x v="0"/>
    <n v="15000"/>
    <n v="15000"/>
    <n v="0"/>
    <x v="104"/>
    <s v="Administración"/>
    <m/>
    <m/>
    <m/>
    <m/>
    <m/>
    <m/>
    <m/>
  </r>
  <r>
    <d v="2021-03-02T00:00:00"/>
    <x v="3"/>
    <x v="19"/>
    <x v="19"/>
    <n v="-15000"/>
    <n v="0"/>
    <n v="15000"/>
    <x v="10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2T00:00:00"/>
    <x v="3"/>
    <x v="0"/>
    <x v="0"/>
    <n v="30000"/>
    <n v="30000"/>
    <n v="0"/>
    <x v="18"/>
    <s v="Administración"/>
    <m/>
    <m/>
    <m/>
    <m/>
    <m/>
    <m/>
    <m/>
  </r>
  <r>
    <d v="2021-03-02T00:00:00"/>
    <x v="3"/>
    <x v="6"/>
    <x v="6"/>
    <n v="-30000"/>
    <n v="0"/>
    <n v="30000"/>
    <x v="1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3T00:00:00"/>
    <x v="3"/>
    <x v="0"/>
    <x v="0"/>
    <n v="60000"/>
    <n v="60000"/>
    <n v="0"/>
    <x v="184"/>
    <s v="Administración"/>
    <m/>
    <m/>
    <m/>
    <m/>
    <m/>
    <m/>
    <m/>
  </r>
  <r>
    <d v="2021-03-03T00:00:00"/>
    <x v="3"/>
    <x v="19"/>
    <x v="19"/>
    <n v="-60000"/>
    <n v="0"/>
    <n v="60000"/>
    <x v="18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3T00:00:00"/>
    <x v="3"/>
    <x v="0"/>
    <x v="0"/>
    <n v="15000"/>
    <n v="15000"/>
    <n v="0"/>
    <x v="185"/>
    <s v="Administración"/>
    <m/>
    <m/>
    <m/>
    <m/>
    <m/>
    <m/>
    <m/>
  </r>
  <r>
    <d v="2021-03-03T00:00:00"/>
    <x v="3"/>
    <x v="19"/>
    <x v="19"/>
    <n v="-15000"/>
    <n v="0"/>
    <n v="15000"/>
    <x v="18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3T00:00:00"/>
    <x v="3"/>
    <x v="0"/>
    <x v="0"/>
    <n v="40000"/>
    <n v="40000"/>
    <n v="0"/>
    <x v="186"/>
    <s v="Administración"/>
    <m/>
    <m/>
    <m/>
    <m/>
    <m/>
    <m/>
    <m/>
  </r>
  <r>
    <d v="2021-03-03T00:00:00"/>
    <x v="3"/>
    <x v="19"/>
    <x v="19"/>
    <n v="-40000"/>
    <n v="0"/>
    <n v="40000"/>
    <x v="18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3T00:00:00"/>
    <x v="3"/>
    <x v="0"/>
    <x v="0"/>
    <n v="50000"/>
    <n v="50000"/>
    <n v="0"/>
    <x v="187"/>
    <s v="Administración"/>
    <m/>
    <m/>
    <m/>
    <m/>
    <m/>
    <m/>
    <m/>
  </r>
  <r>
    <d v="2021-03-03T00:00:00"/>
    <x v="3"/>
    <x v="19"/>
    <x v="19"/>
    <n v="-50000"/>
    <n v="0"/>
    <n v="50000"/>
    <x v="18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3T00:00:00"/>
    <x v="3"/>
    <x v="0"/>
    <x v="0"/>
    <n v="40000"/>
    <n v="40000"/>
    <n v="0"/>
    <x v="120"/>
    <s v="Administración"/>
    <m/>
    <m/>
    <m/>
    <m/>
    <m/>
    <m/>
    <m/>
  </r>
  <r>
    <d v="2021-03-03T00:00:00"/>
    <x v="3"/>
    <x v="19"/>
    <x v="19"/>
    <n v="-40000"/>
    <n v="0"/>
    <n v="40000"/>
    <x v="12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3T00:00:00"/>
    <x v="3"/>
    <x v="0"/>
    <x v="0"/>
    <n v="41000"/>
    <n v="41000"/>
    <n v="0"/>
    <x v="188"/>
    <s v="Administración"/>
    <m/>
    <m/>
    <m/>
    <m/>
    <m/>
    <m/>
    <m/>
  </r>
  <r>
    <d v="2021-03-03T00:00:00"/>
    <x v="3"/>
    <x v="19"/>
    <x v="19"/>
    <n v="-41000"/>
    <n v="0"/>
    <n v="41000"/>
    <x v="18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3T00:00:00"/>
    <x v="3"/>
    <x v="0"/>
    <x v="0"/>
    <n v="30000"/>
    <n v="30000"/>
    <n v="0"/>
    <x v="189"/>
    <s v="Administración"/>
    <m/>
    <m/>
    <m/>
    <m/>
    <m/>
    <m/>
    <m/>
  </r>
  <r>
    <d v="2021-03-03T00:00:00"/>
    <x v="3"/>
    <x v="19"/>
    <x v="19"/>
    <n v="-30000"/>
    <n v="0"/>
    <n v="30000"/>
    <x v="18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4T00:00:00"/>
    <x v="3"/>
    <x v="0"/>
    <x v="0"/>
    <n v="5000"/>
    <n v="5000"/>
    <n v="0"/>
    <x v="190"/>
    <s v="Administración"/>
    <m/>
    <m/>
    <m/>
    <m/>
    <m/>
    <m/>
    <m/>
  </r>
  <r>
    <d v="2021-03-04T00:00:00"/>
    <x v="3"/>
    <x v="24"/>
    <x v="24"/>
    <n v="-5000"/>
    <n v="0"/>
    <n v="5000"/>
    <x v="19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4T00:00:00"/>
    <x v="3"/>
    <x v="0"/>
    <x v="0"/>
    <n v="30000"/>
    <n v="30000"/>
    <n v="0"/>
    <x v="191"/>
    <s v="Administración"/>
    <m/>
    <m/>
    <m/>
    <m/>
    <m/>
    <m/>
    <m/>
  </r>
  <r>
    <d v="2021-03-04T00:00:00"/>
    <x v="3"/>
    <x v="19"/>
    <x v="19"/>
    <n v="-30000"/>
    <n v="0"/>
    <n v="30000"/>
    <x v="19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4T00:00:00"/>
    <x v="3"/>
    <x v="38"/>
    <x v="37"/>
    <n v="43012"/>
    <n v="43012"/>
    <n v="0"/>
    <x v="192"/>
    <s v="Administración"/>
    <m/>
    <m/>
    <m/>
    <m/>
    <m/>
    <m/>
    <m/>
  </r>
  <r>
    <d v="2021-03-04T00:00:00"/>
    <x v="3"/>
    <x v="0"/>
    <x v="0"/>
    <n v="-43012"/>
    <n v="0"/>
    <n v="43012"/>
    <x v="19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4T00:00:00"/>
    <x v="3"/>
    <x v="0"/>
    <x v="0"/>
    <n v="9881"/>
    <n v="9881"/>
    <n v="0"/>
    <x v="193"/>
    <s v="Administración"/>
    <m/>
    <m/>
    <m/>
    <m/>
    <m/>
    <m/>
    <m/>
  </r>
  <r>
    <d v="2021-03-04T00:00:00"/>
    <x v="3"/>
    <x v="19"/>
    <x v="19"/>
    <n v="-9881"/>
    <n v="0"/>
    <n v="9881"/>
    <x v="19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4T00:00:00"/>
    <x v="3"/>
    <x v="0"/>
    <x v="0"/>
    <n v="80000"/>
    <n v="80000"/>
    <n v="0"/>
    <x v="194"/>
    <s v="Administración"/>
    <m/>
    <m/>
    <m/>
    <m/>
    <m/>
    <m/>
    <m/>
  </r>
  <r>
    <d v="2021-03-04T00:00:00"/>
    <x v="3"/>
    <x v="19"/>
    <x v="19"/>
    <n v="-80000"/>
    <n v="0"/>
    <n v="80000"/>
    <x v="19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5T00:00:00"/>
    <x v="3"/>
    <x v="25"/>
    <x v="25"/>
    <n v="793274"/>
    <n v="793274"/>
    <n v="0"/>
    <x v="195"/>
    <s v="Administración"/>
    <m/>
    <m/>
    <m/>
    <m/>
    <m/>
    <m/>
    <m/>
  </r>
  <r>
    <d v="2021-03-05T00:00:00"/>
    <x v="3"/>
    <x v="0"/>
    <x v="0"/>
    <n v="-793274"/>
    <n v="0"/>
    <n v="793274"/>
    <x v="19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5T00:00:00"/>
    <x v="3"/>
    <x v="9"/>
    <x v="9"/>
    <n v="55625"/>
    <n v="55625"/>
    <n v="0"/>
    <x v="27"/>
    <s v="Administración"/>
    <m/>
    <m/>
    <m/>
    <m/>
    <m/>
    <m/>
    <m/>
  </r>
  <r>
    <d v="2021-03-05T00:00:00"/>
    <x v="3"/>
    <x v="6"/>
    <x v="6"/>
    <n v="51262"/>
    <n v="51262"/>
    <n v="0"/>
    <x v="27"/>
    <s v="Administración"/>
    <m/>
    <m/>
    <m/>
    <m/>
    <m/>
    <m/>
    <m/>
  </r>
  <r>
    <d v="2021-03-05T00:00:00"/>
    <x v="3"/>
    <x v="0"/>
    <x v="0"/>
    <n v="-106887"/>
    <n v="0"/>
    <n v="106887"/>
    <x v="2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5T00:00:00"/>
    <x v="3"/>
    <x v="10"/>
    <x v="10"/>
    <n v="405523"/>
    <n v="405523"/>
    <n v="0"/>
    <x v="28"/>
    <s v="Administración"/>
    <m/>
    <m/>
    <m/>
    <m/>
    <m/>
    <m/>
    <m/>
  </r>
  <r>
    <d v="2021-03-05T00:00:00"/>
    <x v="3"/>
    <x v="0"/>
    <x v="0"/>
    <n v="-405523"/>
    <n v="0"/>
    <n v="405523"/>
    <x v="2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5T00:00:00"/>
    <x v="3"/>
    <x v="10"/>
    <x v="10"/>
    <n v="173849"/>
    <n v="173849"/>
    <n v="0"/>
    <x v="29"/>
    <s v="Administración"/>
    <m/>
    <m/>
    <m/>
    <m/>
    <m/>
    <m/>
    <m/>
  </r>
  <r>
    <d v="2021-03-05T00:00:00"/>
    <x v="3"/>
    <x v="0"/>
    <x v="0"/>
    <n v="-173849"/>
    <n v="0"/>
    <n v="173849"/>
    <x v="2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5T00:00:00"/>
    <x v="3"/>
    <x v="0"/>
    <x v="0"/>
    <n v="20000"/>
    <n v="20000"/>
    <n v="0"/>
    <x v="196"/>
    <s v="Administración"/>
    <m/>
    <m/>
    <m/>
    <m/>
    <m/>
    <m/>
    <m/>
  </r>
  <r>
    <d v="2021-03-05T00:00:00"/>
    <x v="3"/>
    <x v="19"/>
    <x v="19"/>
    <n v="-20000"/>
    <n v="0"/>
    <n v="20000"/>
    <x v="1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5T00:00:00"/>
    <x v="3"/>
    <x v="0"/>
    <x v="0"/>
    <n v="20000"/>
    <n v="20000"/>
    <n v="0"/>
    <x v="197"/>
    <s v="Administración"/>
    <m/>
    <m/>
    <m/>
    <m/>
    <m/>
    <m/>
    <m/>
  </r>
  <r>
    <d v="2021-03-05T00:00:00"/>
    <x v="3"/>
    <x v="19"/>
    <x v="19"/>
    <n v="-20000"/>
    <n v="0"/>
    <n v="20000"/>
    <x v="19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5T00:00:00"/>
    <x v="3"/>
    <x v="0"/>
    <x v="0"/>
    <n v="20000"/>
    <n v="20000"/>
    <n v="0"/>
    <x v="113"/>
    <s v="Administración"/>
    <m/>
    <m/>
    <m/>
    <m/>
    <m/>
    <m/>
    <m/>
  </r>
  <r>
    <d v="2021-03-05T00:00:00"/>
    <x v="3"/>
    <x v="19"/>
    <x v="19"/>
    <n v="-20000"/>
    <n v="0"/>
    <n v="20000"/>
    <x v="11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5T00:00:00"/>
    <x v="3"/>
    <x v="0"/>
    <x v="0"/>
    <n v="2000"/>
    <n v="2000"/>
    <n v="0"/>
    <x v="111"/>
    <s v="Administración"/>
    <m/>
    <m/>
    <m/>
    <m/>
    <m/>
    <m/>
    <m/>
  </r>
  <r>
    <d v="2021-03-05T00:00:00"/>
    <x v="3"/>
    <x v="19"/>
    <x v="19"/>
    <n v="-2000"/>
    <n v="0"/>
    <n v="2000"/>
    <x v="11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5T00:00:00"/>
    <x v="3"/>
    <x v="0"/>
    <x v="0"/>
    <n v="42000"/>
    <n v="42000"/>
    <n v="0"/>
    <x v="198"/>
    <s v="Administración"/>
    <m/>
    <m/>
    <m/>
    <m/>
    <m/>
    <m/>
    <m/>
  </r>
  <r>
    <d v="2021-03-05T00:00:00"/>
    <x v="3"/>
    <x v="19"/>
    <x v="19"/>
    <n v="-42000"/>
    <n v="0"/>
    <n v="42000"/>
    <x v="19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15000"/>
    <n v="15000"/>
    <n v="0"/>
    <x v="8"/>
    <s v="Administración"/>
    <m/>
    <m/>
    <m/>
    <m/>
    <m/>
    <m/>
    <m/>
  </r>
  <r>
    <d v="2021-03-08T00:00:00"/>
    <x v="3"/>
    <x v="6"/>
    <x v="6"/>
    <n v="-15000"/>
    <n v="0"/>
    <n v="15000"/>
    <x v="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20000"/>
    <n v="20000"/>
    <n v="0"/>
    <x v="74"/>
    <s v="Administración"/>
    <m/>
    <m/>
    <m/>
    <m/>
    <m/>
    <m/>
    <m/>
  </r>
  <r>
    <d v="2021-03-08T00:00:00"/>
    <x v="3"/>
    <x v="19"/>
    <x v="19"/>
    <n v="-20000"/>
    <n v="0"/>
    <n v="20000"/>
    <x v="7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10000"/>
    <n v="10000"/>
    <n v="0"/>
    <x v="114"/>
    <s v="Administración"/>
    <m/>
    <m/>
    <m/>
    <m/>
    <m/>
    <m/>
    <m/>
  </r>
  <r>
    <d v="2021-03-08T00:00:00"/>
    <x v="3"/>
    <x v="19"/>
    <x v="19"/>
    <n v="-10000"/>
    <n v="0"/>
    <n v="10000"/>
    <x v="11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40000"/>
    <n v="40000"/>
    <n v="0"/>
    <x v="112"/>
    <s v="Administración"/>
    <m/>
    <m/>
    <m/>
    <m/>
    <m/>
    <m/>
    <m/>
  </r>
  <r>
    <d v="2021-03-08T00:00:00"/>
    <x v="3"/>
    <x v="19"/>
    <x v="19"/>
    <n v="-40000"/>
    <n v="0"/>
    <n v="40000"/>
    <x v="11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10000"/>
    <n v="10000"/>
    <n v="0"/>
    <x v="78"/>
    <s v="Administración"/>
    <m/>
    <m/>
    <m/>
    <m/>
    <m/>
    <m/>
    <m/>
  </r>
  <r>
    <d v="2021-03-08T00:00:00"/>
    <x v="3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10000"/>
    <n v="10000"/>
    <n v="0"/>
    <x v="117"/>
    <s v="Administración"/>
    <m/>
    <m/>
    <m/>
    <m/>
    <m/>
    <m/>
    <m/>
  </r>
  <r>
    <d v="2021-03-08T00:00:00"/>
    <x v="3"/>
    <x v="19"/>
    <x v="19"/>
    <n v="-10000"/>
    <n v="0"/>
    <n v="10000"/>
    <x v="11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20000"/>
    <n v="20000"/>
    <n v="0"/>
    <x v="199"/>
    <s v="Administración"/>
    <m/>
    <m/>
    <m/>
    <m/>
    <m/>
    <m/>
    <m/>
  </r>
  <r>
    <d v="2021-03-08T00:00:00"/>
    <x v="3"/>
    <x v="20"/>
    <x v="20"/>
    <n v="-20000"/>
    <n v="0"/>
    <n v="20000"/>
    <x v="19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20000"/>
    <n v="20000"/>
    <n v="0"/>
    <x v="118"/>
    <s v="Administración"/>
    <m/>
    <m/>
    <m/>
    <m/>
    <m/>
    <m/>
    <m/>
  </r>
  <r>
    <d v="2021-03-08T00:00:00"/>
    <x v="3"/>
    <x v="19"/>
    <x v="19"/>
    <n v="-20000"/>
    <n v="0"/>
    <n v="20000"/>
    <x v="11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5000"/>
    <n v="5000"/>
    <n v="0"/>
    <x v="200"/>
    <s v="Administración"/>
    <m/>
    <m/>
    <m/>
    <m/>
    <m/>
    <m/>
    <m/>
  </r>
  <r>
    <d v="2021-03-08T00:00:00"/>
    <x v="3"/>
    <x v="19"/>
    <x v="19"/>
    <n v="-5000"/>
    <n v="0"/>
    <n v="5000"/>
    <x v="20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3000"/>
    <n v="3000"/>
    <n v="0"/>
    <x v="115"/>
    <s v="Administración"/>
    <m/>
    <m/>
    <m/>
    <m/>
    <m/>
    <m/>
    <m/>
  </r>
  <r>
    <d v="2021-03-08T00:00:00"/>
    <x v="3"/>
    <x v="19"/>
    <x v="19"/>
    <n v="-3000"/>
    <n v="0"/>
    <n v="3000"/>
    <x v="1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15000"/>
    <n v="15000"/>
    <n v="0"/>
    <x v="105"/>
    <s v="Administración"/>
    <m/>
    <m/>
    <m/>
    <m/>
    <m/>
    <m/>
    <m/>
  </r>
  <r>
    <d v="2021-03-08T00:00:00"/>
    <x v="3"/>
    <x v="19"/>
    <x v="19"/>
    <n v="-15000"/>
    <n v="0"/>
    <n v="15000"/>
    <x v="10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15000"/>
    <n v="15000"/>
    <n v="0"/>
    <x v="201"/>
    <s v="Administración"/>
    <m/>
    <m/>
    <m/>
    <m/>
    <m/>
    <m/>
    <m/>
  </r>
  <r>
    <d v="2021-03-08T00:00:00"/>
    <x v="3"/>
    <x v="19"/>
    <x v="19"/>
    <n v="-15000"/>
    <n v="0"/>
    <n v="15000"/>
    <x v="20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20000"/>
    <n v="20000"/>
    <n v="0"/>
    <x v="202"/>
    <s v="Administración"/>
    <m/>
    <m/>
    <m/>
    <m/>
    <m/>
    <m/>
    <m/>
  </r>
  <r>
    <d v="2021-03-08T00:00:00"/>
    <x v="3"/>
    <x v="19"/>
    <x v="19"/>
    <n v="-20000"/>
    <n v="0"/>
    <n v="20000"/>
    <x v="20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5000"/>
    <n v="5000"/>
    <n v="0"/>
    <x v="98"/>
    <s v="Administración"/>
    <m/>
    <m/>
    <m/>
    <m/>
    <m/>
    <m/>
    <m/>
  </r>
  <r>
    <d v="2021-03-08T00:00:00"/>
    <x v="3"/>
    <x v="19"/>
    <x v="19"/>
    <n v="-5000"/>
    <n v="0"/>
    <n v="5000"/>
    <x v="9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19600"/>
    <n v="19600"/>
    <n v="0"/>
    <x v="98"/>
    <s v="Administración"/>
    <m/>
    <m/>
    <m/>
    <m/>
    <m/>
    <m/>
    <m/>
  </r>
  <r>
    <d v="2021-03-08T00:00:00"/>
    <x v="3"/>
    <x v="19"/>
    <x v="19"/>
    <n v="-19600"/>
    <n v="0"/>
    <n v="19600"/>
    <x v="9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760350"/>
    <n v="760350"/>
    <n v="0"/>
    <x v="203"/>
    <s v="Administración"/>
    <m/>
    <m/>
    <m/>
    <m/>
    <m/>
    <m/>
    <m/>
  </r>
  <r>
    <d v="2021-03-08T00:00:00"/>
    <x v="3"/>
    <x v="19"/>
    <x v="19"/>
    <n v="-760350"/>
    <n v="0"/>
    <n v="760350"/>
    <x v="20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20000"/>
    <n v="20000"/>
    <n v="0"/>
    <x v="204"/>
    <s v="Administración"/>
    <m/>
    <m/>
    <m/>
    <m/>
    <m/>
    <m/>
    <m/>
  </r>
  <r>
    <d v="2021-03-08T00:00:00"/>
    <x v="3"/>
    <x v="24"/>
    <x v="24"/>
    <n v="-20000"/>
    <n v="0"/>
    <n v="20000"/>
    <x v="20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5000"/>
    <n v="5000"/>
    <n v="0"/>
    <x v="205"/>
    <s v="Administración"/>
    <m/>
    <m/>
    <m/>
    <m/>
    <m/>
    <m/>
    <m/>
  </r>
  <r>
    <d v="2021-03-08T00:00:00"/>
    <x v="3"/>
    <x v="24"/>
    <x v="24"/>
    <n v="-5000"/>
    <n v="0"/>
    <n v="5000"/>
    <x v="20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8T00:00:00"/>
    <x v="3"/>
    <x v="0"/>
    <x v="0"/>
    <n v="12000"/>
    <n v="12000"/>
    <n v="0"/>
    <x v="206"/>
    <s v="Administración"/>
    <m/>
    <m/>
    <m/>
    <m/>
    <m/>
    <m/>
    <m/>
  </r>
  <r>
    <d v="2021-03-08T00:00:00"/>
    <x v="3"/>
    <x v="19"/>
    <x v="19"/>
    <n v="-12000"/>
    <n v="0"/>
    <n v="12000"/>
    <x v="20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9T00:00:00"/>
    <x v="3"/>
    <x v="0"/>
    <x v="0"/>
    <n v="34502"/>
    <n v="34502"/>
    <n v="0"/>
    <x v="207"/>
    <s v="Administración"/>
    <m/>
    <m/>
    <m/>
    <m/>
    <m/>
    <m/>
    <m/>
  </r>
  <r>
    <d v="2021-03-09T00:00:00"/>
    <x v="3"/>
    <x v="19"/>
    <x v="19"/>
    <n v="-34502"/>
    <n v="0"/>
    <n v="34502"/>
    <x v="20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9T00:00:00"/>
    <x v="3"/>
    <x v="23"/>
    <x v="23"/>
    <n v="1742"/>
    <n v="1742"/>
    <n v="0"/>
    <x v="208"/>
    <s v="Administración"/>
    <m/>
    <m/>
    <m/>
    <m/>
    <m/>
    <m/>
    <m/>
  </r>
  <r>
    <d v="2021-03-09T00:00:00"/>
    <x v="3"/>
    <x v="0"/>
    <x v="0"/>
    <n v="-1742"/>
    <n v="0"/>
    <n v="1742"/>
    <x v="20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09T00:00:00"/>
    <x v="3"/>
    <x v="23"/>
    <x v="23"/>
    <n v="1045"/>
    <n v="1045"/>
    <n v="0"/>
    <x v="208"/>
    <s v="Administración"/>
    <m/>
    <m/>
    <m/>
    <m/>
    <m/>
    <m/>
    <m/>
  </r>
  <r>
    <d v="2021-03-09T00:00:00"/>
    <x v="3"/>
    <x v="0"/>
    <x v="0"/>
    <n v="-1045"/>
    <n v="0"/>
    <n v="1045"/>
    <x v="20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0T00:00:00"/>
    <x v="3"/>
    <x v="0"/>
    <x v="0"/>
    <n v="100000"/>
    <n v="100000"/>
    <n v="0"/>
    <x v="209"/>
    <s v="Administración"/>
    <m/>
    <m/>
    <m/>
    <m/>
    <m/>
    <m/>
    <m/>
  </r>
  <r>
    <d v="2021-03-10T00:00:00"/>
    <x v="3"/>
    <x v="6"/>
    <x v="6"/>
    <n v="-100000"/>
    <n v="0"/>
    <n v="100000"/>
    <x v="2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0T00:00:00"/>
    <x v="3"/>
    <x v="0"/>
    <x v="0"/>
    <n v="20000"/>
    <n v="20000"/>
    <n v="0"/>
    <x v="210"/>
    <s v="Administración"/>
    <m/>
    <m/>
    <m/>
    <m/>
    <m/>
    <m/>
    <m/>
  </r>
  <r>
    <d v="2021-03-10T00:00:00"/>
    <x v="3"/>
    <x v="24"/>
    <x v="24"/>
    <n v="-20000"/>
    <n v="0"/>
    <n v="20000"/>
    <x v="21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0T00:00:00"/>
    <x v="3"/>
    <x v="0"/>
    <x v="0"/>
    <n v="100000"/>
    <n v="100000"/>
    <n v="0"/>
    <x v="25"/>
    <s v="Administración"/>
    <m/>
    <m/>
    <m/>
    <m/>
    <m/>
    <m/>
    <m/>
  </r>
  <r>
    <d v="2021-03-10T00:00:00"/>
    <x v="3"/>
    <x v="6"/>
    <x v="6"/>
    <n v="-100000"/>
    <n v="0"/>
    <n v="100000"/>
    <x v="2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0T00:00:00"/>
    <x v="3"/>
    <x v="27"/>
    <x v="27"/>
    <n v="37655"/>
    <n v="37655"/>
    <n v="0"/>
    <x v="211"/>
    <s v="Administración"/>
    <m/>
    <m/>
    <m/>
    <m/>
    <m/>
    <m/>
    <m/>
  </r>
  <r>
    <d v="2021-03-10T00:00:00"/>
    <x v="3"/>
    <x v="0"/>
    <x v="0"/>
    <n v="-37655"/>
    <n v="0"/>
    <n v="37655"/>
    <x v="21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0T00:00:00"/>
    <x v="3"/>
    <x v="26"/>
    <x v="26"/>
    <n v="1472"/>
    <n v="1472"/>
    <n v="0"/>
    <x v="212"/>
    <s v="Administración"/>
    <m/>
    <m/>
    <m/>
    <m/>
    <m/>
    <m/>
    <m/>
  </r>
  <r>
    <d v="2021-03-10T00:00:00"/>
    <x v="3"/>
    <x v="0"/>
    <x v="0"/>
    <n v="-1472"/>
    <n v="0"/>
    <n v="1472"/>
    <x v="21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0T00:00:00"/>
    <x v="3"/>
    <x v="0"/>
    <x v="0"/>
    <n v="30000"/>
    <n v="30000"/>
    <n v="0"/>
    <x v="213"/>
    <s v="Administración"/>
    <m/>
    <m/>
    <m/>
    <m/>
    <m/>
    <m/>
    <m/>
  </r>
  <r>
    <d v="2021-03-10T00:00:00"/>
    <x v="3"/>
    <x v="24"/>
    <x v="24"/>
    <n v="-30000"/>
    <n v="0"/>
    <n v="30000"/>
    <x v="21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0T00:00:00"/>
    <x v="3"/>
    <x v="0"/>
    <x v="0"/>
    <n v="10000"/>
    <n v="10000"/>
    <n v="0"/>
    <x v="214"/>
    <s v="Administración"/>
    <m/>
    <m/>
    <m/>
    <m/>
    <m/>
    <m/>
    <m/>
  </r>
  <r>
    <d v="2021-03-10T00:00:00"/>
    <x v="3"/>
    <x v="24"/>
    <x v="24"/>
    <n v="-10000"/>
    <n v="0"/>
    <n v="10000"/>
    <x v="21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0T00:00:00"/>
    <x v="3"/>
    <x v="0"/>
    <x v="0"/>
    <n v="5000"/>
    <n v="5000"/>
    <n v="0"/>
    <x v="215"/>
    <s v="Administración"/>
    <m/>
    <m/>
    <m/>
    <m/>
    <m/>
    <m/>
    <m/>
  </r>
  <r>
    <d v="2021-03-10T00:00:00"/>
    <x v="3"/>
    <x v="24"/>
    <x v="24"/>
    <n v="-5000"/>
    <n v="0"/>
    <n v="5000"/>
    <x v="2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2T00:00:00"/>
    <x v="3"/>
    <x v="0"/>
    <x v="0"/>
    <n v="5000"/>
    <n v="5000"/>
    <n v="0"/>
    <x v="216"/>
    <s v="Administración"/>
    <m/>
    <m/>
    <m/>
    <m/>
    <m/>
    <m/>
    <m/>
  </r>
  <r>
    <d v="2021-03-12T00:00:00"/>
    <x v="3"/>
    <x v="19"/>
    <x v="19"/>
    <n v="-5000"/>
    <n v="0"/>
    <n v="5000"/>
    <x v="21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2T00:00:00"/>
    <x v="3"/>
    <x v="0"/>
    <x v="0"/>
    <n v="45000"/>
    <n v="45000"/>
    <n v="0"/>
    <x v="218"/>
    <s v="Administración"/>
    <m/>
    <m/>
    <m/>
    <m/>
    <m/>
    <m/>
    <m/>
  </r>
  <r>
    <d v="2021-03-12T00:00:00"/>
    <x v="3"/>
    <x v="19"/>
    <x v="19"/>
    <n v="-45000"/>
    <n v="0"/>
    <n v="45000"/>
    <x v="21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2T00:00:00"/>
    <x v="3"/>
    <x v="0"/>
    <x v="0"/>
    <n v="10000"/>
    <n v="10000"/>
    <n v="0"/>
    <x v="219"/>
    <s v="Administración"/>
    <m/>
    <m/>
    <m/>
    <m/>
    <m/>
    <m/>
    <m/>
  </r>
  <r>
    <d v="2021-03-12T00:00:00"/>
    <x v="3"/>
    <x v="19"/>
    <x v="19"/>
    <n v="-10000"/>
    <n v="0"/>
    <n v="10000"/>
    <x v="21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2T00:00:00"/>
    <x v="3"/>
    <x v="0"/>
    <x v="0"/>
    <n v="5000"/>
    <n v="5000"/>
    <n v="0"/>
    <x v="220"/>
    <s v="Administración"/>
    <m/>
    <m/>
    <m/>
    <m/>
    <m/>
    <m/>
    <m/>
  </r>
  <r>
    <d v="2021-03-12T00:00:00"/>
    <x v="3"/>
    <x v="19"/>
    <x v="19"/>
    <n v="-5000"/>
    <n v="0"/>
    <n v="5000"/>
    <x v="22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2T00:00:00"/>
    <x v="3"/>
    <x v="28"/>
    <x v="28"/>
    <n v="338983"/>
    <n v="338983"/>
    <n v="0"/>
    <x v="221"/>
    <s v="Administración"/>
    <m/>
    <m/>
    <m/>
    <m/>
    <m/>
    <m/>
    <m/>
  </r>
  <r>
    <d v="2021-03-12T00:00:00"/>
    <x v="3"/>
    <x v="9"/>
    <x v="9"/>
    <n v="-38983"/>
    <n v="0"/>
    <n v="38983"/>
    <x v="221"/>
    <s v="Administración"/>
    <m/>
    <m/>
    <m/>
    <m/>
    <m/>
    <m/>
    <m/>
  </r>
  <r>
    <d v="2021-03-12T00:00:00"/>
    <x v="3"/>
    <x v="0"/>
    <x v="0"/>
    <n v="-300000"/>
    <n v="0"/>
    <n v="300000"/>
    <x v="22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2T00:00:00"/>
    <x v="3"/>
    <x v="23"/>
    <x v="23"/>
    <n v="86382"/>
    <n v="86382"/>
    <n v="0"/>
    <x v="222"/>
    <s v="Administración"/>
    <m/>
    <m/>
    <m/>
    <m/>
    <m/>
    <m/>
    <m/>
  </r>
  <r>
    <d v="2021-03-12T00:00:00"/>
    <x v="3"/>
    <x v="12"/>
    <x v="12"/>
    <n v="252601"/>
    <n v="252601"/>
    <n v="0"/>
    <x v="222"/>
    <s v="Administración"/>
    <m/>
    <m/>
    <m/>
    <m/>
    <m/>
    <m/>
    <m/>
  </r>
  <r>
    <d v="2021-03-12T00:00:00"/>
    <x v="3"/>
    <x v="9"/>
    <x v="9"/>
    <n v="-38983"/>
    <n v="0"/>
    <n v="38983"/>
    <x v="222"/>
    <s v="Administración"/>
    <m/>
    <m/>
    <m/>
    <m/>
    <m/>
    <m/>
    <m/>
  </r>
  <r>
    <d v="2021-03-12T00:00:00"/>
    <x v="3"/>
    <x v="0"/>
    <x v="0"/>
    <n v="-300000"/>
    <n v="0"/>
    <n v="300000"/>
    <x v="22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2T00:00:00"/>
    <x v="3"/>
    <x v="39"/>
    <x v="38"/>
    <n v="203390"/>
    <n v="203390"/>
    <n v="0"/>
    <x v="223"/>
    <s v="Administración"/>
    <m/>
    <m/>
    <m/>
    <m/>
    <m/>
    <m/>
    <m/>
  </r>
  <r>
    <d v="2021-03-12T00:00:00"/>
    <x v="3"/>
    <x v="9"/>
    <x v="9"/>
    <n v="-23390"/>
    <n v="0"/>
    <n v="23390"/>
    <x v="223"/>
    <s v="Administración"/>
    <m/>
    <m/>
    <m/>
    <m/>
    <m/>
    <m/>
    <m/>
  </r>
  <r>
    <d v="2021-03-12T00:00:00"/>
    <x v="3"/>
    <x v="0"/>
    <x v="0"/>
    <n v="-180000"/>
    <n v="0"/>
    <n v="180000"/>
    <x v="22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29"/>
    <x v="29"/>
    <n v="42770"/>
    <n v="42770"/>
    <n v="0"/>
    <x v="224"/>
    <s v="Administración"/>
    <m/>
    <m/>
    <m/>
    <m/>
    <m/>
    <m/>
    <m/>
  </r>
  <r>
    <d v="2021-03-15T00:00:00"/>
    <x v="3"/>
    <x v="0"/>
    <x v="0"/>
    <n v="-42770"/>
    <n v="0"/>
    <n v="42770"/>
    <x v="22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10000"/>
    <n v="10000"/>
    <n v="0"/>
    <x v="99"/>
    <s v="Administración"/>
    <m/>
    <m/>
    <m/>
    <m/>
    <m/>
    <m/>
    <m/>
  </r>
  <r>
    <d v="2021-03-15T00:00:00"/>
    <x v="3"/>
    <x v="19"/>
    <x v="19"/>
    <n v="-10000"/>
    <n v="0"/>
    <n v="10000"/>
    <x v="9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10000"/>
    <n v="10000"/>
    <n v="0"/>
    <x v="117"/>
    <s v="Administración"/>
    <m/>
    <m/>
    <m/>
    <m/>
    <m/>
    <m/>
    <m/>
  </r>
  <r>
    <d v="2021-03-15T00:00:00"/>
    <x v="3"/>
    <x v="19"/>
    <x v="19"/>
    <n v="-10000"/>
    <n v="0"/>
    <n v="10000"/>
    <x v="11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10000"/>
    <n v="10000"/>
    <n v="0"/>
    <x v="225"/>
    <s v="Administración"/>
    <m/>
    <m/>
    <m/>
    <m/>
    <m/>
    <m/>
    <m/>
  </r>
  <r>
    <d v="2021-03-15T00:00:00"/>
    <x v="3"/>
    <x v="19"/>
    <x v="19"/>
    <n v="-10000"/>
    <n v="0"/>
    <n v="10000"/>
    <x v="22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40000"/>
    <n v="40000"/>
    <n v="0"/>
    <x v="226"/>
    <s v="Administración"/>
    <m/>
    <m/>
    <m/>
    <m/>
    <m/>
    <m/>
    <m/>
  </r>
  <r>
    <d v="2021-03-15T00:00:00"/>
    <x v="3"/>
    <x v="19"/>
    <x v="19"/>
    <n v="-40000"/>
    <n v="0"/>
    <n v="40000"/>
    <x v="22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10000"/>
    <n v="10000"/>
    <n v="0"/>
    <x v="78"/>
    <s v="Administración"/>
    <m/>
    <m/>
    <m/>
    <m/>
    <m/>
    <m/>
    <m/>
  </r>
  <r>
    <d v="2021-03-15T00:00:00"/>
    <x v="3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10000"/>
    <n v="10000"/>
    <n v="0"/>
    <x v="146"/>
    <s v="Administración"/>
    <m/>
    <m/>
    <m/>
    <m/>
    <m/>
    <m/>
    <m/>
  </r>
  <r>
    <d v="2021-03-15T00:00:00"/>
    <x v="3"/>
    <x v="19"/>
    <x v="19"/>
    <n v="-10000"/>
    <n v="0"/>
    <n v="10000"/>
    <x v="14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3000"/>
    <n v="3000"/>
    <n v="0"/>
    <x v="115"/>
    <s v="Administración"/>
    <m/>
    <m/>
    <m/>
    <m/>
    <m/>
    <m/>
    <m/>
  </r>
  <r>
    <d v="2021-03-15T00:00:00"/>
    <x v="3"/>
    <x v="19"/>
    <x v="19"/>
    <n v="-3000"/>
    <n v="0"/>
    <n v="3000"/>
    <x v="1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20000"/>
    <n v="20000"/>
    <n v="0"/>
    <x v="227"/>
    <s v="Administración"/>
    <m/>
    <m/>
    <m/>
    <m/>
    <m/>
    <m/>
    <m/>
  </r>
  <r>
    <d v="2021-03-15T00:00:00"/>
    <x v="3"/>
    <x v="19"/>
    <x v="19"/>
    <n v="-20000"/>
    <n v="0"/>
    <n v="20000"/>
    <x v="22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2000"/>
    <n v="2000"/>
    <n v="0"/>
    <x v="228"/>
    <s v="Administración"/>
    <m/>
    <m/>
    <m/>
    <m/>
    <m/>
    <m/>
    <m/>
  </r>
  <r>
    <d v="2021-03-15T00:00:00"/>
    <x v="3"/>
    <x v="19"/>
    <x v="19"/>
    <n v="-2000"/>
    <n v="0"/>
    <n v="2000"/>
    <x v="22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10000"/>
    <n v="10000"/>
    <n v="0"/>
    <x v="229"/>
    <s v="Administración"/>
    <m/>
    <m/>
    <m/>
    <m/>
    <m/>
    <m/>
    <m/>
  </r>
  <r>
    <d v="2021-03-15T00:00:00"/>
    <x v="3"/>
    <x v="19"/>
    <x v="19"/>
    <n v="-10000"/>
    <n v="0"/>
    <n v="10000"/>
    <x v="22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10000"/>
    <n v="10000"/>
    <n v="0"/>
    <x v="76"/>
    <s v="Administración"/>
    <m/>
    <m/>
    <m/>
    <m/>
    <m/>
    <m/>
    <m/>
  </r>
  <r>
    <d v="2021-03-15T00:00:00"/>
    <x v="3"/>
    <x v="19"/>
    <x v="19"/>
    <n v="-10000"/>
    <n v="0"/>
    <n v="10000"/>
    <x v="7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20000"/>
    <n v="20000"/>
    <n v="0"/>
    <x v="230"/>
    <s v="Administración"/>
    <m/>
    <m/>
    <m/>
    <m/>
    <m/>
    <m/>
    <m/>
  </r>
  <r>
    <d v="2021-03-15T00:00:00"/>
    <x v="3"/>
    <x v="19"/>
    <x v="19"/>
    <n v="-20000"/>
    <n v="0"/>
    <n v="20000"/>
    <x v="23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12000"/>
    <n v="12000"/>
    <n v="0"/>
    <x v="231"/>
    <s v="Administración"/>
    <m/>
    <m/>
    <m/>
    <m/>
    <m/>
    <m/>
    <m/>
  </r>
  <r>
    <d v="2021-03-15T00:00:00"/>
    <x v="3"/>
    <x v="19"/>
    <x v="19"/>
    <n v="-12000"/>
    <n v="0"/>
    <n v="12000"/>
    <x v="23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250000"/>
    <n v="250000"/>
    <n v="0"/>
    <x v="232"/>
    <s v="Administración"/>
    <m/>
    <m/>
    <m/>
    <m/>
    <m/>
    <m/>
    <m/>
  </r>
  <r>
    <d v="2021-03-15T00:00:00"/>
    <x v="3"/>
    <x v="19"/>
    <x v="19"/>
    <n v="-250000"/>
    <n v="0"/>
    <n v="250000"/>
    <x v="23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100000"/>
    <n v="100000"/>
    <n v="0"/>
    <x v="233"/>
    <s v="Administración"/>
    <m/>
    <m/>
    <m/>
    <m/>
    <m/>
    <m/>
    <m/>
  </r>
  <r>
    <d v="2021-03-15T00:00:00"/>
    <x v="3"/>
    <x v="19"/>
    <x v="19"/>
    <n v="-100000"/>
    <n v="0"/>
    <n v="100000"/>
    <x v="23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80000"/>
    <n v="80000"/>
    <n v="0"/>
    <x v="194"/>
    <s v="Administración"/>
    <m/>
    <m/>
    <m/>
    <m/>
    <m/>
    <m/>
    <m/>
  </r>
  <r>
    <d v="2021-03-15T00:00:00"/>
    <x v="3"/>
    <x v="19"/>
    <x v="19"/>
    <n v="-80000"/>
    <n v="0"/>
    <n v="80000"/>
    <x v="19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5000"/>
    <n v="5000"/>
    <n v="0"/>
    <x v="92"/>
    <s v="Administración"/>
    <m/>
    <m/>
    <m/>
    <m/>
    <m/>
    <m/>
    <m/>
  </r>
  <r>
    <d v="2021-03-15T00:00:00"/>
    <x v="3"/>
    <x v="19"/>
    <x v="19"/>
    <n v="-5000"/>
    <n v="0"/>
    <n v="5000"/>
    <x v="9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30000"/>
    <n v="30000"/>
    <n v="0"/>
    <x v="191"/>
    <s v="Administración"/>
    <m/>
    <m/>
    <m/>
    <m/>
    <m/>
    <m/>
    <m/>
  </r>
  <r>
    <d v="2021-03-15T00:00:00"/>
    <x v="3"/>
    <x v="19"/>
    <x v="19"/>
    <n v="-30000"/>
    <n v="0"/>
    <n v="30000"/>
    <x v="19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5T00:00:00"/>
    <x v="3"/>
    <x v="0"/>
    <x v="0"/>
    <n v="8000"/>
    <n v="8000"/>
    <n v="0"/>
    <x v="234"/>
    <s v="Administración"/>
    <m/>
    <m/>
    <m/>
    <m/>
    <m/>
    <m/>
    <m/>
  </r>
  <r>
    <d v="2021-03-15T00:00:00"/>
    <x v="3"/>
    <x v="19"/>
    <x v="19"/>
    <n v="-8000"/>
    <n v="0"/>
    <n v="8000"/>
    <x v="23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6T00:00:00"/>
    <x v="3"/>
    <x v="27"/>
    <x v="27"/>
    <n v="20990"/>
    <n v="20990"/>
    <n v="0"/>
    <x v="40"/>
    <s v="Administración"/>
    <m/>
    <m/>
    <m/>
    <m/>
    <m/>
    <m/>
    <m/>
  </r>
  <r>
    <d v="2021-03-16T00:00:00"/>
    <x v="3"/>
    <x v="0"/>
    <x v="0"/>
    <n v="-20990"/>
    <n v="0"/>
    <n v="20990"/>
    <x v="4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6T00:00:00"/>
    <x v="3"/>
    <x v="0"/>
    <x v="0"/>
    <n v="2940"/>
    <n v="2940"/>
    <n v="0"/>
    <x v="235"/>
    <s v="Administración"/>
    <m/>
    <m/>
    <m/>
    <m/>
    <m/>
    <m/>
    <m/>
  </r>
  <r>
    <d v="2021-03-16T00:00:00"/>
    <x v="3"/>
    <x v="20"/>
    <x v="20"/>
    <n v="-2940"/>
    <n v="0"/>
    <n v="2940"/>
    <x v="23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6T00:00:00"/>
    <x v="3"/>
    <x v="0"/>
    <x v="0"/>
    <n v="5000"/>
    <n v="5000"/>
    <n v="0"/>
    <x v="134"/>
    <s v="Administración"/>
    <m/>
    <m/>
    <m/>
    <m/>
    <m/>
    <m/>
    <m/>
  </r>
  <r>
    <d v="2021-03-16T00:00:00"/>
    <x v="3"/>
    <x v="19"/>
    <x v="19"/>
    <n v="-5000"/>
    <n v="0"/>
    <n v="5000"/>
    <x v="13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6T00:00:00"/>
    <x v="3"/>
    <x v="0"/>
    <x v="0"/>
    <n v="5000"/>
    <n v="5000"/>
    <n v="0"/>
    <x v="107"/>
    <s v="Administración"/>
    <m/>
    <m/>
    <m/>
    <m/>
    <m/>
    <m/>
    <m/>
  </r>
  <r>
    <d v="2021-03-16T00:00:00"/>
    <x v="3"/>
    <x v="19"/>
    <x v="19"/>
    <n v="-5000"/>
    <n v="0"/>
    <n v="5000"/>
    <x v="10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6T00:00:00"/>
    <x v="3"/>
    <x v="0"/>
    <x v="0"/>
    <n v="2000"/>
    <n v="2000"/>
    <n v="0"/>
    <x v="236"/>
    <s v="Administración"/>
    <m/>
    <m/>
    <m/>
    <m/>
    <m/>
    <m/>
    <m/>
  </r>
  <r>
    <d v="2021-03-16T00:00:00"/>
    <x v="3"/>
    <x v="24"/>
    <x v="24"/>
    <n v="-2000"/>
    <n v="0"/>
    <n v="2000"/>
    <x v="23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6T00:00:00"/>
    <x v="3"/>
    <x v="0"/>
    <x v="0"/>
    <n v="5000"/>
    <n v="5000"/>
    <n v="0"/>
    <x v="237"/>
    <s v="Administración"/>
    <m/>
    <m/>
    <m/>
    <m/>
    <m/>
    <m/>
    <m/>
  </r>
  <r>
    <d v="2021-03-16T00:00:00"/>
    <x v="3"/>
    <x v="24"/>
    <x v="24"/>
    <n v="-5000"/>
    <n v="0"/>
    <n v="5000"/>
    <x v="23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6T00:00:00"/>
    <x v="3"/>
    <x v="0"/>
    <x v="0"/>
    <n v="20000"/>
    <n v="20000"/>
    <n v="0"/>
    <x v="238"/>
    <s v="Administración"/>
    <m/>
    <m/>
    <m/>
    <m/>
    <m/>
    <m/>
    <m/>
  </r>
  <r>
    <d v="2021-03-16T00:00:00"/>
    <x v="3"/>
    <x v="24"/>
    <x v="24"/>
    <n v="-20000"/>
    <n v="0"/>
    <n v="20000"/>
    <x v="23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6T00:00:00"/>
    <x v="3"/>
    <x v="0"/>
    <x v="0"/>
    <n v="5000"/>
    <n v="5000"/>
    <n v="0"/>
    <x v="239"/>
    <s v="Administración"/>
    <m/>
    <m/>
    <m/>
    <m/>
    <m/>
    <m/>
    <m/>
  </r>
  <r>
    <d v="2021-03-16T00:00:00"/>
    <x v="3"/>
    <x v="24"/>
    <x v="24"/>
    <n v="-5000"/>
    <n v="0"/>
    <n v="5000"/>
    <x v="23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6T00:00:00"/>
    <x v="3"/>
    <x v="0"/>
    <x v="0"/>
    <n v="10000"/>
    <n v="10000"/>
    <n v="0"/>
    <x v="240"/>
    <s v="Administración"/>
    <m/>
    <m/>
    <m/>
    <m/>
    <m/>
    <m/>
    <m/>
  </r>
  <r>
    <d v="2021-03-16T00:00:00"/>
    <x v="3"/>
    <x v="19"/>
    <x v="19"/>
    <n v="-10000"/>
    <n v="0"/>
    <n v="10000"/>
    <x v="24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7T00:00:00"/>
    <x v="3"/>
    <x v="0"/>
    <x v="0"/>
    <n v="2000"/>
    <n v="2000"/>
    <n v="0"/>
    <x v="241"/>
    <s v="Administración"/>
    <m/>
    <m/>
    <m/>
    <m/>
    <m/>
    <m/>
    <m/>
  </r>
  <r>
    <d v="2021-03-17T00:00:00"/>
    <x v="3"/>
    <x v="20"/>
    <x v="20"/>
    <n v="-2000"/>
    <n v="0"/>
    <n v="2000"/>
    <x v="24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7T00:00:00"/>
    <x v="3"/>
    <x v="0"/>
    <x v="0"/>
    <n v="120000"/>
    <n v="120000"/>
    <n v="0"/>
    <x v="54"/>
    <s v="Administración"/>
    <m/>
    <m/>
    <m/>
    <m/>
    <m/>
    <m/>
    <m/>
  </r>
  <r>
    <d v="2021-03-17T00:00:00"/>
    <x v="3"/>
    <x v="6"/>
    <x v="6"/>
    <n v="-120000"/>
    <n v="0"/>
    <n v="120000"/>
    <x v="5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7T00:00:00"/>
    <x v="3"/>
    <x v="0"/>
    <x v="0"/>
    <n v="40000"/>
    <n v="40000"/>
    <n v="0"/>
    <x v="242"/>
    <s v="Administración"/>
    <m/>
    <m/>
    <m/>
    <m/>
    <m/>
    <m/>
    <m/>
  </r>
  <r>
    <d v="2021-03-17T00:00:00"/>
    <x v="3"/>
    <x v="30"/>
    <x v="30"/>
    <n v="-40000"/>
    <n v="0"/>
    <n v="40000"/>
    <x v="24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7T00:00:00"/>
    <x v="3"/>
    <x v="0"/>
    <x v="0"/>
    <n v="21714"/>
    <n v="21714"/>
    <n v="0"/>
    <x v="243"/>
    <s v="Administración"/>
    <m/>
    <m/>
    <m/>
    <m/>
    <m/>
    <m/>
    <m/>
  </r>
  <r>
    <d v="2021-03-17T00:00:00"/>
    <x v="3"/>
    <x v="20"/>
    <x v="20"/>
    <n v="-21714"/>
    <n v="0"/>
    <n v="21714"/>
    <x v="24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7T00:00:00"/>
    <x v="3"/>
    <x v="0"/>
    <x v="0"/>
    <n v="3000"/>
    <n v="3000"/>
    <n v="0"/>
    <x v="244"/>
    <s v="Administración"/>
    <m/>
    <m/>
    <m/>
    <m/>
    <m/>
    <m/>
    <m/>
  </r>
  <r>
    <d v="2021-03-17T00:00:00"/>
    <x v="3"/>
    <x v="24"/>
    <x v="24"/>
    <n v="-3000"/>
    <n v="0"/>
    <n v="3000"/>
    <x v="2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8T00:00:00"/>
    <x v="3"/>
    <x v="0"/>
    <x v="0"/>
    <n v="100000"/>
    <n v="100000"/>
    <n v="0"/>
    <x v="245"/>
    <s v="Administración"/>
    <m/>
    <m/>
    <m/>
    <m/>
    <m/>
    <m/>
    <m/>
  </r>
  <r>
    <d v="2021-03-18T00:00:00"/>
    <x v="3"/>
    <x v="30"/>
    <x v="30"/>
    <n v="-100000"/>
    <n v="0"/>
    <n v="100000"/>
    <x v="24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8T00:00:00"/>
    <x v="3"/>
    <x v="0"/>
    <x v="0"/>
    <n v="10000"/>
    <n v="10000"/>
    <n v="0"/>
    <x v="246"/>
    <s v="Administración"/>
    <m/>
    <m/>
    <m/>
    <m/>
    <m/>
    <m/>
    <m/>
  </r>
  <r>
    <d v="2021-03-18T00:00:00"/>
    <x v="3"/>
    <x v="19"/>
    <x v="19"/>
    <n v="-10000"/>
    <n v="0"/>
    <n v="10000"/>
    <x v="24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8T00:00:00"/>
    <x v="3"/>
    <x v="0"/>
    <x v="0"/>
    <n v="22000"/>
    <n v="22000"/>
    <n v="0"/>
    <x v="247"/>
    <s v="Administración"/>
    <m/>
    <m/>
    <m/>
    <m/>
    <m/>
    <m/>
    <m/>
  </r>
  <r>
    <d v="2021-03-18T00:00:00"/>
    <x v="3"/>
    <x v="19"/>
    <x v="19"/>
    <n v="-22000"/>
    <n v="0"/>
    <n v="22000"/>
    <x v="24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9T00:00:00"/>
    <x v="3"/>
    <x v="0"/>
    <x v="0"/>
    <n v="25000"/>
    <n v="25000"/>
    <n v="0"/>
    <x v="248"/>
    <s v="Administración"/>
    <m/>
    <m/>
    <m/>
    <m/>
    <m/>
    <m/>
    <m/>
  </r>
  <r>
    <d v="2021-03-19T00:00:00"/>
    <x v="3"/>
    <x v="42"/>
    <x v="23"/>
    <n v="-25000"/>
    <n v="0"/>
    <n v="25000"/>
    <x v="24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19T00:00:00"/>
    <x v="3"/>
    <x v="0"/>
    <x v="0"/>
    <n v="24588"/>
    <n v="24588"/>
    <n v="0"/>
    <x v="249"/>
    <s v="Administración"/>
    <m/>
    <m/>
    <m/>
    <m/>
    <m/>
    <m/>
    <m/>
  </r>
  <r>
    <d v="2021-03-19T00:00:00"/>
    <x v="3"/>
    <x v="30"/>
    <x v="30"/>
    <n v="-24588"/>
    <n v="0"/>
    <n v="24588"/>
    <x v="24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2T00:00:00"/>
    <x v="3"/>
    <x v="0"/>
    <x v="0"/>
    <n v="10000"/>
    <n v="10000"/>
    <n v="0"/>
    <x v="250"/>
    <s v="Administración"/>
    <m/>
    <m/>
    <m/>
    <m/>
    <m/>
    <m/>
    <m/>
  </r>
  <r>
    <d v="2021-03-22T00:00:00"/>
    <x v="3"/>
    <x v="19"/>
    <x v="19"/>
    <n v="-10000"/>
    <n v="0"/>
    <n v="10000"/>
    <x v="25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2T00:00:00"/>
    <x v="3"/>
    <x v="0"/>
    <x v="0"/>
    <n v="10000"/>
    <n v="10000"/>
    <n v="0"/>
    <x v="78"/>
    <s v="Administración"/>
    <m/>
    <m/>
    <m/>
    <m/>
    <m/>
    <m/>
    <m/>
  </r>
  <r>
    <d v="2021-03-22T00:00:00"/>
    <x v="3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2T00:00:00"/>
    <x v="3"/>
    <x v="0"/>
    <x v="0"/>
    <n v="15000"/>
    <n v="15000"/>
    <n v="0"/>
    <x v="251"/>
    <s v="Administración"/>
    <m/>
    <m/>
    <m/>
    <m/>
    <m/>
    <m/>
    <m/>
  </r>
  <r>
    <d v="2021-03-22T00:00:00"/>
    <x v="3"/>
    <x v="19"/>
    <x v="19"/>
    <n v="-15000"/>
    <n v="0"/>
    <n v="15000"/>
    <x v="25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2T00:00:00"/>
    <x v="3"/>
    <x v="0"/>
    <x v="0"/>
    <n v="10000"/>
    <n v="10000"/>
    <n v="0"/>
    <x v="252"/>
    <s v="Administración"/>
    <m/>
    <m/>
    <m/>
    <m/>
    <m/>
    <m/>
    <m/>
  </r>
  <r>
    <d v="2021-03-22T00:00:00"/>
    <x v="3"/>
    <x v="19"/>
    <x v="19"/>
    <n v="-10000"/>
    <n v="0"/>
    <n v="10000"/>
    <x v="25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2T00:00:00"/>
    <x v="3"/>
    <x v="0"/>
    <x v="0"/>
    <n v="3000"/>
    <n v="3000"/>
    <n v="0"/>
    <x v="115"/>
    <s v="Administración"/>
    <m/>
    <m/>
    <m/>
    <m/>
    <m/>
    <m/>
    <m/>
  </r>
  <r>
    <d v="2021-03-22T00:00:00"/>
    <x v="3"/>
    <x v="19"/>
    <x v="19"/>
    <n v="-3000"/>
    <n v="0"/>
    <n v="3000"/>
    <x v="1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2T00:00:00"/>
    <x v="3"/>
    <x v="0"/>
    <x v="0"/>
    <n v="10000"/>
    <n v="10000"/>
    <n v="0"/>
    <x v="115"/>
    <s v="Administración"/>
    <m/>
    <m/>
    <m/>
    <m/>
    <m/>
    <m/>
    <m/>
  </r>
  <r>
    <d v="2021-03-22T00:00:00"/>
    <x v="3"/>
    <x v="19"/>
    <x v="19"/>
    <n v="-10000"/>
    <n v="0"/>
    <n v="10000"/>
    <x v="1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2T00:00:00"/>
    <x v="3"/>
    <x v="0"/>
    <x v="0"/>
    <n v="5000"/>
    <n v="5000"/>
    <n v="0"/>
    <x v="253"/>
    <s v="Administración"/>
    <m/>
    <m/>
    <m/>
    <m/>
    <m/>
    <m/>
    <m/>
  </r>
  <r>
    <d v="2021-03-22T00:00:00"/>
    <x v="3"/>
    <x v="19"/>
    <x v="19"/>
    <n v="-5000"/>
    <n v="0"/>
    <n v="5000"/>
    <x v="25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2T00:00:00"/>
    <x v="3"/>
    <x v="0"/>
    <x v="0"/>
    <n v="150000"/>
    <n v="150000"/>
    <n v="0"/>
    <x v="254"/>
    <s v="Administración"/>
    <m/>
    <m/>
    <m/>
    <m/>
    <m/>
    <m/>
    <m/>
  </r>
  <r>
    <d v="2021-03-22T00:00:00"/>
    <x v="3"/>
    <x v="19"/>
    <x v="19"/>
    <n v="-150000"/>
    <n v="0"/>
    <n v="150000"/>
    <x v="25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2T00:00:00"/>
    <x v="3"/>
    <x v="0"/>
    <x v="0"/>
    <n v="10000"/>
    <n v="10000"/>
    <n v="0"/>
    <x v="255"/>
    <s v="Administración"/>
    <m/>
    <m/>
    <m/>
    <m/>
    <m/>
    <m/>
    <m/>
  </r>
  <r>
    <d v="2021-03-22T00:00:00"/>
    <x v="3"/>
    <x v="19"/>
    <x v="19"/>
    <n v="-10000"/>
    <n v="0"/>
    <n v="10000"/>
    <x v="25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2T00:00:00"/>
    <x v="3"/>
    <x v="0"/>
    <x v="0"/>
    <n v="10000"/>
    <n v="10000"/>
    <n v="0"/>
    <x v="173"/>
    <s v="Administración"/>
    <m/>
    <m/>
    <m/>
    <m/>
    <m/>
    <m/>
    <m/>
  </r>
  <r>
    <d v="2021-03-22T00:00:00"/>
    <x v="3"/>
    <x v="19"/>
    <x v="19"/>
    <n v="-10000"/>
    <n v="0"/>
    <n v="10000"/>
    <x v="17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2T00:00:00"/>
    <x v="3"/>
    <x v="0"/>
    <x v="0"/>
    <n v="5000"/>
    <n v="5000"/>
    <n v="0"/>
    <x v="256"/>
    <s v="Administración"/>
    <m/>
    <m/>
    <m/>
    <m/>
    <m/>
    <m/>
    <m/>
  </r>
  <r>
    <d v="2021-03-22T00:00:00"/>
    <x v="3"/>
    <x v="19"/>
    <x v="19"/>
    <n v="-5000"/>
    <n v="0"/>
    <n v="5000"/>
    <x v="25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2T00:00:00"/>
    <x v="3"/>
    <x v="0"/>
    <x v="0"/>
    <n v="10000"/>
    <n v="10000"/>
    <n v="0"/>
    <x v="76"/>
    <s v="Administración"/>
    <m/>
    <m/>
    <m/>
    <m/>
    <m/>
    <m/>
    <m/>
  </r>
  <r>
    <d v="2021-03-22T00:00:00"/>
    <x v="3"/>
    <x v="19"/>
    <x v="19"/>
    <n v="-10000"/>
    <n v="0"/>
    <n v="10000"/>
    <x v="7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2T00:00:00"/>
    <x v="3"/>
    <x v="0"/>
    <x v="0"/>
    <n v="5000"/>
    <n v="5000"/>
    <n v="0"/>
    <x v="257"/>
    <s v="Administración"/>
    <m/>
    <m/>
    <m/>
    <m/>
    <m/>
    <m/>
    <m/>
  </r>
  <r>
    <d v="2021-03-22T00:00:00"/>
    <x v="3"/>
    <x v="19"/>
    <x v="19"/>
    <n v="-5000"/>
    <n v="0"/>
    <n v="5000"/>
    <x v="25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2T00:00:00"/>
    <x v="3"/>
    <x v="0"/>
    <x v="0"/>
    <n v="30000"/>
    <n v="30000"/>
    <n v="0"/>
    <x v="148"/>
    <s v="Administración"/>
    <m/>
    <m/>
    <m/>
    <m/>
    <m/>
    <m/>
    <m/>
  </r>
  <r>
    <d v="2021-03-22T00:00:00"/>
    <x v="3"/>
    <x v="19"/>
    <x v="19"/>
    <n v="-30000"/>
    <n v="0"/>
    <n v="30000"/>
    <x v="14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2T00:00:00"/>
    <x v="3"/>
    <x v="0"/>
    <x v="0"/>
    <n v="296000"/>
    <n v="296000"/>
    <n v="0"/>
    <x v="258"/>
    <s v="Administración"/>
    <m/>
    <m/>
    <m/>
    <m/>
    <m/>
    <m/>
    <m/>
  </r>
  <r>
    <d v="2021-03-22T00:00:00"/>
    <x v="3"/>
    <x v="19"/>
    <x v="19"/>
    <n v="-296000"/>
    <n v="0"/>
    <n v="296000"/>
    <x v="25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3T00:00:00"/>
    <x v="3"/>
    <x v="0"/>
    <x v="0"/>
    <n v="9800"/>
    <n v="9800"/>
    <n v="0"/>
    <x v="259"/>
    <s v="Administración"/>
    <m/>
    <m/>
    <m/>
    <m/>
    <m/>
    <m/>
    <m/>
  </r>
  <r>
    <d v="2021-03-23T00:00:00"/>
    <x v="3"/>
    <x v="20"/>
    <x v="20"/>
    <n v="-9800"/>
    <n v="0"/>
    <n v="9800"/>
    <x v="25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3T00:00:00"/>
    <x v="3"/>
    <x v="0"/>
    <x v="0"/>
    <n v="20000"/>
    <n v="20000"/>
    <n v="0"/>
    <x v="152"/>
    <s v="Administración"/>
    <m/>
    <m/>
    <m/>
    <m/>
    <m/>
    <m/>
    <m/>
  </r>
  <r>
    <d v="2021-03-23T00:00:00"/>
    <x v="3"/>
    <x v="19"/>
    <x v="19"/>
    <n v="-20000"/>
    <n v="0"/>
    <n v="20000"/>
    <x v="15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3T00:00:00"/>
    <x v="3"/>
    <x v="0"/>
    <x v="0"/>
    <n v="100000"/>
    <n v="100000"/>
    <n v="0"/>
    <x v="260"/>
    <s v="Administración"/>
    <m/>
    <m/>
    <m/>
    <m/>
    <m/>
    <m/>
    <m/>
  </r>
  <r>
    <d v="2021-03-23T00:00:00"/>
    <x v="3"/>
    <x v="41"/>
    <x v="40"/>
    <n v="-100000"/>
    <n v="0"/>
    <n v="100000"/>
    <x v="26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3T00:00:00"/>
    <x v="3"/>
    <x v="0"/>
    <x v="0"/>
    <n v="50000"/>
    <n v="50000"/>
    <n v="0"/>
    <x v="261"/>
    <s v="Administración"/>
    <m/>
    <m/>
    <m/>
    <m/>
    <m/>
    <m/>
    <m/>
  </r>
  <r>
    <d v="2021-03-23T00:00:00"/>
    <x v="3"/>
    <x v="19"/>
    <x v="19"/>
    <n v="-50000"/>
    <n v="0"/>
    <n v="50000"/>
    <x v="2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4T00:00:00"/>
    <x v="3"/>
    <x v="0"/>
    <x v="0"/>
    <n v="20000"/>
    <n v="20000"/>
    <n v="0"/>
    <x v="262"/>
    <s v="Administración"/>
    <m/>
    <m/>
    <m/>
    <m/>
    <m/>
    <m/>
    <m/>
  </r>
  <r>
    <d v="2021-03-24T00:00:00"/>
    <x v="3"/>
    <x v="19"/>
    <x v="19"/>
    <n v="-20000"/>
    <n v="0"/>
    <n v="20000"/>
    <x v="26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4T00:00:00"/>
    <x v="3"/>
    <x v="6"/>
    <x v="6"/>
    <n v="50000"/>
    <n v="50000"/>
    <n v="0"/>
    <x v="263"/>
    <s v="Administración"/>
    <m/>
    <m/>
    <m/>
    <m/>
    <m/>
    <m/>
    <m/>
  </r>
  <r>
    <d v="2021-03-24T00:00:00"/>
    <x v="3"/>
    <x v="42"/>
    <x v="23"/>
    <n v="-50000"/>
    <n v="0"/>
    <n v="50000"/>
    <x v="26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4T00:00:00"/>
    <x v="3"/>
    <x v="0"/>
    <x v="0"/>
    <n v="25000"/>
    <n v="25000"/>
    <n v="0"/>
    <x v="264"/>
    <s v="Administración"/>
    <m/>
    <m/>
    <m/>
    <m/>
    <m/>
    <m/>
    <m/>
  </r>
  <r>
    <d v="2021-03-24T00:00:00"/>
    <x v="3"/>
    <x v="42"/>
    <x v="23"/>
    <n v="-25000"/>
    <n v="0"/>
    <n v="25000"/>
    <x v="26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4T00:00:00"/>
    <x v="3"/>
    <x v="0"/>
    <x v="0"/>
    <n v="20000"/>
    <n v="20000"/>
    <n v="0"/>
    <x v="265"/>
    <s v="Administración"/>
    <m/>
    <m/>
    <m/>
    <m/>
    <m/>
    <m/>
    <m/>
  </r>
  <r>
    <d v="2021-03-24T00:00:00"/>
    <x v="3"/>
    <x v="19"/>
    <x v="19"/>
    <n v="-20000"/>
    <n v="0"/>
    <n v="20000"/>
    <x v="26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5T00:00:00"/>
    <x v="3"/>
    <x v="31"/>
    <x v="31"/>
    <n v="50455"/>
    <n v="50455"/>
    <n v="0"/>
    <x v="151"/>
    <s v="Administración"/>
    <m/>
    <m/>
    <m/>
    <m/>
    <m/>
    <m/>
    <m/>
  </r>
  <r>
    <d v="2021-03-25T00:00:00"/>
    <x v="3"/>
    <x v="0"/>
    <x v="0"/>
    <n v="-50455"/>
    <n v="0"/>
    <n v="50455"/>
    <x v="15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5T00:00:00"/>
    <x v="3"/>
    <x v="0"/>
    <x v="0"/>
    <n v="20000"/>
    <n v="20000"/>
    <n v="0"/>
    <x v="266"/>
    <s v="Administración"/>
    <m/>
    <m/>
    <m/>
    <m/>
    <m/>
    <m/>
    <m/>
  </r>
  <r>
    <d v="2021-03-25T00:00:00"/>
    <x v="3"/>
    <x v="19"/>
    <x v="19"/>
    <n v="-20000"/>
    <n v="0"/>
    <n v="20000"/>
    <x v="26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5T00:00:00"/>
    <x v="3"/>
    <x v="0"/>
    <x v="0"/>
    <n v="4900"/>
    <n v="4900"/>
    <n v="0"/>
    <x v="267"/>
    <s v="Administración"/>
    <m/>
    <m/>
    <m/>
    <m/>
    <m/>
    <m/>
    <m/>
  </r>
  <r>
    <d v="2021-03-25T00:00:00"/>
    <x v="3"/>
    <x v="19"/>
    <x v="19"/>
    <n v="-4900"/>
    <n v="0"/>
    <n v="4900"/>
    <x v="26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5T00:00:00"/>
    <x v="3"/>
    <x v="0"/>
    <x v="0"/>
    <n v="12500"/>
    <n v="12500"/>
    <n v="0"/>
    <x v="268"/>
    <s v="Administración"/>
    <m/>
    <m/>
    <m/>
    <m/>
    <m/>
    <m/>
    <m/>
  </r>
  <r>
    <d v="2021-03-25T00:00:00"/>
    <x v="3"/>
    <x v="42"/>
    <x v="23"/>
    <n v="-12500"/>
    <n v="0"/>
    <n v="12500"/>
    <x v="26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6T00:00:00"/>
    <x v="3"/>
    <x v="0"/>
    <x v="0"/>
    <n v="30000"/>
    <n v="30000"/>
    <n v="0"/>
    <x v="269"/>
    <s v="Administración"/>
    <m/>
    <m/>
    <m/>
    <m/>
    <m/>
    <m/>
    <m/>
  </r>
  <r>
    <d v="2021-03-26T00:00:00"/>
    <x v="3"/>
    <x v="19"/>
    <x v="19"/>
    <n v="-30000"/>
    <n v="0"/>
    <n v="30000"/>
    <x v="26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6T00:00:00"/>
    <x v="3"/>
    <x v="0"/>
    <x v="0"/>
    <n v="12000"/>
    <n v="12000"/>
    <n v="0"/>
    <x v="270"/>
    <s v="Administración"/>
    <m/>
    <m/>
    <m/>
    <m/>
    <m/>
    <m/>
    <m/>
  </r>
  <r>
    <d v="2021-03-26T00:00:00"/>
    <x v="3"/>
    <x v="24"/>
    <x v="24"/>
    <n v="-12000"/>
    <n v="0"/>
    <n v="12000"/>
    <x v="27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32750"/>
    <n v="32750"/>
    <n v="0"/>
    <x v="271"/>
    <s v="Administración"/>
    <m/>
    <m/>
    <m/>
    <m/>
    <m/>
    <m/>
    <m/>
  </r>
  <r>
    <d v="2021-03-29T00:00:00"/>
    <x v="3"/>
    <x v="42"/>
    <x v="23"/>
    <n v="-32750"/>
    <n v="0"/>
    <n v="32750"/>
    <x v="27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15000"/>
    <n v="15000"/>
    <n v="0"/>
    <x v="272"/>
    <s v="Administración"/>
    <m/>
    <m/>
    <m/>
    <m/>
    <m/>
    <m/>
    <m/>
  </r>
  <r>
    <d v="2021-03-29T00:00:00"/>
    <x v="3"/>
    <x v="19"/>
    <x v="19"/>
    <n v="-15000"/>
    <n v="0"/>
    <n v="15000"/>
    <x v="2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5000"/>
    <n v="5000"/>
    <n v="0"/>
    <x v="273"/>
    <s v="Administración"/>
    <m/>
    <m/>
    <m/>
    <m/>
    <m/>
    <m/>
    <m/>
  </r>
  <r>
    <d v="2021-03-29T00:00:00"/>
    <x v="3"/>
    <x v="19"/>
    <x v="19"/>
    <n v="-5000"/>
    <n v="0"/>
    <n v="5000"/>
    <x v="27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100000"/>
    <n v="100000"/>
    <n v="0"/>
    <x v="172"/>
    <s v="Administración"/>
    <m/>
    <m/>
    <m/>
    <m/>
    <m/>
    <m/>
    <m/>
  </r>
  <r>
    <d v="2021-03-29T00:00:00"/>
    <x v="3"/>
    <x v="19"/>
    <x v="19"/>
    <n v="-100000"/>
    <n v="0"/>
    <n v="100000"/>
    <x v="1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10000"/>
    <n v="10000"/>
    <n v="0"/>
    <x v="250"/>
    <s v="Administración"/>
    <m/>
    <m/>
    <m/>
    <m/>
    <m/>
    <m/>
    <m/>
  </r>
  <r>
    <d v="2021-03-29T00:00:00"/>
    <x v="3"/>
    <x v="19"/>
    <x v="19"/>
    <n v="-10000"/>
    <n v="0"/>
    <n v="10000"/>
    <x v="25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10000"/>
    <n v="10000"/>
    <n v="0"/>
    <x v="78"/>
    <s v="Administración"/>
    <m/>
    <m/>
    <m/>
    <m/>
    <m/>
    <m/>
    <m/>
  </r>
  <r>
    <d v="2021-03-29T00:00:00"/>
    <x v="3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10000"/>
    <n v="10000"/>
    <n v="0"/>
    <x v="217"/>
    <s v="Administración"/>
    <m/>
    <m/>
    <m/>
    <m/>
    <m/>
    <m/>
    <m/>
  </r>
  <r>
    <d v="2021-03-29T00:00:00"/>
    <x v="3"/>
    <x v="19"/>
    <x v="19"/>
    <n v="-10000"/>
    <n v="0"/>
    <n v="10000"/>
    <x v="21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20000"/>
    <n v="20000"/>
    <n v="0"/>
    <x v="146"/>
    <s v="Administración"/>
    <m/>
    <m/>
    <m/>
    <m/>
    <m/>
    <m/>
    <m/>
  </r>
  <r>
    <d v="2021-03-29T00:00:00"/>
    <x v="3"/>
    <x v="19"/>
    <x v="19"/>
    <n v="-20000"/>
    <n v="0"/>
    <n v="20000"/>
    <x v="14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20000"/>
    <n v="20000"/>
    <n v="0"/>
    <x v="227"/>
    <s v="Administración"/>
    <m/>
    <m/>
    <m/>
    <m/>
    <m/>
    <m/>
    <m/>
  </r>
  <r>
    <d v="2021-03-29T00:00:00"/>
    <x v="3"/>
    <x v="19"/>
    <x v="19"/>
    <n v="-20000"/>
    <n v="0"/>
    <n v="20000"/>
    <x v="22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3000"/>
    <n v="3000"/>
    <n v="0"/>
    <x v="115"/>
    <s v="Administración"/>
    <m/>
    <m/>
    <m/>
    <m/>
    <m/>
    <m/>
    <m/>
  </r>
  <r>
    <d v="2021-03-29T00:00:00"/>
    <x v="3"/>
    <x v="19"/>
    <x v="19"/>
    <n v="-3000"/>
    <n v="0"/>
    <n v="3000"/>
    <x v="1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5000"/>
    <n v="5000"/>
    <n v="0"/>
    <x v="200"/>
    <s v="Administración"/>
    <m/>
    <m/>
    <m/>
    <m/>
    <m/>
    <m/>
    <m/>
  </r>
  <r>
    <d v="2021-03-29T00:00:00"/>
    <x v="3"/>
    <x v="19"/>
    <x v="19"/>
    <n v="-5000"/>
    <n v="0"/>
    <n v="5000"/>
    <x v="20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25000"/>
    <n v="25000"/>
    <n v="0"/>
    <x v="274"/>
    <s v="Administración"/>
    <m/>
    <m/>
    <m/>
    <m/>
    <m/>
    <m/>
    <m/>
  </r>
  <r>
    <d v="2021-03-29T00:00:00"/>
    <x v="3"/>
    <x v="19"/>
    <x v="19"/>
    <n v="-25000"/>
    <n v="0"/>
    <n v="25000"/>
    <x v="27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30000"/>
    <n v="30000"/>
    <n v="0"/>
    <x v="274"/>
    <s v="Administración"/>
    <m/>
    <m/>
    <m/>
    <m/>
    <m/>
    <m/>
    <m/>
  </r>
  <r>
    <d v="2021-03-29T00:00:00"/>
    <x v="3"/>
    <x v="19"/>
    <x v="19"/>
    <n v="-30000"/>
    <n v="0"/>
    <n v="30000"/>
    <x v="27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10000"/>
    <n v="10000"/>
    <n v="0"/>
    <x v="275"/>
    <s v="Administración"/>
    <m/>
    <m/>
    <m/>
    <m/>
    <m/>
    <m/>
    <m/>
  </r>
  <r>
    <d v="2021-03-29T00:00:00"/>
    <x v="3"/>
    <x v="19"/>
    <x v="19"/>
    <n v="-10000"/>
    <n v="0"/>
    <n v="10000"/>
    <x v="27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20000"/>
    <n v="20000"/>
    <n v="0"/>
    <x v="276"/>
    <s v="Administración"/>
    <m/>
    <m/>
    <m/>
    <m/>
    <m/>
    <m/>
    <m/>
  </r>
  <r>
    <d v="2021-03-29T00:00:00"/>
    <x v="3"/>
    <x v="19"/>
    <x v="19"/>
    <n v="-20000"/>
    <n v="0"/>
    <n v="20000"/>
    <x v="27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20000"/>
    <n v="20000"/>
    <n v="0"/>
    <x v="277"/>
    <s v="Administración"/>
    <m/>
    <m/>
    <m/>
    <m/>
    <m/>
    <m/>
    <m/>
  </r>
  <r>
    <d v="2021-03-29T00:00:00"/>
    <x v="3"/>
    <x v="6"/>
    <x v="6"/>
    <n v="-20000"/>
    <n v="0"/>
    <n v="20000"/>
    <x v="27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250000"/>
    <n v="250000"/>
    <n v="0"/>
    <x v="278"/>
    <s v="Administración"/>
    <m/>
    <m/>
    <m/>
    <m/>
    <m/>
    <m/>
    <m/>
  </r>
  <r>
    <d v="2021-03-29T00:00:00"/>
    <x v="3"/>
    <x v="6"/>
    <x v="6"/>
    <n v="-250000"/>
    <n v="0"/>
    <n v="250000"/>
    <x v="2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5000"/>
    <n v="5000"/>
    <n v="0"/>
    <x v="253"/>
    <s v="Administración"/>
    <m/>
    <m/>
    <m/>
    <m/>
    <m/>
    <m/>
    <m/>
  </r>
  <r>
    <d v="2021-03-29T00:00:00"/>
    <x v="3"/>
    <x v="19"/>
    <x v="19"/>
    <n v="-5000"/>
    <n v="0"/>
    <n v="5000"/>
    <x v="25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10000"/>
    <n v="10000"/>
    <n v="0"/>
    <x v="279"/>
    <s v="Administración"/>
    <m/>
    <m/>
    <m/>
    <m/>
    <m/>
    <m/>
    <m/>
  </r>
  <r>
    <d v="2021-03-29T00:00:00"/>
    <x v="3"/>
    <x v="19"/>
    <x v="19"/>
    <n v="-10000"/>
    <n v="0"/>
    <n v="10000"/>
    <x v="27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30000"/>
    <n v="30000"/>
    <n v="0"/>
    <x v="93"/>
    <s v="Administración"/>
    <m/>
    <m/>
    <m/>
    <m/>
    <m/>
    <m/>
    <m/>
  </r>
  <r>
    <d v="2021-03-29T00:00:00"/>
    <x v="3"/>
    <x v="19"/>
    <x v="19"/>
    <n v="-30000"/>
    <n v="0"/>
    <n v="30000"/>
    <x v="9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5000"/>
    <n v="5000"/>
    <n v="0"/>
    <x v="173"/>
    <s v="Administración"/>
    <m/>
    <m/>
    <m/>
    <m/>
    <m/>
    <m/>
    <m/>
  </r>
  <r>
    <d v="2021-03-29T00:00:00"/>
    <x v="3"/>
    <x v="19"/>
    <x v="19"/>
    <n v="-5000"/>
    <n v="0"/>
    <n v="5000"/>
    <x v="17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20000"/>
    <n v="20000"/>
    <n v="0"/>
    <x v="280"/>
    <s v="Administración"/>
    <m/>
    <m/>
    <m/>
    <m/>
    <m/>
    <m/>
    <m/>
  </r>
  <r>
    <d v="2021-03-29T00:00:00"/>
    <x v="3"/>
    <x v="19"/>
    <x v="19"/>
    <n v="-20000"/>
    <n v="0"/>
    <n v="20000"/>
    <x v="28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50000"/>
    <n v="50000"/>
    <n v="0"/>
    <x v="281"/>
    <s v="Administración"/>
    <m/>
    <m/>
    <m/>
    <m/>
    <m/>
    <m/>
    <m/>
  </r>
  <r>
    <d v="2021-03-29T00:00:00"/>
    <x v="3"/>
    <x v="19"/>
    <x v="19"/>
    <n v="-50000"/>
    <n v="0"/>
    <n v="50000"/>
    <x v="28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10000"/>
    <n v="10000"/>
    <n v="0"/>
    <x v="76"/>
    <s v="Administración"/>
    <m/>
    <m/>
    <m/>
    <m/>
    <m/>
    <m/>
    <m/>
  </r>
  <r>
    <d v="2021-03-29T00:00:00"/>
    <x v="3"/>
    <x v="19"/>
    <x v="19"/>
    <n v="-10000"/>
    <n v="0"/>
    <n v="10000"/>
    <x v="7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40000"/>
    <n v="40000"/>
    <n v="0"/>
    <x v="282"/>
    <s v="Administración"/>
    <m/>
    <m/>
    <m/>
    <m/>
    <m/>
    <m/>
    <m/>
  </r>
  <r>
    <d v="2021-03-29T00:00:00"/>
    <x v="3"/>
    <x v="19"/>
    <x v="19"/>
    <n v="-40000"/>
    <n v="0"/>
    <n v="40000"/>
    <x v="28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2000"/>
    <n v="2000"/>
    <n v="0"/>
    <x v="283"/>
    <s v="Administración"/>
    <m/>
    <m/>
    <m/>
    <m/>
    <m/>
    <m/>
    <m/>
  </r>
  <r>
    <d v="2021-03-29T00:00:00"/>
    <x v="3"/>
    <x v="19"/>
    <x v="19"/>
    <n v="-2000"/>
    <n v="0"/>
    <n v="2000"/>
    <x v="2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9800"/>
    <n v="9800"/>
    <n v="0"/>
    <x v="284"/>
    <s v="Administración"/>
    <m/>
    <m/>
    <m/>
    <m/>
    <m/>
    <m/>
    <m/>
  </r>
  <r>
    <d v="2021-03-29T00:00:00"/>
    <x v="3"/>
    <x v="19"/>
    <x v="19"/>
    <n v="-9800"/>
    <n v="0"/>
    <n v="9800"/>
    <x v="28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5000"/>
    <n v="5000"/>
    <n v="0"/>
    <x v="98"/>
    <s v="Administración"/>
    <m/>
    <m/>
    <m/>
    <m/>
    <m/>
    <m/>
    <m/>
  </r>
  <r>
    <d v="2021-03-29T00:00:00"/>
    <x v="3"/>
    <x v="19"/>
    <x v="19"/>
    <n v="-5000"/>
    <n v="0"/>
    <n v="5000"/>
    <x v="9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10000"/>
    <n v="10000"/>
    <n v="0"/>
    <x v="285"/>
    <s v="Administración"/>
    <m/>
    <m/>
    <m/>
    <m/>
    <m/>
    <m/>
    <m/>
  </r>
  <r>
    <d v="2021-03-29T00:00:00"/>
    <x v="3"/>
    <x v="19"/>
    <x v="19"/>
    <n v="-10000"/>
    <n v="0"/>
    <n v="10000"/>
    <x v="28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29T00:00:00"/>
    <x v="3"/>
    <x v="0"/>
    <x v="0"/>
    <n v="15000"/>
    <n v="15000"/>
    <n v="0"/>
    <x v="92"/>
    <s v="Administración"/>
    <m/>
    <m/>
    <m/>
    <m/>
    <m/>
    <m/>
    <m/>
  </r>
  <r>
    <d v="2021-03-29T00:00:00"/>
    <x v="3"/>
    <x v="19"/>
    <x v="19"/>
    <n v="-15000"/>
    <n v="0"/>
    <n v="15000"/>
    <x v="9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0T00:00:00"/>
    <x v="3"/>
    <x v="36"/>
    <x v="35"/>
    <n v="3044831"/>
    <n v="3044831"/>
    <n v="0"/>
    <x v="72"/>
    <s v="Administración"/>
    <m/>
    <m/>
    <m/>
    <m/>
    <m/>
    <m/>
    <m/>
  </r>
  <r>
    <d v="2021-03-30T00:00:00"/>
    <x v="3"/>
    <x v="37"/>
    <x v="36"/>
    <n v="909484"/>
    <n v="909484"/>
    <n v="0"/>
    <x v="72"/>
    <s v="Administración"/>
    <m/>
    <m/>
    <m/>
    <m/>
    <m/>
    <m/>
    <m/>
  </r>
  <r>
    <d v="2021-03-30T00:00:00"/>
    <x v="3"/>
    <x v="36"/>
    <x v="35"/>
    <n v="52252"/>
    <n v="52252"/>
    <n v="0"/>
    <x v="72"/>
    <s v="Administración"/>
    <m/>
    <m/>
    <m/>
    <m/>
    <m/>
    <m/>
    <m/>
  </r>
  <r>
    <d v="2021-03-30T00:00:00"/>
    <x v="3"/>
    <x v="11"/>
    <x v="11"/>
    <n v="-3391035"/>
    <n v="0"/>
    <n v="3391035"/>
    <x v="72"/>
    <s v="Administración"/>
    <m/>
    <m/>
    <m/>
    <m/>
    <m/>
    <m/>
    <m/>
  </r>
  <r>
    <d v="2021-03-30T00:00:00"/>
    <x v="3"/>
    <x v="10"/>
    <x v="10"/>
    <n v="-410052"/>
    <n v="0"/>
    <n v="410052"/>
    <x v="72"/>
    <s v="Administración"/>
    <m/>
    <m/>
    <m/>
    <m/>
    <m/>
    <m/>
    <m/>
  </r>
  <r>
    <d v="2021-03-30T00:00:00"/>
    <x v="3"/>
    <x v="10"/>
    <x v="10"/>
    <n v="-174484"/>
    <n v="0"/>
    <n v="174484"/>
    <x v="72"/>
    <s v="Administración"/>
    <m/>
    <m/>
    <m/>
    <m/>
    <m/>
    <m/>
    <m/>
  </r>
  <r>
    <d v="2021-03-30T00:00:00"/>
    <x v="3"/>
    <x v="36"/>
    <x v="35"/>
    <n v="-14490"/>
    <n v="0"/>
    <n v="14490"/>
    <x v="170"/>
    <s v="Administración"/>
    <m/>
    <m/>
    <m/>
    <m/>
    <m/>
    <m/>
    <m/>
  </r>
  <r>
    <d v="2021-03-30T00:00:00"/>
    <x v="3"/>
    <x v="9"/>
    <x v="9"/>
    <n v="-16506"/>
    <n v="0"/>
    <n v="16506"/>
    <x v="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0T00:00:00"/>
    <x v="3"/>
    <x v="11"/>
    <x v="11"/>
    <n v="780690"/>
    <n v="780690"/>
    <n v="0"/>
    <x v="286"/>
    <s v="Administración"/>
    <m/>
    <m/>
    <m/>
    <m/>
    <m/>
    <m/>
    <m/>
  </r>
  <r>
    <d v="2021-03-30T00:00:00"/>
    <x v="3"/>
    <x v="11"/>
    <x v="11"/>
    <n v="516141"/>
    <n v="516141"/>
    <n v="0"/>
    <x v="287"/>
    <s v="Administración"/>
    <m/>
    <m/>
    <m/>
    <m/>
    <m/>
    <m/>
    <m/>
  </r>
  <r>
    <d v="2021-03-30T00:00:00"/>
    <x v="3"/>
    <x v="11"/>
    <x v="11"/>
    <n v="240776"/>
    <n v="240776"/>
    <n v="0"/>
    <x v="288"/>
    <s v="Administración"/>
    <m/>
    <m/>
    <m/>
    <m/>
    <m/>
    <m/>
    <m/>
  </r>
  <r>
    <d v="2021-03-30T00:00:00"/>
    <x v="3"/>
    <x v="11"/>
    <x v="11"/>
    <n v="1118428"/>
    <n v="1118428"/>
    <n v="0"/>
    <x v="289"/>
    <s v="Administración"/>
    <m/>
    <m/>
    <m/>
    <m/>
    <m/>
    <m/>
    <m/>
  </r>
  <r>
    <d v="2021-03-30T00:00:00"/>
    <x v="3"/>
    <x v="11"/>
    <x v="11"/>
    <n v="735000"/>
    <n v="735000"/>
    <n v="0"/>
    <x v="290"/>
    <s v="Administración"/>
    <m/>
    <m/>
    <m/>
    <m/>
    <m/>
    <m/>
    <m/>
  </r>
  <r>
    <d v="2021-03-30T00:00:00"/>
    <x v="3"/>
    <x v="0"/>
    <x v="0"/>
    <n v="-3391035"/>
    <n v="0"/>
    <n v="3391035"/>
    <x v="29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0T00:00:00"/>
    <x v="3"/>
    <x v="34"/>
    <x v="34"/>
    <n v="478099"/>
    <n v="478099"/>
    <n v="0"/>
    <x v="292"/>
    <s v="Administración"/>
    <m/>
    <m/>
    <m/>
    <m/>
    <m/>
    <m/>
    <m/>
  </r>
  <r>
    <d v="2021-03-30T00:00:00"/>
    <x v="3"/>
    <x v="0"/>
    <x v="0"/>
    <n v="-478099"/>
    <n v="0"/>
    <n v="478099"/>
    <x v="29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0T00:00:00"/>
    <x v="3"/>
    <x v="40"/>
    <x v="39"/>
    <n v="201090"/>
    <n v="201090"/>
    <n v="0"/>
    <x v="293"/>
    <s v="Administración"/>
    <m/>
    <m/>
    <m/>
    <m/>
    <m/>
    <m/>
    <m/>
  </r>
  <r>
    <d v="2021-03-30T00:00:00"/>
    <x v="3"/>
    <x v="0"/>
    <x v="0"/>
    <n v="-201090"/>
    <n v="0"/>
    <n v="201090"/>
    <x v="29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0T00:00:00"/>
    <x v="3"/>
    <x v="40"/>
    <x v="39"/>
    <n v="33898"/>
    <n v="33898"/>
    <n v="0"/>
    <x v="294"/>
    <s v="Administración"/>
    <m/>
    <m/>
    <m/>
    <m/>
    <m/>
    <m/>
    <m/>
  </r>
  <r>
    <d v="2021-03-30T00:00:00"/>
    <x v="3"/>
    <x v="9"/>
    <x v="9"/>
    <n v="-3898"/>
    <n v="0"/>
    <n v="3898"/>
    <x v="294"/>
    <s v="Administración"/>
    <m/>
    <m/>
    <m/>
    <m/>
    <m/>
    <m/>
    <m/>
  </r>
  <r>
    <d v="2021-03-30T00:00:00"/>
    <x v="3"/>
    <x v="0"/>
    <x v="0"/>
    <n v="-30000"/>
    <n v="0"/>
    <n v="30000"/>
    <x v="29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0T00:00:00"/>
    <x v="3"/>
    <x v="0"/>
    <x v="0"/>
    <n v="29562"/>
    <n v="29562"/>
    <n v="0"/>
    <x v="284"/>
    <s v="Administración"/>
    <m/>
    <m/>
    <m/>
    <m/>
    <m/>
    <m/>
    <m/>
  </r>
  <r>
    <d v="2021-03-30T00:00:00"/>
    <x v="3"/>
    <x v="19"/>
    <x v="19"/>
    <n v="-29562"/>
    <n v="0"/>
    <n v="29562"/>
    <x v="28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0T00:00:00"/>
    <x v="3"/>
    <x v="0"/>
    <x v="0"/>
    <n v="12000"/>
    <n v="12000"/>
    <n v="0"/>
    <x v="206"/>
    <s v="Administración"/>
    <m/>
    <m/>
    <m/>
    <m/>
    <m/>
    <m/>
    <m/>
  </r>
  <r>
    <d v="2021-03-30T00:00:00"/>
    <x v="3"/>
    <x v="19"/>
    <x v="19"/>
    <n v="-12000"/>
    <n v="0"/>
    <n v="12000"/>
    <x v="20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0T00:00:00"/>
    <x v="3"/>
    <x v="0"/>
    <x v="0"/>
    <n v="25000"/>
    <n v="25000"/>
    <n v="0"/>
    <x v="295"/>
    <s v="Administración"/>
    <m/>
    <m/>
    <m/>
    <m/>
    <m/>
    <m/>
    <m/>
  </r>
  <r>
    <d v="2021-03-30T00:00:00"/>
    <x v="3"/>
    <x v="41"/>
    <x v="40"/>
    <n v="-25000"/>
    <n v="0"/>
    <n v="25000"/>
    <x v="29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0T00:00:00"/>
    <x v="3"/>
    <x v="0"/>
    <x v="0"/>
    <n v="20000"/>
    <n v="20000"/>
    <n v="0"/>
    <x v="161"/>
    <s v="Administración"/>
    <m/>
    <m/>
    <m/>
    <m/>
    <m/>
    <m/>
    <m/>
  </r>
  <r>
    <d v="2021-03-30T00:00:00"/>
    <x v="3"/>
    <x v="19"/>
    <x v="19"/>
    <n v="-20000"/>
    <n v="0"/>
    <n v="20000"/>
    <x v="1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0T00:00:00"/>
    <x v="3"/>
    <x v="0"/>
    <x v="0"/>
    <n v="60000"/>
    <n v="60000"/>
    <n v="0"/>
    <x v="296"/>
    <s v="Administración"/>
    <m/>
    <m/>
    <m/>
    <m/>
    <m/>
    <m/>
    <m/>
  </r>
  <r>
    <d v="2021-03-30T00:00:00"/>
    <x v="3"/>
    <x v="19"/>
    <x v="19"/>
    <n v="-60000"/>
    <n v="0"/>
    <n v="60000"/>
    <x v="2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0T00:00:00"/>
    <x v="3"/>
    <x v="0"/>
    <x v="0"/>
    <n v="25000"/>
    <n v="25000"/>
    <n v="0"/>
    <x v="132"/>
    <s v="Administración"/>
    <m/>
    <m/>
    <m/>
    <m/>
    <m/>
    <m/>
    <m/>
  </r>
  <r>
    <d v="2021-03-30T00:00:00"/>
    <x v="3"/>
    <x v="19"/>
    <x v="19"/>
    <n v="-25000"/>
    <n v="0"/>
    <n v="25000"/>
    <x v="13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0T00:00:00"/>
    <x v="3"/>
    <x v="0"/>
    <x v="0"/>
    <n v="60000"/>
    <n v="60000"/>
    <n v="0"/>
    <x v="297"/>
    <s v="Administración"/>
    <m/>
    <m/>
    <m/>
    <m/>
    <m/>
    <m/>
    <m/>
  </r>
  <r>
    <d v="2021-03-30T00:00:00"/>
    <x v="3"/>
    <x v="6"/>
    <x v="6"/>
    <n v="-60000"/>
    <n v="0"/>
    <n v="60000"/>
    <x v="29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0T00:00:00"/>
    <x v="3"/>
    <x v="35"/>
    <x v="21"/>
    <n v="150000"/>
    <n v="150000"/>
    <n v="0"/>
    <x v="298"/>
    <s v="Administración"/>
    <m/>
    <m/>
    <m/>
    <m/>
    <m/>
    <m/>
    <m/>
  </r>
  <r>
    <d v="2021-03-30T00:00:00"/>
    <x v="3"/>
    <x v="0"/>
    <x v="0"/>
    <n v="-150000"/>
    <n v="0"/>
    <n v="150000"/>
    <x v="29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0T00:00:00"/>
    <x v="3"/>
    <x v="0"/>
    <x v="0"/>
    <n v="13000"/>
    <n v="13000"/>
    <n v="0"/>
    <x v="299"/>
    <s v="Administración"/>
    <m/>
    <m/>
    <m/>
    <m/>
    <m/>
    <m/>
    <m/>
  </r>
  <r>
    <d v="2021-03-30T00:00:00"/>
    <x v="3"/>
    <x v="19"/>
    <x v="19"/>
    <n v="-13000"/>
    <n v="0"/>
    <n v="13000"/>
    <x v="29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1T00:00:00"/>
    <x v="3"/>
    <x v="0"/>
    <x v="0"/>
    <n v="10000"/>
    <n v="10000"/>
    <n v="0"/>
    <x v="300"/>
    <s v="Administración"/>
    <m/>
    <m/>
    <m/>
    <m/>
    <m/>
    <m/>
    <m/>
  </r>
  <r>
    <d v="2021-03-31T00:00:00"/>
    <x v="3"/>
    <x v="19"/>
    <x v="19"/>
    <n v="-10000"/>
    <n v="0"/>
    <n v="10000"/>
    <x v="30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1T00:00:00"/>
    <x v="3"/>
    <x v="0"/>
    <x v="0"/>
    <n v="30000"/>
    <n v="30000"/>
    <n v="0"/>
    <x v="163"/>
    <s v="Administración"/>
    <m/>
    <m/>
    <m/>
    <m/>
    <m/>
    <m/>
    <m/>
  </r>
  <r>
    <d v="2021-03-31T00:00:00"/>
    <x v="3"/>
    <x v="19"/>
    <x v="19"/>
    <n v="-30000"/>
    <n v="0"/>
    <n v="30000"/>
    <x v="16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1T00:00:00"/>
    <x v="3"/>
    <x v="22"/>
    <x v="22"/>
    <n v="9412"/>
    <n v="9412"/>
    <n v="0"/>
    <x v="301"/>
    <s v="Administración"/>
    <m/>
    <m/>
    <m/>
    <m/>
    <m/>
    <m/>
    <m/>
  </r>
  <r>
    <d v="2021-03-31T00:00:00"/>
    <x v="3"/>
    <x v="0"/>
    <x v="0"/>
    <n v="-9412"/>
    <n v="0"/>
    <n v="9412"/>
    <x v="30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1T00:00:00"/>
    <x v="3"/>
    <x v="0"/>
    <x v="0"/>
    <n v="20000"/>
    <n v="20000"/>
    <n v="0"/>
    <x v="302"/>
    <s v="Administración"/>
    <m/>
    <m/>
    <m/>
    <m/>
    <m/>
    <m/>
    <m/>
  </r>
  <r>
    <d v="2021-03-31T00:00:00"/>
    <x v="3"/>
    <x v="19"/>
    <x v="19"/>
    <n v="-20000"/>
    <n v="0"/>
    <n v="20000"/>
    <x v="30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1T00:00:00"/>
    <x v="3"/>
    <x v="16"/>
    <x v="16"/>
    <n v="12000"/>
    <n v="12000"/>
    <n v="0"/>
    <x v="164"/>
    <s v="Administración"/>
    <m/>
    <m/>
    <m/>
    <m/>
    <m/>
    <m/>
    <m/>
  </r>
  <r>
    <d v="2021-03-31T00:00:00"/>
    <x v="3"/>
    <x v="16"/>
    <x v="16"/>
    <n v="30000"/>
    <n v="30000"/>
    <n v="0"/>
    <x v="303"/>
    <s v="Administración"/>
    <m/>
    <m/>
    <m/>
    <m/>
    <m/>
    <m/>
    <m/>
  </r>
  <r>
    <d v="2021-03-31T00:00:00"/>
    <x v="3"/>
    <x v="16"/>
    <x v="16"/>
    <n v="5000"/>
    <n v="5000"/>
    <n v="0"/>
    <x v="165"/>
    <s v="Administración"/>
    <m/>
    <m/>
    <m/>
    <m/>
    <m/>
    <m/>
    <m/>
  </r>
  <r>
    <d v="2021-03-31T00:00:00"/>
    <x v="3"/>
    <x v="16"/>
    <x v="16"/>
    <n v="40000"/>
    <n v="40000"/>
    <n v="0"/>
    <x v="304"/>
    <s v="Administración"/>
    <m/>
    <m/>
    <m/>
    <m/>
    <m/>
    <m/>
    <m/>
  </r>
  <r>
    <d v="2021-03-31T00:00:00"/>
    <x v="3"/>
    <x v="16"/>
    <x v="16"/>
    <n v="5000"/>
    <n v="5000"/>
    <n v="0"/>
    <x v="305"/>
    <s v="Administración"/>
    <m/>
    <m/>
    <m/>
    <m/>
    <m/>
    <m/>
    <m/>
  </r>
  <r>
    <d v="2021-03-31T00:00:00"/>
    <x v="3"/>
    <x v="16"/>
    <x v="16"/>
    <n v="48000"/>
    <n v="48000"/>
    <n v="0"/>
    <x v="167"/>
    <s v="Administración"/>
    <m/>
    <m/>
    <m/>
    <m/>
    <m/>
    <m/>
    <m/>
  </r>
  <r>
    <d v="2021-03-31T00:00:00"/>
    <x v="3"/>
    <x v="16"/>
    <x v="16"/>
    <n v="6000"/>
    <n v="6000"/>
    <n v="0"/>
    <x v="168"/>
    <s v="Administración"/>
    <m/>
    <m/>
    <m/>
    <m/>
    <m/>
    <m/>
    <m/>
  </r>
  <r>
    <d v="2021-03-31T00:00:00"/>
    <x v="3"/>
    <x v="19"/>
    <x v="19"/>
    <n v="-12000"/>
    <n v="0"/>
    <n v="12000"/>
    <x v="164"/>
    <s v="Administración"/>
    <m/>
    <m/>
    <m/>
    <m/>
    <m/>
    <m/>
    <m/>
  </r>
  <r>
    <d v="2021-03-31T00:00:00"/>
    <x v="3"/>
    <x v="19"/>
    <x v="19"/>
    <n v="-30000"/>
    <n v="0"/>
    <n v="30000"/>
    <x v="303"/>
    <s v="Administración"/>
    <m/>
    <m/>
    <m/>
    <m/>
    <m/>
    <m/>
    <m/>
  </r>
  <r>
    <d v="2021-03-31T00:00:00"/>
    <x v="3"/>
    <x v="19"/>
    <x v="19"/>
    <n v="-5000"/>
    <n v="0"/>
    <n v="5000"/>
    <x v="165"/>
    <s v="Administración"/>
    <m/>
    <m/>
    <m/>
    <m/>
    <m/>
    <m/>
    <m/>
  </r>
  <r>
    <d v="2021-03-31T00:00:00"/>
    <x v="3"/>
    <x v="19"/>
    <x v="19"/>
    <n v="-40000"/>
    <n v="0"/>
    <n v="40000"/>
    <x v="304"/>
    <s v="Administración"/>
    <m/>
    <m/>
    <m/>
    <m/>
    <m/>
    <m/>
    <m/>
  </r>
  <r>
    <d v="2021-03-31T00:00:00"/>
    <x v="3"/>
    <x v="19"/>
    <x v="19"/>
    <n v="-5000"/>
    <n v="0"/>
    <n v="5000"/>
    <x v="305"/>
    <s v="Administración"/>
    <m/>
    <m/>
    <m/>
    <m/>
    <m/>
    <m/>
    <m/>
  </r>
  <r>
    <d v="2021-03-31T00:00:00"/>
    <x v="3"/>
    <x v="19"/>
    <x v="19"/>
    <n v="-48000"/>
    <n v="0"/>
    <n v="48000"/>
    <x v="167"/>
    <s v="Administración"/>
    <m/>
    <m/>
    <m/>
    <m/>
    <m/>
    <m/>
    <m/>
  </r>
  <r>
    <d v="2021-03-31T00:00:00"/>
    <x v="3"/>
    <x v="19"/>
    <x v="19"/>
    <n v="-6000"/>
    <n v="0"/>
    <n v="6000"/>
    <x v="16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3-31T00:00:00"/>
    <x v="3"/>
    <x v="0"/>
    <x v="0"/>
    <n v="138010"/>
    <n v="138010"/>
    <n v="0"/>
    <x v="306"/>
    <s v="Administración"/>
    <m/>
    <m/>
    <m/>
    <m/>
    <m/>
    <m/>
    <m/>
  </r>
  <r>
    <d v="2021-03-31T00:00:00"/>
    <x v="3"/>
    <x v="19"/>
    <x v="19"/>
    <n v="-138010"/>
    <n v="0"/>
    <n v="138010"/>
    <x v="30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1T00:00:00"/>
    <x v="4"/>
    <x v="0"/>
    <x v="0"/>
    <n v="30000"/>
    <n v="30000"/>
    <n v="0"/>
    <x v="307"/>
    <s v="Administracion"/>
    <m/>
    <m/>
    <m/>
    <m/>
    <m/>
    <m/>
    <m/>
  </r>
  <r>
    <d v="2021-04-01T00:00:00"/>
    <x v="4"/>
    <x v="19"/>
    <x v="19"/>
    <n v="-30000"/>
    <n v="0"/>
    <n v="30000"/>
    <x v="30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1T00:00:00"/>
    <x v="4"/>
    <x v="0"/>
    <x v="0"/>
    <n v="100000"/>
    <n v="100000"/>
    <n v="0"/>
    <x v="84"/>
    <s v="Administracion"/>
    <m/>
    <m/>
    <m/>
    <m/>
    <m/>
    <m/>
    <m/>
  </r>
  <r>
    <d v="2021-04-01T00:00:00"/>
    <x v="4"/>
    <x v="19"/>
    <x v="19"/>
    <n v="-100000"/>
    <n v="0"/>
    <n v="100000"/>
    <x v="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1T00:00:00"/>
    <x v="4"/>
    <x v="0"/>
    <x v="0"/>
    <n v="12000"/>
    <n v="12000"/>
    <n v="0"/>
    <x v="308"/>
    <s v="Administracion"/>
    <m/>
    <m/>
    <m/>
    <m/>
    <m/>
    <m/>
    <m/>
  </r>
  <r>
    <d v="2021-04-01T00:00:00"/>
    <x v="4"/>
    <x v="19"/>
    <x v="19"/>
    <n v="-12000"/>
    <n v="0"/>
    <n v="12000"/>
    <x v="30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1T00:00:00"/>
    <x v="4"/>
    <x v="0"/>
    <x v="0"/>
    <n v="15000"/>
    <n v="15000"/>
    <n v="0"/>
    <x v="85"/>
    <s v="Administracion"/>
    <m/>
    <m/>
    <m/>
    <m/>
    <m/>
    <m/>
    <m/>
  </r>
  <r>
    <d v="2021-04-01T00:00:00"/>
    <x v="4"/>
    <x v="19"/>
    <x v="19"/>
    <n v="-15000"/>
    <n v="0"/>
    <n v="15000"/>
    <x v="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1T00:00:00"/>
    <x v="4"/>
    <x v="0"/>
    <x v="0"/>
    <n v="15000"/>
    <n v="15000"/>
    <n v="0"/>
    <x v="218"/>
    <s v="Administracion"/>
    <m/>
    <m/>
    <m/>
    <m/>
    <m/>
    <m/>
    <m/>
  </r>
  <r>
    <d v="2021-04-01T00:00:00"/>
    <x v="4"/>
    <x v="19"/>
    <x v="19"/>
    <n v="-15000"/>
    <n v="0"/>
    <n v="15000"/>
    <x v="2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1T00:00:00"/>
    <x v="4"/>
    <x v="0"/>
    <x v="0"/>
    <n v="140000"/>
    <n v="140000"/>
    <n v="0"/>
    <x v="309"/>
    <s v="Administracion"/>
    <m/>
    <m/>
    <m/>
    <m/>
    <m/>
    <m/>
    <m/>
  </r>
  <r>
    <d v="2021-04-01T00:00:00"/>
    <x v="4"/>
    <x v="19"/>
    <x v="19"/>
    <n v="-140000"/>
    <n v="0"/>
    <n v="140000"/>
    <x v="30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1T00:00:00"/>
    <x v="4"/>
    <x v="0"/>
    <x v="0"/>
    <n v="42000"/>
    <n v="42000"/>
    <n v="0"/>
    <x v="198"/>
    <s v="Administracion"/>
    <m/>
    <m/>
    <m/>
    <m/>
    <m/>
    <m/>
    <m/>
  </r>
  <r>
    <d v="2021-04-01T00:00:00"/>
    <x v="4"/>
    <x v="19"/>
    <x v="19"/>
    <n v="-42000"/>
    <n v="0"/>
    <n v="42000"/>
    <x v="1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1T00:00:00"/>
    <x v="4"/>
    <x v="0"/>
    <x v="0"/>
    <n v="40000"/>
    <n v="40000"/>
    <n v="0"/>
    <x v="186"/>
    <s v="Administracion"/>
    <m/>
    <m/>
    <m/>
    <m/>
    <m/>
    <m/>
    <m/>
  </r>
  <r>
    <d v="2021-04-01T00:00:00"/>
    <x v="4"/>
    <x v="19"/>
    <x v="19"/>
    <n v="-40000"/>
    <n v="0"/>
    <n v="40000"/>
    <x v="18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0000"/>
    <n v="10000"/>
    <n v="0"/>
    <x v="310"/>
    <s v="Administracion"/>
    <m/>
    <m/>
    <m/>
    <m/>
    <m/>
    <m/>
    <m/>
  </r>
  <r>
    <d v="2021-04-05T00:00:00"/>
    <x v="4"/>
    <x v="20"/>
    <x v="20"/>
    <n v="-10000"/>
    <n v="0"/>
    <n v="10000"/>
    <x v="31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40000"/>
    <n v="40000"/>
    <n v="0"/>
    <x v="311"/>
    <s v="Administracion"/>
    <m/>
    <m/>
    <m/>
    <m/>
    <m/>
    <m/>
    <m/>
  </r>
  <r>
    <d v="2021-04-05T00:00:00"/>
    <x v="4"/>
    <x v="19"/>
    <x v="19"/>
    <n v="-40000"/>
    <n v="0"/>
    <n v="40000"/>
    <x v="31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38"/>
    <x v="37"/>
    <n v="47141"/>
    <n v="47141"/>
    <n v="0"/>
    <x v="312"/>
    <s v="Administracion"/>
    <m/>
    <m/>
    <m/>
    <m/>
    <m/>
    <m/>
    <m/>
  </r>
  <r>
    <d v="2021-04-05T00:00:00"/>
    <x v="4"/>
    <x v="0"/>
    <x v="0"/>
    <n v="-47141"/>
    <n v="0"/>
    <n v="47141"/>
    <x v="3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40000"/>
    <n v="40000"/>
    <n v="0"/>
    <x v="73"/>
    <s v="Administracion"/>
    <m/>
    <m/>
    <m/>
    <m/>
    <m/>
    <m/>
    <m/>
  </r>
  <r>
    <d v="2021-04-05T00:00:00"/>
    <x v="4"/>
    <x v="19"/>
    <x v="19"/>
    <n v="-40000"/>
    <n v="0"/>
    <n v="40000"/>
    <x v="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20000"/>
    <n v="20000"/>
    <n v="0"/>
    <x v="313"/>
    <s v="Administracion"/>
    <m/>
    <m/>
    <m/>
    <m/>
    <m/>
    <m/>
    <m/>
  </r>
  <r>
    <d v="2021-04-05T00:00:00"/>
    <x v="4"/>
    <x v="19"/>
    <x v="19"/>
    <n v="-20000"/>
    <n v="0"/>
    <n v="20000"/>
    <x v="31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50000"/>
    <n v="50000"/>
    <n v="0"/>
    <x v="314"/>
    <s v="Administracion"/>
    <m/>
    <m/>
    <m/>
    <m/>
    <m/>
    <m/>
    <m/>
  </r>
  <r>
    <d v="2021-04-05T00:00:00"/>
    <x v="4"/>
    <x v="19"/>
    <x v="19"/>
    <n v="-50000"/>
    <n v="0"/>
    <n v="50000"/>
    <x v="31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0000"/>
    <n v="10000"/>
    <n v="0"/>
    <x v="315"/>
    <s v="Administracion"/>
    <m/>
    <m/>
    <m/>
    <m/>
    <m/>
    <m/>
    <m/>
  </r>
  <r>
    <d v="2021-04-05T00:00:00"/>
    <x v="4"/>
    <x v="20"/>
    <x v="20"/>
    <n v="-10000"/>
    <n v="0"/>
    <n v="10000"/>
    <x v="3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0000"/>
    <n v="10000"/>
    <n v="0"/>
    <x v="316"/>
    <s v="Administracion"/>
    <m/>
    <m/>
    <m/>
    <m/>
    <m/>
    <m/>
    <m/>
  </r>
  <r>
    <d v="2021-04-05T00:00:00"/>
    <x v="4"/>
    <x v="19"/>
    <x v="19"/>
    <n v="-10000"/>
    <n v="0"/>
    <n v="10000"/>
    <x v="31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00000"/>
    <n v="100000"/>
    <n v="0"/>
    <x v="317"/>
    <s v="Administracion"/>
    <m/>
    <m/>
    <m/>
    <m/>
    <m/>
    <m/>
    <m/>
  </r>
  <r>
    <d v="2021-04-05T00:00:00"/>
    <x v="4"/>
    <x v="19"/>
    <x v="19"/>
    <n v="-100000"/>
    <n v="0"/>
    <n v="100000"/>
    <x v="3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5000"/>
    <n v="15000"/>
    <n v="0"/>
    <x v="185"/>
    <s v="Administracion"/>
    <m/>
    <m/>
    <m/>
    <m/>
    <m/>
    <m/>
    <m/>
  </r>
  <r>
    <d v="2021-04-05T00:00:00"/>
    <x v="4"/>
    <x v="19"/>
    <x v="19"/>
    <n v="-15000"/>
    <n v="0"/>
    <n v="15000"/>
    <x v="1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0000"/>
    <n v="10000"/>
    <n v="0"/>
    <x v="250"/>
    <s v="Administracion"/>
    <m/>
    <m/>
    <m/>
    <m/>
    <m/>
    <m/>
    <m/>
  </r>
  <r>
    <d v="2021-04-05T00:00:00"/>
    <x v="4"/>
    <x v="19"/>
    <x v="19"/>
    <n v="-10000"/>
    <n v="0"/>
    <n v="10000"/>
    <x v="25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0000"/>
    <n v="10000"/>
    <n v="0"/>
    <x v="78"/>
    <s v="Administracion"/>
    <m/>
    <m/>
    <m/>
    <m/>
    <m/>
    <m/>
    <m/>
  </r>
  <r>
    <d v="2021-04-05T00:00:00"/>
    <x v="4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5000"/>
    <n v="15000"/>
    <n v="0"/>
    <x v="318"/>
    <s v="Administracion"/>
    <m/>
    <m/>
    <m/>
    <m/>
    <m/>
    <m/>
    <m/>
  </r>
  <r>
    <d v="2021-04-05T00:00:00"/>
    <x v="4"/>
    <x v="6"/>
    <x v="6"/>
    <n v="-15000"/>
    <n v="0"/>
    <n v="15000"/>
    <x v="3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20000"/>
    <n v="20000"/>
    <n v="0"/>
    <x v="227"/>
    <s v="Administracion"/>
    <m/>
    <m/>
    <m/>
    <m/>
    <m/>
    <m/>
    <m/>
  </r>
  <r>
    <d v="2021-04-05T00:00:00"/>
    <x v="4"/>
    <x v="19"/>
    <x v="19"/>
    <n v="-20000"/>
    <n v="0"/>
    <n v="20000"/>
    <x v="2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20000"/>
    <n v="20000"/>
    <n v="0"/>
    <x v="146"/>
    <s v="Administracion"/>
    <m/>
    <m/>
    <m/>
    <m/>
    <m/>
    <m/>
    <m/>
  </r>
  <r>
    <d v="2021-04-05T00:00:00"/>
    <x v="4"/>
    <x v="19"/>
    <x v="19"/>
    <n v="-20000"/>
    <n v="0"/>
    <n v="20000"/>
    <x v="14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5000"/>
    <n v="5000"/>
    <n v="0"/>
    <x v="200"/>
    <s v="Administracion"/>
    <m/>
    <m/>
    <m/>
    <m/>
    <m/>
    <m/>
    <m/>
  </r>
  <r>
    <d v="2021-04-05T00:00:00"/>
    <x v="4"/>
    <x v="19"/>
    <x v="19"/>
    <n v="-5000"/>
    <n v="0"/>
    <n v="5000"/>
    <x v="20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0000"/>
    <n v="10000"/>
    <n v="0"/>
    <x v="319"/>
    <s v="Administracion"/>
    <m/>
    <m/>
    <m/>
    <m/>
    <m/>
    <m/>
    <m/>
  </r>
  <r>
    <d v="2021-04-05T00:00:00"/>
    <x v="4"/>
    <x v="19"/>
    <x v="19"/>
    <n v="-10000"/>
    <n v="0"/>
    <n v="10000"/>
    <x v="31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0000"/>
    <n v="10000"/>
    <n v="0"/>
    <x v="99"/>
    <s v="Administracion"/>
    <m/>
    <m/>
    <m/>
    <m/>
    <m/>
    <m/>
    <m/>
  </r>
  <r>
    <d v="2021-04-05T00:00:00"/>
    <x v="4"/>
    <x v="19"/>
    <x v="19"/>
    <n v="-10000"/>
    <n v="0"/>
    <n v="10000"/>
    <x v="9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5000"/>
    <n v="15000"/>
    <n v="0"/>
    <x v="230"/>
    <s v="Administracion"/>
    <m/>
    <m/>
    <m/>
    <m/>
    <m/>
    <m/>
    <m/>
  </r>
  <r>
    <d v="2021-04-05T00:00:00"/>
    <x v="4"/>
    <x v="19"/>
    <x v="19"/>
    <n v="-15000"/>
    <n v="0"/>
    <n v="15000"/>
    <x v="23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0000"/>
    <n v="10000"/>
    <n v="0"/>
    <x v="182"/>
    <s v="Administracion"/>
    <m/>
    <m/>
    <m/>
    <m/>
    <m/>
    <m/>
    <m/>
  </r>
  <r>
    <d v="2021-04-05T00:00:00"/>
    <x v="4"/>
    <x v="19"/>
    <x v="19"/>
    <n v="-10000"/>
    <n v="0"/>
    <n v="10000"/>
    <x v="18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25000"/>
    <n v="25000"/>
    <n v="0"/>
    <x v="320"/>
    <s v="Administracion"/>
    <m/>
    <m/>
    <m/>
    <m/>
    <m/>
    <m/>
    <m/>
  </r>
  <r>
    <d v="2021-04-05T00:00:00"/>
    <x v="4"/>
    <x v="42"/>
    <x v="23"/>
    <n v="-25000"/>
    <n v="0"/>
    <n v="25000"/>
    <x v="32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25000"/>
    <n v="25000"/>
    <n v="0"/>
    <x v="132"/>
    <s v="Administracion"/>
    <m/>
    <m/>
    <m/>
    <m/>
    <m/>
    <m/>
    <m/>
  </r>
  <r>
    <d v="2021-04-05T00:00:00"/>
    <x v="4"/>
    <x v="19"/>
    <x v="19"/>
    <n v="-25000"/>
    <n v="0"/>
    <n v="25000"/>
    <x v="1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20000"/>
    <n v="20000"/>
    <n v="0"/>
    <x v="321"/>
    <s v="Administracion"/>
    <m/>
    <m/>
    <m/>
    <m/>
    <m/>
    <m/>
    <m/>
  </r>
  <r>
    <d v="2021-04-05T00:00:00"/>
    <x v="4"/>
    <x v="6"/>
    <x v="6"/>
    <n v="-20000"/>
    <n v="0"/>
    <n v="20000"/>
    <x v="32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0000"/>
    <n v="10000"/>
    <n v="0"/>
    <x v="322"/>
    <s v="Administracion"/>
    <m/>
    <m/>
    <m/>
    <m/>
    <m/>
    <m/>
    <m/>
  </r>
  <r>
    <d v="2021-04-05T00:00:00"/>
    <x v="4"/>
    <x v="20"/>
    <x v="20"/>
    <n v="-10000"/>
    <n v="0"/>
    <n v="10000"/>
    <x v="32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2000"/>
    <n v="2000"/>
    <n v="0"/>
    <x v="111"/>
    <s v="Administracion"/>
    <m/>
    <m/>
    <m/>
    <m/>
    <m/>
    <m/>
    <m/>
  </r>
  <r>
    <d v="2021-04-05T00:00:00"/>
    <x v="4"/>
    <x v="19"/>
    <x v="19"/>
    <n v="-2000"/>
    <n v="0"/>
    <n v="2000"/>
    <x v="11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2000"/>
    <n v="2000"/>
    <n v="0"/>
    <x v="283"/>
    <s v="Administracion"/>
    <m/>
    <m/>
    <m/>
    <m/>
    <m/>
    <m/>
    <m/>
  </r>
  <r>
    <d v="2021-04-05T00:00:00"/>
    <x v="4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0000"/>
    <n v="10000"/>
    <n v="0"/>
    <x v="246"/>
    <s v="Administracion"/>
    <m/>
    <m/>
    <m/>
    <m/>
    <m/>
    <m/>
    <m/>
  </r>
  <r>
    <d v="2021-04-05T00:00:00"/>
    <x v="4"/>
    <x v="19"/>
    <x v="19"/>
    <n v="-10000"/>
    <n v="0"/>
    <n v="10000"/>
    <x v="24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5000"/>
    <n v="5000"/>
    <n v="0"/>
    <x v="217"/>
    <s v="Administracion"/>
    <m/>
    <m/>
    <m/>
    <m/>
    <m/>
    <m/>
    <m/>
  </r>
  <r>
    <d v="2021-04-05T00:00:00"/>
    <x v="4"/>
    <x v="19"/>
    <x v="19"/>
    <n v="-5000"/>
    <n v="0"/>
    <n v="5000"/>
    <x v="2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2000"/>
    <n v="12000"/>
    <n v="0"/>
    <x v="323"/>
    <s v="Administracion"/>
    <m/>
    <m/>
    <m/>
    <m/>
    <m/>
    <m/>
    <m/>
  </r>
  <r>
    <d v="2021-04-05T00:00:00"/>
    <x v="4"/>
    <x v="19"/>
    <x v="19"/>
    <n v="-12000"/>
    <n v="0"/>
    <n v="12000"/>
    <x v="32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30000"/>
    <n v="30000"/>
    <n v="0"/>
    <x v="324"/>
    <s v="Administracion"/>
    <m/>
    <m/>
    <m/>
    <m/>
    <m/>
    <m/>
    <m/>
  </r>
  <r>
    <d v="2021-04-05T00:00:00"/>
    <x v="4"/>
    <x v="6"/>
    <x v="6"/>
    <n v="-30000"/>
    <n v="0"/>
    <n v="30000"/>
    <x v="32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5T00:00:00"/>
    <x v="4"/>
    <x v="0"/>
    <x v="0"/>
    <n v="12000"/>
    <n v="12000"/>
    <n v="0"/>
    <x v="86"/>
    <s v="Administracion"/>
    <m/>
    <m/>
    <m/>
    <m/>
    <m/>
    <m/>
    <m/>
  </r>
  <r>
    <d v="2021-04-05T00:00:00"/>
    <x v="4"/>
    <x v="19"/>
    <x v="19"/>
    <n v="-12000"/>
    <n v="0"/>
    <n v="12000"/>
    <x v="8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6T00:00:00"/>
    <x v="4"/>
    <x v="0"/>
    <x v="0"/>
    <n v="50000"/>
    <n v="50000"/>
    <n v="0"/>
    <x v="325"/>
    <s v="Administracion"/>
    <m/>
    <m/>
    <m/>
    <m/>
    <m/>
    <m/>
    <m/>
  </r>
  <r>
    <d v="2021-04-06T00:00:00"/>
    <x v="4"/>
    <x v="19"/>
    <x v="19"/>
    <n v="-50000"/>
    <n v="0"/>
    <n v="50000"/>
    <x v="32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6T00:00:00"/>
    <x v="4"/>
    <x v="0"/>
    <x v="0"/>
    <n v="60000"/>
    <n v="60000"/>
    <n v="0"/>
    <x v="90"/>
    <s v="Administracion"/>
    <m/>
    <m/>
    <m/>
    <m/>
    <m/>
    <m/>
    <m/>
  </r>
  <r>
    <d v="2021-04-06T00:00:00"/>
    <x v="4"/>
    <x v="19"/>
    <x v="19"/>
    <n v="-60000"/>
    <n v="0"/>
    <n v="60000"/>
    <x v="9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6T00:00:00"/>
    <x v="4"/>
    <x v="0"/>
    <x v="0"/>
    <n v="100000"/>
    <n v="100000"/>
    <n v="0"/>
    <x v="326"/>
    <s v="Administracion"/>
    <m/>
    <m/>
    <m/>
    <m/>
    <m/>
    <m/>
    <m/>
  </r>
  <r>
    <d v="2021-04-06T00:00:00"/>
    <x v="4"/>
    <x v="21"/>
    <x v="21"/>
    <n v="-100000"/>
    <n v="0"/>
    <n v="100000"/>
    <x v="32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6T00:00:00"/>
    <x v="4"/>
    <x v="0"/>
    <x v="0"/>
    <n v="5000"/>
    <n v="5000"/>
    <n v="0"/>
    <x v="173"/>
    <s v="Administracion"/>
    <m/>
    <m/>
    <m/>
    <m/>
    <m/>
    <m/>
    <m/>
  </r>
  <r>
    <d v="2021-04-06T00:00:00"/>
    <x v="4"/>
    <x v="19"/>
    <x v="19"/>
    <n v="-5000"/>
    <n v="0"/>
    <n v="5000"/>
    <x v="1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6T00:00:00"/>
    <x v="4"/>
    <x v="0"/>
    <x v="0"/>
    <n v="20000"/>
    <n v="20000"/>
    <n v="0"/>
    <x v="327"/>
    <s v="Administracion"/>
    <m/>
    <m/>
    <m/>
    <m/>
    <m/>
    <m/>
    <m/>
  </r>
  <r>
    <d v="2021-04-06T00:00:00"/>
    <x v="4"/>
    <x v="19"/>
    <x v="19"/>
    <n v="-20000"/>
    <n v="0"/>
    <n v="20000"/>
    <x v="3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6T00:00:00"/>
    <x v="4"/>
    <x v="0"/>
    <x v="0"/>
    <n v="70000"/>
    <n v="70000"/>
    <n v="0"/>
    <x v="328"/>
    <s v="Administracion"/>
    <m/>
    <m/>
    <m/>
    <m/>
    <m/>
    <m/>
    <m/>
  </r>
  <r>
    <d v="2021-04-06T00:00:00"/>
    <x v="4"/>
    <x v="19"/>
    <x v="19"/>
    <n v="-70000"/>
    <n v="0"/>
    <n v="70000"/>
    <x v="32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6T00:00:00"/>
    <x v="4"/>
    <x v="0"/>
    <x v="0"/>
    <n v="15000"/>
    <n v="15000"/>
    <n v="0"/>
    <x v="329"/>
    <s v="Administracion"/>
    <m/>
    <m/>
    <m/>
    <m/>
    <m/>
    <m/>
    <m/>
  </r>
  <r>
    <d v="2021-04-06T00:00:00"/>
    <x v="4"/>
    <x v="24"/>
    <x v="24"/>
    <n v="-15000"/>
    <n v="0"/>
    <n v="15000"/>
    <x v="32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6T00:00:00"/>
    <x v="4"/>
    <x v="0"/>
    <x v="0"/>
    <n v="14700"/>
    <n v="14700"/>
    <n v="0"/>
    <x v="284"/>
    <s v="Administracion"/>
    <m/>
    <m/>
    <m/>
    <m/>
    <m/>
    <m/>
    <m/>
  </r>
  <r>
    <d v="2021-04-06T00:00:00"/>
    <x v="4"/>
    <x v="19"/>
    <x v="19"/>
    <n v="-14700"/>
    <n v="0"/>
    <n v="14700"/>
    <x v="2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6T00:00:00"/>
    <x v="4"/>
    <x v="0"/>
    <x v="0"/>
    <n v="15000"/>
    <n v="15000"/>
    <n v="0"/>
    <x v="105"/>
    <s v="Administracion"/>
    <m/>
    <m/>
    <m/>
    <m/>
    <m/>
    <m/>
    <m/>
  </r>
  <r>
    <d v="2021-04-06T00:00:00"/>
    <x v="4"/>
    <x v="19"/>
    <x v="19"/>
    <n v="-15000"/>
    <n v="0"/>
    <n v="15000"/>
    <x v="10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7T00:00:00"/>
    <x v="4"/>
    <x v="25"/>
    <x v="25"/>
    <n v="802153"/>
    <n v="802153"/>
    <n v="0"/>
    <x v="330"/>
    <s v="Administracion"/>
    <m/>
    <m/>
    <m/>
    <m/>
    <m/>
    <m/>
    <m/>
  </r>
  <r>
    <d v="2021-04-07T00:00:00"/>
    <x v="4"/>
    <x v="0"/>
    <x v="0"/>
    <n v="-802153"/>
    <n v="0"/>
    <n v="802153"/>
    <x v="33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7T00:00:00"/>
    <x v="4"/>
    <x v="9"/>
    <x v="9"/>
    <n v="121760"/>
    <n v="121760"/>
    <n v="0"/>
    <x v="331"/>
    <s v="Administracion"/>
    <m/>
    <m/>
    <m/>
    <m/>
    <m/>
    <m/>
    <m/>
  </r>
  <r>
    <d v="2021-04-07T00:00:00"/>
    <x v="4"/>
    <x v="6"/>
    <x v="6"/>
    <n v="117035"/>
    <n v="117035"/>
    <n v="0"/>
    <x v="331"/>
    <s v="Administracion"/>
    <m/>
    <m/>
    <m/>
    <m/>
    <m/>
    <m/>
    <m/>
  </r>
  <r>
    <d v="2021-04-07T00:00:00"/>
    <x v="4"/>
    <x v="0"/>
    <x v="0"/>
    <n v="-238795"/>
    <n v="0"/>
    <n v="238795"/>
    <x v="33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7T00:00:00"/>
    <x v="4"/>
    <x v="10"/>
    <x v="10"/>
    <n v="410052"/>
    <n v="410052"/>
    <n v="0"/>
    <x v="332"/>
    <s v="Administracion"/>
    <m/>
    <m/>
    <m/>
    <m/>
    <m/>
    <m/>
    <m/>
  </r>
  <r>
    <d v="2021-04-07T00:00:00"/>
    <x v="4"/>
    <x v="0"/>
    <x v="0"/>
    <n v="-410052"/>
    <n v="0"/>
    <n v="410052"/>
    <x v="3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7T00:00:00"/>
    <x v="4"/>
    <x v="10"/>
    <x v="10"/>
    <n v="174484"/>
    <n v="174484"/>
    <n v="0"/>
    <x v="333"/>
    <s v="Administracion"/>
    <m/>
    <m/>
    <m/>
    <m/>
    <m/>
    <m/>
    <m/>
  </r>
  <r>
    <d v="2021-04-07T00:00:00"/>
    <x v="4"/>
    <x v="0"/>
    <x v="0"/>
    <n v="-174484"/>
    <n v="0"/>
    <n v="174484"/>
    <x v="33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7T00:00:00"/>
    <x v="4"/>
    <x v="0"/>
    <x v="0"/>
    <n v="10000"/>
    <n v="10000"/>
    <n v="0"/>
    <x v="334"/>
    <s v="Administracion"/>
    <m/>
    <m/>
    <m/>
    <m/>
    <m/>
    <m/>
    <m/>
  </r>
  <r>
    <d v="2021-04-07T00:00:00"/>
    <x v="4"/>
    <x v="20"/>
    <x v="20"/>
    <n v="-10000"/>
    <n v="0"/>
    <n v="10000"/>
    <x v="33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7T00:00:00"/>
    <x v="4"/>
    <x v="0"/>
    <x v="0"/>
    <n v="40000"/>
    <n v="40000"/>
    <n v="0"/>
    <x v="112"/>
    <s v="Administracion"/>
    <m/>
    <m/>
    <m/>
    <m/>
    <m/>
    <m/>
    <m/>
  </r>
  <r>
    <d v="2021-04-07T00:00:00"/>
    <x v="4"/>
    <x v="19"/>
    <x v="19"/>
    <n v="-40000"/>
    <n v="0"/>
    <n v="40000"/>
    <x v="1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7T00:00:00"/>
    <x v="4"/>
    <x v="26"/>
    <x v="26"/>
    <n v="1484"/>
    <n v="1484"/>
    <n v="0"/>
    <x v="212"/>
    <s v="Administracion"/>
    <m/>
    <m/>
    <m/>
    <m/>
    <m/>
    <m/>
    <m/>
  </r>
  <r>
    <d v="2021-04-07T00:00:00"/>
    <x v="4"/>
    <x v="0"/>
    <x v="0"/>
    <n v="-1484"/>
    <n v="0"/>
    <n v="1484"/>
    <x v="2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7T00:00:00"/>
    <x v="4"/>
    <x v="0"/>
    <x v="0"/>
    <n v="9881"/>
    <n v="9881"/>
    <n v="0"/>
    <x v="335"/>
    <s v="Administracion"/>
    <m/>
    <m/>
    <m/>
    <m/>
    <m/>
    <m/>
    <m/>
  </r>
  <r>
    <d v="2021-04-07T00:00:00"/>
    <x v="4"/>
    <x v="19"/>
    <x v="19"/>
    <n v="-9881"/>
    <n v="0"/>
    <n v="9881"/>
    <x v="33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7T00:00:00"/>
    <x v="4"/>
    <x v="0"/>
    <x v="0"/>
    <n v="16000"/>
    <n v="16000"/>
    <n v="0"/>
    <x v="336"/>
    <s v="Administracion"/>
    <m/>
    <m/>
    <m/>
    <m/>
    <m/>
    <m/>
    <m/>
  </r>
  <r>
    <d v="2021-04-07T00:00:00"/>
    <x v="4"/>
    <x v="19"/>
    <x v="19"/>
    <n v="-16000"/>
    <n v="0"/>
    <n v="16000"/>
    <x v="33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8T00:00:00"/>
    <x v="4"/>
    <x v="0"/>
    <x v="0"/>
    <n v="37500"/>
    <n v="37500"/>
    <n v="0"/>
    <x v="337"/>
    <s v="Administracion"/>
    <m/>
    <m/>
    <m/>
    <m/>
    <m/>
    <m/>
    <m/>
  </r>
  <r>
    <d v="2021-04-08T00:00:00"/>
    <x v="4"/>
    <x v="42"/>
    <x v="23"/>
    <n v="-37500"/>
    <n v="0"/>
    <n v="37500"/>
    <x v="3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8T00:00:00"/>
    <x v="4"/>
    <x v="0"/>
    <x v="0"/>
    <n v="30000"/>
    <n v="30000"/>
    <n v="0"/>
    <x v="102"/>
    <s v="Administracion"/>
    <m/>
    <m/>
    <m/>
    <m/>
    <m/>
    <m/>
    <m/>
  </r>
  <r>
    <d v="2021-04-08T00:00:00"/>
    <x v="4"/>
    <x v="19"/>
    <x v="19"/>
    <n v="-30000"/>
    <n v="0"/>
    <n v="30000"/>
    <x v="10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8T00:00:00"/>
    <x v="4"/>
    <x v="0"/>
    <x v="0"/>
    <n v="5000"/>
    <n v="5000"/>
    <n v="0"/>
    <x v="338"/>
    <s v="Administracion"/>
    <m/>
    <m/>
    <m/>
    <m/>
    <m/>
    <m/>
    <m/>
  </r>
  <r>
    <d v="2021-04-08T00:00:00"/>
    <x v="4"/>
    <x v="20"/>
    <x v="20"/>
    <n v="-5000"/>
    <n v="0"/>
    <n v="5000"/>
    <x v="33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8T00:00:00"/>
    <x v="4"/>
    <x v="0"/>
    <x v="0"/>
    <n v="50000"/>
    <n v="50000"/>
    <n v="0"/>
    <x v="12"/>
    <s v="Administracion"/>
    <m/>
    <m/>
    <m/>
    <m/>
    <m/>
    <m/>
    <m/>
  </r>
  <r>
    <d v="2021-04-08T00:00:00"/>
    <x v="4"/>
    <x v="6"/>
    <x v="6"/>
    <n v="-50000"/>
    <n v="0"/>
    <n v="50000"/>
    <x v="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8T00:00:00"/>
    <x v="4"/>
    <x v="0"/>
    <x v="0"/>
    <n v="3000"/>
    <n v="3000"/>
    <n v="0"/>
    <x v="115"/>
    <s v="Administracion"/>
    <m/>
    <m/>
    <m/>
    <m/>
    <m/>
    <m/>
    <m/>
  </r>
  <r>
    <d v="2021-04-08T00:00:00"/>
    <x v="4"/>
    <x v="19"/>
    <x v="19"/>
    <n v="-3000"/>
    <n v="0"/>
    <n v="3000"/>
    <x v="1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8T00:00:00"/>
    <x v="4"/>
    <x v="0"/>
    <x v="0"/>
    <n v="4940"/>
    <n v="4940"/>
    <n v="0"/>
    <x v="284"/>
    <s v="Administracion"/>
    <m/>
    <m/>
    <m/>
    <m/>
    <m/>
    <m/>
    <m/>
  </r>
  <r>
    <d v="2021-04-08T00:00:00"/>
    <x v="4"/>
    <x v="19"/>
    <x v="19"/>
    <n v="-4940"/>
    <n v="0"/>
    <n v="4940"/>
    <x v="2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8T00:00:00"/>
    <x v="4"/>
    <x v="0"/>
    <x v="0"/>
    <n v="40000"/>
    <n v="40000"/>
    <n v="0"/>
    <x v="120"/>
    <s v="Administracion"/>
    <m/>
    <m/>
    <m/>
    <m/>
    <m/>
    <m/>
    <m/>
  </r>
  <r>
    <d v="2021-04-08T00:00:00"/>
    <x v="4"/>
    <x v="19"/>
    <x v="19"/>
    <n v="-40000"/>
    <n v="0"/>
    <n v="40000"/>
    <x v="12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8T00:00:00"/>
    <x v="4"/>
    <x v="0"/>
    <x v="0"/>
    <n v="20000"/>
    <n v="20000"/>
    <n v="0"/>
    <x v="339"/>
    <s v="Administracion"/>
    <m/>
    <m/>
    <m/>
    <m/>
    <m/>
    <m/>
    <m/>
  </r>
  <r>
    <d v="2021-04-08T00:00:00"/>
    <x v="4"/>
    <x v="19"/>
    <x v="19"/>
    <n v="-20000"/>
    <n v="0"/>
    <n v="20000"/>
    <x v="33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8T00:00:00"/>
    <x v="4"/>
    <x v="0"/>
    <x v="0"/>
    <n v="25000"/>
    <n v="25000"/>
    <n v="0"/>
    <x v="92"/>
    <s v="Administracion"/>
    <m/>
    <m/>
    <m/>
    <m/>
    <m/>
    <m/>
    <m/>
  </r>
  <r>
    <d v="2021-04-08T00:00:00"/>
    <x v="4"/>
    <x v="19"/>
    <x v="19"/>
    <n v="-25000"/>
    <n v="0"/>
    <n v="25000"/>
    <x v="9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9T00:00:00"/>
    <x v="4"/>
    <x v="0"/>
    <x v="0"/>
    <n v="40000"/>
    <n v="40000"/>
    <n v="0"/>
    <x v="340"/>
    <s v="Administracion"/>
    <m/>
    <m/>
    <m/>
    <m/>
    <m/>
    <m/>
    <m/>
  </r>
  <r>
    <d v="2021-04-09T00:00:00"/>
    <x v="4"/>
    <x v="19"/>
    <x v="19"/>
    <n v="-40000"/>
    <n v="0"/>
    <n v="40000"/>
    <x v="34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9T00:00:00"/>
    <x v="4"/>
    <x v="0"/>
    <x v="0"/>
    <n v="5000"/>
    <n v="5000"/>
    <n v="0"/>
    <x v="341"/>
    <s v="Administracion"/>
    <m/>
    <m/>
    <m/>
    <m/>
    <m/>
    <m/>
    <m/>
  </r>
  <r>
    <d v="2021-04-09T00:00:00"/>
    <x v="4"/>
    <x v="19"/>
    <x v="19"/>
    <n v="-5000"/>
    <n v="0"/>
    <n v="5000"/>
    <x v="3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9T00:00:00"/>
    <x v="4"/>
    <x v="27"/>
    <x v="27"/>
    <n v="30655"/>
    <n v="30655"/>
    <n v="0"/>
    <x v="211"/>
    <s v="Administracion"/>
    <m/>
    <m/>
    <m/>
    <m/>
    <m/>
    <m/>
    <m/>
  </r>
  <r>
    <d v="2021-04-09T00:00:00"/>
    <x v="4"/>
    <x v="0"/>
    <x v="0"/>
    <n v="-30655"/>
    <n v="0"/>
    <n v="30655"/>
    <x v="21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9T00:00:00"/>
    <x v="4"/>
    <x v="0"/>
    <x v="0"/>
    <n v="14700"/>
    <n v="14700"/>
    <n v="0"/>
    <x v="284"/>
    <s v="Administracion"/>
    <m/>
    <m/>
    <m/>
    <m/>
    <m/>
    <m/>
    <m/>
  </r>
  <r>
    <d v="2021-04-09T00:00:00"/>
    <x v="4"/>
    <x v="19"/>
    <x v="19"/>
    <n v="-14700"/>
    <n v="0"/>
    <n v="14700"/>
    <x v="2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9T00:00:00"/>
    <x v="4"/>
    <x v="0"/>
    <x v="0"/>
    <n v="250000"/>
    <n v="250000"/>
    <n v="0"/>
    <x v="232"/>
    <s v="Administracion"/>
    <m/>
    <m/>
    <m/>
    <m/>
    <m/>
    <m/>
    <m/>
  </r>
  <r>
    <d v="2021-04-09T00:00:00"/>
    <x v="4"/>
    <x v="19"/>
    <x v="19"/>
    <n v="-250000"/>
    <n v="0"/>
    <n v="250000"/>
    <x v="2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09T00:00:00"/>
    <x v="4"/>
    <x v="0"/>
    <x v="0"/>
    <n v="100000"/>
    <n v="100000"/>
    <n v="0"/>
    <x v="25"/>
    <s v="Administracion"/>
    <m/>
    <m/>
    <m/>
    <m/>
    <m/>
    <m/>
    <m/>
  </r>
  <r>
    <d v="2021-04-09T00:00:00"/>
    <x v="4"/>
    <x v="6"/>
    <x v="6"/>
    <n v="-100000"/>
    <n v="0"/>
    <n v="100000"/>
    <x v="2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12500"/>
    <n v="12500"/>
    <n v="0"/>
    <x v="248"/>
    <s v="Administracion"/>
    <m/>
    <m/>
    <m/>
    <m/>
    <m/>
    <m/>
    <m/>
  </r>
  <r>
    <d v="2021-04-12T00:00:00"/>
    <x v="4"/>
    <x v="42"/>
    <x v="23"/>
    <n v="-12500"/>
    <n v="0"/>
    <n v="12500"/>
    <x v="24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20000"/>
    <n v="20000"/>
    <n v="0"/>
    <x v="113"/>
    <s v="Administracion"/>
    <m/>
    <m/>
    <m/>
    <m/>
    <m/>
    <m/>
    <m/>
  </r>
  <r>
    <d v="2021-04-12T00:00:00"/>
    <x v="4"/>
    <x v="19"/>
    <x v="19"/>
    <n v="-20000"/>
    <n v="0"/>
    <n v="20000"/>
    <x v="11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10000"/>
    <n v="10000"/>
    <n v="0"/>
    <x v="146"/>
    <s v="Administracion"/>
    <m/>
    <m/>
    <m/>
    <m/>
    <m/>
    <m/>
    <m/>
  </r>
  <r>
    <d v="2021-04-12T00:00:00"/>
    <x v="4"/>
    <x v="19"/>
    <x v="19"/>
    <n v="-10000"/>
    <n v="0"/>
    <n v="10000"/>
    <x v="14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10000"/>
    <n v="10000"/>
    <n v="0"/>
    <x v="250"/>
    <s v="Administracion"/>
    <m/>
    <m/>
    <m/>
    <m/>
    <m/>
    <m/>
    <m/>
  </r>
  <r>
    <d v="2021-04-12T00:00:00"/>
    <x v="4"/>
    <x v="19"/>
    <x v="19"/>
    <n v="-10000"/>
    <n v="0"/>
    <n v="10000"/>
    <x v="25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200000"/>
    <n v="200000"/>
    <n v="0"/>
    <x v="342"/>
    <s v="Administracion"/>
    <m/>
    <m/>
    <m/>
    <m/>
    <m/>
    <m/>
    <m/>
  </r>
  <r>
    <d v="2021-04-12T00:00:00"/>
    <x v="4"/>
    <x v="6"/>
    <x v="6"/>
    <n v="-200000"/>
    <n v="0"/>
    <n v="200000"/>
    <x v="34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10000"/>
    <n v="10000"/>
    <n v="0"/>
    <x v="78"/>
    <s v="Administracion"/>
    <m/>
    <m/>
    <m/>
    <m/>
    <m/>
    <m/>
    <m/>
  </r>
  <r>
    <d v="2021-04-12T00:00:00"/>
    <x v="4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40000"/>
    <n v="40000"/>
    <n v="0"/>
    <x v="93"/>
    <s v="Administracion"/>
    <m/>
    <m/>
    <m/>
    <m/>
    <m/>
    <m/>
    <m/>
  </r>
  <r>
    <d v="2021-04-12T00:00:00"/>
    <x v="4"/>
    <x v="19"/>
    <x v="19"/>
    <n v="-40000"/>
    <n v="0"/>
    <n v="40000"/>
    <x v="9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20000"/>
    <n v="20000"/>
    <n v="0"/>
    <x v="227"/>
    <s v="Administracion"/>
    <m/>
    <m/>
    <m/>
    <m/>
    <m/>
    <m/>
    <m/>
  </r>
  <r>
    <d v="2021-04-12T00:00:00"/>
    <x v="4"/>
    <x v="19"/>
    <x v="19"/>
    <n v="-20000"/>
    <n v="0"/>
    <n v="20000"/>
    <x v="2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5000"/>
    <n v="5000"/>
    <n v="0"/>
    <x v="173"/>
    <s v="Administracion"/>
    <m/>
    <m/>
    <m/>
    <m/>
    <m/>
    <m/>
    <m/>
  </r>
  <r>
    <d v="2021-04-12T00:00:00"/>
    <x v="4"/>
    <x v="19"/>
    <x v="19"/>
    <n v="-5000"/>
    <n v="0"/>
    <n v="5000"/>
    <x v="1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25000"/>
    <n v="25000"/>
    <n v="0"/>
    <x v="343"/>
    <s v="Administracion"/>
    <m/>
    <m/>
    <m/>
    <m/>
    <m/>
    <m/>
    <m/>
  </r>
  <r>
    <d v="2021-04-12T00:00:00"/>
    <x v="4"/>
    <x v="21"/>
    <x v="21"/>
    <n v="-25000"/>
    <n v="0"/>
    <n v="25000"/>
    <x v="34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15000"/>
    <n v="15000"/>
    <n v="0"/>
    <x v="116"/>
    <s v="Administracion"/>
    <m/>
    <m/>
    <m/>
    <m/>
    <m/>
    <m/>
    <m/>
  </r>
  <r>
    <d v="2021-04-12T00:00:00"/>
    <x v="4"/>
    <x v="19"/>
    <x v="19"/>
    <n v="-15000"/>
    <n v="0"/>
    <n v="15000"/>
    <x v="11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10000"/>
    <n v="10000"/>
    <n v="0"/>
    <x v="76"/>
    <s v="Administracion"/>
    <m/>
    <m/>
    <m/>
    <m/>
    <m/>
    <m/>
    <m/>
  </r>
  <r>
    <d v="2021-04-12T00:00:00"/>
    <x v="4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10000"/>
    <n v="10000"/>
    <n v="0"/>
    <x v="275"/>
    <s v="Administracion"/>
    <m/>
    <m/>
    <m/>
    <m/>
    <m/>
    <m/>
    <m/>
  </r>
  <r>
    <d v="2021-04-12T00:00:00"/>
    <x v="4"/>
    <x v="19"/>
    <x v="19"/>
    <n v="-10000"/>
    <n v="0"/>
    <n v="10000"/>
    <x v="27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5000"/>
    <n v="5000"/>
    <n v="0"/>
    <x v="98"/>
    <s v="Administracion"/>
    <m/>
    <m/>
    <m/>
    <m/>
    <m/>
    <m/>
    <m/>
  </r>
  <r>
    <d v="2021-04-12T00:00:00"/>
    <x v="4"/>
    <x v="19"/>
    <x v="19"/>
    <n v="-5000"/>
    <n v="0"/>
    <n v="5000"/>
    <x v="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10000"/>
    <n v="10000"/>
    <n v="0"/>
    <x v="315"/>
    <s v="Administracion"/>
    <m/>
    <m/>
    <m/>
    <m/>
    <m/>
    <m/>
    <m/>
  </r>
  <r>
    <d v="2021-04-12T00:00:00"/>
    <x v="4"/>
    <x v="20"/>
    <x v="20"/>
    <n v="-10000"/>
    <n v="0"/>
    <n v="10000"/>
    <x v="3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2000"/>
    <n v="2000"/>
    <n v="0"/>
    <x v="283"/>
    <s v="Administracion"/>
    <m/>
    <m/>
    <m/>
    <m/>
    <m/>
    <m/>
    <m/>
  </r>
  <r>
    <d v="2021-04-12T00:00:00"/>
    <x v="4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4900"/>
    <n v="4900"/>
    <n v="0"/>
    <x v="344"/>
    <s v="Administracion"/>
    <m/>
    <m/>
    <m/>
    <m/>
    <m/>
    <m/>
    <m/>
  </r>
  <r>
    <d v="2021-04-12T00:00:00"/>
    <x v="4"/>
    <x v="20"/>
    <x v="20"/>
    <n v="-4900"/>
    <n v="0"/>
    <n v="4900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29643"/>
    <n v="29643"/>
    <n v="0"/>
    <x v="344"/>
    <s v="Administracion"/>
    <m/>
    <m/>
    <m/>
    <m/>
    <m/>
    <m/>
    <m/>
  </r>
  <r>
    <d v="2021-04-12T00:00:00"/>
    <x v="4"/>
    <x v="20"/>
    <x v="20"/>
    <n v="-29643"/>
    <n v="0"/>
    <n v="29643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10000"/>
    <n v="10000"/>
    <n v="0"/>
    <x v="345"/>
    <s v="Administracion"/>
    <m/>
    <m/>
    <m/>
    <m/>
    <m/>
    <m/>
    <m/>
  </r>
  <r>
    <d v="2021-04-12T00:00:00"/>
    <x v="4"/>
    <x v="21"/>
    <x v="21"/>
    <n v="-10000"/>
    <n v="0"/>
    <n v="10000"/>
    <x v="34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5000"/>
    <n v="5000"/>
    <n v="0"/>
    <x v="217"/>
    <s v="Administracion"/>
    <m/>
    <m/>
    <m/>
    <m/>
    <m/>
    <m/>
    <m/>
  </r>
  <r>
    <d v="2021-04-12T00:00:00"/>
    <x v="4"/>
    <x v="19"/>
    <x v="19"/>
    <n v="-5000"/>
    <n v="0"/>
    <n v="5000"/>
    <x v="2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2T00:00:00"/>
    <x v="4"/>
    <x v="0"/>
    <x v="0"/>
    <n v="20000"/>
    <n v="20000"/>
    <n v="0"/>
    <x v="346"/>
    <s v="Administracion"/>
    <m/>
    <m/>
    <m/>
    <m/>
    <m/>
    <m/>
    <m/>
  </r>
  <r>
    <d v="2021-04-12T00:00:00"/>
    <x v="4"/>
    <x v="21"/>
    <x v="21"/>
    <n v="-20000"/>
    <n v="0"/>
    <n v="20000"/>
    <x v="34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3T00:00:00"/>
    <x v="4"/>
    <x v="0"/>
    <x v="0"/>
    <n v="20000"/>
    <n v="20000"/>
    <n v="0"/>
    <x v="347"/>
    <s v="Administracion"/>
    <m/>
    <m/>
    <m/>
    <m/>
    <m/>
    <m/>
    <m/>
  </r>
  <r>
    <d v="2021-04-13T00:00:00"/>
    <x v="4"/>
    <x v="21"/>
    <x v="21"/>
    <n v="-20000"/>
    <n v="0"/>
    <n v="20000"/>
    <x v="34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3T00:00:00"/>
    <x v="4"/>
    <x v="0"/>
    <x v="0"/>
    <n v="25000"/>
    <n v="25000"/>
    <n v="0"/>
    <x v="348"/>
    <s v="Administracion"/>
    <m/>
    <m/>
    <m/>
    <m/>
    <m/>
    <m/>
    <m/>
  </r>
  <r>
    <d v="2021-04-13T00:00:00"/>
    <x v="4"/>
    <x v="42"/>
    <x v="23"/>
    <n v="-25000"/>
    <n v="0"/>
    <n v="25000"/>
    <x v="34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3T00:00:00"/>
    <x v="4"/>
    <x v="0"/>
    <x v="0"/>
    <n v="20000"/>
    <n v="20000"/>
    <n v="0"/>
    <x v="349"/>
    <s v="Administracion"/>
    <m/>
    <m/>
    <m/>
    <m/>
    <m/>
    <m/>
    <m/>
  </r>
  <r>
    <d v="2021-04-13T00:00:00"/>
    <x v="4"/>
    <x v="19"/>
    <x v="19"/>
    <n v="-20000"/>
    <n v="0"/>
    <n v="20000"/>
    <x v="34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3T00:00:00"/>
    <x v="4"/>
    <x v="0"/>
    <x v="0"/>
    <n v="40000"/>
    <n v="40000"/>
    <n v="0"/>
    <x v="350"/>
    <s v="Administracion"/>
    <m/>
    <m/>
    <m/>
    <m/>
    <m/>
    <m/>
    <m/>
  </r>
  <r>
    <d v="2021-04-13T00:00:00"/>
    <x v="4"/>
    <x v="21"/>
    <x v="21"/>
    <n v="-40000"/>
    <n v="0"/>
    <n v="40000"/>
    <x v="35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3T00:00:00"/>
    <x v="4"/>
    <x v="0"/>
    <x v="0"/>
    <n v="20000"/>
    <n v="20000"/>
    <n v="0"/>
    <x v="351"/>
    <s v="Administracion"/>
    <m/>
    <m/>
    <m/>
    <m/>
    <m/>
    <m/>
    <m/>
  </r>
  <r>
    <d v="2021-04-13T00:00:00"/>
    <x v="4"/>
    <x v="21"/>
    <x v="21"/>
    <n v="-20000"/>
    <n v="0"/>
    <n v="20000"/>
    <x v="35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3T00:00:00"/>
    <x v="4"/>
    <x v="0"/>
    <x v="0"/>
    <n v="20000"/>
    <n v="20000"/>
    <n v="0"/>
    <x v="352"/>
    <s v="Administracion"/>
    <m/>
    <m/>
    <m/>
    <m/>
    <m/>
    <m/>
    <m/>
  </r>
  <r>
    <d v="2021-04-13T00:00:00"/>
    <x v="4"/>
    <x v="21"/>
    <x v="21"/>
    <n v="-20000"/>
    <n v="0"/>
    <n v="20000"/>
    <x v="35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3T00:00:00"/>
    <x v="4"/>
    <x v="0"/>
    <x v="0"/>
    <n v="25000"/>
    <n v="25000"/>
    <n v="0"/>
    <x v="353"/>
    <s v="Administracion"/>
    <m/>
    <m/>
    <m/>
    <m/>
    <m/>
    <m/>
    <m/>
  </r>
  <r>
    <d v="2021-04-13T00:00:00"/>
    <x v="4"/>
    <x v="21"/>
    <x v="21"/>
    <n v="-25000"/>
    <n v="0"/>
    <n v="25000"/>
    <x v="35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3T00:00:00"/>
    <x v="4"/>
    <x v="0"/>
    <x v="0"/>
    <n v="68600"/>
    <n v="68600"/>
    <n v="0"/>
    <x v="96"/>
    <s v="Administracion"/>
    <m/>
    <m/>
    <m/>
    <m/>
    <m/>
    <m/>
    <m/>
  </r>
  <r>
    <d v="2021-04-13T00:00:00"/>
    <x v="4"/>
    <x v="19"/>
    <x v="19"/>
    <n v="-68600"/>
    <n v="0"/>
    <n v="68600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3T00:00:00"/>
    <x v="4"/>
    <x v="0"/>
    <x v="0"/>
    <n v="100000"/>
    <n v="100000"/>
    <n v="0"/>
    <x v="354"/>
    <s v="Administracion"/>
    <m/>
    <m/>
    <m/>
    <m/>
    <m/>
    <m/>
    <m/>
  </r>
  <r>
    <d v="2021-04-13T00:00:00"/>
    <x v="4"/>
    <x v="21"/>
    <x v="21"/>
    <n v="-100000"/>
    <n v="0"/>
    <n v="100000"/>
    <x v="35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3T00:00:00"/>
    <x v="4"/>
    <x v="0"/>
    <x v="0"/>
    <n v="40000"/>
    <n v="40000"/>
    <n v="0"/>
    <x v="355"/>
    <s v="Administracion"/>
    <m/>
    <m/>
    <m/>
    <m/>
    <m/>
    <m/>
    <m/>
  </r>
  <r>
    <d v="2021-04-13T00:00:00"/>
    <x v="4"/>
    <x v="21"/>
    <x v="21"/>
    <n v="-40000"/>
    <n v="0"/>
    <n v="40000"/>
    <x v="35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3T00:00:00"/>
    <x v="4"/>
    <x v="0"/>
    <x v="0"/>
    <n v="100000"/>
    <n v="100000"/>
    <n v="0"/>
    <x v="194"/>
    <s v="Administracion"/>
    <m/>
    <m/>
    <m/>
    <m/>
    <m/>
    <m/>
    <m/>
  </r>
  <r>
    <d v="2021-04-13T00:00:00"/>
    <x v="4"/>
    <x v="19"/>
    <x v="19"/>
    <n v="-100000"/>
    <n v="0"/>
    <n v="100000"/>
    <x v="19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3T00:00:00"/>
    <x v="4"/>
    <x v="0"/>
    <x v="0"/>
    <n v="20000"/>
    <n v="20000"/>
    <n v="0"/>
    <x v="356"/>
    <s v="Administracion"/>
    <m/>
    <m/>
    <m/>
    <m/>
    <m/>
    <m/>
    <m/>
  </r>
  <r>
    <d v="2021-04-13T00:00:00"/>
    <x v="4"/>
    <x v="21"/>
    <x v="21"/>
    <n v="-20000"/>
    <n v="0"/>
    <n v="20000"/>
    <x v="35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4T00:00:00"/>
    <x v="4"/>
    <x v="0"/>
    <x v="0"/>
    <n v="40000"/>
    <n v="40000"/>
    <n v="0"/>
    <x v="357"/>
    <s v="Administracion"/>
    <m/>
    <m/>
    <m/>
    <m/>
    <m/>
    <m/>
    <m/>
  </r>
  <r>
    <d v="2021-04-14T00:00:00"/>
    <x v="4"/>
    <x v="21"/>
    <x v="21"/>
    <n v="-40000"/>
    <n v="0"/>
    <n v="40000"/>
    <x v="35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4T00:00:00"/>
    <x v="4"/>
    <x v="0"/>
    <x v="0"/>
    <n v="40000"/>
    <n v="40000"/>
    <n v="0"/>
    <x v="358"/>
    <s v="Administracion"/>
    <m/>
    <m/>
    <m/>
    <m/>
    <m/>
    <m/>
    <m/>
  </r>
  <r>
    <d v="2021-04-14T00:00:00"/>
    <x v="4"/>
    <x v="21"/>
    <x v="21"/>
    <n v="-40000"/>
    <n v="0"/>
    <n v="40000"/>
    <x v="35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4T00:00:00"/>
    <x v="4"/>
    <x v="0"/>
    <x v="0"/>
    <n v="50000"/>
    <n v="50000"/>
    <n v="0"/>
    <x v="359"/>
    <s v="Administracion"/>
    <m/>
    <m/>
    <m/>
    <m/>
    <m/>
    <m/>
    <m/>
  </r>
  <r>
    <d v="2021-04-14T00:00:00"/>
    <x v="4"/>
    <x v="21"/>
    <x v="21"/>
    <n v="-50000"/>
    <n v="0"/>
    <n v="50000"/>
    <x v="35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4T00:00:00"/>
    <x v="4"/>
    <x v="0"/>
    <x v="0"/>
    <n v="20000"/>
    <n v="20000"/>
    <n v="0"/>
    <x v="360"/>
    <s v="Administracion"/>
    <m/>
    <m/>
    <m/>
    <m/>
    <m/>
    <m/>
    <m/>
  </r>
  <r>
    <d v="2021-04-14T00:00:00"/>
    <x v="4"/>
    <x v="6"/>
    <x v="6"/>
    <n v="-20000"/>
    <n v="0"/>
    <n v="20000"/>
    <x v="36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4T00:00:00"/>
    <x v="4"/>
    <x v="0"/>
    <x v="0"/>
    <n v="11000"/>
    <n v="11000"/>
    <n v="0"/>
    <x v="219"/>
    <s v="Administracion"/>
    <m/>
    <m/>
    <m/>
    <m/>
    <m/>
    <m/>
    <m/>
  </r>
  <r>
    <d v="2021-04-14T00:00:00"/>
    <x v="4"/>
    <x v="19"/>
    <x v="19"/>
    <n v="-11000"/>
    <n v="0"/>
    <n v="11000"/>
    <x v="21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4T00:00:00"/>
    <x v="4"/>
    <x v="0"/>
    <x v="0"/>
    <n v="40000"/>
    <n v="40000"/>
    <n v="0"/>
    <x v="361"/>
    <s v="Administracion"/>
    <m/>
    <m/>
    <m/>
    <m/>
    <m/>
    <m/>
    <m/>
  </r>
  <r>
    <d v="2021-04-14T00:00:00"/>
    <x v="4"/>
    <x v="21"/>
    <x v="21"/>
    <n v="-40000"/>
    <n v="0"/>
    <n v="40000"/>
    <x v="36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4T00:00:00"/>
    <x v="4"/>
    <x v="0"/>
    <x v="0"/>
    <n v="20000"/>
    <n v="20000"/>
    <n v="0"/>
    <x v="362"/>
    <s v="Administracion"/>
    <m/>
    <m/>
    <m/>
    <m/>
    <m/>
    <m/>
    <m/>
  </r>
  <r>
    <d v="2021-04-14T00:00:00"/>
    <x v="4"/>
    <x v="19"/>
    <x v="19"/>
    <n v="-20000"/>
    <n v="0"/>
    <n v="20000"/>
    <x v="3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4T00:00:00"/>
    <x v="4"/>
    <x v="0"/>
    <x v="0"/>
    <n v="50000"/>
    <n v="50000"/>
    <n v="0"/>
    <x v="363"/>
    <s v="Administracion"/>
    <m/>
    <m/>
    <m/>
    <m/>
    <m/>
    <m/>
    <m/>
  </r>
  <r>
    <d v="2021-04-14T00:00:00"/>
    <x v="4"/>
    <x v="21"/>
    <x v="21"/>
    <n v="-50000"/>
    <n v="0"/>
    <n v="50000"/>
    <x v="36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4T00:00:00"/>
    <x v="4"/>
    <x v="0"/>
    <x v="0"/>
    <n v="20000"/>
    <n v="20000"/>
    <n v="0"/>
    <x v="364"/>
    <s v="Administracion"/>
    <m/>
    <m/>
    <m/>
    <m/>
    <m/>
    <m/>
    <m/>
  </r>
  <r>
    <d v="2021-04-14T00:00:00"/>
    <x v="4"/>
    <x v="19"/>
    <x v="19"/>
    <n v="-20000"/>
    <n v="0"/>
    <n v="20000"/>
    <x v="36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5T00:00:00"/>
    <x v="4"/>
    <x v="0"/>
    <x v="0"/>
    <n v="15000"/>
    <n v="15000"/>
    <n v="0"/>
    <x v="365"/>
    <s v="Administracion"/>
    <m/>
    <m/>
    <m/>
    <m/>
    <m/>
    <m/>
    <m/>
  </r>
  <r>
    <d v="2021-04-15T00:00:00"/>
    <x v="4"/>
    <x v="21"/>
    <x v="21"/>
    <n v="-15000"/>
    <n v="0"/>
    <n v="15000"/>
    <x v="36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5T00:00:00"/>
    <x v="4"/>
    <x v="0"/>
    <x v="0"/>
    <n v="150000"/>
    <n v="150000"/>
    <n v="0"/>
    <x v="366"/>
    <s v="Administracion"/>
    <m/>
    <m/>
    <m/>
    <m/>
    <m/>
    <m/>
    <m/>
  </r>
  <r>
    <d v="2021-04-15T00:00:00"/>
    <x v="4"/>
    <x v="19"/>
    <x v="19"/>
    <n v="-150000"/>
    <n v="0"/>
    <n v="150000"/>
    <x v="36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5T00:00:00"/>
    <x v="4"/>
    <x v="0"/>
    <x v="0"/>
    <n v="20000"/>
    <n v="20000"/>
    <n v="0"/>
    <x v="152"/>
    <s v="Administracion"/>
    <m/>
    <m/>
    <m/>
    <m/>
    <m/>
    <m/>
    <m/>
  </r>
  <r>
    <d v="2021-04-15T00:00:00"/>
    <x v="4"/>
    <x v="19"/>
    <x v="19"/>
    <n v="-20000"/>
    <n v="0"/>
    <n v="20000"/>
    <x v="15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5T00:00:00"/>
    <x v="4"/>
    <x v="27"/>
    <x v="27"/>
    <n v="20990"/>
    <n v="20990"/>
    <n v="0"/>
    <x v="367"/>
    <s v="Administracion"/>
    <m/>
    <m/>
    <m/>
    <m/>
    <m/>
    <m/>
    <m/>
  </r>
  <r>
    <d v="2021-04-15T00:00:00"/>
    <x v="4"/>
    <x v="0"/>
    <x v="0"/>
    <n v="-20990"/>
    <n v="0"/>
    <n v="20990"/>
    <x v="3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5T00:00:00"/>
    <x v="4"/>
    <x v="31"/>
    <x v="31"/>
    <n v="42919"/>
    <n v="42919"/>
    <n v="0"/>
    <x v="151"/>
    <s v="Administracion"/>
    <m/>
    <m/>
    <m/>
    <m/>
    <m/>
    <m/>
    <m/>
  </r>
  <r>
    <d v="2021-04-15T00:00:00"/>
    <x v="4"/>
    <x v="0"/>
    <x v="0"/>
    <n v="-42919"/>
    <n v="0"/>
    <n v="42919"/>
    <x v="15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6T00:00:00"/>
    <x v="4"/>
    <x v="28"/>
    <x v="28"/>
    <n v="338983"/>
    <n v="338983"/>
    <n v="0"/>
    <x v="368"/>
    <s v="Administracion"/>
    <m/>
    <m/>
    <m/>
    <m/>
    <m/>
    <m/>
    <m/>
  </r>
  <r>
    <d v="2021-04-16T00:00:00"/>
    <x v="4"/>
    <x v="9"/>
    <x v="9"/>
    <n v="-38983"/>
    <n v="0"/>
    <n v="38983"/>
    <x v="368"/>
    <s v="Administracion"/>
    <m/>
    <m/>
    <m/>
    <m/>
    <m/>
    <m/>
    <m/>
  </r>
  <r>
    <d v="2021-04-16T00:00:00"/>
    <x v="4"/>
    <x v="0"/>
    <x v="0"/>
    <n v="-300000"/>
    <n v="0"/>
    <n v="300000"/>
    <x v="36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6T00:00:00"/>
    <x v="4"/>
    <x v="35"/>
    <x v="21"/>
    <n v="1800000"/>
    <n v="1800000"/>
    <n v="0"/>
    <x v="369"/>
    <s v="Administracion"/>
    <m/>
    <m/>
    <m/>
    <m/>
    <m/>
    <m/>
    <m/>
  </r>
  <r>
    <d v="2021-04-16T00:00:00"/>
    <x v="4"/>
    <x v="0"/>
    <x v="0"/>
    <n v="-1800000"/>
    <n v="0"/>
    <n v="1800000"/>
    <x v="36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6T00:00:00"/>
    <x v="4"/>
    <x v="0"/>
    <x v="0"/>
    <n v="20000"/>
    <n v="20000"/>
    <n v="0"/>
    <x v="370"/>
    <s v="Administracion"/>
    <m/>
    <m/>
    <m/>
    <m/>
    <m/>
    <m/>
    <m/>
  </r>
  <r>
    <d v="2021-04-16T00:00:00"/>
    <x v="4"/>
    <x v="21"/>
    <x v="21"/>
    <n v="-20000"/>
    <n v="0"/>
    <n v="20000"/>
    <x v="37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6T00:00:00"/>
    <x v="4"/>
    <x v="0"/>
    <x v="0"/>
    <n v="50000"/>
    <n v="50000"/>
    <n v="0"/>
    <x v="371"/>
    <s v="Administracion"/>
    <m/>
    <m/>
    <m/>
    <m/>
    <m/>
    <m/>
    <m/>
  </r>
  <r>
    <d v="2021-04-16T00:00:00"/>
    <x v="4"/>
    <x v="21"/>
    <x v="21"/>
    <n v="-50000"/>
    <n v="0"/>
    <n v="50000"/>
    <x v="37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6T00:00:00"/>
    <x v="4"/>
    <x v="0"/>
    <x v="0"/>
    <n v="30000"/>
    <n v="30000"/>
    <n v="0"/>
    <x v="372"/>
    <s v="Administracion"/>
    <m/>
    <m/>
    <m/>
    <m/>
    <m/>
    <m/>
    <m/>
  </r>
  <r>
    <d v="2021-04-16T00:00:00"/>
    <x v="4"/>
    <x v="19"/>
    <x v="19"/>
    <n v="-30000"/>
    <n v="0"/>
    <n v="30000"/>
    <x v="3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6T00:00:00"/>
    <x v="4"/>
    <x v="0"/>
    <x v="0"/>
    <n v="30000"/>
    <n v="30000"/>
    <n v="0"/>
    <x v="373"/>
    <s v="Administracion"/>
    <m/>
    <m/>
    <m/>
    <m/>
    <m/>
    <m/>
    <m/>
  </r>
  <r>
    <d v="2021-04-16T00:00:00"/>
    <x v="4"/>
    <x v="21"/>
    <x v="21"/>
    <n v="-30000"/>
    <n v="0"/>
    <n v="30000"/>
    <x v="3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6T00:00:00"/>
    <x v="4"/>
    <x v="0"/>
    <x v="0"/>
    <n v="30000"/>
    <n v="30000"/>
    <n v="0"/>
    <x v="374"/>
    <s v="Administracion"/>
    <m/>
    <m/>
    <m/>
    <m/>
    <m/>
    <m/>
    <m/>
  </r>
  <r>
    <d v="2021-04-16T00:00:00"/>
    <x v="4"/>
    <x v="6"/>
    <x v="6"/>
    <n v="-30000"/>
    <n v="0"/>
    <n v="30000"/>
    <x v="37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6T00:00:00"/>
    <x v="4"/>
    <x v="0"/>
    <x v="0"/>
    <n v="600000"/>
    <n v="600000"/>
    <n v="0"/>
    <x v="375"/>
    <s v="Administracion"/>
    <m/>
    <m/>
    <m/>
    <m/>
    <m/>
    <m/>
    <m/>
  </r>
  <r>
    <d v="2021-04-16T00:00:00"/>
    <x v="4"/>
    <x v="21"/>
    <x v="21"/>
    <n v="-600000"/>
    <n v="0"/>
    <n v="600000"/>
    <x v="37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10000"/>
    <n v="10000"/>
    <n v="0"/>
    <x v="250"/>
    <s v="Administracion"/>
    <m/>
    <m/>
    <m/>
    <m/>
    <m/>
    <m/>
    <m/>
  </r>
  <r>
    <d v="2021-04-19T00:00:00"/>
    <x v="4"/>
    <x v="19"/>
    <x v="19"/>
    <n v="-10000"/>
    <n v="0"/>
    <n v="10000"/>
    <x v="25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20000"/>
    <n v="20000"/>
    <n v="0"/>
    <x v="376"/>
    <s v="Administracion"/>
    <m/>
    <m/>
    <m/>
    <m/>
    <m/>
    <m/>
    <m/>
  </r>
  <r>
    <d v="2021-04-19T00:00:00"/>
    <x v="4"/>
    <x v="21"/>
    <x v="21"/>
    <n v="-20000"/>
    <n v="0"/>
    <n v="20000"/>
    <x v="3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40000"/>
    <n v="40000"/>
    <n v="0"/>
    <x v="140"/>
    <s v="Administracion"/>
    <m/>
    <m/>
    <m/>
    <m/>
    <m/>
    <m/>
    <m/>
  </r>
  <r>
    <d v="2021-04-19T00:00:00"/>
    <x v="4"/>
    <x v="19"/>
    <x v="19"/>
    <n v="-40000"/>
    <n v="0"/>
    <n v="40000"/>
    <x v="14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10000"/>
    <n v="10000"/>
    <n v="0"/>
    <x v="78"/>
    <s v="Administracion"/>
    <m/>
    <m/>
    <m/>
    <m/>
    <m/>
    <m/>
    <m/>
  </r>
  <r>
    <d v="2021-04-19T00:00:00"/>
    <x v="4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5000"/>
    <n v="5000"/>
    <n v="0"/>
    <x v="200"/>
    <s v="Administracion"/>
    <m/>
    <m/>
    <m/>
    <m/>
    <m/>
    <m/>
    <m/>
  </r>
  <r>
    <d v="2021-04-19T00:00:00"/>
    <x v="4"/>
    <x v="19"/>
    <x v="19"/>
    <n v="-5000"/>
    <n v="0"/>
    <n v="5000"/>
    <x v="20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20000"/>
    <n v="20000"/>
    <n v="0"/>
    <x v="227"/>
    <s v="Administracion"/>
    <m/>
    <m/>
    <m/>
    <m/>
    <m/>
    <m/>
    <m/>
  </r>
  <r>
    <d v="2021-04-19T00:00:00"/>
    <x v="4"/>
    <x v="19"/>
    <x v="19"/>
    <n v="-20000"/>
    <n v="0"/>
    <n v="20000"/>
    <x v="2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3000"/>
    <n v="3000"/>
    <n v="0"/>
    <x v="115"/>
    <s v="Administracion"/>
    <m/>
    <m/>
    <m/>
    <m/>
    <m/>
    <m/>
    <m/>
  </r>
  <r>
    <d v="2021-04-19T00:00:00"/>
    <x v="4"/>
    <x v="19"/>
    <x v="19"/>
    <n v="-3000"/>
    <n v="0"/>
    <n v="3000"/>
    <x v="1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10000"/>
    <n v="10000"/>
    <n v="0"/>
    <x v="377"/>
    <s v="Administracion"/>
    <m/>
    <m/>
    <m/>
    <m/>
    <m/>
    <m/>
    <m/>
  </r>
  <r>
    <d v="2021-04-19T00:00:00"/>
    <x v="4"/>
    <x v="19"/>
    <x v="19"/>
    <n v="-10000"/>
    <n v="0"/>
    <n v="10000"/>
    <x v="37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5000"/>
    <n v="5000"/>
    <n v="0"/>
    <x v="378"/>
    <s v="Administracion"/>
    <m/>
    <m/>
    <m/>
    <m/>
    <m/>
    <m/>
    <m/>
  </r>
  <r>
    <d v="2021-04-19T00:00:00"/>
    <x v="4"/>
    <x v="20"/>
    <x v="20"/>
    <n v="-5000"/>
    <n v="0"/>
    <n v="5000"/>
    <x v="3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10000"/>
    <n v="10000"/>
    <n v="0"/>
    <x v="146"/>
    <s v="Administracion"/>
    <m/>
    <m/>
    <m/>
    <m/>
    <m/>
    <m/>
    <m/>
  </r>
  <r>
    <d v="2021-04-19T00:00:00"/>
    <x v="4"/>
    <x v="19"/>
    <x v="19"/>
    <n v="-10000"/>
    <n v="0"/>
    <n v="10000"/>
    <x v="14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20000"/>
    <n v="20000"/>
    <n v="0"/>
    <x v="379"/>
    <s v="Administracion"/>
    <m/>
    <m/>
    <m/>
    <m/>
    <m/>
    <m/>
    <m/>
  </r>
  <r>
    <d v="2021-04-19T00:00:00"/>
    <x v="4"/>
    <x v="21"/>
    <x v="21"/>
    <n v="-20000"/>
    <n v="0"/>
    <n v="20000"/>
    <x v="37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15000"/>
    <n v="15000"/>
    <n v="0"/>
    <x v="272"/>
    <s v="Administracion"/>
    <m/>
    <m/>
    <m/>
    <m/>
    <m/>
    <m/>
    <m/>
  </r>
  <r>
    <d v="2021-04-19T00:00:00"/>
    <x v="4"/>
    <x v="19"/>
    <x v="19"/>
    <n v="-15000"/>
    <n v="0"/>
    <n v="15000"/>
    <x v="2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5000"/>
    <n v="5000"/>
    <n v="0"/>
    <x v="98"/>
    <s v="Administracion"/>
    <m/>
    <m/>
    <m/>
    <m/>
    <m/>
    <m/>
    <m/>
  </r>
  <r>
    <d v="2021-04-19T00:00:00"/>
    <x v="4"/>
    <x v="19"/>
    <x v="19"/>
    <n v="-5000"/>
    <n v="0"/>
    <n v="5000"/>
    <x v="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51000"/>
    <n v="51000"/>
    <n v="0"/>
    <x v="380"/>
    <s v="Administracion"/>
    <m/>
    <m/>
    <m/>
    <m/>
    <m/>
    <m/>
    <m/>
  </r>
  <r>
    <d v="2021-04-19T00:00:00"/>
    <x v="4"/>
    <x v="19"/>
    <x v="19"/>
    <n v="-51000"/>
    <n v="0"/>
    <n v="51000"/>
    <x v="38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50000"/>
    <n v="50000"/>
    <n v="0"/>
    <x v="381"/>
    <s v="Administracion"/>
    <m/>
    <m/>
    <m/>
    <m/>
    <m/>
    <m/>
    <m/>
  </r>
  <r>
    <d v="2021-04-19T00:00:00"/>
    <x v="4"/>
    <x v="19"/>
    <x v="19"/>
    <n v="-50000"/>
    <n v="0"/>
    <n v="50000"/>
    <x v="38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10000"/>
    <n v="10000"/>
    <n v="0"/>
    <x v="382"/>
    <s v="Administracion"/>
    <m/>
    <m/>
    <m/>
    <m/>
    <m/>
    <m/>
    <m/>
  </r>
  <r>
    <d v="2021-04-19T00:00:00"/>
    <x v="4"/>
    <x v="19"/>
    <x v="19"/>
    <n v="-10000"/>
    <n v="0"/>
    <n v="10000"/>
    <x v="38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2000"/>
    <n v="2000"/>
    <n v="0"/>
    <x v="382"/>
    <s v="Administracion"/>
    <m/>
    <m/>
    <m/>
    <m/>
    <m/>
    <m/>
    <m/>
  </r>
  <r>
    <d v="2021-04-19T00:00:00"/>
    <x v="4"/>
    <x v="19"/>
    <x v="19"/>
    <n v="-2000"/>
    <n v="0"/>
    <n v="2000"/>
    <x v="38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118656"/>
    <n v="118656"/>
    <n v="0"/>
    <x v="96"/>
    <s v="Administracion"/>
    <m/>
    <m/>
    <m/>
    <m/>
    <m/>
    <m/>
    <m/>
  </r>
  <r>
    <d v="2021-04-19T00:00:00"/>
    <x v="4"/>
    <x v="19"/>
    <x v="19"/>
    <n v="-118656"/>
    <n v="0"/>
    <n v="118656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19T00:00:00"/>
    <x v="4"/>
    <x v="0"/>
    <x v="0"/>
    <n v="40000"/>
    <n v="40000"/>
    <n v="0"/>
    <x v="383"/>
    <s v="Administracion"/>
    <m/>
    <m/>
    <m/>
    <m/>
    <m/>
    <m/>
    <m/>
  </r>
  <r>
    <d v="2021-04-19T00:00:00"/>
    <x v="4"/>
    <x v="21"/>
    <x v="21"/>
    <n v="-40000"/>
    <n v="0"/>
    <n v="40000"/>
    <x v="3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0T00:00:00"/>
    <x v="4"/>
    <x v="0"/>
    <x v="0"/>
    <n v="5000"/>
    <n v="5000"/>
    <n v="0"/>
    <x v="384"/>
    <s v="Administracion"/>
    <m/>
    <m/>
    <m/>
    <m/>
    <m/>
    <m/>
    <m/>
  </r>
  <r>
    <d v="2021-04-20T00:00:00"/>
    <x v="4"/>
    <x v="19"/>
    <x v="19"/>
    <n v="-5000"/>
    <n v="0"/>
    <n v="5000"/>
    <x v="3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0T00:00:00"/>
    <x v="4"/>
    <x v="0"/>
    <x v="0"/>
    <n v="14700"/>
    <n v="14700"/>
    <n v="0"/>
    <x v="96"/>
    <s v="Administracion"/>
    <m/>
    <m/>
    <m/>
    <m/>
    <m/>
    <m/>
    <m/>
  </r>
  <r>
    <d v="2021-04-20T00:00:00"/>
    <x v="4"/>
    <x v="19"/>
    <x v="19"/>
    <n v="-14700"/>
    <n v="0"/>
    <n v="14700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0T00:00:00"/>
    <x v="4"/>
    <x v="23"/>
    <x v="23"/>
    <n v="2273"/>
    <n v="2273"/>
    <n v="0"/>
    <x v="208"/>
    <s v="Administracion"/>
    <m/>
    <m/>
    <m/>
    <m/>
    <m/>
    <m/>
    <m/>
  </r>
  <r>
    <d v="2021-04-20T00:00:00"/>
    <x v="4"/>
    <x v="0"/>
    <x v="0"/>
    <n v="-2273"/>
    <n v="0"/>
    <n v="2273"/>
    <x v="20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0T00:00:00"/>
    <x v="4"/>
    <x v="23"/>
    <x v="23"/>
    <n v="1049"/>
    <n v="1049"/>
    <n v="0"/>
    <x v="208"/>
    <s v="Administracion"/>
    <m/>
    <m/>
    <m/>
    <m/>
    <m/>
    <m/>
    <m/>
  </r>
  <r>
    <d v="2021-04-20T00:00:00"/>
    <x v="4"/>
    <x v="0"/>
    <x v="0"/>
    <n v="-1049"/>
    <n v="0"/>
    <n v="1049"/>
    <x v="20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1T00:00:00"/>
    <x v="4"/>
    <x v="0"/>
    <x v="0"/>
    <n v="30000"/>
    <n v="30000"/>
    <n v="0"/>
    <x v="385"/>
    <s v="Administracion"/>
    <m/>
    <m/>
    <m/>
    <m/>
    <m/>
    <m/>
    <m/>
  </r>
  <r>
    <d v="2021-04-21T00:00:00"/>
    <x v="4"/>
    <x v="21"/>
    <x v="21"/>
    <n v="-30000"/>
    <n v="0"/>
    <n v="30000"/>
    <x v="3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1T00:00:00"/>
    <x v="4"/>
    <x v="0"/>
    <x v="0"/>
    <n v="20000"/>
    <n v="20000"/>
    <n v="0"/>
    <x v="386"/>
    <s v="Administracion"/>
    <m/>
    <m/>
    <m/>
    <m/>
    <m/>
    <m/>
    <m/>
  </r>
  <r>
    <d v="2021-04-21T00:00:00"/>
    <x v="4"/>
    <x v="19"/>
    <x v="19"/>
    <n v="-20000"/>
    <n v="0"/>
    <n v="20000"/>
    <x v="38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1T00:00:00"/>
    <x v="4"/>
    <x v="0"/>
    <x v="0"/>
    <n v="15000"/>
    <n v="15000"/>
    <n v="0"/>
    <x v="144"/>
    <s v="Administracion"/>
    <m/>
    <m/>
    <m/>
    <m/>
    <m/>
    <m/>
    <m/>
  </r>
  <r>
    <d v="2021-04-21T00:00:00"/>
    <x v="4"/>
    <x v="19"/>
    <x v="19"/>
    <n v="-15000"/>
    <n v="0"/>
    <n v="15000"/>
    <x v="1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1T00:00:00"/>
    <x v="4"/>
    <x v="0"/>
    <x v="0"/>
    <n v="4900"/>
    <n v="4900"/>
    <n v="0"/>
    <x v="96"/>
    <s v="Administracion"/>
    <m/>
    <m/>
    <m/>
    <m/>
    <m/>
    <m/>
    <m/>
  </r>
  <r>
    <d v="2021-04-21T00:00:00"/>
    <x v="4"/>
    <x v="19"/>
    <x v="19"/>
    <n v="-4900"/>
    <n v="0"/>
    <n v="4900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2T00:00:00"/>
    <x v="4"/>
    <x v="0"/>
    <x v="0"/>
    <n v="10000"/>
    <n v="10000"/>
    <n v="0"/>
    <x v="92"/>
    <s v="Administracion"/>
    <m/>
    <m/>
    <m/>
    <m/>
    <m/>
    <m/>
    <m/>
  </r>
  <r>
    <d v="2021-04-22T00:00:00"/>
    <x v="4"/>
    <x v="19"/>
    <x v="19"/>
    <n v="-10000"/>
    <n v="0"/>
    <n v="10000"/>
    <x v="9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2T00:00:00"/>
    <x v="4"/>
    <x v="0"/>
    <x v="0"/>
    <n v="5000"/>
    <n v="5000"/>
    <n v="0"/>
    <x v="217"/>
    <s v="Administracion"/>
    <m/>
    <m/>
    <m/>
    <m/>
    <m/>
    <m/>
    <m/>
  </r>
  <r>
    <d v="2021-04-22T00:00:00"/>
    <x v="4"/>
    <x v="19"/>
    <x v="19"/>
    <n v="-5000"/>
    <n v="0"/>
    <n v="5000"/>
    <x v="2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2T00:00:00"/>
    <x v="4"/>
    <x v="0"/>
    <x v="0"/>
    <n v="20000"/>
    <n v="20000"/>
    <n v="0"/>
    <x v="94"/>
    <s v="Administracion"/>
    <m/>
    <m/>
    <m/>
    <m/>
    <m/>
    <m/>
    <m/>
  </r>
  <r>
    <d v="2021-04-22T00:00:00"/>
    <x v="4"/>
    <x v="19"/>
    <x v="19"/>
    <n v="-20000"/>
    <n v="0"/>
    <n v="20000"/>
    <x v="9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3T00:00:00"/>
    <x v="4"/>
    <x v="0"/>
    <x v="0"/>
    <n v="50000"/>
    <n v="50000"/>
    <n v="0"/>
    <x v="187"/>
    <s v="Administracion"/>
    <m/>
    <m/>
    <m/>
    <m/>
    <m/>
    <m/>
    <m/>
  </r>
  <r>
    <d v="2021-04-23T00:00:00"/>
    <x v="4"/>
    <x v="19"/>
    <x v="19"/>
    <n v="-50000"/>
    <n v="0"/>
    <n v="50000"/>
    <x v="18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5000"/>
    <n v="5000"/>
    <n v="0"/>
    <x v="387"/>
    <s v="Administracion"/>
    <m/>
    <m/>
    <m/>
    <m/>
    <m/>
    <m/>
    <m/>
  </r>
  <r>
    <d v="2021-04-26T00:00:00"/>
    <x v="4"/>
    <x v="19"/>
    <x v="19"/>
    <n v="-5000"/>
    <n v="0"/>
    <n v="5000"/>
    <x v="38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20000"/>
    <n v="20000"/>
    <n v="0"/>
    <x v="388"/>
    <s v="Administracion"/>
    <m/>
    <m/>
    <m/>
    <m/>
    <m/>
    <m/>
    <m/>
  </r>
  <r>
    <d v="2021-04-26T00:00:00"/>
    <x v="4"/>
    <x v="21"/>
    <x v="21"/>
    <n v="-20000"/>
    <n v="0"/>
    <n v="20000"/>
    <x v="38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5000"/>
    <n v="5000"/>
    <n v="0"/>
    <x v="389"/>
    <s v="Administracion"/>
    <m/>
    <m/>
    <m/>
    <m/>
    <m/>
    <m/>
    <m/>
  </r>
  <r>
    <d v="2021-04-26T00:00:00"/>
    <x v="4"/>
    <x v="19"/>
    <x v="19"/>
    <n v="-5000"/>
    <n v="0"/>
    <n v="5000"/>
    <x v="38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10000"/>
    <n v="10000"/>
    <n v="0"/>
    <x v="390"/>
    <s v="Administracion"/>
    <m/>
    <m/>
    <m/>
    <m/>
    <m/>
    <m/>
    <m/>
  </r>
  <r>
    <d v="2021-04-26T00:00:00"/>
    <x v="4"/>
    <x v="21"/>
    <x v="21"/>
    <n v="-10000"/>
    <n v="0"/>
    <n v="10000"/>
    <x v="39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20000"/>
    <n v="20000"/>
    <n v="0"/>
    <x v="391"/>
    <s v="Administracion"/>
    <m/>
    <m/>
    <m/>
    <m/>
    <m/>
    <m/>
    <m/>
  </r>
  <r>
    <d v="2021-04-26T00:00:00"/>
    <x v="4"/>
    <x v="6"/>
    <x v="6"/>
    <n v="-20000"/>
    <n v="0"/>
    <n v="20000"/>
    <x v="39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50000"/>
    <n v="50000"/>
    <n v="0"/>
    <x v="392"/>
    <s v="Administracion"/>
    <m/>
    <m/>
    <m/>
    <m/>
    <m/>
    <m/>
    <m/>
  </r>
  <r>
    <d v="2021-04-26T00:00:00"/>
    <x v="4"/>
    <x v="19"/>
    <x v="19"/>
    <n v="-50000"/>
    <n v="0"/>
    <n v="50000"/>
    <x v="39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10000"/>
    <n v="10000"/>
    <n v="0"/>
    <x v="78"/>
    <s v="Administracion"/>
    <m/>
    <m/>
    <m/>
    <m/>
    <m/>
    <m/>
    <m/>
  </r>
  <r>
    <d v="2021-04-26T00:00:00"/>
    <x v="4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10000"/>
    <n v="10000"/>
    <n v="0"/>
    <x v="117"/>
    <s v="Administracion"/>
    <m/>
    <m/>
    <m/>
    <m/>
    <m/>
    <m/>
    <m/>
  </r>
  <r>
    <d v="2021-04-26T00:00:00"/>
    <x v="4"/>
    <x v="19"/>
    <x v="19"/>
    <n v="-10000"/>
    <n v="0"/>
    <n v="10000"/>
    <x v="1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20000"/>
    <n v="20000"/>
    <n v="0"/>
    <x v="227"/>
    <s v="Administracion"/>
    <m/>
    <m/>
    <m/>
    <m/>
    <m/>
    <m/>
    <m/>
  </r>
  <r>
    <d v="2021-04-26T00:00:00"/>
    <x v="4"/>
    <x v="19"/>
    <x v="19"/>
    <n v="-20000"/>
    <n v="0"/>
    <n v="20000"/>
    <x v="2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5000"/>
    <n v="5000"/>
    <n v="0"/>
    <x v="200"/>
    <s v="Administracion"/>
    <m/>
    <m/>
    <m/>
    <m/>
    <m/>
    <m/>
    <m/>
  </r>
  <r>
    <d v="2021-04-26T00:00:00"/>
    <x v="4"/>
    <x v="19"/>
    <x v="19"/>
    <n v="-5000"/>
    <n v="0"/>
    <n v="5000"/>
    <x v="20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3000"/>
    <n v="3000"/>
    <n v="0"/>
    <x v="115"/>
    <s v="Administracion"/>
    <m/>
    <m/>
    <m/>
    <m/>
    <m/>
    <m/>
    <m/>
  </r>
  <r>
    <d v="2021-04-26T00:00:00"/>
    <x v="4"/>
    <x v="19"/>
    <x v="19"/>
    <n v="-3000"/>
    <n v="0"/>
    <n v="3000"/>
    <x v="1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10000"/>
    <n v="10000"/>
    <n v="0"/>
    <x v="393"/>
    <s v="Administracion"/>
    <m/>
    <m/>
    <m/>
    <m/>
    <m/>
    <m/>
    <m/>
  </r>
  <r>
    <d v="2021-04-26T00:00:00"/>
    <x v="4"/>
    <x v="19"/>
    <x v="19"/>
    <n v="-10000"/>
    <n v="0"/>
    <n v="10000"/>
    <x v="39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20000"/>
    <n v="20000"/>
    <n v="0"/>
    <x v="191"/>
    <s v="Administracion"/>
    <m/>
    <m/>
    <m/>
    <m/>
    <m/>
    <m/>
    <m/>
  </r>
  <r>
    <d v="2021-04-26T00:00:00"/>
    <x v="4"/>
    <x v="19"/>
    <x v="19"/>
    <n v="-20000"/>
    <n v="0"/>
    <n v="20000"/>
    <x v="19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30000"/>
    <n v="30000"/>
    <n v="0"/>
    <x v="394"/>
    <s v="Administracion"/>
    <m/>
    <m/>
    <m/>
    <m/>
    <m/>
    <m/>
    <m/>
  </r>
  <r>
    <d v="2021-04-26T00:00:00"/>
    <x v="4"/>
    <x v="21"/>
    <x v="21"/>
    <n v="-30000"/>
    <n v="0"/>
    <n v="30000"/>
    <x v="39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20000"/>
    <n v="20000"/>
    <n v="0"/>
    <x v="395"/>
    <s v="Administracion"/>
    <m/>
    <m/>
    <m/>
    <m/>
    <m/>
    <m/>
    <m/>
  </r>
  <r>
    <d v="2021-04-26T00:00:00"/>
    <x v="4"/>
    <x v="21"/>
    <x v="21"/>
    <n v="-20000"/>
    <n v="0"/>
    <n v="20000"/>
    <x v="39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10000"/>
    <n v="10000"/>
    <n v="0"/>
    <x v="76"/>
    <s v="Administracion"/>
    <m/>
    <m/>
    <m/>
    <m/>
    <m/>
    <m/>
    <m/>
  </r>
  <r>
    <d v="2021-04-26T00:00:00"/>
    <x v="4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10000"/>
    <n v="10000"/>
    <n v="0"/>
    <x v="92"/>
    <s v="Administracion"/>
    <m/>
    <m/>
    <m/>
    <m/>
    <m/>
    <m/>
    <m/>
  </r>
  <r>
    <d v="2021-04-26T00:00:00"/>
    <x v="4"/>
    <x v="19"/>
    <x v="19"/>
    <n v="-10000"/>
    <n v="0"/>
    <n v="10000"/>
    <x v="9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30000"/>
    <n v="30000"/>
    <n v="0"/>
    <x v="396"/>
    <s v="Administracion"/>
    <m/>
    <m/>
    <m/>
    <m/>
    <m/>
    <m/>
    <m/>
  </r>
  <r>
    <d v="2021-04-26T00:00:00"/>
    <x v="4"/>
    <x v="21"/>
    <x v="21"/>
    <n v="-30000"/>
    <n v="0"/>
    <n v="30000"/>
    <x v="3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20000"/>
    <n v="20000"/>
    <n v="0"/>
    <x v="266"/>
    <s v="Administracion"/>
    <m/>
    <m/>
    <m/>
    <m/>
    <m/>
    <m/>
    <m/>
  </r>
  <r>
    <d v="2021-04-26T00:00:00"/>
    <x v="4"/>
    <x v="19"/>
    <x v="19"/>
    <n v="-20000"/>
    <n v="0"/>
    <n v="20000"/>
    <x v="26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2000"/>
    <n v="2000"/>
    <n v="0"/>
    <x v="283"/>
    <s v="Administracion"/>
    <m/>
    <m/>
    <m/>
    <m/>
    <m/>
    <m/>
    <m/>
  </r>
  <r>
    <d v="2021-04-26T00:00:00"/>
    <x v="4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9800"/>
    <n v="9800"/>
    <n v="0"/>
    <x v="344"/>
    <s v="Administracion"/>
    <m/>
    <m/>
    <m/>
    <m/>
    <m/>
    <m/>
    <m/>
  </r>
  <r>
    <d v="2021-04-26T00:00:00"/>
    <x v="4"/>
    <x v="20"/>
    <x v="20"/>
    <n v="-9800"/>
    <n v="0"/>
    <n v="9800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60000"/>
    <n v="60000"/>
    <n v="0"/>
    <x v="397"/>
    <s v="Administracion"/>
    <m/>
    <m/>
    <m/>
    <m/>
    <m/>
    <m/>
    <m/>
  </r>
  <r>
    <d v="2021-04-26T00:00:00"/>
    <x v="4"/>
    <x v="19"/>
    <x v="19"/>
    <n v="-60000"/>
    <n v="0"/>
    <n v="60000"/>
    <x v="39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10000"/>
    <n v="10000"/>
    <n v="0"/>
    <x v="146"/>
    <s v="Administracion"/>
    <m/>
    <m/>
    <m/>
    <m/>
    <m/>
    <m/>
    <m/>
  </r>
  <r>
    <d v="2021-04-26T00:00:00"/>
    <x v="4"/>
    <x v="19"/>
    <x v="19"/>
    <n v="-10000"/>
    <n v="0"/>
    <n v="10000"/>
    <x v="14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45000"/>
    <n v="45000"/>
    <n v="0"/>
    <x v="398"/>
    <s v="Administracion"/>
    <m/>
    <m/>
    <m/>
    <m/>
    <m/>
    <m/>
    <m/>
  </r>
  <r>
    <d v="2021-04-26T00:00:00"/>
    <x v="4"/>
    <x v="19"/>
    <x v="19"/>
    <n v="-45000"/>
    <n v="0"/>
    <n v="45000"/>
    <x v="3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20000"/>
    <n v="20000"/>
    <n v="0"/>
    <x v="196"/>
    <s v="Administracion"/>
    <m/>
    <m/>
    <m/>
    <m/>
    <m/>
    <m/>
    <m/>
  </r>
  <r>
    <d v="2021-04-26T00:00:00"/>
    <x v="4"/>
    <x v="19"/>
    <x v="19"/>
    <n v="-20000"/>
    <n v="0"/>
    <n v="20000"/>
    <x v="1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6T00:00:00"/>
    <x v="4"/>
    <x v="0"/>
    <x v="0"/>
    <n v="50000"/>
    <n v="50000"/>
    <n v="0"/>
    <x v="399"/>
    <s v="Administracion"/>
    <m/>
    <m/>
    <m/>
    <m/>
    <m/>
    <m/>
    <m/>
  </r>
  <r>
    <d v="2021-04-26T00:00:00"/>
    <x v="4"/>
    <x v="19"/>
    <x v="19"/>
    <n v="-50000"/>
    <n v="0"/>
    <n v="50000"/>
    <x v="39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7T00:00:00"/>
    <x v="4"/>
    <x v="0"/>
    <x v="0"/>
    <n v="30000"/>
    <n v="30000"/>
    <n v="0"/>
    <x v="400"/>
    <s v="Administracion"/>
    <m/>
    <m/>
    <m/>
    <m/>
    <m/>
    <m/>
    <m/>
  </r>
  <r>
    <d v="2021-04-27T00:00:00"/>
    <x v="4"/>
    <x v="19"/>
    <x v="19"/>
    <n v="-30000"/>
    <n v="0"/>
    <n v="30000"/>
    <x v="40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7T00:00:00"/>
    <x v="4"/>
    <x v="0"/>
    <x v="0"/>
    <n v="20000"/>
    <n v="20000"/>
    <n v="0"/>
    <x v="401"/>
    <s v="Administracion"/>
    <m/>
    <m/>
    <m/>
    <m/>
    <m/>
    <m/>
    <m/>
  </r>
  <r>
    <d v="2021-04-27T00:00:00"/>
    <x v="4"/>
    <x v="21"/>
    <x v="21"/>
    <n v="-20000"/>
    <n v="0"/>
    <n v="20000"/>
    <x v="40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7T00:00:00"/>
    <x v="4"/>
    <x v="0"/>
    <x v="0"/>
    <n v="5000"/>
    <n v="5000"/>
    <n v="0"/>
    <x v="173"/>
    <s v="Administracion"/>
    <m/>
    <m/>
    <m/>
    <m/>
    <m/>
    <m/>
    <m/>
  </r>
  <r>
    <d v="2021-04-27T00:00:00"/>
    <x v="4"/>
    <x v="19"/>
    <x v="19"/>
    <n v="-5000"/>
    <n v="0"/>
    <n v="5000"/>
    <x v="1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7T00:00:00"/>
    <x v="4"/>
    <x v="0"/>
    <x v="0"/>
    <n v="14700"/>
    <n v="14700"/>
    <n v="0"/>
    <x v="96"/>
    <s v="Administracion"/>
    <m/>
    <m/>
    <m/>
    <m/>
    <m/>
    <m/>
    <m/>
  </r>
  <r>
    <d v="2021-04-27T00:00:00"/>
    <x v="4"/>
    <x v="19"/>
    <x v="19"/>
    <n v="-14700"/>
    <n v="0"/>
    <n v="14700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7T00:00:00"/>
    <x v="4"/>
    <x v="0"/>
    <x v="0"/>
    <n v="5000"/>
    <n v="5000"/>
    <n v="0"/>
    <x v="107"/>
    <s v="Administracion"/>
    <m/>
    <m/>
    <m/>
    <m/>
    <m/>
    <m/>
    <m/>
  </r>
  <r>
    <d v="2021-04-27T00:00:00"/>
    <x v="4"/>
    <x v="19"/>
    <x v="19"/>
    <n v="-5000"/>
    <n v="0"/>
    <n v="5000"/>
    <x v="10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8T00:00:00"/>
    <x v="4"/>
    <x v="0"/>
    <x v="0"/>
    <n v="5000"/>
    <n v="5000"/>
    <n v="0"/>
    <x v="315"/>
    <s v="Administracion"/>
    <m/>
    <m/>
    <m/>
    <m/>
    <m/>
    <m/>
    <m/>
  </r>
  <r>
    <d v="2021-04-28T00:00:00"/>
    <x v="4"/>
    <x v="20"/>
    <x v="20"/>
    <n v="-5000"/>
    <n v="0"/>
    <n v="5000"/>
    <x v="3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8T00:00:00"/>
    <x v="4"/>
    <x v="0"/>
    <x v="0"/>
    <n v="40000"/>
    <n v="40000"/>
    <n v="0"/>
    <x v="73"/>
    <s v="Administracion"/>
    <m/>
    <m/>
    <m/>
    <m/>
    <m/>
    <m/>
    <m/>
  </r>
  <r>
    <d v="2021-04-28T00:00:00"/>
    <x v="4"/>
    <x v="19"/>
    <x v="19"/>
    <n v="-40000"/>
    <n v="0"/>
    <n v="40000"/>
    <x v="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8T00:00:00"/>
    <x v="4"/>
    <x v="0"/>
    <x v="0"/>
    <n v="40000"/>
    <n v="40000"/>
    <n v="0"/>
    <x v="402"/>
    <s v="Administracion"/>
    <m/>
    <m/>
    <m/>
    <m/>
    <m/>
    <m/>
    <m/>
  </r>
  <r>
    <d v="2021-04-28T00:00:00"/>
    <x v="4"/>
    <x v="21"/>
    <x v="21"/>
    <n v="-40000"/>
    <n v="0"/>
    <n v="40000"/>
    <x v="40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8T00:00:00"/>
    <x v="4"/>
    <x v="0"/>
    <x v="0"/>
    <n v="4000000"/>
    <n v="4000000"/>
    <n v="0"/>
    <x v="403"/>
    <s v="Administracion"/>
    <m/>
    <m/>
    <m/>
    <m/>
    <m/>
    <m/>
    <m/>
  </r>
  <r>
    <d v="2021-04-28T00:00:00"/>
    <x v="4"/>
    <x v="6"/>
    <x v="6"/>
    <n v="-4000000"/>
    <n v="0"/>
    <n v="4000000"/>
    <x v="40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8T00:00:00"/>
    <x v="4"/>
    <x v="0"/>
    <x v="0"/>
    <n v="19761"/>
    <n v="19761"/>
    <n v="0"/>
    <x v="96"/>
    <s v="Administracion"/>
    <m/>
    <m/>
    <m/>
    <m/>
    <m/>
    <m/>
    <m/>
  </r>
  <r>
    <d v="2021-04-28T00:00:00"/>
    <x v="4"/>
    <x v="19"/>
    <x v="19"/>
    <n v="-19761"/>
    <n v="0"/>
    <n v="19761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8T00:00:00"/>
    <x v="4"/>
    <x v="0"/>
    <x v="0"/>
    <n v="5000"/>
    <n v="5000"/>
    <n v="0"/>
    <x v="404"/>
    <s v="Administracion"/>
    <m/>
    <m/>
    <m/>
    <m/>
    <m/>
    <m/>
    <m/>
  </r>
  <r>
    <d v="2021-04-28T00:00:00"/>
    <x v="4"/>
    <x v="19"/>
    <x v="19"/>
    <n v="-5000"/>
    <n v="0"/>
    <n v="5000"/>
    <x v="40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8T00:00:00"/>
    <x v="4"/>
    <x v="0"/>
    <x v="0"/>
    <n v="100000"/>
    <n v="100000"/>
    <n v="0"/>
    <x v="404"/>
    <s v="Administracion"/>
    <m/>
    <m/>
    <m/>
    <m/>
    <m/>
    <m/>
    <m/>
  </r>
  <r>
    <d v="2021-04-28T00:00:00"/>
    <x v="4"/>
    <x v="19"/>
    <x v="19"/>
    <n v="-100000"/>
    <n v="0"/>
    <n v="100000"/>
    <x v="40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8T00:00:00"/>
    <x v="4"/>
    <x v="0"/>
    <x v="0"/>
    <n v="20000"/>
    <n v="20000"/>
    <n v="0"/>
    <x v="405"/>
    <s v="Administracion"/>
    <m/>
    <m/>
    <m/>
    <m/>
    <m/>
    <m/>
    <m/>
  </r>
  <r>
    <d v="2021-04-28T00:00:00"/>
    <x v="4"/>
    <x v="19"/>
    <x v="19"/>
    <n v="-20000"/>
    <n v="0"/>
    <n v="20000"/>
    <x v="40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9T00:00:00"/>
    <x v="4"/>
    <x v="0"/>
    <x v="0"/>
    <n v="20000"/>
    <n v="20000"/>
    <n v="0"/>
    <x v="161"/>
    <s v="Administracion"/>
    <m/>
    <m/>
    <m/>
    <m/>
    <m/>
    <m/>
    <m/>
  </r>
  <r>
    <d v="2021-04-29T00:00:00"/>
    <x v="4"/>
    <x v="19"/>
    <x v="19"/>
    <n v="-20000"/>
    <n v="0"/>
    <n v="20000"/>
    <x v="16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9T00:00:00"/>
    <x v="4"/>
    <x v="0"/>
    <x v="0"/>
    <n v="40000"/>
    <n v="40000"/>
    <n v="0"/>
    <x v="406"/>
    <s v="Administracion"/>
    <m/>
    <m/>
    <m/>
    <m/>
    <m/>
    <m/>
    <m/>
  </r>
  <r>
    <d v="2021-04-29T00:00:00"/>
    <x v="4"/>
    <x v="21"/>
    <x v="21"/>
    <n v="-40000"/>
    <n v="0"/>
    <n v="40000"/>
    <x v="40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9T00:00:00"/>
    <x v="4"/>
    <x v="0"/>
    <x v="0"/>
    <n v="75000"/>
    <n v="75000"/>
    <n v="0"/>
    <x v="407"/>
    <s v="Administracion"/>
    <m/>
    <m/>
    <m/>
    <m/>
    <m/>
    <m/>
    <m/>
  </r>
  <r>
    <d v="2021-04-29T00:00:00"/>
    <x v="4"/>
    <x v="42"/>
    <x v="23"/>
    <n v="-75000"/>
    <n v="0"/>
    <n v="75000"/>
    <x v="40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9T00:00:00"/>
    <x v="4"/>
    <x v="0"/>
    <x v="0"/>
    <n v="12000"/>
    <n v="12000"/>
    <n v="0"/>
    <x v="206"/>
    <s v="Administracion"/>
    <m/>
    <m/>
    <m/>
    <m/>
    <m/>
    <m/>
    <m/>
  </r>
  <r>
    <d v="2021-04-29T00:00:00"/>
    <x v="4"/>
    <x v="19"/>
    <x v="19"/>
    <n v="-12000"/>
    <n v="0"/>
    <n v="12000"/>
    <x v="20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9T00:00:00"/>
    <x v="4"/>
    <x v="0"/>
    <x v="0"/>
    <n v="20000"/>
    <n v="20000"/>
    <n v="0"/>
    <x v="408"/>
    <s v="Administracion"/>
    <m/>
    <m/>
    <m/>
    <m/>
    <m/>
    <m/>
    <m/>
  </r>
  <r>
    <d v="2021-04-29T00:00:00"/>
    <x v="4"/>
    <x v="21"/>
    <x v="21"/>
    <n v="-20000"/>
    <n v="0"/>
    <n v="20000"/>
    <x v="40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9T00:00:00"/>
    <x v="4"/>
    <x v="0"/>
    <x v="0"/>
    <n v="20000"/>
    <n v="20000"/>
    <n v="0"/>
    <x v="409"/>
    <s v="Administracion"/>
    <m/>
    <m/>
    <m/>
    <m/>
    <m/>
    <m/>
    <m/>
  </r>
  <r>
    <d v="2021-04-29T00:00:00"/>
    <x v="4"/>
    <x v="19"/>
    <x v="19"/>
    <n v="-20000"/>
    <n v="0"/>
    <n v="20000"/>
    <x v="40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9T00:00:00"/>
    <x v="4"/>
    <x v="0"/>
    <x v="0"/>
    <n v="15000"/>
    <n v="15000"/>
    <n v="0"/>
    <x v="410"/>
    <s v="Administracion"/>
    <m/>
    <m/>
    <m/>
    <m/>
    <m/>
    <m/>
    <m/>
  </r>
  <r>
    <d v="2021-04-29T00:00:00"/>
    <x v="4"/>
    <x v="6"/>
    <x v="6"/>
    <n v="-15000"/>
    <n v="0"/>
    <n v="15000"/>
    <x v="41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9T00:00:00"/>
    <x v="4"/>
    <x v="0"/>
    <x v="0"/>
    <n v="30000"/>
    <n v="30000"/>
    <n v="0"/>
    <x v="411"/>
    <s v="Administracion"/>
    <m/>
    <m/>
    <m/>
    <m/>
    <m/>
    <m/>
    <m/>
  </r>
  <r>
    <d v="2021-04-29T00:00:00"/>
    <x v="4"/>
    <x v="21"/>
    <x v="21"/>
    <n v="-30000"/>
    <n v="0"/>
    <n v="30000"/>
    <x v="41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9T00:00:00"/>
    <x v="4"/>
    <x v="0"/>
    <x v="0"/>
    <n v="60000"/>
    <n v="60000"/>
    <n v="0"/>
    <x v="412"/>
    <s v="Administracion"/>
    <m/>
    <m/>
    <m/>
    <m/>
    <m/>
    <m/>
    <m/>
  </r>
  <r>
    <d v="2021-04-29T00:00:00"/>
    <x v="4"/>
    <x v="21"/>
    <x v="21"/>
    <n v="-60000"/>
    <n v="0"/>
    <n v="60000"/>
    <x v="4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9T00:00:00"/>
    <x v="4"/>
    <x v="0"/>
    <x v="0"/>
    <n v="20000"/>
    <n v="20000"/>
    <n v="0"/>
    <x v="413"/>
    <s v="Administracion"/>
    <m/>
    <m/>
    <m/>
    <m/>
    <m/>
    <m/>
    <m/>
  </r>
  <r>
    <d v="2021-04-29T00:00:00"/>
    <x v="4"/>
    <x v="21"/>
    <x v="21"/>
    <n v="-20000"/>
    <n v="0"/>
    <n v="20000"/>
    <x v="41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9T00:00:00"/>
    <x v="4"/>
    <x v="0"/>
    <x v="0"/>
    <n v="100000"/>
    <n v="100000"/>
    <n v="0"/>
    <x v="414"/>
    <s v="Administracion"/>
    <m/>
    <m/>
    <m/>
    <m/>
    <m/>
    <m/>
    <m/>
  </r>
  <r>
    <d v="2021-04-29T00:00:00"/>
    <x v="4"/>
    <x v="21"/>
    <x v="21"/>
    <n v="-100000"/>
    <n v="0"/>
    <n v="100000"/>
    <x v="41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29T00:00:00"/>
    <x v="4"/>
    <x v="0"/>
    <x v="0"/>
    <n v="100000"/>
    <n v="100000"/>
    <n v="0"/>
    <x v="415"/>
    <s v="Administracion"/>
    <m/>
    <m/>
    <m/>
    <m/>
    <m/>
    <m/>
    <m/>
  </r>
  <r>
    <d v="2021-04-29T00:00:00"/>
    <x v="4"/>
    <x v="19"/>
    <x v="19"/>
    <n v="-100000"/>
    <n v="0"/>
    <n v="100000"/>
    <x v="4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0"/>
    <x v="0"/>
    <n v="20000"/>
    <n v="20000"/>
    <n v="0"/>
    <x v="416"/>
    <s v="Administracion"/>
    <m/>
    <m/>
    <m/>
    <m/>
    <m/>
    <m/>
    <m/>
  </r>
  <r>
    <d v="2021-04-30T00:00:00"/>
    <x v="4"/>
    <x v="21"/>
    <x v="21"/>
    <n v="-20000"/>
    <n v="0"/>
    <n v="20000"/>
    <x v="41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0"/>
    <x v="0"/>
    <n v="30000"/>
    <n v="30000"/>
    <n v="0"/>
    <x v="266"/>
    <s v="Administracion"/>
    <m/>
    <m/>
    <m/>
    <m/>
    <m/>
    <m/>
    <m/>
  </r>
  <r>
    <d v="2021-04-30T00:00:00"/>
    <x v="4"/>
    <x v="19"/>
    <x v="19"/>
    <n v="-30000"/>
    <n v="0"/>
    <n v="30000"/>
    <x v="26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0"/>
    <x v="0"/>
    <n v="40000"/>
    <n v="40000"/>
    <n v="0"/>
    <x v="186"/>
    <s v="Administracion"/>
    <m/>
    <m/>
    <m/>
    <m/>
    <m/>
    <m/>
    <m/>
  </r>
  <r>
    <d v="2021-04-30T00:00:00"/>
    <x v="4"/>
    <x v="19"/>
    <x v="19"/>
    <n v="-40000"/>
    <n v="0"/>
    <n v="40000"/>
    <x v="18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0"/>
    <x v="0"/>
    <n v="50000"/>
    <n v="50000"/>
    <n v="0"/>
    <x v="163"/>
    <s v="Administracion"/>
    <m/>
    <m/>
    <m/>
    <m/>
    <m/>
    <m/>
    <m/>
  </r>
  <r>
    <d v="2021-04-30T00:00:00"/>
    <x v="4"/>
    <x v="19"/>
    <x v="19"/>
    <n v="-50000"/>
    <n v="0"/>
    <n v="50000"/>
    <x v="16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22"/>
    <x v="22"/>
    <n v="9412"/>
    <n v="9412"/>
    <n v="0"/>
    <x v="301"/>
    <s v="Administracion"/>
    <m/>
    <m/>
    <m/>
    <m/>
    <m/>
    <m/>
    <m/>
  </r>
  <r>
    <d v="2021-04-30T00:00:00"/>
    <x v="4"/>
    <x v="0"/>
    <x v="0"/>
    <n v="-9412"/>
    <n v="0"/>
    <n v="9412"/>
    <x v="30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0"/>
    <x v="0"/>
    <n v="40000"/>
    <n v="40000"/>
    <n v="0"/>
    <x v="417"/>
    <s v="Administracion"/>
    <m/>
    <m/>
    <m/>
    <m/>
    <m/>
    <m/>
    <m/>
  </r>
  <r>
    <d v="2021-04-30T00:00:00"/>
    <x v="4"/>
    <x v="6"/>
    <x v="6"/>
    <n v="-40000"/>
    <n v="0"/>
    <n v="40000"/>
    <x v="4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0"/>
    <x v="0"/>
    <n v="20000"/>
    <n v="20000"/>
    <n v="0"/>
    <x v="162"/>
    <s v="Administracion"/>
    <m/>
    <m/>
    <m/>
    <m/>
    <m/>
    <m/>
    <m/>
  </r>
  <r>
    <d v="2021-04-30T00:00:00"/>
    <x v="4"/>
    <x v="19"/>
    <x v="19"/>
    <n v="-20000"/>
    <n v="0"/>
    <n v="20000"/>
    <x v="1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0"/>
    <x v="0"/>
    <n v="14740"/>
    <n v="14740"/>
    <n v="0"/>
    <x v="96"/>
    <s v="Administracion"/>
    <m/>
    <m/>
    <m/>
    <m/>
    <m/>
    <m/>
    <m/>
  </r>
  <r>
    <d v="2021-04-30T00:00:00"/>
    <x v="4"/>
    <x v="19"/>
    <x v="19"/>
    <n v="-14740"/>
    <n v="0"/>
    <n v="14740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0"/>
    <x v="0"/>
    <n v="10000"/>
    <n v="10000"/>
    <n v="0"/>
    <x v="418"/>
    <s v="Administracion"/>
    <m/>
    <m/>
    <m/>
    <m/>
    <m/>
    <m/>
    <m/>
  </r>
  <r>
    <d v="2021-04-30T00:00:00"/>
    <x v="4"/>
    <x v="19"/>
    <x v="19"/>
    <n v="-10000"/>
    <n v="0"/>
    <n v="10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0"/>
    <x v="0"/>
    <n v="15000"/>
    <n v="15000"/>
    <n v="0"/>
    <x v="419"/>
    <s v="Administracion"/>
    <m/>
    <m/>
    <m/>
    <m/>
    <m/>
    <m/>
    <m/>
  </r>
  <r>
    <d v="2021-04-30T00:00:00"/>
    <x v="4"/>
    <x v="19"/>
    <x v="19"/>
    <n v="-15000"/>
    <n v="0"/>
    <n v="15000"/>
    <x v="41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0"/>
    <x v="0"/>
    <n v="20000"/>
    <n v="20000"/>
    <n v="0"/>
    <x v="420"/>
    <s v="Administracion"/>
    <m/>
    <m/>
    <m/>
    <m/>
    <m/>
    <m/>
    <m/>
  </r>
  <r>
    <d v="2021-04-30T00:00:00"/>
    <x v="4"/>
    <x v="21"/>
    <x v="21"/>
    <n v="-20000"/>
    <n v="0"/>
    <n v="20000"/>
    <x v="42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0"/>
    <x v="0"/>
    <n v="20"/>
    <n v="20"/>
    <n v="0"/>
    <x v="421"/>
    <s v="Administracion"/>
    <m/>
    <m/>
    <m/>
    <m/>
    <m/>
    <m/>
    <m/>
  </r>
  <r>
    <d v="2021-04-30T00:00:00"/>
    <x v="4"/>
    <x v="6"/>
    <x v="6"/>
    <n v="-20"/>
    <n v="0"/>
    <n v="20"/>
    <x v="42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0"/>
    <x v="0"/>
    <n v="20000"/>
    <n v="20000"/>
    <n v="0"/>
    <x v="421"/>
    <s v="Administracion"/>
    <m/>
    <m/>
    <m/>
    <m/>
    <m/>
    <m/>
    <m/>
  </r>
  <r>
    <d v="2021-04-30T00:00:00"/>
    <x v="4"/>
    <x v="6"/>
    <x v="6"/>
    <n v="-20000"/>
    <n v="0"/>
    <n v="20000"/>
    <x v="42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0"/>
    <x v="0"/>
    <n v="127000"/>
    <n v="127000"/>
    <n v="0"/>
    <x v="422"/>
    <s v="Administracion"/>
    <m/>
    <m/>
    <m/>
    <m/>
    <m/>
    <m/>
    <m/>
  </r>
  <r>
    <d v="2021-04-30T00:00:00"/>
    <x v="4"/>
    <x v="19"/>
    <x v="19"/>
    <n v="-127000"/>
    <n v="0"/>
    <n v="127000"/>
    <x v="42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0"/>
    <x v="0"/>
    <n v="20000"/>
    <n v="20000"/>
    <n v="0"/>
    <x v="423"/>
    <s v="Administracion"/>
    <m/>
    <m/>
    <m/>
    <m/>
    <m/>
    <m/>
    <m/>
  </r>
  <r>
    <d v="2021-04-30T00:00:00"/>
    <x v="4"/>
    <x v="21"/>
    <x v="21"/>
    <n v="-20000"/>
    <n v="0"/>
    <n v="20000"/>
    <x v="42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11"/>
    <x v="11"/>
    <n v="780569"/>
    <n v="780569"/>
    <n v="0"/>
    <x v="286"/>
    <s v="Administración"/>
    <m/>
    <m/>
    <m/>
    <m/>
    <m/>
    <m/>
    <m/>
  </r>
  <r>
    <d v="2021-04-30T00:00:00"/>
    <x v="4"/>
    <x v="11"/>
    <x v="11"/>
    <n v="515955"/>
    <n v="515955"/>
    <n v="0"/>
    <x v="287"/>
    <s v="Administración"/>
    <m/>
    <m/>
    <m/>
    <m/>
    <m/>
    <m/>
    <m/>
  </r>
  <r>
    <d v="2021-04-30T00:00:00"/>
    <x v="4"/>
    <x v="11"/>
    <x v="11"/>
    <n v="270605"/>
    <n v="270605"/>
    <n v="0"/>
    <x v="288"/>
    <s v="Administración"/>
    <m/>
    <m/>
    <m/>
    <m/>
    <m/>
    <m/>
    <m/>
  </r>
  <r>
    <d v="2021-04-30T00:00:00"/>
    <x v="4"/>
    <x v="11"/>
    <x v="11"/>
    <n v="1118210"/>
    <n v="1118210"/>
    <n v="0"/>
    <x v="289"/>
    <s v="Administración"/>
    <m/>
    <m/>
    <m/>
    <m/>
    <m/>
    <m/>
    <m/>
  </r>
  <r>
    <d v="2021-04-30T00:00:00"/>
    <x v="4"/>
    <x v="11"/>
    <x v="11"/>
    <n v="735000"/>
    <n v="735000"/>
    <n v="0"/>
    <x v="290"/>
    <s v="Administración"/>
    <m/>
    <m/>
    <m/>
    <m/>
    <m/>
    <m/>
    <m/>
  </r>
  <r>
    <d v="2021-04-30T00:00:00"/>
    <x v="4"/>
    <x v="0"/>
    <x v="0"/>
    <n v="-3420339"/>
    <n v="0"/>
    <n v="3420339"/>
    <x v="29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36"/>
    <x v="35"/>
    <n v="3070435"/>
    <n v="3070435"/>
    <n v="0"/>
    <x v="72"/>
    <s v="Administración"/>
    <m/>
    <m/>
    <m/>
    <m/>
    <m/>
    <m/>
    <m/>
  </r>
  <r>
    <d v="2021-04-30T00:00:00"/>
    <x v="4"/>
    <x v="37"/>
    <x v="36"/>
    <n v="907010"/>
    <n v="907010"/>
    <n v="0"/>
    <x v="72"/>
    <s v="Administración"/>
    <m/>
    <m/>
    <m/>
    <m/>
    <m/>
    <m/>
    <m/>
  </r>
  <r>
    <d v="2021-04-30T00:00:00"/>
    <x v="4"/>
    <x v="36"/>
    <x v="35"/>
    <n v="47252"/>
    <n v="47252"/>
    <n v="0"/>
    <x v="72"/>
    <s v="Administración"/>
    <m/>
    <m/>
    <m/>
    <m/>
    <m/>
    <m/>
    <m/>
  </r>
  <r>
    <d v="2021-04-30T00:00:00"/>
    <x v="4"/>
    <x v="11"/>
    <x v="11"/>
    <n v="-3420339"/>
    <n v="0"/>
    <n v="3420339"/>
    <x v="72"/>
    <s v="Administración"/>
    <m/>
    <m/>
    <m/>
    <m/>
    <m/>
    <m/>
    <m/>
  </r>
  <r>
    <d v="2021-04-30T00:00:00"/>
    <x v="4"/>
    <x v="10"/>
    <x v="10"/>
    <n v="-416088"/>
    <n v="0"/>
    <n v="416088"/>
    <x v="72"/>
    <s v="Administración"/>
    <m/>
    <m/>
    <m/>
    <m/>
    <m/>
    <m/>
    <m/>
  </r>
  <r>
    <d v="2021-04-30T00:00:00"/>
    <x v="4"/>
    <x v="10"/>
    <x v="10"/>
    <n v="-172010"/>
    <n v="0"/>
    <n v="172010"/>
    <x v="72"/>
    <s v="Administración"/>
    <m/>
    <m/>
    <m/>
    <m/>
    <m/>
    <m/>
    <m/>
  </r>
  <r>
    <d v="2021-04-30T00:00:00"/>
    <x v="4"/>
    <x v="9"/>
    <x v="9"/>
    <n v="-16260"/>
    <n v="0"/>
    <n v="16260"/>
    <x v="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34"/>
    <x v="34"/>
    <n v="478498"/>
    <n v="478498"/>
    <n v="0"/>
    <x v="424"/>
    <s v="Administracion"/>
    <m/>
    <m/>
    <m/>
    <m/>
    <m/>
    <m/>
    <m/>
  </r>
  <r>
    <d v="2021-04-30T00:00:00"/>
    <x v="4"/>
    <x v="0"/>
    <x v="0"/>
    <n v="-478498"/>
    <n v="0"/>
    <n v="478498"/>
    <x v="42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12"/>
    <x v="12"/>
    <n v="951186"/>
    <n v="951186"/>
    <n v="0"/>
    <x v="425"/>
    <s v="Administracion"/>
    <m/>
    <m/>
    <m/>
    <m/>
    <m/>
    <m/>
    <m/>
  </r>
  <r>
    <d v="2021-04-30T00:00:00"/>
    <x v="4"/>
    <x v="0"/>
    <x v="0"/>
    <n v="-951186"/>
    <n v="0"/>
    <n v="951186"/>
    <x v="42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40"/>
    <x v="39"/>
    <n v="57440"/>
    <n v="57440"/>
    <n v="0"/>
    <x v="130"/>
    <s v="Administracion"/>
    <m/>
    <m/>
    <m/>
    <m/>
    <m/>
    <m/>
    <m/>
  </r>
  <r>
    <d v="2021-04-30T00:00:00"/>
    <x v="4"/>
    <x v="0"/>
    <x v="0"/>
    <n v="-57440"/>
    <n v="0"/>
    <n v="57440"/>
    <x v="13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35"/>
    <x v="21"/>
    <n v="480000"/>
    <n v="480000"/>
    <n v="0"/>
    <x v="426"/>
    <s v="Administracion"/>
    <m/>
    <m/>
    <m/>
    <m/>
    <m/>
    <m/>
    <m/>
  </r>
  <r>
    <d v="2021-04-30T00:00:00"/>
    <x v="4"/>
    <x v="0"/>
    <x v="0"/>
    <n v="-480000"/>
    <n v="0"/>
    <n v="480000"/>
    <x v="42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0"/>
    <x v="0"/>
    <n v="1118210"/>
    <n v="1118210"/>
    <n v="0"/>
    <x v="427"/>
    <s v="Administracion"/>
    <m/>
    <m/>
    <m/>
    <m/>
    <m/>
    <m/>
    <m/>
  </r>
  <r>
    <d v="2021-04-30T00:00:00"/>
    <x v="4"/>
    <x v="43"/>
    <x v="41"/>
    <n v="-1118210"/>
    <n v="0"/>
    <n v="1118210"/>
    <x v="4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44"/>
    <x v="42"/>
    <n v="245250"/>
    <n v="245250"/>
    <n v="0"/>
    <x v="428"/>
    <s v="Administracion"/>
    <m/>
    <m/>
    <m/>
    <m/>
    <m/>
    <m/>
    <m/>
  </r>
  <r>
    <d v="2021-04-30T00:00:00"/>
    <x v="4"/>
    <x v="9"/>
    <x v="9"/>
    <n v="-28204"/>
    <n v="0"/>
    <n v="28204"/>
    <x v="428"/>
    <s v="Administracion"/>
    <m/>
    <m/>
    <m/>
    <m/>
    <m/>
    <m/>
    <m/>
  </r>
  <r>
    <d v="2021-04-30T00:00:00"/>
    <x v="4"/>
    <x v="8"/>
    <x v="8"/>
    <n v="-217046"/>
    <n v="0"/>
    <n v="217046"/>
    <x v="42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16"/>
    <x v="16"/>
    <n v="12000"/>
    <n v="12000"/>
    <n v="0"/>
    <x v="164"/>
    <s v="Administracion"/>
    <m/>
    <m/>
    <m/>
    <m/>
    <m/>
    <m/>
    <m/>
  </r>
  <r>
    <d v="2021-04-30T00:00:00"/>
    <x v="4"/>
    <x v="16"/>
    <x v="16"/>
    <n v="20000"/>
    <n v="20000"/>
    <n v="0"/>
    <x v="304"/>
    <s v="Administracion"/>
    <m/>
    <m/>
    <m/>
    <m/>
    <m/>
    <m/>
    <m/>
  </r>
  <r>
    <d v="2021-04-30T00:00:00"/>
    <x v="4"/>
    <x v="16"/>
    <x v="16"/>
    <n v="5000"/>
    <n v="5000"/>
    <n v="0"/>
    <x v="305"/>
    <s v="Administracion"/>
    <m/>
    <m/>
    <m/>
    <m/>
    <m/>
    <m/>
    <m/>
  </r>
  <r>
    <d v="2021-04-30T00:00:00"/>
    <x v="4"/>
    <x v="16"/>
    <x v="16"/>
    <n v="20000"/>
    <n v="20000"/>
    <n v="0"/>
    <x v="167"/>
    <s v="Administracion"/>
    <m/>
    <m/>
    <m/>
    <m/>
    <m/>
    <m/>
    <m/>
  </r>
  <r>
    <d v="2021-04-30T00:00:00"/>
    <x v="4"/>
    <x v="16"/>
    <x v="16"/>
    <n v="7000"/>
    <n v="7000"/>
    <n v="0"/>
    <x v="168"/>
    <s v="Administracion"/>
    <m/>
    <m/>
    <m/>
    <m/>
    <m/>
    <m/>
    <m/>
  </r>
  <r>
    <d v="2021-04-30T00:00:00"/>
    <x v="4"/>
    <x v="16"/>
    <x v="16"/>
    <n v="30000"/>
    <n v="30000"/>
    <n v="0"/>
    <x v="429"/>
    <s v="Administracion"/>
    <m/>
    <m/>
    <m/>
    <m/>
    <m/>
    <m/>
    <m/>
  </r>
  <r>
    <d v="2021-04-30T00:00:00"/>
    <x v="4"/>
    <x v="16"/>
    <x v="16"/>
    <n v="46"/>
    <n v="46"/>
    <n v="0"/>
    <x v="284"/>
    <s v="Administracion"/>
    <m/>
    <m/>
    <m/>
    <m/>
    <m/>
    <m/>
    <m/>
  </r>
  <r>
    <d v="2021-04-30T00:00:00"/>
    <x v="4"/>
    <x v="16"/>
    <x v="16"/>
    <n v="40000"/>
    <n v="40000"/>
    <n v="0"/>
    <x v="430"/>
    <s v="Administracion"/>
    <m/>
    <m/>
    <m/>
    <m/>
    <m/>
    <m/>
    <m/>
  </r>
  <r>
    <d v="2021-04-30T00:00:00"/>
    <x v="4"/>
    <x v="16"/>
    <x v="16"/>
    <n v="50000"/>
    <n v="50000"/>
    <n v="0"/>
    <x v="431"/>
    <s v="Administracion"/>
    <m/>
    <m/>
    <m/>
    <m/>
    <m/>
    <m/>
    <m/>
  </r>
  <r>
    <d v="2021-04-30T00:00:00"/>
    <x v="4"/>
    <x v="19"/>
    <x v="19"/>
    <n v="-12000"/>
    <n v="0"/>
    <n v="12000"/>
    <x v="164"/>
    <s v="Administracion"/>
    <m/>
    <m/>
    <m/>
    <m/>
    <m/>
    <m/>
    <m/>
  </r>
  <r>
    <d v="2021-04-30T00:00:00"/>
    <x v="4"/>
    <x v="19"/>
    <x v="19"/>
    <n v="-20000"/>
    <n v="0"/>
    <n v="20000"/>
    <x v="304"/>
    <s v="Administracion"/>
    <m/>
    <m/>
    <m/>
    <m/>
    <m/>
    <m/>
    <m/>
  </r>
  <r>
    <d v="2021-04-30T00:00:00"/>
    <x v="4"/>
    <x v="19"/>
    <x v="19"/>
    <n v="-5000"/>
    <n v="0"/>
    <n v="5000"/>
    <x v="305"/>
    <s v="Administracion"/>
    <m/>
    <m/>
    <m/>
    <m/>
    <m/>
    <m/>
    <m/>
  </r>
  <r>
    <d v="2021-04-30T00:00:00"/>
    <x v="4"/>
    <x v="19"/>
    <x v="19"/>
    <n v="-20000"/>
    <n v="0"/>
    <n v="20000"/>
    <x v="167"/>
    <s v="Administracion"/>
    <m/>
    <m/>
    <m/>
    <m/>
    <m/>
    <m/>
    <m/>
  </r>
  <r>
    <d v="2021-04-30T00:00:00"/>
    <x v="4"/>
    <x v="19"/>
    <x v="19"/>
    <n v="-7000"/>
    <n v="0"/>
    <n v="7000"/>
    <x v="168"/>
    <s v="Administracion"/>
    <m/>
    <m/>
    <m/>
    <m/>
    <m/>
    <m/>
    <m/>
  </r>
  <r>
    <d v="2021-04-30T00:00:00"/>
    <x v="4"/>
    <x v="19"/>
    <x v="19"/>
    <n v="-30000"/>
    <n v="0"/>
    <n v="30000"/>
    <x v="429"/>
    <s v="Administracion"/>
    <m/>
    <m/>
    <m/>
    <m/>
    <m/>
    <m/>
    <m/>
  </r>
  <r>
    <d v="2021-04-30T00:00:00"/>
    <x v="4"/>
    <x v="19"/>
    <x v="19"/>
    <n v="-46"/>
    <n v="0"/>
    <n v="46"/>
    <x v="284"/>
    <s v="Administracion"/>
    <m/>
    <m/>
    <m/>
    <m/>
    <m/>
    <m/>
    <m/>
  </r>
  <r>
    <d v="2021-04-30T00:00:00"/>
    <x v="4"/>
    <x v="19"/>
    <x v="19"/>
    <n v="-40000"/>
    <n v="0"/>
    <n v="40000"/>
    <x v="430"/>
    <s v="Administracion"/>
    <m/>
    <m/>
    <m/>
    <m/>
    <m/>
    <m/>
    <m/>
  </r>
  <r>
    <d v="2021-04-30T00:00:00"/>
    <x v="4"/>
    <x v="19"/>
    <x v="19"/>
    <n v="-50000"/>
    <n v="0"/>
    <n v="50000"/>
    <x v="43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4-30T00:00:00"/>
    <x v="4"/>
    <x v="17"/>
    <x v="17"/>
    <n v="20000"/>
    <n v="20000"/>
    <n v="0"/>
    <x v="432"/>
    <s v="Administracion"/>
    <m/>
    <m/>
    <m/>
    <m/>
    <m/>
    <m/>
    <m/>
  </r>
  <r>
    <d v="2021-04-30T00:00:00"/>
    <x v="4"/>
    <x v="21"/>
    <x v="21"/>
    <n v="-20000"/>
    <n v="0"/>
    <n v="20000"/>
    <x v="4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00000"/>
    <n v="100000"/>
    <n v="0"/>
    <x v="433"/>
    <s v="Administracion"/>
    <m/>
    <m/>
    <m/>
    <m/>
    <m/>
    <m/>
    <m/>
  </r>
  <r>
    <d v="2021-05-03T00:00:00"/>
    <x v="5"/>
    <x v="21"/>
    <x v="21"/>
    <n v="-100000"/>
    <n v="0"/>
    <n v="100000"/>
    <x v="43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5000"/>
    <n v="5000"/>
    <n v="0"/>
    <x v="315"/>
    <s v="Administracion"/>
    <m/>
    <m/>
    <m/>
    <m/>
    <m/>
    <m/>
    <m/>
  </r>
  <r>
    <d v="2021-05-03T00:00:00"/>
    <x v="5"/>
    <x v="20"/>
    <x v="20"/>
    <n v="-5000"/>
    <n v="0"/>
    <n v="5000"/>
    <x v="3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20000"/>
    <n v="20000"/>
    <n v="0"/>
    <x v="126"/>
    <s v="Administracion"/>
    <m/>
    <m/>
    <m/>
    <m/>
    <m/>
    <m/>
    <m/>
  </r>
  <r>
    <d v="2021-05-03T00:00:00"/>
    <x v="5"/>
    <x v="19"/>
    <x v="19"/>
    <n v="-20000"/>
    <n v="0"/>
    <n v="20000"/>
    <x v="12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00000"/>
    <n v="100000"/>
    <n v="0"/>
    <x v="84"/>
    <s v="Administracion"/>
    <m/>
    <m/>
    <m/>
    <m/>
    <m/>
    <m/>
    <m/>
  </r>
  <r>
    <d v="2021-05-03T00:00:00"/>
    <x v="5"/>
    <x v="19"/>
    <x v="19"/>
    <n v="-100000"/>
    <n v="0"/>
    <n v="100000"/>
    <x v="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2000"/>
    <n v="12000"/>
    <n v="0"/>
    <x v="231"/>
    <s v="Administracion"/>
    <m/>
    <m/>
    <m/>
    <m/>
    <m/>
    <m/>
    <m/>
  </r>
  <r>
    <d v="2021-05-03T00:00:00"/>
    <x v="5"/>
    <x v="19"/>
    <x v="19"/>
    <n v="-12000"/>
    <n v="0"/>
    <n v="12000"/>
    <x v="23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70000"/>
    <n v="70000"/>
    <n v="0"/>
    <x v="328"/>
    <s v="Administracion"/>
    <m/>
    <m/>
    <m/>
    <m/>
    <m/>
    <m/>
    <m/>
  </r>
  <r>
    <d v="2021-05-03T00:00:00"/>
    <x v="5"/>
    <x v="19"/>
    <x v="19"/>
    <n v="-70000"/>
    <n v="0"/>
    <n v="70000"/>
    <x v="32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40000"/>
    <n v="40000"/>
    <n v="0"/>
    <x v="434"/>
    <s v="Administracion"/>
    <m/>
    <m/>
    <m/>
    <m/>
    <m/>
    <m/>
    <m/>
  </r>
  <r>
    <d v="2021-05-03T00:00:00"/>
    <x v="5"/>
    <x v="19"/>
    <x v="19"/>
    <n v="-40000"/>
    <n v="0"/>
    <n v="40000"/>
    <x v="43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30000"/>
    <n v="30000"/>
    <n v="0"/>
    <x v="434"/>
    <s v="Administracion"/>
    <m/>
    <m/>
    <m/>
    <m/>
    <m/>
    <m/>
    <m/>
  </r>
  <r>
    <d v="2021-05-03T00:00:00"/>
    <x v="5"/>
    <x v="19"/>
    <x v="19"/>
    <n v="-30000"/>
    <n v="0"/>
    <n v="30000"/>
    <x v="43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0000"/>
    <n v="10000"/>
    <n v="0"/>
    <x v="435"/>
    <s v="Administracion"/>
    <m/>
    <m/>
    <m/>
    <m/>
    <m/>
    <m/>
    <m/>
  </r>
  <r>
    <d v="2021-05-03T00:00:00"/>
    <x v="5"/>
    <x v="20"/>
    <x v="20"/>
    <n v="-10000"/>
    <n v="0"/>
    <n v="10000"/>
    <x v="43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0000"/>
    <n v="10000"/>
    <n v="0"/>
    <x v="436"/>
    <s v="Administracion"/>
    <m/>
    <m/>
    <m/>
    <m/>
    <m/>
    <m/>
    <m/>
  </r>
  <r>
    <d v="2021-05-03T00:00:00"/>
    <x v="5"/>
    <x v="19"/>
    <x v="19"/>
    <n v="-10000"/>
    <n v="0"/>
    <n v="10000"/>
    <x v="43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70000"/>
    <n v="70000"/>
    <n v="0"/>
    <x v="90"/>
    <s v="Administracion"/>
    <m/>
    <m/>
    <m/>
    <m/>
    <m/>
    <m/>
    <m/>
  </r>
  <r>
    <d v="2021-05-03T00:00:00"/>
    <x v="5"/>
    <x v="19"/>
    <x v="19"/>
    <n v="-70000"/>
    <n v="0"/>
    <n v="70000"/>
    <x v="9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00000"/>
    <n v="100000"/>
    <n v="0"/>
    <x v="91"/>
    <s v="Administracion"/>
    <m/>
    <m/>
    <m/>
    <m/>
    <m/>
    <m/>
    <m/>
  </r>
  <r>
    <d v="2021-05-03T00:00:00"/>
    <x v="5"/>
    <x v="21"/>
    <x v="21"/>
    <n v="-100000"/>
    <n v="0"/>
    <n v="100000"/>
    <x v="9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5000"/>
    <n v="15000"/>
    <n v="0"/>
    <x v="185"/>
    <s v="Administracion"/>
    <m/>
    <m/>
    <m/>
    <m/>
    <m/>
    <m/>
    <m/>
  </r>
  <r>
    <d v="2021-05-03T00:00:00"/>
    <x v="5"/>
    <x v="19"/>
    <x v="19"/>
    <n v="-15000"/>
    <n v="0"/>
    <n v="15000"/>
    <x v="1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5000"/>
    <n v="15000"/>
    <n v="0"/>
    <x v="105"/>
    <s v="Administracion"/>
    <m/>
    <m/>
    <m/>
    <m/>
    <m/>
    <m/>
    <m/>
  </r>
  <r>
    <d v="2021-05-03T00:00:00"/>
    <x v="5"/>
    <x v="19"/>
    <x v="19"/>
    <n v="-15000"/>
    <n v="0"/>
    <n v="15000"/>
    <x v="10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25000"/>
    <n v="25000"/>
    <n v="0"/>
    <x v="437"/>
    <s v="Administracion"/>
    <m/>
    <m/>
    <m/>
    <m/>
    <m/>
    <m/>
    <m/>
  </r>
  <r>
    <d v="2021-05-03T00:00:00"/>
    <x v="5"/>
    <x v="42"/>
    <x v="23"/>
    <n v="-25000"/>
    <n v="0"/>
    <n v="25000"/>
    <x v="4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20000"/>
    <n v="20000"/>
    <n v="0"/>
    <x v="438"/>
    <s v="Administracion"/>
    <m/>
    <m/>
    <m/>
    <m/>
    <m/>
    <m/>
    <m/>
  </r>
  <r>
    <d v="2021-05-03T00:00:00"/>
    <x v="5"/>
    <x v="21"/>
    <x v="21"/>
    <n v="-20000"/>
    <n v="0"/>
    <n v="20000"/>
    <x v="43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0000"/>
    <n v="10000"/>
    <n v="0"/>
    <x v="117"/>
    <s v="Administracion"/>
    <m/>
    <m/>
    <m/>
    <m/>
    <m/>
    <m/>
    <m/>
  </r>
  <r>
    <d v="2021-05-03T00:00:00"/>
    <x v="5"/>
    <x v="19"/>
    <x v="19"/>
    <n v="-10000"/>
    <n v="0"/>
    <n v="10000"/>
    <x v="1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50000"/>
    <n v="50000"/>
    <n v="0"/>
    <x v="12"/>
    <s v="Administracion"/>
    <m/>
    <m/>
    <m/>
    <m/>
    <m/>
    <m/>
    <m/>
  </r>
  <r>
    <d v="2021-05-03T00:00:00"/>
    <x v="5"/>
    <x v="6"/>
    <x v="6"/>
    <n v="-50000"/>
    <n v="0"/>
    <n v="50000"/>
    <x v="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40000"/>
    <n v="40000"/>
    <n v="0"/>
    <x v="93"/>
    <s v="Administracion"/>
    <m/>
    <m/>
    <m/>
    <m/>
    <m/>
    <m/>
    <m/>
  </r>
  <r>
    <d v="2021-05-03T00:00:00"/>
    <x v="5"/>
    <x v="19"/>
    <x v="19"/>
    <n v="-40000"/>
    <n v="0"/>
    <n v="40000"/>
    <x v="9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5000"/>
    <n v="5000"/>
    <n v="0"/>
    <x v="439"/>
    <s v="Administracion"/>
    <m/>
    <m/>
    <m/>
    <m/>
    <m/>
    <m/>
    <m/>
  </r>
  <r>
    <d v="2021-05-03T00:00:00"/>
    <x v="5"/>
    <x v="19"/>
    <x v="19"/>
    <n v="-5000"/>
    <n v="0"/>
    <n v="5000"/>
    <x v="43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0000"/>
    <n v="10000"/>
    <n v="0"/>
    <x v="78"/>
    <s v="Administracion"/>
    <m/>
    <m/>
    <m/>
    <m/>
    <m/>
    <m/>
    <m/>
  </r>
  <r>
    <d v="2021-05-03T00:00:00"/>
    <x v="5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0000"/>
    <n v="10000"/>
    <n v="0"/>
    <x v="134"/>
    <s v="Administracion"/>
    <m/>
    <m/>
    <m/>
    <m/>
    <m/>
    <m/>
    <m/>
  </r>
  <r>
    <d v="2021-05-03T00:00:00"/>
    <x v="5"/>
    <x v="19"/>
    <x v="19"/>
    <n v="-10000"/>
    <n v="0"/>
    <n v="10000"/>
    <x v="13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20000"/>
    <n v="20000"/>
    <n v="0"/>
    <x v="440"/>
    <s v="Administracion"/>
    <m/>
    <m/>
    <m/>
    <m/>
    <m/>
    <m/>
    <m/>
  </r>
  <r>
    <d v="2021-05-03T00:00:00"/>
    <x v="5"/>
    <x v="21"/>
    <x v="21"/>
    <n v="-20000"/>
    <n v="0"/>
    <n v="20000"/>
    <x v="44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0000"/>
    <n v="10000"/>
    <n v="0"/>
    <x v="441"/>
    <s v="Administracion"/>
    <m/>
    <m/>
    <m/>
    <m/>
    <m/>
    <m/>
    <m/>
  </r>
  <r>
    <d v="2021-05-03T00:00:00"/>
    <x v="5"/>
    <x v="20"/>
    <x v="20"/>
    <n v="-10000"/>
    <n v="0"/>
    <n v="10000"/>
    <x v="4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30000"/>
    <n v="30000"/>
    <n v="0"/>
    <x v="32"/>
    <s v="Administracion"/>
    <m/>
    <m/>
    <m/>
    <m/>
    <m/>
    <m/>
    <m/>
  </r>
  <r>
    <d v="2021-05-03T00:00:00"/>
    <x v="5"/>
    <x v="6"/>
    <x v="6"/>
    <n v="-30000"/>
    <n v="0"/>
    <n v="30000"/>
    <x v="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20000"/>
    <n v="20000"/>
    <n v="0"/>
    <x v="227"/>
    <s v="Administracion"/>
    <m/>
    <m/>
    <m/>
    <m/>
    <m/>
    <m/>
    <m/>
  </r>
  <r>
    <d v="2021-05-03T00:00:00"/>
    <x v="5"/>
    <x v="19"/>
    <x v="19"/>
    <n v="-20000"/>
    <n v="0"/>
    <n v="20000"/>
    <x v="2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0000"/>
    <n v="10000"/>
    <n v="0"/>
    <x v="146"/>
    <s v="Administracion"/>
    <m/>
    <m/>
    <m/>
    <m/>
    <m/>
    <m/>
    <m/>
  </r>
  <r>
    <d v="2021-05-03T00:00:00"/>
    <x v="5"/>
    <x v="19"/>
    <x v="19"/>
    <n v="-10000"/>
    <n v="0"/>
    <n v="10000"/>
    <x v="14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5000"/>
    <n v="5000"/>
    <n v="0"/>
    <x v="173"/>
    <s v="Administracion"/>
    <m/>
    <m/>
    <m/>
    <m/>
    <m/>
    <m/>
    <m/>
  </r>
  <r>
    <d v="2021-05-03T00:00:00"/>
    <x v="5"/>
    <x v="19"/>
    <x v="19"/>
    <n v="-5000"/>
    <n v="0"/>
    <n v="5000"/>
    <x v="1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25000"/>
    <n v="25000"/>
    <n v="0"/>
    <x v="442"/>
    <s v="Administracion"/>
    <m/>
    <m/>
    <m/>
    <m/>
    <m/>
    <m/>
    <m/>
  </r>
  <r>
    <d v="2021-05-03T00:00:00"/>
    <x v="5"/>
    <x v="21"/>
    <x v="21"/>
    <n v="-25000"/>
    <n v="0"/>
    <n v="25000"/>
    <x v="44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3000"/>
    <n v="3000"/>
    <n v="0"/>
    <x v="115"/>
    <s v="Administracion"/>
    <m/>
    <m/>
    <m/>
    <m/>
    <m/>
    <m/>
    <m/>
  </r>
  <r>
    <d v="2021-05-03T00:00:00"/>
    <x v="5"/>
    <x v="19"/>
    <x v="19"/>
    <n v="-3000"/>
    <n v="0"/>
    <n v="3000"/>
    <x v="1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20000"/>
    <n v="20000"/>
    <n v="0"/>
    <x v="443"/>
    <s v="Administracion"/>
    <m/>
    <m/>
    <m/>
    <m/>
    <m/>
    <m/>
    <m/>
  </r>
  <r>
    <d v="2021-05-03T00:00:00"/>
    <x v="5"/>
    <x v="21"/>
    <x v="21"/>
    <n v="-20000"/>
    <n v="0"/>
    <n v="20000"/>
    <x v="44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0000"/>
    <n v="10000"/>
    <n v="0"/>
    <x v="444"/>
    <s v="Administracion"/>
    <m/>
    <m/>
    <m/>
    <m/>
    <m/>
    <m/>
    <m/>
  </r>
  <r>
    <d v="2021-05-03T00:00:00"/>
    <x v="5"/>
    <x v="19"/>
    <x v="19"/>
    <n v="-10000"/>
    <n v="0"/>
    <n v="10000"/>
    <x v="4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0000"/>
    <n v="10000"/>
    <n v="0"/>
    <x v="76"/>
    <s v="Administracion"/>
    <m/>
    <m/>
    <m/>
    <m/>
    <m/>
    <m/>
    <m/>
  </r>
  <r>
    <d v="2021-05-03T00:00:00"/>
    <x v="5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30000"/>
    <n v="30000"/>
    <n v="0"/>
    <x v="445"/>
    <s v="Administracion"/>
    <m/>
    <m/>
    <m/>
    <m/>
    <m/>
    <m/>
    <m/>
  </r>
  <r>
    <d v="2021-05-03T00:00:00"/>
    <x v="5"/>
    <x v="21"/>
    <x v="21"/>
    <n v="-30000"/>
    <n v="0"/>
    <n v="30000"/>
    <x v="44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0000"/>
    <n v="10000"/>
    <n v="0"/>
    <x v="116"/>
    <s v="Administracion"/>
    <m/>
    <m/>
    <m/>
    <m/>
    <m/>
    <m/>
    <m/>
  </r>
  <r>
    <d v="2021-05-03T00:00:00"/>
    <x v="5"/>
    <x v="19"/>
    <x v="19"/>
    <n v="-10000"/>
    <n v="0"/>
    <n v="10000"/>
    <x v="11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40000"/>
    <n v="40000"/>
    <n v="0"/>
    <x v="446"/>
    <s v="Administracion"/>
    <m/>
    <m/>
    <m/>
    <m/>
    <m/>
    <m/>
    <m/>
  </r>
  <r>
    <d v="2021-05-03T00:00:00"/>
    <x v="5"/>
    <x v="21"/>
    <x v="21"/>
    <n v="-40000"/>
    <n v="0"/>
    <n v="40000"/>
    <x v="44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10000"/>
    <n v="10000"/>
    <n v="0"/>
    <x v="99"/>
    <s v="Administracion"/>
    <m/>
    <m/>
    <m/>
    <m/>
    <m/>
    <m/>
    <m/>
  </r>
  <r>
    <d v="2021-05-03T00:00:00"/>
    <x v="5"/>
    <x v="19"/>
    <x v="19"/>
    <n v="-10000"/>
    <n v="0"/>
    <n v="10000"/>
    <x v="9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40000"/>
    <n v="40000"/>
    <n v="0"/>
    <x v="447"/>
    <s v="Administracion"/>
    <m/>
    <m/>
    <m/>
    <m/>
    <m/>
    <m/>
    <m/>
  </r>
  <r>
    <d v="2021-05-03T00:00:00"/>
    <x v="5"/>
    <x v="21"/>
    <x v="21"/>
    <n v="-40000"/>
    <n v="0"/>
    <n v="40000"/>
    <x v="44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5000"/>
    <n v="5000"/>
    <n v="0"/>
    <x v="98"/>
    <s v="Administracion"/>
    <m/>
    <m/>
    <m/>
    <m/>
    <m/>
    <m/>
    <m/>
  </r>
  <r>
    <d v="2021-05-03T00:00:00"/>
    <x v="5"/>
    <x v="19"/>
    <x v="19"/>
    <n v="-5000"/>
    <n v="0"/>
    <n v="5000"/>
    <x v="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50000"/>
    <n v="50000"/>
    <n v="0"/>
    <x v="198"/>
    <s v="Administracion"/>
    <m/>
    <m/>
    <m/>
    <m/>
    <m/>
    <m/>
    <m/>
  </r>
  <r>
    <d v="2021-05-03T00:00:00"/>
    <x v="5"/>
    <x v="19"/>
    <x v="19"/>
    <n v="-50000"/>
    <n v="0"/>
    <n v="50000"/>
    <x v="1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30000"/>
    <n v="30000"/>
    <n v="0"/>
    <x v="448"/>
    <s v="Administracion"/>
    <m/>
    <m/>
    <m/>
    <m/>
    <m/>
    <m/>
    <m/>
  </r>
  <r>
    <d v="2021-05-03T00:00:00"/>
    <x v="5"/>
    <x v="21"/>
    <x v="21"/>
    <n v="-30000"/>
    <n v="0"/>
    <n v="30000"/>
    <x v="44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5000"/>
    <n v="5000"/>
    <n v="0"/>
    <x v="98"/>
    <s v="Administracion"/>
    <m/>
    <m/>
    <m/>
    <m/>
    <m/>
    <m/>
    <m/>
  </r>
  <r>
    <d v="2021-05-03T00:00:00"/>
    <x v="5"/>
    <x v="19"/>
    <x v="19"/>
    <n v="-5000"/>
    <n v="0"/>
    <n v="5000"/>
    <x v="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50000"/>
    <n v="50000"/>
    <n v="0"/>
    <x v="449"/>
    <s v="Administracion"/>
    <m/>
    <m/>
    <m/>
    <m/>
    <m/>
    <m/>
    <m/>
  </r>
  <r>
    <d v="2021-05-03T00:00:00"/>
    <x v="5"/>
    <x v="19"/>
    <x v="19"/>
    <n v="-50000"/>
    <n v="0"/>
    <n v="50000"/>
    <x v="44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20000"/>
    <n v="20000"/>
    <n v="0"/>
    <x v="196"/>
    <s v="Administracion"/>
    <m/>
    <m/>
    <m/>
    <m/>
    <m/>
    <m/>
    <m/>
  </r>
  <r>
    <d v="2021-05-03T00:00:00"/>
    <x v="5"/>
    <x v="19"/>
    <x v="19"/>
    <n v="-20000"/>
    <n v="0"/>
    <n v="20000"/>
    <x v="1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2000"/>
    <n v="2000"/>
    <n v="0"/>
    <x v="283"/>
    <s v="Administracion"/>
    <m/>
    <m/>
    <m/>
    <m/>
    <m/>
    <m/>
    <m/>
  </r>
  <r>
    <d v="2021-05-03T00:00:00"/>
    <x v="5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3T00:00:00"/>
    <x v="5"/>
    <x v="0"/>
    <x v="0"/>
    <n v="249160"/>
    <n v="249160"/>
    <n v="0"/>
    <x v="450"/>
    <s v="Administracion"/>
    <m/>
    <m/>
    <m/>
    <m/>
    <m/>
    <m/>
    <m/>
  </r>
  <r>
    <d v="2021-05-03T00:00:00"/>
    <x v="5"/>
    <x v="19"/>
    <x v="19"/>
    <n v="-249160"/>
    <n v="0"/>
    <n v="249160"/>
    <x v="45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4T00:00:00"/>
    <x v="5"/>
    <x v="0"/>
    <x v="0"/>
    <n v="5000"/>
    <n v="5000"/>
    <n v="0"/>
    <x v="450"/>
    <s v="Administracion"/>
    <m/>
    <m/>
    <m/>
    <m/>
    <m/>
    <m/>
    <m/>
  </r>
  <r>
    <d v="2021-05-04T00:00:00"/>
    <x v="5"/>
    <x v="19"/>
    <x v="19"/>
    <n v="-5000"/>
    <n v="0"/>
    <n v="5000"/>
    <x v="45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4T00:00:00"/>
    <x v="5"/>
    <x v="0"/>
    <x v="0"/>
    <n v="12000"/>
    <n v="12000"/>
    <n v="0"/>
    <x v="389"/>
    <s v="Administracion"/>
    <m/>
    <m/>
    <m/>
    <m/>
    <m/>
    <m/>
    <m/>
  </r>
  <r>
    <d v="2021-05-04T00:00:00"/>
    <x v="5"/>
    <x v="19"/>
    <x v="19"/>
    <n v="-12000"/>
    <n v="0"/>
    <n v="12000"/>
    <x v="38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4T00:00:00"/>
    <x v="5"/>
    <x v="0"/>
    <x v="0"/>
    <n v="20000"/>
    <n v="20000"/>
    <n v="0"/>
    <x v="451"/>
    <s v="Administracion"/>
    <m/>
    <m/>
    <m/>
    <m/>
    <m/>
    <m/>
    <m/>
  </r>
  <r>
    <d v="2021-05-04T00:00:00"/>
    <x v="5"/>
    <x v="6"/>
    <x v="6"/>
    <n v="-20000"/>
    <n v="0"/>
    <n v="20000"/>
    <x v="45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4T00:00:00"/>
    <x v="5"/>
    <x v="0"/>
    <x v="0"/>
    <n v="20000"/>
    <n v="20000"/>
    <n v="0"/>
    <x v="452"/>
    <s v="Administracion"/>
    <m/>
    <m/>
    <m/>
    <m/>
    <m/>
    <m/>
    <m/>
  </r>
  <r>
    <d v="2021-05-04T00:00:00"/>
    <x v="5"/>
    <x v="21"/>
    <x v="21"/>
    <n v="-20000"/>
    <n v="0"/>
    <n v="20000"/>
    <x v="45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4T00:00:00"/>
    <x v="5"/>
    <x v="0"/>
    <x v="0"/>
    <n v="25000"/>
    <n v="25000"/>
    <n v="0"/>
    <x v="268"/>
    <s v="Administracion"/>
    <m/>
    <m/>
    <m/>
    <m/>
    <m/>
    <m/>
    <m/>
  </r>
  <r>
    <d v="2021-05-04T00:00:00"/>
    <x v="5"/>
    <x v="42"/>
    <x v="23"/>
    <n v="-25000"/>
    <n v="0"/>
    <n v="25000"/>
    <x v="26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4T00:00:00"/>
    <x v="5"/>
    <x v="0"/>
    <x v="0"/>
    <n v="20000"/>
    <n v="20000"/>
    <n v="0"/>
    <x v="349"/>
    <s v="Administracion"/>
    <m/>
    <m/>
    <m/>
    <m/>
    <m/>
    <m/>
    <m/>
  </r>
  <r>
    <d v="2021-05-04T00:00:00"/>
    <x v="5"/>
    <x v="19"/>
    <x v="19"/>
    <n v="-20000"/>
    <n v="0"/>
    <n v="20000"/>
    <x v="34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4T00:00:00"/>
    <x v="5"/>
    <x v="0"/>
    <x v="0"/>
    <n v="15000"/>
    <n v="15000"/>
    <n v="0"/>
    <x v="85"/>
    <s v="Administracion"/>
    <m/>
    <m/>
    <m/>
    <m/>
    <m/>
    <m/>
    <m/>
  </r>
  <r>
    <d v="2021-05-04T00:00:00"/>
    <x v="5"/>
    <x v="19"/>
    <x v="19"/>
    <n v="-15000"/>
    <n v="0"/>
    <n v="15000"/>
    <x v="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4T00:00:00"/>
    <x v="5"/>
    <x v="0"/>
    <x v="0"/>
    <n v="40000"/>
    <n v="40000"/>
    <n v="0"/>
    <x v="453"/>
    <s v="Administracion"/>
    <m/>
    <m/>
    <m/>
    <m/>
    <m/>
    <m/>
    <m/>
  </r>
  <r>
    <d v="2021-05-04T00:00:00"/>
    <x v="5"/>
    <x v="19"/>
    <x v="19"/>
    <n v="-40000"/>
    <n v="0"/>
    <n v="40000"/>
    <x v="45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4T00:00:00"/>
    <x v="5"/>
    <x v="0"/>
    <x v="0"/>
    <n v="8825"/>
    <n v="8825"/>
    <n v="0"/>
    <x v="96"/>
    <s v="Administracion"/>
    <m/>
    <m/>
    <m/>
    <m/>
    <m/>
    <m/>
    <m/>
  </r>
  <r>
    <d v="2021-05-04T00:00:00"/>
    <x v="5"/>
    <x v="19"/>
    <x v="19"/>
    <n v="-8825"/>
    <n v="0"/>
    <n v="8825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4T00:00:00"/>
    <x v="5"/>
    <x v="0"/>
    <x v="0"/>
    <n v="30000"/>
    <n v="30000"/>
    <n v="0"/>
    <x v="119"/>
    <s v="Administracion"/>
    <m/>
    <m/>
    <m/>
    <m/>
    <m/>
    <m/>
    <m/>
  </r>
  <r>
    <d v="2021-05-04T00:00:00"/>
    <x v="5"/>
    <x v="19"/>
    <x v="19"/>
    <n v="-30000"/>
    <n v="0"/>
    <n v="30000"/>
    <x v="11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4T00:00:00"/>
    <x v="5"/>
    <x v="0"/>
    <x v="0"/>
    <n v="15000"/>
    <n v="15000"/>
    <n v="0"/>
    <x v="341"/>
    <s v="Administracion"/>
    <m/>
    <m/>
    <m/>
    <m/>
    <m/>
    <m/>
    <m/>
  </r>
  <r>
    <d v="2021-05-04T00:00:00"/>
    <x v="5"/>
    <x v="19"/>
    <x v="19"/>
    <n v="-15000"/>
    <n v="0"/>
    <n v="15000"/>
    <x v="3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4T00:00:00"/>
    <x v="5"/>
    <x v="0"/>
    <x v="0"/>
    <n v="25000"/>
    <n v="25000"/>
    <n v="0"/>
    <x v="454"/>
    <s v="Administracion"/>
    <m/>
    <m/>
    <m/>
    <m/>
    <m/>
    <m/>
    <m/>
  </r>
  <r>
    <d v="2021-05-04T00:00:00"/>
    <x v="5"/>
    <x v="42"/>
    <x v="23"/>
    <n v="-25000"/>
    <n v="0"/>
    <n v="25000"/>
    <x v="45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4T00:00:00"/>
    <x v="5"/>
    <x v="0"/>
    <x v="0"/>
    <n v="40000"/>
    <n v="40000"/>
    <n v="0"/>
    <x v="112"/>
    <s v="Administracion"/>
    <m/>
    <m/>
    <m/>
    <m/>
    <m/>
    <m/>
    <m/>
  </r>
  <r>
    <d v="2021-05-04T00:00:00"/>
    <x v="5"/>
    <x v="19"/>
    <x v="19"/>
    <n v="-40000"/>
    <n v="0"/>
    <n v="40000"/>
    <x v="1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43"/>
    <x v="41"/>
    <n v="1118210"/>
    <n v="1118210"/>
    <n v="0"/>
    <x v="455"/>
    <s v="Administracion"/>
    <m/>
    <m/>
    <m/>
    <m/>
    <m/>
    <m/>
    <m/>
  </r>
  <r>
    <d v="2021-05-05T00:00:00"/>
    <x v="5"/>
    <x v="0"/>
    <x v="0"/>
    <n v="-1118210"/>
    <n v="0"/>
    <n v="1118210"/>
    <x v="45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25"/>
    <x v="25"/>
    <n v="802153"/>
    <n v="802153"/>
    <n v="0"/>
    <x v="456"/>
    <s v="Administracion"/>
    <m/>
    <m/>
    <m/>
    <m/>
    <m/>
    <m/>
    <m/>
  </r>
  <r>
    <d v="2021-05-05T00:00:00"/>
    <x v="5"/>
    <x v="0"/>
    <x v="0"/>
    <n v="-802153"/>
    <n v="0"/>
    <n v="802153"/>
    <x v="45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8"/>
    <x v="8"/>
    <n v="217046"/>
    <n v="217046"/>
    <n v="0"/>
    <x v="428"/>
    <s v="Administracion"/>
    <m/>
    <m/>
    <m/>
    <m/>
    <m/>
    <m/>
    <m/>
  </r>
  <r>
    <d v="2021-05-05T00:00:00"/>
    <x v="5"/>
    <x v="0"/>
    <x v="0"/>
    <n v="-217046"/>
    <n v="0"/>
    <n v="217046"/>
    <x v="42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25000"/>
    <n v="25000"/>
    <n v="0"/>
    <x v="457"/>
    <s v="Administracion"/>
    <m/>
    <m/>
    <m/>
    <m/>
    <m/>
    <m/>
    <m/>
  </r>
  <r>
    <d v="2021-05-05T00:00:00"/>
    <x v="5"/>
    <x v="42"/>
    <x v="23"/>
    <n v="-25000"/>
    <n v="0"/>
    <n v="25000"/>
    <x v="45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20000"/>
    <n v="20000"/>
    <n v="0"/>
    <x v="113"/>
    <s v="Administracion"/>
    <m/>
    <m/>
    <m/>
    <m/>
    <m/>
    <m/>
    <m/>
  </r>
  <r>
    <d v="2021-05-05T00:00:00"/>
    <x v="5"/>
    <x v="19"/>
    <x v="19"/>
    <n v="-20000"/>
    <n v="0"/>
    <n v="20000"/>
    <x v="11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20000"/>
    <n v="20000"/>
    <n v="0"/>
    <x v="458"/>
    <s v="Administracion"/>
    <m/>
    <m/>
    <m/>
    <m/>
    <m/>
    <m/>
    <m/>
  </r>
  <r>
    <d v="2021-05-05T00:00:00"/>
    <x v="5"/>
    <x v="24"/>
    <x v="24"/>
    <n v="-20000"/>
    <n v="0"/>
    <n v="20000"/>
    <x v="45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20000"/>
    <n v="20000"/>
    <n v="0"/>
    <x v="459"/>
    <s v="Administracion"/>
    <m/>
    <m/>
    <m/>
    <m/>
    <m/>
    <m/>
    <m/>
  </r>
  <r>
    <d v="2021-05-05T00:00:00"/>
    <x v="5"/>
    <x v="19"/>
    <x v="19"/>
    <n v="-20000"/>
    <n v="0"/>
    <n v="20000"/>
    <x v="45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20000"/>
    <n v="20000"/>
    <n v="0"/>
    <x v="152"/>
    <s v="Administracion"/>
    <m/>
    <m/>
    <m/>
    <m/>
    <m/>
    <m/>
    <m/>
  </r>
  <r>
    <d v="2021-05-05T00:00:00"/>
    <x v="5"/>
    <x v="19"/>
    <x v="19"/>
    <n v="-20000"/>
    <n v="0"/>
    <n v="20000"/>
    <x v="15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30000"/>
    <n v="30000"/>
    <n v="0"/>
    <x v="460"/>
    <s v="Administracion"/>
    <m/>
    <m/>
    <m/>
    <m/>
    <m/>
    <m/>
    <m/>
  </r>
  <r>
    <d v="2021-05-05T00:00:00"/>
    <x v="5"/>
    <x v="21"/>
    <x v="21"/>
    <n v="-30000"/>
    <n v="0"/>
    <n v="30000"/>
    <x v="46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30000"/>
    <n v="30000"/>
    <n v="0"/>
    <x v="372"/>
    <s v="Administracion"/>
    <m/>
    <m/>
    <m/>
    <m/>
    <m/>
    <m/>
    <m/>
  </r>
  <r>
    <d v="2021-05-05T00:00:00"/>
    <x v="5"/>
    <x v="19"/>
    <x v="19"/>
    <n v="-30000"/>
    <n v="0"/>
    <n v="30000"/>
    <x v="3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30000"/>
    <n v="30000"/>
    <n v="0"/>
    <x v="373"/>
    <s v="Administracion"/>
    <m/>
    <m/>
    <m/>
    <m/>
    <m/>
    <m/>
    <m/>
  </r>
  <r>
    <d v="2021-05-05T00:00:00"/>
    <x v="5"/>
    <x v="21"/>
    <x v="21"/>
    <n v="-30000"/>
    <n v="0"/>
    <n v="30000"/>
    <x v="3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30000"/>
    <n v="30000"/>
    <n v="0"/>
    <x v="54"/>
    <s v="Administracion"/>
    <m/>
    <m/>
    <m/>
    <m/>
    <m/>
    <m/>
    <m/>
  </r>
  <r>
    <d v="2021-05-05T00:00:00"/>
    <x v="5"/>
    <x v="6"/>
    <x v="6"/>
    <n v="-30000"/>
    <n v="0"/>
    <n v="30000"/>
    <x v="5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20000"/>
    <n v="20000"/>
    <n v="0"/>
    <x v="461"/>
    <s v="Administracion"/>
    <m/>
    <m/>
    <m/>
    <m/>
    <m/>
    <m/>
    <m/>
  </r>
  <r>
    <d v="2021-05-05T00:00:00"/>
    <x v="5"/>
    <x v="24"/>
    <x v="24"/>
    <n v="-20000"/>
    <n v="0"/>
    <n v="20000"/>
    <x v="46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60000"/>
    <n v="60000"/>
    <n v="0"/>
    <x v="462"/>
    <s v="Administracion"/>
    <m/>
    <m/>
    <m/>
    <m/>
    <m/>
    <m/>
    <m/>
  </r>
  <r>
    <d v="2021-05-05T00:00:00"/>
    <x v="5"/>
    <x v="19"/>
    <x v="19"/>
    <n v="-60000"/>
    <n v="0"/>
    <n v="60000"/>
    <x v="4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20000"/>
    <n v="20000"/>
    <n v="0"/>
    <x v="463"/>
    <s v="Administracion"/>
    <m/>
    <m/>
    <m/>
    <m/>
    <m/>
    <m/>
    <m/>
  </r>
  <r>
    <d v="2021-05-05T00:00:00"/>
    <x v="5"/>
    <x v="24"/>
    <x v="24"/>
    <n v="-20000"/>
    <n v="0"/>
    <n v="20000"/>
    <x v="46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60000"/>
    <n v="60000"/>
    <n v="0"/>
    <x v="363"/>
    <s v="Administracion"/>
    <m/>
    <m/>
    <m/>
    <m/>
    <m/>
    <m/>
    <m/>
  </r>
  <r>
    <d v="2021-05-05T00:00:00"/>
    <x v="5"/>
    <x v="21"/>
    <x v="21"/>
    <n v="-60000"/>
    <n v="0"/>
    <n v="60000"/>
    <x v="36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38"/>
    <x v="37"/>
    <n v="52131"/>
    <n v="52131"/>
    <n v="0"/>
    <x v="464"/>
    <s v="Administracion"/>
    <m/>
    <m/>
    <m/>
    <m/>
    <m/>
    <m/>
    <m/>
  </r>
  <r>
    <d v="2021-05-05T00:00:00"/>
    <x v="5"/>
    <x v="0"/>
    <x v="0"/>
    <n v="-52131"/>
    <n v="0"/>
    <n v="52131"/>
    <x v="46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25000"/>
    <n v="25000"/>
    <n v="0"/>
    <x v="132"/>
    <s v="Administracion"/>
    <m/>
    <m/>
    <m/>
    <m/>
    <m/>
    <m/>
    <m/>
  </r>
  <r>
    <d v="2021-05-05T00:00:00"/>
    <x v="5"/>
    <x v="19"/>
    <x v="19"/>
    <n v="-25000"/>
    <n v="0"/>
    <n v="25000"/>
    <x v="1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20000"/>
    <n v="20000"/>
    <n v="0"/>
    <x v="297"/>
    <s v="Administracion"/>
    <m/>
    <m/>
    <m/>
    <m/>
    <m/>
    <m/>
    <m/>
  </r>
  <r>
    <d v="2021-05-05T00:00:00"/>
    <x v="5"/>
    <x v="6"/>
    <x v="6"/>
    <n v="-20000"/>
    <n v="0"/>
    <n v="20000"/>
    <x v="29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2000"/>
    <n v="2000"/>
    <n v="0"/>
    <x v="111"/>
    <s v="Administracion"/>
    <m/>
    <m/>
    <m/>
    <m/>
    <m/>
    <m/>
    <m/>
  </r>
  <r>
    <d v="2021-05-05T00:00:00"/>
    <x v="5"/>
    <x v="19"/>
    <x v="19"/>
    <n v="-2000"/>
    <n v="0"/>
    <n v="2000"/>
    <x v="11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60000"/>
    <n v="60000"/>
    <n v="0"/>
    <x v="465"/>
    <s v="Administracion"/>
    <m/>
    <m/>
    <m/>
    <m/>
    <m/>
    <m/>
    <m/>
  </r>
  <r>
    <d v="2021-05-05T00:00:00"/>
    <x v="5"/>
    <x v="21"/>
    <x v="21"/>
    <n v="-60000"/>
    <n v="0"/>
    <n v="60000"/>
    <x v="46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14821"/>
    <n v="14821"/>
    <n v="0"/>
    <x v="96"/>
    <s v="Administracion"/>
    <m/>
    <m/>
    <m/>
    <m/>
    <m/>
    <m/>
    <m/>
  </r>
  <r>
    <d v="2021-05-05T00:00:00"/>
    <x v="5"/>
    <x v="19"/>
    <x v="19"/>
    <n v="-14821"/>
    <n v="0"/>
    <n v="14821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50000"/>
    <n v="50000"/>
    <n v="0"/>
    <x v="466"/>
    <s v="Administracion"/>
    <m/>
    <m/>
    <m/>
    <m/>
    <m/>
    <m/>
    <m/>
  </r>
  <r>
    <d v="2021-05-05T00:00:00"/>
    <x v="5"/>
    <x v="6"/>
    <x v="6"/>
    <n v="-50000"/>
    <n v="0"/>
    <n v="50000"/>
    <x v="46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10000"/>
    <n v="10000"/>
    <n v="0"/>
    <x v="217"/>
    <s v="Administracion"/>
    <m/>
    <m/>
    <m/>
    <m/>
    <m/>
    <m/>
    <m/>
  </r>
  <r>
    <d v="2021-05-05T00:00:00"/>
    <x v="5"/>
    <x v="19"/>
    <x v="19"/>
    <n v="-10000"/>
    <n v="0"/>
    <n v="10000"/>
    <x v="2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20000"/>
    <n v="20000"/>
    <n v="0"/>
    <x v="467"/>
    <s v="Administracion"/>
    <m/>
    <m/>
    <m/>
    <m/>
    <m/>
    <m/>
    <m/>
  </r>
  <r>
    <d v="2021-05-05T00:00:00"/>
    <x v="5"/>
    <x v="19"/>
    <x v="19"/>
    <n v="-20000"/>
    <n v="0"/>
    <n v="20000"/>
    <x v="4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5T00:00:00"/>
    <x v="5"/>
    <x v="0"/>
    <x v="0"/>
    <n v="100000"/>
    <n v="100000"/>
    <n v="0"/>
    <x v="317"/>
    <s v="Administracion"/>
    <m/>
    <m/>
    <m/>
    <m/>
    <m/>
    <m/>
    <m/>
  </r>
  <r>
    <d v="2021-05-05T00:00:00"/>
    <x v="5"/>
    <x v="19"/>
    <x v="19"/>
    <n v="-100000"/>
    <n v="0"/>
    <n v="100000"/>
    <x v="3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6T00:00:00"/>
    <x v="5"/>
    <x v="0"/>
    <x v="0"/>
    <n v="100000"/>
    <n v="100000"/>
    <n v="0"/>
    <x v="194"/>
    <s v="Administracion"/>
    <m/>
    <m/>
    <m/>
    <m/>
    <m/>
    <m/>
    <m/>
  </r>
  <r>
    <d v="2021-05-06T00:00:00"/>
    <x v="5"/>
    <x v="19"/>
    <x v="19"/>
    <n v="-100000"/>
    <n v="0"/>
    <n v="100000"/>
    <x v="19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6T00:00:00"/>
    <x v="5"/>
    <x v="0"/>
    <x v="0"/>
    <n v="30000"/>
    <n v="30000"/>
    <n v="0"/>
    <x v="409"/>
    <s v="Administracion"/>
    <m/>
    <m/>
    <m/>
    <m/>
    <m/>
    <m/>
    <m/>
  </r>
  <r>
    <d v="2021-05-06T00:00:00"/>
    <x v="5"/>
    <x v="19"/>
    <x v="19"/>
    <n v="-30000"/>
    <n v="0"/>
    <n v="30000"/>
    <x v="40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6T00:00:00"/>
    <x v="5"/>
    <x v="0"/>
    <x v="0"/>
    <n v="15000"/>
    <n v="15000"/>
    <n v="0"/>
    <x v="468"/>
    <s v="Administracion"/>
    <m/>
    <m/>
    <m/>
    <m/>
    <m/>
    <m/>
    <m/>
  </r>
  <r>
    <d v="2021-05-06T00:00:00"/>
    <x v="5"/>
    <x v="19"/>
    <x v="19"/>
    <n v="-15000"/>
    <n v="0"/>
    <n v="15000"/>
    <x v="46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6T00:00:00"/>
    <x v="5"/>
    <x v="0"/>
    <x v="0"/>
    <n v="29418"/>
    <n v="29418"/>
    <n v="0"/>
    <x v="96"/>
    <s v="Administracion"/>
    <m/>
    <m/>
    <m/>
    <m/>
    <m/>
    <m/>
    <m/>
  </r>
  <r>
    <d v="2021-05-06T00:00:00"/>
    <x v="5"/>
    <x v="19"/>
    <x v="19"/>
    <n v="-29418"/>
    <n v="0"/>
    <n v="29418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6T00:00:00"/>
    <x v="5"/>
    <x v="0"/>
    <x v="0"/>
    <n v="4902"/>
    <n v="4902"/>
    <n v="0"/>
    <x v="344"/>
    <s v="Administracion"/>
    <m/>
    <m/>
    <m/>
    <m/>
    <m/>
    <m/>
    <m/>
  </r>
  <r>
    <d v="2021-05-06T00:00:00"/>
    <x v="5"/>
    <x v="20"/>
    <x v="20"/>
    <n v="-4902"/>
    <n v="0"/>
    <n v="4902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6T00:00:00"/>
    <x v="5"/>
    <x v="0"/>
    <x v="0"/>
    <n v="15000"/>
    <n v="15000"/>
    <n v="0"/>
    <x v="8"/>
    <s v="Administracion"/>
    <m/>
    <m/>
    <m/>
    <m/>
    <m/>
    <m/>
    <m/>
  </r>
  <r>
    <d v="2021-05-06T00:00:00"/>
    <x v="5"/>
    <x v="6"/>
    <x v="6"/>
    <n v="-15000"/>
    <n v="0"/>
    <n v="15000"/>
    <x v="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6T00:00:00"/>
    <x v="5"/>
    <x v="0"/>
    <x v="0"/>
    <n v="16000"/>
    <n v="16000"/>
    <n v="0"/>
    <x v="336"/>
    <s v="Administracion"/>
    <m/>
    <m/>
    <m/>
    <m/>
    <m/>
    <m/>
    <m/>
  </r>
  <r>
    <d v="2021-05-06T00:00:00"/>
    <x v="5"/>
    <x v="19"/>
    <x v="19"/>
    <n v="-16000"/>
    <n v="0"/>
    <n v="16000"/>
    <x v="33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6T00:00:00"/>
    <x v="5"/>
    <x v="0"/>
    <x v="0"/>
    <n v="15000"/>
    <n v="15000"/>
    <n v="0"/>
    <x v="323"/>
    <s v="Administracion"/>
    <m/>
    <m/>
    <m/>
    <m/>
    <m/>
    <m/>
    <m/>
  </r>
  <r>
    <d v="2021-05-06T00:00:00"/>
    <x v="5"/>
    <x v="19"/>
    <x v="19"/>
    <n v="-15000"/>
    <n v="0"/>
    <n v="15000"/>
    <x v="32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6T00:00:00"/>
    <x v="5"/>
    <x v="0"/>
    <x v="0"/>
    <n v="53000"/>
    <n v="53000"/>
    <n v="0"/>
    <x v="18"/>
    <s v="Administracion"/>
    <m/>
    <m/>
    <m/>
    <m/>
    <m/>
    <m/>
    <m/>
  </r>
  <r>
    <d v="2021-05-06T00:00:00"/>
    <x v="5"/>
    <x v="6"/>
    <x v="6"/>
    <n v="-53000"/>
    <n v="0"/>
    <n v="53000"/>
    <x v="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7T00:00:00"/>
    <x v="5"/>
    <x v="0"/>
    <x v="0"/>
    <n v="40000"/>
    <n v="40000"/>
    <n v="0"/>
    <x v="340"/>
    <s v="Administracion"/>
    <m/>
    <m/>
    <m/>
    <m/>
    <m/>
    <m/>
    <m/>
  </r>
  <r>
    <d v="2021-05-07T00:00:00"/>
    <x v="5"/>
    <x v="19"/>
    <x v="19"/>
    <n v="-40000"/>
    <n v="0"/>
    <n v="40000"/>
    <x v="34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7T00:00:00"/>
    <x v="5"/>
    <x v="0"/>
    <x v="0"/>
    <n v="20000"/>
    <n v="20000"/>
    <n v="0"/>
    <x v="339"/>
    <s v="Administracion"/>
    <m/>
    <m/>
    <m/>
    <m/>
    <m/>
    <m/>
    <m/>
  </r>
  <r>
    <d v="2021-05-07T00:00:00"/>
    <x v="5"/>
    <x v="19"/>
    <x v="19"/>
    <n v="-20000"/>
    <n v="0"/>
    <n v="20000"/>
    <x v="33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7T00:00:00"/>
    <x v="5"/>
    <x v="0"/>
    <x v="0"/>
    <n v="205927"/>
    <n v="205927"/>
    <n v="0"/>
    <x v="344"/>
    <s v="Administracion"/>
    <m/>
    <m/>
    <m/>
    <m/>
    <m/>
    <m/>
    <m/>
  </r>
  <r>
    <d v="2021-05-07T00:00:00"/>
    <x v="5"/>
    <x v="20"/>
    <x v="20"/>
    <n v="-205927"/>
    <n v="0"/>
    <n v="205927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7T00:00:00"/>
    <x v="5"/>
    <x v="0"/>
    <x v="0"/>
    <n v="15000"/>
    <n v="15000"/>
    <n v="0"/>
    <x v="469"/>
    <s v="Administracion"/>
    <m/>
    <m/>
    <m/>
    <m/>
    <m/>
    <m/>
    <m/>
  </r>
  <r>
    <d v="2021-05-07T00:00:00"/>
    <x v="5"/>
    <x v="21"/>
    <x v="21"/>
    <n v="-15000"/>
    <n v="0"/>
    <n v="15000"/>
    <x v="46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7T00:00:00"/>
    <x v="5"/>
    <x v="0"/>
    <x v="0"/>
    <n v="60000"/>
    <n v="60000"/>
    <n v="0"/>
    <x v="470"/>
    <s v="Administracion"/>
    <m/>
    <m/>
    <m/>
    <m/>
    <m/>
    <m/>
    <m/>
  </r>
  <r>
    <d v="2021-05-07T00:00:00"/>
    <x v="5"/>
    <x v="19"/>
    <x v="19"/>
    <n v="-60000"/>
    <n v="0"/>
    <n v="60000"/>
    <x v="47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7T00:00:00"/>
    <x v="5"/>
    <x v="0"/>
    <x v="0"/>
    <n v="250000"/>
    <n v="250000"/>
    <n v="0"/>
    <x v="278"/>
    <s v="Administracion"/>
    <m/>
    <m/>
    <m/>
    <m/>
    <m/>
    <m/>
    <m/>
  </r>
  <r>
    <d v="2021-05-07T00:00:00"/>
    <x v="5"/>
    <x v="6"/>
    <x v="6"/>
    <n v="-250000"/>
    <n v="0"/>
    <n v="250000"/>
    <x v="2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7T00:00:00"/>
    <x v="5"/>
    <x v="0"/>
    <x v="0"/>
    <n v="50000"/>
    <n v="50000"/>
    <n v="0"/>
    <x v="471"/>
    <s v="Administracion"/>
    <m/>
    <m/>
    <m/>
    <m/>
    <m/>
    <m/>
    <m/>
  </r>
  <r>
    <d v="2021-05-07T00:00:00"/>
    <x v="5"/>
    <x v="19"/>
    <x v="19"/>
    <n v="-50000"/>
    <n v="0"/>
    <n v="50000"/>
    <x v="47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7T00:00:00"/>
    <x v="5"/>
    <x v="0"/>
    <x v="0"/>
    <n v="30000"/>
    <n v="30000"/>
    <n v="0"/>
    <x v="472"/>
    <s v="Administracion"/>
    <m/>
    <m/>
    <m/>
    <m/>
    <m/>
    <m/>
    <m/>
  </r>
  <r>
    <d v="2021-05-07T00:00:00"/>
    <x v="5"/>
    <x v="24"/>
    <x v="24"/>
    <n v="-30000"/>
    <n v="0"/>
    <n v="30000"/>
    <x v="4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7T00:00:00"/>
    <x v="5"/>
    <x v="0"/>
    <x v="0"/>
    <n v="26802"/>
    <n v="26802"/>
    <n v="0"/>
    <x v="472"/>
    <s v="Administracion"/>
    <m/>
    <m/>
    <m/>
    <m/>
    <m/>
    <m/>
    <m/>
  </r>
  <r>
    <d v="2021-05-07T00:00:00"/>
    <x v="5"/>
    <x v="45"/>
    <x v="43"/>
    <n v="-26802"/>
    <n v="0"/>
    <n v="26802"/>
    <x v="4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7T00:00:00"/>
    <x v="5"/>
    <x v="6"/>
    <x v="6"/>
    <n v="72321"/>
    <n v="72321"/>
    <n v="0"/>
    <x v="473"/>
    <s v="Administracion"/>
    <m/>
    <m/>
    <m/>
    <m/>
    <m/>
    <m/>
    <m/>
  </r>
  <r>
    <d v="2021-05-07T00:00:00"/>
    <x v="5"/>
    <x v="9"/>
    <x v="9"/>
    <n v="67187"/>
    <n v="67187"/>
    <n v="0"/>
    <x v="473"/>
    <s v="Administracion"/>
    <m/>
    <m/>
    <m/>
    <m/>
    <m/>
    <m/>
    <m/>
  </r>
  <r>
    <d v="2021-05-07T00:00:00"/>
    <x v="5"/>
    <x v="9"/>
    <x v="9"/>
    <n v="16260"/>
    <n v="16260"/>
    <n v="0"/>
    <x v="474"/>
    <s v="Administracion"/>
    <m/>
    <m/>
    <m/>
    <m/>
    <m/>
    <m/>
    <m/>
  </r>
  <r>
    <d v="2021-05-07T00:00:00"/>
    <x v="5"/>
    <x v="0"/>
    <x v="0"/>
    <n v="-155768"/>
    <n v="0"/>
    <n v="155768"/>
    <x v="47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7T00:00:00"/>
    <x v="5"/>
    <x v="10"/>
    <x v="10"/>
    <n v="403208"/>
    <n v="403208"/>
    <n v="0"/>
    <x v="332"/>
    <s v="Administracion"/>
    <m/>
    <m/>
    <m/>
    <m/>
    <m/>
    <m/>
    <m/>
  </r>
  <r>
    <d v="2021-05-07T00:00:00"/>
    <x v="5"/>
    <x v="0"/>
    <x v="0"/>
    <n v="-403208"/>
    <n v="0"/>
    <n v="403208"/>
    <x v="3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07T00:00:00"/>
    <x v="5"/>
    <x v="10"/>
    <x v="10"/>
    <n v="172010"/>
    <n v="172010"/>
    <n v="0"/>
    <x v="476"/>
    <s v="Administracion"/>
    <m/>
    <m/>
    <m/>
    <m/>
    <m/>
    <m/>
    <m/>
  </r>
  <r>
    <d v="2021-05-07T00:00:00"/>
    <x v="5"/>
    <x v="0"/>
    <x v="0"/>
    <n v="-172010"/>
    <n v="0"/>
    <n v="172010"/>
    <x v="4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26"/>
    <x v="26"/>
    <n v="1501"/>
    <n v="1501"/>
    <n v="0"/>
    <x v="477"/>
    <s v="Administracion"/>
    <m/>
    <m/>
    <m/>
    <m/>
    <m/>
    <m/>
    <m/>
  </r>
  <r>
    <d v="2021-05-10T00:00:00"/>
    <x v="5"/>
    <x v="0"/>
    <x v="0"/>
    <n v="-1501"/>
    <n v="0"/>
    <n v="1501"/>
    <x v="47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5000"/>
    <n v="5000"/>
    <n v="0"/>
    <x v="478"/>
    <s v="Administracion"/>
    <m/>
    <m/>
    <m/>
    <m/>
    <m/>
    <m/>
    <m/>
  </r>
  <r>
    <d v="2021-05-10T00:00:00"/>
    <x v="5"/>
    <x v="19"/>
    <x v="19"/>
    <n v="-5000"/>
    <n v="0"/>
    <n v="5000"/>
    <x v="4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20000"/>
    <n v="20000"/>
    <n v="0"/>
    <x v="479"/>
    <s v="Administracion"/>
    <m/>
    <m/>
    <m/>
    <m/>
    <m/>
    <m/>
    <m/>
  </r>
  <r>
    <d v="2021-05-10T00:00:00"/>
    <x v="5"/>
    <x v="21"/>
    <x v="21"/>
    <n v="-20000"/>
    <n v="0"/>
    <n v="20000"/>
    <x v="47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10000"/>
    <n v="10000"/>
    <n v="0"/>
    <x v="78"/>
    <s v="Administracion"/>
    <m/>
    <m/>
    <m/>
    <m/>
    <m/>
    <m/>
    <m/>
  </r>
  <r>
    <d v="2021-05-10T00:00:00"/>
    <x v="5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20000"/>
    <n v="20000"/>
    <n v="0"/>
    <x v="146"/>
    <s v="Administracion"/>
    <m/>
    <m/>
    <m/>
    <m/>
    <m/>
    <m/>
    <m/>
  </r>
  <r>
    <d v="2021-05-10T00:00:00"/>
    <x v="5"/>
    <x v="19"/>
    <x v="19"/>
    <n v="-20000"/>
    <n v="0"/>
    <n v="20000"/>
    <x v="14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10000"/>
    <n v="10000"/>
    <n v="0"/>
    <x v="76"/>
    <s v="Administracion"/>
    <m/>
    <m/>
    <m/>
    <m/>
    <m/>
    <m/>
    <m/>
  </r>
  <r>
    <d v="2021-05-10T00:00:00"/>
    <x v="5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3000"/>
    <n v="3000"/>
    <n v="0"/>
    <x v="115"/>
    <s v="Administracion"/>
    <m/>
    <m/>
    <m/>
    <m/>
    <m/>
    <m/>
    <m/>
  </r>
  <r>
    <d v="2021-05-10T00:00:00"/>
    <x v="5"/>
    <x v="19"/>
    <x v="19"/>
    <n v="-3000"/>
    <n v="0"/>
    <n v="3000"/>
    <x v="1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15000"/>
    <n v="15000"/>
    <n v="0"/>
    <x v="200"/>
    <s v="Administracion"/>
    <m/>
    <m/>
    <m/>
    <m/>
    <m/>
    <m/>
    <m/>
  </r>
  <r>
    <d v="2021-05-10T00:00:00"/>
    <x v="5"/>
    <x v="19"/>
    <x v="19"/>
    <n v="-15000"/>
    <n v="0"/>
    <n v="15000"/>
    <x v="20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20000"/>
    <n v="20000"/>
    <n v="0"/>
    <x v="480"/>
    <s v="Administracion"/>
    <m/>
    <m/>
    <m/>
    <m/>
    <m/>
    <m/>
    <m/>
  </r>
  <r>
    <d v="2021-05-10T00:00:00"/>
    <x v="5"/>
    <x v="21"/>
    <x v="21"/>
    <n v="-20000"/>
    <n v="0"/>
    <n v="20000"/>
    <x v="48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50000"/>
    <n v="50000"/>
    <n v="0"/>
    <x v="449"/>
    <s v="Administracion"/>
    <m/>
    <m/>
    <m/>
    <m/>
    <m/>
    <m/>
    <m/>
  </r>
  <r>
    <d v="2021-05-10T00:00:00"/>
    <x v="5"/>
    <x v="19"/>
    <x v="19"/>
    <n v="-50000"/>
    <n v="0"/>
    <n v="50000"/>
    <x v="44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20000"/>
    <n v="20000"/>
    <n v="0"/>
    <x v="481"/>
    <s v="Administracion"/>
    <m/>
    <m/>
    <m/>
    <m/>
    <m/>
    <m/>
    <m/>
  </r>
  <r>
    <d v="2021-05-10T00:00:00"/>
    <x v="5"/>
    <x v="21"/>
    <x v="21"/>
    <n v="-20000"/>
    <n v="0"/>
    <n v="20000"/>
    <x v="48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10000"/>
    <n v="10000"/>
    <n v="0"/>
    <x v="225"/>
    <s v="Administracion"/>
    <m/>
    <m/>
    <m/>
    <m/>
    <m/>
    <m/>
    <m/>
  </r>
  <r>
    <d v="2021-05-10T00:00:00"/>
    <x v="5"/>
    <x v="19"/>
    <x v="19"/>
    <n v="-10000"/>
    <n v="0"/>
    <n v="10000"/>
    <x v="22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5000"/>
    <n v="5000"/>
    <n v="0"/>
    <x v="173"/>
    <s v="Administracion"/>
    <m/>
    <m/>
    <m/>
    <m/>
    <m/>
    <m/>
    <m/>
  </r>
  <r>
    <d v="2021-05-10T00:00:00"/>
    <x v="5"/>
    <x v="19"/>
    <x v="19"/>
    <n v="-5000"/>
    <n v="0"/>
    <n v="5000"/>
    <x v="1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2000"/>
    <n v="2000"/>
    <n v="0"/>
    <x v="283"/>
    <s v="Administracion"/>
    <m/>
    <m/>
    <m/>
    <m/>
    <m/>
    <m/>
    <m/>
  </r>
  <r>
    <d v="2021-05-10T00:00:00"/>
    <x v="5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29493"/>
    <n v="29493"/>
    <n v="0"/>
    <x v="482"/>
    <s v="Administracion"/>
    <m/>
    <m/>
    <m/>
    <m/>
    <m/>
    <m/>
    <m/>
  </r>
  <r>
    <d v="2021-05-10T00:00:00"/>
    <x v="5"/>
    <x v="21"/>
    <x v="21"/>
    <n v="-29493"/>
    <n v="0"/>
    <n v="29493"/>
    <x v="48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40000"/>
    <n v="40000"/>
    <n v="0"/>
    <x v="361"/>
    <s v="Administracion"/>
    <m/>
    <m/>
    <m/>
    <m/>
    <m/>
    <m/>
    <m/>
  </r>
  <r>
    <d v="2021-05-10T00:00:00"/>
    <x v="5"/>
    <x v="21"/>
    <x v="21"/>
    <n v="-40000"/>
    <n v="0"/>
    <n v="40000"/>
    <x v="36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5000"/>
    <n v="5000"/>
    <n v="0"/>
    <x v="341"/>
    <s v="Administracion"/>
    <m/>
    <m/>
    <m/>
    <m/>
    <m/>
    <m/>
    <m/>
  </r>
  <r>
    <d v="2021-05-10T00:00:00"/>
    <x v="5"/>
    <x v="19"/>
    <x v="19"/>
    <n v="-5000"/>
    <n v="0"/>
    <n v="5000"/>
    <x v="3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50000"/>
    <n v="50000"/>
    <n v="0"/>
    <x v="483"/>
    <s v="Administracion"/>
    <m/>
    <m/>
    <m/>
    <m/>
    <m/>
    <m/>
    <m/>
  </r>
  <r>
    <d v="2021-05-10T00:00:00"/>
    <x v="5"/>
    <x v="21"/>
    <x v="21"/>
    <n v="-50000"/>
    <n v="0"/>
    <n v="50000"/>
    <x v="4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100000"/>
    <n v="100000"/>
    <n v="0"/>
    <x v="484"/>
    <s v="Administracion"/>
    <m/>
    <m/>
    <m/>
    <m/>
    <m/>
    <m/>
    <m/>
  </r>
  <r>
    <d v="2021-05-10T00:00:00"/>
    <x v="5"/>
    <x v="21"/>
    <x v="21"/>
    <n v="-100000"/>
    <n v="0"/>
    <n v="100000"/>
    <x v="4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23"/>
    <x v="23"/>
    <n v="1755"/>
    <n v="1755"/>
    <n v="0"/>
    <x v="485"/>
    <s v="Administracion"/>
    <m/>
    <m/>
    <m/>
    <m/>
    <m/>
    <m/>
    <m/>
  </r>
  <r>
    <d v="2021-05-10T00:00:00"/>
    <x v="5"/>
    <x v="0"/>
    <x v="0"/>
    <n v="-1755"/>
    <n v="0"/>
    <n v="1755"/>
    <x v="4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23"/>
    <x v="23"/>
    <n v="702"/>
    <n v="702"/>
    <n v="0"/>
    <x v="485"/>
    <s v="Administracion"/>
    <m/>
    <m/>
    <m/>
    <m/>
    <m/>
    <m/>
    <m/>
  </r>
  <r>
    <d v="2021-05-10T00:00:00"/>
    <x v="5"/>
    <x v="0"/>
    <x v="0"/>
    <n v="-702"/>
    <n v="0"/>
    <n v="702"/>
    <x v="4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0T00:00:00"/>
    <x v="5"/>
    <x v="0"/>
    <x v="0"/>
    <n v="94000"/>
    <n v="94000"/>
    <n v="0"/>
    <x v="486"/>
    <s v="Administracion"/>
    <m/>
    <m/>
    <m/>
    <m/>
    <m/>
    <m/>
    <m/>
  </r>
  <r>
    <d v="2021-05-10T00:00:00"/>
    <x v="5"/>
    <x v="19"/>
    <x v="19"/>
    <n v="-94000"/>
    <n v="0"/>
    <n v="94000"/>
    <x v="48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1T00:00:00"/>
    <x v="5"/>
    <x v="0"/>
    <x v="0"/>
    <n v="20000"/>
    <n v="20000"/>
    <n v="0"/>
    <x v="262"/>
    <s v="Administracion"/>
    <m/>
    <m/>
    <m/>
    <m/>
    <m/>
    <m/>
    <m/>
  </r>
  <r>
    <d v="2021-05-11T00:00:00"/>
    <x v="5"/>
    <x v="19"/>
    <x v="19"/>
    <n v="-20000"/>
    <n v="0"/>
    <n v="20000"/>
    <x v="2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1T00:00:00"/>
    <x v="5"/>
    <x v="0"/>
    <x v="0"/>
    <n v="30000"/>
    <n v="30000"/>
    <n v="0"/>
    <x v="487"/>
    <s v="Administracion"/>
    <m/>
    <m/>
    <m/>
    <m/>
    <m/>
    <m/>
    <m/>
  </r>
  <r>
    <d v="2021-05-11T00:00:00"/>
    <x v="5"/>
    <x v="21"/>
    <x v="21"/>
    <n v="-30000"/>
    <n v="0"/>
    <n v="30000"/>
    <x v="48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1T00:00:00"/>
    <x v="5"/>
    <x v="0"/>
    <x v="0"/>
    <n v="25000"/>
    <n v="25000"/>
    <n v="0"/>
    <x v="488"/>
    <s v="Administracion"/>
    <m/>
    <m/>
    <m/>
    <m/>
    <m/>
    <m/>
    <m/>
  </r>
  <r>
    <d v="2021-05-11T00:00:00"/>
    <x v="5"/>
    <x v="19"/>
    <x v="19"/>
    <n v="-25000"/>
    <n v="0"/>
    <n v="25000"/>
    <x v="48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1T00:00:00"/>
    <x v="5"/>
    <x v="0"/>
    <x v="0"/>
    <n v="25000"/>
    <n v="25000"/>
    <n v="0"/>
    <x v="489"/>
    <s v="Administracion"/>
    <m/>
    <m/>
    <m/>
    <m/>
    <m/>
    <m/>
    <m/>
  </r>
  <r>
    <d v="2021-05-11T00:00:00"/>
    <x v="5"/>
    <x v="42"/>
    <x v="23"/>
    <n v="-25000"/>
    <n v="0"/>
    <n v="25000"/>
    <x v="48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1T00:00:00"/>
    <x v="5"/>
    <x v="0"/>
    <x v="0"/>
    <n v="30000"/>
    <n v="30000"/>
    <n v="0"/>
    <x v="490"/>
    <s v="Administracion"/>
    <m/>
    <m/>
    <m/>
    <m/>
    <m/>
    <m/>
    <m/>
  </r>
  <r>
    <d v="2021-05-11T00:00:00"/>
    <x v="5"/>
    <x v="21"/>
    <x v="21"/>
    <n v="-30000"/>
    <n v="0"/>
    <n v="30000"/>
    <x v="49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1T00:00:00"/>
    <x v="5"/>
    <x v="27"/>
    <x v="27"/>
    <n v="35155"/>
    <n v="35155"/>
    <n v="0"/>
    <x v="491"/>
    <s v="Administracion"/>
    <m/>
    <m/>
    <m/>
    <m/>
    <m/>
    <m/>
    <m/>
  </r>
  <r>
    <d v="2021-05-11T00:00:00"/>
    <x v="5"/>
    <x v="0"/>
    <x v="0"/>
    <n v="-35155"/>
    <n v="0"/>
    <n v="35155"/>
    <x v="49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1T00:00:00"/>
    <x v="5"/>
    <x v="0"/>
    <x v="0"/>
    <n v="26490"/>
    <n v="26490"/>
    <n v="0"/>
    <x v="96"/>
    <s v="Administracion"/>
    <m/>
    <m/>
    <m/>
    <m/>
    <m/>
    <m/>
    <m/>
  </r>
  <r>
    <d v="2021-05-11T00:00:00"/>
    <x v="5"/>
    <x v="19"/>
    <x v="19"/>
    <n v="-26490"/>
    <n v="0"/>
    <n v="26490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1T00:00:00"/>
    <x v="5"/>
    <x v="0"/>
    <x v="0"/>
    <n v="100000"/>
    <n v="100000"/>
    <n v="0"/>
    <x v="25"/>
    <s v="Administracion"/>
    <m/>
    <m/>
    <m/>
    <m/>
    <m/>
    <m/>
    <m/>
  </r>
  <r>
    <d v="2021-05-11T00:00:00"/>
    <x v="5"/>
    <x v="6"/>
    <x v="6"/>
    <n v="-100000"/>
    <n v="0"/>
    <n v="100000"/>
    <x v="2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1T00:00:00"/>
    <x v="5"/>
    <x v="0"/>
    <x v="0"/>
    <n v="10000"/>
    <n v="10000"/>
    <n v="0"/>
    <x v="441"/>
    <s v="Administracion"/>
    <m/>
    <m/>
    <m/>
    <m/>
    <m/>
    <m/>
    <m/>
  </r>
  <r>
    <d v="2021-05-11T00:00:00"/>
    <x v="5"/>
    <x v="20"/>
    <x v="20"/>
    <n v="-10000"/>
    <n v="0"/>
    <n v="10000"/>
    <x v="4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2T00:00:00"/>
    <x v="5"/>
    <x v="0"/>
    <x v="0"/>
    <n v="20000"/>
    <n v="20000"/>
    <n v="0"/>
    <x v="492"/>
    <s v="Administracion"/>
    <m/>
    <m/>
    <m/>
    <m/>
    <m/>
    <m/>
    <m/>
  </r>
  <r>
    <d v="2021-05-12T00:00:00"/>
    <x v="5"/>
    <x v="21"/>
    <x v="21"/>
    <n v="-20000"/>
    <n v="0"/>
    <n v="20000"/>
    <x v="49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2T00:00:00"/>
    <x v="5"/>
    <x v="0"/>
    <x v="0"/>
    <n v="4940"/>
    <n v="4940"/>
    <n v="0"/>
    <x v="96"/>
    <s v="Administracion"/>
    <m/>
    <m/>
    <m/>
    <m/>
    <m/>
    <m/>
    <m/>
  </r>
  <r>
    <d v="2021-05-12T00:00:00"/>
    <x v="5"/>
    <x v="19"/>
    <x v="19"/>
    <n v="-4940"/>
    <n v="0"/>
    <n v="4940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2T00:00:00"/>
    <x v="5"/>
    <x v="0"/>
    <x v="0"/>
    <n v="100000"/>
    <n v="100000"/>
    <n v="0"/>
    <x v="493"/>
    <s v="Administracion"/>
    <m/>
    <m/>
    <m/>
    <m/>
    <m/>
    <m/>
    <m/>
  </r>
  <r>
    <d v="2021-05-12T00:00:00"/>
    <x v="5"/>
    <x v="21"/>
    <x v="21"/>
    <n v="-100000"/>
    <n v="0"/>
    <n v="100000"/>
    <x v="49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2T00:00:00"/>
    <x v="5"/>
    <x v="0"/>
    <x v="0"/>
    <n v="5000"/>
    <n v="5000"/>
    <n v="0"/>
    <x v="315"/>
    <s v="Administracion"/>
    <m/>
    <m/>
    <m/>
    <m/>
    <m/>
    <m/>
    <m/>
  </r>
  <r>
    <d v="2021-05-12T00:00:00"/>
    <x v="5"/>
    <x v="20"/>
    <x v="20"/>
    <n v="-5000"/>
    <n v="0"/>
    <n v="5000"/>
    <x v="3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3T00:00:00"/>
    <x v="5"/>
    <x v="0"/>
    <x v="0"/>
    <n v="20000"/>
    <n v="20000"/>
    <n v="0"/>
    <x v="494"/>
    <s v="Administracion"/>
    <m/>
    <m/>
    <m/>
    <m/>
    <m/>
    <m/>
    <m/>
  </r>
  <r>
    <d v="2021-05-13T00:00:00"/>
    <x v="5"/>
    <x v="24"/>
    <x v="24"/>
    <n v="-20000"/>
    <n v="0"/>
    <n v="20000"/>
    <x v="49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3T00:00:00"/>
    <x v="5"/>
    <x v="0"/>
    <x v="0"/>
    <n v="40000"/>
    <n v="40000"/>
    <n v="0"/>
    <x v="495"/>
    <s v="Administracion"/>
    <m/>
    <m/>
    <m/>
    <m/>
    <m/>
    <m/>
    <m/>
  </r>
  <r>
    <d v="2021-05-13T00:00:00"/>
    <x v="5"/>
    <x v="21"/>
    <x v="21"/>
    <n v="-40000"/>
    <n v="0"/>
    <n v="40000"/>
    <x v="49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3T00:00:00"/>
    <x v="5"/>
    <x v="0"/>
    <x v="0"/>
    <n v="59286"/>
    <n v="59286"/>
    <n v="0"/>
    <x v="496"/>
    <s v="Administracion"/>
    <m/>
    <m/>
    <m/>
    <m/>
    <m/>
    <m/>
    <m/>
  </r>
  <r>
    <d v="2021-05-13T00:00:00"/>
    <x v="5"/>
    <x v="21"/>
    <x v="21"/>
    <n v="-59286"/>
    <n v="0"/>
    <n v="59286"/>
    <x v="4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3T00:00:00"/>
    <x v="5"/>
    <x v="0"/>
    <x v="0"/>
    <n v="5000"/>
    <n v="5000"/>
    <n v="0"/>
    <x v="497"/>
    <s v="Administracion"/>
    <m/>
    <m/>
    <m/>
    <m/>
    <m/>
    <m/>
    <m/>
  </r>
  <r>
    <d v="2021-05-13T00:00:00"/>
    <x v="5"/>
    <x v="19"/>
    <x v="19"/>
    <n v="-5000"/>
    <n v="0"/>
    <n v="5000"/>
    <x v="49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3T00:00:00"/>
    <x v="5"/>
    <x v="0"/>
    <x v="0"/>
    <n v="78000"/>
    <n v="78000"/>
    <n v="0"/>
    <x v="418"/>
    <s v="Administracion"/>
    <m/>
    <m/>
    <m/>
    <m/>
    <m/>
    <m/>
    <m/>
  </r>
  <r>
    <d v="2021-05-13T00:00:00"/>
    <x v="5"/>
    <x v="19"/>
    <x v="19"/>
    <n v="-78000"/>
    <n v="0"/>
    <n v="78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3T00:00:00"/>
    <x v="5"/>
    <x v="0"/>
    <x v="0"/>
    <n v="100000"/>
    <n v="100000"/>
    <n v="0"/>
    <x v="498"/>
    <s v="Administracion"/>
    <m/>
    <m/>
    <m/>
    <m/>
    <m/>
    <m/>
    <m/>
  </r>
  <r>
    <d v="2021-05-13T00:00:00"/>
    <x v="5"/>
    <x v="21"/>
    <x v="21"/>
    <n v="-100000"/>
    <n v="0"/>
    <n v="100000"/>
    <x v="4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3T00:00:00"/>
    <x v="5"/>
    <x v="0"/>
    <x v="0"/>
    <n v="10000"/>
    <n v="10000"/>
    <n v="0"/>
    <x v="499"/>
    <s v="Administracion"/>
    <m/>
    <m/>
    <m/>
    <m/>
    <m/>
    <m/>
    <m/>
  </r>
  <r>
    <d v="2021-05-13T00:00:00"/>
    <x v="5"/>
    <x v="24"/>
    <x v="24"/>
    <n v="-10000"/>
    <n v="0"/>
    <n v="10000"/>
    <x v="49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4T00:00:00"/>
    <x v="5"/>
    <x v="28"/>
    <x v="28"/>
    <n v="338983"/>
    <n v="338983"/>
    <n v="0"/>
    <x v="500"/>
    <s v="Administracion"/>
    <m/>
    <m/>
    <m/>
    <m/>
    <m/>
    <m/>
    <m/>
  </r>
  <r>
    <d v="2021-05-14T00:00:00"/>
    <x v="5"/>
    <x v="9"/>
    <x v="9"/>
    <n v="-38983"/>
    <n v="0"/>
    <n v="38983"/>
    <x v="500"/>
    <s v="Administracion"/>
    <m/>
    <m/>
    <m/>
    <m/>
    <m/>
    <m/>
    <m/>
  </r>
  <r>
    <d v="2021-05-14T00:00:00"/>
    <x v="5"/>
    <x v="0"/>
    <x v="0"/>
    <n v="-300000"/>
    <n v="0"/>
    <n v="300000"/>
    <x v="50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4T00:00:00"/>
    <x v="5"/>
    <x v="35"/>
    <x v="21"/>
    <n v="70000"/>
    <n v="70000"/>
    <n v="0"/>
    <x v="501"/>
    <s v="Administracion"/>
    <m/>
    <m/>
    <m/>
    <m/>
    <m/>
    <m/>
    <m/>
  </r>
  <r>
    <d v="2021-05-14T00:00:00"/>
    <x v="5"/>
    <x v="0"/>
    <x v="0"/>
    <n v="-70000"/>
    <n v="0"/>
    <n v="70000"/>
    <x v="50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4T00:00:00"/>
    <x v="5"/>
    <x v="46"/>
    <x v="44"/>
    <n v="54999"/>
    <n v="54999"/>
    <n v="0"/>
    <x v="502"/>
    <s v="Administracion"/>
    <m/>
    <m/>
    <m/>
    <m/>
    <m/>
    <m/>
    <m/>
  </r>
  <r>
    <d v="2021-05-14T00:00:00"/>
    <x v="5"/>
    <x v="0"/>
    <x v="0"/>
    <n v="-54999"/>
    <n v="0"/>
    <n v="54999"/>
    <x v="50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4T00:00:00"/>
    <x v="5"/>
    <x v="47"/>
    <x v="45"/>
    <n v="20000"/>
    <n v="20000"/>
    <n v="0"/>
    <x v="503"/>
    <s v="Administracion"/>
    <m/>
    <m/>
    <m/>
    <m/>
    <m/>
    <m/>
    <m/>
  </r>
  <r>
    <d v="2021-05-14T00:00:00"/>
    <x v="5"/>
    <x v="0"/>
    <x v="0"/>
    <n v="-20000"/>
    <n v="0"/>
    <n v="20000"/>
    <x v="50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4T00:00:00"/>
    <x v="5"/>
    <x v="29"/>
    <x v="29"/>
    <n v="43067"/>
    <n v="43067"/>
    <n v="0"/>
    <x v="41"/>
    <s v="Administracion"/>
    <m/>
    <m/>
    <m/>
    <m/>
    <m/>
    <m/>
    <m/>
  </r>
  <r>
    <d v="2021-05-14T00:00:00"/>
    <x v="5"/>
    <x v="0"/>
    <x v="0"/>
    <n v="-43067"/>
    <n v="0"/>
    <n v="43067"/>
    <x v="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7T00:00:00"/>
    <x v="5"/>
    <x v="27"/>
    <x v="27"/>
    <n v="20990"/>
    <n v="20990"/>
    <n v="0"/>
    <x v="367"/>
    <s v="Administracion"/>
    <m/>
    <m/>
    <m/>
    <m/>
    <m/>
    <m/>
    <m/>
  </r>
  <r>
    <d v="2021-05-17T00:00:00"/>
    <x v="5"/>
    <x v="0"/>
    <x v="0"/>
    <n v="-20990"/>
    <n v="0"/>
    <n v="20990"/>
    <x v="3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7T00:00:00"/>
    <x v="5"/>
    <x v="0"/>
    <x v="0"/>
    <n v="20000"/>
    <n v="20000"/>
    <n v="0"/>
    <x v="504"/>
    <s v="Administracion"/>
    <m/>
    <m/>
    <m/>
    <m/>
    <m/>
    <m/>
    <m/>
  </r>
  <r>
    <d v="2021-05-17T00:00:00"/>
    <x v="5"/>
    <x v="21"/>
    <x v="21"/>
    <n v="-20000"/>
    <n v="0"/>
    <n v="20000"/>
    <x v="50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7T00:00:00"/>
    <x v="5"/>
    <x v="0"/>
    <x v="0"/>
    <n v="50000"/>
    <n v="50000"/>
    <n v="0"/>
    <x v="449"/>
    <s v="Administracion"/>
    <m/>
    <m/>
    <m/>
    <m/>
    <m/>
    <m/>
    <m/>
  </r>
  <r>
    <d v="2021-05-17T00:00:00"/>
    <x v="5"/>
    <x v="19"/>
    <x v="19"/>
    <n v="-50000"/>
    <n v="0"/>
    <n v="50000"/>
    <x v="44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7T00:00:00"/>
    <x v="5"/>
    <x v="0"/>
    <x v="0"/>
    <n v="10000"/>
    <n v="10000"/>
    <n v="0"/>
    <x v="78"/>
    <s v="Administracion"/>
    <m/>
    <m/>
    <m/>
    <m/>
    <m/>
    <m/>
    <m/>
  </r>
  <r>
    <d v="2021-05-17T00:00:00"/>
    <x v="5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7T00:00:00"/>
    <x v="5"/>
    <x v="0"/>
    <x v="0"/>
    <n v="25000"/>
    <n v="25000"/>
    <n v="0"/>
    <x v="202"/>
    <s v="Administracion"/>
    <m/>
    <m/>
    <m/>
    <m/>
    <m/>
    <m/>
    <m/>
  </r>
  <r>
    <d v="2021-05-17T00:00:00"/>
    <x v="5"/>
    <x v="19"/>
    <x v="19"/>
    <n v="-25000"/>
    <n v="0"/>
    <n v="25000"/>
    <x v="20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0T00:00:00"/>
    <x v="5"/>
    <x v="0"/>
    <x v="0"/>
    <n v="20000"/>
    <n v="20000"/>
    <n v="0"/>
    <x v="227"/>
    <s v="Administracion"/>
    <m/>
    <m/>
    <m/>
    <m/>
    <m/>
    <m/>
    <m/>
  </r>
  <r>
    <d v="2021-05-20T00:00:00"/>
    <x v="5"/>
    <x v="19"/>
    <x v="19"/>
    <n v="-20000"/>
    <n v="0"/>
    <n v="20000"/>
    <x v="2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7T00:00:00"/>
    <x v="5"/>
    <x v="0"/>
    <x v="0"/>
    <n v="10000"/>
    <n v="10000"/>
    <n v="0"/>
    <x v="139"/>
    <s v="Administracion"/>
    <m/>
    <m/>
    <m/>
    <m/>
    <m/>
    <m/>
    <m/>
  </r>
  <r>
    <d v="2021-05-17T00:00:00"/>
    <x v="5"/>
    <x v="19"/>
    <x v="19"/>
    <n v="-10000"/>
    <n v="0"/>
    <n v="10000"/>
    <x v="13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7T00:00:00"/>
    <x v="5"/>
    <x v="0"/>
    <x v="0"/>
    <n v="5000"/>
    <n v="5000"/>
    <n v="0"/>
    <x v="173"/>
    <s v="Administracion"/>
    <m/>
    <m/>
    <m/>
    <m/>
    <m/>
    <m/>
    <m/>
  </r>
  <r>
    <d v="2021-05-17T00:00:00"/>
    <x v="5"/>
    <x v="19"/>
    <x v="19"/>
    <n v="-5000"/>
    <n v="0"/>
    <n v="5000"/>
    <x v="1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7T00:00:00"/>
    <x v="5"/>
    <x v="0"/>
    <x v="0"/>
    <n v="10000"/>
    <n v="10000"/>
    <n v="0"/>
    <x v="76"/>
    <s v="Administracion"/>
    <m/>
    <m/>
    <m/>
    <m/>
    <m/>
    <m/>
    <m/>
  </r>
  <r>
    <d v="2021-05-17T00:00:00"/>
    <x v="5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7T00:00:00"/>
    <x v="5"/>
    <x v="0"/>
    <x v="0"/>
    <n v="20000"/>
    <n v="20000"/>
    <n v="0"/>
    <x v="94"/>
    <s v="Administracion"/>
    <m/>
    <m/>
    <m/>
    <m/>
    <m/>
    <m/>
    <m/>
  </r>
  <r>
    <d v="2021-05-17T00:00:00"/>
    <x v="5"/>
    <x v="19"/>
    <x v="19"/>
    <n v="-20000"/>
    <n v="0"/>
    <n v="20000"/>
    <x v="9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7T00:00:00"/>
    <x v="5"/>
    <x v="0"/>
    <x v="0"/>
    <n v="10000"/>
    <n v="10000"/>
    <n v="0"/>
    <x v="439"/>
    <s v="Administracion"/>
    <m/>
    <m/>
    <m/>
    <m/>
    <m/>
    <m/>
    <m/>
  </r>
  <r>
    <d v="2021-05-17T00:00:00"/>
    <x v="5"/>
    <x v="19"/>
    <x v="19"/>
    <n v="-10000"/>
    <n v="0"/>
    <n v="10000"/>
    <x v="43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7T00:00:00"/>
    <x v="5"/>
    <x v="0"/>
    <x v="0"/>
    <n v="20000"/>
    <n v="20000"/>
    <n v="0"/>
    <x v="505"/>
    <s v="Administracion"/>
    <m/>
    <m/>
    <m/>
    <m/>
    <m/>
    <m/>
    <m/>
  </r>
  <r>
    <d v="2021-05-17T00:00:00"/>
    <x v="5"/>
    <x v="19"/>
    <x v="19"/>
    <n v="-20000"/>
    <n v="0"/>
    <n v="20000"/>
    <x v="50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7T00:00:00"/>
    <x v="5"/>
    <x v="0"/>
    <x v="0"/>
    <n v="30000"/>
    <n v="30000"/>
    <n v="0"/>
    <x v="132"/>
    <s v="Administracion"/>
    <m/>
    <m/>
    <m/>
    <m/>
    <m/>
    <m/>
    <m/>
  </r>
  <r>
    <d v="2021-05-17T00:00:00"/>
    <x v="5"/>
    <x v="19"/>
    <x v="19"/>
    <n v="-30000"/>
    <n v="0"/>
    <n v="30000"/>
    <x v="1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7T00:00:00"/>
    <x v="5"/>
    <x v="0"/>
    <x v="0"/>
    <n v="2000"/>
    <n v="2000"/>
    <n v="0"/>
    <x v="283"/>
    <s v="Administracion"/>
    <m/>
    <m/>
    <m/>
    <m/>
    <m/>
    <m/>
    <m/>
  </r>
  <r>
    <d v="2021-05-17T00:00:00"/>
    <x v="5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7T00:00:00"/>
    <x v="5"/>
    <x v="0"/>
    <x v="0"/>
    <n v="117"/>
    <n v="117"/>
    <n v="0"/>
    <x v="96"/>
    <s v="Administracion"/>
    <m/>
    <m/>
    <m/>
    <m/>
    <m/>
    <m/>
    <m/>
  </r>
  <r>
    <d v="2021-05-17T00:00:00"/>
    <x v="5"/>
    <x v="19"/>
    <x v="19"/>
    <n v="-117"/>
    <n v="0"/>
    <n v="117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7T00:00:00"/>
    <x v="5"/>
    <x v="0"/>
    <x v="0"/>
    <n v="112000"/>
    <n v="112000"/>
    <n v="0"/>
    <x v="418"/>
    <s v="Administracion"/>
    <m/>
    <m/>
    <m/>
    <m/>
    <m/>
    <m/>
    <m/>
  </r>
  <r>
    <d v="2021-05-17T00:00:00"/>
    <x v="5"/>
    <x v="19"/>
    <x v="19"/>
    <n v="-112000"/>
    <n v="0"/>
    <n v="112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8T00:00:00"/>
    <x v="5"/>
    <x v="0"/>
    <x v="0"/>
    <n v="60000"/>
    <n v="60000"/>
    <n v="0"/>
    <x v="506"/>
    <s v="Administracion"/>
    <m/>
    <m/>
    <m/>
    <m/>
    <m/>
    <m/>
    <m/>
  </r>
  <r>
    <d v="2021-05-18T00:00:00"/>
    <x v="5"/>
    <x v="21"/>
    <x v="21"/>
    <n v="-60000"/>
    <n v="0"/>
    <n v="60000"/>
    <x v="50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8T00:00:00"/>
    <x v="5"/>
    <x v="0"/>
    <x v="0"/>
    <n v="98060"/>
    <n v="98060"/>
    <n v="0"/>
    <x v="507"/>
    <s v="Administracion"/>
    <m/>
    <m/>
    <m/>
    <m/>
    <m/>
    <m/>
    <m/>
  </r>
  <r>
    <d v="2021-05-18T00:00:00"/>
    <x v="5"/>
    <x v="21"/>
    <x v="21"/>
    <n v="-98060"/>
    <n v="0"/>
    <n v="98060"/>
    <x v="50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9T00:00:00"/>
    <x v="5"/>
    <x v="0"/>
    <x v="0"/>
    <n v="15000"/>
    <n v="15000"/>
    <n v="0"/>
    <x v="272"/>
    <s v="Administracion"/>
    <m/>
    <m/>
    <m/>
    <m/>
    <m/>
    <m/>
    <m/>
  </r>
  <r>
    <d v="2021-05-19T00:00:00"/>
    <x v="5"/>
    <x v="19"/>
    <x v="19"/>
    <n v="-15000"/>
    <n v="0"/>
    <n v="15000"/>
    <x v="2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9T00:00:00"/>
    <x v="5"/>
    <x v="0"/>
    <x v="0"/>
    <n v="10000"/>
    <n v="10000"/>
    <n v="0"/>
    <x v="217"/>
    <s v="Administracion"/>
    <m/>
    <m/>
    <m/>
    <m/>
    <m/>
    <m/>
    <m/>
  </r>
  <r>
    <d v="2021-05-19T00:00:00"/>
    <x v="5"/>
    <x v="19"/>
    <x v="19"/>
    <n v="-10000"/>
    <n v="0"/>
    <n v="10000"/>
    <x v="2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9T00:00:00"/>
    <x v="5"/>
    <x v="0"/>
    <x v="0"/>
    <n v="30000"/>
    <n v="30000"/>
    <n v="0"/>
    <x v="508"/>
    <s v="Administracion"/>
    <m/>
    <m/>
    <m/>
    <m/>
    <m/>
    <m/>
    <m/>
  </r>
  <r>
    <d v="2021-05-19T00:00:00"/>
    <x v="5"/>
    <x v="21"/>
    <x v="21"/>
    <n v="-30000"/>
    <n v="0"/>
    <n v="30000"/>
    <x v="50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9T00:00:00"/>
    <x v="5"/>
    <x v="0"/>
    <x v="0"/>
    <n v="19687"/>
    <n v="19687"/>
    <n v="0"/>
    <x v="344"/>
    <s v="Administracion"/>
    <m/>
    <m/>
    <m/>
    <m/>
    <m/>
    <m/>
    <m/>
  </r>
  <r>
    <d v="2021-05-19T00:00:00"/>
    <x v="5"/>
    <x v="20"/>
    <x v="20"/>
    <n v="-19687"/>
    <n v="0"/>
    <n v="19687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19T00:00:00"/>
    <x v="5"/>
    <x v="0"/>
    <x v="0"/>
    <n v="20000"/>
    <n v="20000"/>
    <n v="0"/>
    <x v="240"/>
    <s v="Administracion"/>
    <m/>
    <m/>
    <m/>
    <m/>
    <m/>
    <m/>
    <m/>
  </r>
  <r>
    <d v="2021-05-19T00:00:00"/>
    <x v="5"/>
    <x v="19"/>
    <x v="19"/>
    <n v="-20000"/>
    <n v="0"/>
    <n v="20000"/>
    <x v="24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0T00:00:00"/>
    <x v="5"/>
    <x v="0"/>
    <x v="0"/>
    <n v="200000"/>
    <n v="200000"/>
    <n v="0"/>
    <x v="509"/>
    <s v="Administracion"/>
    <m/>
    <m/>
    <m/>
    <m/>
    <m/>
    <m/>
    <m/>
  </r>
  <r>
    <d v="2021-05-20T00:00:00"/>
    <x v="5"/>
    <x v="6"/>
    <x v="6"/>
    <n v="-200000"/>
    <n v="0"/>
    <n v="200000"/>
    <x v="50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0T00:00:00"/>
    <x v="5"/>
    <x v="0"/>
    <x v="0"/>
    <n v="9881"/>
    <n v="9881"/>
    <n v="0"/>
    <x v="96"/>
    <s v="Administracion"/>
    <m/>
    <m/>
    <m/>
    <m/>
    <m/>
    <m/>
    <m/>
  </r>
  <r>
    <d v="2021-05-20T00:00:00"/>
    <x v="5"/>
    <x v="19"/>
    <x v="19"/>
    <n v="-9881"/>
    <n v="0"/>
    <n v="9881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0T00:00:00"/>
    <x v="5"/>
    <x v="0"/>
    <x v="0"/>
    <n v="40000"/>
    <n v="40000"/>
    <n v="0"/>
    <x v="510"/>
    <s v="Administracion"/>
    <m/>
    <m/>
    <m/>
    <m/>
    <m/>
    <m/>
    <m/>
  </r>
  <r>
    <d v="2021-05-20T00:00:00"/>
    <x v="5"/>
    <x v="21"/>
    <x v="21"/>
    <n v="-40000"/>
    <n v="0"/>
    <n v="40000"/>
    <x v="51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100000"/>
    <n v="100000"/>
    <n v="0"/>
    <x v="172"/>
    <s v="Administracion"/>
    <m/>
    <m/>
    <m/>
    <m/>
    <m/>
    <m/>
    <m/>
  </r>
  <r>
    <d v="2021-05-24T00:00:00"/>
    <x v="5"/>
    <x v="19"/>
    <x v="19"/>
    <n v="-100000"/>
    <n v="0"/>
    <n v="100000"/>
    <x v="1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15000"/>
    <n v="15000"/>
    <n v="0"/>
    <x v="144"/>
    <s v="Administracion"/>
    <m/>
    <m/>
    <m/>
    <m/>
    <m/>
    <m/>
    <m/>
  </r>
  <r>
    <d v="2021-05-24T00:00:00"/>
    <x v="5"/>
    <x v="19"/>
    <x v="19"/>
    <n v="-15000"/>
    <n v="0"/>
    <n v="15000"/>
    <x v="1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40000"/>
    <n v="40000"/>
    <n v="0"/>
    <x v="511"/>
    <s v="Administracion"/>
    <m/>
    <m/>
    <m/>
    <m/>
    <m/>
    <m/>
    <m/>
  </r>
  <r>
    <d v="2021-05-24T00:00:00"/>
    <x v="5"/>
    <x v="21"/>
    <x v="21"/>
    <n v="-40000"/>
    <n v="0"/>
    <n v="40000"/>
    <x v="51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50000"/>
    <n v="50000"/>
    <n v="0"/>
    <x v="512"/>
    <s v="Administracion"/>
    <m/>
    <m/>
    <m/>
    <m/>
    <m/>
    <m/>
    <m/>
  </r>
  <r>
    <d v="2021-05-24T00:00:00"/>
    <x v="5"/>
    <x v="21"/>
    <x v="21"/>
    <n v="-50000"/>
    <n v="0"/>
    <n v="50000"/>
    <x v="5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20000"/>
    <n v="20000"/>
    <n v="0"/>
    <x v="513"/>
    <s v="Administracion"/>
    <m/>
    <m/>
    <m/>
    <m/>
    <m/>
    <m/>
    <m/>
  </r>
  <r>
    <d v="2021-05-24T00:00:00"/>
    <x v="5"/>
    <x v="21"/>
    <x v="21"/>
    <n v="-20000"/>
    <n v="0"/>
    <n v="20000"/>
    <x v="51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60000"/>
    <n v="60000"/>
    <n v="0"/>
    <x v="514"/>
    <s v="Administracion"/>
    <m/>
    <m/>
    <m/>
    <m/>
    <m/>
    <m/>
    <m/>
  </r>
  <r>
    <d v="2021-05-24T00:00:00"/>
    <x v="5"/>
    <x v="21"/>
    <x v="21"/>
    <n v="-60000"/>
    <n v="0"/>
    <n v="60000"/>
    <x v="51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5000"/>
    <n v="5000"/>
    <n v="0"/>
    <x v="515"/>
    <s v="Administracion"/>
    <m/>
    <m/>
    <m/>
    <m/>
    <m/>
    <m/>
    <m/>
  </r>
  <r>
    <d v="2021-05-24T00:00:00"/>
    <x v="5"/>
    <x v="20"/>
    <x v="20"/>
    <n v="-5000"/>
    <n v="0"/>
    <n v="5000"/>
    <x v="5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20000"/>
    <n v="20000"/>
    <n v="0"/>
    <x v="516"/>
    <s v="Administracion"/>
    <m/>
    <m/>
    <m/>
    <m/>
    <m/>
    <m/>
    <m/>
  </r>
  <r>
    <d v="2021-05-24T00:00:00"/>
    <x v="5"/>
    <x v="21"/>
    <x v="21"/>
    <n v="-20000"/>
    <n v="0"/>
    <n v="20000"/>
    <x v="51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20000"/>
    <n v="20000"/>
    <n v="0"/>
    <x v="517"/>
    <s v="Administracion"/>
    <m/>
    <m/>
    <m/>
    <m/>
    <m/>
    <m/>
    <m/>
  </r>
  <r>
    <d v="2021-05-24T00:00:00"/>
    <x v="5"/>
    <x v="21"/>
    <x v="21"/>
    <n v="-20000"/>
    <n v="0"/>
    <n v="20000"/>
    <x v="5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20000"/>
    <n v="20000"/>
    <n v="0"/>
    <x v="518"/>
    <s v="Administracion"/>
    <m/>
    <m/>
    <m/>
    <m/>
    <m/>
    <m/>
    <m/>
  </r>
  <r>
    <d v="2021-05-24T00:00:00"/>
    <x v="5"/>
    <x v="21"/>
    <x v="21"/>
    <n v="-20000"/>
    <n v="0"/>
    <n v="20000"/>
    <x v="5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20000"/>
    <n v="20000"/>
    <n v="0"/>
    <x v="519"/>
    <s v="Administracion"/>
    <m/>
    <m/>
    <m/>
    <m/>
    <m/>
    <m/>
    <m/>
  </r>
  <r>
    <d v="2021-05-24T00:00:00"/>
    <x v="5"/>
    <x v="21"/>
    <x v="21"/>
    <n v="-20000"/>
    <n v="0"/>
    <n v="20000"/>
    <x v="51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60000"/>
    <n v="60000"/>
    <n v="0"/>
    <x v="520"/>
    <s v="Administracion"/>
    <m/>
    <m/>
    <m/>
    <m/>
    <m/>
    <m/>
    <m/>
  </r>
  <r>
    <d v="2021-05-24T00:00:00"/>
    <x v="5"/>
    <x v="21"/>
    <x v="21"/>
    <n v="-60000"/>
    <n v="0"/>
    <n v="60000"/>
    <x v="52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50000"/>
    <n v="50000"/>
    <n v="0"/>
    <x v="521"/>
    <s v="Administracion"/>
    <m/>
    <m/>
    <m/>
    <m/>
    <m/>
    <m/>
    <m/>
  </r>
  <r>
    <d v="2021-05-24T00:00:00"/>
    <x v="5"/>
    <x v="21"/>
    <x v="21"/>
    <n v="-50000"/>
    <n v="0"/>
    <n v="50000"/>
    <x v="52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250000"/>
    <n v="250000"/>
    <n v="0"/>
    <x v="174"/>
    <s v="Administracion"/>
    <m/>
    <m/>
    <m/>
    <m/>
    <m/>
    <m/>
    <m/>
  </r>
  <r>
    <d v="2021-05-24T00:00:00"/>
    <x v="5"/>
    <x v="19"/>
    <x v="19"/>
    <n v="-250000"/>
    <n v="0"/>
    <n v="250000"/>
    <x v="17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20000"/>
    <n v="20000"/>
    <n v="0"/>
    <x v="522"/>
    <s v="Administracion"/>
    <m/>
    <m/>
    <m/>
    <m/>
    <m/>
    <m/>
    <m/>
  </r>
  <r>
    <d v="2021-05-24T00:00:00"/>
    <x v="5"/>
    <x v="21"/>
    <x v="21"/>
    <n v="-20000"/>
    <n v="0"/>
    <n v="20000"/>
    <x v="52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10000"/>
    <n v="10000"/>
    <n v="0"/>
    <x v="78"/>
    <s v="Administracion"/>
    <m/>
    <m/>
    <m/>
    <m/>
    <m/>
    <m/>
    <m/>
  </r>
  <r>
    <d v="2021-05-24T00:00:00"/>
    <x v="5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3000"/>
    <n v="3000"/>
    <n v="0"/>
    <x v="115"/>
    <s v="Administracion"/>
    <m/>
    <m/>
    <m/>
    <m/>
    <m/>
    <m/>
    <m/>
  </r>
  <r>
    <d v="2021-05-24T00:00:00"/>
    <x v="5"/>
    <x v="19"/>
    <x v="19"/>
    <n v="-3000"/>
    <n v="0"/>
    <n v="3000"/>
    <x v="1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20000"/>
    <n v="20000"/>
    <n v="0"/>
    <x v="443"/>
    <s v="Administracion"/>
    <m/>
    <m/>
    <m/>
    <m/>
    <m/>
    <m/>
    <m/>
  </r>
  <r>
    <d v="2021-05-24T00:00:00"/>
    <x v="5"/>
    <x v="21"/>
    <x v="21"/>
    <n v="-20000"/>
    <n v="0"/>
    <n v="20000"/>
    <x v="44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10000"/>
    <n v="10000"/>
    <n v="0"/>
    <x v="444"/>
    <s v="Administracion"/>
    <m/>
    <m/>
    <m/>
    <m/>
    <m/>
    <m/>
    <m/>
  </r>
  <r>
    <d v="2021-05-24T00:00:00"/>
    <x v="5"/>
    <x v="19"/>
    <x v="19"/>
    <n v="-10000"/>
    <n v="0"/>
    <n v="10000"/>
    <x v="4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10000"/>
    <n v="10000"/>
    <n v="0"/>
    <x v="76"/>
    <s v="Administracion"/>
    <m/>
    <m/>
    <m/>
    <m/>
    <m/>
    <m/>
    <m/>
  </r>
  <r>
    <d v="2021-05-24T00:00:00"/>
    <x v="5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20000"/>
    <n v="20000"/>
    <n v="0"/>
    <x v="523"/>
    <s v="Administracion"/>
    <m/>
    <m/>
    <m/>
    <m/>
    <m/>
    <m/>
    <m/>
  </r>
  <r>
    <d v="2021-05-24T00:00:00"/>
    <x v="5"/>
    <x v="21"/>
    <x v="21"/>
    <n v="-20000"/>
    <n v="0"/>
    <n v="20000"/>
    <x v="52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40000"/>
    <n v="40000"/>
    <n v="0"/>
    <x v="524"/>
    <s v="Administracion"/>
    <m/>
    <m/>
    <m/>
    <m/>
    <m/>
    <m/>
    <m/>
  </r>
  <r>
    <d v="2021-05-24T00:00:00"/>
    <x v="5"/>
    <x v="21"/>
    <x v="21"/>
    <n v="-40000"/>
    <n v="0"/>
    <n v="40000"/>
    <x v="52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10000"/>
    <n v="10000"/>
    <n v="0"/>
    <x v="525"/>
    <s v="Administracion"/>
    <m/>
    <m/>
    <m/>
    <m/>
    <m/>
    <m/>
    <m/>
  </r>
  <r>
    <d v="2021-05-24T00:00:00"/>
    <x v="5"/>
    <x v="6"/>
    <x v="6"/>
    <n v="-10000"/>
    <n v="0"/>
    <n v="10000"/>
    <x v="52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20000"/>
    <n v="20000"/>
    <n v="0"/>
    <x v="526"/>
    <s v="Administracion"/>
    <m/>
    <m/>
    <m/>
    <m/>
    <m/>
    <m/>
    <m/>
  </r>
  <r>
    <d v="2021-05-24T00:00:00"/>
    <x v="5"/>
    <x v="21"/>
    <x v="21"/>
    <n v="-20000"/>
    <n v="0"/>
    <n v="20000"/>
    <x v="52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15000"/>
    <n v="15000"/>
    <n v="0"/>
    <x v="527"/>
    <s v="Administracion"/>
    <m/>
    <m/>
    <m/>
    <m/>
    <m/>
    <m/>
    <m/>
  </r>
  <r>
    <d v="2021-05-24T00:00:00"/>
    <x v="5"/>
    <x v="19"/>
    <x v="19"/>
    <n v="-15000"/>
    <n v="0"/>
    <n v="15000"/>
    <x v="5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80000"/>
    <n v="80000"/>
    <n v="0"/>
    <x v="449"/>
    <s v="Administracion"/>
    <m/>
    <m/>
    <m/>
    <m/>
    <m/>
    <m/>
    <m/>
  </r>
  <r>
    <d v="2021-05-24T00:00:00"/>
    <x v="5"/>
    <x v="19"/>
    <x v="19"/>
    <n v="-80000"/>
    <n v="0"/>
    <n v="80000"/>
    <x v="44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2000"/>
    <n v="2000"/>
    <n v="0"/>
    <x v="283"/>
    <s v="Administracion"/>
    <m/>
    <m/>
    <m/>
    <m/>
    <m/>
    <m/>
    <m/>
  </r>
  <r>
    <d v="2021-05-24T00:00:00"/>
    <x v="5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60000"/>
    <n v="60000"/>
    <n v="0"/>
    <x v="528"/>
    <s v="Administracion"/>
    <m/>
    <m/>
    <m/>
    <m/>
    <m/>
    <m/>
    <m/>
  </r>
  <r>
    <d v="2021-05-24T00:00:00"/>
    <x v="5"/>
    <x v="21"/>
    <x v="21"/>
    <n v="-60000"/>
    <n v="0"/>
    <n v="60000"/>
    <x v="52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20000"/>
    <n v="20000"/>
    <n v="0"/>
    <x v="529"/>
    <s v="Administracion"/>
    <m/>
    <m/>
    <m/>
    <m/>
    <m/>
    <m/>
    <m/>
  </r>
  <r>
    <d v="2021-05-24T00:00:00"/>
    <x v="5"/>
    <x v="21"/>
    <x v="21"/>
    <n v="-20000"/>
    <n v="0"/>
    <n v="20000"/>
    <x v="52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20000"/>
    <n v="20000"/>
    <n v="0"/>
    <x v="530"/>
    <s v="Administracion"/>
    <m/>
    <m/>
    <m/>
    <m/>
    <m/>
    <m/>
    <m/>
  </r>
  <r>
    <d v="2021-05-24T00:00:00"/>
    <x v="5"/>
    <x v="21"/>
    <x v="21"/>
    <n v="-20000"/>
    <n v="0"/>
    <n v="20000"/>
    <x v="53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4T00:00:00"/>
    <x v="5"/>
    <x v="0"/>
    <x v="0"/>
    <n v="275460"/>
    <n v="275460"/>
    <n v="0"/>
    <x v="418"/>
    <s v="Administracion"/>
    <m/>
    <m/>
    <m/>
    <m/>
    <m/>
    <m/>
    <m/>
  </r>
  <r>
    <d v="2021-05-24T00:00:00"/>
    <x v="5"/>
    <x v="19"/>
    <x v="19"/>
    <n v="-275460"/>
    <n v="0"/>
    <n v="27546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5T00:00:00"/>
    <x v="5"/>
    <x v="0"/>
    <x v="0"/>
    <n v="37500"/>
    <n v="37500"/>
    <n v="0"/>
    <x v="531"/>
    <s v="Administracion"/>
    <m/>
    <m/>
    <m/>
    <m/>
    <m/>
    <m/>
    <m/>
  </r>
  <r>
    <d v="2021-05-25T00:00:00"/>
    <x v="5"/>
    <x v="42"/>
    <x v="23"/>
    <n v="-37500"/>
    <n v="0"/>
    <n v="37500"/>
    <x v="53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5T00:00:00"/>
    <x v="5"/>
    <x v="0"/>
    <x v="0"/>
    <n v="50000"/>
    <n v="50000"/>
    <n v="0"/>
    <x v="532"/>
    <s v="Administracion"/>
    <m/>
    <m/>
    <m/>
    <m/>
    <m/>
    <m/>
    <m/>
  </r>
  <r>
    <d v="2021-05-25T00:00:00"/>
    <x v="5"/>
    <x v="42"/>
    <x v="23"/>
    <n v="-50000"/>
    <n v="0"/>
    <n v="50000"/>
    <x v="5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5T00:00:00"/>
    <x v="5"/>
    <x v="0"/>
    <x v="0"/>
    <n v="205250"/>
    <n v="205250"/>
    <n v="0"/>
    <x v="533"/>
    <s v="Administracion"/>
    <m/>
    <m/>
    <m/>
    <m/>
    <m/>
    <m/>
    <m/>
  </r>
  <r>
    <d v="2021-05-25T00:00:00"/>
    <x v="5"/>
    <x v="42"/>
    <x v="23"/>
    <n v="-205250"/>
    <n v="0"/>
    <n v="205250"/>
    <x v="53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5T00:00:00"/>
    <x v="5"/>
    <x v="0"/>
    <x v="0"/>
    <n v="20000"/>
    <n v="20000"/>
    <n v="0"/>
    <x v="266"/>
    <s v="Administracion"/>
    <m/>
    <m/>
    <m/>
    <m/>
    <m/>
    <m/>
    <m/>
  </r>
  <r>
    <d v="2021-05-25T00:00:00"/>
    <x v="5"/>
    <x v="19"/>
    <x v="19"/>
    <n v="-20000"/>
    <n v="0"/>
    <n v="20000"/>
    <x v="26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5T00:00:00"/>
    <x v="5"/>
    <x v="0"/>
    <x v="0"/>
    <n v="49105"/>
    <n v="49105"/>
    <n v="0"/>
    <x v="344"/>
    <s v="Administracion"/>
    <m/>
    <m/>
    <m/>
    <m/>
    <m/>
    <m/>
    <m/>
  </r>
  <r>
    <d v="2021-05-25T00:00:00"/>
    <x v="5"/>
    <x v="20"/>
    <x v="20"/>
    <n v="-49105"/>
    <n v="0"/>
    <n v="49105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5T00:00:00"/>
    <x v="5"/>
    <x v="0"/>
    <x v="0"/>
    <n v="21000"/>
    <n v="21000"/>
    <n v="0"/>
    <x v="418"/>
    <s v="Administracion"/>
    <m/>
    <m/>
    <m/>
    <m/>
    <m/>
    <m/>
    <m/>
  </r>
  <r>
    <d v="2021-05-25T00:00:00"/>
    <x v="5"/>
    <x v="19"/>
    <x v="19"/>
    <n v="-21000"/>
    <n v="0"/>
    <n v="21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6T00:00:00"/>
    <x v="5"/>
    <x v="0"/>
    <x v="0"/>
    <n v="20000"/>
    <n v="20000"/>
    <n v="0"/>
    <x v="534"/>
    <s v="Administracion"/>
    <m/>
    <m/>
    <m/>
    <m/>
    <m/>
    <m/>
    <m/>
  </r>
  <r>
    <d v="2021-05-26T00:00:00"/>
    <x v="5"/>
    <x v="21"/>
    <x v="21"/>
    <n v="-20000"/>
    <n v="0"/>
    <n v="20000"/>
    <x v="53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6T00:00:00"/>
    <x v="5"/>
    <x v="0"/>
    <x v="0"/>
    <n v="20000"/>
    <n v="20000"/>
    <n v="0"/>
    <x v="343"/>
    <s v="Administracion"/>
    <m/>
    <m/>
    <m/>
    <m/>
    <m/>
    <m/>
    <m/>
  </r>
  <r>
    <d v="2021-05-26T00:00:00"/>
    <x v="5"/>
    <x v="21"/>
    <x v="21"/>
    <n v="-20000"/>
    <n v="0"/>
    <n v="20000"/>
    <x v="34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6T00:00:00"/>
    <x v="5"/>
    <x v="0"/>
    <x v="0"/>
    <n v="20000"/>
    <n v="20000"/>
    <n v="0"/>
    <x v="535"/>
    <s v="Administracion"/>
    <m/>
    <m/>
    <m/>
    <m/>
    <m/>
    <m/>
    <m/>
  </r>
  <r>
    <d v="2021-05-26T00:00:00"/>
    <x v="5"/>
    <x v="21"/>
    <x v="21"/>
    <n v="-20000"/>
    <n v="0"/>
    <n v="20000"/>
    <x v="53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6T00:00:00"/>
    <x v="5"/>
    <x v="0"/>
    <x v="0"/>
    <n v="40000"/>
    <n v="40000"/>
    <n v="0"/>
    <x v="536"/>
    <s v="Administracion"/>
    <m/>
    <m/>
    <m/>
    <m/>
    <m/>
    <m/>
    <m/>
  </r>
  <r>
    <d v="2021-05-26T00:00:00"/>
    <x v="5"/>
    <x v="21"/>
    <x v="21"/>
    <n v="-40000"/>
    <n v="0"/>
    <n v="40000"/>
    <x v="53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6T00:00:00"/>
    <x v="5"/>
    <x v="0"/>
    <x v="0"/>
    <n v="117972"/>
    <n v="117972"/>
    <n v="0"/>
    <x v="537"/>
    <s v="Administracion"/>
    <m/>
    <m/>
    <m/>
    <m/>
    <m/>
    <m/>
    <m/>
  </r>
  <r>
    <d v="2021-05-26T00:00:00"/>
    <x v="5"/>
    <x v="21"/>
    <x v="21"/>
    <n v="-117972"/>
    <n v="0"/>
    <n v="117972"/>
    <x v="5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7T00:00:00"/>
    <x v="5"/>
    <x v="0"/>
    <x v="0"/>
    <n v="20000"/>
    <n v="20000"/>
    <n v="0"/>
    <x v="538"/>
    <s v="Administracion"/>
    <m/>
    <m/>
    <m/>
    <m/>
    <m/>
    <m/>
    <m/>
  </r>
  <r>
    <d v="2021-05-27T00:00:00"/>
    <x v="5"/>
    <x v="21"/>
    <x v="21"/>
    <n v="-20000"/>
    <n v="0"/>
    <n v="20000"/>
    <x v="53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7T00:00:00"/>
    <x v="5"/>
    <x v="0"/>
    <x v="0"/>
    <n v="20000"/>
    <n v="20000"/>
    <n v="0"/>
    <x v="539"/>
    <s v="Administracion"/>
    <m/>
    <m/>
    <m/>
    <m/>
    <m/>
    <m/>
    <m/>
  </r>
  <r>
    <d v="2021-05-27T00:00:00"/>
    <x v="5"/>
    <x v="21"/>
    <x v="21"/>
    <n v="-20000"/>
    <n v="0"/>
    <n v="20000"/>
    <x v="53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7T00:00:00"/>
    <x v="5"/>
    <x v="0"/>
    <x v="0"/>
    <n v="4902"/>
    <n v="4902"/>
    <n v="0"/>
    <x v="344"/>
    <s v="Administracion"/>
    <m/>
    <m/>
    <m/>
    <m/>
    <m/>
    <m/>
    <m/>
  </r>
  <r>
    <d v="2021-05-27T00:00:00"/>
    <x v="5"/>
    <x v="20"/>
    <x v="20"/>
    <n v="-4902"/>
    <n v="0"/>
    <n v="4902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8T00:00:00"/>
    <x v="5"/>
    <x v="34"/>
    <x v="34"/>
    <n v="478358"/>
    <n v="478358"/>
    <n v="0"/>
    <x v="540"/>
    <s v="Administracion"/>
    <m/>
    <m/>
    <m/>
    <m/>
    <m/>
    <m/>
    <m/>
  </r>
  <r>
    <d v="2021-05-28T00:00:00"/>
    <x v="5"/>
    <x v="0"/>
    <x v="0"/>
    <n v="-478358"/>
    <n v="0"/>
    <n v="478358"/>
    <x v="54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8T00:00:00"/>
    <x v="5"/>
    <x v="35"/>
    <x v="21"/>
    <n v="2280000"/>
    <n v="2280000"/>
    <n v="0"/>
    <x v="541"/>
    <s v="Administracion"/>
    <m/>
    <m/>
    <m/>
    <m/>
    <m/>
    <m/>
    <m/>
  </r>
  <r>
    <d v="2021-05-28T00:00:00"/>
    <x v="5"/>
    <x v="0"/>
    <x v="0"/>
    <n v="-2280000"/>
    <n v="0"/>
    <n v="2280000"/>
    <x v="5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8T00:00:00"/>
    <x v="5"/>
    <x v="44"/>
    <x v="42"/>
    <n v="292750"/>
    <n v="292750"/>
    <n v="0"/>
    <x v="542"/>
    <s v="Administracion"/>
    <m/>
    <m/>
    <m/>
    <m/>
    <m/>
    <m/>
    <m/>
  </r>
  <r>
    <d v="2021-05-28T00:00:00"/>
    <x v="5"/>
    <x v="9"/>
    <x v="9"/>
    <n v="-33666"/>
    <n v="0"/>
    <n v="33666"/>
    <x v="542"/>
    <s v="Administracion"/>
    <m/>
    <m/>
    <m/>
    <m/>
    <m/>
    <m/>
    <m/>
  </r>
  <r>
    <d v="2021-05-28T00:00:00"/>
    <x v="5"/>
    <x v="0"/>
    <x v="0"/>
    <n v="-259084"/>
    <n v="0"/>
    <n v="259084"/>
    <x v="54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8T00:00:00"/>
    <x v="5"/>
    <x v="33"/>
    <x v="33"/>
    <n v="40000"/>
    <n v="40000"/>
    <n v="0"/>
    <x v="543"/>
    <s v="Administracion"/>
    <m/>
    <m/>
    <m/>
    <m/>
    <m/>
    <m/>
    <m/>
  </r>
  <r>
    <d v="2021-05-28T00:00:00"/>
    <x v="5"/>
    <x v="9"/>
    <x v="9"/>
    <n v="-4600"/>
    <n v="0"/>
    <n v="4600"/>
    <x v="543"/>
    <s v="Administracion"/>
    <m/>
    <m/>
    <m/>
    <m/>
    <m/>
    <m/>
    <m/>
  </r>
  <r>
    <d v="2021-05-28T00:00:00"/>
    <x v="5"/>
    <x v="0"/>
    <x v="0"/>
    <n v="-35400"/>
    <n v="0"/>
    <n v="35400"/>
    <x v="54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8T00:00:00"/>
    <x v="5"/>
    <x v="32"/>
    <x v="32"/>
    <n v="33898"/>
    <n v="33898"/>
    <n v="0"/>
    <x v="544"/>
    <s v="Administracion"/>
    <m/>
    <m/>
    <m/>
    <m/>
    <m/>
    <m/>
    <m/>
  </r>
  <r>
    <d v="2021-05-28T00:00:00"/>
    <x v="5"/>
    <x v="9"/>
    <x v="9"/>
    <n v="-3898"/>
    <n v="0"/>
    <n v="3898"/>
    <x v="544"/>
    <s v="Administracion"/>
    <m/>
    <m/>
    <m/>
    <m/>
    <m/>
    <m/>
    <m/>
  </r>
  <r>
    <d v="2021-05-28T00:00:00"/>
    <x v="5"/>
    <x v="0"/>
    <x v="0"/>
    <n v="-30000"/>
    <n v="0"/>
    <n v="30000"/>
    <x v="5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8T00:00:00"/>
    <x v="5"/>
    <x v="36"/>
    <x v="35"/>
    <n v="2990232"/>
    <n v="2990232"/>
    <n v="0"/>
    <x v="72"/>
    <s v="Administración"/>
    <m/>
    <m/>
    <m/>
    <m/>
    <m/>
    <m/>
    <m/>
  </r>
  <r>
    <d v="2021-05-28T00:00:00"/>
    <x v="5"/>
    <x v="37"/>
    <x v="36"/>
    <n v="907706"/>
    <n v="907706"/>
    <n v="0"/>
    <x v="72"/>
    <s v="Administración"/>
    <m/>
    <m/>
    <m/>
    <m/>
    <m/>
    <m/>
    <m/>
  </r>
  <r>
    <d v="2021-05-28T00:00:00"/>
    <x v="5"/>
    <x v="36"/>
    <x v="35"/>
    <n v="47252"/>
    <n v="47252"/>
    <n v="0"/>
    <x v="72"/>
    <s v="Administración"/>
    <m/>
    <m/>
    <m/>
    <m/>
    <m/>
    <m/>
    <m/>
  </r>
  <r>
    <d v="2021-05-28T00:00:00"/>
    <x v="5"/>
    <x v="11"/>
    <x v="11"/>
    <n v="-3339465"/>
    <n v="0"/>
    <n v="3339465"/>
    <x v="72"/>
    <s v="Administración"/>
    <m/>
    <m/>
    <m/>
    <m/>
    <m/>
    <m/>
    <m/>
  </r>
  <r>
    <d v="2021-05-28T00:00:00"/>
    <x v="5"/>
    <x v="10"/>
    <x v="10"/>
    <n v="-417011"/>
    <n v="0"/>
    <n v="417011"/>
    <x v="72"/>
    <s v="Administración"/>
    <m/>
    <m/>
    <m/>
    <m/>
    <m/>
    <m/>
    <m/>
  </r>
  <r>
    <d v="2021-05-28T00:00:00"/>
    <x v="5"/>
    <x v="10"/>
    <x v="10"/>
    <n v="-172706"/>
    <n v="0"/>
    <n v="172706"/>
    <x v="72"/>
    <s v="Administración"/>
    <m/>
    <m/>
    <m/>
    <m/>
    <m/>
    <m/>
    <m/>
  </r>
  <r>
    <d v="2021-05-28T00:00:00"/>
    <x v="5"/>
    <x v="9"/>
    <x v="9"/>
    <n v="-16008"/>
    <n v="0"/>
    <n v="16008"/>
    <x v="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8T00:00:00"/>
    <x v="5"/>
    <x v="11"/>
    <x v="11"/>
    <n v="3339465"/>
    <n v="3339465"/>
    <n v="0"/>
    <x v="545"/>
    <s v="Administracion"/>
    <m/>
    <m/>
    <m/>
    <m/>
    <m/>
    <m/>
    <m/>
  </r>
  <r>
    <d v="2021-05-28T00:00:00"/>
    <x v="5"/>
    <x v="0"/>
    <x v="0"/>
    <n v="-735000"/>
    <n v="0"/>
    <n v="735000"/>
    <x v="546"/>
    <s v="Administracion"/>
    <m/>
    <m/>
    <m/>
    <m/>
    <m/>
    <m/>
    <m/>
  </r>
  <r>
    <d v="2021-05-28T00:00:00"/>
    <x v="5"/>
    <x v="0"/>
    <x v="0"/>
    <n v="-780404"/>
    <n v="0"/>
    <n v="780404"/>
    <x v="547"/>
    <s v="Administracion"/>
    <m/>
    <m/>
    <m/>
    <m/>
    <m/>
    <m/>
    <m/>
  </r>
  <r>
    <d v="2021-05-28T00:00:00"/>
    <x v="5"/>
    <x v="0"/>
    <x v="0"/>
    <n v="-515732"/>
    <n v="0"/>
    <n v="515732"/>
    <x v="548"/>
    <s v="Administracion"/>
    <m/>
    <m/>
    <m/>
    <m/>
    <m/>
    <m/>
    <m/>
  </r>
  <r>
    <d v="2021-05-28T00:00:00"/>
    <x v="5"/>
    <x v="0"/>
    <x v="0"/>
    <n v="-190402"/>
    <n v="0"/>
    <n v="190402"/>
    <x v="549"/>
    <s v="Administracion"/>
    <m/>
    <m/>
    <m/>
    <m/>
    <m/>
    <m/>
    <m/>
  </r>
  <r>
    <d v="2021-05-28T00:00:00"/>
    <x v="5"/>
    <x v="0"/>
    <x v="0"/>
    <n v="-1117927"/>
    <n v="0"/>
    <n v="1117927"/>
    <x v="55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8T00:00:00"/>
    <x v="5"/>
    <x v="0"/>
    <x v="0"/>
    <n v="30000"/>
    <n v="30000"/>
    <n v="0"/>
    <x v="360"/>
    <s v="Administracion"/>
    <m/>
    <m/>
    <m/>
    <m/>
    <m/>
    <m/>
    <m/>
  </r>
  <r>
    <d v="2021-05-28T00:00:00"/>
    <x v="5"/>
    <x v="6"/>
    <x v="6"/>
    <n v="-30000"/>
    <n v="0"/>
    <n v="30000"/>
    <x v="36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28T00:00:00"/>
    <x v="5"/>
    <x v="0"/>
    <x v="0"/>
    <n v="50000"/>
    <n v="50000"/>
    <n v="0"/>
    <x v="551"/>
    <s v="Administracion"/>
    <m/>
    <m/>
    <m/>
    <m/>
    <m/>
    <m/>
    <m/>
  </r>
  <r>
    <d v="2021-05-28T00:00:00"/>
    <x v="5"/>
    <x v="21"/>
    <x v="21"/>
    <n v="-50000"/>
    <n v="0"/>
    <n v="50000"/>
    <x v="55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50000"/>
    <n v="50000"/>
    <n v="0"/>
    <x v="163"/>
    <s v="Administracion"/>
    <m/>
    <m/>
    <m/>
    <m/>
    <m/>
    <m/>
    <m/>
  </r>
  <r>
    <d v="2021-05-31T00:00:00"/>
    <x v="5"/>
    <x v="19"/>
    <x v="19"/>
    <n v="-50000"/>
    <n v="0"/>
    <n v="50000"/>
    <x v="16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250000"/>
    <n v="250000"/>
    <n v="0"/>
    <x v="552"/>
    <s v="Administracion"/>
    <m/>
    <m/>
    <m/>
    <m/>
    <m/>
    <m/>
    <m/>
  </r>
  <r>
    <d v="2021-05-31T00:00:00"/>
    <x v="5"/>
    <x v="6"/>
    <x v="6"/>
    <n v="-250000"/>
    <n v="0"/>
    <n v="250000"/>
    <x v="55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10000"/>
    <n v="10000"/>
    <n v="0"/>
    <x v="76"/>
    <s v="Administracion"/>
    <m/>
    <m/>
    <m/>
    <m/>
    <m/>
    <m/>
    <m/>
  </r>
  <r>
    <d v="2021-05-31T00:00:00"/>
    <x v="5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10000"/>
    <n v="10000"/>
    <n v="0"/>
    <x v="78"/>
    <s v="Administracion"/>
    <m/>
    <m/>
    <m/>
    <m/>
    <m/>
    <m/>
    <m/>
  </r>
  <r>
    <d v="2021-05-31T00:00:00"/>
    <x v="5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40000"/>
    <n v="40000"/>
    <n v="0"/>
    <x v="417"/>
    <s v="Administracion"/>
    <m/>
    <m/>
    <m/>
    <m/>
    <m/>
    <m/>
    <m/>
  </r>
  <r>
    <d v="2021-05-31T00:00:00"/>
    <x v="5"/>
    <x v="6"/>
    <x v="6"/>
    <n v="-40000"/>
    <n v="0"/>
    <n v="40000"/>
    <x v="4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5000"/>
    <n v="5000"/>
    <n v="0"/>
    <x v="404"/>
    <s v="Administracion"/>
    <m/>
    <m/>
    <m/>
    <m/>
    <m/>
    <m/>
    <m/>
  </r>
  <r>
    <d v="2021-05-31T00:00:00"/>
    <x v="5"/>
    <x v="19"/>
    <x v="19"/>
    <n v="-5000"/>
    <n v="0"/>
    <n v="5000"/>
    <x v="40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60000"/>
    <n v="60000"/>
    <n v="0"/>
    <x v="553"/>
    <s v="Administracion"/>
    <m/>
    <m/>
    <m/>
    <m/>
    <m/>
    <m/>
    <m/>
  </r>
  <r>
    <d v="2021-05-31T00:00:00"/>
    <x v="5"/>
    <x v="21"/>
    <x v="21"/>
    <n v="-60000"/>
    <n v="0"/>
    <n v="60000"/>
    <x v="55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15000"/>
    <n v="15000"/>
    <n v="0"/>
    <x v="185"/>
    <s v="Administracion"/>
    <m/>
    <m/>
    <m/>
    <m/>
    <m/>
    <m/>
    <m/>
  </r>
  <r>
    <d v="2021-05-31T00:00:00"/>
    <x v="5"/>
    <x v="19"/>
    <x v="19"/>
    <n v="-15000"/>
    <n v="0"/>
    <n v="15000"/>
    <x v="1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40000"/>
    <n v="40000"/>
    <n v="0"/>
    <x v="73"/>
    <s v="Administracion"/>
    <m/>
    <m/>
    <m/>
    <m/>
    <m/>
    <m/>
    <m/>
  </r>
  <r>
    <d v="2021-05-31T00:00:00"/>
    <x v="5"/>
    <x v="19"/>
    <x v="19"/>
    <n v="-40000"/>
    <n v="0"/>
    <n v="40000"/>
    <x v="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50000"/>
    <n v="50000"/>
    <n v="0"/>
    <x v="449"/>
    <s v="Administracion"/>
    <m/>
    <m/>
    <m/>
    <m/>
    <m/>
    <m/>
    <m/>
  </r>
  <r>
    <d v="2021-05-31T00:00:00"/>
    <x v="5"/>
    <x v="19"/>
    <x v="19"/>
    <n v="-50000"/>
    <n v="0"/>
    <n v="50000"/>
    <x v="44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2000"/>
    <n v="2000"/>
    <n v="0"/>
    <x v="283"/>
    <s v="Administracion"/>
    <m/>
    <m/>
    <m/>
    <m/>
    <m/>
    <m/>
    <m/>
  </r>
  <r>
    <d v="2021-05-31T00:00:00"/>
    <x v="5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20000"/>
    <n v="20000"/>
    <n v="0"/>
    <x v="162"/>
    <s v="Administracion"/>
    <m/>
    <m/>
    <m/>
    <m/>
    <m/>
    <m/>
    <m/>
  </r>
  <r>
    <d v="2021-05-31T00:00:00"/>
    <x v="5"/>
    <x v="19"/>
    <x v="19"/>
    <n v="-20000"/>
    <n v="0"/>
    <n v="20000"/>
    <x v="1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12748"/>
    <n v="12748"/>
    <n v="0"/>
    <x v="344"/>
    <s v="Administracion"/>
    <m/>
    <m/>
    <m/>
    <m/>
    <m/>
    <m/>
    <m/>
  </r>
  <r>
    <d v="2021-05-31T00:00:00"/>
    <x v="5"/>
    <x v="20"/>
    <x v="20"/>
    <n v="-12748"/>
    <n v="0"/>
    <n v="12748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20000"/>
    <n v="20000"/>
    <n v="0"/>
    <x v="554"/>
    <s v="Administracion"/>
    <m/>
    <m/>
    <m/>
    <m/>
    <m/>
    <m/>
    <m/>
  </r>
  <r>
    <d v="2021-05-31T00:00:00"/>
    <x v="5"/>
    <x v="6"/>
    <x v="6"/>
    <n v="-20000"/>
    <n v="0"/>
    <n v="20000"/>
    <x v="55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20000"/>
    <n v="20000"/>
    <n v="0"/>
    <x v="161"/>
    <s v="Administracion"/>
    <m/>
    <m/>
    <m/>
    <m/>
    <m/>
    <m/>
    <m/>
  </r>
  <r>
    <d v="2021-05-31T00:00:00"/>
    <x v="5"/>
    <x v="19"/>
    <x v="19"/>
    <n v="-20000"/>
    <n v="0"/>
    <n v="20000"/>
    <x v="16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40000"/>
    <n v="40000"/>
    <n v="0"/>
    <x v="555"/>
    <s v="Administracion"/>
    <m/>
    <m/>
    <m/>
    <m/>
    <m/>
    <m/>
    <m/>
  </r>
  <r>
    <d v="2021-05-31T00:00:00"/>
    <x v="5"/>
    <x v="21"/>
    <x v="21"/>
    <n v="-40000"/>
    <n v="0"/>
    <n v="40000"/>
    <x v="55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40000"/>
    <n v="40000"/>
    <n v="0"/>
    <x v="296"/>
    <s v="Administracion"/>
    <m/>
    <m/>
    <m/>
    <m/>
    <m/>
    <m/>
    <m/>
  </r>
  <r>
    <d v="2021-05-31T00:00:00"/>
    <x v="5"/>
    <x v="19"/>
    <x v="19"/>
    <n v="-40000"/>
    <n v="0"/>
    <n v="40000"/>
    <x v="2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100000"/>
    <n v="100000"/>
    <n v="0"/>
    <x v="91"/>
    <s v="Administracion"/>
    <m/>
    <m/>
    <m/>
    <m/>
    <m/>
    <m/>
    <m/>
  </r>
  <r>
    <d v="2021-05-31T00:00:00"/>
    <x v="5"/>
    <x v="21"/>
    <x v="21"/>
    <n v="-100000"/>
    <n v="0"/>
    <n v="100000"/>
    <x v="9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3000"/>
    <n v="3000"/>
    <n v="0"/>
    <x v="556"/>
    <s v="Administracion"/>
    <m/>
    <m/>
    <m/>
    <m/>
    <m/>
    <m/>
    <m/>
  </r>
  <r>
    <d v="2021-05-31T00:00:00"/>
    <x v="5"/>
    <x v="24"/>
    <x v="24"/>
    <n v="-3000"/>
    <n v="0"/>
    <n v="3000"/>
    <x v="55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0"/>
    <x v="0"/>
    <n v="383000"/>
    <n v="383000"/>
    <n v="0"/>
    <x v="418"/>
    <s v="Administracion"/>
    <m/>
    <m/>
    <m/>
    <m/>
    <m/>
    <m/>
    <m/>
  </r>
  <r>
    <d v="2021-05-31T00:00:00"/>
    <x v="5"/>
    <x v="19"/>
    <x v="19"/>
    <n v="-383000"/>
    <n v="0"/>
    <n v="383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16"/>
    <x v="16"/>
    <n v="12000"/>
    <n v="12000"/>
    <n v="0"/>
    <x v="164"/>
    <s v="Administracion"/>
    <m/>
    <m/>
    <m/>
    <m/>
    <m/>
    <m/>
    <m/>
  </r>
  <r>
    <d v="2021-05-31T00:00:00"/>
    <x v="5"/>
    <x v="16"/>
    <x v="16"/>
    <n v="20000"/>
    <n v="20000"/>
    <n v="0"/>
    <x v="304"/>
    <s v="Administracion"/>
    <m/>
    <m/>
    <m/>
    <m/>
    <m/>
    <m/>
    <m/>
  </r>
  <r>
    <d v="2021-05-31T00:00:00"/>
    <x v="5"/>
    <x v="16"/>
    <x v="16"/>
    <n v="44000"/>
    <n v="44000"/>
    <n v="0"/>
    <x v="167"/>
    <s v="Administracion"/>
    <m/>
    <m/>
    <m/>
    <m/>
    <m/>
    <m/>
    <m/>
  </r>
  <r>
    <d v="2021-05-31T00:00:00"/>
    <x v="5"/>
    <x v="16"/>
    <x v="16"/>
    <n v="7500"/>
    <n v="7500"/>
    <n v="0"/>
    <x v="168"/>
    <s v="Administracion"/>
    <m/>
    <m/>
    <m/>
    <m/>
    <m/>
    <m/>
    <m/>
  </r>
  <r>
    <d v="2021-05-31T00:00:00"/>
    <x v="5"/>
    <x v="16"/>
    <x v="16"/>
    <n v="100000"/>
    <n v="100000"/>
    <n v="0"/>
    <x v="429"/>
    <s v="Administracion"/>
    <m/>
    <m/>
    <m/>
    <m/>
    <m/>
    <m/>
    <m/>
  </r>
  <r>
    <d v="2021-05-31T00:00:00"/>
    <x v="5"/>
    <x v="16"/>
    <x v="16"/>
    <n v="21"/>
    <n v="21"/>
    <n v="0"/>
    <x v="284"/>
    <s v="Administracion"/>
    <m/>
    <m/>
    <m/>
    <m/>
    <m/>
    <m/>
    <m/>
  </r>
  <r>
    <d v="2021-05-31T00:00:00"/>
    <x v="5"/>
    <x v="16"/>
    <x v="16"/>
    <n v="10000"/>
    <n v="10000"/>
    <n v="0"/>
    <x v="557"/>
    <s v="Administracion"/>
    <m/>
    <m/>
    <m/>
    <m/>
    <m/>
    <m/>
    <m/>
  </r>
  <r>
    <d v="2021-05-31T00:00:00"/>
    <x v="5"/>
    <x v="16"/>
    <x v="16"/>
    <n v="15000"/>
    <n v="15000"/>
    <n v="0"/>
    <x v="558"/>
    <s v="Administracion"/>
    <m/>
    <m/>
    <m/>
    <m/>
    <m/>
    <m/>
    <m/>
  </r>
  <r>
    <d v="2021-05-31T00:00:00"/>
    <x v="5"/>
    <x v="16"/>
    <x v="16"/>
    <n v="1"/>
    <n v="1"/>
    <n v="0"/>
    <x v="559"/>
    <s v="Administracion"/>
    <m/>
    <m/>
    <m/>
    <m/>
    <m/>
    <m/>
    <m/>
  </r>
  <r>
    <d v="2021-05-31T00:00:00"/>
    <x v="5"/>
    <x v="16"/>
    <x v="16"/>
    <n v="5000"/>
    <n v="5000"/>
    <n v="0"/>
    <x v="560"/>
    <s v="Administracion"/>
    <m/>
    <m/>
    <m/>
    <m/>
    <m/>
    <m/>
    <m/>
  </r>
  <r>
    <d v="2021-05-31T00:00:00"/>
    <x v="5"/>
    <x v="19"/>
    <x v="19"/>
    <n v="-12000"/>
    <m/>
    <n v="12000"/>
    <x v="164"/>
    <s v="Administracion"/>
    <m/>
    <m/>
    <m/>
    <m/>
    <m/>
    <m/>
    <m/>
  </r>
  <r>
    <d v="2021-05-31T00:00:00"/>
    <x v="5"/>
    <x v="19"/>
    <x v="19"/>
    <n v="-20000"/>
    <m/>
    <n v="20000"/>
    <x v="304"/>
    <s v="Administracion"/>
    <m/>
    <m/>
    <m/>
    <m/>
    <m/>
    <m/>
    <m/>
  </r>
  <r>
    <d v="2021-05-31T00:00:00"/>
    <x v="5"/>
    <x v="19"/>
    <x v="19"/>
    <n v="-44000"/>
    <m/>
    <n v="44000"/>
    <x v="167"/>
    <s v="Administracion"/>
    <m/>
    <m/>
    <m/>
    <m/>
    <m/>
    <m/>
    <m/>
  </r>
  <r>
    <d v="2021-05-31T00:00:00"/>
    <x v="5"/>
    <x v="19"/>
    <x v="19"/>
    <n v="-7500"/>
    <m/>
    <n v="7500"/>
    <x v="168"/>
    <s v="Administracion"/>
    <m/>
    <m/>
    <m/>
    <m/>
    <m/>
    <m/>
    <m/>
  </r>
  <r>
    <d v="2021-05-31T00:00:00"/>
    <x v="5"/>
    <x v="19"/>
    <x v="19"/>
    <n v="-100000"/>
    <m/>
    <n v="100000"/>
    <x v="429"/>
    <s v="Administracion"/>
    <m/>
    <m/>
    <m/>
    <m/>
    <m/>
    <m/>
    <m/>
  </r>
  <r>
    <d v="2021-05-31T00:00:00"/>
    <x v="5"/>
    <x v="19"/>
    <x v="19"/>
    <n v="-21"/>
    <m/>
    <n v="21"/>
    <x v="284"/>
    <s v="Administracion"/>
    <m/>
    <m/>
    <m/>
    <m/>
    <m/>
    <m/>
    <m/>
  </r>
  <r>
    <d v="2021-05-31T00:00:00"/>
    <x v="5"/>
    <x v="19"/>
    <x v="19"/>
    <n v="-10000"/>
    <m/>
    <n v="10000"/>
    <x v="557"/>
    <s v="Administracion"/>
    <m/>
    <m/>
    <m/>
    <m/>
    <m/>
    <m/>
    <m/>
  </r>
  <r>
    <d v="2021-05-31T00:00:00"/>
    <x v="5"/>
    <x v="19"/>
    <x v="19"/>
    <n v="-15000"/>
    <m/>
    <n v="15000"/>
    <x v="558"/>
    <s v="Administracion"/>
    <m/>
    <m/>
    <m/>
    <m/>
    <m/>
    <m/>
    <m/>
  </r>
  <r>
    <d v="2021-05-31T00:00:00"/>
    <x v="5"/>
    <x v="19"/>
    <x v="19"/>
    <n v="-1"/>
    <m/>
    <n v="1"/>
    <x v="559"/>
    <s v="Administracion"/>
    <m/>
    <m/>
    <m/>
    <m/>
    <m/>
    <m/>
    <m/>
  </r>
  <r>
    <d v="2021-05-31T00:00:00"/>
    <x v="5"/>
    <x v="19"/>
    <x v="19"/>
    <n v="-5000"/>
    <m/>
    <n v="5000"/>
    <x v="560"/>
    <s v="Administracion"/>
    <m/>
    <m/>
    <m/>
    <m/>
    <m/>
    <m/>
    <m/>
  </r>
  <r>
    <d v="2021-05-31T00:00:00"/>
    <x v="5"/>
    <x v="16"/>
    <x v="16"/>
    <n v="20000"/>
    <n v="20000"/>
    <n v="0"/>
    <x v="430"/>
    <s v="Administracion"/>
    <m/>
    <m/>
    <m/>
    <m/>
    <m/>
    <m/>
    <m/>
  </r>
  <r>
    <d v="2021-05-31T00:00:00"/>
    <x v="5"/>
    <x v="19"/>
    <x v="19"/>
    <n v="-20000"/>
    <m/>
    <n v="20000"/>
    <x v="43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5-31T00:00:00"/>
    <x v="5"/>
    <x v="17"/>
    <x v="17"/>
    <n v="20000"/>
    <n v="20000"/>
    <n v="0"/>
    <x v="561"/>
    <s v="Administracion"/>
    <m/>
    <m/>
    <m/>
    <m/>
    <m/>
    <m/>
    <m/>
  </r>
  <r>
    <d v="2021-05-31T00:00:00"/>
    <x v="5"/>
    <x v="17"/>
    <x v="17"/>
    <n v="50000"/>
    <n v="50000"/>
    <n v="0"/>
    <x v="562"/>
    <s v="Administracion"/>
    <m/>
    <m/>
    <m/>
    <m/>
    <m/>
    <m/>
    <m/>
  </r>
  <r>
    <d v="2021-05-31T00:00:00"/>
    <x v="5"/>
    <x v="21"/>
    <x v="21"/>
    <n v="-20000"/>
    <m/>
    <n v="20000"/>
    <x v="561"/>
    <s v="Administracion"/>
    <m/>
    <m/>
    <m/>
    <m/>
    <m/>
    <m/>
    <m/>
  </r>
  <r>
    <d v="2021-05-31T00:00:00"/>
    <x v="5"/>
    <x v="21"/>
    <x v="21"/>
    <n v="-50000"/>
    <m/>
    <n v="50000"/>
    <x v="5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100000"/>
    <n v="100000"/>
    <n v="0"/>
    <x v="317"/>
    <s v="Administracion"/>
    <m/>
    <m/>
    <m/>
    <m/>
    <m/>
    <m/>
    <m/>
  </r>
  <r>
    <d v="2021-06-01T00:00:00"/>
    <x v="6"/>
    <x v="19"/>
    <x v="19"/>
    <n v="-100000"/>
    <n v="0"/>
    <n v="100000"/>
    <x v="3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40000"/>
    <n v="40000"/>
    <n v="0"/>
    <x v="563"/>
    <s v="Administracion"/>
    <m/>
    <m/>
    <m/>
    <m/>
    <m/>
    <m/>
    <m/>
  </r>
  <r>
    <d v="2021-06-01T00:00:00"/>
    <x v="6"/>
    <x v="19"/>
    <x v="19"/>
    <n v="-40000"/>
    <n v="0"/>
    <n v="40000"/>
    <x v="56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25000"/>
    <n v="25000"/>
    <n v="0"/>
    <x v="563"/>
    <s v="Administracion"/>
    <m/>
    <m/>
    <m/>
    <m/>
    <m/>
    <m/>
    <m/>
  </r>
  <r>
    <d v="2021-06-01T00:00:00"/>
    <x v="6"/>
    <x v="19"/>
    <x v="19"/>
    <n v="-25000"/>
    <n v="0"/>
    <n v="25000"/>
    <x v="56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25000"/>
    <n v="25000"/>
    <n v="0"/>
    <x v="564"/>
    <s v="Administracion"/>
    <m/>
    <m/>
    <m/>
    <m/>
    <m/>
    <m/>
    <m/>
  </r>
  <r>
    <d v="2021-06-01T00:00:00"/>
    <x v="6"/>
    <x v="42"/>
    <x v="23"/>
    <n v="-25000"/>
    <n v="0"/>
    <n v="25000"/>
    <x v="56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40000"/>
    <n v="40000"/>
    <n v="0"/>
    <x v="565"/>
    <s v="Administracion"/>
    <m/>
    <m/>
    <m/>
    <m/>
    <m/>
    <m/>
    <m/>
  </r>
  <r>
    <d v="2021-06-01T00:00:00"/>
    <x v="6"/>
    <x v="21"/>
    <x v="21"/>
    <n v="-40000"/>
    <n v="0"/>
    <n v="40000"/>
    <x v="56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100000"/>
    <n v="100000"/>
    <n v="0"/>
    <x v="84"/>
    <s v="Administracion"/>
    <m/>
    <m/>
    <m/>
    <m/>
    <m/>
    <m/>
    <m/>
  </r>
  <r>
    <d v="2021-06-01T00:00:00"/>
    <x v="6"/>
    <x v="19"/>
    <x v="19"/>
    <n v="-100000"/>
    <n v="0"/>
    <n v="100000"/>
    <x v="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12000"/>
    <n v="12000"/>
    <n v="0"/>
    <x v="231"/>
    <s v="Administracion"/>
    <m/>
    <m/>
    <m/>
    <m/>
    <m/>
    <m/>
    <m/>
  </r>
  <r>
    <d v="2021-06-01T00:00:00"/>
    <x v="6"/>
    <x v="19"/>
    <x v="19"/>
    <n v="-12000"/>
    <n v="0"/>
    <n v="12000"/>
    <x v="23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9806"/>
    <n v="9806"/>
    <n v="0"/>
    <x v="344"/>
    <s v="Administracion"/>
    <m/>
    <m/>
    <m/>
    <m/>
    <m/>
    <m/>
    <m/>
  </r>
  <r>
    <d v="2021-06-01T00:00:00"/>
    <x v="6"/>
    <x v="20"/>
    <x v="20"/>
    <n v="-9806"/>
    <n v="0"/>
    <n v="9806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15000"/>
    <n v="15000"/>
    <n v="0"/>
    <x v="85"/>
    <s v="Administracion"/>
    <m/>
    <m/>
    <m/>
    <m/>
    <m/>
    <m/>
    <m/>
  </r>
  <r>
    <d v="2021-06-01T00:00:00"/>
    <x v="6"/>
    <x v="19"/>
    <x v="19"/>
    <n v="-15000"/>
    <n v="0"/>
    <n v="15000"/>
    <x v="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10000"/>
    <n v="10000"/>
    <n v="0"/>
    <x v="566"/>
    <s v="Administracion"/>
    <m/>
    <m/>
    <m/>
    <m/>
    <m/>
    <m/>
    <m/>
  </r>
  <r>
    <d v="2021-06-01T00:00:00"/>
    <x v="6"/>
    <x v="20"/>
    <x v="20"/>
    <n v="-10000"/>
    <n v="0"/>
    <n v="10000"/>
    <x v="56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30000"/>
    <n v="30000"/>
    <n v="0"/>
    <x v="567"/>
    <s v="Administracion"/>
    <m/>
    <m/>
    <m/>
    <m/>
    <m/>
    <m/>
    <m/>
  </r>
  <r>
    <d v="2021-06-01T00:00:00"/>
    <x v="6"/>
    <x v="6"/>
    <x v="6"/>
    <n v="-30000"/>
    <n v="0"/>
    <n v="30000"/>
    <x v="5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5000"/>
    <n v="5000"/>
    <n v="0"/>
    <x v="568"/>
    <s v="Administracion"/>
    <m/>
    <m/>
    <m/>
    <m/>
    <m/>
    <m/>
    <m/>
  </r>
  <r>
    <d v="2021-06-01T00:00:00"/>
    <x v="6"/>
    <x v="19"/>
    <x v="19"/>
    <n v="-5000"/>
    <n v="0"/>
    <n v="5000"/>
    <x v="56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12000"/>
    <n v="12000"/>
    <n v="0"/>
    <x v="569"/>
    <s v="Administracion"/>
    <m/>
    <m/>
    <m/>
    <m/>
    <m/>
    <m/>
    <m/>
  </r>
  <r>
    <d v="2021-06-01T00:00:00"/>
    <x v="6"/>
    <x v="21"/>
    <x v="21"/>
    <n v="-12000"/>
    <n v="0"/>
    <n v="12000"/>
    <x v="56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15000"/>
    <n v="15000"/>
    <n v="0"/>
    <x v="570"/>
    <s v="Administracion"/>
    <m/>
    <m/>
    <m/>
    <m/>
    <m/>
    <m/>
    <m/>
  </r>
  <r>
    <d v="2021-06-01T00:00:00"/>
    <x v="6"/>
    <x v="6"/>
    <x v="6"/>
    <n v="-15000"/>
    <n v="0"/>
    <n v="15000"/>
    <x v="57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100000"/>
    <n v="100000"/>
    <n v="0"/>
    <x v="571"/>
    <s v="Administracion"/>
    <m/>
    <m/>
    <m/>
    <m/>
    <m/>
    <m/>
    <m/>
  </r>
  <r>
    <d v="2021-06-01T00:00:00"/>
    <x v="6"/>
    <x v="21"/>
    <x v="21"/>
    <n v="-100000"/>
    <n v="0"/>
    <n v="100000"/>
    <x v="57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60000"/>
    <n v="60000"/>
    <n v="0"/>
    <x v="284"/>
    <s v="Administracion"/>
    <m/>
    <m/>
    <m/>
    <m/>
    <m/>
    <m/>
    <m/>
  </r>
  <r>
    <d v="2021-06-01T00:00:00"/>
    <x v="6"/>
    <x v="19"/>
    <x v="19"/>
    <n v="-60000"/>
    <n v="0"/>
    <n v="60000"/>
    <x v="2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1T00:00:00"/>
    <x v="6"/>
    <x v="0"/>
    <x v="0"/>
    <n v="12312"/>
    <n v="12312"/>
    <n v="0"/>
    <x v="572"/>
    <s v="Administracion"/>
    <m/>
    <m/>
    <m/>
    <m/>
    <m/>
    <m/>
    <m/>
  </r>
  <r>
    <d v="2021-06-01T00:00:00"/>
    <x v="6"/>
    <x v="45"/>
    <x v="43"/>
    <n v="-12312"/>
    <n v="0"/>
    <n v="12312"/>
    <x v="5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2T00:00:00"/>
    <x v="6"/>
    <x v="0"/>
    <x v="0"/>
    <n v="20000"/>
    <n v="20000"/>
    <n v="0"/>
    <x v="246"/>
    <s v="Administracion"/>
    <m/>
    <m/>
    <m/>
    <m/>
    <m/>
    <m/>
    <m/>
  </r>
  <r>
    <d v="2021-06-02T00:00:00"/>
    <x v="6"/>
    <x v="19"/>
    <x v="19"/>
    <n v="-20000"/>
    <n v="0"/>
    <n v="20000"/>
    <x v="24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2T00:00:00"/>
    <x v="6"/>
    <x v="0"/>
    <x v="0"/>
    <n v="20000"/>
    <n v="20000"/>
    <n v="0"/>
    <x v="573"/>
    <s v="Administracion"/>
    <m/>
    <m/>
    <m/>
    <m/>
    <m/>
    <m/>
    <m/>
  </r>
  <r>
    <d v="2021-06-02T00:00:00"/>
    <x v="6"/>
    <x v="21"/>
    <x v="21"/>
    <n v="-20000"/>
    <n v="0"/>
    <n v="20000"/>
    <x v="5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2T00:00:00"/>
    <x v="6"/>
    <x v="0"/>
    <x v="0"/>
    <n v="10000"/>
    <n v="10000"/>
    <n v="0"/>
    <x v="99"/>
    <s v="Administracion"/>
    <m/>
    <m/>
    <m/>
    <m/>
    <m/>
    <m/>
    <m/>
  </r>
  <r>
    <d v="2021-06-02T00:00:00"/>
    <x v="6"/>
    <x v="19"/>
    <x v="19"/>
    <n v="-10000"/>
    <n v="0"/>
    <n v="10000"/>
    <x v="9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2T00:00:00"/>
    <x v="6"/>
    <x v="0"/>
    <x v="0"/>
    <n v="40000"/>
    <n v="40000"/>
    <n v="0"/>
    <x v="574"/>
    <s v="Administracion"/>
    <m/>
    <m/>
    <m/>
    <m/>
    <m/>
    <m/>
    <m/>
  </r>
  <r>
    <d v="2021-06-02T00:00:00"/>
    <x v="6"/>
    <x v="21"/>
    <x v="21"/>
    <n v="-40000"/>
    <n v="0"/>
    <n v="40000"/>
    <x v="57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2T00:00:00"/>
    <x v="6"/>
    <x v="0"/>
    <x v="0"/>
    <n v="9807"/>
    <n v="9807"/>
    <n v="0"/>
    <x v="344"/>
    <s v="Administracion"/>
    <m/>
    <m/>
    <m/>
    <m/>
    <m/>
    <m/>
    <m/>
  </r>
  <r>
    <d v="2021-06-02T00:00:00"/>
    <x v="6"/>
    <x v="20"/>
    <x v="20"/>
    <n v="-9807"/>
    <n v="0"/>
    <n v="9807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2T00:00:00"/>
    <x v="6"/>
    <x v="0"/>
    <x v="0"/>
    <n v="75000"/>
    <n v="75000"/>
    <n v="0"/>
    <x v="575"/>
    <s v="Administracion"/>
    <m/>
    <m/>
    <m/>
    <m/>
    <m/>
    <m/>
    <m/>
  </r>
  <r>
    <d v="2021-06-02T00:00:00"/>
    <x v="6"/>
    <x v="42"/>
    <x v="23"/>
    <n v="-75000"/>
    <n v="0"/>
    <n v="75000"/>
    <x v="57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2T00:00:00"/>
    <x v="6"/>
    <x v="0"/>
    <x v="0"/>
    <n v="20000"/>
    <n v="20000"/>
    <n v="0"/>
    <x v="196"/>
    <s v="Administracion"/>
    <m/>
    <m/>
    <m/>
    <m/>
    <m/>
    <m/>
    <m/>
  </r>
  <r>
    <d v="2021-06-02T00:00:00"/>
    <x v="6"/>
    <x v="19"/>
    <x v="19"/>
    <n v="-20000"/>
    <n v="0"/>
    <n v="20000"/>
    <x v="1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2T00:00:00"/>
    <x v="6"/>
    <x v="0"/>
    <x v="0"/>
    <n v="15000"/>
    <n v="15000"/>
    <n v="0"/>
    <x v="105"/>
    <s v="Administracion"/>
    <m/>
    <m/>
    <m/>
    <m/>
    <m/>
    <m/>
    <m/>
  </r>
  <r>
    <d v="2021-06-02T00:00:00"/>
    <x v="6"/>
    <x v="19"/>
    <x v="19"/>
    <n v="-15000"/>
    <n v="0"/>
    <n v="15000"/>
    <x v="10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3T00:00:00"/>
    <x v="6"/>
    <x v="0"/>
    <x v="0"/>
    <n v="12000"/>
    <n v="12000"/>
    <n v="0"/>
    <x v="206"/>
    <s v="Administracion"/>
    <m/>
    <m/>
    <m/>
    <m/>
    <m/>
    <m/>
    <m/>
  </r>
  <r>
    <d v="2021-06-03T00:00:00"/>
    <x v="6"/>
    <x v="19"/>
    <x v="19"/>
    <n v="-12000"/>
    <n v="0"/>
    <n v="12000"/>
    <x v="20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3T00:00:00"/>
    <x v="6"/>
    <x v="0"/>
    <x v="0"/>
    <n v="2758035"/>
    <n v="2758035"/>
    <n v="0"/>
    <x v="576"/>
    <s v="Administracion"/>
    <m/>
    <m/>
    <m/>
    <m/>
    <m/>
    <m/>
    <m/>
  </r>
  <r>
    <d v="2021-06-03T00:00:00"/>
    <x v="6"/>
    <x v="4"/>
    <x v="4"/>
    <n v="-2758035"/>
    <n v="0"/>
    <n v="2758035"/>
    <x v="5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3T00:00:00"/>
    <x v="6"/>
    <x v="38"/>
    <x v="37"/>
    <n v="35633"/>
    <n v="35633"/>
    <n v="0"/>
    <x v="15"/>
    <s v="Administracion"/>
    <m/>
    <m/>
    <m/>
    <m/>
    <m/>
    <m/>
    <m/>
  </r>
  <r>
    <d v="2021-06-03T00:00:00"/>
    <x v="6"/>
    <x v="0"/>
    <x v="0"/>
    <n v="-35633"/>
    <n v="0"/>
    <n v="35633"/>
    <x v="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3T00:00:00"/>
    <x v="6"/>
    <x v="0"/>
    <x v="0"/>
    <n v="30000"/>
    <n v="30000"/>
    <n v="0"/>
    <x v="577"/>
    <s v="Administracion"/>
    <m/>
    <m/>
    <m/>
    <m/>
    <m/>
    <m/>
    <m/>
  </r>
  <r>
    <d v="2021-06-03T00:00:00"/>
    <x v="6"/>
    <x v="6"/>
    <x v="6"/>
    <n v="-30000"/>
    <n v="0"/>
    <n v="30000"/>
    <x v="57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3T00:00:00"/>
    <x v="6"/>
    <x v="0"/>
    <x v="0"/>
    <n v="100000"/>
    <n v="100000"/>
    <n v="0"/>
    <x v="578"/>
    <s v="Administracion"/>
    <m/>
    <m/>
    <m/>
    <m/>
    <m/>
    <m/>
    <m/>
  </r>
  <r>
    <d v="2021-06-03T00:00:00"/>
    <x v="6"/>
    <x v="21"/>
    <x v="21"/>
    <n v="-100000"/>
    <n v="0"/>
    <n v="100000"/>
    <x v="5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4T00:00:00"/>
    <x v="6"/>
    <x v="25"/>
    <x v="25"/>
    <n v="802153"/>
    <n v="802153"/>
    <n v="0"/>
    <x v="579"/>
    <s v="Administracion"/>
    <m/>
    <m/>
    <m/>
    <m/>
    <m/>
    <m/>
    <m/>
  </r>
  <r>
    <d v="2021-06-04T00:00:00"/>
    <x v="6"/>
    <x v="0"/>
    <x v="0"/>
    <n v="-802153"/>
    <n v="0"/>
    <n v="802153"/>
    <x v="57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4T00:00:00"/>
    <x v="6"/>
    <x v="6"/>
    <x v="6"/>
    <n v="66148"/>
    <n v="66148"/>
    <n v="0"/>
    <x v="580"/>
    <s v="Administracion"/>
    <m/>
    <m/>
    <m/>
    <m/>
    <m/>
    <m/>
    <m/>
  </r>
  <r>
    <d v="2021-06-04T00:00:00"/>
    <x v="6"/>
    <x v="9"/>
    <x v="9"/>
    <n v="97155"/>
    <n v="97155"/>
    <n v="0"/>
    <x v="580"/>
    <s v="Administracion"/>
    <m/>
    <m/>
    <m/>
    <m/>
    <m/>
    <m/>
    <m/>
  </r>
  <r>
    <d v="2021-06-04T00:00:00"/>
    <x v="6"/>
    <x v="0"/>
    <x v="0"/>
    <n v="-163303"/>
    <n v="0"/>
    <n v="163303"/>
    <x v="58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4T00:00:00"/>
    <x v="6"/>
    <x v="10"/>
    <x v="10"/>
    <n v="404131"/>
    <n v="404131"/>
    <n v="0"/>
    <x v="581"/>
    <s v="Administracion"/>
    <m/>
    <m/>
    <m/>
    <m/>
    <m/>
    <m/>
    <m/>
  </r>
  <r>
    <d v="2021-06-04T00:00:00"/>
    <x v="6"/>
    <x v="0"/>
    <x v="0"/>
    <n v="-404131"/>
    <n v="0"/>
    <n v="404131"/>
    <x v="58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4T00:00:00"/>
    <x v="6"/>
    <x v="10"/>
    <x v="10"/>
    <n v="172706"/>
    <n v="172706"/>
    <n v="0"/>
    <x v="582"/>
    <s v="Administracion"/>
    <m/>
    <m/>
    <m/>
    <m/>
    <m/>
    <m/>
    <m/>
  </r>
  <r>
    <d v="2021-06-04T00:00:00"/>
    <x v="6"/>
    <x v="0"/>
    <x v="0"/>
    <n v="-172706"/>
    <n v="0"/>
    <n v="172706"/>
    <x v="58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4T00:00:00"/>
    <x v="6"/>
    <x v="28"/>
    <x v="28"/>
    <n v="129491"/>
    <n v="129491"/>
    <n v="0"/>
    <x v="583"/>
    <s v="Administracion"/>
    <m/>
    <m/>
    <m/>
    <m/>
    <m/>
    <m/>
    <m/>
  </r>
  <r>
    <d v="2021-06-04T00:00:00"/>
    <x v="6"/>
    <x v="0"/>
    <x v="0"/>
    <n v="-129491"/>
    <n v="0"/>
    <n v="129491"/>
    <x v="5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4T00:00:00"/>
    <x v="6"/>
    <x v="0"/>
    <x v="0"/>
    <n v="50000"/>
    <n v="50000"/>
    <n v="0"/>
    <x v="198"/>
    <s v="Administracion"/>
    <m/>
    <m/>
    <m/>
    <m/>
    <m/>
    <m/>
    <m/>
  </r>
  <r>
    <d v="2021-06-04T00:00:00"/>
    <x v="6"/>
    <x v="19"/>
    <x v="19"/>
    <n v="-50000"/>
    <n v="0"/>
    <n v="50000"/>
    <x v="1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4T00:00:00"/>
    <x v="6"/>
    <x v="0"/>
    <x v="0"/>
    <n v="30000"/>
    <n v="30000"/>
    <n v="0"/>
    <x v="448"/>
    <s v="Administracion"/>
    <m/>
    <m/>
    <m/>
    <m/>
    <m/>
    <m/>
    <m/>
  </r>
  <r>
    <d v="2021-06-04T00:00:00"/>
    <x v="6"/>
    <x v="21"/>
    <x v="21"/>
    <n v="-30000"/>
    <n v="0"/>
    <n v="30000"/>
    <x v="44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4T00:00:00"/>
    <x v="6"/>
    <x v="0"/>
    <x v="0"/>
    <n v="50000"/>
    <n v="50000"/>
    <n v="0"/>
    <x v="584"/>
    <s v="Administracion"/>
    <m/>
    <m/>
    <m/>
    <m/>
    <m/>
    <m/>
    <m/>
  </r>
  <r>
    <d v="2021-06-04T00:00:00"/>
    <x v="6"/>
    <x v="6"/>
    <x v="6"/>
    <n v="-50000"/>
    <n v="0"/>
    <n v="50000"/>
    <x v="5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4T00:00:00"/>
    <x v="6"/>
    <x v="0"/>
    <x v="0"/>
    <n v="25000"/>
    <n v="25000"/>
    <n v="0"/>
    <x v="585"/>
    <s v="Administracion"/>
    <m/>
    <m/>
    <m/>
    <m/>
    <m/>
    <m/>
    <m/>
  </r>
  <r>
    <d v="2021-06-04T00:00:00"/>
    <x v="6"/>
    <x v="42"/>
    <x v="23"/>
    <n v="-25000"/>
    <n v="0"/>
    <n v="25000"/>
    <x v="5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4T00:00:00"/>
    <x v="6"/>
    <x v="0"/>
    <x v="0"/>
    <n v="25000"/>
    <n v="25000"/>
    <n v="0"/>
    <x v="457"/>
    <s v="Administracion"/>
    <m/>
    <m/>
    <m/>
    <m/>
    <m/>
    <m/>
    <m/>
  </r>
  <r>
    <d v="2021-06-04T00:00:00"/>
    <x v="6"/>
    <x v="42"/>
    <x v="23"/>
    <n v="-25000"/>
    <n v="0"/>
    <n v="25000"/>
    <x v="45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4T00:00:00"/>
    <x v="6"/>
    <x v="0"/>
    <x v="0"/>
    <n v="20000"/>
    <n v="20000"/>
    <n v="0"/>
    <x v="113"/>
    <s v="Administracion"/>
    <m/>
    <m/>
    <m/>
    <m/>
    <m/>
    <m/>
    <m/>
  </r>
  <r>
    <d v="2021-06-04T00:00:00"/>
    <x v="6"/>
    <x v="19"/>
    <x v="19"/>
    <n v="-20000"/>
    <n v="0"/>
    <n v="20000"/>
    <x v="11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4T00:00:00"/>
    <x v="6"/>
    <x v="0"/>
    <x v="0"/>
    <n v="27000"/>
    <n v="27000"/>
    <n v="0"/>
    <x v="418"/>
    <s v="Administracion"/>
    <m/>
    <m/>
    <m/>
    <m/>
    <m/>
    <m/>
    <m/>
  </r>
  <r>
    <d v="2021-06-04T00:00:00"/>
    <x v="6"/>
    <x v="19"/>
    <x v="19"/>
    <n v="-27000"/>
    <n v="0"/>
    <n v="27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4T00:00:00"/>
    <x v="6"/>
    <x v="23"/>
    <x v="23"/>
    <n v="2819"/>
    <n v="2819"/>
    <n v="0"/>
    <x v="485"/>
    <s v="Administracion"/>
    <m/>
    <m/>
    <m/>
    <m/>
    <m/>
    <m/>
    <m/>
  </r>
  <r>
    <d v="2021-06-04T00:00:00"/>
    <x v="6"/>
    <x v="0"/>
    <x v="0"/>
    <n v="-2819"/>
    <n v="0"/>
    <n v="2819"/>
    <x v="4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4T00:00:00"/>
    <x v="6"/>
    <x v="23"/>
    <x v="23"/>
    <n v="1410"/>
    <n v="1410"/>
    <n v="0"/>
    <x v="485"/>
    <s v="Administracion"/>
    <m/>
    <m/>
    <m/>
    <m/>
    <m/>
    <m/>
    <m/>
  </r>
  <r>
    <d v="2021-06-04T00:00:00"/>
    <x v="6"/>
    <x v="0"/>
    <x v="0"/>
    <n v="-1410"/>
    <n v="0"/>
    <n v="1410"/>
    <x v="4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20000"/>
    <n v="20000"/>
    <n v="0"/>
    <x v="362"/>
    <s v="Administracion"/>
    <m/>
    <m/>
    <m/>
    <m/>
    <m/>
    <m/>
    <m/>
  </r>
  <r>
    <d v="2021-06-07T00:00:00"/>
    <x v="6"/>
    <x v="19"/>
    <x v="19"/>
    <n v="-20000"/>
    <n v="0"/>
    <n v="20000"/>
    <x v="3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2000"/>
    <n v="2000"/>
    <n v="0"/>
    <x v="111"/>
    <s v="Administracion"/>
    <m/>
    <m/>
    <m/>
    <m/>
    <m/>
    <m/>
    <m/>
  </r>
  <r>
    <d v="2021-06-07T00:00:00"/>
    <x v="6"/>
    <x v="19"/>
    <x v="19"/>
    <n v="-2000"/>
    <n v="0"/>
    <n v="2000"/>
    <x v="11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40000"/>
    <n v="40000"/>
    <n v="0"/>
    <x v="120"/>
    <s v="Administracion"/>
    <m/>
    <m/>
    <m/>
    <m/>
    <m/>
    <m/>
    <m/>
  </r>
  <r>
    <d v="2021-06-07T00:00:00"/>
    <x v="6"/>
    <x v="19"/>
    <x v="19"/>
    <n v="-40000"/>
    <n v="0"/>
    <n v="40000"/>
    <x v="12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40000"/>
    <n v="40000"/>
    <n v="0"/>
    <x v="112"/>
    <s v="Administracion"/>
    <m/>
    <m/>
    <m/>
    <m/>
    <m/>
    <m/>
    <m/>
  </r>
  <r>
    <d v="2021-06-07T00:00:00"/>
    <x v="6"/>
    <x v="19"/>
    <x v="19"/>
    <n v="-40000"/>
    <n v="0"/>
    <n v="40000"/>
    <x v="1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50000"/>
    <n v="50000"/>
    <n v="0"/>
    <x v="93"/>
    <s v="Administracion"/>
    <m/>
    <m/>
    <m/>
    <m/>
    <m/>
    <m/>
    <m/>
  </r>
  <r>
    <d v="2021-06-07T00:00:00"/>
    <x v="6"/>
    <x v="19"/>
    <x v="19"/>
    <n v="-50000"/>
    <n v="0"/>
    <n v="50000"/>
    <x v="9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21000"/>
    <n v="21000"/>
    <n v="0"/>
    <x v="586"/>
    <s v="Administracion"/>
    <m/>
    <m/>
    <m/>
    <m/>
    <m/>
    <m/>
    <m/>
  </r>
  <r>
    <d v="2021-06-07T00:00:00"/>
    <x v="6"/>
    <x v="6"/>
    <x v="6"/>
    <n v="-21000"/>
    <n v="0"/>
    <n v="21000"/>
    <x v="58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10000"/>
    <n v="10000"/>
    <n v="0"/>
    <x v="78"/>
    <s v="Administracion"/>
    <m/>
    <m/>
    <m/>
    <m/>
    <m/>
    <m/>
    <m/>
  </r>
  <r>
    <d v="2021-06-07T00:00:00"/>
    <x v="6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40000"/>
    <n v="40000"/>
    <n v="0"/>
    <x v="587"/>
    <s v="Administracion"/>
    <m/>
    <m/>
    <m/>
    <m/>
    <m/>
    <m/>
    <m/>
  </r>
  <r>
    <d v="2021-06-07T00:00:00"/>
    <x v="6"/>
    <x v="21"/>
    <x v="21"/>
    <n v="-40000"/>
    <n v="0"/>
    <n v="40000"/>
    <x v="58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20000"/>
    <n v="20000"/>
    <n v="0"/>
    <x v="227"/>
    <s v="Administracion"/>
    <m/>
    <m/>
    <m/>
    <m/>
    <m/>
    <m/>
    <m/>
  </r>
  <r>
    <d v="2021-06-07T00:00:00"/>
    <x v="6"/>
    <x v="19"/>
    <x v="19"/>
    <n v="-20000"/>
    <n v="0"/>
    <n v="20000"/>
    <x v="2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10000"/>
    <n v="10000"/>
    <n v="0"/>
    <x v="167"/>
    <s v="Administracion"/>
    <m/>
    <m/>
    <m/>
    <m/>
    <m/>
    <m/>
    <m/>
  </r>
  <r>
    <d v="2021-06-07T00:00:00"/>
    <x v="6"/>
    <x v="19"/>
    <x v="19"/>
    <n v="-10000"/>
    <n v="0"/>
    <n v="10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10000"/>
    <n v="10000"/>
    <n v="0"/>
    <x v="76"/>
    <s v="Administracion"/>
    <m/>
    <m/>
    <m/>
    <m/>
    <m/>
    <m/>
    <m/>
  </r>
  <r>
    <d v="2021-06-07T00:00:00"/>
    <x v="6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10000"/>
    <n v="10000"/>
    <n v="0"/>
    <x v="194"/>
    <s v="Administracion"/>
    <m/>
    <m/>
    <m/>
    <m/>
    <m/>
    <m/>
    <m/>
  </r>
  <r>
    <d v="2021-06-07T00:00:00"/>
    <x v="6"/>
    <x v="19"/>
    <x v="19"/>
    <n v="-10000"/>
    <n v="0"/>
    <n v="10000"/>
    <x v="19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5000"/>
    <n v="5000"/>
    <n v="0"/>
    <x v="173"/>
    <s v="Administracion"/>
    <m/>
    <m/>
    <m/>
    <m/>
    <m/>
    <m/>
    <m/>
  </r>
  <r>
    <d v="2021-06-07T00:00:00"/>
    <x v="6"/>
    <x v="19"/>
    <x v="19"/>
    <n v="-5000"/>
    <n v="0"/>
    <n v="5000"/>
    <x v="1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20000"/>
    <n v="20000"/>
    <n v="0"/>
    <x v="343"/>
    <s v="Administracion"/>
    <m/>
    <m/>
    <m/>
    <m/>
    <m/>
    <m/>
    <m/>
  </r>
  <r>
    <d v="2021-06-07T00:00:00"/>
    <x v="6"/>
    <x v="21"/>
    <x v="21"/>
    <n v="-20000"/>
    <n v="0"/>
    <n v="20000"/>
    <x v="34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50000"/>
    <n v="50000"/>
    <n v="0"/>
    <x v="449"/>
    <s v="Administracion"/>
    <m/>
    <m/>
    <m/>
    <m/>
    <m/>
    <m/>
    <m/>
  </r>
  <r>
    <d v="2021-06-07T00:00:00"/>
    <x v="6"/>
    <x v="19"/>
    <x v="19"/>
    <n v="-50000"/>
    <n v="0"/>
    <n v="50000"/>
    <x v="44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5000"/>
    <n v="5000"/>
    <n v="0"/>
    <x v="98"/>
    <s v="Administracion"/>
    <m/>
    <m/>
    <m/>
    <m/>
    <m/>
    <m/>
    <m/>
  </r>
  <r>
    <d v="2021-06-07T00:00:00"/>
    <x v="6"/>
    <x v="19"/>
    <x v="19"/>
    <n v="-5000"/>
    <n v="0"/>
    <n v="5000"/>
    <x v="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15000"/>
    <n v="15000"/>
    <n v="0"/>
    <x v="588"/>
    <s v="Administracion"/>
    <m/>
    <m/>
    <m/>
    <m/>
    <m/>
    <m/>
    <m/>
  </r>
  <r>
    <d v="2021-06-07T00:00:00"/>
    <x v="6"/>
    <x v="6"/>
    <x v="6"/>
    <n v="-15000"/>
    <n v="0"/>
    <n v="15000"/>
    <x v="58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10000"/>
    <n v="10000"/>
    <n v="0"/>
    <x v="527"/>
    <s v="Administracion"/>
    <m/>
    <m/>
    <m/>
    <m/>
    <m/>
    <m/>
    <m/>
  </r>
  <r>
    <d v="2021-06-07T00:00:00"/>
    <x v="6"/>
    <x v="19"/>
    <x v="19"/>
    <n v="-10000"/>
    <n v="0"/>
    <n v="10000"/>
    <x v="5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25000"/>
    <n v="25000"/>
    <n v="0"/>
    <x v="132"/>
    <s v="Administracion"/>
    <m/>
    <m/>
    <m/>
    <m/>
    <m/>
    <m/>
    <m/>
  </r>
  <r>
    <d v="2021-06-07T00:00:00"/>
    <x v="6"/>
    <x v="19"/>
    <x v="19"/>
    <n v="-25000"/>
    <n v="0"/>
    <n v="25000"/>
    <x v="1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20000"/>
    <n v="20000"/>
    <n v="0"/>
    <x v="589"/>
    <s v="Administracion"/>
    <m/>
    <m/>
    <m/>
    <m/>
    <m/>
    <m/>
    <m/>
  </r>
  <r>
    <d v="2021-06-07T00:00:00"/>
    <x v="6"/>
    <x v="6"/>
    <x v="6"/>
    <n v="-20000"/>
    <n v="0"/>
    <n v="20000"/>
    <x v="58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2000"/>
    <n v="2000"/>
    <n v="0"/>
    <x v="283"/>
    <s v="Administracion"/>
    <m/>
    <m/>
    <m/>
    <m/>
    <m/>
    <m/>
    <m/>
  </r>
  <r>
    <d v="2021-06-07T00:00:00"/>
    <x v="6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5000"/>
    <n v="5000"/>
    <n v="0"/>
    <x v="384"/>
    <s v="Administracion"/>
    <m/>
    <m/>
    <m/>
    <m/>
    <m/>
    <m/>
    <m/>
  </r>
  <r>
    <d v="2021-06-07T00:00:00"/>
    <x v="6"/>
    <x v="19"/>
    <x v="19"/>
    <n v="-5000"/>
    <n v="0"/>
    <n v="5000"/>
    <x v="3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7T00:00:00"/>
    <x v="6"/>
    <x v="0"/>
    <x v="0"/>
    <n v="326580"/>
    <n v="326580"/>
    <n v="0"/>
    <x v="418"/>
    <s v="Administracion"/>
    <m/>
    <m/>
    <m/>
    <m/>
    <m/>
    <m/>
    <m/>
  </r>
  <r>
    <d v="2021-06-07T00:00:00"/>
    <x v="6"/>
    <x v="19"/>
    <x v="19"/>
    <n v="-326580"/>
    <n v="0"/>
    <n v="32658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8T00:00:00"/>
    <x v="6"/>
    <x v="0"/>
    <x v="0"/>
    <n v="5000"/>
    <n v="5000"/>
    <n v="0"/>
    <x v="590"/>
    <s v="Administracion"/>
    <m/>
    <m/>
    <m/>
    <m/>
    <m/>
    <m/>
    <m/>
  </r>
  <r>
    <d v="2021-06-08T00:00:00"/>
    <x v="6"/>
    <x v="20"/>
    <x v="20"/>
    <n v="-5000"/>
    <n v="0"/>
    <n v="5000"/>
    <x v="59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8T00:00:00"/>
    <x v="6"/>
    <x v="0"/>
    <x v="0"/>
    <n v="60000"/>
    <n v="60000"/>
    <n v="0"/>
    <x v="462"/>
    <s v="Administracion"/>
    <m/>
    <m/>
    <m/>
    <m/>
    <m/>
    <m/>
    <m/>
  </r>
  <r>
    <d v="2021-06-08T00:00:00"/>
    <x v="6"/>
    <x v="19"/>
    <x v="19"/>
    <n v="-60000"/>
    <n v="0"/>
    <n v="60000"/>
    <x v="4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8T00:00:00"/>
    <x v="6"/>
    <x v="0"/>
    <x v="0"/>
    <n v="15000"/>
    <n v="15000"/>
    <n v="0"/>
    <x v="217"/>
    <s v="Administracion"/>
    <m/>
    <m/>
    <m/>
    <m/>
    <m/>
    <m/>
    <m/>
  </r>
  <r>
    <d v="2021-06-08T00:00:00"/>
    <x v="6"/>
    <x v="19"/>
    <x v="19"/>
    <n v="-15000"/>
    <n v="0"/>
    <n v="15000"/>
    <x v="2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8T00:00:00"/>
    <x v="6"/>
    <x v="0"/>
    <x v="0"/>
    <n v="19614"/>
    <n v="19614"/>
    <n v="0"/>
    <x v="344"/>
    <s v="Administracion"/>
    <m/>
    <m/>
    <m/>
    <m/>
    <m/>
    <m/>
    <m/>
  </r>
  <r>
    <d v="2021-06-08T00:00:00"/>
    <x v="6"/>
    <x v="20"/>
    <x v="20"/>
    <n v="-19614"/>
    <n v="0"/>
    <n v="19614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8T00:00:00"/>
    <x v="6"/>
    <x v="0"/>
    <x v="0"/>
    <n v="18000"/>
    <n v="18000"/>
    <n v="0"/>
    <x v="591"/>
    <s v="Administracion"/>
    <m/>
    <m/>
    <m/>
    <m/>
    <m/>
    <m/>
    <m/>
  </r>
  <r>
    <d v="2021-06-08T00:00:00"/>
    <x v="6"/>
    <x v="19"/>
    <x v="19"/>
    <n v="-18000"/>
    <n v="0"/>
    <n v="18000"/>
    <x v="59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8T00:00:00"/>
    <x v="6"/>
    <x v="0"/>
    <x v="0"/>
    <n v="100000"/>
    <n v="100000"/>
    <n v="0"/>
    <x v="483"/>
    <s v="Administracion"/>
    <m/>
    <m/>
    <m/>
    <m/>
    <m/>
    <m/>
    <m/>
  </r>
  <r>
    <d v="2021-06-08T00:00:00"/>
    <x v="6"/>
    <x v="21"/>
    <x v="21"/>
    <n v="-100000"/>
    <n v="0"/>
    <n v="100000"/>
    <x v="4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9T00:00:00"/>
    <x v="6"/>
    <x v="0"/>
    <x v="0"/>
    <n v="60000"/>
    <n v="60000"/>
    <n v="0"/>
    <x v="592"/>
    <s v="Administracion"/>
    <m/>
    <m/>
    <m/>
    <m/>
    <m/>
    <m/>
    <m/>
  </r>
  <r>
    <d v="2021-06-09T00:00:00"/>
    <x v="6"/>
    <x v="21"/>
    <x v="21"/>
    <n v="-60000"/>
    <n v="0"/>
    <n v="60000"/>
    <x v="59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9T00:00:00"/>
    <x v="6"/>
    <x v="0"/>
    <x v="0"/>
    <n v="20000"/>
    <n v="20000"/>
    <n v="0"/>
    <x v="152"/>
    <s v="Administracion"/>
    <m/>
    <m/>
    <m/>
    <m/>
    <m/>
    <m/>
    <m/>
  </r>
  <r>
    <d v="2021-06-09T00:00:00"/>
    <x v="6"/>
    <x v="19"/>
    <x v="19"/>
    <n v="-20000"/>
    <n v="0"/>
    <n v="20000"/>
    <x v="15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9T00:00:00"/>
    <x v="6"/>
    <x v="0"/>
    <x v="0"/>
    <n v="30000"/>
    <n v="30000"/>
    <n v="0"/>
    <x v="593"/>
    <s v="Administracion"/>
    <m/>
    <m/>
    <m/>
    <m/>
    <m/>
    <m/>
    <m/>
  </r>
  <r>
    <d v="2021-06-09T00:00:00"/>
    <x v="6"/>
    <x v="21"/>
    <x v="21"/>
    <n v="-30000"/>
    <n v="0"/>
    <n v="30000"/>
    <x v="59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9T00:00:00"/>
    <x v="6"/>
    <x v="0"/>
    <x v="0"/>
    <n v="5000"/>
    <n v="5000"/>
    <n v="0"/>
    <x v="590"/>
    <s v="Administracion"/>
    <m/>
    <m/>
    <m/>
    <m/>
    <m/>
    <m/>
    <m/>
  </r>
  <r>
    <d v="2021-06-09T00:00:00"/>
    <x v="6"/>
    <x v="20"/>
    <x v="20"/>
    <n v="-5000"/>
    <n v="0"/>
    <n v="5000"/>
    <x v="59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9T00:00:00"/>
    <x v="6"/>
    <x v="0"/>
    <x v="0"/>
    <n v="34326"/>
    <n v="34326"/>
    <n v="0"/>
    <x v="537"/>
    <s v="Administracion"/>
    <m/>
    <m/>
    <m/>
    <m/>
    <m/>
    <m/>
    <m/>
  </r>
  <r>
    <d v="2021-06-09T00:00:00"/>
    <x v="6"/>
    <x v="21"/>
    <x v="21"/>
    <n v="-34326"/>
    <n v="0"/>
    <n v="34326"/>
    <x v="5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9T00:00:00"/>
    <x v="6"/>
    <x v="0"/>
    <x v="0"/>
    <n v="10000"/>
    <n v="10000"/>
    <n v="0"/>
    <x v="594"/>
    <s v="Administracion"/>
    <m/>
    <m/>
    <m/>
    <m/>
    <m/>
    <m/>
    <m/>
  </r>
  <r>
    <d v="2021-06-09T00:00:00"/>
    <x v="6"/>
    <x v="19"/>
    <x v="19"/>
    <n v="-10000"/>
    <n v="0"/>
    <n v="10000"/>
    <x v="59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09T00:00:00"/>
    <x v="6"/>
    <x v="0"/>
    <x v="0"/>
    <n v="20000"/>
    <n v="20000"/>
    <n v="0"/>
    <x v="595"/>
    <s v="Administracion"/>
    <m/>
    <m/>
    <m/>
    <m/>
    <m/>
    <m/>
    <m/>
  </r>
  <r>
    <d v="2021-06-09T00:00:00"/>
    <x v="6"/>
    <x v="24"/>
    <x v="24"/>
    <n v="-20000"/>
    <n v="0"/>
    <n v="20000"/>
    <x v="59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0T00:00:00"/>
    <x v="6"/>
    <x v="0"/>
    <x v="0"/>
    <n v="10000"/>
    <n v="10000"/>
    <n v="0"/>
    <x v="596"/>
    <s v="Administracion"/>
    <m/>
    <m/>
    <m/>
    <m/>
    <m/>
    <m/>
    <m/>
  </r>
  <r>
    <d v="2021-06-10T00:00:00"/>
    <x v="6"/>
    <x v="21"/>
    <x v="21"/>
    <n v="-10000"/>
    <n v="0"/>
    <n v="10000"/>
    <x v="5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0T00:00:00"/>
    <x v="6"/>
    <x v="26"/>
    <x v="26"/>
    <n v="1516"/>
    <n v="1516"/>
    <n v="0"/>
    <x v="23"/>
    <s v="Administracion"/>
    <m/>
    <m/>
    <m/>
    <m/>
    <m/>
    <m/>
    <m/>
  </r>
  <r>
    <d v="2021-06-10T00:00:00"/>
    <x v="6"/>
    <x v="0"/>
    <x v="0"/>
    <n v="-1516"/>
    <n v="0"/>
    <n v="1516"/>
    <x v="2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0T00:00:00"/>
    <x v="6"/>
    <x v="27"/>
    <x v="27"/>
    <n v="35155"/>
    <n v="35155"/>
    <n v="0"/>
    <x v="491"/>
    <s v="Administracion"/>
    <m/>
    <m/>
    <m/>
    <m/>
    <m/>
    <m/>
    <m/>
  </r>
  <r>
    <d v="2021-06-10T00:00:00"/>
    <x v="6"/>
    <x v="0"/>
    <x v="0"/>
    <n v="-35155"/>
    <n v="0"/>
    <n v="35155"/>
    <x v="49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0T00:00:00"/>
    <x v="6"/>
    <x v="0"/>
    <x v="0"/>
    <n v="59286"/>
    <n v="59286"/>
    <n v="0"/>
    <x v="96"/>
    <s v="Administracion"/>
    <m/>
    <m/>
    <m/>
    <m/>
    <m/>
    <m/>
    <m/>
  </r>
  <r>
    <d v="2021-06-10T00:00:00"/>
    <x v="6"/>
    <x v="19"/>
    <x v="19"/>
    <n v="-59286"/>
    <n v="0"/>
    <n v="59286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0T00:00:00"/>
    <x v="6"/>
    <x v="0"/>
    <x v="0"/>
    <n v="100000"/>
    <n v="100000"/>
    <n v="0"/>
    <x v="597"/>
    <s v="Administracion"/>
    <m/>
    <m/>
    <m/>
    <m/>
    <m/>
    <m/>
    <m/>
  </r>
  <r>
    <d v="2021-06-10T00:00:00"/>
    <x v="6"/>
    <x v="6"/>
    <x v="6"/>
    <n v="-100000"/>
    <n v="0"/>
    <n v="100000"/>
    <x v="59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0T00:00:00"/>
    <x v="6"/>
    <x v="0"/>
    <x v="0"/>
    <n v="50000"/>
    <n v="50000"/>
    <n v="0"/>
    <x v="598"/>
    <s v="Administracion"/>
    <m/>
    <m/>
    <m/>
    <m/>
    <m/>
    <m/>
    <m/>
  </r>
  <r>
    <d v="2021-06-10T00:00:00"/>
    <x v="6"/>
    <x v="21"/>
    <x v="21"/>
    <n v="-50000"/>
    <n v="0"/>
    <n v="50000"/>
    <x v="5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0T00:00:00"/>
    <x v="6"/>
    <x v="0"/>
    <x v="0"/>
    <n v="20000"/>
    <n v="20000"/>
    <n v="0"/>
    <x v="339"/>
    <s v="Administracion"/>
    <m/>
    <m/>
    <m/>
    <m/>
    <m/>
    <m/>
    <m/>
  </r>
  <r>
    <d v="2021-06-10T00:00:00"/>
    <x v="6"/>
    <x v="19"/>
    <x v="19"/>
    <n v="-20000"/>
    <n v="0"/>
    <n v="20000"/>
    <x v="33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0T00:00:00"/>
    <x v="6"/>
    <x v="0"/>
    <x v="0"/>
    <n v="30000"/>
    <n v="30000"/>
    <n v="0"/>
    <x v="119"/>
    <s v="Administracion"/>
    <m/>
    <m/>
    <m/>
    <m/>
    <m/>
    <m/>
    <m/>
  </r>
  <r>
    <d v="2021-06-10T00:00:00"/>
    <x v="6"/>
    <x v="19"/>
    <x v="19"/>
    <n v="-30000"/>
    <n v="0"/>
    <n v="30000"/>
    <x v="11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1T00:00:00"/>
    <x v="6"/>
    <x v="0"/>
    <x v="0"/>
    <n v="27000"/>
    <n v="27000"/>
    <n v="0"/>
    <x v="86"/>
    <s v="Administracion"/>
    <m/>
    <m/>
    <m/>
    <m/>
    <m/>
    <m/>
    <m/>
  </r>
  <r>
    <d v="2021-06-11T00:00:00"/>
    <x v="6"/>
    <x v="19"/>
    <x v="19"/>
    <n v="-27000"/>
    <n v="0"/>
    <n v="27000"/>
    <x v="8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1T00:00:00"/>
    <x v="6"/>
    <x v="0"/>
    <x v="0"/>
    <n v="20000"/>
    <n v="20000"/>
    <n v="0"/>
    <x v="94"/>
    <s v="Administracion"/>
    <m/>
    <m/>
    <m/>
    <m/>
    <m/>
    <m/>
    <m/>
  </r>
  <r>
    <d v="2021-06-11T00:00:00"/>
    <x v="6"/>
    <x v="19"/>
    <x v="19"/>
    <n v="-20000"/>
    <n v="0"/>
    <n v="20000"/>
    <x v="9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1T00:00:00"/>
    <x v="6"/>
    <x v="0"/>
    <x v="0"/>
    <n v="40000"/>
    <n v="40000"/>
    <n v="0"/>
    <x v="599"/>
    <s v="Administracion"/>
    <m/>
    <m/>
    <m/>
    <m/>
    <m/>
    <m/>
    <m/>
  </r>
  <r>
    <d v="2021-06-11T00:00:00"/>
    <x v="6"/>
    <x v="21"/>
    <x v="21"/>
    <n v="-40000"/>
    <n v="0"/>
    <n v="40000"/>
    <x v="59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1T00:00:00"/>
    <x v="6"/>
    <x v="0"/>
    <x v="0"/>
    <n v="3000"/>
    <n v="3000"/>
    <n v="0"/>
    <x v="600"/>
    <s v="Administracion"/>
    <m/>
    <m/>
    <m/>
    <m/>
    <m/>
    <m/>
    <m/>
  </r>
  <r>
    <d v="2021-06-11T00:00:00"/>
    <x v="6"/>
    <x v="19"/>
    <x v="19"/>
    <n v="-3000"/>
    <n v="0"/>
    <n v="3000"/>
    <x v="60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1T00:00:00"/>
    <x v="6"/>
    <x v="0"/>
    <x v="0"/>
    <n v="24518"/>
    <n v="24518"/>
    <n v="0"/>
    <x v="537"/>
    <s v="Administracion"/>
    <m/>
    <m/>
    <m/>
    <m/>
    <m/>
    <m/>
    <m/>
  </r>
  <r>
    <d v="2021-06-11T00:00:00"/>
    <x v="6"/>
    <x v="21"/>
    <x v="21"/>
    <n v="-24518"/>
    <n v="0"/>
    <n v="24518"/>
    <x v="5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1T00:00:00"/>
    <x v="6"/>
    <x v="0"/>
    <x v="0"/>
    <n v="16000"/>
    <n v="16000"/>
    <n v="0"/>
    <x v="336"/>
    <s v="Administracion"/>
    <m/>
    <m/>
    <m/>
    <m/>
    <m/>
    <m/>
    <m/>
  </r>
  <r>
    <d v="2021-06-11T00:00:00"/>
    <x v="6"/>
    <x v="19"/>
    <x v="19"/>
    <n v="-16000"/>
    <n v="0"/>
    <n v="16000"/>
    <x v="33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1T00:00:00"/>
    <x v="6"/>
    <x v="0"/>
    <x v="0"/>
    <n v="20000"/>
    <n v="20000"/>
    <n v="0"/>
    <x v="601"/>
    <s v="Administracion"/>
    <m/>
    <m/>
    <m/>
    <m/>
    <m/>
    <m/>
    <m/>
  </r>
  <r>
    <d v="2021-06-11T00:00:00"/>
    <x v="6"/>
    <x v="21"/>
    <x v="21"/>
    <n v="-20000"/>
    <n v="0"/>
    <n v="20000"/>
    <x v="60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1T00:00:00"/>
    <x v="6"/>
    <x v="0"/>
    <x v="0"/>
    <n v="30000"/>
    <n v="30000"/>
    <n v="0"/>
    <x v="418"/>
    <s v="Administracion"/>
    <m/>
    <m/>
    <m/>
    <m/>
    <m/>
    <m/>
    <m/>
  </r>
  <r>
    <d v="2021-06-11T00:00:00"/>
    <x v="6"/>
    <x v="19"/>
    <x v="19"/>
    <n v="-30000"/>
    <n v="0"/>
    <n v="30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4T00:00:00"/>
    <x v="6"/>
    <x v="0"/>
    <x v="0"/>
    <n v="30000"/>
    <n v="30000"/>
    <n v="0"/>
    <x v="602"/>
    <s v="Administracion"/>
    <m/>
    <m/>
    <m/>
    <m/>
    <m/>
    <m/>
    <m/>
  </r>
  <r>
    <d v="2021-06-14T00:00:00"/>
    <x v="6"/>
    <x v="21"/>
    <x v="21"/>
    <n v="-30000"/>
    <n v="0"/>
    <n v="30000"/>
    <x v="60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4T00:00:00"/>
    <x v="6"/>
    <x v="0"/>
    <x v="0"/>
    <n v="250000"/>
    <n v="250000"/>
    <n v="0"/>
    <x v="232"/>
    <s v="Administracion"/>
    <m/>
    <m/>
    <m/>
    <m/>
    <m/>
    <m/>
    <m/>
  </r>
  <r>
    <d v="2021-06-14T00:00:00"/>
    <x v="6"/>
    <x v="19"/>
    <x v="19"/>
    <n v="-250000"/>
    <n v="0"/>
    <n v="250000"/>
    <x v="2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4T00:00:00"/>
    <x v="6"/>
    <x v="0"/>
    <x v="0"/>
    <n v="10000"/>
    <n v="10000"/>
    <n v="0"/>
    <x v="146"/>
    <s v="Administracion"/>
    <m/>
    <m/>
    <m/>
    <m/>
    <m/>
    <m/>
    <m/>
  </r>
  <r>
    <d v="2021-06-14T00:00:00"/>
    <x v="6"/>
    <x v="19"/>
    <x v="19"/>
    <n v="-10000"/>
    <n v="0"/>
    <n v="10000"/>
    <x v="14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4T00:00:00"/>
    <x v="6"/>
    <x v="0"/>
    <x v="0"/>
    <n v="10000"/>
    <n v="10000"/>
    <n v="0"/>
    <x v="167"/>
    <s v="Administracion"/>
    <m/>
    <m/>
    <m/>
    <m/>
    <m/>
    <m/>
    <m/>
  </r>
  <r>
    <d v="2021-06-14T00:00:00"/>
    <x v="6"/>
    <x v="19"/>
    <x v="19"/>
    <n v="-10000"/>
    <n v="0"/>
    <n v="10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4T00:00:00"/>
    <x v="6"/>
    <x v="0"/>
    <x v="0"/>
    <n v="10000"/>
    <n v="10000"/>
    <n v="0"/>
    <x v="78"/>
    <s v="Administracion"/>
    <m/>
    <m/>
    <m/>
    <m/>
    <m/>
    <m/>
    <m/>
  </r>
  <r>
    <d v="2021-06-14T00:00:00"/>
    <x v="6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4T00:00:00"/>
    <x v="6"/>
    <x v="0"/>
    <x v="0"/>
    <n v="20000"/>
    <n v="20000"/>
    <n v="0"/>
    <x v="316"/>
    <s v="Administracion"/>
    <m/>
    <m/>
    <m/>
    <m/>
    <m/>
    <m/>
    <m/>
  </r>
  <r>
    <d v="2021-06-14T00:00:00"/>
    <x v="6"/>
    <x v="19"/>
    <x v="19"/>
    <n v="-20000"/>
    <n v="0"/>
    <n v="20000"/>
    <x v="31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4T00:00:00"/>
    <x v="6"/>
    <x v="0"/>
    <x v="0"/>
    <n v="20000"/>
    <n v="20000"/>
    <n v="0"/>
    <x v="603"/>
    <s v="Administracion"/>
    <m/>
    <m/>
    <m/>
    <m/>
    <m/>
    <m/>
    <m/>
  </r>
  <r>
    <d v="2021-06-14T00:00:00"/>
    <x v="6"/>
    <x v="21"/>
    <x v="21"/>
    <n v="-20000"/>
    <n v="0"/>
    <n v="20000"/>
    <x v="60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4T00:00:00"/>
    <x v="6"/>
    <x v="0"/>
    <x v="0"/>
    <n v="20000"/>
    <n v="20000"/>
    <n v="0"/>
    <x v="604"/>
    <s v="Administracion"/>
    <m/>
    <m/>
    <m/>
    <m/>
    <m/>
    <m/>
    <m/>
  </r>
  <r>
    <d v="2021-06-14T00:00:00"/>
    <x v="6"/>
    <x v="20"/>
    <x v="20"/>
    <n v="-20000"/>
    <n v="0"/>
    <n v="20000"/>
    <x v="60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4T00:00:00"/>
    <x v="6"/>
    <x v="0"/>
    <x v="0"/>
    <n v="60000"/>
    <n v="60000"/>
    <n v="0"/>
    <x v="553"/>
    <s v="Administracion"/>
    <m/>
    <m/>
    <m/>
    <m/>
    <m/>
    <m/>
    <m/>
  </r>
  <r>
    <d v="2021-06-14T00:00:00"/>
    <x v="6"/>
    <x v="21"/>
    <x v="21"/>
    <n v="-60000"/>
    <n v="0"/>
    <n v="60000"/>
    <x v="55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4T00:00:00"/>
    <x v="6"/>
    <x v="0"/>
    <x v="0"/>
    <n v="5000"/>
    <n v="5000"/>
    <n v="0"/>
    <x v="98"/>
    <s v="Administracion"/>
    <m/>
    <m/>
    <m/>
    <m/>
    <m/>
    <m/>
    <m/>
  </r>
  <r>
    <d v="2021-06-14T00:00:00"/>
    <x v="6"/>
    <x v="19"/>
    <x v="19"/>
    <n v="-5000"/>
    <n v="0"/>
    <n v="5000"/>
    <x v="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4T00:00:00"/>
    <x v="6"/>
    <x v="0"/>
    <x v="0"/>
    <n v="2000"/>
    <n v="2000"/>
    <n v="0"/>
    <x v="283"/>
    <s v="Administracion"/>
    <m/>
    <m/>
    <m/>
    <m/>
    <m/>
    <m/>
    <m/>
  </r>
  <r>
    <d v="2021-06-14T00:00:00"/>
    <x v="6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4T00:00:00"/>
    <x v="6"/>
    <x v="0"/>
    <x v="0"/>
    <n v="15000"/>
    <n v="15000"/>
    <n v="0"/>
    <x v="419"/>
    <s v="Administracion"/>
    <m/>
    <m/>
    <m/>
    <m/>
    <m/>
    <m/>
    <m/>
  </r>
  <r>
    <d v="2021-06-14T00:00:00"/>
    <x v="6"/>
    <x v="19"/>
    <x v="19"/>
    <n v="-15000"/>
    <n v="0"/>
    <n v="15000"/>
    <x v="41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4T00:00:00"/>
    <x v="6"/>
    <x v="0"/>
    <x v="0"/>
    <n v="100000"/>
    <n v="100000"/>
    <n v="0"/>
    <x v="172"/>
    <s v="Administracion"/>
    <m/>
    <m/>
    <m/>
    <m/>
    <m/>
    <m/>
    <m/>
  </r>
  <r>
    <d v="2021-06-14T00:00:00"/>
    <x v="6"/>
    <x v="19"/>
    <x v="19"/>
    <n v="-100000"/>
    <n v="0"/>
    <n v="100000"/>
    <x v="1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5T00:00:00"/>
    <x v="6"/>
    <x v="0"/>
    <x v="0"/>
    <n v="30000"/>
    <n v="30000"/>
    <n v="0"/>
    <x v="605"/>
    <s v="Administracion"/>
    <m/>
    <m/>
    <m/>
    <m/>
    <m/>
    <m/>
    <m/>
  </r>
  <r>
    <d v="2021-06-15T00:00:00"/>
    <x v="6"/>
    <x v="20"/>
    <x v="20"/>
    <n v="-30000"/>
    <n v="0"/>
    <n v="30000"/>
    <x v="60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5T00:00:00"/>
    <x v="6"/>
    <x v="0"/>
    <x v="0"/>
    <n v="20000"/>
    <n v="20000"/>
    <n v="0"/>
    <x v="74"/>
    <s v="Administracion"/>
    <m/>
    <m/>
    <m/>
    <m/>
    <m/>
    <m/>
    <m/>
  </r>
  <r>
    <d v="2021-06-15T00:00:00"/>
    <x v="6"/>
    <x v="19"/>
    <x v="19"/>
    <n v="-20000"/>
    <n v="0"/>
    <n v="20000"/>
    <x v="7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5T00:00:00"/>
    <x v="6"/>
    <x v="0"/>
    <x v="0"/>
    <n v="5000"/>
    <n v="5000"/>
    <n v="0"/>
    <x v="217"/>
    <s v="Administracion"/>
    <m/>
    <m/>
    <m/>
    <m/>
    <m/>
    <m/>
    <m/>
  </r>
  <r>
    <d v="2021-06-15T00:00:00"/>
    <x v="6"/>
    <x v="19"/>
    <x v="19"/>
    <n v="-5000"/>
    <n v="0"/>
    <n v="5000"/>
    <x v="2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5T00:00:00"/>
    <x v="6"/>
    <x v="29"/>
    <x v="29"/>
    <n v="43241"/>
    <n v="43241"/>
    <n v="0"/>
    <x v="41"/>
    <s v="Administracion"/>
    <m/>
    <m/>
    <m/>
    <m/>
    <m/>
    <m/>
    <m/>
  </r>
  <r>
    <d v="2021-06-15T00:00:00"/>
    <x v="6"/>
    <x v="0"/>
    <x v="0"/>
    <n v="-43241"/>
    <n v="0"/>
    <n v="43241"/>
    <x v="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5T00:00:00"/>
    <x v="6"/>
    <x v="27"/>
    <x v="27"/>
    <n v="20990"/>
    <n v="20990"/>
    <n v="0"/>
    <x v="40"/>
    <s v="Administracion"/>
    <m/>
    <m/>
    <m/>
    <m/>
    <m/>
    <m/>
    <m/>
  </r>
  <r>
    <d v="2021-06-15T00:00:00"/>
    <x v="6"/>
    <x v="0"/>
    <x v="0"/>
    <n v="-20990"/>
    <n v="0"/>
    <n v="20990"/>
    <x v="4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5T00:00:00"/>
    <x v="6"/>
    <x v="0"/>
    <x v="0"/>
    <n v="25000"/>
    <n v="25000"/>
    <n v="0"/>
    <x v="126"/>
    <s v="Administracion"/>
    <m/>
    <m/>
    <m/>
    <m/>
    <m/>
    <m/>
    <m/>
  </r>
  <r>
    <d v="2021-06-15T00:00:00"/>
    <x v="6"/>
    <x v="19"/>
    <x v="19"/>
    <n v="-25000"/>
    <n v="0"/>
    <n v="25000"/>
    <x v="12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5T00:00:00"/>
    <x v="6"/>
    <x v="0"/>
    <x v="0"/>
    <n v="25000"/>
    <n v="25000"/>
    <n v="0"/>
    <x v="454"/>
    <s v="Administracion"/>
    <m/>
    <m/>
    <m/>
    <m/>
    <m/>
    <m/>
    <m/>
  </r>
  <r>
    <d v="2021-06-15T00:00:00"/>
    <x v="6"/>
    <x v="42"/>
    <x v="23"/>
    <n v="-25000"/>
    <n v="0"/>
    <n v="25000"/>
    <x v="45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5T00:00:00"/>
    <x v="6"/>
    <x v="0"/>
    <x v="0"/>
    <n v="20000"/>
    <n v="20000"/>
    <n v="0"/>
    <x v="535"/>
    <s v="Administracion"/>
    <m/>
    <m/>
    <m/>
    <m/>
    <m/>
    <m/>
    <m/>
  </r>
  <r>
    <d v="2021-06-15T00:00:00"/>
    <x v="6"/>
    <x v="21"/>
    <x v="21"/>
    <n v="-20000"/>
    <n v="0"/>
    <n v="20000"/>
    <x v="53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5T00:00:00"/>
    <x v="6"/>
    <x v="0"/>
    <x v="0"/>
    <n v="25000"/>
    <n v="25000"/>
    <n v="0"/>
    <x v="606"/>
    <s v="Administracion"/>
    <m/>
    <m/>
    <m/>
    <m/>
    <m/>
    <m/>
    <m/>
  </r>
  <r>
    <d v="2021-06-15T00:00:00"/>
    <x v="6"/>
    <x v="21"/>
    <x v="21"/>
    <n v="-25000"/>
    <n v="0"/>
    <n v="25000"/>
    <x v="60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6T00:00:00"/>
    <x v="6"/>
    <x v="28"/>
    <x v="28"/>
    <n v="338983"/>
    <n v="338983"/>
    <n v="0"/>
    <x v="607"/>
    <s v="Administracion"/>
    <m/>
    <m/>
    <m/>
    <m/>
    <m/>
    <m/>
    <m/>
  </r>
  <r>
    <d v="2021-06-16T00:00:00"/>
    <x v="6"/>
    <x v="9"/>
    <x v="9"/>
    <n v="-38983"/>
    <n v="0"/>
    <n v="38983"/>
    <x v="607"/>
    <s v="Administracion"/>
    <m/>
    <m/>
    <m/>
    <m/>
    <m/>
    <m/>
    <m/>
  </r>
  <r>
    <d v="2021-06-16T00:00:00"/>
    <x v="6"/>
    <x v="0"/>
    <x v="0"/>
    <n v="-300000"/>
    <n v="0"/>
    <n v="300000"/>
    <x v="60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6T00:00:00"/>
    <x v="6"/>
    <x v="48"/>
    <x v="46"/>
    <n v="408678"/>
    <n v="408678"/>
    <n v="0"/>
    <x v="608"/>
    <s v="Administracion"/>
    <m/>
    <m/>
    <m/>
    <m/>
    <m/>
    <m/>
    <m/>
  </r>
  <r>
    <d v="2021-06-16T00:00:00"/>
    <x v="6"/>
    <x v="0"/>
    <x v="0"/>
    <n v="-408678"/>
    <n v="0"/>
    <n v="408678"/>
    <x v="60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6T00:00:00"/>
    <x v="6"/>
    <x v="48"/>
    <x v="46"/>
    <n v="50379"/>
    <n v="50379"/>
    <n v="0"/>
    <x v="609"/>
    <s v="Administracion"/>
    <m/>
    <m/>
    <m/>
    <m/>
    <m/>
    <m/>
    <m/>
  </r>
  <r>
    <d v="2021-06-16T00:00:00"/>
    <x v="6"/>
    <x v="0"/>
    <x v="0"/>
    <n v="-50379"/>
    <n v="0"/>
    <n v="50379"/>
    <x v="60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6T00:00:00"/>
    <x v="6"/>
    <x v="33"/>
    <x v="33"/>
    <n v="260000"/>
    <n v="260000"/>
    <n v="0"/>
    <x v="610"/>
    <s v="Administracion"/>
    <m/>
    <m/>
    <m/>
    <m/>
    <m/>
    <m/>
    <m/>
  </r>
  <r>
    <d v="2021-06-16T00:00:00"/>
    <x v="6"/>
    <x v="0"/>
    <x v="0"/>
    <n v="-230100"/>
    <n v="0"/>
    <n v="230100"/>
    <x v="610"/>
    <s v="Administracion"/>
    <m/>
    <m/>
    <m/>
    <m/>
    <m/>
    <m/>
    <m/>
  </r>
  <r>
    <d v="2021-06-16T00:00:00"/>
    <x v="6"/>
    <x v="9"/>
    <x v="9"/>
    <n v="-29900"/>
    <n v="0"/>
    <n v="29900"/>
    <x v="61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6T00:00:00"/>
    <x v="6"/>
    <x v="0"/>
    <x v="0"/>
    <n v="100000"/>
    <n v="100000"/>
    <n v="0"/>
    <x v="611"/>
    <s v="Administracion"/>
    <m/>
    <m/>
    <m/>
    <m/>
    <m/>
    <m/>
    <m/>
  </r>
  <r>
    <d v="2021-06-16T00:00:00"/>
    <x v="6"/>
    <x v="6"/>
    <x v="6"/>
    <n v="-100000"/>
    <n v="0"/>
    <n v="100000"/>
    <x v="61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6T00:00:00"/>
    <x v="6"/>
    <x v="0"/>
    <x v="0"/>
    <n v="30000"/>
    <n v="30000"/>
    <n v="0"/>
    <x v="612"/>
    <s v="Administracion"/>
    <m/>
    <m/>
    <m/>
    <m/>
    <m/>
    <m/>
    <m/>
  </r>
  <r>
    <d v="2021-06-16T00:00:00"/>
    <x v="6"/>
    <x v="19"/>
    <x v="19"/>
    <n v="-30000"/>
    <n v="0"/>
    <n v="30000"/>
    <x v="6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6T00:00:00"/>
    <x v="6"/>
    <x v="0"/>
    <x v="0"/>
    <n v="15000"/>
    <n v="15000"/>
    <n v="0"/>
    <x v="613"/>
    <s v="Administracion"/>
    <m/>
    <m/>
    <m/>
    <m/>
    <m/>
    <m/>
    <m/>
  </r>
  <r>
    <d v="2021-06-16T00:00:00"/>
    <x v="6"/>
    <x v="21"/>
    <x v="21"/>
    <n v="-15000"/>
    <n v="0"/>
    <n v="15000"/>
    <x v="61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6T00:00:00"/>
    <x v="6"/>
    <x v="0"/>
    <x v="0"/>
    <n v="13633"/>
    <n v="13633"/>
    <n v="0"/>
    <x v="96"/>
    <s v="Administracion"/>
    <m/>
    <m/>
    <m/>
    <m/>
    <m/>
    <m/>
    <m/>
  </r>
  <r>
    <d v="2021-06-16T00:00:00"/>
    <x v="6"/>
    <x v="19"/>
    <x v="19"/>
    <n v="-13633"/>
    <n v="0"/>
    <n v="13633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6T00:00:00"/>
    <x v="6"/>
    <x v="0"/>
    <x v="0"/>
    <n v="20000"/>
    <n v="20000"/>
    <n v="0"/>
    <x v="614"/>
    <s v="Administracion"/>
    <m/>
    <m/>
    <m/>
    <m/>
    <m/>
    <m/>
    <m/>
  </r>
  <r>
    <d v="2021-06-16T00:00:00"/>
    <x v="6"/>
    <x v="21"/>
    <x v="21"/>
    <n v="-20000"/>
    <n v="0"/>
    <n v="20000"/>
    <x v="61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7T00:00:00"/>
    <x v="6"/>
    <x v="0"/>
    <x v="0"/>
    <n v="19614"/>
    <n v="19614"/>
    <n v="0"/>
    <x v="344"/>
    <s v="Administracion"/>
    <m/>
    <m/>
    <m/>
    <m/>
    <m/>
    <m/>
    <m/>
  </r>
  <r>
    <d v="2021-06-17T00:00:00"/>
    <x v="6"/>
    <x v="20"/>
    <x v="20"/>
    <n v="-19614"/>
    <n v="0"/>
    <n v="19614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7T00:00:00"/>
    <x v="6"/>
    <x v="0"/>
    <x v="0"/>
    <n v="145000"/>
    <n v="145000"/>
    <n v="0"/>
    <x v="418"/>
    <s v="Administracion"/>
    <m/>
    <m/>
    <m/>
    <m/>
    <m/>
    <m/>
    <m/>
  </r>
  <r>
    <d v="2021-06-17T00:00:00"/>
    <x v="6"/>
    <x v="19"/>
    <x v="19"/>
    <n v="-145000"/>
    <n v="0"/>
    <n v="145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8T00:00:00"/>
    <x v="6"/>
    <x v="0"/>
    <x v="0"/>
    <n v="40000"/>
    <n v="40000"/>
    <n v="0"/>
    <x v="447"/>
    <s v="Administracion"/>
    <m/>
    <m/>
    <m/>
    <m/>
    <m/>
    <m/>
    <m/>
  </r>
  <r>
    <d v="2021-06-18T00:00:00"/>
    <x v="6"/>
    <x v="21"/>
    <x v="21"/>
    <n v="-40000"/>
    <n v="0"/>
    <n v="40000"/>
    <x v="44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8T00:00:00"/>
    <x v="6"/>
    <x v="0"/>
    <x v="0"/>
    <n v="30000"/>
    <n v="30000"/>
    <n v="0"/>
    <x v="615"/>
    <s v="Administracion"/>
    <m/>
    <m/>
    <m/>
    <m/>
    <m/>
    <m/>
    <m/>
  </r>
  <r>
    <d v="2021-06-18T00:00:00"/>
    <x v="6"/>
    <x v="19"/>
    <x v="19"/>
    <n v="-30000"/>
    <n v="0"/>
    <n v="30000"/>
    <x v="6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8T00:00:00"/>
    <x v="6"/>
    <x v="0"/>
    <x v="0"/>
    <n v="30000"/>
    <n v="30000"/>
    <n v="0"/>
    <x v="616"/>
    <s v="Administracion"/>
    <m/>
    <m/>
    <m/>
    <m/>
    <m/>
    <m/>
    <m/>
  </r>
  <r>
    <d v="2021-06-18T00:00:00"/>
    <x v="6"/>
    <x v="21"/>
    <x v="21"/>
    <n v="-30000"/>
    <n v="0"/>
    <n v="30000"/>
    <x v="61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8T00:00:00"/>
    <x v="6"/>
    <x v="0"/>
    <x v="0"/>
    <n v="30000"/>
    <n v="30000"/>
    <n v="0"/>
    <x v="54"/>
    <s v="Administracion"/>
    <m/>
    <m/>
    <m/>
    <m/>
    <m/>
    <m/>
    <m/>
  </r>
  <r>
    <d v="2021-06-18T00:00:00"/>
    <x v="6"/>
    <x v="6"/>
    <x v="6"/>
    <n v="-30000"/>
    <n v="0"/>
    <n v="30000"/>
    <x v="5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8T00:00:00"/>
    <x v="6"/>
    <x v="0"/>
    <x v="0"/>
    <n v="60000"/>
    <n v="60000"/>
    <n v="0"/>
    <x v="493"/>
    <s v="Administracion"/>
    <m/>
    <m/>
    <m/>
    <m/>
    <m/>
    <m/>
    <m/>
  </r>
  <r>
    <d v="2021-06-18T00:00:00"/>
    <x v="6"/>
    <x v="21"/>
    <x v="21"/>
    <n v="-60000"/>
    <n v="0"/>
    <n v="60000"/>
    <x v="49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8T00:00:00"/>
    <x v="6"/>
    <x v="0"/>
    <x v="0"/>
    <n v="14711"/>
    <n v="14711"/>
    <n v="0"/>
    <x v="96"/>
    <s v="Administracion"/>
    <m/>
    <m/>
    <m/>
    <m/>
    <m/>
    <m/>
    <m/>
  </r>
  <r>
    <d v="2021-06-18T00:00:00"/>
    <x v="6"/>
    <x v="19"/>
    <x v="19"/>
    <n v="-14711"/>
    <n v="0"/>
    <n v="14711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18T00:00:00"/>
    <x v="6"/>
    <x v="0"/>
    <x v="0"/>
    <n v="45000"/>
    <n v="45000"/>
    <n v="0"/>
    <x v="218"/>
    <s v="Administracion"/>
    <m/>
    <m/>
    <m/>
    <m/>
    <m/>
    <m/>
    <m/>
  </r>
  <r>
    <d v="2021-06-18T00:00:00"/>
    <x v="6"/>
    <x v="19"/>
    <x v="19"/>
    <n v="-45000"/>
    <n v="0"/>
    <n v="45000"/>
    <x v="2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25000"/>
    <n v="25000"/>
    <n v="0"/>
    <x v="307"/>
    <s v="Administracion"/>
    <m/>
    <m/>
    <m/>
    <m/>
    <m/>
    <m/>
    <m/>
  </r>
  <r>
    <d v="2021-06-22T00:00:00"/>
    <x v="6"/>
    <x v="19"/>
    <x v="19"/>
    <n v="-25000"/>
    <n v="0"/>
    <n v="25000"/>
    <x v="30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5000"/>
    <n v="5000"/>
    <n v="0"/>
    <x v="315"/>
    <s v="Administracion"/>
    <m/>
    <m/>
    <m/>
    <m/>
    <m/>
    <m/>
    <m/>
  </r>
  <r>
    <d v="2021-06-22T00:00:00"/>
    <x v="6"/>
    <x v="20"/>
    <x v="20"/>
    <n v="-5000"/>
    <n v="0"/>
    <n v="5000"/>
    <x v="3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30000"/>
    <n v="30000"/>
    <n v="0"/>
    <x v="617"/>
    <s v="Administracion"/>
    <m/>
    <m/>
    <m/>
    <m/>
    <m/>
    <m/>
    <m/>
  </r>
  <r>
    <d v="2021-06-22T00:00:00"/>
    <x v="6"/>
    <x v="19"/>
    <x v="19"/>
    <n v="-30000"/>
    <n v="0"/>
    <n v="30000"/>
    <x v="6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30000"/>
    <n v="30000"/>
    <n v="0"/>
    <x v="618"/>
    <s v="Administracion"/>
    <m/>
    <m/>
    <m/>
    <m/>
    <m/>
    <m/>
    <m/>
  </r>
  <r>
    <d v="2021-06-22T00:00:00"/>
    <x v="6"/>
    <x v="21"/>
    <x v="21"/>
    <n v="-30000"/>
    <n v="0"/>
    <n v="30000"/>
    <x v="6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20000"/>
    <n v="20000"/>
    <n v="0"/>
    <x v="619"/>
    <s v="Administracion"/>
    <m/>
    <m/>
    <m/>
    <m/>
    <m/>
    <m/>
    <m/>
  </r>
  <r>
    <d v="2021-06-22T00:00:00"/>
    <x v="6"/>
    <x v="21"/>
    <x v="21"/>
    <n v="-20000"/>
    <n v="0"/>
    <n v="20000"/>
    <x v="61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30000"/>
    <n v="30000"/>
    <n v="0"/>
    <x v="535"/>
    <s v="Administracion"/>
    <m/>
    <m/>
    <m/>
    <m/>
    <m/>
    <m/>
    <m/>
  </r>
  <r>
    <d v="2021-06-22T00:00:00"/>
    <x v="6"/>
    <x v="21"/>
    <x v="21"/>
    <n v="-30000"/>
    <n v="0"/>
    <n v="30000"/>
    <x v="53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10000"/>
    <n v="10000"/>
    <n v="0"/>
    <x v="76"/>
    <s v="Administracion"/>
    <m/>
    <m/>
    <m/>
    <m/>
    <m/>
    <m/>
    <m/>
  </r>
  <r>
    <d v="2021-06-22T00:00:00"/>
    <x v="6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10000"/>
    <n v="10000"/>
    <n v="0"/>
    <x v="620"/>
    <s v="Administracion"/>
    <m/>
    <m/>
    <m/>
    <m/>
    <m/>
    <m/>
    <m/>
  </r>
  <r>
    <d v="2021-06-22T00:00:00"/>
    <x v="6"/>
    <x v="19"/>
    <x v="19"/>
    <n v="-10000"/>
    <n v="0"/>
    <n v="10000"/>
    <x v="62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10000"/>
    <n v="10000"/>
    <n v="0"/>
    <x v="167"/>
    <s v="Administracion"/>
    <m/>
    <m/>
    <m/>
    <m/>
    <m/>
    <m/>
    <m/>
  </r>
  <r>
    <d v="2021-06-22T00:00:00"/>
    <x v="6"/>
    <x v="19"/>
    <x v="19"/>
    <n v="-10000"/>
    <n v="0"/>
    <n v="10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3000"/>
    <n v="3000"/>
    <n v="0"/>
    <x v="600"/>
    <s v="Administracion"/>
    <m/>
    <m/>
    <m/>
    <m/>
    <m/>
    <m/>
    <m/>
  </r>
  <r>
    <d v="2021-06-22T00:00:00"/>
    <x v="6"/>
    <x v="19"/>
    <x v="19"/>
    <n v="-3000"/>
    <n v="0"/>
    <n v="3000"/>
    <x v="60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20000"/>
    <n v="20000"/>
    <n v="0"/>
    <x v="523"/>
    <s v="Administracion"/>
    <m/>
    <m/>
    <m/>
    <m/>
    <m/>
    <m/>
    <m/>
  </r>
  <r>
    <d v="2021-06-22T00:00:00"/>
    <x v="6"/>
    <x v="21"/>
    <x v="21"/>
    <n v="-20000"/>
    <n v="0"/>
    <n v="20000"/>
    <x v="52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20000"/>
    <n v="20000"/>
    <n v="0"/>
    <x v="621"/>
    <s v="Administracion"/>
    <m/>
    <m/>
    <m/>
    <m/>
    <m/>
    <m/>
    <m/>
  </r>
  <r>
    <d v="2021-06-22T00:00:00"/>
    <x v="6"/>
    <x v="21"/>
    <x v="21"/>
    <n v="-20000"/>
    <n v="0"/>
    <n v="20000"/>
    <x v="62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40000"/>
    <n v="40000"/>
    <n v="0"/>
    <x v="202"/>
    <s v="Administracion"/>
    <m/>
    <m/>
    <m/>
    <m/>
    <m/>
    <m/>
    <m/>
  </r>
  <r>
    <d v="2021-06-22T00:00:00"/>
    <x v="6"/>
    <x v="19"/>
    <x v="19"/>
    <n v="-40000"/>
    <n v="0"/>
    <n v="40000"/>
    <x v="20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20000"/>
    <n v="20000"/>
    <n v="0"/>
    <x v="276"/>
    <s v="Administracion"/>
    <m/>
    <m/>
    <m/>
    <m/>
    <m/>
    <m/>
    <m/>
  </r>
  <r>
    <d v="2021-06-22T00:00:00"/>
    <x v="6"/>
    <x v="19"/>
    <x v="19"/>
    <n v="-20000"/>
    <n v="0"/>
    <n v="20000"/>
    <x v="2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20000"/>
    <n v="20000"/>
    <n v="0"/>
    <x v="622"/>
    <s v="Administracion"/>
    <m/>
    <m/>
    <m/>
    <m/>
    <m/>
    <m/>
    <m/>
  </r>
  <r>
    <d v="2021-06-22T00:00:00"/>
    <x v="6"/>
    <x v="21"/>
    <x v="21"/>
    <n v="-20000"/>
    <n v="0"/>
    <n v="20000"/>
    <x v="62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5000"/>
    <n v="5000"/>
    <n v="0"/>
    <x v="98"/>
    <s v="Administracion"/>
    <m/>
    <m/>
    <m/>
    <m/>
    <m/>
    <m/>
    <m/>
  </r>
  <r>
    <d v="2021-06-22T00:00:00"/>
    <x v="6"/>
    <x v="19"/>
    <x v="19"/>
    <n v="-5000"/>
    <n v="0"/>
    <n v="5000"/>
    <x v="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2000"/>
    <n v="2000"/>
    <n v="0"/>
    <x v="283"/>
    <s v="Administracion"/>
    <m/>
    <m/>
    <m/>
    <m/>
    <m/>
    <m/>
    <m/>
  </r>
  <r>
    <d v="2021-06-22T00:00:00"/>
    <x v="6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15000"/>
    <n v="15000"/>
    <n v="0"/>
    <x v="144"/>
    <s v="Administracion"/>
    <m/>
    <m/>
    <m/>
    <m/>
    <m/>
    <m/>
    <m/>
  </r>
  <r>
    <d v="2021-06-22T00:00:00"/>
    <x v="6"/>
    <x v="19"/>
    <x v="19"/>
    <n v="-15000"/>
    <n v="0"/>
    <n v="15000"/>
    <x v="1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20000"/>
    <n v="20000"/>
    <n v="0"/>
    <x v="623"/>
    <s v="Administracion"/>
    <m/>
    <m/>
    <m/>
    <m/>
    <m/>
    <m/>
    <m/>
  </r>
  <r>
    <d v="2021-06-22T00:00:00"/>
    <x v="6"/>
    <x v="21"/>
    <x v="21"/>
    <n v="-20000"/>
    <n v="0"/>
    <n v="20000"/>
    <x v="62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20000"/>
    <n v="20000"/>
    <n v="0"/>
    <x v="624"/>
    <s v="Administracion"/>
    <m/>
    <m/>
    <m/>
    <m/>
    <m/>
    <m/>
    <m/>
  </r>
  <r>
    <d v="2021-06-22T00:00:00"/>
    <x v="6"/>
    <x v="21"/>
    <x v="21"/>
    <n v="-20000"/>
    <n v="0"/>
    <n v="20000"/>
    <x v="62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19614"/>
    <n v="19614"/>
    <n v="0"/>
    <x v="537"/>
    <s v="Administracion"/>
    <m/>
    <m/>
    <m/>
    <m/>
    <m/>
    <m/>
    <m/>
  </r>
  <r>
    <d v="2021-06-22T00:00:00"/>
    <x v="6"/>
    <x v="21"/>
    <x v="21"/>
    <n v="-19614"/>
    <n v="0"/>
    <n v="19614"/>
    <x v="5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50000"/>
    <n v="50000"/>
    <n v="0"/>
    <x v="625"/>
    <s v="Administracion"/>
    <m/>
    <m/>
    <m/>
    <m/>
    <m/>
    <m/>
    <m/>
  </r>
  <r>
    <d v="2021-06-22T00:00:00"/>
    <x v="6"/>
    <x v="24"/>
    <x v="24"/>
    <n v="-50000"/>
    <n v="0"/>
    <n v="50000"/>
    <x v="62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20000"/>
    <n v="20000"/>
    <n v="0"/>
    <x v="626"/>
    <s v="Administracion"/>
    <m/>
    <m/>
    <m/>
    <m/>
    <m/>
    <m/>
    <m/>
  </r>
  <r>
    <d v="2021-06-22T00:00:00"/>
    <x v="6"/>
    <x v="21"/>
    <x v="21"/>
    <n v="-20000"/>
    <n v="0"/>
    <n v="20000"/>
    <x v="62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2T00:00:00"/>
    <x v="6"/>
    <x v="0"/>
    <x v="0"/>
    <n v="140000"/>
    <n v="140000"/>
    <n v="0"/>
    <x v="418"/>
    <s v="Administracion"/>
    <m/>
    <m/>
    <m/>
    <m/>
    <m/>
    <m/>
    <m/>
  </r>
  <r>
    <d v="2021-06-22T00:00:00"/>
    <x v="6"/>
    <x v="19"/>
    <x v="19"/>
    <n v="-140000"/>
    <n v="0"/>
    <n v="140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3T00:00:00"/>
    <x v="6"/>
    <x v="0"/>
    <x v="0"/>
    <n v="85324"/>
    <n v="85324"/>
    <n v="0"/>
    <x v="537"/>
    <s v="Administracion"/>
    <m/>
    <m/>
    <m/>
    <m/>
    <m/>
    <m/>
    <m/>
  </r>
  <r>
    <d v="2021-06-23T00:00:00"/>
    <x v="6"/>
    <x v="21"/>
    <x v="21"/>
    <n v="-85324"/>
    <n v="0"/>
    <n v="85324"/>
    <x v="5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3T00:00:00"/>
    <x v="6"/>
    <x v="0"/>
    <x v="0"/>
    <n v="20000"/>
    <n v="20000"/>
    <n v="0"/>
    <x v="505"/>
    <s v="Administracion"/>
    <m/>
    <m/>
    <m/>
    <m/>
    <m/>
    <m/>
    <m/>
  </r>
  <r>
    <d v="2021-06-23T00:00:00"/>
    <x v="6"/>
    <x v="19"/>
    <x v="19"/>
    <n v="-20000"/>
    <n v="0"/>
    <n v="20000"/>
    <x v="50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4T00:00:00"/>
    <x v="6"/>
    <x v="0"/>
    <x v="0"/>
    <n v="20000"/>
    <n v="20000"/>
    <n v="0"/>
    <x v="191"/>
    <s v="Administracion"/>
    <m/>
    <m/>
    <m/>
    <m/>
    <m/>
    <m/>
    <m/>
  </r>
  <r>
    <d v="2021-06-24T00:00:00"/>
    <x v="6"/>
    <x v="19"/>
    <x v="19"/>
    <n v="-20000"/>
    <n v="0"/>
    <n v="20000"/>
    <x v="19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4T00:00:00"/>
    <x v="6"/>
    <x v="0"/>
    <x v="0"/>
    <n v="30000"/>
    <n v="30000"/>
    <n v="0"/>
    <x v="443"/>
    <s v="Administracion"/>
    <m/>
    <m/>
    <m/>
    <m/>
    <m/>
    <m/>
    <m/>
  </r>
  <r>
    <d v="2021-06-24T00:00:00"/>
    <x v="6"/>
    <x v="21"/>
    <x v="21"/>
    <n v="-30000"/>
    <n v="0"/>
    <n v="30000"/>
    <x v="44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4T00:00:00"/>
    <x v="6"/>
    <x v="0"/>
    <x v="0"/>
    <n v="50000"/>
    <n v="50000"/>
    <n v="0"/>
    <x v="627"/>
    <s v="Administracion"/>
    <m/>
    <m/>
    <m/>
    <m/>
    <m/>
    <m/>
    <m/>
  </r>
  <r>
    <d v="2021-06-24T00:00:00"/>
    <x v="6"/>
    <x v="21"/>
    <x v="21"/>
    <n v="-50000"/>
    <n v="0"/>
    <n v="50000"/>
    <x v="6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4T00:00:00"/>
    <x v="6"/>
    <x v="0"/>
    <x v="0"/>
    <n v="20000"/>
    <n v="20000"/>
    <n v="0"/>
    <x v="444"/>
    <s v="Administracion"/>
    <m/>
    <m/>
    <m/>
    <m/>
    <m/>
    <m/>
    <m/>
  </r>
  <r>
    <d v="2021-06-24T00:00:00"/>
    <x v="6"/>
    <x v="19"/>
    <x v="19"/>
    <n v="-20000"/>
    <n v="0"/>
    <n v="20000"/>
    <x v="4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4T00:00:00"/>
    <x v="6"/>
    <x v="0"/>
    <x v="0"/>
    <n v="10000"/>
    <n v="10000"/>
    <n v="0"/>
    <x v="327"/>
    <s v="Administracion"/>
    <m/>
    <m/>
    <m/>
    <m/>
    <m/>
    <m/>
    <m/>
  </r>
  <r>
    <d v="2021-06-24T00:00:00"/>
    <x v="6"/>
    <x v="19"/>
    <x v="19"/>
    <n v="-10000"/>
    <n v="0"/>
    <n v="10000"/>
    <x v="3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4T00:00:00"/>
    <x v="6"/>
    <x v="0"/>
    <x v="0"/>
    <n v="10000"/>
    <n v="10000"/>
    <n v="0"/>
    <x v="628"/>
    <s v="Administracion"/>
    <m/>
    <m/>
    <m/>
    <m/>
    <m/>
    <m/>
    <m/>
  </r>
  <r>
    <d v="2021-06-24T00:00:00"/>
    <x v="6"/>
    <x v="6"/>
    <x v="6"/>
    <n v="-10000"/>
    <n v="0"/>
    <n v="10000"/>
    <x v="62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5T00:00:00"/>
    <x v="6"/>
    <x v="0"/>
    <x v="0"/>
    <n v="30000"/>
    <n v="30000"/>
    <n v="0"/>
    <x v="629"/>
    <s v="Administracion"/>
    <m/>
    <m/>
    <m/>
    <m/>
    <m/>
    <m/>
    <m/>
  </r>
  <r>
    <d v="2021-06-25T00:00:00"/>
    <x v="6"/>
    <x v="21"/>
    <x v="21"/>
    <n v="-30000"/>
    <n v="0"/>
    <n v="30000"/>
    <x v="62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5T00:00:00"/>
    <x v="6"/>
    <x v="0"/>
    <x v="0"/>
    <n v="30000"/>
    <n v="30000"/>
    <n v="0"/>
    <x v="73"/>
    <s v="Administracion"/>
    <m/>
    <m/>
    <m/>
    <m/>
    <m/>
    <m/>
    <m/>
  </r>
  <r>
    <d v="2021-06-25T00:00:00"/>
    <x v="6"/>
    <x v="19"/>
    <x v="19"/>
    <n v="-30000"/>
    <n v="0"/>
    <n v="30000"/>
    <x v="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5T00:00:00"/>
    <x v="6"/>
    <x v="0"/>
    <x v="0"/>
    <n v="50000"/>
    <n v="50000"/>
    <n v="0"/>
    <x v="551"/>
    <s v="Administracion"/>
    <m/>
    <m/>
    <m/>
    <m/>
    <m/>
    <m/>
    <m/>
  </r>
  <r>
    <d v="2021-06-25T00:00:00"/>
    <x v="6"/>
    <x v="21"/>
    <x v="21"/>
    <n v="-50000"/>
    <n v="0"/>
    <n v="50000"/>
    <x v="55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5T00:00:00"/>
    <x v="6"/>
    <x v="0"/>
    <x v="0"/>
    <n v="20000"/>
    <n v="20000"/>
    <n v="0"/>
    <x v="630"/>
    <s v="Administracion"/>
    <m/>
    <m/>
    <m/>
    <m/>
    <m/>
    <m/>
    <m/>
  </r>
  <r>
    <d v="2021-06-25T00:00:00"/>
    <x v="6"/>
    <x v="19"/>
    <x v="19"/>
    <n v="-20000"/>
    <n v="0"/>
    <n v="20000"/>
    <x v="63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5T00:00:00"/>
    <x v="6"/>
    <x v="0"/>
    <x v="0"/>
    <n v="4940"/>
    <n v="4940"/>
    <n v="0"/>
    <x v="344"/>
    <s v="Administracion"/>
    <m/>
    <m/>
    <m/>
    <m/>
    <m/>
    <m/>
    <m/>
  </r>
  <r>
    <d v="2021-06-25T00:00:00"/>
    <x v="6"/>
    <x v="20"/>
    <x v="20"/>
    <n v="-4940"/>
    <n v="0"/>
    <n v="4940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5T00:00:00"/>
    <x v="6"/>
    <x v="0"/>
    <x v="0"/>
    <n v="30000"/>
    <n v="30000"/>
    <n v="0"/>
    <x v="631"/>
    <s v="Administracion"/>
    <m/>
    <m/>
    <m/>
    <m/>
    <m/>
    <m/>
    <m/>
  </r>
  <r>
    <d v="2021-06-25T00:00:00"/>
    <x v="6"/>
    <x v="21"/>
    <x v="21"/>
    <n v="-30000"/>
    <n v="0"/>
    <n v="30000"/>
    <x v="63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5T00:00:00"/>
    <x v="6"/>
    <x v="0"/>
    <x v="0"/>
    <n v="5000"/>
    <n v="5000"/>
    <n v="0"/>
    <x v="217"/>
    <s v="Administracion"/>
    <m/>
    <m/>
    <m/>
    <m/>
    <m/>
    <m/>
    <m/>
  </r>
  <r>
    <d v="2021-06-25T00:00:00"/>
    <x v="6"/>
    <x v="19"/>
    <x v="19"/>
    <n v="-5000"/>
    <n v="0"/>
    <n v="5000"/>
    <x v="2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40000"/>
    <n v="40000"/>
    <n v="0"/>
    <x v="392"/>
    <s v="Administracion"/>
    <m/>
    <m/>
    <m/>
    <m/>
    <m/>
    <m/>
    <m/>
  </r>
  <r>
    <d v="2021-06-29T00:00:00"/>
    <x v="6"/>
    <x v="19"/>
    <x v="19"/>
    <n v="-40000"/>
    <n v="0"/>
    <n v="40000"/>
    <x v="39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20000"/>
    <n v="20000"/>
    <n v="0"/>
    <x v="614"/>
    <s v="Administracion"/>
    <m/>
    <m/>
    <m/>
    <m/>
    <m/>
    <m/>
    <m/>
  </r>
  <r>
    <d v="2021-06-29T00:00:00"/>
    <x v="6"/>
    <x v="21"/>
    <x v="21"/>
    <n v="-20000"/>
    <n v="0"/>
    <n v="20000"/>
    <x v="61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80000"/>
    <n v="80000"/>
    <n v="0"/>
    <x v="632"/>
    <s v="Administracion"/>
    <m/>
    <m/>
    <m/>
    <m/>
    <m/>
    <m/>
    <m/>
  </r>
  <r>
    <d v="2021-06-29T00:00:00"/>
    <x v="6"/>
    <x v="21"/>
    <x v="21"/>
    <n v="-80000"/>
    <n v="0"/>
    <n v="80000"/>
    <x v="6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40000"/>
    <n v="40000"/>
    <n v="0"/>
    <x v="495"/>
    <s v="Administracion"/>
    <m/>
    <m/>
    <m/>
    <m/>
    <m/>
    <m/>
    <m/>
  </r>
  <r>
    <d v="2021-06-29T00:00:00"/>
    <x v="6"/>
    <x v="21"/>
    <x v="21"/>
    <n v="-40000"/>
    <n v="0"/>
    <n v="40000"/>
    <x v="49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10000"/>
    <n v="10000"/>
    <n v="0"/>
    <x v="441"/>
    <s v="Administracion"/>
    <m/>
    <m/>
    <m/>
    <m/>
    <m/>
    <m/>
    <m/>
  </r>
  <r>
    <d v="2021-06-29T00:00:00"/>
    <x v="6"/>
    <x v="20"/>
    <x v="20"/>
    <n v="-10000"/>
    <n v="0"/>
    <n v="10000"/>
    <x v="4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10000"/>
    <n v="10000"/>
    <n v="0"/>
    <x v="78"/>
    <s v="Administracion"/>
    <m/>
    <m/>
    <m/>
    <m/>
    <m/>
    <m/>
    <m/>
  </r>
  <r>
    <d v="2021-06-29T00:00:00"/>
    <x v="6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3000"/>
    <n v="3000"/>
    <n v="0"/>
    <x v="115"/>
    <s v="Administracion"/>
    <m/>
    <m/>
    <m/>
    <m/>
    <m/>
    <m/>
    <m/>
  </r>
  <r>
    <d v="2021-06-29T00:00:00"/>
    <x v="6"/>
    <x v="19"/>
    <x v="19"/>
    <n v="-3000"/>
    <n v="0"/>
    <n v="3000"/>
    <x v="1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12000"/>
    <n v="12000"/>
    <n v="0"/>
    <x v="86"/>
    <s v="Administracion"/>
    <m/>
    <m/>
    <m/>
    <m/>
    <m/>
    <m/>
    <m/>
  </r>
  <r>
    <d v="2021-06-29T00:00:00"/>
    <x v="6"/>
    <x v="19"/>
    <x v="19"/>
    <n v="-12000"/>
    <n v="0"/>
    <n v="12000"/>
    <x v="8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50000"/>
    <n v="50000"/>
    <n v="0"/>
    <x v="633"/>
    <s v="Administracion"/>
    <m/>
    <m/>
    <m/>
    <m/>
    <m/>
    <m/>
    <m/>
  </r>
  <r>
    <d v="2021-06-29T00:00:00"/>
    <x v="6"/>
    <x v="21"/>
    <x v="21"/>
    <n v="-50000"/>
    <n v="0"/>
    <n v="50000"/>
    <x v="63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20000"/>
    <n v="20000"/>
    <n v="0"/>
    <x v="634"/>
    <s v="Administracion"/>
    <m/>
    <m/>
    <m/>
    <m/>
    <m/>
    <m/>
    <m/>
  </r>
  <r>
    <d v="2021-06-29T00:00:00"/>
    <x v="6"/>
    <x v="21"/>
    <x v="21"/>
    <n v="-20000"/>
    <n v="0"/>
    <n v="20000"/>
    <x v="63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10000"/>
    <n v="10000"/>
    <n v="0"/>
    <x v="635"/>
    <s v="Administracion"/>
    <m/>
    <m/>
    <m/>
    <m/>
    <m/>
    <m/>
    <m/>
  </r>
  <r>
    <d v="2021-06-29T00:00:00"/>
    <x v="6"/>
    <x v="19"/>
    <x v="19"/>
    <n v="-10000"/>
    <n v="0"/>
    <n v="10000"/>
    <x v="63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50000"/>
    <n v="50000"/>
    <n v="0"/>
    <x v="584"/>
    <s v="Administracion"/>
    <m/>
    <m/>
    <m/>
    <m/>
    <m/>
    <m/>
    <m/>
  </r>
  <r>
    <d v="2021-06-29T00:00:00"/>
    <x v="6"/>
    <x v="6"/>
    <x v="6"/>
    <n v="-50000"/>
    <n v="0"/>
    <n v="50000"/>
    <x v="5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20000"/>
    <n v="20000"/>
    <n v="0"/>
    <x v="265"/>
    <s v="Administracion"/>
    <m/>
    <m/>
    <m/>
    <m/>
    <m/>
    <m/>
    <m/>
  </r>
  <r>
    <d v="2021-06-29T00:00:00"/>
    <x v="6"/>
    <x v="19"/>
    <x v="19"/>
    <n v="-20000"/>
    <n v="0"/>
    <n v="20000"/>
    <x v="26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5000"/>
    <n v="5000"/>
    <n v="0"/>
    <x v="98"/>
    <s v="Administracion"/>
    <m/>
    <m/>
    <m/>
    <m/>
    <m/>
    <m/>
    <m/>
  </r>
  <r>
    <d v="2021-06-29T00:00:00"/>
    <x v="6"/>
    <x v="19"/>
    <x v="19"/>
    <n v="-5000"/>
    <n v="0"/>
    <n v="5000"/>
    <x v="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5000"/>
    <n v="5000"/>
    <n v="0"/>
    <x v="173"/>
    <s v="Administracion"/>
    <m/>
    <m/>
    <m/>
    <m/>
    <m/>
    <m/>
    <m/>
  </r>
  <r>
    <d v="2021-06-29T00:00:00"/>
    <x v="6"/>
    <x v="19"/>
    <x v="19"/>
    <n v="-5000"/>
    <n v="0"/>
    <n v="5000"/>
    <x v="1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2000"/>
    <n v="2000"/>
    <n v="0"/>
    <x v="283"/>
    <s v="Administracion"/>
    <m/>
    <m/>
    <m/>
    <m/>
    <m/>
    <m/>
    <m/>
  </r>
  <r>
    <d v="2021-06-29T00:00:00"/>
    <x v="6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60000"/>
    <n v="60000"/>
    <n v="0"/>
    <x v="636"/>
    <s v="Administracion"/>
    <m/>
    <m/>
    <m/>
    <m/>
    <m/>
    <m/>
    <m/>
  </r>
  <r>
    <d v="2021-06-29T00:00:00"/>
    <x v="6"/>
    <x v="21"/>
    <x v="21"/>
    <n v="-60000"/>
    <n v="0"/>
    <n v="60000"/>
    <x v="63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355000"/>
    <n v="355000"/>
    <n v="0"/>
    <x v="637"/>
    <s v="Administracion"/>
    <m/>
    <m/>
    <m/>
    <m/>
    <m/>
    <m/>
    <m/>
  </r>
  <r>
    <d v="2021-06-29T00:00:00"/>
    <x v="6"/>
    <x v="42"/>
    <x v="23"/>
    <n v="-355000"/>
    <n v="0"/>
    <n v="355000"/>
    <x v="6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15000"/>
    <n v="15000"/>
    <n v="0"/>
    <x v="185"/>
    <s v="Administracion"/>
    <m/>
    <m/>
    <m/>
    <m/>
    <m/>
    <m/>
    <m/>
  </r>
  <r>
    <d v="2021-06-29T00:00:00"/>
    <x v="6"/>
    <x v="19"/>
    <x v="19"/>
    <n v="-15000"/>
    <n v="0"/>
    <n v="15000"/>
    <x v="1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10000"/>
    <n v="10000"/>
    <n v="0"/>
    <x v="206"/>
    <s v="Administracion"/>
    <m/>
    <m/>
    <m/>
    <m/>
    <m/>
    <m/>
    <m/>
  </r>
  <r>
    <d v="2021-06-29T00:00:00"/>
    <x v="6"/>
    <x v="19"/>
    <x v="19"/>
    <n v="-10000"/>
    <n v="0"/>
    <n v="10000"/>
    <x v="20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8000"/>
    <n v="8000"/>
    <n v="0"/>
    <x v="167"/>
    <s v="Administracion"/>
    <m/>
    <m/>
    <m/>
    <m/>
    <m/>
    <m/>
    <m/>
  </r>
  <r>
    <d v="2021-06-29T00:00:00"/>
    <x v="6"/>
    <x v="19"/>
    <x v="19"/>
    <n v="-8000"/>
    <n v="0"/>
    <n v="8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50000"/>
    <n v="50000"/>
    <n v="0"/>
    <x v="163"/>
    <s v="Administracion"/>
    <m/>
    <m/>
    <m/>
    <m/>
    <m/>
    <m/>
    <m/>
  </r>
  <r>
    <d v="2021-06-29T00:00:00"/>
    <x v="6"/>
    <x v="19"/>
    <x v="19"/>
    <n v="-50000"/>
    <n v="0"/>
    <n v="50000"/>
    <x v="16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92000"/>
    <n v="92000"/>
    <n v="0"/>
    <x v="418"/>
    <s v="Administracion"/>
    <m/>
    <m/>
    <m/>
    <m/>
    <m/>
    <m/>
    <m/>
  </r>
  <r>
    <d v="2021-06-29T00:00:00"/>
    <x v="6"/>
    <x v="19"/>
    <x v="19"/>
    <n v="-92000"/>
    <n v="0"/>
    <n v="92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29T00:00:00"/>
    <x v="6"/>
    <x v="0"/>
    <x v="0"/>
    <n v="40000"/>
    <n v="40000"/>
    <n v="0"/>
    <x v="186"/>
    <s v="Administracion"/>
    <m/>
    <m/>
    <m/>
    <m/>
    <m/>
    <m/>
    <m/>
  </r>
  <r>
    <d v="2021-06-29T00:00:00"/>
    <x v="6"/>
    <x v="19"/>
    <x v="19"/>
    <n v="-40000"/>
    <n v="0"/>
    <n v="40000"/>
    <x v="18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34"/>
    <x v="34"/>
    <n v="369248"/>
    <n v="369248"/>
    <n v="0"/>
    <x v="638"/>
    <s v="Administracion"/>
    <m/>
    <m/>
    <m/>
    <m/>
    <m/>
    <m/>
    <m/>
  </r>
  <r>
    <d v="2021-06-30T00:00:00"/>
    <x v="6"/>
    <x v="0"/>
    <x v="0"/>
    <n v="-369248"/>
    <n v="0"/>
    <n v="369248"/>
    <x v="63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35"/>
    <x v="21"/>
    <n v="2350000"/>
    <n v="2350000"/>
    <n v="0"/>
    <x v="639"/>
    <s v="Administracion"/>
    <m/>
    <m/>
    <m/>
    <m/>
    <m/>
    <m/>
    <m/>
  </r>
  <r>
    <d v="2021-06-30T00:00:00"/>
    <x v="6"/>
    <x v="0"/>
    <x v="0"/>
    <n v="-2350000"/>
    <n v="0"/>
    <n v="2350000"/>
    <x v="63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42"/>
    <x v="23"/>
    <n v="355000"/>
    <n v="355000"/>
    <n v="0"/>
    <x v="640"/>
    <s v="Administracion"/>
    <m/>
    <m/>
    <m/>
    <m/>
    <m/>
    <m/>
    <m/>
  </r>
  <r>
    <d v="2021-06-30T00:00:00"/>
    <x v="6"/>
    <x v="0"/>
    <x v="0"/>
    <n v="-355000"/>
    <n v="0"/>
    <n v="355000"/>
    <x v="64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36"/>
    <x v="35"/>
    <n v="2995232"/>
    <n v="2995232"/>
    <n v="0"/>
    <x v="72"/>
    <s v="Administración"/>
    <m/>
    <m/>
    <m/>
    <m/>
    <m/>
    <m/>
    <m/>
  </r>
  <r>
    <d v="2021-06-30T00:00:00"/>
    <x v="6"/>
    <x v="37"/>
    <x v="36"/>
    <n v="908269"/>
    <n v="908269"/>
    <n v="0"/>
    <x v="72"/>
    <s v="Administración"/>
    <m/>
    <m/>
    <m/>
    <m/>
    <m/>
    <m/>
    <m/>
  </r>
  <r>
    <d v="2021-06-30T00:00:00"/>
    <x v="6"/>
    <x v="36"/>
    <x v="35"/>
    <n v="47252"/>
    <n v="47252"/>
    <n v="0"/>
    <x v="72"/>
    <s v="Administración"/>
    <m/>
    <m/>
    <m/>
    <m/>
    <m/>
    <m/>
    <m/>
  </r>
  <r>
    <d v="2021-06-30T00:00:00"/>
    <x v="6"/>
    <x v="11"/>
    <x v="11"/>
    <n v="-3343907"/>
    <n v="0"/>
    <n v="3343907"/>
    <x v="72"/>
    <s v="Administración"/>
    <m/>
    <m/>
    <m/>
    <m/>
    <m/>
    <m/>
    <m/>
  </r>
  <r>
    <d v="2021-06-30T00:00:00"/>
    <x v="6"/>
    <x v="10"/>
    <x v="10"/>
    <n v="-417760"/>
    <n v="0"/>
    <n v="417760"/>
    <x v="72"/>
    <s v="Administración"/>
    <m/>
    <m/>
    <m/>
    <m/>
    <m/>
    <m/>
    <m/>
  </r>
  <r>
    <d v="2021-06-30T00:00:00"/>
    <x v="6"/>
    <x v="10"/>
    <x v="10"/>
    <n v="-173269"/>
    <n v="0"/>
    <n v="173269"/>
    <x v="72"/>
    <s v="Administración"/>
    <m/>
    <m/>
    <m/>
    <m/>
    <m/>
    <m/>
    <m/>
  </r>
  <r>
    <d v="2021-06-30T00:00:00"/>
    <x v="6"/>
    <x v="9"/>
    <x v="9"/>
    <n v="-15817"/>
    <n v="0"/>
    <n v="15817"/>
    <x v="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11"/>
    <x v="11"/>
    <n v="3343907"/>
    <n v="3343907"/>
    <n v="0"/>
    <x v="641"/>
    <s v="Administracion"/>
    <m/>
    <m/>
    <m/>
    <m/>
    <m/>
    <m/>
    <m/>
  </r>
  <r>
    <d v="2021-06-30T00:00:00"/>
    <x v="6"/>
    <x v="0"/>
    <x v="0"/>
    <n v="-735000"/>
    <n v="0"/>
    <n v="735000"/>
    <x v="546"/>
    <s v="Administracion"/>
    <m/>
    <m/>
    <m/>
    <m/>
    <m/>
    <m/>
    <m/>
  </r>
  <r>
    <d v="2021-06-30T00:00:00"/>
    <x v="6"/>
    <x v="0"/>
    <x v="0"/>
    <n v="-780262"/>
    <n v="0"/>
    <n v="780262"/>
    <x v="547"/>
    <s v="Administracion"/>
    <m/>
    <m/>
    <m/>
    <m/>
    <m/>
    <m/>
    <m/>
  </r>
  <r>
    <d v="2021-06-30T00:00:00"/>
    <x v="6"/>
    <x v="0"/>
    <x v="0"/>
    <n v="-515551"/>
    <n v="0"/>
    <n v="515551"/>
    <x v="548"/>
    <s v="Administracion"/>
    <m/>
    <m/>
    <m/>
    <m/>
    <m/>
    <m/>
    <m/>
  </r>
  <r>
    <d v="2021-06-30T00:00:00"/>
    <x v="6"/>
    <x v="0"/>
    <x v="0"/>
    <n v="-195402"/>
    <n v="0"/>
    <n v="195402"/>
    <x v="549"/>
    <s v="Administracion"/>
    <m/>
    <m/>
    <m/>
    <m/>
    <m/>
    <m/>
    <m/>
  </r>
  <r>
    <d v="2021-06-30T00:00:00"/>
    <x v="6"/>
    <x v="0"/>
    <x v="0"/>
    <n v="-1117692"/>
    <n v="0"/>
    <n v="1117692"/>
    <x v="55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0"/>
    <x v="0"/>
    <n v="10000"/>
    <n v="10000"/>
    <n v="0"/>
    <x v="285"/>
    <s v="Administracion"/>
    <m/>
    <m/>
    <m/>
    <m/>
    <m/>
    <m/>
    <m/>
  </r>
  <r>
    <d v="2021-06-30T00:00:00"/>
    <x v="6"/>
    <x v="19"/>
    <x v="19"/>
    <n v="-10000"/>
    <n v="0"/>
    <n v="10000"/>
    <x v="2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0"/>
    <x v="0"/>
    <n v="30000"/>
    <n v="30000"/>
    <n v="0"/>
    <x v="642"/>
    <s v="Administracion"/>
    <m/>
    <m/>
    <m/>
    <m/>
    <m/>
    <m/>
    <m/>
  </r>
  <r>
    <d v="2021-06-30T00:00:00"/>
    <x v="6"/>
    <x v="19"/>
    <x v="19"/>
    <n v="-30000"/>
    <n v="0"/>
    <n v="30000"/>
    <x v="64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0"/>
    <x v="0"/>
    <n v="40000"/>
    <n v="40000"/>
    <n v="0"/>
    <x v="643"/>
    <s v="Administracion"/>
    <m/>
    <m/>
    <m/>
    <m/>
    <m/>
    <m/>
    <m/>
  </r>
  <r>
    <d v="2021-06-30T00:00:00"/>
    <x v="6"/>
    <x v="6"/>
    <x v="6"/>
    <n v="-40000"/>
    <n v="0"/>
    <n v="40000"/>
    <x v="64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0"/>
    <x v="0"/>
    <n v="20000"/>
    <n v="20000"/>
    <n v="0"/>
    <x v="162"/>
    <s v="Administracion"/>
    <m/>
    <m/>
    <m/>
    <m/>
    <m/>
    <m/>
    <m/>
  </r>
  <r>
    <d v="2021-06-30T00:00:00"/>
    <x v="6"/>
    <x v="19"/>
    <x v="19"/>
    <n v="-20000"/>
    <n v="0"/>
    <n v="20000"/>
    <x v="1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0"/>
    <x v="0"/>
    <n v="4904"/>
    <n v="4904"/>
    <n v="0"/>
    <x v="344"/>
    <s v="Administracion"/>
    <m/>
    <m/>
    <m/>
    <m/>
    <m/>
    <m/>
    <m/>
  </r>
  <r>
    <d v="2021-06-30T00:00:00"/>
    <x v="6"/>
    <x v="20"/>
    <x v="20"/>
    <n v="-4904"/>
    <n v="0"/>
    <n v="4904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0"/>
    <x v="0"/>
    <n v="78458"/>
    <n v="78458"/>
    <n v="0"/>
    <x v="537"/>
    <s v="Administracion"/>
    <m/>
    <m/>
    <m/>
    <m/>
    <m/>
    <m/>
    <m/>
  </r>
  <r>
    <d v="2021-06-30T00:00:00"/>
    <x v="6"/>
    <x v="21"/>
    <x v="21"/>
    <n v="-78458"/>
    <n v="0"/>
    <n v="78458"/>
    <x v="5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0"/>
    <x v="0"/>
    <n v="20000"/>
    <n v="20000"/>
    <n v="0"/>
    <x v="161"/>
    <s v="Administracion"/>
    <m/>
    <m/>
    <m/>
    <m/>
    <m/>
    <m/>
    <m/>
  </r>
  <r>
    <d v="2021-06-30T00:00:00"/>
    <x v="6"/>
    <x v="19"/>
    <x v="19"/>
    <n v="-20000"/>
    <n v="0"/>
    <n v="20000"/>
    <x v="16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0"/>
    <x v="0"/>
    <n v="40000"/>
    <n v="40000"/>
    <n v="0"/>
    <x v="555"/>
    <s v="Administracion"/>
    <m/>
    <m/>
    <m/>
    <m/>
    <m/>
    <m/>
    <m/>
  </r>
  <r>
    <d v="2021-06-30T00:00:00"/>
    <x v="6"/>
    <x v="21"/>
    <x v="21"/>
    <n v="-40000"/>
    <n v="0"/>
    <n v="40000"/>
    <x v="55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0"/>
    <x v="0"/>
    <n v="12000"/>
    <n v="12000"/>
    <n v="0"/>
    <x v="323"/>
    <s v="Administracion"/>
    <m/>
    <m/>
    <m/>
    <m/>
    <m/>
    <m/>
    <m/>
  </r>
  <r>
    <d v="2021-06-30T00:00:00"/>
    <x v="6"/>
    <x v="19"/>
    <x v="19"/>
    <n v="-12000"/>
    <n v="0"/>
    <n v="12000"/>
    <x v="32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0"/>
    <x v="0"/>
    <n v="30000"/>
    <n v="30000"/>
    <n v="0"/>
    <x v="644"/>
    <s v="Administracion"/>
    <m/>
    <m/>
    <m/>
    <m/>
    <m/>
    <m/>
    <m/>
  </r>
  <r>
    <d v="2021-06-30T00:00:00"/>
    <x v="6"/>
    <x v="6"/>
    <x v="6"/>
    <n v="-30000"/>
    <n v="0"/>
    <n v="30000"/>
    <x v="6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0"/>
    <x v="0"/>
    <n v="100000"/>
    <n v="100000"/>
    <n v="0"/>
    <x v="571"/>
    <s v="Administracion"/>
    <m/>
    <m/>
    <m/>
    <m/>
    <m/>
    <m/>
    <m/>
  </r>
  <r>
    <d v="2021-06-30T00:00:00"/>
    <x v="6"/>
    <x v="21"/>
    <x v="21"/>
    <n v="-100000"/>
    <n v="0"/>
    <n v="100000"/>
    <x v="57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0"/>
    <x v="0"/>
    <n v="355000"/>
    <n v="355000"/>
    <n v="0"/>
    <x v="645"/>
    <s v="Administracion"/>
    <m/>
    <m/>
    <m/>
    <m/>
    <m/>
    <m/>
    <m/>
  </r>
  <r>
    <d v="2021-06-30T00:00:00"/>
    <x v="6"/>
    <x v="42"/>
    <x v="23"/>
    <n v="-355000"/>
    <n v="0"/>
    <n v="355000"/>
    <x v="64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16"/>
    <x v="16"/>
    <n v="12000"/>
    <n v="12000"/>
    <n v="0"/>
    <x v="164"/>
    <s v="Administracion"/>
    <m/>
    <m/>
    <m/>
    <m/>
    <m/>
    <m/>
    <m/>
  </r>
  <r>
    <d v="2021-06-30T00:00:00"/>
    <x v="6"/>
    <x v="16"/>
    <x v="16"/>
    <n v="20000"/>
    <n v="20000"/>
    <n v="0"/>
    <x v="304"/>
    <s v="Administracion"/>
    <m/>
    <m/>
    <m/>
    <m/>
    <m/>
    <m/>
    <m/>
  </r>
  <r>
    <d v="2021-06-30T00:00:00"/>
    <x v="6"/>
    <x v="16"/>
    <x v="16"/>
    <n v="8000"/>
    <n v="8000"/>
    <n v="0"/>
    <x v="168"/>
    <s v="Administracion"/>
    <m/>
    <m/>
    <m/>
    <m/>
    <m/>
    <m/>
    <m/>
  </r>
  <r>
    <d v="2021-06-30T00:00:00"/>
    <x v="6"/>
    <x v="16"/>
    <x v="16"/>
    <n v="5000"/>
    <n v="5000"/>
    <n v="0"/>
    <x v="560"/>
    <s v="Administracion"/>
    <m/>
    <m/>
    <m/>
    <m/>
    <m/>
    <m/>
    <m/>
  </r>
  <r>
    <d v="2021-06-30T00:00:00"/>
    <x v="6"/>
    <x v="19"/>
    <x v="19"/>
    <n v="-12000"/>
    <n v="0"/>
    <n v="12000"/>
    <x v="164"/>
    <s v="Administracion"/>
    <m/>
    <m/>
    <m/>
    <m/>
    <m/>
    <m/>
    <m/>
  </r>
  <r>
    <d v="2021-06-30T00:00:00"/>
    <x v="6"/>
    <x v="19"/>
    <x v="19"/>
    <n v="-20000"/>
    <n v="0"/>
    <n v="20000"/>
    <x v="304"/>
    <s v="Administracion"/>
    <m/>
    <m/>
    <m/>
    <m/>
    <m/>
    <m/>
    <m/>
  </r>
  <r>
    <d v="2021-06-30T00:00:00"/>
    <x v="6"/>
    <x v="19"/>
    <x v="19"/>
    <n v="-8000"/>
    <n v="0"/>
    <n v="8000"/>
    <x v="168"/>
    <s v="Administracion"/>
    <m/>
    <m/>
    <m/>
    <m/>
    <m/>
    <m/>
    <m/>
  </r>
  <r>
    <d v="2021-06-30T00:00:00"/>
    <x v="6"/>
    <x v="19"/>
    <x v="19"/>
    <n v="-5000"/>
    <n v="0"/>
    <n v="5000"/>
    <x v="56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6-30T00:00:00"/>
    <x v="6"/>
    <x v="17"/>
    <x v="17"/>
    <n v="20000"/>
    <n v="20000"/>
    <n v="0"/>
    <x v="432"/>
    <s v="Administracion"/>
    <m/>
    <m/>
    <m/>
    <m/>
    <m/>
    <m/>
    <m/>
  </r>
  <r>
    <d v="2021-06-30T00:00:00"/>
    <x v="6"/>
    <x v="17"/>
    <x v="17"/>
    <n v="20000"/>
    <n v="20000"/>
    <n v="0"/>
    <x v="646"/>
    <s v="Administracion"/>
    <m/>
    <m/>
    <m/>
    <m/>
    <m/>
    <m/>
    <m/>
  </r>
  <r>
    <d v="2021-06-30T00:00:00"/>
    <x v="6"/>
    <x v="17"/>
    <x v="17"/>
    <n v="20000"/>
    <n v="20000"/>
    <n v="0"/>
    <x v="647"/>
    <s v="Administracion"/>
    <m/>
    <m/>
    <m/>
    <m/>
    <m/>
    <m/>
    <m/>
  </r>
  <r>
    <d v="2021-06-30T00:00:00"/>
    <x v="6"/>
    <x v="21"/>
    <x v="21"/>
    <n v="-20000"/>
    <n v="0"/>
    <n v="20000"/>
    <x v="432"/>
    <s v="Administracion"/>
    <m/>
    <m/>
    <m/>
    <m/>
    <m/>
    <m/>
    <m/>
  </r>
  <r>
    <d v="2021-06-30T00:00:00"/>
    <x v="6"/>
    <x v="21"/>
    <x v="21"/>
    <n v="-20000"/>
    <n v="0"/>
    <n v="20000"/>
    <x v="646"/>
    <s v="Administracion"/>
    <m/>
    <m/>
    <m/>
    <m/>
    <m/>
    <m/>
    <m/>
  </r>
  <r>
    <d v="2021-06-30T00:00:00"/>
    <x v="6"/>
    <x v="21"/>
    <x v="21"/>
    <n v="-20000"/>
    <n v="0"/>
    <n v="20000"/>
    <x v="64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1T00:00:00"/>
    <x v="7"/>
    <x v="0"/>
    <x v="0"/>
    <n v="20000"/>
    <n v="20000"/>
    <n v="0"/>
    <x v="459"/>
    <s v="Administracion"/>
    <m/>
    <m/>
    <m/>
    <m/>
    <m/>
    <m/>
    <m/>
  </r>
  <r>
    <d v="2021-07-01T00:00:00"/>
    <x v="7"/>
    <x v="19"/>
    <x v="19"/>
    <n v="-20000"/>
    <n v="0"/>
    <n v="20000"/>
    <x v="45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1T00:00:00"/>
    <x v="7"/>
    <x v="0"/>
    <x v="0"/>
    <n v="18000"/>
    <n v="18000"/>
    <n v="0"/>
    <x v="591"/>
    <s v="Administracion"/>
    <m/>
    <m/>
    <m/>
    <m/>
    <m/>
    <m/>
    <m/>
  </r>
  <r>
    <d v="2021-07-01T00:00:00"/>
    <x v="7"/>
    <x v="19"/>
    <x v="19"/>
    <n v="-18000"/>
    <n v="0"/>
    <n v="18000"/>
    <x v="59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1T00:00:00"/>
    <x v="7"/>
    <x v="0"/>
    <x v="0"/>
    <n v="500000"/>
    <n v="500000"/>
    <n v="0"/>
    <x v="648"/>
    <s v="Administracion"/>
    <m/>
    <m/>
    <m/>
    <m/>
    <m/>
    <m/>
    <m/>
  </r>
  <r>
    <d v="2021-07-01T00:00:00"/>
    <x v="7"/>
    <x v="21"/>
    <x v="21"/>
    <n v="-500000"/>
    <n v="0"/>
    <n v="500000"/>
    <x v="64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1T00:00:00"/>
    <x v="7"/>
    <x v="0"/>
    <x v="0"/>
    <n v="40000"/>
    <n v="40000"/>
    <n v="0"/>
    <x v="528"/>
    <s v="Administracion"/>
    <m/>
    <m/>
    <m/>
    <m/>
    <m/>
    <m/>
    <m/>
  </r>
  <r>
    <d v="2021-07-01T00:00:00"/>
    <x v="7"/>
    <x v="21"/>
    <x v="21"/>
    <n v="-40000"/>
    <n v="0"/>
    <n v="40000"/>
    <x v="52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1T00:00:00"/>
    <x v="7"/>
    <x v="0"/>
    <x v="0"/>
    <n v="10000"/>
    <n v="10000"/>
    <n v="0"/>
    <x v="76"/>
    <s v="Administracion"/>
    <m/>
    <m/>
    <m/>
    <m/>
    <m/>
    <m/>
    <m/>
  </r>
  <r>
    <d v="2021-07-01T00:00:00"/>
    <x v="7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1T00:00:00"/>
    <x v="7"/>
    <x v="0"/>
    <x v="0"/>
    <n v="100000"/>
    <n v="100000"/>
    <n v="0"/>
    <x v="84"/>
    <s v="Administracion"/>
    <m/>
    <m/>
    <m/>
    <m/>
    <m/>
    <m/>
    <m/>
  </r>
  <r>
    <d v="2021-07-01T00:00:00"/>
    <x v="7"/>
    <x v="19"/>
    <x v="19"/>
    <n v="-100000"/>
    <n v="0"/>
    <n v="100000"/>
    <x v="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1T00:00:00"/>
    <x v="7"/>
    <x v="0"/>
    <x v="0"/>
    <n v="16000"/>
    <n v="16000"/>
    <n v="0"/>
    <x v="649"/>
    <s v="Administracion"/>
    <m/>
    <m/>
    <m/>
    <m/>
    <m/>
    <m/>
    <m/>
  </r>
  <r>
    <d v="2021-07-01T00:00:00"/>
    <x v="7"/>
    <x v="19"/>
    <x v="19"/>
    <n v="-16000"/>
    <n v="0"/>
    <n v="16000"/>
    <x v="64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1T00:00:00"/>
    <x v="7"/>
    <x v="0"/>
    <x v="0"/>
    <n v="12000"/>
    <n v="12000"/>
    <n v="0"/>
    <x v="231"/>
    <s v="Administracion"/>
    <m/>
    <m/>
    <m/>
    <m/>
    <m/>
    <m/>
    <m/>
  </r>
  <r>
    <d v="2021-07-01T00:00:00"/>
    <x v="7"/>
    <x v="19"/>
    <x v="19"/>
    <n v="-12000"/>
    <n v="0"/>
    <n v="12000"/>
    <x v="23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1T00:00:00"/>
    <x v="7"/>
    <x v="0"/>
    <x v="0"/>
    <n v="19614"/>
    <n v="19614"/>
    <n v="0"/>
    <x v="537"/>
    <s v="Administracion"/>
    <m/>
    <m/>
    <m/>
    <m/>
    <m/>
    <m/>
    <m/>
  </r>
  <r>
    <d v="2021-07-01T00:00:00"/>
    <x v="7"/>
    <x v="21"/>
    <x v="21"/>
    <n v="-19614"/>
    <n v="0"/>
    <n v="19614"/>
    <x v="5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1T00:00:00"/>
    <x v="7"/>
    <x v="0"/>
    <x v="0"/>
    <n v="15000"/>
    <n v="15000"/>
    <n v="0"/>
    <x v="85"/>
    <s v="Administracion"/>
    <m/>
    <m/>
    <m/>
    <m/>
    <m/>
    <m/>
    <m/>
  </r>
  <r>
    <d v="2021-07-01T00:00:00"/>
    <x v="7"/>
    <x v="19"/>
    <x v="19"/>
    <n v="-15000"/>
    <n v="0"/>
    <n v="15000"/>
    <x v="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1T00:00:00"/>
    <x v="7"/>
    <x v="0"/>
    <x v="0"/>
    <n v="22000"/>
    <n v="22000"/>
    <n v="0"/>
    <x v="418"/>
    <s v="Administracion"/>
    <m/>
    <m/>
    <m/>
    <m/>
    <m/>
    <m/>
    <m/>
  </r>
  <r>
    <d v="2021-07-01T00:00:00"/>
    <x v="7"/>
    <x v="19"/>
    <x v="19"/>
    <n v="-22000"/>
    <n v="0"/>
    <n v="22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2T00:00:00"/>
    <x v="7"/>
    <x v="0"/>
    <x v="0"/>
    <n v="10000"/>
    <n v="10000"/>
    <n v="0"/>
    <x v="650"/>
    <s v="Administracion"/>
    <m/>
    <m/>
    <m/>
    <m/>
    <m/>
    <m/>
    <m/>
  </r>
  <r>
    <d v="2021-07-02T00:00:00"/>
    <x v="7"/>
    <x v="20"/>
    <x v="20"/>
    <n v="-10000"/>
    <n v="0"/>
    <n v="10000"/>
    <x v="65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2T00:00:00"/>
    <x v="7"/>
    <x v="0"/>
    <x v="0"/>
    <n v="10000"/>
    <n v="10000"/>
    <n v="0"/>
    <x v="651"/>
    <s v="Administracion"/>
    <m/>
    <m/>
    <m/>
    <m/>
    <m/>
    <m/>
    <m/>
  </r>
  <r>
    <d v="2021-07-02T00:00:00"/>
    <x v="7"/>
    <x v="20"/>
    <x v="20"/>
    <n v="-10000"/>
    <n v="0"/>
    <n v="10000"/>
    <x v="65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2T00:00:00"/>
    <x v="7"/>
    <x v="0"/>
    <x v="0"/>
    <n v="10000"/>
    <n v="10000"/>
    <n v="0"/>
    <x v="436"/>
    <s v="Administracion"/>
    <m/>
    <m/>
    <m/>
    <m/>
    <m/>
    <m/>
    <m/>
  </r>
  <r>
    <d v="2021-07-02T00:00:00"/>
    <x v="7"/>
    <x v="19"/>
    <x v="19"/>
    <n v="-10000"/>
    <n v="0"/>
    <n v="10000"/>
    <x v="43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2T00:00:00"/>
    <x v="7"/>
    <x v="0"/>
    <x v="0"/>
    <n v="20000"/>
    <n v="20000"/>
    <n v="0"/>
    <x v="652"/>
    <s v="Administracion"/>
    <m/>
    <m/>
    <m/>
    <m/>
    <m/>
    <m/>
    <m/>
  </r>
  <r>
    <d v="2021-07-02T00:00:00"/>
    <x v="7"/>
    <x v="24"/>
    <x v="24"/>
    <n v="-20000"/>
    <n v="0"/>
    <n v="20000"/>
    <x v="65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2T00:00:00"/>
    <x v="7"/>
    <x v="0"/>
    <x v="0"/>
    <n v="40000"/>
    <n v="40000"/>
    <n v="0"/>
    <x v="653"/>
    <s v="Administracion"/>
    <m/>
    <m/>
    <m/>
    <m/>
    <m/>
    <m/>
    <m/>
  </r>
  <r>
    <d v="2021-07-02T00:00:00"/>
    <x v="7"/>
    <x v="21"/>
    <x v="21"/>
    <n v="-40000"/>
    <n v="0"/>
    <n v="40000"/>
    <x v="65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2T00:00:00"/>
    <x v="7"/>
    <x v="0"/>
    <x v="0"/>
    <n v="29643"/>
    <n v="29643"/>
    <n v="0"/>
    <x v="537"/>
    <s v="Administracion"/>
    <m/>
    <m/>
    <m/>
    <m/>
    <m/>
    <m/>
    <m/>
  </r>
  <r>
    <d v="2021-07-02T00:00:00"/>
    <x v="7"/>
    <x v="21"/>
    <x v="21"/>
    <n v="-29643"/>
    <n v="0"/>
    <n v="29643"/>
    <x v="5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2T00:00:00"/>
    <x v="7"/>
    <x v="0"/>
    <x v="0"/>
    <n v="30000"/>
    <n v="30000"/>
    <n v="0"/>
    <x v="32"/>
    <s v="Administracion"/>
    <m/>
    <m/>
    <m/>
    <m/>
    <m/>
    <m/>
    <m/>
  </r>
  <r>
    <d v="2021-07-02T00:00:00"/>
    <x v="7"/>
    <x v="6"/>
    <x v="6"/>
    <n v="-30000"/>
    <n v="0"/>
    <n v="30000"/>
    <x v="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2T00:00:00"/>
    <x v="7"/>
    <x v="0"/>
    <x v="0"/>
    <n v="5000"/>
    <n v="5000"/>
    <n v="0"/>
    <x v="389"/>
    <s v="Administracion"/>
    <m/>
    <m/>
    <m/>
    <m/>
    <m/>
    <m/>
    <m/>
  </r>
  <r>
    <d v="2021-07-02T00:00:00"/>
    <x v="7"/>
    <x v="19"/>
    <x v="19"/>
    <n v="-5000"/>
    <n v="0"/>
    <n v="5000"/>
    <x v="38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2T00:00:00"/>
    <x v="7"/>
    <x v="0"/>
    <x v="0"/>
    <n v="12000"/>
    <n v="12000"/>
    <n v="0"/>
    <x v="569"/>
    <s v="Administracion"/>
    <m/>
    <m/>
    <m/>
    <m/>
    <m/>
    <m/>
    <m/>
  </r>
  <r>
    <d v="2021-07-02T00:00:00"/>
    <x v="7"/>
    <x v="21"/>
    <x v="21"/>
    <n v="-12000"/>
    <n v="0"/>
    <n v="12000"/>
    <x v="56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2T00:00:00"/>
    <x v="7"/>
    <x v="0"/>
    <x v="0"/>
    <n v="10000"/>
    <n v="10000"/>
    <n v="0"/>
    <x v="451"/>
    <s v="Administracion"/>
    <m/>
    <m/>
    <m/>
    <m/>
    <m/>
    <m/>
    <m/>
  </r>
  <r>
    <d v="2021-07-02T00:00:00"/>
    <x v="7"/>
    <x v="6"/>
    <x v="6"/>
    <n v="-10000"/>
    <n v="0"/>
    <n v="10000"/>
    <x v="45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15000"/>
    <n v="15000"/>
    <n v="0"/>
    <x v="323"/>
    <s v="Administracion"/>
    <m/>
    <m/>
    <m/>
    <m/>
    <m/>
    <m/>
    <m/>
  </r>
  <r>
    <d v="2021-07-05T00:00:00"/>
    <x v="7"/>
    <x v="19"/>
    <x v="19"/>
    <n v="-15000"/>
    <n v="0"/>
    <n v="15000"/>
    <x v="32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30000"/>
    <n v="30000"/>
    <n v="0"/>
    <x v="324"/>
    <s v="Administracion"/>
    <m/>
    <m/>
    <m/>
    <m/>
    <m/>
    <m/>
    <m/>
  </r>
  <r>
    <d v="2021-07-05T00:00:00"/>
    <x v="7"/>
    <x v="6"/>
    <x v="6"/>
    <n v="-30000"/>
    <n v="0"/>
    <n v="30000"/>
    <x v="32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5000"/>
    <n v="5000"/>
    <n v="0"/>
    <x v="217"/>
    <s v="Administracion"/>
    <m/>
    <m/>
    <m/>
    <m/>
    <m/>
    <m/>
    <m/>
  </r>
  <r>
    <d v="2021-07-05T00:00:00"/>
    <x v="7"/>
    <x v="19"/>
    <x v="19"/>
    <n v="-5000"/>
    <n v="0"/>
    <n v="5000"/>
    <x v="2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20000"/>
    <n v="20000"/>
    <n v="0"/>
    <x v="218"/>
    <s v="Administracion"/>
    <m/>
    <m/>
    <m/>
    <m/>
    <m/>
    <m/>
    <m/>
  </r>
  <r>
    <d v="2021-07-05T00:00:00"/>
    <x v="7"/>
    <x v="19"/>
    <x v="19"/>
    <n v="-20000"/>
    <n v="0"/>
    <n v="20000"/>
    <x v="2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40000"/>
    <n v="40000"/>
    <n v="0"/>
    <x v="565"/>
    <s v="Administracion"/>
    <m/>
    <m/>
    <m/>
    <m/>
    <m/>
    <m/>
    <m/>
  </r>
  <r>
    <d v="2021-07-05T00:00:00"/>
    <x v="7"/>
    <x v="21"/>
    <x v="21"/>
    <n v="-40000"/>
    <n v="0"/>
    <n v="40000"/>
    <x v="56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120000"/>
    <n v="120000"/>
    <n v="0"/>
    <x v="654"/>
    <s v="Administracion"/>
    <m/>
    <m/>
    <m/>
    <m/>
    <m/>
    <m/>
    <m/>
  </r>
  <r>
    <d v="2021-07-05T00:00:00"/>
    <x v="7"/>
    <x v="6"/>
    <x v="6"/>
    <n v="-120000"/>
    <n v="0"/>
    <n v="120000"/>
    <x v="65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50000"/>
    <n v="50000"/>
    <n v="0"/>
    <x v="198"/>
    <s v="Administracion"/>
    <m/>
    <m/>
    <m/>
    <m/>
    <m/>
    <m/>
    <m/>
  </r>
  <r>
    <d v="2021-07-05T00:00:00"/>
    <x v="7"/>
    <x v="19"/>
    <x v="19"/>
    <n v="-50000"/>
    <n v="0"/>
    <n v="50000"/>
    <x v="1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35000"/>
    <n v="35000"/>
    <n v="0"/>
    <x v="448"/>
    <s v="Administracion"/>
    <m/>
    <m/>
    <m/>
    <m/>
    <m/>
    <m/>
    <m/>
  </r>
  <r>
    <d v="2021-07-05T00:00:00"/>
    <x v="7"/>
    <x v="21"/>
    <x v="21"/>
    <n v="-35000"/>
    <n v="0"/>
    <n v="35000"/>
    <x v="44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38"/>
    <x v="37"/>
    <n v="25705"/>
    <n v="25705"/>
    <n v="0"/>
    <x v="15"/>
    <s v="Administracion"/>
    <m/>
    <m/>
    <m/>
    <m/>
    <m/>
    <m/>
    <m/>
  </r>
  <r>
    <d v="2021-07-05T00:00:00"/>
    <x v="7"/>
    <x v="0"/>
    <x v="0"/>
    <n v="-25705"/>
    <n v="0"/>
    <n v="25705"/>
    <x v="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30000"/>
    <n v="30000"/>
    <n v="0"/>
    <x v="655"/>
    <s v="Administracion"/>
    <m/>
    <m/>
    <m/>
    <m/>
    <m/>
    <m/>
    <m/>
  </r>
  <r>
    <d v="2021-07-05T00:00:00"/>
    <x v="7"/>
    <x v="6"/>
    <x v="6"/>
    <n v="-30000"/>
    <n v="0"/>
    <n v="30000"/>
    <x v="65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30000"/>
    <n v="30000"/>
    <n v="0"/>
    <x v="196"/>
    <s v="Administracion"/>
    <m/>
    <m/>
    <m/>
    <m/>
    <m/>
    <m/>
    <m/>
  </r>
  <r>
    <d v="2021-07-05T00:00:00"/>
    <x v="7"/>
    <x v="19"/>
    <x v="19"/>
    <n v="-30000"/>
    <n v="0"/>
    <n v="30000"/>
    <x v="1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10000"/>
    <n v="10000"/>
    <n v="0"/>
    <x v="167"/>
    <s v="Administracion"/>
    <m/>
    <m/>
    <m/>
    <m/>
    <m/>
    <m/>
    <m/>
  </r>
  <r>
    <d v="2021-07-05T00:00:00"/>
    <x v="7"/>
    <x v="19"/>
    <x v="19"/>
    <n v="-10000"/>
    <n v="0"/>
    <n v="10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20000"/>
    <n v="20000"/>
    <n v="0"/>
    <x v="656"/>
    <s v="Administracion"/>
    <m/>
    <m/>
    <m/>
    <m/>
    <m/>
    <m/>
    <m/>
  </r>
  <r>
    <d v="2021-07-05T00:00:00"/>
    <x v="7"/>
    <x v="21"/>
    <x v="21"/>
    <n v="-20000"/>
    <n v="0"/>
    <n v="20000"/>
    <x v="65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10000"/>
    <n v="10000"/>
    <n v="0"/>
    <x v="272"/>
    <s v="Administracion"/>
    <m/>
    <m/>
    <m/>
    <m/>
    <m/>
    <m/>
    <m/>
  </r>
  <r>
    <d v="2021-07-05T00:00:00"/>
    <x v="7"/>
    <x v="19"/>
    <x v="19"/>
    <n v="-10000"/>
    <n v="0"/>
    <n v="10000"/>
    <x v="2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10000"/>
    <n v="10000"/>
    <n v="0"/>
    <x v="78"/>
    <s v="Administracion"/>
    <m/>
    <m/>
    <m/>
    <m/>
    <m/>
    <m/>
    <m/>
  </r>
  <r>
    <d v="2021-07-05T00:00:00"/>
    <x v="7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15000"/>
    <n v="15000"/>
    <n v="0"/>
    <x v="8"/>
    <s v="Administracion"/>
    <m/>
    <m/>
    <m/>
    <m/>
    <m/>
    <m/>
    <m/>
  </r>
  <r>
    <d v="2021-07-05T00:00:00"/>
    <x v="7"/>
    <x v="6"/>
    <x v="6"/>
    <n v="-15000"/>
    <n v="0"/>
    <n v="15000"/>
    <x v="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20000"/>
    <n v="20000"/>
    <n v="0"/>
    <x v="105"/>
    <s v="Administracion"/>
    <m/>
    <m/>
    <m/>
    <m/>
    <m/>
    <m/>
    <m/>
  </r>
  <r>
    <d v="2021-07-05T00:00:00"/>
    <x v="7"/>
    <x v="19"/>
    <x v="19"/>
    <n v="-20000"/>
    <n v="0"/>
    <n v="20000"/>
    <x v="10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3000"/>
    <n v="3000"/>
    <n v="0"/>
    <x v="115"/>
    <s v="Administracion"/>
    <m/>
    <m/>
    <m/>
    <m/>
    <m/>
    <m/>
    <m/>
  </r>
  <r>
    <d v="2021-07-05T00:00:00"/>
    <x v="7"/>
    <x v="19"/>
    <x v="19"/>
    <n v="-3000"/>
    <n v="0"/>
    <n v="3000"/>
    <x v="1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20000"/>
    <n v="20000"/>
    <n v="0"/>
    <x v="343"/>
    <s v="Administracion"/>
    <m/>
    <m/>
    <m/>
    <m/>
    <m/>
    <m/>
    <m/>
  </r>
  <r>
    <d v="2021-07-05T00:00:00"/>
    <x v="7"/>
    <x v="21"/>
    <x v="21"/>
    <n v="-20000"/>
    <n v="0"/>
    <n v="20000"/>
    <x v="34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5000"/>
    <n v="5000"/>
    <n v="0"/>
    <x v="173"/>
    <s v="Administracion"/>
    <m/>
    <m/>
    <m/>
    <m/>
    <m/>
    <m/>
    <m/>
  </r>
  <r>
    <d v="2021-07-05T00:00:00"/>
    <x v="7"/>
    <x v="19"/>
    <x v="19"/>
    <n v="-5000"/>
    <n v="0"/>
    <n v="5000"/>
    <x v="1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10000"/>
    <n v="10000"/>
    <n v="0"/>
    <x v="76"/>
    <s v="Administracion"/>
    <m/>
    <m/>
    <m/>
    <m/>
    <m/>
    <m/>
    <m/>
  </r>
  <r>
    <d v="2021-07-05T00:00:00"/>
    <x v="7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25000"/>
    <n v="25000"/>
    <n v="0"/>
    <x v="437"/>
    <s v="Administracion"/>
    <m/>
    <m/>
    <m/>
    <m/>
    <m/>
    <m/>
    <m/>
  </r>
  <r>
    <d v="2021-07-05T00:00:00"/>
    <x v="7"/>
    <x v="42"/>
    <x v="23"/>
    <n v="-25000"/>
    <n v="0"/>
    <n v="25000"/>
    <x v="4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10000"/>
    <n v="10000"/>
    <n v="0"/>
    <x v="99"/>
    <s v="Administracion"/>
    <m/>
    <m/>
    <m/>
    <m/>
    <m/>
    <m/>
    <m/>
  </r>
  <r>
    <d v="2021-07-05T00:00:00"/>
    <x v="7"/>
    <x v="19"/>
    <x v="19"/>
    <n v="-10000"/>
    <n v="0"/>
    <n v="10000"/>
    <x v="9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50000"/>
    <n v="50000"/>
    <n v="0"/>
    <x v="532"/>
    <s v="Administracion"/>
    <m/>
    <m/>
    <m/>
    <m/>
    <m/>
    <m/>
    <m/>
  </r>
  <r>
    <d v="2021-07-05T00:00:00"/>
    <x v="7"/>
    <x v="42"/>
    <x v="23"/>
    <n v="-50000"/>
    <n v="0"/>
    <n v="50000"/>
    <x v="5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10000"/>
    <n v="10000"/>
    <n v="0"/>
    <x v="657"/>
    <s v="Administracion"/>
    <m/>
    <m/>
    <m/>
    <m/>
    <m/>
    <m/>
    <m/>
  </r>
  <r>
    <d v="2021-07-05T00:00:00"/>
    <x v="7"/>
    <x v="19"/>
    <x v="19"/>
    <n v="-10000"/>
    <n v="0"/>
    <n v="10000"/>
    <x v="65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190000"/>
    <n v="190000"/>
    <n v="0"/>
    <x v="194"/>
    <s v="Administracion"/>
    <m/>
    <m/>
    <m/>
    <m/>
    <m/>
    <m/>
    <m/>
  </r>
  <r>
    <d v="2021-07-05T00:00:00"/>
    <x v="7"/>
    <x v="19"/>
    <x v="19"/>
    <n v="-190000"/>
    <n v="0"/>
    <n v="190000"/>
    <x v="19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15000"/>
    <n v="15000"/>
    <n v="0"/>
    <x v="658"/>
    <s v="Administracion"/>
    <m/>
    <m/>
    <m/>
    <m/>
    <m/>
    <m/>
    <m/>
  </r>
  <r>
    <d v="2021-07-05T00:00:00"/>
    <x v="7"/>
    <x v="6"/>
    <x v="6"/>
    <n v="-15000"/>
    <n v="0"/>
    <n v="15000"/>
    <x v="65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40000"/>
    <n v="40000"/>
    <n v="0"/>
    <x v="93"/>
    <s v="Administracion"/>
    <m/>
    <m/>
    <m/>
    <m/>
    <m/>
    <m/>
    <m/>
  </r>
  <r>
    <d v="2021-07-05T00:00:00"/>
    <x v="7"/>
    <x v="19"/>
    <x v="19"/>
    <n v="-40000"/>
    <n v="0"/>
    <n v="40000"/>
    <x v="9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20000"/>
    <n v="20000"/>
    <n v="0"/>
    <x v="364"/>
    <s v="Administracion"/>
    <m/>
    <m/>
    <m/>
    <m/>
    <m/>
    <m/>
    <m/>
  </r>
  <r>
    <d v="2021-07-05T00:00:00"/>
    <x v="7"/>
    <x v="19"/>
    <x v="19"/>
    <n v="-20000"/>
    <n v="0"/>
    <n v="20000"/>
    <x v="36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25000"/>
    <n v="25000"/>
    <n v="0"/>
    <x v="132"/>
    <s v="Administracion"/>
    <m/>
    <m/>
    <m/>
    <m/>
    <m/>
    <m/>
    <m/>
  </r>
  <r>
    <d v="2021-07-05T00:00:00"/>
    <x v="7"/>
    <x v="19"/>
    <x v="19"/>
    <n v="-25000"/>
    <n v="0"/>
    <n v="25000"/>
    <x v="1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20000"/>
    <n v="20000"/>
    <n v="0"/>
    <x v="297"/>
    <s v="Administracion"/>
    <m/>
    <m/>
    <m/>
    <m/>
    <m/>
    <m/>
    <m/>
  </r>
  <r>
    <d v="2021-07-05T00:00:00"/>
    <x v="7"/>
    <x v="6"/>
    <x v="6"/>
    <n v="-20000"/>
    <n v="0"/>
    <n v="20000"/>
    <x v="29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2000"/>
    <n v="2000"/>
    <n v="0"/>
    <x v="111"/>
    <s v="Administracion"/>
    <m/>
    <m/>
    <m/>
    <m/>
    <m/>
    <m/>
    <m/>
  </r>
  <r>
    <d v="2021-07-05T00:00:00"/>
    <x v="7"/>
    <x v="19"/>
    <x v="19"/>
    <n v="-2000"/>
    <n v="0"/>
    <n v="2000"/>
    <x v="11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2000"/>
    <n v="2000"/>
    <n v="0"/>
    <x v="283"/>
    <s v="Administracion"/>
    <m/>
    <m/>
    <m/>
    <m/>
    <m/>
    <m/>
    <m/>
  </r>
  <r>
    <d v="2021-07-05T00:00:00"/>
    <x v="7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30000"/>
    <n v="30000"/>
    <n v="0"/>
    <x v="659"/>
    <s v="Administracion"/>
    <m/>
    <m/>
    <m/>
    <m/>
    <m/>
    <m/>
    <m/>
  </r>
  <r>
    <d v="2021-07-05T00:00:00"/>
    <x v="7"/>
    <x v="19"/>
    <x v="19"/>
    <n v="-30000"/>
    <n v="0"/>
    <n v="30000"/>
    <x v="65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20000"/>
    <n v="20000"/>
    <n v="0"/>
    <x v="508"/>
    <s v="Administracion"/>
    <m/>
    <m/>
    <m/>
    <m/>
    <m/>
    <m/>
    <m/>
  </r>
  <r>
    <d v="2021-07-05T00:00:00"/>
    <x v="7"/>
    <x v="21"/>
    <x v="21"/>
    <n v="-20000"/>
    <n v="0"/>
    <n v="20000"/>
    <x v="50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5000"/>
    <n v="5000"/>
    <n v="0"/>
    <x v="384"/>
    <s v="Administracion"/>
    <m/>
    <m/>
    <m/>
    <m/>
    <m/>
    <m/>
    <m/>
  </r>
  <r>
    <d v="2021-07-05T00:00:00"/>
    <x v="7"/>
    <x v="19"/>
    <x v="19"/>
    <n v="-5000"/>
    <n v="0"/>
    <n v="5000"/>
    <x v="3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23"/>
    <x v="23"/>
    <n v="1061"/>
    <n v="1061"/>
    <n v="0"/>
    <x v="485"/>
    <s v="Administracion"/>
    <m/>
    <m/>
    <m/>
    <m/>
    <m/>
    <m/>
    <m/>
  </r>
  <r>
    <d v="2021-07-05T00:00:00"/>
    <x v="7"/>
    <x v="0"/>
    <x v="0"/>
    <n v="-1061"/>
    <n v="0"/>
    <n v="1061"/>
    <x v="4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23"/>
    <x v="23"/>
    <n v="1768"/>
    <n v="1768"/>
    <n v="0"/>
    <x v="485"/>
    <s v="Administracion"/>
    <m/>
    <m/>
    <m/>
    <m/>
    <m/>
    <m/>
    <m/>
  </r>
  <r>
    <d v="2021-07-05T00:00:00"/>
    <x v="7"/>
    <x v="0"/>
    <x v="0"/>
    <n v="-1768"/>
    <n v="0"/>
    <n v="1768"/>
    <x v="4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5T00:00:00"/>
    <x v="7"/>
    <x v="0"/>
    <x v="0"/>
    <n v="153800"/>
    <n v="153800"/>
    <n v="0"/>
    <x v="418"/>
    <s v="Administracion"/>
    <m/>
    <m/>
    <m/>
    <m/>
    <m/>
    <m/>
    <m/>
  </r>
  <r>
    <d v="2021-07-05T00:00:00"/>
    <x v="7"/>
    <x v="19"/>
    <x v="19"/>
    <n v="-153800"/>
    <n v="0"/>
    <n v="1538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6T00:00:00"/>
    <x v="7"/>
    <x v="0"/>
    <x v="0"/>
    <n v="25000"/>
    <n v="25000"/>
    <n v="0"/>
    <x v="457"/>
    <s v="Administracion"/>
    <m/>
    <m/>
    <m/>
    <m/>
    <m/>
    <m/>
    <m/>
  </r>
  <r>
    <d v="2021-07-06T00:00:00"/>
    <x v="7"/>
    <x v="42"/>
    <x v="23"/>
    <n v="-25000"/>
    <n v="0"/>
    <n v="25000"/>
    <x v="45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6T00:00:00"/>
    <x v="7"/>
    <x v="0"/>
    <x v="0"/>
    <n v="20000"/>
    <n v="20000"/>
    <n v="0"/>
    <x v="113"/>
    <s v="Administracion"/>
    <m/>
    <m/>
    <m/>
    <m/>
    <m/>
    <m/>
    <m/>
  </r>
  <r>
    <d v="2021-07-06T00:00:00"/>
    <x v="7"/>
    <x v="19"/>
    <x v="19"/>
    <n v="-20000"/>
    <n v="0"/>
    <n v="20000"/>
    <x v="11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6T00:00:00"/>
    <x v="7"/>
    <x v="0"/>
    <x v="0"/>
    <n v="40000"/>
    <n v="40000"/>
    <n v="0"/>
    <x v="112"/>
    <s v="Administracion"/>
    <m/>
    <m/>
    <m/>
    <m/>
    <m/>
    <m/>
    <m/>
  </r>
  <r>
    <d v="2021-07-06T00:00:00"/>
    <x v="7"/>
    <x v="19"/>
    <x v="19"/>
    <n v="-40000"/>
    <n v="0"/>
    <n v="40000"/>
    <x v="1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6T00:00:00"/>
    <x v="7"/>
    <x v="0"/>
    <x v="0"/>
    <n v="20000"/>
    <n v="20000"/>
    <n v="0"/>
    <x v="74"/>
    <s v="Administracion"/>
    <m/>
    <m/>
    <m/>
    <m/>
    <m/>
    <m/>
    <m/>
  </r>
  <r>
    <d v="2021-07-06T00:00:00"/>
    <x v="7"/>
    <x v="19"/>
    <x v="19"/>
    <n v="-20000"/>
    <n v="0"/>
    <n v="20000"/>
    <x v="7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6T00:00:00"/>
    <x v="7"/>
    <x v="0"/>
    <x v="0"/>
    <n v="22000"/>
    <n v="22000"/>
    <n v="0"/>
    <x v="262"/>
    <s v="Administracion"/>
    <m/>
    <m/>
    <m/>
    <m/>
    <m/>
    <m/>
    <m/>
  </r>
  <r>
    <d v="2021-07-06T00:00:00"/>
    <x v="7"/>
    <x v="19"/>
    <x v="19"/>
    <n v="-22000"/>
    <n v="0"/>
    <n v="22000"/>
    <x v="2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6T00:00:00"/>
    <x v="7"/>
    <x v="0"/>
    <x v="0"/>
    <n v="50000"/>
    <n v="50000"/>
    <n v="0"/>
    <x v="660"/>
    <s v="Administracion"/>
    <m/>
    <m/>
    <m/>
    <m/>
    <m/>
    <m/>
    <m/>
  </r>
  <r>
    <d v="2021-07-06T00:00:00"/>
    <x v="7"/>
    <x v="6"/>
    <x v="6"/>
    <n v="-50000"/>
    <n v="0"/>
    <n v="50000"/>
    <x v="66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6T00:00:00"/>
    <x v="7"/>
    <x v="0"/>
    <x v="0"/>
    <n v="30000"/>
    <n v="30000"/>
    <n v="0"/>
    <x v="661"/>
    <s v="Administracion"/>
    <m/>
    <m/>
    <m/>
    <m/>
    <m/>
    <m/>
    <m/>
  </r>
  <r>
    <d v="2021-07-06T00:00:00"/>
    <x v="7"/>
    <x v="6"/>
    <x v="6"/>
    <n v="-30000"/>
    <n v="0"/>
    <n v="30000"/>
    <x v="66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6T00:00:00"/>
    <x v="7"/>
    <x v="0"/>
    <x v="0"/>
    <n v="21000"/>
    <n v="21000"/>
    <n v="0"/>
    <x v="662"/>
    <s v="Administracion"/>
    <m/>
    <m/>
    <m/>
    <m/>
    <m/>
    <m/>
    <m/>
  </r>
  <r>
    <d v="2021-07-06T00:00:00"/>
    <x v="7"/>
    <x v="6"/>
    <x v="6"/>
    <n v="-21000"/>
    <n v="0"/>
    <n v="21000"/>
    <x v="6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6T00:00:00"/>
    <x v="7"/>
    <x v="0"/>
    <x v="0"/>
    <n v="70000"/>
    <n v="70000"/>
    <n v="0"/>
    <x v="90"/>
    <s v="Administracion"/>
    <m/>
    <m/>
    <m/>
    <m/>
    <m/>
    <m/>
    <m/>
  </r>
  <r>
    <d v="2021-07-06T00:00:00"/>
    <x v="7"/>
    <x v="19"/>
    <x v="19"/>
    <n v="-70000"/>
    <n v="0"/>
    <n v="70000"/>
    <x v="9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6T00:00:00"/>
    <x v="7"/>
    <x v="0"/>
    <x v="0"/>
    <n v="100000"/>
    <n v="100000"/>
    <n v="0"/>
    <x v="326"/>
    <s v="Administracion"/>
    <m/>
    <m/>
    <m/>
    <m/>
    <m/>
    <m/>
    <m/>
  </r>
  <r>
    <d v="2021-07-06T00:00:00"/>
    <x v="7"/>
    <x v="21"/>
    <x v="21"/>
    <n v="-100000"/>
    <n v="0"/>
    <n v="100000"/>
    <x v="32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6T00:00:00"/>
    <x v="7"/>
    <x v="0"/>
    <x v="0"/>
    <n v="4901"/>
    <n v="4901"/>
    <n v="0"/>
    <x v="344"/>
    <s v="Administracion"/>
    <m/>
    <m/>
    <m/>
    <m/>
    <m/>
    <m/>
    <m/>
  </r>
  <r>
    <d v="2021-07-06T00:00:00"/>
    <x v="7"/>
    <x v="20"/>
    <x v="20"/>
    <n v="-4901"/>
    <n v="0"/>
    <n v="4901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6T00:00:00"/>
    <x v="7"/>
    <x v="0"/>
    <x v="0"/>
    <n v="245000"/>
    <n v="245000"/>
    <n v="0"/>
    <x v="418"/>
    <s v="Administracion"/>
    <m/>
    <m/>
    <m/>
    <m/>
    <m/>
    <m/>
    <m/>
  </r>
  <r>
    <d v="2021-07-06T00:00:00"/>
    <x v="7"/>
    <x v="19"/>
    <x v="19"/>
    <n v="-245000"/>
    <n v="0"/>
    <n v="245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6T00:00:00"/>
    <x v="7"/>
    <x v="25"/>
    <x v="25"/>
    <n v="810698"/>
    <n v="810698"/>
    <n v="0"/>
    <x v="663"/>
    <s v="Administracion"/>
    <m/>
    <m/>
    <m/>
    <m/>
    <m/>
    <m/>
    <m/>
  </r>
  <r>
    <d v="2021-07-06T00:00:00"/>
    <x v="7"/>
    <x v="0"/>
    <x v="0"/>
    <n v="-810698"/>
    <n v="0"/>
    <n v="810698"/>
    <x v="66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7T00:00:00"/>
    <x v="7"/>
    <x v="6"/>
    <x v="6"/>
    <n v="6596"/>
    <n v="6596"/>
    <n v="0"/>
    <x v="664"/>
    <s v="Administracion"/>
    <m/>
    <m/>
    <m/>
    <m/>
    <m/>
    <m/>
    <m/>
  </r>
  <r>
    <d v="2021-07-07T00:00:00"/>
    <x v="7"/>
    <x v="9"/>
    <x v="9"/>
    <n v="84700"/>
    <n v="84700"/>
    <n v="0"/>
    <x v="664"/>
    <s v="Administracion"/>
    <m/>
    <m/>
    <m/>
    <m/>
    <m/>
    <m/>
    <m/>
  </r>
  <r>
    <d v="2021-07-07T00:00:00"/>
    <x v="7"/>
    <x v="0"/>
    <x v="0"/>
    <n v="-91296"/>
    <n v="0"/>
    <n v="91296"/>
    <x v="66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7T00:00:00"/>
    <x v="7"/>
    <x v="10"/>
    <x v="10"/>
    <n v="404880"/>
    <n v="404880"/>
    <n v="0"/>
    <x v="332"/>
    <s v="Administracion"/>
    <m/>
    <m/>
    <m/>
    <m/>
    <m/>
    <m/>
    <m/>
  </r>
  <r>
    <d v="2021-07-07T00:00:00"/>
    <x v="7"/>
    <x v="0"/>
    <x v="0"/>
    <n v="-404880"/>
    <n v="0"/>
    <n v="404880"/>
    <x v="3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7T00:00:00"/>
    <x v="7"/>
    <x v="10"/>
    <x v="10"/>
    <n v="173269"/>
    <n v="173269"/>
    <n v="0"/>
    <x v="476"/>
    <s v="Administracion"/>
    <m/>
    <m/>
    <m/>
    <m/>
    <m/>
    <m/>
    <m/>
  </r>
  <r>
    <d v="2021-07-07T00:00:00"/>
    <x v="7"/>
    <x v="0"/>
    <x v="0"/>
    <n v="-173269"/>
    <n v="0"/>
    <n v="173269"/>
    <x v="4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7T00:00:00"/>
    <x v="7"/>
    <x v="0"/>
    <x v="0"/>
    <n v="19762"/>
    <n v="19762"/>
    <n v="0"/>
    <x v="537"/>
    <s v="Administracion"/>
    <m/>
    <m/>
    <m/>
    <m/>
    <m/>
    <m/>
    <m/>
  </r>
  <r>
    <d v="2021-07-07T00:00:00"/>
    <x v="7"/>
    <x v="21"/>
    <x v="21"/>
    <n v="-19762"/>
    <n v="0"/>
    <n v="19762"/>
    <x v="5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7T00:00:00"/>
    <x v="7"/>
    <x v="0"/>
    <x v="0"/>
    <n v="20000"/>
    <n v="20000"/>
    <n v="0"/>
    <x v="665"/>
    <s v="Administracion"/>
    <m/>
    <m/>
    <m/>
    <m/>
    <m/>
    <m/>
    <m/>
  </r>
  <r>
    <d v="2021-07-07T00:00:00"/>
    <x v="7"/>
    <x v="21"/>
    <x v="21"/>
    <n v="-20000"/>
    <n v="0"/>
    <n v="20000"/>
    <x v="66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7T00:00:00"/>
    <x v="7"/>
    <x v="0"/>
    <x v="0"/>
    <n v="20000"/>
    <n v="20000"/>
    <n v="0"/>
    <x v="339"/>
    <s v="Administracion"/>
    <m/>
    <m/>
    <m/>
    <m/>
    <m/>
    <m/>
    <m/>
  </r>
  <r>
    <d v="2021-07-07T00:00:00"/>
    <x v="7"/>
    <x v="19"/>
    <x v="19"/>
    <n v="-20000"/>
    <n v="0"/>
    <n v="20000"/>
    <x v="33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8T00:00:00"/>
    <x v="7"/>
    <x v="0"/>
    <x v="0"/>
    <n v="30000"/>
    <n v="30000"/>
    <n v="0"/>
    <x v="666"/>
    <s v="Administracion"/>
    <m/>
    <m/>
    <m/>
    <m/>
    <m/>
    <m/>
    <m/>
  </r>
  <r>
    <d v="2021-07-08T00:00:00"/>
    <x v="7"/>
    <x v="19"/>
    <x v="19"/>
    <n v="-30000"/>
    <n v="0"/>
    <n v="30000"/>
    <x v="66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8T00:00:00"/>
    <x v="7"/>
    <x v="0"/>
    <x v="0"/>
    <n v="19605"/>
    <n v="19605"/>
    <n v="0"/>
    <x v="537"/>
    <s v="Administracion"/>
    <m/>
    <m/>
    <m/>
    <m/>
    <m/>
    <m/>
    <m/>
  </r>
  <r>
    <d v="2021-07-08T00:00:00"/>
    <x v="7"/>
    <x v="21"/>
    <x v="21"/>
    <n v="-19605"/>
    <n v="0"/>
    <n v="19605"/>
    <x v="5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8T00:00:00"/>
    <x v="7"/>
    <x v="0"/>
    <x v="0"/>
    <n v="25000"/>
    <n v="25000"/>
    <n v="0"/>
    <x v="268"/>
    <s v="Administracion"/>
    <m/>
    <m/>
    <m/>
    <m/>
    <m/>
    <m/>
    <m/>
  </r>
  <r>
    <d v="2021-07-08T00:00:00"/>
    <x v="7"/>
    <x v="42"/>
    <x v="23"/>
    <n v="-25000"/>
    <n v="0"/>
    <n v="25000"/>
    <x v="26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8T00:00:00"/>
    <x v="7"/>
    <x v="0"/>
    <x v="0"/>
    <n v="20000"/>
    <n v="20000"/>
    <n v="0"/>
    <x v="349"/>
    <s v="Administracion"/>
    <m/>
    <m/>
    <m/>
    <m/>
    <m/>
    <m/>
    <m/>
  </r>
  <r>
    <d v="2021-07-08T00:00:00"/>
    <x v="7"/>
    <x v="19"/>
    <x v="19"/>
    <n v="-20000"/>
    <n v="0"/>
    <n v="20000"/>
    <x v="34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9T00:00:00"/>
    <x v="7"/>
    <x v="0"/>
    <x v="0"/>
    <n v="20000"/>
    <n v="20000"/>
    <n v="0"/>
    <x v="667"/>
    <s v="Administracion"/>
    <m/>
    <m/>
    <m/>
    <m/>
    <m/>
    <m/>
    <m/>
  </r>
  <r>
    <d v="2021-07-09T00:00:00"/>
    <x v="7"/>
    <x v="24"/>
    <x v="24"/>
    <n v="-20000"/>
    <n v="0"/>
    <n v="20000"/>
    <x v="6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9T00:00:00"/>
    <x v="7"/>
    <x v="0"/>
    <x v="0"/>
    <n v="25000"/>
    <n v="25000"/>
    <n v="0"/>
    <x v="538"/>
    <s v="Administracion"/>
    <m/>
    <m/>
    <m/>
    <m/>
    <m/>
    <m/>
    <m/>
  </r>
  <r>
    <d v="2021-07-09T00:00:00"/>
    <x v="7"/>
    <x v="21"/>
    <x v="21"/>
    <n v="-25000"/>
    <n v="0"/>
    <n v="25000"/>
    <x v="53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9T00:00:00"/>
    <x v="7"/>
    <x v="26"/>
    <x v="26"/>
    <n v="8896"/>
    <n v="8896"/>
    <n v="0"/>
    <x v="477"/>
    <s v="Administracion"/>
    <m/>
    <m/>
    <m/>
    <m/>
    <m/>
    <m/>
    <m/>
  </r>
  <r>
    <d v="2021-07-09T00:00:00"/>
    <x v="7"/>
    <x v="0"/>
    <x v="0"/>
    <n v="-8896"/>
    <n v="0"/>
    <n v="8896"/>
    <x v="47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9T00:00:00"/>
    <x v="7"/>
    <x v="27"/>
    <x v="27"/>
    <n v="35155"/>
    <n v="35155"/>
    <n v="0"/>
    <x v="211"/>
    <s v="Administracion"/>
    <m/>
    <m/>
    <m/>
    <m/>
    <m/>
    <m/>
    <m/>
  </r>
  <r>
    <d v="2021-07-09T00:00:00"/>
    <x v="7"/>
    <x v="0"/>
    <x v="0"/>
    <n v="-35155"/>
    <n v="0"/>
    <n v="35155"/>
    <x v="21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9T00:00:00"/>
    <x v="7"/>
    <x v="0"/>
    <x v="0"/>
    <n v="4901"/>
    <n v="4901"/>
    <n v="0"/>
    <x v="344"/>
    <s v="Administracion"/>
    <m/>
    <m/>
    <m/>
    <m/>
    <m/>
    <m/>
    <m/>
  </r>
  <r>
    <d v="2021-07-09T00:00:00"/>
    <x v="7"/>
    <x v="20"/>
    <x v="20"/>
    <n v="-4901"/>
    <n v="0"/>
    <n v="4901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9T00:00:00"/>
    <x v="7"/>
    <x v="0"/>
    <x v="0"/>
    <n v="100000"/>
    <n v="100000"/>
    <n v="0"/>
    <x v="597"/>
    <s v="Administracion"/>
    <m/>
    <m/>
    <m/>
    <m/>
    <m/>
    <m/>
    <m/>
  </r>
  <r>
    <d v="2021-07-09T00:00:00"/>
    <x v="7"/>
    <x v="6"/>
    <x v="6"/>
    <n v="-100000"/>
    <n v="0"/>
    <n v="100000"/>
    <x v="59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9T00:00:00"/>
    <x v="7"/>
    <x v="0"/>
    <x v="0"/>
    <n v="20000"/>
    <n v="20000"/>
    <n v="0"/>
    <x v="152"/>
    <s v="Administracion"/>
    <m/>
    <m/>
    <m/>
    <m/>
    <m/>
    <m/>
    <m/>
  </r>
  <r>
    <d v="2021-07-09T00:00:00"/>
    <x v="7"/>
    <x v="19"/>
    <x v="19"/>
    <n v="-20000"/>
    <n v="0"/>
    <n v="20000"/>
    <x v="15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9T00:00:00"/>
    <x v="7"/>
    <x v="0"/>
    <x v="0"/>
    <n v="30000"/>
    <n v="30000"/>
    <n v="0"/>
    <x v="593"/>
    <s v="Administracion"/>
    <m/>
    <m/>
    <m/>
    <m/>
    <m/>
    <m/>
    <m/>
  </r>
  <r>
    <d v="2021-07-09T00:00:00"/>
    <x v="7"/>
    <x v="21"/>
    <x v="21"/>
    <n v="-30000"/>
    <n v="0"/>
    <n v="30000"/>
    <x v="59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9T00:00:00"/>
    <x v="7"/>
    <x v="0"/>
    <x v="0"/>
    <n v="16000"/>
    <n v="16000"/>
    <n v="0"/>
    <x v="336"/>
    <s v="Administracion"/>
    <m/>
    <m/>
    <m/>
    <m/>
    <m/>
    <m/>
    <m/>
  </r>
  <r>
    <d v="2021-07-09T00:00:00"/>
    <x v="7"/>
    <x v="19"/>
    <x v="19"/>
    <n v="-16000"/>
    <n v="0"/>
    <n v="16000"/>
    <x v="33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09T00:00:00"/>
    <x v="7"/>
    <x v="0"/>
    <x v="0"/>
    <n v="20000"/>
    <n v="20000"/>
    <n v="0"/>
    <x v="601"/>
    <s v="Administracion"/>
    <m/>
    <m/>
    <m/>
    <m/>
    <m/>
    <m/>
    <m/>
  </r>
  <r>
    <d v="2021-07-09T00:00:00"/>
    <x v="7"/>
    <x v="21"/>
    <x v="21"/>
    <n v="-20000"/>
    <n v="0"/>
    <n v="20000"/>
    <x v="60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2T00:00:00"/>
    <x v="7"/>
    <x v="0"/>
    <x v="0"/>
    <n v="10000"/>
    <n v="10000"/>
    <n v="0"/>
    <x v="668"/>
    <s v="Administracion"/>
    <m/>
    <m/>
    <m/>
    <m/>
    <m/>
    <m/>
    <m/>
  </r>
  <r>
    <d v="2021-07-12T00:00:00"/>
    <x v="7"/>
    <x v="20"/>
    <x v="20"/>
    <n v="-10000"/>
    <n v="0"/>
    <n v="10000"/>
    <x v="66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2T00:00:00"/>
    <x v="7"/>
    <x v="0"/>
    <x v="0"/>
    <n v="8000"/>
    <n v="8000"/>
    <n v="0"/>
    <x v="167"/>
    <s v="Administracion"/>
    <m/>
    <m/>
    <m/>
    <m/>
    <m/>
    <m/>
    <m/>
  </r>
  <r>
    <d v="2021-07-12T00:00:00"/>
    <x v="7"/>
    <x v="19"/>
    <x v="19"/>
    <n v="-8000"/>
    <n v="0"/>
    <n v="8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2T00:00:00"/>
    <x v="7"/>
    <x v="0"/>
    <x v="0"/>
    <n v="40000"/>
    <n v="40000"/>
    <n v="0"/>
    <x v="311"/>
    <s v="Administracion"/>
    <m/>
    <m/>
    <m/>
    <m/>
    <m/>
    <m/>
    <m/>
  </r>
  <r>
    <d v="2021-07-12T00:00:00"/>
    <x v="7"/>
    <x v="19"/>
    <x v="19"/>
    <n v="-40000"/>
    <n v="0"/>
    <n v="40000"/>
    <x v="31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2T00:00:00"/>
    <x v="7"/>
    <x v="0"/>
    <x v="0"/>
    <n v="40000"/>
    <n v="40000"/>
    <n v="0"/>
    <x v="495"/>
    <s v="Administracion"/>
    <m/>
    <m/>
    <m/>
    <m/>
    <m/>
    <m/>
    <m/>
  </r>
  <r>
    <d v="2021-07-12T00:00:00"/>
    <x v="7"/>
    <x v="21"/>
    <x v="21"/>
    <n v="-40000"/>
    <n v="0"/>
    <n v="40000"/>
    <x v="49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2T00:00:00"/>
    <x v="7"/>
    <x v="0"/>
    <x v="0"/>
    <n v="10000"/>
    <n v="10000"/>
    <n v="0"/>
    <x v="78"/>
    <s v="Administracion"/>
    <m/>
    <m/>
    <m/>
    <m/>
    <m/>
    <m/>
    <m/>
  </r>
  <r>
    <d v="2021-07-12T00:00:00"/>
    <x v="7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2T00:00:00"/>
    <x v="7"/>
    <x v="0"/>
    <x v="0"/>
    <n v="10000"/>
    <n v="10000"/>
    <n v="0"/>
    <x v="76"/>
    <s v="Administracion"/>
    <m/>
    <m/>
    <m/>
    <m/>
    <m/>
    <m/>
    <m/>
  </r>
  <r>
    <d v="2021-07-12T00:00:00"/>
    <x v="7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2T00:00:00"/>
    <x v="7"/>
    <x v="0"/>
    <x v="0"/>
    <n v="3000"/>
    <n v="3000"/>
    <n v="0"/>
    <x v="115"/>
    <s v="Administracion"/>
    <m/>
    <m/>
    <m/>
    <m/>
    <m/>
    <m/>
    <m/>
  </r>
  <r>
    <d v="2021-07-12T00:00:00"/>
    <x v="7"/>
    <x v="19"/>
    <x v="19"/>
    <n v="-3000"/>
    <n v="0"/>
    <n v="3000"/>
    <x v="1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2T00:00:00"/>
    <x v="7"/>
    <x v="0"/>
    <x v="0"/>
    <n v="10000"/>
    <n v="10000"/>
    <n v="0"/>
    <x v="527"/>
    <s v="Administracion"/>
    <m/>
    <m/>
    <m/>
    <m/>
    <m/>
    <m/>
    <m/>
  </r>
  <r>
    <d v="2021-07-12T00:00:00"/>
    <x v="7"/>
    <x v="19"/>
    <x v="19"/>
    <n v="-10000"/>
    <n v="0"/>
    <n v="10000"/>
    <x v="5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2T00:00:00"/>
    <x v="7"/>
    <x v="0"/>
    <x v="0"/>
    <n v="10000"/>
    <n v="10000"/>
    <n v="0"/>
    <x v="98"/>
    <s v="Administracion"/>
    <m/>
    <m/>
    <m/>
    <m/>
    <m/>
    <m/>
    <m/>
  </r>
  <r>
    <d v="2021-07-12T00:00:00"/>
    <x v="7"/>
    <x v="19"/>
    <x v="19"/>
    <n v="-10000"/>
    <n v="0"/>
    <n v="10000"/>
    <x v="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2T00:00:00"/>
    <x v="7"/>
    <x v="0"/>
    <x v="0"/>
    <n v="2000"/>
    <n v="2000"/>
    <n v="0"/>
    <x v="283"/>
    <s v="Administracion"/>
    <m/>
    <m/>
    <m/>
    <m/>
    <m/>
    <m/>
    <m/>
  </r>
  <r>
    <d v="2021-07-12T00:00:00"/>
    <x v="7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2T00:00:00"/>
    <x v="7"/>
    <x v="0"/>
    <x v="0"/>
    <n v="20000"/>
    <n v="20000"/>
    <n v="0"/>
    <x v="669"/>
    <s v="Administracion"/>
    <m/>
    <m/>
    <m/>
    <m/>
    <m/>
    <m/>
    <m/>
  </r>
  <r>
    <d v="2021-07-12T00:00:00"/>
    <x v="7"/>
    <x v="21"/>
    <x v="21"/>
    <n v="-20000"/>
    <n v="0"/>
    <n v="20000"/>
    <x v="66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2T00:00:00"/>
    <x v="7"/>
    <x v="0"/>
    <x v="0"/>
    <n v="248400"/>
    <n v="248400"/>
    <n v="0"/>
    <x v="418"/>
    <s v="Administracion"/>
    <m/>
    <m/>
    <m/>
    <m/>
    <m/>
    <m/>
    <m/>
  </r>
  <r>
    <d v="2021-07-12T00:00:00"/>
    <x v="7"/>
    <x v="19"/>
    <x v="19"/>
    <n v="-248400"/>
    <n v="0"/>
    <n v="2484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3T00:00:00"/>
    <x v="7"/>
    <x v="0"/>
    <x v="0"/>
    <n v="10000"/>
    <n v="10000"/>
    <n v="0"/>
    <x v="217"/>
    <s v="Administracion"/>
    <m/>
    <m/>
    <m/>
    <m/>
    <m/>
    <m/>
    <m/>
  </r>
  <r>
    <d v="2021-07-13T00:00:00"/>
    <x v="7"/>
    <x v="19"/>
    <x v="19"/>
    <n v="-10000"/>
    <n v="0"/>
    <n v="10000"/>
    <x v="2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3T00:00:00"/>
    <x v="7"/>
    <x v="0"/>
    <x v="0"/>
    <n v="20000"/>
    <n v="20000"/>
    <n v="0"/>
    <x v="670"/>
    <s v="Administracion"/>
    <m/>
    <m/>
    <m/>
    <m/>
    <m/>
    <m/>
    <m/>
  </r>
  <r>
    <d v="2021-07-13T00:00:00"/>
    <x v="7"/>
    <x v="19"/>
    <x v="19"/>
    <n v="-20000"/>
    <n v="0"/>
    <n v="20000"/>
    <x v="67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3T00:00:00"/>
    <x v="7"/>
    <x v="0"/>
    <x v="0"/>
    <n v="12742"/>
    <n v="12742"/>
    <n v="0"/>
    <x v="344"/>
    <s v="Administracion"/>
    <m/>
    <m/>
    <m/>
    <m/>
    <m/>
    <m/>
    <m/>
  </r>
  <r>
    <d v="2021-07-13T00:00:00"/>
    <x v="7"/>
    <x v="20"/>
    <x v="20"/>
    <n v="-12742"/>
    <n v="0"/>
    <n v="12742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3T00:00:00"/>
    <x v="7"/>
    <x v="0"/>
    <x v="0"/>
    <n v="100000"/>
    <n v="100000"/>
    <n v="0"/>
    <x v="493"/>
    <s v="Administracion"/>
    <m/>
    <m/>
    <m/>
    <m/>
    <m/>
    <m/>
    <m/>
  </r>
  <r>
    <d v="2021-07-13T00:00:00"/>
    <x v="7"/>
    <x v="21"/>
    <x v="21"/>
    <n v="-100000"/>
    <n v="0"/>
    <n v="100000"/>
    <x v="49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4T00:00:00"/>
    <x v="7"/>
    <x v="0"/>
    <x v="0"/>
    <n v="40000"/>
    <n v="40000"/>
    <n v="0"/>
    <x v="671"/>
    <s v="Administracion"/>
    <m/>
    <m/>
    <m/>
    <m/>
    <m/>
    <m/>
    <m/>
  </r>
  <r>
    <d v="2021-07-14T00:00:00"/>
    <x v="7"/>
    <x v="21"/>
    <x v="21"/>
    <n v="-40000"/>
    <n v="0"/>
    <n v="40000"/>
    <x v="67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5T00:00:00"/>
    <x v="7"/>
    <x v="28"/>
    <x v="28"/>
    <n v="338983"/>
    <n v="338983"/>
    <n v="0"/>
    <x v="672"/>
    <s v="Administracion"/>
    <m/>
    <m/>
    <m/>
    <m/>
    <m/>
    <m/>
    <m/>
  </r>
  <r>
    <d v="2021-07-14T00:00:00"/>
    <x v="7"/>
    <x v="9"/>
    <x v="9"/>
    <n v="-38983"/>
    <n v="0"/>
    <n v="38983"/>
    <x v="672"/>
    <s v="Administracion"/>
    <m/>
    <m/>
    <m/>
    <m/>
    <m/>
    <m/>
    <m/>
  </r>
  <r>
    <d v="2021-07-15T00:00:00"/>
    <x v="7"/>
    <x v="0"/>
    <x v="0"/>
    <n v="-300000"/>
    <n v="0"/>
    <n v="300000"/>
    <x v="6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5T00:00:00"/>
    <x v="7"/>
    <x v="28"/>
    <x v="28"/>
    <n v="112994"/>
    <n v="112994"/>
    <n v="0"/>
    <x v="673"/>
    <s v="Administracion"/>
    <m/>
    <m/>
    <m/>
    <m/>
    <m/>
    <m/>
    <m/>
  </r>
  <r>
    <d v="2021-07-15T00:00:00"/>
    <x v="7"/>
    <x v="9"/>
    <x v="9"/>
    <n v="-12994"/>
    <n v="0"/>
    <n v="12994"/>
    <x v="673"/>
    <s v="Administracion"/>
    <m/>
    <m/>
    <m/>
    <m/>
    <m/>
    <m/>
    <m/>
  </r>
  <r>
    <d v="2021-07-15T00:00:00"/>
    <x v="7"/>
    <x v="0"/>
    <x v="0"/>
    <n v="-100000"/>
    <n v="0"/>
    <n v="100000"/>
    <x v="6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5T00:00:00"/>
    <x v="7"/>
    <x v="33"/>
    <x v="33"/>
    <n v="280000"/>
    <n v="280000"/>
    <n v="0"/>
    <x v="674"/>
    <s v="Administracion"/>
    <m/>
    <m/>
    <m/>
    <m/>
    <m/>
    <m/>
    <m/>
  </r>
  <r>
    <d v="2021-07-15T00:00:00"/>
    <x v="7"/>
    <x v="9"/>
    <x v="9"/>
    <n v="-32200"/>
    <n v="0"/>
    <n v="32200"/>
    <x v="674"/>
    <s v="Administracion"/>
    <m/>
    <m/>
    <m/>
    <m/>
    <m/>
    <m/>
    <m/>
  </r>
  <r>
    <d v="2021-07-15T00:00:00"/>
    <x v="7"/>
    <x v="0"/>
    <x v="0"/>
    <n v="-247800"/>
    <n v="0"/>
    <n v="247800"/>
    <x v="67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5T00:00:00"/>
    <x v="7"/>
    <x v="40"/>
    <x v="39"/>
    <n v="241768"/>
    <n v="241768"/>
    <n v="0"/>
    <x v="675"/>
    <s v="Administracion"/>
    <m/>
    <m/>
    <m/>
    <m/>
    <m/>
    <m/>
    <m/>
  </r>
  <r>
    <d v="2021-07-15T00:00:00"/>
    <x v="7"/>
    <x v="0"/>
    <x v="0"/>
    <n v="-241768"/>
    <n v="0"/>
    <n v="241768"/>
    <x v="67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5T00:00:00"/>
    <x v="7"/>
    <x v="42"/>
    <x v="23"/>
    <n v="355000"/>
    <n v="355000"/>
    <n v="0"/>
    <x v="676"/>
    <s v="Administracion"/>
    <m/>
    <m/>
    <m/>
    <m/>
    <m/>
    <m/>
    <m/>
  </r>
  <r>
    <d v="2021-07-15T00:00:00"/>
    <x v="7"/>
    <x v="0"/>
    <x v="0"/>
    <n v="-355000"/>
    <n v="0"/>
    <n v="355000"/>
    <x v="6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5T00:00:00"/>
    <x v="7"/>
    <x v="31"/>
    <x v="31"/>
    <n v="38173"/>
    <n v="38173"/>
    <n v="0"/>
    <x v="677"/>
    <s v="Administracion"/>
    <m/>
    <m/>
    <m/>
    <m/>
    <m/>
    <m/>
    <m/>
  </r>
  <r>
    <d v="2021-07-15T00:00:00"/>
    <x v="7"/>
    <x v="0"/>
    <x v="0"/>
    <n v="-38173"/>
    <n v="0"/>
    <n v="38173"/>
    <x v="67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5T00:00:00"/>
    <x v="7"/>
    <x v="0"/>
    <x v="0"/>
    <n v="100000"/>
    <n v="100000"/>
    <n v="0"/>
    <x v="483"/>
    <s v="Administracion"/>
    <m/>
    <m/>
    <m/>
    <m/>
    <m/>
    <m/>
    <m/>
  </r>
  <r>
    <d v="2021-07-15T00:00:00"/>
    <x v="7"/>
    <x v="21"/>
    <x v="21"/>
    <n v="-100000"/>
    <n v="0"/>
    <n v="100000"/>
    <x v="4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5T00:00:00"/>
    <x v="7"/>
    <x v="29"/>
    <x v="29"/>
    <n v="43381"/>
    <n v="43381"/>
    <n v="0"/>
    <x v="678"/>
    <s v="Administracion"/>
    <m/>
    <m/>
    <m/>
    <m/>
    <m/>
    <m/>
    <m/>
  </r>
  <r>
    <d v="2021-07-15T00:00:00"/>
    <x v="7"/>
    <x v="0"/>
    <x v="0"/>
    <n v="-43381"/>
    <n v="0"/>
    <n v="43381"/>
    <x v="6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5T00:00:00"/>
    <x v="7"/>
    <x v="27"/>
    <x v="27"/>
    <n v="20990"/>
    <n v="20990"/>
    <n v="0"/>
    <x v="367"/>
    <s v="Administracion"/>
    <m/>
    <m/>
    <m/>
    <m/>
    <m/>
    <m/>
    <m/>
  </r>
  <r>
    <d v="2021-07-15T00:00:00"/>
    <x v="7"/>
    <x v="0"/>
    <x v="0"/>
    <n v="-20990"/>
    <n v="0"/>
    <n v="20990"/>
    <x v="3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5T00:00:00"/>
    <x v="7"/>
    <x v="0"/>
    <x v="0"/>
    <n v="66000"/>
    <n v="66000"/>
    <n v="0"/>
    <x v="418"/>
    <s v="Administracion"/>
    <m/>
    <m/>
    <m/>
    <m/>
    <m/>
    <m/>
    <m/>
  </r>
  <r>
    <d v="2021-07-15T00:00:00"/>
    <x v="7"/>
    <x v="19"/>
    <x v="19"/>
    <n v="-66000"/>
    <n v="0"/>
    <n v="66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5T00:00:00"/>
    <x v="7"/>
    <x v="0"/>
    <x v="0"/>
    <n v="40000"/>
    <n v="40000"/>
    <n v="0"/>
    <x v="679"/>
    <s v="Administracion"/>
    <m/>
    <m/>
    <m/>
    <m/>
    <m/>
    <m/>
    <m/>
  </r>
  <r>
    <d v="2021-07-15T00:00:00"/>
    <x v="7"/>
    <x v="24"/>
    <x v="24"/>
    <n v="-40000"/>
    <n v="0"/>
    <n v="40000"/>
    <x v="67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9T00:00:00"/>
    <x v="7"/>
    <x v="0"/>
    <x v="0"/>
    <n v="30000"/>
    <n v="30000"/>
    <n v="0"/>
    <x v="615"/>
    <s v="Administracion"/>
    <m/>
    <m/>
    <m/>
    <m/>
    <m/>
    <m/>
    <m/>
  </r>
  <r>
    <d v="2021-07-19T00:00:00"/>
    <x v="7"/>
    <x v="19"/>
    <x v="19"/>
    <n v="-30000"/>
    <n v="0"/>
    <n v="30000"/>
    <x v="6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9T00:00:00"/>
    <x v="7"/>
    <x v="0"/>
    <x v="0"/>
    <n v="30000"/>
    <n v="30000"/>
    <n v="0"/>
    <x v="616"/>
    <s v="Administracion"/>
    <m/>
    <m/>
    <m/>
    <m/>
    <m/>
    <m/>
    <m/>
  </r>
  <r>
    <d v="2021-07-19T00:00:00"/>
    <x v="7"/>
    <x v="21"/>
    <x v="21"/>
    <n v="-30000"/>
    <n v="0"/>
    <n v="30000"/>
    <x v="61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9T00:00:00"/>
    <x v="7"/>
    <x v="0"/>
    <x v="0"/>
    <n v="30000"/>
    <n v="30000"/>
    <n v="0"/>
    <x v="54"/>
    <s v="Administracion"/>
    <m/>
    <m/>
    <m/>
    <m/>
    <m/>
    <m/>
    <m/>
  </r>
  <r>
    <d v="2021-07-19T00:00:00"/>
    <x v="7"/>
    <x v="6"/>
    <x v="6"/>
    <n v="-30000"/>
    <n v="0"/>
    <n v="30000"/>
    <x v="5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9T00:00:00"/>
    <x v="7"/>
    <x v="0"/>
    <x v="0"/>
    <n v="5000"/>
    <n v="5000"/>
    <n v="0"/>
    <x v="441"/>
    <s v="Administracion"/>
    <m/>
    <m/>
    <m/>
    <m/>
    <m/>
    <m/>
    <m/>
  </r>
  <r>
    <d v="2021-07-19T00:00:00"/>
    <x v="7"/>
    <x v="20"/>
    <x v="20"/>
    <n v="-5000"/>
    <n v="0"/>
    <n v="5000"/>
    <x v="4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9T00:00:00"/>
    <x v="7"/>
    <x v="0"/>
    <x v="0"/>
    <n v="100000"/>
    <n v="100000"/>
    <n v="0"/>
    <x v="172"/>
    <s v="Administracion"/>
    <m/>
    <m/>
    <m/>
    <m/>
    <m/>
    <m/>
    <m/>
  </r>
  <r>
    <d v="2021-07-19T00:00:00"/>
    <x v="7"/>
    <x v="19"/>
    <x v="19"/>
    <n v="-100000"/>
    <n v="0"/>
    <n v="100000"/>
    <x v="1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9T00:00:00"/>
    <x v="7"/>
    <x v="0"/>
    <x v="0"/>
    <n v="8000"/>
    <n v="8000"/>
    <n v="0"/>
    <x v="167"/>
    <s v="Administracion"/>
    <m/>
    <m/>
    <m/>
    <m/>
    <m/>
    <m/>
    <m/>
  </r>
  <r>
    <d v="2021-07-19T00:00:00"/>
    <x v="7"/>
    <x v="19"/>
    <x v="19"/>
    <n v="-8000"/>
    <n v="0"/>
    <n v="8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9T00:00:00"/>
    <x v="7"/>
    <x v="0"/>
    <x v="0"/>
    <n v="10000"/>
    <n v="10000"/>
    <n v="0"/>
    <x v="78"/>
    <s v="Administracion"/>
    <m/>
    <m/>
    <m/>
    <m/>
    <m/>
    <m/>
    <m/>
  </r>
  <r>
    <d v="2021-07-19T00:00:00"/>
    <x v="7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9T00:00:00"/>
    <x v="7"/>
    <x v="0"/>
    <x v="0"/>
    <n v="3000"/>
    <n v="3000"/>
    <n v="0"/>
    <x v="115"/>
    <s v="Administracion"/>
    <m/>
    <m/>
    <m/>
    <m/>
    <m/>
    <m/>
    <m/>
  </r>
  <r>
    <d v="2021-07-19T00:00:00"/>
    <x v="7"/>
    <x v="19"/>
    <x v="19"/>
    <n v="-3000"/>
    <n v="0"/>
    <n v="3000"/>
    <x v="1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9T00:00:00"/>
    <x v="7"/>
    <x v="0"/>
    <x v="0"/>
    <n v="5000"/>
    <n v="5000"/>
    <n v="0"/>
    <x v="98"/>
    <s v="Administracion"/>
    <m/>
    <m/>
    <m/>
    <m/>
    <m/>
    <m/>
    <m/>
  </r>
  <r>
    <d v="2021-07-19T00:00:00"/>
    <x v="7"/>
    <x v="19"/>
    <x v="19"/>
    <n v="-5000"/>
    <n v="0"/>
    <n v="5000"/>
    <x v="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9T00:00:00"/>
    <x v="7"/>
    <x v="0"/>
    <x v="0"/>
    <n v="5000"/>
    <n v="5000"/>
    <n v="0"/>
    <x v="173"/>
    <s v="Administracion"/>
    <m/>
    <m/>
    <m/>
    <m/>
    <m/>
    <m/>
    <m/>
  </r>
  <r>
    <d v="2021-07-19T00:00:00"/>
    <x v="7"/>
    <x v="19"/>
    <x v="19"/>
    <n v="-5000"/>
    <n v="0"/>
    <n v="5000"/>
    <x v="1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9T00:00:00"/>
    <x v="7"/>
    <x v="0"/>
    <x v="0"/>
    <n v="2000"/>
    <n v="2000"/>
    <n v="0"/>
    <x v="283"/>
    <s v="Administracion"/>
    <m/>
    <m/>
    <m/>
    <m/>
    <m/>
    <m/>
    <m/>
  </r>
  <r>
    <d v="2021-07-19T00:00:00"/>
    <x v="7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9T00:00:00"/>
    <x v="7"/>
    <x v="0"/>
    <x v="0"/>
    <n v="13922"/>
    <n v="13922"/>
    <n v="0"/>
    <x v="572"/>
    <s v="Administracion"/>
    <m/>
    <m/>
    <m/>
    <m/>
    <m/>
    <m/>
    <m/>
  </r>
  <r>
    <d v="2021-07-19T00:00:00"/>
    <x v="7"/>
    <x v="45"/>
    <x v="43"/>
    <n v="-13922"/>
    <n v="0"/>
    <n v="13922"/>
    <x v="5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19T00:00:00"/>
    <x v="7"/>
    <x v="0"/>
    <x v="0"/>
    <n v="401000"/>
    <n v="401000"/>
    <n v="0"/>
    <x v="418"/>
    <s v="Administracion"/>
    <m/>
    <m/>
    <m/>
    <m/>
    <m/>
    <m/>
    <m/>
  </r>
  <r>
    <d v="2021-07-19T00:00:00"/>
    <x v="7"/>
    <x v="19"/>
    <x v="19"/>
    <n v="-401000"/>
    <n v="0"/>
    <n v="401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0T00:00:00"/>
    <x v="7"/>
    <x v="0"/>
    <x v="0"/>
    <n v="20000"/>
    <n v="20000"/>
    <n v="0"/>
    <x v="94"/>
    <s v="Administracion"/>
    <m/>
    <m/>
    <m/>
    <m/>
    <m/>
    <m/>
    <m/>
  </r>
  <r>
    <d v="2021-07-20T00:00:00"/>
    <x v="7"/>
    <x v="19"/>
    <x v="19"/>
    <n v="-20000"/>
    <n v="0"/>
    <n v="20000"/>
    <x v="9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0T00:00:00"/>
    <x v="7"/>
    <x v="0"/>
    <x v="0"/>
    <n v="15000"/>
    <n v="15000"/>
    <n v="0"/>
    <x v="613"/>
    <s v="Administracion"/>
    <m/>
    <m/>
    <m/>
    <m/>
    <m/>
    <m/>
    <m/>
  </r>
  <r>
    <d v="2021-07-20T00:00:00"/>
    <x v="7"/>
    <x v="21"/>
    <x v="21"/>
    <n v="-15000"/>
    <n v="0"/>
    <n v="15000"/>
    <x v="61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0T00:00:00"/>
    <x v="7"/>
    <x v="0"/>
    <x v="0"/>
    <n v="15000"/>
    <n v="15000"/>
    <n v="0"/>
    <x v="144"/>
    <s v="Administracion"/>
    <m/>
    <m/>
    <m/>
    <m/>
    <m/>
    <m/>
    <m/>
  </r>
  <r>
    <d v="2021-07-20T00:00:00"/>
    <x v="7"/>
    <x v="19"/>
    <x v="19"/>
    <n v="-15000"/>
    <n v="0"/>
    <n v="15000"/>
    <x v="1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0T00:00:00"/>
    <x v="7"/>
    <x v="0"/>
    <x v="0"/>
    <n v="19605"/>
    <n v="19605"/>
    <n v="0"/>
    <x v="344"/>
    <s v="Administracion"/>
    <m/>
    <m/>
    <m/>
    <m/>
    <m/>
    <m/>
    <m/>
  </r>
  <r>
    <d v="2021-07-20T00:00:00"/>
    <x v="7"/>
    <x v="20"/>
    <x v="20"/>
    <n v="-19605"/>
    <n v="0"/>
    <n v="19605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1T00:00:00"/>
    <x v="7"/>
    <x v="0"/>
    <x v="0"/>
    <n v="20000"/>
    <n v="20000"/>
    <n v="0"/>
    <x v="680"/>
    <s v="Administracion"/>
    <m/>
    <m/>
    <m/>
    <m/>
    <m/>
    <m/>
    <m/>
  </r>
  <r>
    <d v="2021-07-21T00:00:00"/>
    <x v="7"/>
    <x v="24"/>
    <x v="24"/>
    <n v="-20000"/>
    <n v="0"/>
    <n v="20000"/>
    <x v="68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1T00:00:00"/>
    <x v="7"/>
    <x v="0"/>
    <x v="0"/>
    <n v="39493"/>
    <n v="39493"/>
    <n v="0"/>
    <x v="96"/>
    <s v="Administracion"/>
    <m/>
    <m/>
    <m/>
    <m/>
    <m/>
    <m/>
    <m/>
  </r>
  <r>
    <d v="2021-07-21T00:00:00"/>
    <x v="7"/>
    <x v="19"/>
    <x v="19"/>
    <n v="-39493"/>
    <n v="0"/>
    <n v="39493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1T00:00:00"/>
    <x v="7"/>
    <x v="0"/>
    <x v="0"/>
    <n v="34309"/>
    <n v="34309"/>
    <n v="0"/>
    <x v="344"/>
    <s v="Administracion"/>
    <m/>
    <m/>
    <m/>
    <m/>
    <m/>
    <m/>
    <m/>
  </r>
  <r>
    <d v="2021-07-21T00:00:00"/>
    <x v="7"/>
    <x v="20"/>
    <x v="20"/>
    <n v="-34309"/>
    <n v="0"/>
    <n v="34309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1T00:00:00"/>
    <x v="7"/>
    <x v="0"/>
    <x v="0"/>
    <n v="20000"/>
    <n v="20000"/>
    <n v="0"/>
    <x v="681"/>
    <s v="Administracion"/>
    <m/>
    <m/>
    <m/>
    <m/>
    <m/>
    <m/>
    <m/>
  </r>
  <r>
    <d v="2021-07-21T00:00:00"/>
    <x v="7"/>
    <x v="24"/>
    <x v="24"/>
    <n v="-20000"/>
    <n v="0"/>
    <n v="20000"/>
    <x v="68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3T00:00:00"/>
    <x v="7"/>
    <x v="0"/>
    <x v="0"/>
    <n v="5000"/>
    <n v="5000"/>
    <n v="0"/>
    <x v="217"/>
    <s v="Administracion"/>
    <m/>
    <m/>
    <m/>
    <m/>
    <m/>
    <m/>
    <m/>
  </r>
  <r>
    <d v="2021-07-23T00:00:00"/>
    <x v="7"/>
    <x v="19"/>
    <x v="19"/>
    <n v="-5000"/>
    <n v="0"/>
    <n v="5000"/>
    <x v="2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6T00:00:00"/>
    <x v="7"/>
    <x v="0"/>
    <x v="0"/>
    <n v="175881"/>
    <n v="175881"/>
    <n v="0"/>
    <x v="682"/>
    <s v="Administracion"/>
    <m/>
    <m/>
    <m/>
    <m/>
    <m/>
    <m/>
    <m/>
  </r>
  <r>
    <d v="2021-07-26T00:00:00"/>
    <x v="7"/>
    <x v="19"/>
    <x v="19"/>
    <n v="-175881"/>
    <n v="0"/>
    <n v="175881"/>
    <x v="68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6T00:00:00"/>
    <x v="7"/>
    <x v="31"/>
    <x v="31"/>
    <n v="51089"/>
    <n v="51089"/>
    <n v="0"/>
    <x v="683"/>
    <s v="Administracion"/>
    <m/>
    <m/>
    <m/>
    <m/>
    <m/>
    <m/>
    <m/>
  </r>
  <r>
    <d v="2021-07-26T00:00:00"/>
    <x v="7"/>
    <x v="0"/>
    <x v="0"/>
    <n v="-51089"/>
    <n v="0"/>
    <n v="51089"/>
    <x v="6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6T00:00:00"/>
    <x v="7"/>
    <x v="0"/>
    <x v="0"/>
    <n v="20000"/>
    <n v="20000"/>
    <n v="0"/>
    <x v="684"/>
    <s v="Administracion"/>
    <m/>
    <m/>
    <m/>
    <m/>
    <m/>
    <m/>
    <m/>
  </r>
  <r>
    <d v="2021-07-26T00:00:00"/>
    <x v="7"/>
    <x v="19"/>
    <x v="19"/>
    <n v="-20000"/>
    <n v="0"/>
    <n v="20000"/>
    <x v="6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6T00:00:00"/>
    <x v="7"/>
    <x v="0"/>
    <x v="0"/>
    <n v="10000"/>
    <n v="10000"/>
    <n v="0"/>
    <x v="78"/>
    <s v="Administracion"/>
    <m/>
    <m/>
    <m/>
    <m/>
    <m/>
    <m/>
    <m/>
  </r>
  <r>
    <d v="2021-07-26T00:00:00"/>
    <x v="7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6T00:00:00"/>
    <x v="7"/>
    <x v="0"/>
    <x v="0"/>
    <n v="10000"/>
    <n v="10000"/>
    <n v="0"/>
    <x v="167"/>
    <s v="Administracion"/>
    <m/>
    <m/>
    <m/>
    <m/>
    <m/>
    <m/>
    <m/>
  </r>
  <r>
    <d v="2021-07-26T00:00:00"/>
    <x v="7"/>
    <x v="19"/>
    <x v="19"/>
    <n v="-10000"/>
    <n v="0"/>
    <n v="10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6T00:00:00"/>
    <x v="7"/>
    <x v="0"/>
    <x v="0"/>
    <n v="10000"/>
    <n v="10000"/>
    <n v="0"/>
    <x v="76"/>
    <s v="Administracion"/>
    <m/>
    <m/>
    <m/>
    <m/>
    <m/>
    <m/>
    <m/>
  </r>
  <r>
    <d v="2021-07-26T00:00:00"/>
    <x v="7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6T00:00:00"/>
    <x v="7"/>
    <x v="0"/>
    <x v="0"/>
    <n v="2000"/>
    <n v="2000"/>
    <n v="0"/>
    <x v="685"/>
    <s v="Administracion"/>
    <m/>
    <m/>
    <m/>
    <m/>
    <m/>
    <m/>
    <m/>
  </r>
  <r>
    <d v="2021-07-26T00:00:00"/>
    <x v="7"/>
    <x v="19"/>
    <x v="19"/>
    <n v="-2000"/>
    <n v="0"/>
    <n v="2000"/>
    <x v="6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6T00:00:00"/>
    <x v="7"/>
    <x v="0"/>
    <x v="0"/>
    <n v="20000"/>
    <n v="20000"/>
    <n v="0"/>
    <x v="527"/>
    <s v="Administracion"/>
    <m/>
    <m/>
    <m/>
    <m/>
    <m/>
    <m/>
    <m/>
  </r>
  <r>
    <d v="2021-07-26T00:00:00"/>
    <x v="7"/>
    <x v="19"/>
    <x v="19"/>
    <n v="-20000"/>
    <n v="0"/>
    <n v="20000"/>
    <x v="5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6T00:00:00"/>
    <x v="7"/>
    <x v="0"/>
    <x v="0"/>
    <n v="20000"/>
    <n v="20000"/>
    <n v="0"/>
    <x v="686"/>
    <s v="Administracion"/>
    <m/>
    <m/>
    <m/>
    <m/>
    <m/>
    <m/>
    <m/>
  </r>
  <r>
    <d v="2021-07-26T00:00:00"/>
    <x v="7"/>
    <x v="19"/>
    <x v="19"/>
    <n v="-20000"/>
    <n v="0"/>
    <n v="20000"/>
    <x v="68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6T00:00:00"/>
    <x v="7"/>
    <x v="0"/>
    <x v="0"/>
    <n v="2000"/>
    <n v="2000"/>
    <n v="0"/>
    <x v="283"/>
    <s v="Administracion"/>
    <m/>
    <m/>
    <m/>
    <m/>
    <m/>
    <m/>
    <m/>
  </r>
  <r>
    <d v="2021-07-26T00:00:00"/>
    <x v="7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6T00:00:00"/>
    <x v="7"/>
    <x v="0"/>
    <x v="0"/>
    <n v="218450"/>
    <n v="218450"/>
    <n v="0"/>
    <x v="687"/>
    <s v="Administracion"/>
    <m/>
    <m/>
    <m/>
    <m/>
    <m/>
    <m/>
    <m/>
  </r>
  <r>
    <d v="2021-07-26T00:00:00"/>
    <x v="7"/>
    <x v="19"/>
    <x v="19"/>
    <n v="-218450"/>
    <n v="0"/>
    <n v="218450"/>
    <x v="68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7T00:00:00"/>
    <x v="7"/>
    <x v="0"/>
    <x v="0"/>
    <n v="25000"/>
    <n v="25000"/>
    <n v="0"/>
    <x v="126"/>
    <s v="Administracion"/>
    <m/>
    <m/>
    <m/>
    <m/>
    <m/>
    <m/>
    <m/>
  </r>
  <r>
    <d v="2021-07-27T00:00:00"/>
    <x v="7"/>
    <x v="19"/>
    <x v="19"/>
    <n v="-25000"/>
    <n v="0"/>
    <n v="25000"/>
    <x v="12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7T00:00:00"/>
    <x v="7"/>
    <x v="0"/>
    <x v="0"/>
    <n v="25000"/>
    <n v="25000"/>
    <n v="0"/>
    <x v="454"/>
    <s v="Administracion"/>
    <m/>
    <m/>
    <m/>
    <m/>
    <m/>
    <m/>
    <m/>
  </r>
  <r>
    <d v="2021-07-27T00:00:00"/>
    <x v="7"/>
    <x v="42"/>
    <x v="23"/>
    <n v="-25000"/>
    <n v="0"/>
    <n v="25000"/>
    <x v="45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7T00:00:00"/>
    <x v="7"/>
    <x v="0"/>
    <x v="0"/>
    <n v="500000"/>
    <n v="500000"/>
    <n v="0"/>
    <x v="489"/>
    <s v="Administracion"/>
    <m/>
    <m/>
    <m/>
    <m/>
    <m/>
    <m/>
    <m/>
  </r>
  <r>
    <d v="2021-07-27T00:00:00"/>
    <x v="7"/>
    <x v="42"/>
    <x v="23"/>
    <n v="-500000"/>
    <n v="0"/>
    <n v="500000"/>
    <x v="48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7T00:00:00"/>
    <x v="7"/>
    <x v="0"/>
    <x v="0"/>
    <n v="5000"/>
    <n v="5000"/>
    <n v="0"/>
    <x v="217"/>
    <s v="Administracion"/>
    <m/>
    <m/>
    <m/>
    <m/>
    <m/>
    <m/>
    <m/>
  </r>
  <r>
    <d v="2021-07-27T00:00:00"/>
    <x v="7"/>
    <x v="19"/>
    <x v="19"/>
    <n v="-5000"/>
    <n v="0"/>
    <n v="5000"/>
    <x v="2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7T00:00:00"/>
    <x v="7"/>
    <x v="0"/>
    <x v="0"/>
    <n v="478200"/>
    <n v="478200"/>
    <n v="0"/>
    <x v="450"/>
    <s v="Administracion"/>
    <m/>
    <m/>
    <m/>
    <m/>
    <m/>
    <m/>
    <m/>
  </r>
  <r>
    <d v="2021-07-27T00:00:00"/>
    <x v="7"/>
    <x v="19"/>
    <x v="19"/>
    <n v="-478200"/>
    <n v="0"/>
    <n v="478200"/>
    <x v="45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8T00:00:00"/>
    <x v="7"/>
    <x v="0"/>
    <x v="0"/>
    <n v="20000"/>
    <n v="20000"/>
    <n v="0"/>
    <x v="161"/>
    <s v="Administracion"/>
    <m/>
    <m/>
    <m/>
    <m/>
    <m/>
    <m/>
    <m/>
  </r>
  <r>
    <d v="2021-07-28T00:00:00"/>
    <x v="7"/>
    <x v="19"/>
    <x v="19"/>
    <n v="-20000"/>
    <n v="0"/>
    <n v="20000"/>
    <x v="16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8T00:00:00"/>
    <x v="7"/>
    <x v="0"/>
    <x v="0"/>
    <n v="20000"/>
    <n v="20000"/>
    <n v="0"/>
    <x v="341"/>
    <s v="Administracion"/>
    <m/>
    <m/>
    <m/>
    <m/>
    <m/>
    <m/>
    <m/>
  </r>
  <r>
    <d v="2021-07-28T00:00:00"/>
    <x v="7"/>
    <x v="19"/>
    <x v="19"/>
    <n v="-20000"/>
    <n v="0"/>
    <n v="20000"/>
    <x v="3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9T00:00:00"/>
    <x v="7"/>
    <x v="0"/>
    <x v="0"/>
    <n v="20000"/>
    <n v="20000"/>
    <n v="0"/>
    <x v="688"/>
    <s v="Administracion"/>
    <m/>
    <m/>
    <m/>
    <m/>
    <m/>
    <m/>
    <m/>
  </r>
  <r>
    <d v="2021-07-29T00:00:00"/>
    <x v="7"/>
    <x v="24"/>
    <x v="24"/>
    <n v="-20000"/>
    <n v="0"/>
    <n v="20000"/>
    <x v="68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9T00:00:00"/>
    <x v="7"/>
    <x v="0"/>
    <x v="0"/>
    <n v="40000"/>
    <n v="40000"/>
    <n v="0"/>
    <x v="186"/>
    <s v="Administracion"/>
    <m/>
    <m/>
    <m/>
    <m/>
    <m/>
    <m/>
    <m/>
  </r>
  <r>
    <d v="2021-07-29T00:00:00"/>
    <x v="7"/>
    <x v="19"/>
    <x v="19"/>
    <n v="-40000"/>
    <n v="0"/>
    <n v="40000"/>
    <x v="18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9T00:00:00"/>
    <x v="7"/>
    <x v="0"/>
    <x v="0"/>
    <n v="10000"/>
    <n v="10000"/>
    <n v="0"/>
    <x v="689"/>
    <s v="Administracion"/>
    <m/>
    <m/>
    <m/>
    <m/>
    <m/>
    <m/>
    <m/>
  </r>
  <r>
    <d v="2021-07-29T00:00:00"/>
    <x v="7"/>
    <x v="20"/>
    <x v="20"/>
    <n v="-10000"/>
    <n v="0"/>
    <n v="10000"/>
    <x v="68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9T00:00:00"/>
    <x v="7"/>
    <x v="0"/>
    <x v="0"/>
    <n v="20000"/>
    <n v="20000"/>
    <n v="0"/>
    <x v="690"/>
    <s v="Administracion"/>
    <m/>
    <m/>
    <m/>
    <m/>
    <m/>
    <m/>
    <m/>
  </r>
  <r>
    <d v="2021-07-29T00:00:00"/>
    <x v="7"/>
    <x v="24"/>
    <x v="24"/>
    <n v="-20000"/>
    <n v="0"/>
    <n v="20000"/>
    <x v="69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9T00:00:00"/>
    <x v="7"/>
    <x v="0"/>
    <x v="0"/>
    <n v="8000"/>
    <n v="8000"/>
    <n v="0"/>
    <x v="206"/>
    <s v="Administracion"/>
    <m/>
    <m/>
    <m/>
    <m/>
    <m/>
    <m/>
    <m/>
  </r>
  <r>
    <d v="2021-07-29T00:00:00"/>
    <x v="7"/>
    <x v="19"/>
    <x v="19"/>
    <n v="-8000"/>
    <n v="0"/>
    <n v="8000"/>
    <x v="20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29T00:00:00"/>
    <x v="7"/>
    <x v="0"/>
    <x v="0"/>
    <n v="20000"/>
    <n v="20000"/>
    <n v="0"/>
    <x v="691"/>
    <s v="Administracion"/>
    <m/>
    <m/>
    <m/>
    <m/>
    <m/>
    <m/>
    <m/>
  </r>
  <r>
    <d v="2021-07-29T00:00:00"/>
    <x v="7"/>
    <x v="24"/>
    <x v="24"/>
    <n v="-20000"/>
    <n v="0"/>
    <n v="20000"/>
    <x v="69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34"/>
    <x v="34"/>
    <n v="423803"/>
    <n v="423803"/>
    <n v="0"/>
    <x v="692"/>
    <s v="Administracion"/>
    <m/>
    <m/>
    <m/>
    <m/>
    <m/>
    <m/>
    <m/>
  </r>
  <r>
    <d v="2021-07-30T00:00:00"/>
    <x v="7"/>
    <x v="0"/>
    <x v="0"/>
    <n v="-423803"/>
    <n v="0"/>
    <n v="423803"/>
    <x v="69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35"/>
    <x v="21"/>
    <n v="1950000"/>
    <n v="1950000"/>
    <n v="0"/>
    <x v="693"/>
    <s v="Administracion"/>
    <m/>
    <m/>
    <m/>
    <m/>
    <m/>
    <m/>
    <m/>
  </r>
  <r>
    <d v="2021-07-30T00:00:00"/>
    <x v="7"/>
    <x v="0"/>
    <x v="0"/>
    <n v="-1950000"/>
    <n v="0"/>
    <n v="1950000"/>
    <x v="69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28"/>
    <x v="28"/>
    <n v="451977"/>
    <n v="451977"/>
    <n v="0"/>
    <x v="694"/>
    <s v="Administracion"/>
    <m/>
    <m/>
    <m/>
    <m/>
    <m/>
    <m/>
    <m/>
  </r>
  <r>
    <d v="2021-07-30T00:00:00"/>
    <x v="7"/>
    <x v="0"/>
    <x v="0"/>
    <n v="-400000"/>
    <n v="0"/>
    <n v="400000"/>
    <x v="694"/>
    <s v="Administracion"/>
    <m/>
    <m/>
    <m/>
    <m/>
    <m/>
    <m/>
    <m/>
  </r>
  <r>
    <d v="2021-07-30T00:00:00"/>
    <x v="7"/>
    <x v="9"/>
    <x v="9"/>
    <n v="-51977"/>
    <n v="0"/>
    <n v="51977"/>
    <x v="69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39"/>
    <x v="38"/>
    <n v="60000"/>
    <n v="60000"/>
    <n v="0"/>
    <x v="695"/>
    <s v="Administracion"/>
    <m/>
    <m/>
    <m/>
    <m/>
    <m/>
    <m/>
    <m/>
  </r>
  <r>
    <d v="2021-07-30T00:00:00"/>
    <x v="7"/>
    <x v="0"/>
    <x v="0"/>
    <n v="-60000"/>
    <n v="0"/>
    <n v="60000"/>
    <x v="69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42"/>
    <x v="23"/>
    <n v="450000"/>
    <n v="450000"/>
    <n v="0"/>
    <x v="696"/>
    <s v="Administracion"/>
    <m/>
    <m/>
    <m/>
    <m/>
    <m/>
    <m/>
    <m/>
  </r>
  <r>
    <d v="2021-07-30T00:00:00"/>
    <x v="7"/>
    <x v="0"/>
    <x v="0"/>
    <n v="-450000"/>
    <n v="0"/>
    <n v="450000"/>
    <x v="6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33"/>
    <x v="33"/>
    <n v="60000"/>
    <n v="60000"/>
    <n v="0"/>
    <x v="697"/>
    <s v="Administracion"/>
    <m/>
    <m/>
    <m/>
    <m/>
    <m/>
    <m/>
    <m/>
  </r>
  <r>
    <d v="2021-07-30T00:00:00"/>
    <x v="7"/>
    <x v="0"/>
    <x v="0"/>
    <n v="-53100"/>
    <n v="0"/>
    <n v="53100"/>
    <x v="697"/>
    <s v="Administracion"/>
    <m/>
    <m/>
    <m/>
    <m/>
    <m/>
    <m/>
    <m/>
  </r>
  <r>
    <d v="2021-07-30T00:00:00"/>
    <x v="7"/>
    <x v="9"/>
    <x v="9"/>
    <n v="-6900"/>
    <n v="0"/>
    <n v="6900"/>
    <x v="69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32"/>
    <x v="32"/>
    <n v="33898"/>
    <n v="33898"/>
    <n v="0"/>
    <x v="698"/>
    <s v="Administracion"/>
    <m/>
    <m/>
    <m/>
    <m/>
    <m/>
    <m/>
    <m/>
  </r>
  <r>
    <d v="2021-07-30T00:00:00"/>
    <x v="7"/>
    <x v="0"/>
    <x v="0"/>
    <n v="-30000"/>
    <n v="0"/>
    <n v="30000"/>
    <x v="698"/>
    <s v="Administracion"/>
    <m/>
    <m/>
    <m/>
    <m/>
    <m/>
    <m/>
    <m/>
  </r>
  <r>
    <d v="2021-07-30T00:00:00"/>
    <x v="7"/>
    <x v="9"/>
    <x v="9"/>
    <n v="-3898"/>
    <n v="0"/>
    <n v="3898"/>
    <x v="6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36"/>
    <x v="35"/>
    <n v="3059525"/>
    <n v="3059525"/>
    <n v="0"/>
    <x v="72"/>
    <s v="Administración"/>
    <m/>
    <m/>
    <m/>
    <m/>
    <m/>
    <m/>
    <m/>
  </r>
  <r>
    <d v="2021-07-30T00:00:00"/>
    <x v="7"/>
    <x v="37"/>
    <x v="36"/>
    <n v="910865"/>
    <n v="910865"/>
    <n v="0"/>
    <x v="72"/>
    <s v="Administración"/>
    <m/>
    <m/>
    <m/>
    <m/>
    <m/>
    <m/>
    <m/>
  </r>
  <r>
    <d v="2021-07-30T00:00:00"/>
    <x v="7"/>
    <x v="36"/>
    <x v="35"/>
    <n v="51252"/>
    <n v="51252"/>
    <n v="0"/>
    <x v="72"/>
    <s v="Administración"/>
    <m/>
    <m/>
    <m/>
    <m/>
    <m/>
    <m/>
    <m/>
  </r>
  <r>
    <d v="2021-07-30T00:00:00"/>
    <x v="7"/>
    <x v="11"/>
    <x v="11"/>
    <n v="-3403672"/>
    <n v="0"/>
    <n v="3403672"/>
    <x v="72"/>
    <s v="Administración"/>
    <m/>
    <m/>
    <m/>
    <m/>
    <m/>
    <m/>
    <m/>
  </r>
  <r>
    <d v="2021-07-30T00:00:00"/>
    <x v="7"/>
    <x v="10"/>
    <x v="10"/>
    <n v="-426355"/>
    <n v="0"/>
    <n v="426355"/>
    <x v="72"/>
    <s v="Administración"/>
    <m/>
    <m/>
    <m/>
    <m/>
    <m/>
    <m/>
    <m/>
  </r>
  <r>
    <d v="2021-07-30T00:00:00"/>
    <x v="7"/>
    <x v="10"/>
    <x v="10"/>
    <n v="-175865"/>
    <n v="0"/>
    <n v="175865"/>
    <x v="72"/>
    <s v="Administración"/>
    <m/>
    <m/>
    <m/>
    <m/>
    <m/>
    <m/>
    <m/>
  </r>
  <r>
    <d v="2021-07-30T00:00:00"/>
    <x v="7"/>
    <x v="9"/>
    <x v="9"/>
    <n v="-15750"/>
    <n v="0"/>
    <n v="15750"/>
    <x v="72"/>
    <s v="Administración"/>
    <m/>
    <m/>
    <m/>
    <m/>
    <m/>
    <m/>
    <m/>
  </r>
  <r>
    <d v="2021-07-30T00:00:00"/>
    <x v="7"/>
    <x v="36"/>
    <x v="35"/>
    <n v="1293"/>
    <n v="1293"/>
    <n v="0"/>
    <x v="72"/>
    <s v="Administración"/>
    <m/>
    <m/>
    <m/>
    <m/>
    <m/>
    <m/>
    <m/>
  </r>
  <r>
    <d v="2021-07-30T00:00:00"/>
    <x v="7"/>
    <x v="11"/>
    <x v="11"/>
    <n v="-1293"/>
    <n v="0"/>
    <n v="1293"/>
    <x v="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11"/>
    <x v="11"/>
    <n v="3404965"/>
    <n v="3404965"/>
    <n v="0"/>
    <x v="699"/>
    <s v="Administracion"/>
    <m/>
    <m/>
    <m/>
    <m/>
    <m/>
    <m/>
    <m/>
  </r>
  <r>
    <d v="2021-07-30T00:00:00"/>
    <x v="7"/>
    <x v="0"/>
    <x v="0"/>
    <n v="-735000"/>
    <n v="0"/>
    <n v="735000"/>
    <x v="546"/>
    <s v="Administracion"/>
    <m/>
    <m/>
    <m/>
    <m/>
    <m/>
    <m/>
    <m/>
  </r>
  <r>
    <d v="2021-07-30T00:00:00"/>
    <x v="7"/>
    <x v="0"/>
    <x v="0"/>
    <n v="-780179"/>
    <n v="0"/>
    <n v="780179"/>
    <x v="547"/>
    <s v="Administracion"/>
    <m/>
    <m/>
    <m/>
    <m/>
    <m/>
    <m/>
    <m/>
  </r>
  <r>
    <d v="2021-07-30T00:00:00"/>
    <x v="7"/>
    <x v="0"/>
    <x v="0"/>
    <n v="-515462"/>
    <n v="0"/>
    <n v="515462"/>
    <x v="548"/>
    <s v="Administracion"/>
    <m/>
    <m/>
    <m/>
    <m/>
    <m/>
    <m/>
    <m/>
  </r>
  <r>
    <d v="2021-07-30T00:00:00"/>
    <x v="7"/>
    <x v="0"/>
    <x v="0"/>
    <n v="-256763"/>
    <n v="0"/>
    <n v="256763"/>
    <x v="549"/>
    <s v="Administracion"/>
    <m/>
    <m/>
    <m/>
    <m/>
    <m/>
    <m/>
    <m/>
  </r>
  <r>
    <d v="2021-07-30T00:00:00"/>
    <x v="7"/>
    <x v="0"/>
    <x v="0"/>
    <n v="-1117561"/>
    <n v="0"/>
    <n v="1117561"/>
    <x v="55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0"/>
    <x v="0"/>
    <n v="15000"/>
    <n v="15000"/>
    <n v="0"/>
    <x v="185"/>
    <s v="Administracion"/>
    <m/>
    <m/>
    <m/>
    <m/>
    <m/>
    <m/>
    <m/>
  </r>
  <r>
    <d v="2021-07-30T00:00:00"/>
    <x v="7"/>
    <x v="19"/>
    <x v="19"/>
    <n v="-15000"/>
    <n v="0"/>
    <n v="15000"/>
    <x v="1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0"/>
    <x v="0"/>
    <n v="15000"/>
    <n v="15000"/>
    <n v="0"/>
    <x v="700"/>
    <s v="Administracion"/>
    <m/>
    <m/>
    <m/>
    <m/>
    <m/>
    <m/>
    <m/>
  </r>
  <r>
    <d v="2021-07-30T00:00:00"/>
    <x v="7"/>
    <x v="21"/>
    <x v="21"/>
    <n v="-15000"/>
    <n v="0"/>
    <n v="15000"/>
    <x v="70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0"/>
    <x v="0"/>
    <n v="20000"/>
    <n v="20000"/>
    <n v="0"/>
    <x v="701"/>
    <s v="Administracion"/>
    <m/>
    <m/>
    <m/>
    <m/>
    <m/>
    <m/>
    <m/>
  </r>
  <r>
    <d v="2021-07-30T00:00:00"/>
    <x v="7"/>
    <x v="21"/>
    <x v="21"/>
    <n v="-20000"/>
    <n v="0"/>
    <n v="20000"/>
    <x v="70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0"/>
    <x v="0"/>
    <n v="5000"/>
    <n v="5000"/>
    <n v="0"/>
    <x v="702"/>
    <s v="Administracion"/>
    <m/>
    <m/>
    <m/>
    <m/>
    <m/>
    <m/>
    <m/>
  </r>
  <r>
    <d v="2021-07-30T00:00:00"/>
    <x v="7"/>
    <x v="21"/>
    <x v="21"/>
    <n v="-5000"/>
    <n v="0"/>
    <n v="5000"/>
    <x v="70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0"/>
    <x v="0"/>
    <n v="20000"/>
    <n v="20000"/>
    <n v="0"/>
    <x v="703"/>
    <s v="Administracion"/>
    <m/>
    <m/>
    <m/>
    <m/>
    <m/>
    <m/>
    <m/>
  </r>
  <r>
    <d v="2021-07-30T00:00:00"/>
    <x v="7"/>
    <x v="21"/>
    <x v="21"/>
    <n v="-20000"/>
    <n v="0"/>
    <n v="20000"/>
    <x v="70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0"/>
    <x v="0"/>
    <n v="15000"/>
    <n v="15000"/>
    <n v="0"/>
    <x v="613"/>
    <s v="Administracion"/>
    <m/>
    <m/>
    <m/>
    <m/>
    <m/>
    <m/>
    <m/>
  </r>
  <r>
    <d v="2021-07-30T00:00:00"/>
    <x v="7"/>
    <x v="21"/>
    <x v="21"/>
    <n v="-15000"/>
    <n v="0"/>
    <n v="15000"/>
    <x v="61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0"/>
    <x v="0"/>
    <n v="40000"/>
    <n v="40000"/>
    <n v="0"/>
    <x v="643"/>
    <s v="Administracion"/>
    <m/>
    <m/>
    <m/>
    <m/>
    <m/>
    <m/>
    <m/>
  </r>
  <r>
    <d v="2021-07-30T00:00:00"/>
    <x v="7"/>
    <x v="6"/>
    <x v="6"/>
    <n v="-40000"/>
    <n v="0"/>
    <n v="40000"/>
    <x v="64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0"/>
    <x v="0"/>
    <n v="20000"/>
    <n v="20000"/>
    <n v="0"/>
    <x v="162"/>
    <s v="Administracion"/>
    <m/>
    <m/>
    <m/>
    <m/>
    <m/>
    <m/>
    <m/>
  </r>
  <r>
    <d v="2021-07-30T00:00:00"/>
    <x v="7"/>
    <x v="19"/>
    <x v="19"/>
    <n v="-20000"/>
    <n v="0"/>
    <n v="20000"/>
    <x v="1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0"/>
    <x v="0"/>
    <n v="1000000"/>
    <n v="1000000"/>
    <n v="0"/>
    <x v="704"/>
    <s v="Administracion"/>
    <m/>
    <m/>
    <m/>
    <m/>
    <m/>
    <m/>
    <m/>
  </r>
  <r>
    <d v="2021-07-30T00:00:00"/>
    <x v="7"/>
    <x v="6"/>
    <x v="6"/>
    <n v="-1000000"/>
    <n v="0"/>
    <n v="1000000"/>
    <x v="70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0"/>
    <x v="0"/>
    <n v="40000"/>
    <n v="40000"/>
    <n v="0"/>
    <x v="705"/>
    <s v="Administracion"/>
    <m/>
    <m/>
    <m/>
    <m/>
    <m/>
    <m/>
    <m/>
  </r>
  <r>
    <d v="2021-07-30T00:00:00"/>
    <x v="7"/>
    <x v="21"/>
    <x v="21"/>
    <n v="-40000"/>
    <n v="0"/>
    <n v="40000"/>
    <x v="70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0"/>
    <x v="0"/>
    <n v="15000"/>
    <n v="15000"/>
    <n v="0"/>
    <x v="706"/>
    <s v="Administracion"/>
    <m/>
    <m/>
    <m/>
    <m/>
    <m/>
    <m/>
    <m/>
  </r>
  <r>
    <d v="2021-07-30T00:00:00"/>
    <x v="7"/>
    <x v="21"/>
    <x v="21"/>
    <n v="-15000"/>
    <n v="0"/>
    <n v="15000"/>
    <x v="70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0"/>
    <x v="0"/>
    <n v="20000"/>
    <n v="20000"/>
    <n v="0"/>
    <x v="707"/>
    <s v="Administracion"/>
    <m/>
    <m/>
    <m/>
    <m/>
    <m/>
    <m/>
    <m/>
  </r>
  <r>
    <d v="2021-07-30T00:00:00"/>
    <x v="7"/>
    <x v="24"/>
    <x v="24"/>
    <n v="-20000"/>
    <n v="0"/>
    <n v="20000"/>
    <x v="70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0"/>
    <x v="0"/>
    <n v="63000"/>
    <n v="63000"/>
    <n v="0"/>
    <x v="450"/>
    <s v="Administracion"/>
    <m/>
    <m/>
    <m/>
    <m/>
    <m/>
    <m/>
    <m/>
  </r>
  <r>
    <d v="2021-07-30T00:00:00"/>
    <x v="7"/>
    <x v="19"/>
    <x v="19"/>
    <n v="-63000"/>
    <n v="0"/>
    <n v="63000"/>
    <x v="45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16"/>
    <x v="16"/>
    <n v="12000"/>
    <n v="12000"/>
    <n v="0"/>
    <x v="164"/>
    <s v="Administracion"/>
    <m/>
    <m/>
    <m/>
    <m/>
    <m/>
    <m/>
    <m/>
  </r>
  <r>
    <d v="2021-07-30T00:00:00"/>
    <x v="7"/>
    <x v="16"/>
    <x v="16"/>
    <n v="20000"/>
    <n v="20000"/>
    <n v="0"/>
    <x v="304"/>
    <s v="Administracion"/>
    <m/>
    <m/>
    <m/>
    <m/>
    <m/>
    <m/>
    <m/>
  </r>
  <r>
    <d v="2021-07-30T00:00:00"/>
    <x v="7"/>
    <x v="16"/>
    <x v="16"/>
    <n v="5000"/>
    <n v="5000"/>
    <n v="0"/>
    <x v="168"/>
    <s v="Administracion"/>
    <m/>
    <m/>
    <m/>
    <m/>
    <m/>
    <m/>
    <m/>
  </r>
  <r>
    <d v="2021-07-30T00:00:00"/>
    <x v="7"/>
    <x v="16"/>
    <x v="16"/>
    <n v="5000"/>
    <n v="5000"/>
    <n v="0"/>
    <x v="708"/>
    <s v="Administracion"/>
    <m/>
    <m/>
    <m/>
    <m/>
    <m/>
    <m/>
    <m/>
  </r>
  <r>
    <d v="2021-07-30T00:00:00"/>
    <x v="7"/>
    <x v="16"/>
    <x v="16"/>
    <n v="7000"/>
    <n v="7000"/>
    <n v="0"/>
    <x v="709"/>
    <s v="Administracion"/>
    <m/>
    <m/>
    <m/>
    <m/>
    <m/>
    <m/>
    <m/>
  </r>
  <r>
    <d v="2021-07-30T00:00:00"/>
    <x v="7"/>
    <x v="19"/>
    <x v="19"/>
    <n v="-12000"/>
    <n v="0"/>
    <n v="12000"/>
    <x v="164"/>
    <s v="Administracion"/>
    <m/>
    <m/>
    <m/>
    <m/>
    <m/>
    <m/>
    <m/>
  </r>
  <r>
    <d v="2021-07-30T00:00:00"/>
    <x v="7"/>
    <x v="19"/>
    <x v="19"/>
    <n v="-20000"/>
    <n v="0"/>
    <n v="20000"/>
    <x v="304"/>
    <s v="Administracion"/>
    <m/>
    <m/>
    <m/>
    <m/>
    <m/>
    <m/>
    <m/>
  </r>
  <r>
    <d v="2021-07-30T00:00:00"/>
    <x v="7"/>
    <x v="19"/>
    <x v="19"/>
    <n v="-5000"/>
    <n v="0"/>
    <n v="5000"/>
    <x v="168"/>
    <s v="Administracion"/>
    <m/>
    <m/>
    <m/>
    <m/>
    <m/>
    <m/>
    <m/>
  </r>
  <r>
    <d v="2021-07-30T00:00:00"/>
    <x v="7"/>
    <x v="19"/>
    <x v="19"/>
    <n v="-5000"/>
    <n v="0"/>
    <n v="5000"/>
    <x v="708"/>
    <s v="Administracion"/>
    <m/>
    <m/>
    <m/>
    <m/>
    <m/>
    <m/>
    <m/>
  </r>
  <r>
    <d v="2021-07-30T00:00:00"/>
    <x v="7"/>
    <x v="19"/>
    <x v="19"/>
    <n v="-7000"/>
    <n v="0"/>
    <n v="7000"/>
    <x v="70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7-30T00:00:00"/>
    <x v="7"/>
    <x v="17"/>
    <x v="17"/>
    <n v="20000"/>
    <n v="20000"/>
    <n v="0"/>
    <x v="710"/>
    <s v="Administracion"/>
    <m/>
    <m/>
    <m/>
    <m/>
    <m/>
    <m/>
    <m/>
  </r>
  <r>
    <d v="2021-07-30T00:00:00"/>
    <x v="7"/>
    <x v="21"/>
    <x v="21"/>
    <n v="-20000"/>
    <n v="0"/>
    <n v="20000"/>
    <x v="71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4000"/>
    <n v="4000"/>
    <n v="0"/>
    <x v="711"/>
    <s v="Administracion"/>
    <m/>
    <m/>
    <m/>
    <m/>
    <m/>
    <m/>
    <m/>
  </r>
  <r>
    <d v="2021-08-02T00:00:00"/>
    <x v="8"/>
    <x v="19"/>
    <x v="19"/>
    <n v="-4000"/>
    <n v="0"/>
    <n v="4000"/>
    <x v="71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50000"/>
    <n v="50000"/>
    <n v="0"/>
    <x v="163"/>
    <s v="Administracion"/>
    <m/>
    <m/>
    <m/>
    <m/>
    <m/>
    <m/>
    <m/>
  </r>
  <r>
    <d v="2021-08-02T00:00:00"/>
    <x v="8"/>
    <x v="19"/>
    <x v="19"/>
    <n v="-50000"/>
    <n v="0"/>
    <n v="50000"/>
    <x v="16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40000"/>
    <n v="40000"/>
    <n v="0"/>
    <x v="712"/>
    <s v="Administracion"/>
    <m/>
    <m/>
    <m/>
    <m/>
    <m/>
    <m/>
    <m/>
  </r>
  <r>
    <d v="2021-08-02T00:00:00"/>
    <x v="8"/>
    <x v="6"/>
    <x v="6"/>
    <n v="-40000"/>
    <n v="0"/>
    <n v="40000"/>
    <x v="7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50000"/>
    <n v="50000"/>
    <n v="0"/>
    <x v="713"/>
    <s v="Administracion"/>
    <m/>
    <m/>
    <m/>
    <m/>
    <m/>
    <m/>
    <m/>
  </r>
  <r>
    <d v="2021-08-02T00:00:00"/>
    <x v="8"/>
    <x v="21"/>
    <x v="21"/>
    <n v="-50000"/>
    <n v="0"/>
    <n v="50000"/>
    <x v="71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100000"/>
    <n v="100000"/>
    <n v="0"/>
    <x v="84"/>
    <s v="Administracion"/>
    <m/>
    <m/>
    <m/>
    <m/>
    <m/>
    <m/>
    <m/>
  </r>
  <r>
    <d v="2021-08-02T00:00:00"/>
    <x v="8"/>
    <x v="19"/>
    <x v="19"/>
    <n v="-100000"/>
    <n v="0"/>
    <n v="100000"/>
    <x v="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10000"/>
    <n v="10000"/>
    <n v="0"/>
    <x v="714"/>
    <s v="Administracion"/>
    <m/>
    <m/>
    <m/>
    <m/>
    <m/>
    <m/>
    <m/>
  </r>
  <r>
    <d v="2021-08-02T00:00:00"/>
    <x v="8"/>
    <x v="19"/>
    <x v="19"/>
    <n v="-10000"/>
    <n v="0"/>
    <n v="10000"/>
    <x v="71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12000"/>
    <n v="12000"/>
    <n v="0"/>
    <x v="231"/>
    <s v="Administracion"/>
    <m/>
    <m/>
    <m/>
    <m/>
    <m/>
    <m/>
    <m/>
  </r>
  <r>
    <d v="2021-08-02T00:00:00"/>
    <x v="8"/>
    <x v="19"/>
    <x v="19"/>
    <n v="-12000"/>
    <n v="0"/>
    <n v="12000"/>
    <x v="23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15000"/>
    <n v="15000"/>
    <n v="0"/>
    <x v="8"/>
    <s v="Administracion"/>
    <m/>
    <m/>
    <m/>
    <m/>
    <m/>
    <m/>
    <m/>
  </r>
  <r>
    <d v="2021-08-02T00:00:00"/>
    <x v="8"/>
    <x v="6"/>
    <x v="6"/>
    <n v="-15000"/>
    <n v="0"/>
    <n v="15000"/>
    <x v="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10000"/>
    <n v="10000"/>
    <n v="0"/>
    <x v="715"/>
    <s v="Administracion"/>
    <m/>
    <m/>
    <m/>
    <m/>
    <m/>
    <m/>
    <m/>
  </r>
  <r>
    <d v="2021-08-02T00:00:00"/>
    <x v="8"/>
    <x v="21"/>
    <x v="21"/>
    <n v="-10000"/>
    <n v="0"/>
    <n v="10000"/>
    <x v="7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50000"/>
    <n v="50000"/>
    <n v="0"/>
    <x v="12"/>
    <s v="Administracion"/>
    <m/>
    <m/>
    <m/>
    <m/>
    <m/>
    <m/>
    <m/>
  </r>
  <r>
    <d v="2021-08-02T00:00:00"/>
    <x v="8"/>
    <x v="6"/>
    <x v="6"/>
    <n v="-50000"/>
    <n v="0"/>
    <n v="50000"/>
    <x v="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70000"/>
    <n v="70000"/>
    <n v="0"/>
    <x v="716"/>
    <s v="Administracion"/>
    <m/>
    <m/>
    <m/>
    <m/>
    <m/>
    <m/>
    <m/>
  </r>
  <r>
    <d v="2021-08-02T00:00:00"/>
    <x v="8"/>
    <x v="6"/>
    <x v="6"/>
    <n v="-70000"/>
    <n v="0"/>
    <n v="70000"/>
    <x v="71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8000"/>
    <n v="8000"/>
    <n v="0"/>
    <x v="167"/>
    <s v="Administracion"/>
    <m/>
    <m/>
    <m/>
    <m/>
    <m/>
    <m/>
    <m/>
  </r>
  <r>
    <d v="2021-08-02T00:00:00"/>
    <x v="8"/>
    <x v="19"/>
    <x v="19"/>
    <n v="-8000"/>
    <n v="0"/>
    <n v="8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3000"/>
    <n v="3000"/>
    <n v="0"/>
    <x v="115"/>
    <s v="Administracion"/>
    <m/>
    <m/>
    <m/>
    <m/>
    <m/>
    <m/>
    <m/>
  </r>
  <r>
    <d v="2021-08-02T00:00:00"/>
    <x v="8"/>
    <x v="19"/>
    <x v="19"/>
    <n v="-3000"/>
    <n v="0"/>
    <n v="3000"/>
    <x v="1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10000"/>
    <n v="10000"/>
    <n v="0"/>
    <x v="76"/>
    <s v="Administracion"/>
    <m/>
    <m/>
    <m/>
    <m/>
    <m/>
    <m/>
    <m/>
  </r>
  <r>
    <d v="2021-08-02T00:00:00"/>
    <x v="8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250000"/>
    <n v="250000"/>
    <n v="0"/>
    <x v="174"/>
    <s v="Administracion"/>
    <m/>
    <m/>
    <m/>
    <m/>
    <m/>
    <m/>
    <m/>
  </r>
  <r>
    <d v="2021-08-02T00:00:00"/>
    <x v="8"/>
    <x v="19"/>
    <x v="19"/>
    <n v="-250000"/>
    <n v="0"/>
    <n v="250000"/>
    <x v="17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30000"/>
    <n v="30000"/>
    <n v="0"/>
    <x v="191"/>
    <s v="Administracion"/>
    <m/>
    <m/>
    <m/>
    <m/>
    <m/>
    <m/>
    <m/>
  </r>
  <r>
    <d v="2021-08-02T00:00:00"/>
    <x v="8"/>
    <x v="19"/>
    <x v="19"/>
    <n v="-30000"/>
    <n v="0"/>
    <n v="30000"/>
    <x v="19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20000"/>
    <n v="20000"/>
    <n v="0"/>
    <x v="717"/>
    <s v="Administracion"/>
    <m/>
    <m/>
    <m/>
    <m/>
    <m/>
    <m/>
    <m/>
  </r>
  <r>
    <d v="2021-08-02T00:00:00"/>
    <x v="8"/>
    <x v="21"/>
    <x v="21"/>
    <n v="-20000"/>
    <n v="0"/>
    <n v="20000"/>
    <x v="7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20000"/>
    <n v="20000"/>
    <n v="0"/>
    <x v="718"/>
    <s v="Administracion"/>
    <m/>
    <m/>
    <m/>
    <m/>
    <m/>
    <m/>
    <m/>
  </r>
  <r>
    <d v="2021-08-02T00:00:00"/>
    <x v="8"/>
    <x v="19"/>
    <x v="19"/>
    <n v="-20000"/>
    <n v="0"/>
    <n v="20000"/>
    <x v="718"/>
    <s v="Administracion"/>
    <m/>
    <m/>
    <m/>
    <m/>
    <m/>
    <m/>
    <m/>
  </r>
  <r>
    <m/>
    <x v="1"/>
    <x v="49"/>
    <x v="18"/>
    <m/>
    <m/>
    <m/>
    <x v="4"/>
    <m/>
    <m/>
    <m/>
    <m/>
    <m/>
    <m/>
    <m/>
    <m/>
  </r>
  <r>
    <d v="2021-08-02T00:00:00"/>
    <x v="8"/>
    <x v="0"/>
    <x v="0"/>
    <n v="20000"/>
    <n v="20000"/>
    <n v="0"/>
    <x v="196"/>
    <s v="Administracion"/>
    <m/>
    <m/>
    <m/>
    <m/>
    <m/>
    <m/>
    <m/>
  </r>
  <r>
    <d v="2021-08-02T00:00:00"/>
    <x v="8"/>
    <x v="19"/>
    <x v="19"/>
    <n v="-20000"/>
    <n v="0"/>
    <n v="20000"/>
    <x v="1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5000"/>
    <n v="5000"/>
    <n v="0"/>
    <x v="98"/>
    <s v="Administracion"/>
    <m/>
    <m/>
    <m/>
    <m/>
    <m/>
    <m/>
    <m/>
  </r>
  <r>
    <d v="2021-08-02T00:00:00"/>
    <x v="8"/>
    <x v="19"/>
    <x v="19"/>
    <n v="-5000"/>
    <n v="0"/>
    <n v="5000"/>
    <x v="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2000"/>
    <n v="2000"/>
    <n v="0"/>
    <x v="283"/>
    <s v="Administracion"/>
    <m/>
    <m/>
    <m/>
    <m/>
    <m/>
    <m/>
    <m/>
  </r>
  <r>
    <d v="2021-08-02T00:00:00"/>
    <x v="8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15000"/>
    <n v="15000"/>
    <n v="0"/>
    <x v="85"/>
    <s v="Administracion"/>
    <m/>
    <m/>
    <m/>
    <m/>
    <m/>
    <m/>
    <m/>
  </r>
  <r>
    <d v="2021-08-02T00:00:00"/>
    <x v="8"/>
    <x v="19"/>
    <x v="19"/>
    <n v="-15000"/>
    <n v="0"/>
    <n v="15000"/>
    <x v="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30000"/>
    <n v="30000"/>
    <n v="0"/>
    <x v="119"/>
    <s v="Administracion"/>
    <m/>
    <m/>
    <m/>
    <m/>
    <m/>
    <m/>
    <m/>
  </r>
  <r>
    <d v="2021-08-02T00:00:00"/>
    <x v="8"/>
    <x v="19"/>
    <x v="19"/>
    <n v="-30000"/>
    <n v="0"/>
    <n v="30000"/>
    <x v="11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200000"/>
    <n v="200000"/>
    <n v="0"/>
    <x v="719"/>
    <s v="Administracion"/>
    <m/>
    <m/>
    <m/>
    <m/>
    <m/>
    <m/>
    <m/>
  </r>
  <r>
    <d v="2021-08-02T00:00:00"/>
    <x v="8"/>
    <x v="19"/>
    <x v="19"/>
    <n v="-200000"/>
    <n v="0"/>
    <n v="200000"/>
    <x v="71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10000"/>
    <n v="10000"/>
    <n v="0"/>
    <x v="285"/>
    <s v="Administracion"/>
    <m/>
    <m/>
    <m/>
    <m/>
    <m/>
    <m/>
    <m/>
  </r>
  <r>
    <d v="2021-08-02T00:00:00"/>
    <x v="8"/>
    <x v="19"/>
    <x v="19"/>
    <n v="-10000"/>
    <n v="0"/>
    <n v="10000"/>
    <x v="2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5000"/>
    <n v="5000"/>
    <n v="0"/>
    <x v="720"/>
    <s v="Administracion"/>
    <m/>
    <m/>
    <m/>
    <m/>
    <m/>
    <m/>
    <m/>
  </r>
  <r>
    <d v="2021-08-02T00:00:00"/>
    <x v="8"/>
    <x v="19"/>
    <x v="19"/>
    <n v="-5000"/>
    <n v="0"/>
    <n v="5000"/>
    <x v="72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10000"/>
    <n v="10000"/>
    <n v="0"/>
    <x v="721"/>
    <s v="Administracion"/>
    <m/>
    <m/>
    <m/>
    <m/>
    <m/>
    <m/>
    <m/>
  </r>
  <r>
    <d v="2021-08-02T00:00:00"/>
    <x v="8"/>
    <x v="20"/>
    <x v="20"/>
    <n v="-10000"/>
    <n v="0"/>
    <n v="10000"/>
    <x v="72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515000"/>
    <n v="515000"/>
    <n v="0"/>
    <x v="418"/>
    <s v="Administracion"/>
    <m/>
    <m/>
    <m/>
    <m/>
    <m/>
    <m/>
    <m/>
  </r>
  <r>
    <d v="2021-08-02T00:00:00"/>
    <x v="8"/>
    <x v="19"/>
    <x v="19"/>
    <n v="-515000"/>
    <n v="0"/>
    <n v="515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15000"/>
    <n v="15000"/>
    <n v="0"/>
    <x v="722"/>
    <s v="Administracion"/>
    <m/>
    <m/>
    <m/>
    <m/>
    <m/>
    <m/>
    <m/>
  </r>
  <r>
    <d v="2021-08-02T00:00:00"/>
    <x v="8"/>
    <x v="24"/>
    <x v="24"/>
    <n v="-15000"/>
    <n v="0"/>
    <n v="15000"/>
    <x v="72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20000"/>
    <n v="20000"/>
    <n v="0"/>
    <x v="723"/>
    <s v="Administracion"/>
    <m/>
    <m/>
    <m/>
    <m/>
    <m/>
    <m/>
    <m/>
  </r>
  <r>
    <d v="2021-08-02T00:00:00"/>
    <x v="8"/>
    <x v="21"/>
    <x v="21"/>
    <n v="-20000"/>
    <n v="0"/>
    <n v="20000"/>
    <x v="72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2T00:00:00"/>
    <x v="8"/>
    <x v="0"/>
    <x v="0"/>
    <n v="27323"/>
    <n v="27323"/>
    <n v="0"/>
    <x v="724"/>
    <s v="Administracion"/>
    <m/>
    <m/>
    <m/>
    <m/>
    <m/>
    <m/>
    <m/>
  </r>
  <r>
    <d v="2021-08-02T00:00:00"/>
    <x v="8"/>
    <x v="45"/>
    <x v="43"/>
    <n v="-27323"/>
    <n v="0"/>
    <n v="27323"/>
    <x v="72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3T00:00:00"/>
    <x v="8"/>
    <x v="0"/>
    <x v="0"/>
    <n v="120000"/>
    <n v="120000"/>
    <n v="0"/>
    <x v="497"/>
    <s v="Administracion"/>
    <m/>
    <m/>
    <m/>
    <m/>
    <m/>
    <m/>
    <m/>
  </r>
  <r>
    <d v="2021-08-03T00:00:00"/>
    <x v="8"/>
    <x v="19"/>
    <x v="19"/>
    <n v="-120000"/>
    <n v="0"/>
    <n v="120000"/>
    <x v="49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3T00:00:00"/>
    <x v="8"/>
    <x v="0"/>
    <x v="0"/>
    <n v="10000"/>
    <n v="10000"/>
    <n v="0"/>
    <x v="725"/>
    <s v="Administracion"/>
    <m/>
    <m/>
    <m/>
    <m/>
    <m/>
    <m/>
    <m/>
  </r>
  <r>
    <d v="2021-08-03T00:00:00"/>
    <x v="8"/>
    <x v="21"/>
    <x v="21"/>
    <n v="-10000"/>
    <n v="0"/>
    <n v="10000"/>
    <x v="72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3T00:00:00"/>
    <x v="8"/>
    <x v="0"/>
    <x v="0"/>
    <n v="15000"/>
    <n v="15000"/>
    <n v="0"/>
    <x v="726"/>
    <s v="Administracion"/>
    <m/>
    <m/>
    <m/>
    <m/>
    <m/>
    <m/>
    <m/>
  </r>
  <r>
    <d v="2021-08-03T00:00:00"/>
    <x v="8"/>
    <x v="21"/>
    <x v="21"/>
    <n v="-15000"/>
    <n v="0"/>
    <n v="15000"/>
    <x v="72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3T00:00:00"/>
    <x v="8"/>
    <x v="0"/>
    <x v="0"/>
    <n v="10000"/>
    <n v="10000"/>
    <n v="0"/>
    <x v="727"/>
    <s v="Administracion"/>
    <m/>
    <m/>
    <m/>
    <m/>
    <m/>
    <m/>
    <m/>
  </r>
  <r>
    <d v="2021-08-03T00:00:00"/>
    <x v="8"/>
    <x v="19"/>
    <x v="19"/>
    <n v="-10000"/>
    <n v="0"/>
    <n v="10000"/>
    <x v="7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3T00:00:00"/>
    <x v="8"/>
    <x v="0"/>
    <x v="0"/>
    <n v="20000"/>
    <n v="20000"/>
    <n v="0"/>
    <x v="74"/>
    <s v="Administracion"/>
    <m/>
    <m/>
    <m/>
    <m/>
    <m/>
    <m/>
    <m/>
  </r>
  <r>
    <d v="2021-08-03T00:00:00"/>
    <x v="8"/>
    <x v="19"/>
    <x v="19"/>
    <n v="-20000"/>
    <n v="0"/>
    <n v="20000"/>
    <x v="7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3T00:00:00"/>
    <x v="8"/>
    <x v="0"/>
    <x v="0"/>
    <n v="100000"/>
    <n v="100000"/>
    <n v="0"/>
    <x v="326"/>
    <s v="Administracion"/>
    <m/>
    <m/>
    <m/>
    <m/>
    <m/>
    <m/>
    <m/>
  </r>
  <r>
    <d v="2021-08-03T00:00:00"/>
    <x v="8"/>
    <x v="21"/>
    <x v="21"/>
    <n v="-100000"/>
    <n v="0"/>
    <n v="100000"/>
    <x v="32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3T00:00:00"/>
    <x v="8"/>
    <x v="0"/>
    <x v="0"/>
    <n v="60000"/>
    <n v="60000"/>
    <n v="0"/>
    <x v="728"/>
    <s v="Administracion"/>
    <m/>
    <m/>
    <m/>
    <m/>
    <m/>
    <m/>
    <m/>
  </r>
  <r>
    <d v="2021-08-03T00:00:00"/>
    <x v="8"/>
    <x v="19"/>
    <x v="19"/>
    <n v="-60000"/>
    <n v="0"/>
    <n v="60000"/>
    <x v="72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3T00:00:00"/>
    <x v="8"/>
    <x v="0"/>
    <x v="0"/>
    <n v="50000"/>
    <n v="50000"/>
    <n v="0"/>
    <x v="729"/>
    <s v="Administracion"/>
    <m/>
    <m/>
    <m/>
    <m/>
    <m/>
    <m/>
    <m/>
  </r>
  <r>
    <d v="2021-08-03T00:00:00"/>
    <x v="8"/>
    <x v="21"/>
    <x v="21"/>
    <n v="-50000"/>
    <n v="0"/>
    <n v="50000"/>
    <x v="72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3T00:00:00"/>
    <x v="8"/>
    <x v="0"/>
    <x v="0"/>
    <n v="50000"/>
    <n v="50000"/>
    <n v="0"/>
    <x v="198"/>
    <s v="Administracion"/>
    <m/>
    <m/>
    <m/>
    <m/>
    <m/>
    <m/>
    <m/>
  </r>
  <r>
    <d v="2021-08-03T00:00:00"/>
    <x v="8"/>
    <x v="19"/>
    <x v="19"/>
    <n v="-50000"/>
    <n v="0"/>
    <n v="50000"/>
    <x v="1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3T00:00:00"/>
    <x v="8"/>
    <x v="0"/>
    <x v="0"/>
    <n v="35000"/>
    <n v="35000"/>
    <n v="0"/>
    <x v="198"/>
    <s v="Administracion"/>
    <m/>
    <m/>
    <m/>
    <m/>
    <m/>
    <m/>
    <m/>
  </r>
  <r>
    <d v="2021-08-03T00:00:00"/>
    <x v="8"/>
    <x v="19"/>
    <x v="19"/>
    <n v="-35000"/>
    <n v="0"/>
    <n v="35000"/>
    <x v="1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3T00:00:00"/>
    <x v="8"/>
    <x v="0"/>
    <x v="0"/>
    <n v="30000"/>
    <n v="30000"/>
    <n v="0"/>
    <x v="655"/>
    <s v="Administracion"/>
    <m/>
    <m/>
    <m/>
    <m/>
    <m/>
    <m/>
    <m/>
  </r>
  <r>
    <d v="2021-08-03T00:00:00"/>
    <x v="8"/>
    <x v="6"/>
    <x v="6"/>
    <n v="-30000"/>
    <n v="0"/>
    <n v="30000"/>
    <x v="65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3T00:00:00"/>
    <x v="8"/>
    <x v="0"/>
    <x v="0"/>
    <n v="9881"/>
    <n v="9881"/>
    <n v="0"/>
    <x v="96"/>
    <s v="Administracion"/>
    <m/>
    <m/>
    <m/>
    <m/>
    <m/>
    <m/>
    <m/>
  </r>
  <r>
    <d v="2021-08-03T00:00:00"/>
    <x v="8"/>
    <x v="19"/>
    <x v="19"/>
    <n v="-9881"/>
    <n v="0"/>
    <n v="9881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3T00:00:00"/>
    <x v="8"/>
    <x v="0"/>
    <x v="0"/>
    <n v="30000"/>
    <n v="30000"/>
    <n v="0"/>
    <x v="730"/>
    <s v="Administracion"/>
    <m/>
    <m/>
    <m/>
    <m/>
    <m/>
    <m/>
    <m/>
  </r>
  <r>
    <d v="2021-08-03T00:00:00"/>
    <x v="8"/>
    <x v="21"/>
    <x v="21"/>
    <n v="-30000"/>
    <n v="0"/>
    <n v="30000"/>
    <x v="73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3T00:00:00"/>
    <x v="8"/>
    <x v="0"/>
    <x v="0"/>
    <n v="20000"/>
    <n v="20000"/>
    <n v="0"/>
    <x v="339"/>
    <s v="Administracion"/>
    <m/>
    <m/>
    <m/>
    <m/>
    <m/>
    <m/>
    <m/>
  </r>
  <r>
    <d v="2021-08-03T00:00:00"/>
    <x v="8"/>
    <x v="19"/>
    <x v="19"/>
    <n v="-20000"/>
    <n v="0"/>
    <n v="20000"/>
    <x v="33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3T00:00:00"/>
    <x v="8"/>
    <x v="0"/>
    <x v="0"/>
    <n v="20000"/>
    <n v="20000"/>
    <n v="0"/>
    <x v="731"/>
    <s v="Administracion"/>
    <m/>
    <m/>
    <m/>
    <m/>
    <m/>
    <m/>
    <m/>
  </r>
  <r>
    <d v="2021-08-03T00:00:00"/>
    <x v="8"/>
    <x v="21"/>
    <x v="21"/>
    <n v="-20000"/>
    <n v="0"/>
    <n v="20000"/>
    <x v="73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4T00:00:00"/>
    <x v="8"/>
    <x v="0"/>
    <x v="0"/>
    <n v="10000"/>
    <n v="10000"/>
    <n v="0"/>
    <x v="732"/>
    <s v="Administracion"/>
    <m/>
    <m/>
    <m/>
    <m/>
    <m/>
    <m/>
    <m/>
  </r>
  <r>
    <d v="2021-08-04T00:00:00"/>
    <x v="8"/>
    <x v="21"/>
    <x v="21"/>
    <n v="-10000"/>
    <n v="0"/>
    <n v="10000"/>
    <x v="7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4T00:00:00"/>
    <x v="8"/>
    <x v="0"/>
    <x v="0"/>
    <n v="35000"/>
    <n v="35000"/>
    <n v="0"/>
    <x v="733"/>
    <s v="Administracion"/>
    <m/>
    <m/>
    <m/>
    <m/>
    <m/>
    <m/>
    <m/>
  </r>
  <r>
    <d v="2021-08-04T00:00:00"/>
    <x v="8"/>
    <x v="6"/>
    <x v="6"/>
    <n v="-35000"/>
    <n v="0"/>
    <n v="35000"/>
    <x v="73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4T00:00:00"/>
    <x v="8"/>
    <x v="0"/>
    <x v="0"/>
    <n v="20000"/>
    <n v="20000"/>
    <n v="0"/>
    <x v="734"/>
    <s v="Administracion"/>
    <m/>
    <m/>
    <m/>
    <m/>
    <m/>
    <m/>
    <m/>
  </r>
  <r>
    <d v="2021-08-04T00:00:00"/>
    <x v="8"/>
    <x v="21"/>
    <x v="21"/>
    <n v="-20000"/>
    <n v="0"/>
    <n v="20000"/>
    <x v="73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4T00:00:00"/>
    <x v="8"/>
    <x v="0"/>
    <x v="0"/>
    <n v="15000"/>
    <n v="15000"/>
    <n v="0"/>
    <x v="323"/>
    <s v="Administracion"/>
    <m/>
    <m/>
    <m/>
    <m/>
    <m/>
    <m/>
    <m/>
  </r>
  <r>
    <d v="2021-08-04T00:00:00"/>
    <x v="8"/>
    <x v="19"/>
    <x v="19"/>
    <n v="-15000"/>
    <n v="0"/>
    <n v="15000"/>
    <x v="32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4T00:00:00"/>
    <x v="8"/>
    <x v="0"/>
    <x v="0"/>
    <n v="30000"/>
    <n v="30000"/>
    <n v="0"/>
    <x v="18"/>
    <s v="Administracion"/>
    <m/>
    <m/>
    <m/>
    <m/>
    <m/>
    <m/>
    <m/>
  </r>
  <r>
    <d v="2021-08-04T00:00:00"/>
    <x v="8"/>
    <x v="6"/>
    <x v="6"/>
    <n v="-30000"/>
    <n v="0"/>
    <n v="30000"/>
    <x v="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4T00:00:00"/>
    <x v="8"/>
    <x v="38"/>
    <x v="37"/>
    <n v="8553"/>
    <n v="8553"/>
    <n v="0"/>
    <x v="464"/>
    <s v="Administracion"/>
    <m/>
    <m/>
    <m/>
    <m/>
    <m/>
    <m/>
    <m/>
  </r>
  <r>
    <d v="2021-08-04T00:00:00"/>
    <x v="8"/>
    <x v="0"/>
    <x v="0"/>
    <n v="-8553"/>
    <n v="0"/>
    <n v="8553"/>
    <x v="46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4T00:00:00"/>
    <x v="8"/>
    <x v="0"/>
    <x v="0"/>
    <n v="5000"/>
    <n v="5000"/>
    <n v="0"/>
    <x v="735"/>
    <s v="Administracion"/>
    <m/>
    <m/>
    <m/>
    <m/>
    <m/>
    <m/>
    <m/>
  </r>
  <r>
    <d v="2021-08-04T00:00:00"/>
    <x v="8"/>
    <x v="19"/>
    <x v="19"/>
    <n v="-5000"/>
    <n v="0"/>
    <n v="5000"/>
    <x v="73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4T00:00:00"/>
    <x v="8"/>
    <x v="0"/>
    <x v="0"/>
    <n v="12000"/>
    <n v="12000"/>
    <n v="0"/>
    <x v="736"/>
    <s v="Administracion"/>
    <m/>
    <m/>
    <m/>
    <m/>
    <m/>
    <m/>
    <m/>
  </r>
  <r>
    <d v="2021-08-04T00:00:00"/>
    <x v="8"/>
    <x v="21"/>
    <x v="21"/>
    <n v="-12000"/>
    <n v="0"/>
    <n v="12000"/>
    <x v="73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4T00:00:00"/>
    <x v="8"/>
    <x v="0"/>
    <x v="0"/>
    <n v="10000"/>
    <n v="10000"/>
    <n v="0"/>
    <x v="737"/>
    <s v="Administracion"/>
    <m/>
    <m/>
    <m/>
    <m/>
    <m/>
    <m/>
    <m/>
  </r>
  <r>
    <d v="2021-08-04T00:00:00"/>
    <x v="8"/>
    <x v="21"/>
    <x v="21"/>
    <n v="-10000"/>
    <n v="0"/>
    <n v="10000"/>
    <x v="7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4T00:00:00"/>
    <x v="8"/>
    <x v="0"/>
    <x v="0"/>
    <n v="20000"/>
    <n v="20000"/>
    <n v="0"/>
    <x v="105"/>
    <s v="Administracion"/>
    <m/>
    <m/>
    <m/>
    <m/>
    <m/>
    <m/>
    <m/>
  </r>
  <r>
    <d v="2021-08-04T00:00:00"/>
    <x v="8"/>
    <x v="19"/>
    <x v="19"/>
    <n v="-20000"/>
    <n v="0"/>
    <n v="20000"/>
    <x v="10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0"/>
    <x v="0"/>
    <n v="10000"/>
    <n v="10000"/>
    <n v="0"/>
    <x v="404"/>
    <s v="Administracion"/>
    <m/>
    <m/>
    <m/>
    <m/>
    <m/>
    <m/>
    <m/>
  </r>
  <r>
    <d v="2021-08-05T00:00:00"/>
    <x v="8"/>
    <x v="19"/>
    <x v="19"/>
    <n v="-10000"/>
    <n v="0"/>
    <n v="10000"/>
    <x v="40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0"/>
    <x v="0"/>
    <n v="5000"/>
    <n v="5000"/>
    <n v="0"/>
    <x v="738"/>
    <s v="Administracion"/>
    <m/>
    <m/>
    <m/>
    <m/>
    <m/>
    <m/>
    <m/>
  </r>
  <r>
    <d v="2021-08-05T00:00:00"/>
    <x v="8"/>
    <x v="21"/>
    <x v="21"/>
    <n v="-5000"/>
    <n v="0"/>
    <n v="5000"/>
    <x v="73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25"/>
    <x v="25"/>
    <n v="810698"/>
    <n v="810698"/>
    <n v="0"/>
    <x v="739"/>
    <s v="Administracion"/>
    <m/>
    <m/>
    <m/>
    <m/>
    <m/>
    <m/>
    <m/>
  </r>
  <r>
    <d v="2021-08-05T00:00:00"/>
    <x v="8"/>
    <x v="0"/>
    <x v="0"/>
    <n v="-810698"/>
    <n v="0"/>
    <n v="810698"/>
    <x v="73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9"/>
    <x v="9"/>
    <n v="162702"/>
    <n v="162702"/>
    <n v="0"/>
    <x v="740"/>
    <s v="Administracion"/>
    <m/>
    <m/>
    <m/>
    <m/>
    <m/>
    <m/>
    <m/>
  </r>
  <r>
    <d v="2021-08-05T00:00:00"/>
    <x v="8"/>
    <x v="6"/>
    <x v="6"/>
    <n v="46890"/>
    <n v="46890"/>
    <n v="0"/>
    <x v="740"/>
    <s v="Administracion"/>
    <m/>
    <m/>
    <m/>
    <m/>
    <m/>
    <m/>
    <m/>
  </r>
  <r>
    <d v="2021-08-05T00:00:00"/>
    <x v="8"/>
    <x v="0"/>
    <x v="0"/>
    <n v="-209592"/>
    <n v="0"/>
    <n v="209592"/>
    <x v="74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10"/>
    <x v="10"/>
    <n v="411865"/>
    <n v="411865"/>
    <n v="0"/>
    <x v="581"/>
    <s v="Administracion"/>
    <m/>
    <m/>
    <m/>
    <m/>
    <m/>
    <m/>
    <m/>
  </r>
  <r>
    <d v="2021-08-05T00:00:00"/>
    <x v="8"/>
    <x v="0"/>
    <x v="0"/>
    <n v="-411865"/>
    <n v="0"/>
    <n v="411865"/>
    <x v="58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10"/>
    <x v="10"/>
    <n v="175865"/>
    <n v="175865"/>
    <n v="0"/>
    <x v="582"/>
    <s v="Administracion"/>
    <m/>
    <m/>
    <m/>
    <m/>
    <m/>
    <m/>
    <m/>
  </r>
  <r>
    <d v="2021-08-05T00:00:00"/>
    <x v="8"/>
    <x v="0"/>
    <x v="0"/>
    <n v="-175865"/>
    <n v="0"/>
    <n v="175865"/>
    <x v="58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0"/>
    <x v="0"/>
    <n v="20000"/>
    <n v="20000"/>
    <n v="0"/>
    <x v="573"/>
    <s v="Administracion"/>
    <m/>
    <m/>
    <m/>
    <m/>
    <m/>
    <m/>
    <m/>
  </r>
  <r>
    <d v="2021-08-05T00:00:00"/>
    <x v="8"/>
    <x v="21"/>
    <x v="21"/>
    <n v="-20000"/>
    <n v="0"/>
    <n v="20000"/>
    <x v="5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0"/>
    <x v="0"/>
    <n v="80000"/>
    <n v="80000"/>
    <n v="0"/>
    <x v="741"/>
    <s v="Administracion"/>
    <m/>
    <m/>
    <m/>
    <m/>
    <m/>
    <m/>
    <m/>
  </r>
  <r>
    <d v="2021-08-05T00:00:00"/>
    <x v="8"/>
    <x v="45"/>
    <x v="43"/>
    <n v="-80000"/>
    <n v="0"/>
    <n v="80000"/>
    <x v="7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0"/>
    <x v="0"/>
    <n v="50000"/>
    <n v="50000"/>
    <n v="0"/>
    <x v="742"/>
    <s v="Administracion"/>
    <m/>
    <m/>
    <m/>
    <m/>
    <m/>
    <m/>
    <m/>
  </r>
  <r>
    <d v="2021-08-05T00:00:00"/>
    <x v="8"/>
    <x v="21"/>
    <x v="21"/>
    <n v="-50000"/>
    <n v="0"/>
    <n v="50000"/>
    <x v="74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0"/>
    <x v="0"/>
    <n v="50000"/>
    <n v="50000"/>
    <n v="0"/>
    <x v="701"/>
    <s v="Administracion"/>
    <m/>
    <m/>
    <m/>
    <m/>
    <m/>
    <m/>
    <m/>
  </r>
  <r>
    <d v="2021-08-05T00:00:00"/>
    <x v="8"/>
    <x v="21"/>
    <x v="21"/>
    <n v="-50000"/>
    <n v="0"/>
    <n v="50000"/>
    <x v="70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0"/>
    <x v="0"/>
    <n v="10000"/>
    <n v="10000"/>
    <n v="0"/>
    <x v="743"/>
    <s v="Administracion"/>
    <m/>
    <m/>
    <m/>
    <m/>
    <m/>
    <m/>
    <m/>
  </r>
  <r>
    <d v="2021-08-05T00:00:00"/>
    <x v="8"/>
    <x v="21"/>
    <x v="21"/>
    <n v="-10000"/>
    <n v="0"/>
    <n v="10000"/>
    <x v="74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0"/>
    <x v="0"/>
    <n v="25000"/>
    <n v="25000"/>
    <n v="0"/>
    <x v="132"/>
    <s v="Administracion"/>
    <m/>
    <m/>
    <m/>
    <m/>
    <m/>
    <m/>
    <m/>
  </r>
  <r>
    <d v="2021-08-05T00:00:00"/>
    <x v="8"/>
    <x v="19"/>
    <x v="19"/>
    <n v="-25000"/>
    <n v="0"/>
    <n v="25000"/>
    <x v="1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0"/>
    <x v="0"/>
    <n v="20000"/>
    <n v="20000"/>
    <n v="0"/>
    <x v="297"/>
    <s v="Administracion"/>
    <m/>
    <m/>
    <m/>
    <m/>
    <m/>
    <m/>
    <m/>
  </r>
  <r>
    <d v="2021-08-05T00:00:00"/>
    <x v="8"/>
    <x v="6"/>
    <x v="6"/>
    <n v="-20000"/>
    <n v="0"/>
    <n v="20000"/>
    <x v="29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0"/>
    <x v="0"/>
    <n v="7825"/>
    <n v="7825"/>
    <n v="0"/>
    <x v="744"/>
    <s v="Administracion"/>
    <m/>
    <m/>
    <m/>
    <m/>
    <m/>
    <m/>
    <m/>
  </r>
  <r>
    <d v="2021-08-05T00:00:00"/>
    <x v="8"/>
    <x v="19"/>
    <x v="19"/>
    <n v="-7825"/>
    <n v="0"/>
    <n v="7825"/>
    <x v="7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0"/>
    <x v="0"/>
    <n v="20000"/>
    <n v="20000"/>
    <n v="0"/>
    <x v="745"/>
    <s v="Administracion"/>
    <m/>
    <m/>
    <m/>
    <m/>
    <m/>
    <m/>
    <m/>
  </r>
  <r>
    <d v="2021-08-05T00:00:00"/>
    <x v="8"/>
    <x v="6"/>
    <x v="6"/>
    <n v="-20000"/>
    <n v="0"/>
    <n v="20000"/>
    <x v="74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0"/>
    <x v="0"/>
    <n v="30000"/>
    <n v="30000"/>
    <n v="0"/>
    <x v="392"/>
    <s v="Administracion"/>
    <m/>
    <m/>
    <m/>
    <m/>
    <m/>
    <m/>
    <m/>
  </r>
  <r>
    <d v="2021-08-05T00:00:00"/>
    <x v="8"/>
    <x v="19"/>
    <x v="19"/>
    <n v="-30000"/>
    <n v="0"/>
    <n v="30000"/>
    <x v="39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0"/>
    <x v="0"/>
    <n v="50000"/>
    <n v="50000"/>
    <n v="0"/>
    <x v="746"/>
    <s v="Administracion"/>
    <m/>
    <m/>
    <m/>
    <m/>
    <m/>
    <m/>
    <m/>
  </r>
  <r>
    <d v="2021-08-05T00:00:00"/>
    <x v="8"/>
    <x v="24"/>
    <x v="24"/>
    <n v="-50000"/>
    <n v="0"/>
    <n v="50000"/>
    <x v="74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0"/>
    <x v="0"/>
    <n v="10000"/>
    <n v="10000"/>
    <n v="0"/>
    <x v="747"/>
    <s v="Administracion"/>
    <m/>
    <m/>
    <m/>
    <m/>
    <m/>
    <m/>
    <m/>
  </r>
  <r>
    <d v="2021-08-05T00:00:00"/>
    <x v="8"/>
    <x v="19"/>
    <x v="19"/>
    <n v="-10000"/>
    <n v="0"/>
    <n v="10000"/>
    <x v="74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5T00:00:00"/>
    <x v="8"/>
    <x v="0"/>
    <x v="0"/>
    <n v="50000"/>
    <n v="50000"/>
    <n v="0"/>
    <x v="748"/>
    <s v="Administracion"/>
    <m/>
    <m/>
    <m/>
    <m/>
    <m/>
    <m/>
    <m/>
  </r>
  <r>
    <d v="2021-08-05T00:00:00"/>
    <x v="8"/>
    <x v="21"/>
    <x v="21"/>
    <n v="-50000"/>
    <n v="0"/>
    <n v="50000"/>
    <x v="74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6T00:00:00"/>
    <x v="8"/>
    <x v="0"/>
    <x v="0"/>
    <n v="40000"/>
    <n v="40000"/>
    <n v="0"/>
    <x v="112"/>
    <s v="Administracion"/>
    <m/>
    <m/>
    <m/>
    <m/>
    <m/>
    <m/>
    <m/>
  </r>
  <r>
    <d v="2021-08-06T00:00:00"/>
    <x v="8"/>
    <x v="19"/>
    <x v="19"/>
    <n v="-40000"/>
    <n v="0"/>
    <n v="40000"/>
    <x v="1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6T00:00:00"/>
    <x v="8"/>
    <x v="0"/>
    <x v="0"/>
    <n v="21000"/>
    <n v="21000"/>
    <n v="0"/>
    <x v="749"/>
    <s v="Administracion"/>
    <m/>
    <m/>
    <m/>
    <m/>
    <m/>
    <m/>
    <m/>
  </r>
  <r>
    <d v="2021-08-06T00:00:00"/>
    <x v="8"/>
    <x v="6"/>
    <x v="6"/>
    <n v="-21000"/>
    <n v="0"/>
    <n v="21000"/>
    <x v="74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6T00:00:00"/>
    <x v="8"/>
    <x v="0"/>
    <x v="0"/>
    <n v="4902"/>
    <n v="4902"/>
    <n v="0"/>
    <x v="344"/>
    <s v="Administracion"/>
    <m/>
    <m/>
    <m/>
    <m/>
    <m/>
    <m/>
    <m/>
  </r>
  <r>
    <d v="2021-08-06T00:00:00"/>
    <x v="8"/>
    <x v="20"/>
    <x v="20"/>
    <n v="-4902"/>
    <n v="0"/>
    <n v="4902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6T00:00:00"/>
    <x v="8"/>
    <x v="23"/>
    <x v="23"/>
    <n v="1062"/>
    <n v="1062"/>
    <n v="0"/>
    <x v="208"/>
    <s v="Administracion"/>
    <m/>
    <m/>
    <m/>
    <m/>
    <m/>
    <m/>
    <m/>
  </r>
  <r>
    <d v="2021-08-06T00:00:00"/>
    <x v="8"/>
    <x v="0"/>
    <x v="0"/>
    <n v="-1062"/>
    <n v="0"/>
    <n v="1062"/>
    <x v="20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6T00:00:00"/>
    <x v="8"/>
    <x v="23"/>
    <x v="23"/>
    <n v="3895"/>
    <n v="3895"/>
    <n v="0"/>
    <x v="208"/>
    <s v="Administracion"/>
    <m/>
    <m/>
    <m/>
    <m/>
    <m/>
    <m/>
    <m/>
  </r>
  <r>
    <d v="2021-08-06T00:00:00"/>
    <x v="8"/>
    <x v="0"/>
    <x v="0"/>
    <n v="-3895"/>
    <n v="0"/>
    <n v="3895"/>
    <x v="20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20000"/>
    <n v="20000"/>
    <n v="0"/>
    <x v="750"/>
    <s v="Administracion"/>
    <m/>
    <m/>
    <m/>
    <m/>
    <m/>
    <m/>
    <m/>
  </r>
  <r>
    <d v="2021-08-09T00:00:00"/>
    <x v="8"/>
    <x v="21"/>
    <x v="21"/>
    <n v="-20000"/>
    <n v="0"/>
    <n v="20000"/>
    <x v="75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5000"/>
    <n v="5000"/>
    <n v="0"/>
    <x v="338"/>
    <s v="Administracion"/>
    <m/>
    <m/>
    <m/>
    <m/>
    <m/>
    <m/>
    <m/>
  </r>
  <r>
    <d v="2021-08-09T00:00:00"/>
    <x v="8"/>
    <x v="20"/>
    <x v="20"/>
    <n v="-5000"/>
    <n v="0"/>
    <n v="5000"/>
    <x v="33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5000"/>
    <n v="5000"/>
    <n v="0"/>
    <x v="217"/>
    <s v="Administracion"/>
    <m/>
    <m/>
    <m/>
    <m/>
    <m/>
    <m/>
    <m/>
  </r>
  <r>
    <d v="2021-08-09T00:00:00"/>
    <x v="8"/>
    <x v="19"/>
    <x v="19"/>
    <n v="-5000"/>
    <n v="0"/>
    <n v="5000"/>
    <x v="2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500000"/>
    <n v="500000"/>
    <n v="0"/>
    <x v="751"/>
    <s v="Administracion"/>
    <m/>
    <m/>
    <m/>
    <m/>
    <m/>
    <m/>
    <m/>
  </r>
  <r>
    <d v="2021-08-09T00:00:00"/>
    <x v="8"/>
    <x v="6"/>
    <x v="6"/>
    <n v="-500000"/>
    <n v="0"/>
    <n v="500000"/>
    <x v="75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10000"/>
    <n v="10000"/>
    <n v="0"/>
    <x v="99"/>
    <s v="Administracion"/>
    <m/>
    <m/>
    <m/>
    <m/>
    <m/>
    <m/>
    <m/>
  </r>
  <r>
    <d v="2021-08-09T00:00:00"/>
    <x v="8"/>
    <x v="19"/>
    <x v="19"/>
    <n v="-10000"/>
    <n v="0"/>
    <n v="10000"/>
    <x v="9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3000"/>
    <n v="3000"/>
    <n v="0"/>
    <x v="115"/>
    <s v="Administracion"/>
    <m/>
    <m/>
    <m/>
    <m/>
    <m/>
    <m/>
    <m/>
  </r>
  <r>
    <d v="2021-08-09T00:00:00"/>
    <x v="8"/>
    <x v="19"/>
    <x v="19"/>
    <n v="-3000"/>
    <n v="0"/>
    <n v="3000"/>
    <x v="1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10000"/>
    <n v="10000"/>
    <n v="0"/>
    <x v="272"/>
    <s v="Administracion"/>
    <m/>
    <m/>
    <m/>
    <m/>
    <m/>
    <m/>
    <m/>
  </r>
  <r>
    <d v="2021-08-09T00:00:00"/>
    <x v="8"/>
    <x v="19"/>
    <x v="19"/>
    <n v="-10000"/>
    <n v="0"/>
    <n v="10000"/>
    <x v="2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10000"/>
    <n v="10000"/>
    <n v="0"/>
    <x v="78"/>
    <s v="Administracion"/>
    <m/>
    <m/>
    <m/>
    <m/>
    <m/>
    <m/>
    <m/>
  </r>
  <r>
    <d v="2021-08-09T00:00:00"/>
    <x v="8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8000"/>
    <n v="8000"/>
    <n v="0"/>
    <x v="167"/>
    <s v="Administracion"/>
    <m/>
    <m/>
    <m/>
    <m/>
    <m/>
    <m/>
    <m/>
  </r>
  <r>
    <d v="2021-08-09T00:00:00"/>
    <x v="8"/>
    <x v="19"/>
    <x v="19"/>
    <n v="-8000"/>
    <n v="0"/>
    <n v="8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5000"/>
    <n v="5000"/>
    <n v="0"/>
    <x v="98"/>
    <s v="Administracion"/>
    <m/>
    <m/>
    <m/>
    <m/>
    <m/>
    <m/>
    <m/>
  </r>
  <r>
    <d v="2021-08-09T00:00:00"/>
    <x v="8"/>
    <x v="19"/>
    <x v="19"/>
    <n v="-5000"/>
    <n v="0"/>
    <n v="5000"/>
    <x v="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10000"/>
    <n v="10000"/>
    <n v="0"/>
    <x v="718"/>
    <s v="Administracion"/>
    <m/>
    <m/>
    <m/>
    <m/>
    <m/>
    <m/>
    <m/>
  </r>
  <r>
    <d v="2021-08-09T00:00:00"/>
    <x v="8"/>
    <x v="19"/>
    <x v="19"/>
    <n v="-10000"/>
    <n v="0"/>
    <n v="10000"/>
    <x v="7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15000"/>
    <n v="15000"/>
    <n v="0"/>
    <x v="752"/>
    <s v="Administracion"/>
    <m/>
    <m/>
    <m/>
    <m/>
    <m/>
    <m/>
    <m/>
  </r>
  <r>
    <d v="2021-08-09T00:00:00"/>
    <x v="8"/>
    <x v="42"/>
    <x v="23"/>
    <n v="-15000"/>
    <n v="0"/>
    <n v="15000"/>
    <x v="75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2000"/>
    <n v="2000"/>
    <n v="0"/>
    <x v="283"/>
    <s v="Administracion"/>
    <m/>
    <m/>
    <m/>
    <m/>
    <m/>
    <m/>
    <m/>
  </r>
  <r>
    <d v="2021-08-09T00:00:00"/>
    <x v="8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5000"/>
    <n v="5000"/>
    <n v="0"/>
    <x v="753"/>
    <s v="Administracion"/>
    <m/>
    <m/>
    <m/>
    <m/>
    <m/>
    <m/>
    <m/>
  </r>
  <r>
    <d v="2021-08-09T00:00:00"/>
    <x v="8"/>
    <x v="19"/>
    <x v="19"/>
    <n v="-5000"/>
    <n v="0"/>
    <n v="5000"/>
    <x v="75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10000"/>
    <n v="10000"/>
    <n v="0"/>
    <x v="441"/>
    <s v="Administracion"/>
    <m/>
    <m/>
    <m/>
    <m/>
    <m/>
    <m/>
    <m/>
  </r>
  <r>
    <d v="2021-08-09T00:00:00"/>
    <x v="8"/>
    <x v="20"/>
    <x v="20"/>
    <n v="-10000"/>
    <n v="0"/>
    <n v="10000"/>
    <x v="4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10000"/>
    <n v="10000"/>
    <n v="0"/>
    <x v="246"/>
    <s v="Administracion"/>
    <m/>
    <m/>
    <m/>
    <m/>
    <m/>
    <m/>
    <m/>
  </r>
  <r>
    <d v="2021-08-09T00:00:00"/>
    <x v="8"/>
    <x v="19"/>
    <x v="19"/>
    <n v="-10000"/>
    <n v="0"/>
    <n v="10000"/>
    <x v="24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75000"/>
    <n v="75000"/>
    <n v="0"/>
    <x v="575"/>
    <s v="Administracion"/>
    <m/>
    <m/>
    <m/>
    <m/>
    <m/>
    <m/>
    <m/>
  </r>
  <r>
    <d v="2021-08-09T00:00:00"/>
    <x v="8"/>
    <x v="42"/>
    <x v="23"/>
    <n v="-75000"/>
    <n v="0"/>
    <n v="75000"/>
    <x v="57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10000"/>
    <n v="10000"/>
    <n v="0"/>
    <x v="754"/>
    <s v="Administracion"/>
    <m/>
    <m/>
    <m/>
    <m/>
    <m/>
    <m/>
    <m/>
  </r>
  <r>
    <d v="2021-08-09T00:00:00"/>
    <x v="8"/>
    <x v="19"/>
    <x v="19"/>
    <n v="-10000"/>
    <n v="0"/>
    <n v="10000"/>
    <x v="75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51000"/>
    <n v="51000"/>
    <n v="0"/>
    <x v="755"/>
    <s v="Administracion"/>
    <m/>
    <m/>
    <m/>
    <m/>
    <m/>
    <m/>
    <m/>
  </r>
  <r>
    <d v="2021-08-09T00:00:00"/>
    <x v="8"/>
    <x v="21"/>
    <x v="21"/>
    <n v="-51000"/>
    <n v="0"/>
    <n v="51000"/>
    <x v="75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09T00:00:00"/>
    <x v="8"/>
    <x v="0"/>
    <x v="0"/>
    <n v="279420"/>
    <n v="279420"/>
    <n v="0"/>
    <x v="747"/>
    <s v="Administracion"/>
    <m/>
    <m/>
    <m/>
    <m/>
    <m/>
    <m/>
    <m/>
  </r>
  <r>
    <d v="2021-08-09T00:00:00"/>
    <x v="8"/>
    <x v="19"/>
    <x v="19"/>
    <n v="-279420"/>
    <n v="0"/>
    <n v="279420"/>
    <x v="74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0T00:00:00"/>
    <x v="8"/>
    <x v="0"/>
    <x v="0"/>
    <n v="60000"/>
    <n v="60000"/>
    <n v="0"/>
    <x v="462"/>
    <s v="Administracion"/>
    <m/>
    <m/>
    <m/>
    <m/>
    <m/>
    <m/>
    <m/>
  </r>
  <r>
    <d v="2021-08-10T00:00:00"/>
    <x v="8"/>
    <x v="19"/>
    <x v="19"/>
    <n v="-60000"/>
    <n v="0"/>
    <n v="60000"/>
    <x v="4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0T00:00:00"/>
    <x v="8"/>
    <x v="0"/>
    <x v="0"/>
    <n v="20000"/>
    <n v="20000"/>
    <n v="0"/>
    <x v="756"/>
    <s v="Administracion"/>
    <m/>
    <m/>
    <m/>
    <m/>
    <m/>
    <m/>
    <m/>
  </r>
  <r>
    <d v="2021-08-10T00:00:00"/>
    <x v="8"/>
    <x v="19"/>
    <x v="19"/>
    <n v="-20000"/>
    <n v="0"/>
    <n v="20000"/>
    <x v="75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0T00:00:00"/>
    <x v="8"/>
    <x v="0"/>
    <x v="0"/>
    <n v="25000"/>
    <n v="25000"/>
    <n v="0"/>
    <x v="457"/>
    <s v="Administracion"/>
    <m/>
    <m/>
    <m/>
    <m/>
    <m/>
    <m/>
    <m/>
  </r>
  <r>
    <d v="2021-08-10T00:00:00"/>
    <x v="8"/>
    <x v="42"/>
    <x v="23"/>
    <n v="-25000"/>
    <n v="0"/>
    <n v="25000"/>
    <x v="45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0T00:00:00"/>
    <x v="8"/>
    <x v="0"/>
    <x v="0"/>
    <n v="20000"/>
    <n v="20000"/>
    <n v="0"/>
    <x v="152"/>
    <s v="Administracion"/>
    <m/>
    <m/>
    <m/>
    <m/>
    <m/>
    <m/>
    <m/>
  </r>
  <r>
    <d v="2021-08-10T00:00:00"/>
    <x v="8"/>
    <x v="19"/>
    <x v="19"/>
    <n v="-20000"/>
    <n v="0"/>
    <n v="20000"/>
    <x v="15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0T00:00:00"/>
    <x v="8"/>
    <x v="0"/>
    <x v="0"/>
    <n v="30000"/>
    <n v="30000"/>
    <n v="0"/>
    <x v="757"/>
    <s v="Administracion"/>
    <m/>
    <m/>
    <m/>
    <m/>
    <m/>
    <m/>
    <m/>
  </r>
  <r>
    <d v="2021-08-10T00:00:00"/>
    <x v="8"/>
    <x v="21"/>
    <x v="21"/>
    <n v="-30000"/>
    <n v="0"/>
    <n v="30000"/>
    <x v="75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0T00:00:00"/>
    <x v="8"/>
    <x v="26"/>
    <x v="26"/>
    <n v="21582"/>
    <n v="21582"/>
    <n v="0"/>
    <x v="477"/>
    <s v="Administracion"/>
    <m/>
    <m/>
    <m/>
    <m/>
    <m/>
    <m/>
    <m/>
  </r>
  <r>
    <d v="2021-08-10T00:00:00"/>
    <x v="8"/>
    <x v="0"/>
    <x v="0"/>
    <n v="-21582"/>
    <n v="0"/>
    <n v="21582"/>
    <x v="47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0T00:00:00"/>
    <x v="8"/>
    <x v="27"/>
    <x v="27"/>
    <n v="35956"/>
    <n v="35956"/>
    <n v="0"/>
    <x v="491"/>
    <s v="Administracion"/>
    <m/>
    <m/>
    <m/>
    <m/>
    <m/>
    <m/>
    <m/>
  </r>
  <r>
    <d v="2021-08-10T00:00:00"/>
    <x v="8"/>
    <x v="0"/>
    <x v="0"/>
    <n v="-35956"/>
    <n v="0"/>
    <n v="35956"/>
    <x v="49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0T00:00:00"/>
    <x v="8"/>
    <x v="0"/>
    <x v="0"/>
    <n v="100000"/>
    <n v="100000"/>
    <n v="0"/>
    <x v="25"/>
    <s v="Administracion"/>
    <m/>
    <m/>
    <m/>
    <m/>
    <m/>
    <m/>
    <m/>
  </r>
  <r>
    <d v="2021-08-10T00:00:00"/>
    <x v="8"/>
    <x v="6"/>
    <x v="6"/>
    <n v="-100000"/>
    <n v="0"/>
    <n v="100000"/>
    <x v="2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0T00:00:00"/>
    <x v="8"/>
    <x v="0"/>
    <x v="0"/>
    <n v="10000"/>
    <n v="10000"/>
    <n v="0"/>
    <x v="338"/>
    <s v="Administracion"/>
    <m/>
    <m/>
    <m/>
    <m/>
    <m/>
    <m/>
    <m/>
  </r>
  <r>
    <d v="2021-08-10T00:00:00"/>
    <x v="8"/>
    <x v="20"/>
    <x v="20"/>
    <n v="-10000"/>
    <n v="0"/>
    <n v="10000"/>
    <x v="33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1T00:00:00"/>
    <x v="8"/>
    <x v="0"/>
    <x v="0"/>
    <n v="60000"/>
    <n v="60000"/>
    <n v="0"/>
    <x v="598"/>
    <s v="Administracion"/>
    <m/>
    <m/>
    <m/>
    <m/>
    <m/>
    <m/>
    <m/>
  </r>
  <r>
    <d v="2021-08-11T00:00:00"/>
    <x v="8"/>
    <x v="21"/>
    <x v="21"/>
    <n v="-60000"/>
    <n v="0"/>
    <n v="60000"/>
    <x v="5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1T00:00:00"/>
    <x v="8"/>
    <x v="0"/>
    <x v="0"/>
    <n v="9881"/>
    <n v="9881"/>
    <n v="0"/>
    <x v="96"/>
    <s v="Administracion"/>
    <m/>
    <m/>
    <m/>
    <m/>
    <m/>
    <m/>
    <m/>
  </r>
  <r>
    <d v="2021-08-11T00:00:00"/>
    <x v="8"/>
    <x v="19"/>
    <x v="19"/>
    <n v="-9881"/>
    <n v="0"/>
    <n v="9881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1T00:00:00"/>
    <x v="8"/>
    <x v="0"/>
    <x v="0"/>
    <n v="5000"/>
    <n v="5000"/>
    <n v="0"/>
    <x v="758"/>
    <s v="Administracion"/>
    <m/>
    <m/>
    <m/>
    <m/>
    <m/>
    <m/>
    <m/>
  </r>
  <r>
    <d v="2021-08-11T00:00:00"/>
    <x v="8"/>
    <x v="21"/>
    <x v="21"/>
    <n v="-5000"/>
    <n v="0"/>
    <n v="5000"/>
    <x v="75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1T00:00:00"/>
    <x v="8"/>
    <x v="0"/>
    <x v="0"/>
    <n v="25000"/>
    <n v="25000"/>
    <n v="0"/>
    <x v="268"/>
    <s v="Administracion"/>
    <m/>
    <m/>
    <m/>
    <m/>
    <m/>
    <m/>
    <m/>
  </r>
  <r>
    <d v="2021-08-11T00:00:00"/>
    <x v="8"/>
    <x v="42"/>
    <x v="23"/>
    <n v="-25000"/>
    <n v="0"/>
    <n v="25000"/>
    <x v="26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1T00:00:00"/>
    <x v="8"/>
    <x v="0"/>
    <x v="0"/>
    <n v="20000"/>
    <n v="20000"/>
    <n v="0"/>
    <x v="349"/>
    <s v="Administracion"/>
    <m/>
    <m/>
    <m/>
    <m/>
    <m/>
    <m/>
    <m/>
  </r>
  <r>
    <d v="2021-08-11T00:00:00"/>
    <x v="8"/>
    <x v="19"/>
    <x v="19"/>
    <n v="-20000"/>
    <n v="0"/>
    <n v="20000"/>
    <x v="34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1T00:00:00"/>
    <x v="8"/>
    <x v="0"/>
    <x v="0"/>
    <n v="10000"/>
    <n v="10000"/>
    <n v="0"/>
    <x v="759"/>
    <s v="Administracion"/>
    <m/>
    <m/>
    <m/>
    <m/>
    <m/>
    <m/>
    <m/>
  </r>
  <r>
    <d v="2021-08-11T00:00:00"/>
    <x v="8"/>
    <x v="20"/>
    <x v="20"/>
    <n v="-10000"/>
    <n v="0"/>
    <n v="10000"/>
    <x v="75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1T00:00:00"/>
    <x v="8"/>
    <x v="0"/>
    <x v="0"/>
    <n v="20000"/>
    <n v="20000"/>
    <n v="0"/>
    <x v="755"/>
    <s v="Administracion"/>
    <m/>
    <m/>
    <m/>
    <m/>
    <m/>
    <m/>
    <m/>
  </r>
  <r>
    <d v="2021-08-11T00:00:00"/>
    <x v="8"/>
    <x v="21"/>
    <x v="21"/>
    <n v="-20000"/>
    <n v="0"/>
    <n v="20000"/>
    <x v="75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28"/>
    <x v="28"/>
    <n v="338983"/>
    <n v="338983"/>
    <n v="0"/>
    <x v="760"/>
    <s v="Administracion"/>
    <m/>
    <m/>
    <m/>
    <m/>
    <m/>
    <m/>
    <m/>
  </r>
  <r>
    <d v="2021-08-16T00:00:00"/>
    <x v="8"/>
    <x v="9"/>
    <x v="9"/>
    <n v="-38983"/>
    <n v="0"/>
    <n v="38983"/>
    <x v="760"/>
    <s v="Administracion"/>
    <m/>
    <m/>
    <m/>
    <m/>
    <m/>
    <m/>
    <m/>
  </r>
  <r>
    <d v="2021-08-16T00:00:00"/>
    <x v="8"/>
    <x v="0"/>
    <x v="0"/>
    <n v="-300000"/>
    <n v="0"/>
    <n v="300000"/>
    <x v="76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32"/>
    <x v="32"/>
    <n v="60000"/>
    <n v="60000"/>
    <n v="0"/>
    <x v="761"/>
    <s v="Administracion"/>
    <m/>
    <m/>
    <m/>
    <m/>
    <m/>
    <m/>
    <m/>
  </r>
  <r>
    <d v="2021-08-16T00:00:00"/>
    <x v="8"/>
    <x v="9"/>
    <x v="9"/>
    <n v="-6900"/>
    <n v="0"/>
    <n v="6900"/>
    <x v="761"/>
    <s v="Administracion"/>
    <m/>
    <m/>
    <m/>
    <m/>
    <m/>
    <m/>
    <m/>
  </r>
  <r>
    <d v="2021-08-16T00:00:00"/>
    <x v="8"/>
    <x v="0"/>
    <x v="0"/>
    <n v="-53100"/>
    <n v="0"/>
    <n v="53100"/>
    <x v="76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28"/>
    <x v="28"/>
    <n v="112994"/>
    <n v="112994"/>
    <n v="0"/>
    <x v="762"/>
    <s v="Administracion"/>
    <m/>
    <m/>
    <m/>
    <m/>
    <m/>
    <m/>
    <m/>
  </r>
  <r>
    <d v="2021-08-16T00:00:00"/>
    <x v="8"/>
    <x v="9"/>
    <x v="9"/>
    <n v="-12994"/>
    <n v="0"/>
    <n v="12994"/>
    <x v="762"/>
    <s v="Administracion"/>
    <m/>
    <m/>
    <m/>
    <m/>
    <m/>
    <m/>
    <m/>
  </r>
  <r>
    <d v="2021-08-16T00:00:00"/>
    <x v="8"/>
    <x v="0"/>
    <x v="0"/>
    <n v="-100000"/>
    <n v="0"/>
    <n v="100000"/>
    <x v="7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44"/>
    <x v="42"/>
    <n v="500000"/>
    <n v="500000"/>
    <n v="0"/>
    <x v="763"/>
    <s v="Administracion"/>
    <m/>
    <m/>
    <m/>
    <m/>
    <m/>
    <m/>
    <m/>
  </r>
  <r>
    <d v="2021-08-16T00:00:00"/>
    <x v="8"/>
    <x v="9"/>
    <x v="9"/>
    <n v="-57500"/>
    <n v="0"/>
    <n v="57500"/>
    <x v="763"/>
    <s v="Administracion"/>
    <m/>
    <m/>
    <m/>
    <m/>
    <m/>
    <m/>
    <m/>
  </r>
  <r>
    <d v="2021-08-16T00:00:00"/>
    <x v="8"/>
    <x v="0"/>
    <x v="0"/>
    <n v="-442500"/>
    <n v="0"/>
    <n v="442500"/>
    <x v="76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46"/>
    <x v="44"/>
    <n v="30290"/>
    <n v="30290"/>
    <n v="0"/>
    <x v="764"/>
    <s v="Administracion"/>
    <m/>
    <m/>
    <m/>
    <m/>
    <m/>
    <m/>
    <m/>
  </r>
  <r>
    <d v="2021-08-16T00:00:00"/>
    <x v="8"/>
    <x v="0"/>
    <x v="0"/>
    <n v="-30290"/>
    <n v="0"/>
    <n v="30290"/>
    <x v="76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28"/>
    <x v="28"/>
    <n v="65450"/>
    <n v="65450"/>
    <n v="0"/>
    <x v="765"/>
    <s v="Administracion"/>
    <m/>
    <m/>
    <m/>
    <m/>
    <m/>
    <m/>
    <m/>
  </r>
  <r>
    <d v="2021-08-16T00:00:00"/>
    <x v="8"/>
    <x v="0"/>
    <x v="0"/>
    <n v="-65450"/>
    <n v="0"/>
    <n v="65450"/>
    <x v="76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39"/>
    <x v="38"/>
    <n v="90000"/>
    <n v="90000"/>
    <n v="0"/>
    <x v="766"/>
    <s v="Administracion"/>
    <m/>
    <m/>
    <m/>
    <m/>
    <m/>
    <m/>
    <m/>
  </r>
  <r>
    <d v="2021-08-16T00:00:00"/>
    <x v="8"/>
    <x v="0"/>
    <x v="0"/>
    <n v="-90000"/>
    <n v="0"/>
    <n v="90000"/>
    <x v="76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39"/>
    <x v="38"/>
    <n v="20000"/>
    <n v="20000"/>
    <n v="0"/>
    <x v="767"/>
    <s v="Administracion"/>
    <m/>
    <m/>
    <m/>
    <m/>
    <m/>
    <m/>
    <m/>
  </r>
  <r>
    <d v="2021-08-16T00:00:00"/>
    <x v="8"/>
    <x v="0"/>
    <x v="0"/>
    <n v="-20000"/>
    <n v="0"/>
    <n v="20000"/>
    <x v="7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39"/>
    <x v="38"/>
    <n v="80000"/>
    <n v="80000"/>
    <n v="0"/>
    <x v="768"/>
    <s v="Administracion"/>
    <m/>
    <m/>
    <m/>
    <m/>
    <m/>
    <m/>
    <m/>
  </r>
  <r>
    <d v="2021-08-16T00:00:00"/>
    <x v="8"/>
    <x v="0"/>
    <x v="0"/>
    <n v="-80000"/>
    <n v="0"/>
    <n v="80000"/>
    <x v="76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39"/>
    <x v="38"/>
    <n v="20000"/>
    <n v="20000"/>
    <n v="0"/>
    <x v="769"/>
    <s v="Administracion"/>
    <m/>
    <m/>
    <m/>
    <m/>
    <m/>
    <m/>
    <m/>
  </r>
  <r>
    <d v="2021-08-16T00:00:00"/>
    <x v="8"/>
    <x v="0"/>
    <x v="0"/>
    <n v="-20000"/>
    <n v="0"/>
    <n v="20000"/>
    <x v="76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39"/>
    <x v="38"/>
    <n v="20000"/>
    <n v="20000"/>
    <n v="0"/>
    <x v="770"/>
    <s v="Administracion"/>
    <m/>
    <m/>
    <m/>
    <m/>
    <m/>
    <m/>
    <m/>
  </r>
  <r>
    <d v="2021-08-16T00:00:00"/>
    <x v="8"/>
    <x v="0"/>
    <x v="0"/>
    <n v="-20000"/>
    <n v="0"/>
    <n v="20000"/>
    <x v="77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39"/>
    <x v="38"/>
    <n v="50000"/>
    <n v="50000"/>
    <n v="0"/>
    <x v="771"/>
    <s v="Administracion"/>
    <m/>
    <m/>
    <m/>
    <m/>
    <m/>
    <m/>
    <m/>
  </r>
  <r>
    <d v="2021-08-16T00:00:00"/>
    <x v="8"/>
    <x v="0"/>
    <x v="0"/>
    <n v="-50000"/>
    <n v="0"/>
    <n v="50000"/>
    <x v="77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39"/>
    <x v="38"/>
    <n v="20000"/>
    <n v="20000"/>
    <n v="0"/>
    <x v="772"/>
    <s v="Administracion"/>
    <m/>
    <m/>
    <m/>
    <m/>
    <m/>
    <m/>
    <m/>
  </r>
  <r>
    <d v="2021-08-16T00:00:00"/>
    <x v="8"/>
    <x v="0"/>
    <x v="0"/>
    <n v="-20000"/>
    <n v="0"/>
    <n v="20000"/>
    <x v="7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0"/>
    <x v="0"/>
    <n v="20000"/>
    <n v="20000"/>
    <n v="0"/>
    <x v="405"/>
    <s v="Administracion"/>
    <m/>
    <m/>
    <m/>
    <m/>
    <m/>
    <m/>
    <m/>
  </r>
  <r>
    <d v="2021-08-16T00:00:00"/>
    <x v="8"/>
    <x v="19"/>
    <x v="19"/>
    <n v="-20000"/>
    <n v="0"/>
    <n v="20000"/>
    <x v="40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29"/>
    <x v="29"/>
    <n v="43448"/>
    <n v="43448"/>
    <n v="0"/>
    <x v="41"/>
    <s v="Administracion"/>
    <m/>
    <m/>
    <m/>
    <m/>
    <m/>
    <m/>
    <m/>
  </r>
  <r>
    <d v="2021-08-16T00:00:00"/>
    <x v="8"/>
    <x v="0"/>
    <x v="0"/>
    <n v="-43448"/>
    <n v="0"/>
    <n v="43448"/>
    <x v="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27"/>
    <x v="27"/>
    <n v="20990"/>
    <n v="20990"/>
    <n v="0"/>
    <x v="367"/>
    <s v="Administracion"/>
    <m/>
    <m/>
    <m/>
    <m/>
    <m/>
    <m/>
    <m/>
  </r>
  <r>
    <d v="2021-08-16T00:00:00"/>
    <x v="8"/>
    <x v="0"/>
    <x v="0"/>
    <n v="-20990"/>
    <n v="0"/>
    <n v="20990"/>
    <x v="3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0"/>
    <x v="0"/>
    <n v="240242"/>
    <n v="240242"/>
    <n v="0"/>
    <x v="773"/>
    <s v="Administracion"/>
    <m/>
    <m/>
    <m/>
    <m/>
    <m/>
    <m/>
    <m/>
  </r>
  <r>
    <d v="2021-08-16T00:00:00"/>
    <x v="8"/>
    <x v="21"/>
    <x v="21"/>
    <n v="-240242"/>
    <n v="0"/>
    <n v="240242"/>
    <x v="7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0"/>
    <x v="0"/>
    <n v="10000"/>
    <n v="10000"/>
    <n v="0"/>
    <x v="78"/>
    <s v="Administracion"/>
    <m/>
    <m/>
    <m/>
    <m/>
    <m/>
    <m/>
    <m/>
  </r>
  <r>
    <d v="2021-08-16T00:00:00"/>
    <x v="8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0"/>
    <x v="0"/>
    <n v="8000"/>
    <n v="8000"/>
    <n v="0"/>
    <x v="167"/>
    <s v="Administracion"/>
    <m/>
    <m/>
    <m/>
    <m/>
    <m/>
    <m/>
    <m/>
  </r>
  <r>
    <d v="2021-08-16T00:00:00"/>
    <x v="8"/>
    <x v="19"/>
    <x v="19"/>
    <n v="-8000"/>
    <n v="0"/>
    <n v="8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0"/>
    <x v="0"/>
    <n v="5000"/>
    <n v="5000"/>
    <n v="0"/>
    <x v="774"/>
    <s v="Administracion"/>
    <m/>
    <m/>
    <m/>
    <m/>
    <m/>
    <m/>
    <m/>
  </r>
  <r>
    <d v="2021-08-16T00:00:00"/>
    <x v="8"/>
    <x v="19"/>
    <x v="19"/>
    <n v="-5000"/>
    <n v="0"/>
    <n v="5000"/>
    <x v="77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0"/>
    <x v="0"/>
    <n v="10000"/>
    <n v="10000"/>
    <n v="0"/>
    <x v="167"/>
    <s v="Administracion"/>
    <m/>
    <m/>
    <m/>
    <m/>
    <m/>
    <m/>
    <m/>
  </r>
  <r>
    <d v="2021-08-16T00:00:00"/>
    <x v="8"/>
    <x v="19"/>
    <x v="19"/>
    <n v="-10000"/>
    <n v="0"/>
    <n v="10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0"/>
    <x v="0"/>
    <n v="10000"/>
    <n v="10000"/>
    <n v="0"/>
    <x v="167"/>
    <s v="Administracion"/>
    <m/>
    <m/>
    <m/>
    <m/>
    <m/>
    <m/>
    <m/>
  </r>
  <r>
    <d v="2021-08-16T00:00:00"/>
    <x v="8"/>
    <x v="19"/>
    <x v="19"/>
    <n v="-10000"/>
    <n v="0"/>
    <n v="10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0"/>
    <x v="0"/>
    <n v="10000"/>
    <n v="10000"/>
    <n v="0"/>
    <x v="718"/>
    <s v="Administracion"/>
    <m/>
    <m/>
    <m/>
    <m/>
    <m/>
    <m/>
    <m/>
  </r>
  <r>
    <d v="2021-08-16T00:00:00"/>
    <x v="8"/>
    <x v="19"/>
    <x v="19"/>
    <n v="-10000"/>
    <n v="0"/>
    <n v="10000"/>
    <x v="7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0"/>
    <x v="0"/>
    <n v="10000"/>
    <n v="10000"/>
    <n v="0"/>
    <x v="76"/>
    <s v="Administracion"/>
    <m/>
    <m/>
    <m/>
    <m/>
    <m/>
    <m/>
    <m/>
  </r>
  <r>
    <d v="2021-08-16T00:00:00"/>
    <x v="8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0"/>
    <x v="0"/>
    <n v="2000"/>
    <n v="2000"/>
    <n v="0"/>
    <x v="283"/>
    <s v="Administracion"/>
    <m/>
    <m/>
    <m/>
    <m/>
    <m/>
    <m/>
    <m/>
  </r>
  <r>
    <d v="2021-08-16T00:00:00"/>
    <x v="8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0"/>
    <x v="0"/>
    <n v="98791"/>
    <n v="98791"/>
    <n v="0"/>
    <x v="775"/>
    <s v="Administracion"/>
    <m/>
    <m/>
    <m/>
    <m/>
    <m/>
    <m/>
    <m/>
  </r>
  <r>
    <d v="2021-08-16T00:00:00"/>
    <x v="8"/>
    <x v="30"/>
    <x v="30"/>
    <n v="-98791"/>
    <n v="0"/>
    <n v="98791"/>
    <x v="77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0"/>
    <x v="0"/>
    <n v="30000"/>
    <n v="30000"/>
    <n v="0"/>
    <x v="32"/>
    <s v="Administracion"/>
    <m/>
    <m/>
    <m/>
    <m/>
    <m/>
    <m/>
    <m/>
  </r>
  <r>
    <d v="2021-08-16T00:00:00"/>
    <x v="8"/>
    <x v="6"/>
    <x v="6"/>
    <n v="-30000"/>
    <n v="0"/>
    <n v="30000"/>
    <x v="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0"/>
    <x v="0"/>
    <n v="50000"/>
    <n v="50000"/>
    <n v="0"/>
    <x v="643"/>
    <s v="Administracion"/>
    <m/>
    <m/>
    <m/>
    <m/>
    <m/>
    <m/>
    <m/>
  </r>
  <r>
    <d v="2021-08-16T00:00:00"/>
    <x v="8"/>
    <x v="6"/>
    <x v="6"/>
    <n v="-50000"/>
    <n v="0"/>
    <n v="50000"/>
    <x v="64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6T00:00:00"/>
    <x v="8"/>
    <x v="0"/>
    <x v="0"/>
    <n v="425820"/>
    <n v="425820"/>
    <n v="0"/>
    <x v="418"/>
    <s v="Administracion"/>
    <m/>
    <m/>
    <m/>
    <m/>
    <m/>
    <m/>
    <m/>
  </r>
  <r>
    <d v="2021-08-16T00:00:00"/>
    <x v="8"/>
    <x v="19"/>
    <x v="19"/>
    <n v="-425820"/>
    <n v="0"/>
    <n v="42582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7T00:00:00"/>
    <x v="8"/>
    <x v="0"/>
    <x v="0"/>
    <n v="5000"/>
    <n v="5000"/>
    <n v="0"/>
    <x v="173"/>
    <s v="Administracion"/>
    <m/>
    <m/>
    <m/>
    <m/>
    <m/>
    <m/>
    <m/>
  </r>
  <r>
    <d v="2021-08-17T00:00:00"/>
    <x v="8"/>
    <x v="19"/>
    <x v="19"/>
    <n v="-5000"/>
    <n v="0"/>
    <n v="5000"/>
    <x v="1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7T00:00:00"/>
    <x v="8"/>
    <x v="0"/>
    <x v="0"/>
    <n v="20000"/>
    <n v="20000"/>
    <n v="0"/>
    <x v="113"/>
    <s v="Administracion"/>
    <m/>
    <m/>
    <m/>
    <m/>
    <m/>
    <m/>
    <m/>
  </r>
  <r>
    <d v="2021-08-17T00:00:00"/>
    <x v="8"/>
    <x v="19"/>
    <x v="19"/>
    <n v="-20000"/>
    <n v="0"/>
    <n v="20000"/>
    <x v="11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7T00:00:00"/>
    <x v="8"/>
    <x v="0"/>
    <x v="0"/>
    <n v="50000"/>
    <n v="50000"/>
    <n v="0"/>
    <x v="466"/>
    <s v="Administracion"/>
    <m/>
    <m/>
    <m/>
    <m/>
    <m/>
    <m/>
    <m/>
  </r>
  <r>
    <d v="2021-08-17T00:00:00"/>
    <x v="8"/>
    <x v="6"/>
    <x v="6"/>
    <n v="-50000"/>
    <n v="0"/>
    <n v="50000"/>
    <x v="46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7T00:00:00"/>
    <x v="8"/>
    <x v="0"/>
    <x v="0"/>
    <n v="10000"/>
    <n v="10000"/>
    <n v="0"/>
    <x v="217"/>
    <s v="Administracion"/>
    <m/>
    <m/>
    <m/>
    <m/>
    <m/>
    <m/>
    <m/>
  </r>
  <r>
    <d v="2021-08-17T00:00:00"/>
    <x v="8"/>
    <x v="19"/>
    <x v="19"/>
    <n v="-10000"/>
    <n v="0"/>
    <n v="10000"/>
    <x v="2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7T00:00:00"/>
    <x v="8"/>
    <x v="0"/>
    <x v="0"/>
    <n v="20000"/>
    <n v="20000"/>
    <n v="0"/>
    <x v="776"/>
    <s v="Administracion"/>
    <m/>
    <m/>
    <m/>
    <m/>
    <m/>
    <m/>
    <m/>
  </r>
  <r>
    <d v="2021-08-17T00:00:00"/>
    <x v="8"/>
    <x v="24"/>
    <x v="24"/>
    <n v="-20000"/>
    <n v="0"/>
    <n v="20000"/>
    <x v="7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7T00:00:00"/>
    <x v="8"/>
    <x v="0"/>
    <x v="0"/>
    <n v="25000"/>
    <n v="25000"/>
    <n v="0"/>
    <x v="437"/>
    <s v="Administracion"/>
    <m/>
    <m/>
    <m/>
    <m/>
    <m/>
    <m/>
    <m/>
  </r>
  <r>
    <d v="2021-08-17T00:00:00"/>
    <x v="8"/>
    <x v="42"/>
    <x v="23"/>
    <n v="-25000"/>
    <n v="0"/>
    <n v="25000"/>
    <x v="4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7T00:00:00"/>
    <x v="8"/>
    <x v="0"/>
    <x v="0"/>
    <n v="9806"/>
    <n v="9806"/>
    <n v="0"/>
    <x v="96"/>
    <s v="Administracion"/>
    <m/>
    <m/>
    <m/>
    <m/>
    <m/>
    <m/>
    <m/>
  </r>
  <r>
    <d v="2021-08-17T00:00:00"/>
    <x v="8"/>
    <x v="19"/>
    <x v="19"/>
    <n v="-9806"/>
    <n v="0"/>
    <n v="9806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8T00:00:00"/>
    <x v="8"/>
    <x v="0"/>
    <x v="0"/>
    <n v="30000"/>
    <n v="30000"/>
    <n v="0"/>
    <x v="615"/>
    <s v="Administracion"/>
    <m/>
    <m/>
    <m/>
    <m/>
    <m/>
    <m/>
    <m/>
  </r>
  <r>
    <d v="2021-08-18T00:00:00"/>
    <x v="8"/>
    <x v="19"/>
    <x v="19"/>
    <n v="-30000"/>
    <n v="0"/>
    <n v="30000"/>
    <x v="6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8T00:00:00"/>
    <x v="8"/>
    <x v="0"/>
    <x v="0"/>
    <n v="30000"/>
    <n v="30000"/>
    <n v="0"/>
    <x v="616"/>
    <s v="Administracion"/>
    <m/>
    <m/>
    <m/>
    <m/>
    <m/>
    <m/>
    <m/>
  </r>
  <r>
    <d v="2021-08-18T00:00:00"/>
    <x v="8"/>
    <x v="21"/>
    <x v="21"/>
    <n v="-30000"/>
    <n v="0"/>
    <n v="30000"/>
    <x v="61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8T00:00:00"/>
    <x v="8"/>
    <x v="0"/>
    <x v="0"/>
    <n v="30000"/>
    <n v="30000"/>
    <n v="0"/>
    <x v="54"/>
    <s v="Administracion"/>
    <m/>
    <m/>
    <m/>
    <m/>
    <m/>
    <m/>
    <m/>
  </r>
  <r>
    <d v="2021-08-18T00:00:00"/>
    <x v="8"/>
    <x v="6"/>
    <x v="6"/>
    <n v="-30000"/>
    <n v="0"/>
    <n v="30000"/>
    <x v="5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8T00:00:00"/>
    <x v="8"/>
    <x v="0"/>
    <x v="0"/>
    <n v="9881"/>
    <n v="9881"/>
    <n v="0"/>
    <x v="96"/>
    <s v="Administracion"/>
    <m/>
    <m/>
    <m/>
    <m/>
    <m/>
    <m/>
    <m/>
  </r>
  <r>
    <d v="2021-08-18T00:00:00"/>
    <x v="8"/>
    <x v="19"/>
    <x v="19"/>
    <n v="-9881"/>
    <n v="0"/>
    <n v="9881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9T00:00:00"/>
    <x v="8"/>
    <x v="0"/>
    <x v="0"/>
    <n v="100000"/>
    <n v="100000"/>
    <n v="0"/>
    <x v="172"/>
    <s v="Administracion"/>
    <m/>
    <m/>
    <m/>
    <m/>
    <m/>
    <m/>
    <m/>
  </r>
  <r>
    <d v="2021-08-19T00:00:00"/>
    <x v="8"/>
    <x v="19"/>
    <x v="19"/>
    <n v="-100000"/>
    <n v="0"/>
    <n v="100000"/>
    <x v="1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9T00:00:00"/>
    <x v="8"/>
    <x v="0"/>
    <x v="0"/>
    <n v="20000"/>
    <n v="20000"/>
    <n v="0"/>
    <x v="777"/>
    <s v="Administracion"/>
    <m/>
    <m/>
    <m/>
    <m/>
    <m/>
    <m/>
    <m/>
  </r>
  <r>
    <d v="2021-08-19T00:00:00"/>
    <x v="8"/>
    <x v="24"/>
    <x v="24"/>
    <n v="-20000"/>
    <n v="0"/>
    <n v="20000"/>
    <x v="77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9T00:00:00"/>
    <x v="8"/>
    <x v="0"/>
    <x v="0"/>
    <n v="4940"/>
    <n v="4940"/>
    <n v="0"/>
    <x v="744"/>
    <s v="Administracion"/>
    <m/>
    <m/>
    <m/>
    <m/>
    <m/>
    <m/>
    <m/>
  </r>
  <r>
    <d v="2021-08-19T00:00:00"/>
    <x v="8"/>
    <x v="19"/>
    <x v="19"/>
    <n v="-4940"/>
    <n v="0"/>
    <n v="4940"/>
    <x v="7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19T00:00:00"/>
    <x v="8"/>
    <x v="0"/>
    <x v="0"/>
    <n v="2899"/>
    <n v="2899"/>
    <n v="0"/>
    <x v="344"/>
    <s v="Administracion"/>
    <m/>
    <m/>
    <m/>
    <m/>
    <m/>
    <m/>
    <m/>
  </r>
  <r>
    <d v="2021-08-19T00:00:00"/>
    <x v="8"/>
    <x v="20"/>
    <x v="20"/>
    <n v="-2899"/>
    <n v="0"/>
    <n v="2899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0T00:00:00"/>
    <x v="8"/>
    <x v="0"/>
    <x v="0"/>
    <n v="30000"/>
    <n v="30000"/>
    <n v="0"/>
    <x v="712"/>
    <s v="Administracion"/>
    <m/>
    <m/>
    <m/>
    <m/>
    <m/>
    <m/>
    <m/>
  </r>
  <r>
    <d v="2021-08-20T00:00:00"/>
    <x v="8"/>
    <x v="6"/>
    <x v="6"/>
    <n v="-30000"/>
    <n v="0"/>
    <n v="30000"/>
    <x v="7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0T00:00:00"/>
    <x v="8"/>
    <x v="0"/>
    <x v="0"/>
    <n v="15000"/>
    <n v="15000"/>
    <n v="0"/>
    <x v="144"/>
    <s v="Administracion"/>
    <m/>
    <m/>
    <m/>
    <m/>
    <m/>
    <m/>
    <m/>
  </r>
  <r>
    <d v="2021-08-20T00:00:00"/>
    <x v="8"/>
    <x v="19"/>
    <x v="19"/>
    <n v="-15000"/>
    <n v="0"/>
    <n v="15000"/>
    <x v="1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0T00:00:00"/>
    <x v="8"/>
    <x v="35"/>
    <x v="21"/>
    <n v="765242"/>
    <n v="765242"/>
    <n v="0"/>
    <x v="778"/>
    <s v="Administracion"/>
    <m/>
    <m/>
    <m/>
    <m/>
    <m/>
    <m/>
    <m/>
  </r>
  <r>
    <d v="2021-08-20T00:00:00"/>
    <x v="8"/>
    <x v="0"/>
    <x v="0"/>
    <n v="-765242"/>
    <n v="0"/>
    <n v="765242"/>
    <x v="7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0T00:00:00"/>
    <x v="8"/>
    <x v="45"/>
    <x v="43"/>
    <n v="80000"/>
    <n v="80000"/>
    <n v="0"/>
    <x v="779"/>
    <s v="Administracion"/>
    <m/>
    <m/>
    <m/>
    <m/>
    <m/>
    <m/>
    <m/>
  </r>
  <r>
    <d v="2021-08-20T00:00:00"/>
    <x v="8"/>
    <x v="0"/>
    <x v="0"/>
    <n v="-80000"/>
    <n v="0"/>
    <n v="80000"/>
    <x v="77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3T00:00:00"/>
    <x v="8"/>
    <x v="0"/>
    <x v="0"/>
    <n v="8000"/>
    <n v="8000"/>
    <n v="0"/>
    <x v="167"/>
    <s v="Administracion"/>
    <m/>
    <m/>
    <m/>
    <m/>
    <m/>
    <m/>
    <m/>
  </r>
  <r>
    <d v="2021-08-23T00:00:00"/>
    <x v="8"/>
    <x v="19"/>
    <x v="19"/>
    <n v="-8000"/>
    <n v="0"/>
    <n v="8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3T00:00:00"/>
    <x v="8"/>
    <x v="0"/>
    <x v="0"/>
    <n v="10000"/>
    <n v="10000"/>
    <n v="0"/>
    <x v="78"/>
    <s v="Administracion"/>
    <m/>
    <m/>
    <m/>
    <m/>
    <m/>
    <m/>
    <m/>
  </r>
  <r>
    <d v="2021-08-23T00:00:00"/>
    <x v="8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3T00:00:00"/>
    <x v="8"/>
    <x v="0"/>
    <x v="0"/>
    <n v="3000"/>
    <n v="3000"/>
    <n v="0"/>
    <x v="115"/>
    <s v="Administracion"/>
    <m/>
    <m/>
    <m/>
    <m/>
    <m/>
    <m/>
    <m/>
  </r>
  <r>
    <d v="2021-08-23T00:00:00"/>
    <x v="8"/>
    <x v="19"/>
    <x v="19"/>
    <n v="-3000"/>
    <n v="0"/>
    <n v="3000"/>
    <x v="1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3T00:00:00"/>
    <x v="8"/>
    <x v="0"/>
    <x v="0"/>
    <n v="2000"/>
    <n v="2000"/>
    <n v="0"/>
    <x v="283"/>
    <s v="Administracion"/>
    <m/>
    <m/>
    <m/>
    <m/>
    <m/>
    <m/>
    <m/>
  </r>
  <r>
    <d v="2021-08-23T00:00:00"/>
    <x v="8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3T00:00:00"/>
    <x v="8"/>
    <x v="0"/>
    <x v="0"/>
    <n v="30000"/>
    <n v="30000"/>
    <n v="0"/>
    <x v="418"/>
    <s v="Administracion"/>
    <m/>
    <m/>
    <m/>
    <m/>
    <m/>
    <m/>
    <m/>
  </r>
  <r>
    <d v="2021-08-23T00:00:00"/>
    <x v="8"/>
    <x v="19"/>
    <x v="19"/>
    <n v="-30000"/>
    <n v="0"/>
    <n v="30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3T00:00:00"/>
    <x v="8"/>
    <x v="0"/>
    <x v="0"/>
    <n v="392000"/>
    <n v="392000"/>
    <n v="0"/>
    <x v="418"/>
    <s v="Administracion"/>
    <m/>
    <m/>
    <m/>
    <m/>
    <m/>
    <m/>
    <m/>
  </r>
  <r>
    <d v="2021-08-23T00:00:00"/>
    <x v="8"/>
    <x v="19"/>
    <x v="19"/>
    <n v="-392000"/>
    <n v="0"/>
    <n v="392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3T00:00:00"/>
    <x v="8"/>
    <x v="0"/>
    <x v="0"/>
    <n v="5000"/>
    <n v="5000"/>
    <n v="0"/>
    <x v="780"/>
    <s v="Administracion"/>
    <m/>
    <m/>
    <m/>
    <m/>
    <m/>
    <m/>
    <m/>
  </r>
  <r>
    <d v="2021-08-23T00:00:00"/>
    <x v="8"/>
    <x v="24"/>
    <x v="24"/>
    <n v="-5000"/>
    <n v="0"/>
    <n v="5000"/>
    <x v="78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4T00:00:00"/>
    <x v="8"/>
    <x v="0"/>
    <x v="0"/>
    <n v="29626"/>
    <n v="29626"/>
    <n v="0"/>
    <x v="344"/>
    <s v="Administracion"/>
    <m/>
    <m/>
    <m/>
    <m/>
    <m/>
    <m/>
    <m/>
  </r>
  <r>
    <d v="2021-08-24T00:00:00"/>
    <x v="8"/>
    <x v="20"/>
    <x v="20"/>
    <n v="-29626"/>
    <n v="0"/>
    <n v="29626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4T00:00:00"/>
    <x v="8"/>
    <x v="0"/>
    <x v="0"/>
    <n v="4940"/>
    <n v="4940"/>
    <n v="0"/>
    <x v="781"/>
    <s v="Administracion"/>
    <m/>
    <m/>
    <m/>
    <m/>
    <m/>
    <m/>
    <m/>
  </r>
  <r>
    <d v="2021-08-24T00:00:00"/>
    <x v="8"/>
    <x v="24"/>
    <x v="24"/>
    <n v="-4940"/>
    <n v="0"/>
    <n v="4940"/>
    <x v="78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5T00:00:00"/>
    <x v="8"/>
    <x v="31"/>
    <x v="31"/>
    <n v="51323"/>
    <n v="51323"/>
    <n v="0"/>
    <x v="151"/>
    <s v="Administracion"/>
    <m/>
    <m/>
    <m/>
    <m/>
    <m/>
    <m/>
    <m/>
  </r>
  <r>
    <d v="2021-08-25T00:00:00"/>
    <x v="8"/>
    <x v="0"/>
    <x v="0"/>
    <n v="-51323"/>
    <n v="0"/>
    <n v="51323"/>
    <x v="15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5T00:00:00"/>
    <x v="8"/>
    <x v="0"/>
    <x v="0"/>
    <n v="20000"/>
    <n v="20000"/>
    <n v="0"/>
    <x v="266"/>
    <s v="Administracion"/>
    <m/>
    <m/>
    <m/>
    <m/>
    <m/>
    <m/>
    <m/>
  </r>
  <r>
    <d v="2021-08-25T00:00:00"/>
    <x v="8"/>
    <x v="19"/>
    <x v="19"/>
    <n v="-20000"/>
    <n v="0"/>
    <n v="20000"/>
    <x v="26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5T00:00:00"/>
    <x v="8"/>
    <x v="0"/>
    <x v="0"/>
    <n v="20000"/>
    <n v="20000"/>
    <n v="0"/>
    <x v="782"/>
    <s v="Administracion"/>
    <m/>
    <m/>
    <m/>
    <m/>
    <m/>
    <m/>
    <m/>
  </r>
  <r>
    <d v="2021-08-25T00:00:00"/>
    <x v="8"/>
    <x v="24"/>
    <x v="24"/>
    <n v="-20000"/>
    <n v="0"/>
    <n v="20000"/>
    <x v="78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6T00:00:00"/>
    <x v="8"/>
    <x v="0"/>
    <x v="0"/>
    <n v="20000"/>
    <n v="20000"/>
    <n v="0"/>
    <x v="783"/>
    <s v="Administracion"/>
    <m/>
    <m/>
    <m/>
    <m/>
    <m/>
    <m/>
    <m/>
  </r>
  <r>
    <d v="2021-08-26T00:00:00"/>
    <x v="8"/>
    <x v="24"/>
    <x v="24"/>
    <n v="-20000"/>
    <n v="0"/>
    <n v="20000"/>
    <x v="7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6T00:00:00"/>
    <x v="8"/>
    <x v="0"/>
    <x v="0"/>
    <n v="16000"/>
    <n v="16000"/>
    <n v="0"/>
    <x v="336"/>
    <s v="Administracion"/>
    <m/>
    <m/>
    <m/>
    <m/>
    <m/>
    <m/>
    <m/>
  </r>
  <r>
    <d v="2021-08-26T00:00:00"/>
    <x v="8"/>
    <x v="19"/>
    <x v="19"/>
    <n v="-16000"/>
    <n v="0"/>
    <n v="16000"/>
    <x v="33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27T00:00:00"/>
    <x v="8"/>
    <x v="0"/>
    <x v="0"/>
    <n v="40000"/>
    <n v="40000"/>
    <n v="0"/>
    <x v="563"/>
    <s v="Administracion"/>
    <m/>
    <m/>
    <m/>
    <m/>
    <m/>
    <m/>
    <m/>
  </r>
  <r>
    <d v="2021-08-27T00:00:00"/>
    <x v="8"/>
    <x v="19"/>
    <x v="19"/>
    <n v="-40000"/>
    <n v="0"/>
    <n v="40000"/>
    <x v="56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0"/>
    <x v="0"/>
    <n v="3000000"/>
    <n v="3000000"/>
    <n v="0"/>
    <x v="403"/>
    <s v="Administracion"/>
    <m/>
    <m/>
    <m/>
    <m/>
    <m/>
    <m/>
    <m/>
  </r>
  <r>
    <d v="2021-08-30T00:00:00"/>
    <x v="8"/>
    <x v="6"/>
    <x v="6"/>
    <n v="-3000000"/>
    <n v="0"/>
    <n v="3000000"/>
    <x v="40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0"/>
    <x v="0"/>
    <n v="15000"/>
    <n v="15000"/>
    <n v="0"/>
    <x v="185"/>
    <s v="Administracion"/>
    <m/>
    <m/>
    <m/>
    <m/>
    <m/>
    <m/>
    <m/>
  </r>
  <r>
    <d v="2021-08-30T00:00:00"/>
    <x v="8"/>
    <x v="19"/>
    <x v="19"/>
    <n v="-15000"/>
    <n v="0"/>
    <n v="15000"/>
    <x v="1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22"/>
    <x v="22"/>
    <n v="8300"/>
    <n v="8300"/>
    <n v="0"/>
    <x v="9"/>
    <s v="Administracion"/>
    <m/>
    <m/>
    <m/>
    <m/>
    <m/>
    <m/>
    <m/>
  </r>
  <r>
    <d v="2021-08-30T00:00:00"/>
    <x v="8"/>
    <x v="0"/>
    <x v="0"/>
    <n v="-8300"/>
    <n v="0"/>
    <n v="8300"/>
    <x v="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0"/>
    <x v="0"/>
    <n v="10000"/>
    <n v="10000"/>
    <n v="0"/>
    <x v="78"/>
    <s v="Administracion"/>
    <m/>
    <m/>
    <m/>
    <m/>
    <m/>
    <m/>
    <m/>
  </r>
  <r>
    <d v="2021-08-30T00:00:00"/>
    <x v="8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0"/>
    <x v="0"/>
    <n v="10000"/>
    <n v="10000"/>
    <n v="0"/>
    <x v="167"/>
    <s v="Administracion"/>
    <m/>
    <m/>
    <m/>
    <m/>
    <m/>
    <m/>
    <m/>
  </r>
  <r>
    <d v="2021-08-30T00:00:00"/>
    <x v="8"/>
    <x v="19"/>
    <x v="19"/>
    <n v="-10000"/>
    <n v="0"/>
    <n v="10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0"/>
    <x v="0"/>
    <n v="10000"/>
    <n v="10000"/>
    <n v="0"/>
    <x v="527"/>
    <s v="Administracion"/>
    <m/>
    <m/>
    <m/>
    <m/>
    <m/>
    <m/>
    <m/>
  </r>
  <r>
    <d v="2021-08-30T00:00:00"/>
    <x v="8"/>
    <x v="19"/>
    <x v="19"/>
    <n v="-10000"/>
    <n v="0"/>
    <n v="10000"/>
    <x v="5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0"/>
    <x v="0"/>
    <n v="15000"/>
    <n v="15000"/>
    <n v="0"/>
    <x v="251"/>
    <s v="Administracion"/>
    <m/>
    <m/>
    <m/>
    <m/>
    <m/>
    <m/>
    <m/>
  </r>
  <r>
    <d v="2021-08-30T00:00:00"/>
    <x v="8"/>
    <x v="19"/>
    <x v="19"/>
    <n v="-15000"/>
    <n v="0"/>
    <n v="15000"/>
    <x v="25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0"/>
    <x v="0"/>
    <n v="50000"/>
    <n v="50000"/>
    <n v="0"/>
    <x v="163"/>
    <s v="Administracion"/>
    <m/>
    <m/>
    <m/>
    <m/>
    <m/>
    <m/>
    <m/>
  </r>
  <r>
    <d v="2021-08-30T00:00:00"/>
    <x v="8"/>
    <x v="19"/>
    <x v="19"/>
    <n v="-50000"/>
    <n v="0"/>
    <n v="50000"/>
    <x v="16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0"/>
    <x v="0"/>
    <n v="2000"/>
    <n v="2000"/>
    <n v="0"/>
    <x v="283"/>
    <s v="Administracion"/>
    <m/>
    <m/>
    <m/>
    <m/>
    <m/>
    <m/>
    <m/>
  </r>
  <r>
    <d v="2021-08-30T00:00:00"/>
    <x v="8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0"/>
    <x v="0"/>
    <n v="40000"/>
    <n v="40000"/>
    <n v="0"/>
    <x v="643"/>
    <s v="Administracion"/>
    <m/>
    <m/>
    <m/>
    <m/>
    <m/>
    <m/>
    <m/>
  </r>
  <r>
    <d v="2021-08-30T00:00:00"/>
    <x v="8"/>
    <x v="6"/>
    <x v="6"/>
    <n v="-40000"/>
    <n v="0"/>
    <n v="40000"/>
    <x v="64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0"/>
    <x v="0"/>
    <n v="20000"/>
    <n v="20000"/>
    <n v="0"/>
    <x v="161"/>
    <s v="Administracion"/>
    <m/>
    <m/>
    <m/>
    <m/>
    <m/>
    <m/>
    <m/>
  </r>
  <r>
    <d v="2021-08-30T00:00:00"/>
    <x v="8"/>
    <x v="19"/>
    <x v="19"/>
    <n v="-20000"/>
    <n v="0"/>
    <n v="20000"/>
    <x v="16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0"/>
    <x v="0"/>
    <n v="3000"/>
    <n v="3000"/>
    <n v="0"/>
    <x v="600"/>
    <s v="Administracion"/>
    <m/>
    <m/>
    <m/>
    <m/>
    <m/>
    <m/>
    <m/>
  </r>
  <r>
    <d v="2021-08-30T00:00:00"/>
    <x v="8"/>
    <x v="19"/>
    <x v="19"/>
    <n v="-3000"/>
    <n v="0"/>
    <n v="3000"/>
    <x v="60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0"/>
    <x v="0"/>
    <n v="319520"/>
    <n v="319520"/>
    <n v="0"/>
    <x v="747"/>
    <s v="Administracion"/>
    <m/>
    <m/>
    <m/>
    <m/>
    <m/>
    <m/>
    <m/>
  </r>
  <r>
    <d v="2021-08-30T00:00:00"/>
    <x v="8"/>
    <x v="19"/>
    <x v="19"/>
    <n v="-319520"/>
    <n v="0"/>
    <n v="319520"/>
    <x v="74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34"/>
    <x v="34"/>
    <n v="424803"/>
    <n v="424803"/>
    <n v="0"/>
    <x v="692"/>
    <s v="Administracion"/>
    <m/>
    <m/>
    <m/>
    <m/>
    <m/>
    <m/>
    <m/>
  </r>
  <r>
    <d v="2021-08-30T00:00:00"/>
    <x v="8"/>
    <x v="0"/>
    <x v="0"/>
    <n v="-424803"/>
    <n v="0"/>
    <n v="424803"/>
    <x v="69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35"/>
    <x v="21"/>
    <n v="550000"/>
    <n v="550000"/>
    <n v="0"/>
    <x v="784"/>
    <s v="Administracion"/>
    <m/>
    <m/>
    <m/>
    <m/>
    <m/>
    <m/>
    <m/>
  </r>
  <r>
    <d v="2021-08-30T00:00:00"/>
    <x v="8"/>
    <x v="0"/>
    <x v="0"/>
    <n v="-550000"/>
    <n v="0"/>
    <n v="550000"/>
    <x v="7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39"/>
    <x v="38"/>
    <n v="145000"/>
    <n v="145000"/>
    <n v="0"/>
    <x v="785"/>
    <s v="Administracion"/>
    <m/>
    <m/>
    <m/>
    <m/>
    <m/>
    <m/>
    <m/>
  </r>
  <r>
    <d v="2021-08-30T00:00:00"/>
    <x v="8"/>
    <x v="0"/>
    <x v="0"/>
    <n v="-145000"/>
    <n v="0"/>
    <n v="145000"/>
    <x v="7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39"/>
    <x v="38"/>
    <n v="105000"/>
    <n v="105000"/>
    <n v="0"/>
    <x v="786"/>
    <s v="Administracion"/>
    <m/>
    <m/>
    <m/>
    <m/>
    <m/>
    <m/>
    <m/>
  </r>
  <r>
    <d v="2021-08-30T00:00:00"/>
    <x v="8"/>
    <x v="0"/>
    <x v="0"/>
    <n v="-105000"/>
    <n v="0"/>
    <n v="105000"/>
    <x v="78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39"/>
    <x v="38"/>
    <n v="20000"/>
    <n v="20000"/>
    <n v="0"/>
    <x v="787"/>
    <s v="Administracion"/>
    <m/>
    <m/>
    <m/>
    <m/>
    <m/>
    <m/>
    <m/>
  </r>
  <r>
    <d v="2021-08-30T00:00:00"/>
    <x v="8"/>
    <x v="0"/>
    <x v="0"/>
    <n v="-20000"/>
    <n v="0"/>
    <n v="20000"/>
    <x v="78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39"/>
    <x v="38"/>
    <n v="30000"/>
    <n v="30000"/>
    <n v="0"/>
    <x v="788"/>
    <s v="Administracion"/>
    <m/>
    <m/>
    <m/>
    <m/>
    <m/>
    <m/>
    <m/>
  </r>
  <r>
    <d v="2021-08-30T00:00:00"/>
    <x v="8"/>
    <x v="0"/>
    <x v="0"/>
    <n v="-30000"/>
    <n v="0"/>
    <n v="30000"/>
    <x v="78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39"/>
    <x v="38"/>
    <n v="35000"/>
    <n v="35000"/>
    <n v="0"/>
    <x v="789"/>
    <s v="Administracion"/>
    <m/>
    <m/>
    <m/>
    <m/>
    <m/>
    <m/>
    <m/>
  </r>
  <r>
    <d v="2021-08-30T00:00:00"/>
    <x v="8"/>
    <x v="0"/>
    <x v="0"/>
    <n v="-35000"/>
    <n v="0"/>
    <n v="35000"/>
    <x v="78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0T00:00:00"/>
    <x v="8"/>
    <x v="33"/>
    <x v="33"/>
    <n v="80000"/>
    <n v="80000"/>
    <n v="0"/>
    <x v="790"/>
    <s v="Administracion"/>
    <m/>
    <m/>
    <m/>
    <m/>
    <m/>
    <m/>
    <m/>
  </r>
  <r>
    <d v="2021-08-30T00:00:00"/>
    <x v="8"/>
    <x v="9"/>
    <x v="9"/>
    <n v="-9200"/>
    <n v="0"/>
    <n v="9200"/>
    <x v="790"/>
    <s v="Administracion"/>
    <m/>
    <m/>
    <m/>
    <m/>
    <m/>
    <m/>
    <m/>
  </r>
  <r>
    <d v="2021-08-30T00:00:00"/>
    <x v="8"/>
    <x v="0"/>
    <x v="0"/>
    <n v="-70800"/>
    <n v="0"/>
    <n v="70800"/>
    <x v="79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1T00:00:00"/>
    <x v="8"/>
    <x v="36"/>
    <x v="35"/>
    <n v="3059525"/>
    <n v="3059525"/>
    <n v="0"/>
    <x v="72"/>
    <s v="Administración"/>
    <m/>
    <m/>
    <m/>
    <m/>
    <m/>
    <m/>
    <m/>
  </r>
  <r>
    <d v="2021-08-31T00:00:00"/>
    <x v="8"/>
    <x v="37"/>
    <x v="36"/>
    <n v="911915"/>
    <n v="911915"/>
    <n v="0"/>
    <x v="72"/>
    <s v="Administración"/>
    <m/>
    <m/>
    <m/>
    <m/>
    <m/>
    <m/>
    <m/>
  </r>
  <r>
    <d v="2021-08-31T00:00:00"/>
    <x v="8"/>
    <x v="36"/>
    <x v="35"/>
    <n v="51252"/>
    <n v="51252"/>
    <n v="0"/>
    <x v="72"/>
    <s v="Administración"/>
    <m/>
    <m/>
    <m/>
    <m/>
    <m/>
    <m/>
    <m/>
  </r>
  <r>
    <d v="2021-08-31T00:00:00"/>
    <x v="8"/>
    <x v="11"/>
    <x v="11"/>
    <n v="-3402791"/>
    <n v="0"/>
    <n v="3402791"/>
    <x v="72"/>
    <s v="Administración"/>
    <m/>
    <m/>
    <m/>
    <m/>
    <m/>
    <m/>
    <m/>
  </r>
  <r>
    <d v="2021-08-31T00:00:00"/>
    <x v="8"/>
    <x v="10"/>
    <x v="10"/>
    <n v="-427730"/>
    <n v="0"/>
    <n v="427730"/>
    <x v="72"/>
    <s v="Administración"/>
    <m/>
    <m/>
    <m/>
    <m/>
    <m/>
    <m/>
    <m/>
  </r>
  <r>
    <d v="2021-08-31T00:00:00"/>
    <x v="8"/>
    <x v="10"/>
    <x v="10"/>
    <n v="-176915"/>
    <n v="0"/>
    <n v="176915"/>
    <x v="72"/>
    <s v="Administración"/>
    <m/>
    <m/>
    <m/>
    <m/>
    <m/>
    <m/>
    <m/>
  </r>
  <r>
    <d v="2021-08-31T00:00:00"/>
    <x v="8"/>
    <x v="9"/>
    <x v="9"/>
    <n v="-15256"/>
    <n v="0"/>
    <n v="15256"/>
    <x v="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1T00:00:00"/>
    <x v="8"/>
    <x v="11"/>
    <x v="11"/>
    <n v="735000"/>
    <n v="735000"/>
    <n v="0"/>
    <x v="546"/>
    <s v="Administracion"/>
    <m/>
    <m/>
    <m/>
    <m/>
    <m/>
    <m/>
    <m/>
  </r>
  <r>
    <d v="2021-08-31T00:00:00"/>
    <x v="8"/>
    <x v="0"/>
    <x v="0"/>
    <n v="-735000"/>
    <n v="0"/>
    <n v="735000"/>
    <x v="54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1T00:00:00"/>
    <x v="8"/>
    <x v="11"/>
    <x v="11"/>
    <n v="779991"/>
    <n v="779991"/>
    <n v="0"/>
    <x v="547"/>
    <s v="Administracion"/>
    <m/>
    <m/>
    <m/>
    <m/>
    <m/>
    <m/>
    <m/>
  </r>
  <r>
    <d v="2021-08-31T00:00:00"/>
    <x v="8"/>
    <x v="0"/>
    <x v="0"/>
    <n v="-779991"/>
    <n v="0"/>
    <n v="779991"/>
    <x v="54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1T00:00:00"/>
    <x v="8"/>
    <x v="11"/>
    <x v="11"/>
    <n v="515130"/>
    <n v="515130"/>
    <n v="0"/>
    <x v="791"/>
    <s v="Administracion"/>
    <m/>
    <m/>
    <m/>
    <m/>
    <m/>
    <m/>
    <m/>
  </r>
  <r>
    <d v="2021-08-31T00:00:00"/>
    <x v="8"/>
    <x v="0"/>
    <x v="0"/>
    <n v="-515130"/>
    <n v="0"/>
    <n v="515130"/>
    <x v="79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1T00:00:00"/>
    <x v="8"/>
    <x v="11"/>
    <x v="11"/>
    <n v="255470"/>
    <n v="255470"/>
    <n v="0"/>
    <x v="549"/>
    <s v="Administracion"/>
    <m/>
    <m/>
    <m/>
    <m/>
    <m/>
    <m/>
    <m/>
  </r>
  <r>
    <d v="2021-08-31T00:00:00"/>
    <x v="8"/>
    <x v="0"/>
    <x v="0"/>
    <n v="-255470"/>
    <n v="0"/>
    <n v="255470"/>
    <x v="54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1T00:00:00"/>
    <x v="8"/>
    <x v="11"/>
    <x v="11"/>
    <n v="1117200"/>
    <n v="1117200"/>
    <n v="0"/>
    <x v="549"/>
    <s v="Administracion"/>
    <m/>
    <m/>
    <m/>
    <m/>
    <m/>
    <m/>
    <m/>
  </r>
  <r>
    <d v="2021-08-31T00:00:00"/>
    <x v="8"/>
    <x v="0"/>
    <x v="0"/>
    <n v="-1117200"/>
    <n v="0"/>
    <n v="1117200"/>
    <x v="54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1T00:00:00"/>
    <x v="8"/>
    <x v="0"/>
    <x v="0"/>
    <n v="20000"/>
    <n v="20000"/>
    <n v="0"/>
    <x v="162"/>
    <s v="Administracion"/>
    <m/>
    <m/>
    <m/>
    <m/>
    <m/>
    <m/>
    <m/>
  </r>
  <r>
    <d v="2021-08-31T00:00:00"/>
    <x v="8"/>
    <x v="19"/>
    <x v="19"/>
    <n v="-20000"/>
    <n v="0"/>
    <n v="20000"/>
    <x v="1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1T00:00:00"/>
    <x v="8"/>
    <x v="0"/>
    <x v="0"/>
    <n v="1000000"/>
    <n v="1000000"/>
    <n v="0"/>
    <x v="792"/>
    <s v="Administracion"/>
    <m/>
    <m/>
    <m/>
    <m/>
    <m/>
    <m/>
    <m/>
  </r>
  <r>
    <d v="2021-08-31T00:00:00"/>
    <x v="8"/>
    <x v="6"/>
    <x v="6"/>
    <n v="-1000000"/>
    <n v="0"/>
    <n v="1000000"/>
    <x v="79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1T00:00:00"/>
    <x v="8"/>
    <x v="0"/>
    <x v="0"/>
    <n v="54329"/>
    <n v="54329"/>
    <n v="0"/>
    <x v="724"/>
    <s v="Administracion"/>
    <m/>
    <m/>
    <m/>
    <m/>
    <m/>
    <m/>
    <m/>
  </r>
  <r>
    <d v="2021-08-31T00:00:00"/>
    <x v="8"/>
    <x v="45"/>
    <x v="43"/>
    <n v="-54329"/>
    <n v="0"/>
    <n v="54329"/>
    <x v="72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d v="2021-08-31T00:00:00"/>
    <x v="8"/>
    <x v="16"/>
    <x v="16"/>
    <n v="15000"/>
    <n v="15000"/>
    <n v="0"/>
    <x v="164"/>
    <s v="Administracion"/>
    <m/>
    <m/>
    <m/>
    <m/>
    <m/>
    <m/>
    <m/>
  </r>
  <r>
    <d v="2021-08-31T00:00:00"/>
    <x v="8"/>
    <x v="16"/>
    <x v="16"/>
    <n v="20000"/>
    <n v="20000"/>
    <n v="0"/>
    <x v="304"/>
    <s v="Administracion"/>
    <m/>
    <m/>
    <m/>
    <m/>
    <m/>
    <m/>
    <m/>
  </r>
  <r>
    <d v="2021-08-31T00:00:00"/>
    <x v="8"/>
    <x v="16"/>
    <x v="16"/>
    <n v="5000"/>
    <n v="5000"/>
    <n v="0"/>
    <x v="168"/>
    <s v="Administracion"/>
    <m/>
    <m/>
    <m/>
    <m/>
    <m/>
    <m/>
    <m/>
  </r>
  <r>
    <d v="2021-08-31T00:00:00"/>
    <x v="8"/>
    <x v="16"/>
    <x v="16"/>
    <n v="5000"/>
    <n v="5000"/>
    <n v="0"/>
    <x v="708"/>
    <s v="Administracion"/>
    <m/>
    <m/>
    <m/>
    <m/>
    <m/>
    <m/>
    <m/>
  </r>
  <r>
    <d v="2021-08-31T00:00:00"/>
    <x v="8"/>
    <x v="16"/>
    <x v="16"/>
    <n v="100000"/>
    <n v="100000"/>
    <n v="0"/>
    <x v="793"/>
    <s v="Administracion"/>
    <m/>
    <m/>
    <m/>
    <m/>
    <m/>
    <m/>
    <m/>
  </r>
  <r>
    <d v="2021-08-31T00:00:00"/>
    <x v="8"/>
    <x v="16"/>
    <x v="16"/>
    <n v="30000"/>
    <n v="30000"/>
    <n v="0"/>
    <x v="794"/>
    <s v="Administracion"/>
    <m/>
    <m/>
    <m/>
    <m/>
    <m/>
    <m/>
    <m/>
  </r>
  <r>
    <d v="2021-08-31T00:00:00"/>
    <x v="8"/>
    <x v="16"/>
    <x v="16"/>
    <n v="5000"/>
    <n v="5000"/>
    <n v="0"/>
    <x v="795"/>
    <s v="Administracion"/>
    <m/>
    <m/>
    <m/>
    <m/>
    <m/>
    <m/>
    <m/>
  </r>
  <r>
    <d v="2021-08-31T00:00:00"/>
    <x v="8"/>
    <x v="19"/>
    <x v="19"/>
    <n v="-15000"/>
    <n v="0"/>
    <n v="15000"/>
    <x v="164"/>
    <s v="Administracion"/>
    <m/>
    <m/>
    <m/>
    <m/>
    <m/>
    <m/>
    <m/>
  </r>
  <r>
    <d v="2021-08-31T00:00:00"/>
    <x v="8"/>
    <x v="19"/>
    <x v="19"/>
    <n v="-20000"/>
    <n v="0"/>
    <n v="20000"/>
    <x v="304"/>
    <s v="Administracion"/>
    <m/>
    <m/>
    <m/>
    <m/>
    <m/>
    <m/>
    <m/>
  </r>
  <r>
    <d v="2021-08-31T00:00:00"/>
    <x v="8"/>
    <x v="19"/>
    <x v="19"/>
    <n v="-5000"/>
    <n v="0"/>
    <n v="5000"/>
    <x v="168"/>
    <s v="Administracion"/>
    <m/>
    <m/>
    <m/>
    <m/>
    <m/>
    <m/>
    <m/>
  </r>
  <r>
    <d v="2021-08-31T00:00:00"/>
    <x v="8"/>
    <x v="19"/>
    <x v="19"/>
    <n v="-5000"/>
    <n v="0"/>
    <n v="5000"/>
    <x v="708"/>
    <s v="Administracion"/>
    <m/>
    <m/>
    <m/>
    <m/>
    <m/>
    <m/>
    <m/>
  </r>
  <r>
    <d v="2021-08-31T00:00:00"/>
    <x v="8"/>
    <x v="19"/>
    <x v="19"/>
    <n v="-100000"/>
    <n v="0"/>
    <n v="100000"/>
    <x v="793"/>
    <s v="Administracion"/>
    <m/>
    <m/>
    <m/>
    <m/>
    <m/>
    <m/>
    <m/>
  </r>
  <r>
    <d v="2021-08-31T00:00:00"/>
    <x v="8"/>
    <x v="19"/>
    <x v="19"/>
    <n v="-30000"/>
    <n v="0"/>
    <n v="30000"/>
    <x v="794"/>
    <s v="Administracion"/>
    <m/>
    <m/>
    <m/>
    <m/>
    <m/>
    <m/>
    <m/>
  </r>
  <r>
    <d v="2021-08-31T00:00:00"/>
    <x v="8"/>
    <x v="19"/>
    <x v="19"/>
    <n v="-5000"/>
    <n v="0"/>
    <n v="5000"/>
    <x v="79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1T00:00:00"/>
    <x v="9"/>
    <x v="0"/>
    <x v="0"/>
    <n v="10000"/>
    <n v="10000"/>
    <n v="0"/>
    <x v="76"/>
    <s v="Administracion"/>
    <m/>
    <m/>
    <m/>
    <m/>
    <m/>
    <m/>
    <m/>
  </r>
  <r>
    <d v="2021-09-01T00:00:00"/>
    <x v="9"/>
    <x v="19"/>
    <x v="19"/>
    <n v="-10000"/>
    <n v="0"/>
    <n v="10000"/>
    <x v="7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1T00:00:00"/>
    <x v="9"/>
    <x v="0"/>
    <x v="0"/>
    <n v="50000"/>
    <n v="50000"/>
    <n v="0"/>
    <x v="532"/>
    <s v="Administracion"/>
    <m/>
    <m/>
    <m/>
    <m/>
    <m/>
    <m/>
    <m/>
  </r>
  <r>
    <d v="2021-09-01T00:00:00"/>
    <x v="9"/>
    <x v="42"/>
    <x v="23"/>
    <n v="-50000"/>
    <n v="0"/>
    <n v="50000"/>
    <x v="5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1T00:00:00"/>
    <x v="9"/>
    <x v="0"/>
    <x v="0"/>
    <n v="65000"/>
    <n v="65000"/>
    <n v="0"/>
    <x v="326"/>
    <s v="Administracion"/>
    <m/>
    <m/>
    <m/>
    <m/>
    <m/>
    <m/>
    <m/>
  </r>
  <r>
    <d v="2021-09-01T00:00:00"/>
    <x v="9"/>
    <x v="21"/>
    <x v="21"/>
    <n v="-65000"/>
    <n v="0"/>
    <n v="65000"/>
    <x v="32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1T00:00:00"/>
    <x v="9"/>
    <x v="0"/>
    <x v="0"/>
    <n v="100000"/>
    <n v="100000"/>
    <n v="0"/>
    <x v="90"/>
    <s v="Administracion"/>
    <m/>
    <m/>
    <m/>
    <m/>
    <m/>
    <m/>
    <m/>
  </r>
  <r>
    <d v="2021-09-01T00:00:00"/>
    <x v="9"/>
    <x v="19"/>
    <x v="19"/>
    <n v="-100000"/>
    <n v="0"/>
    <n v="100000"/>
    <x v="9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1T00:00:00"/>
    <x v="9"/>
    <x v="0"/>
    <x v="0"/>
    <n v="100000"/>
    <n v="100000"/>
    <n v="0"/>
    <x v="84"/>
    <s v="Administracion"/>
    <m/>
    <m/>
    <m/>
    <m/>
    <m/>
    <m/>
    <m/>
  </r>
  <r>
    <d v="2021-09-01T00:00:00"/>
    <x v="9"/>
    <x v="19"/>
    <x v="19"/>
    <n v="-100000"/>
    <n v="0"/>
    <n v="100000"/>
    <x v="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1T00:00:00"/>
    <x v="9"/>
    <x v="0"/>
    <x v="0"/>
    <n v="12000"/>
    <n v="12000"/>
    <n v="0"/>
    <x v="231"/>
    <s v="Administracion"/>
    <m/>
    <m/>
    <m/>
    <m/>
    <m/>
    <m/>
    <m/>
  </r>
  <r>
    <d v="2021-09-01T00:00:00"/>
    <x v="9"/>
    <x v="19"/>
    <x v="19"/>
    <n v="-12000"/>
    <n v="0"/>
    <n v="12000"/>
    <x v="23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1T00:00:00"/>
    <x v="9"/>
    <x v="0"/>
    <x v="0"/>
    <n v="15000"/>
    <n v="15000"/>
    <n v="0"/>
    <x v="85"/>
    <s v="Administracion"/>
    <m/>
    <m/>
    <m/>
    <m/>
    <m/>
    <m/>
    <m/>
  </r>
  <r>
    <d v="2021-09-01T00:00:00"/>
    <x v="9"/>
    <x v="19"/>
    <x v="19"/>
    <n v="-15000"/>
    <n v="0"/>
    <n v="15000"/>
    <x v="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1T00:00:00"/>
    <x v="9"/>
    <x v="0"/>
    <x v="0"/>
    <n v="5000"/>
    <n v="5000"/>
    <n v="0"/>
    <x v="796"/>
    <s v="Administracion"/>
    <m/>
    <m/>
    <m/>
    <m/>
    <m/>
    <m/>
    <m/>
  </r>
  <r>
    <d v="2021-09-01T00:00:00"/>
    <x v="9"/>
    <x v="19"/>
    <x v="19"/>
    <n v="-5000"/>
    <n v="0"/>
    <n v="5000"/>
    <x v="7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1T00:00:00"/>
    <x v="9"/>
    <x v="0"/>
    <x v="0"/>
    <n v="5000"/>
    <n v="5000"/>
    <n v="0"/>
    <x v="384"/>
    <s v="Administracion"/>
    <m/>
    <m/>
    <m/>
    <m/>
    <m/>
    <m/>
    <m/>
  </r>
  <r>
    <d v="2021-09-01T00:00:00"/>
    <x v="9"/>
    <x v="19"/>
    <x v="19"/>
    <n v="-5000"/>
    <n v="0"/>
    <n v="5000"/>
    <x v="38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1T00:00:00"/>
    <x v="9"/>
    <x v="0"/>
    <x v="0"/>
    <n v="50000"/>
    <n v="50000"/>
    <n v="0"/>
    <x v="466"/>
    <s v="Administracion"/>
    <m/>
    <m/>
    <m/>
    <m/>
    <m/>
    <m/>
    <m/>
  </r>
  <r>
    <d v="2021-09-01T00:00:00"/>
    <x v="9"/>
    <x v="6"/>
    <x v="6"/>
    <n v="-50000"/>
    <n v="0"/>
    <n v="50000"/>
    <x v="46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2T00:00:00"/>
    <x v="9"/>
    <x v="0"/>
    <x v="0"/>
    <n v="10000"/>
    <n v="10000"/>
    <n v="0"/>
    <x v="651"/>
    <s v="Administracion"/>
    <m/>
    <m/>
    <m/>
    <m/>
    <m/>
    <m/>
    <m/>
  </r>
  <r>
    <d v="2021-09-02T00:00:00"/>
    <x v="9"/>
    <x v="20"/>
    <x v="20"/>
    <n v="-10000"/>
    <n v="0"/>
    <n v="10000"/>
    <x v="65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2T00:00:00"/>
    <x v="9"/>
    <x v="0"/>
    <x v="0"/>
    <n v="20000"/>
    <n v="20000"/>
    <n v="0"/>
    <x v="797"/>
    <s v="Administracion"/>
    <m/>
    <m/>
    <m/>
    <m/>
    <m/>
    <m/>
    <m/>
  </r>
  <r>
    <d v="2021-09-02T00:00:00"/>
    <x v="9"/>
    <x v="19"/>
    <x v="19"/>
    <n v="-20000"/>
    <n v="0"/>
    <n v="20000"/>
    <x v="79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2T00:00:00"/>
    <x v="9"/>
    <x v="0"/>
    <x v="0"/>
    <n v="10000"/>
    <n v="10000"/>
    <n v="0"/>
    <x v="334"/>
    <s v="Administracion"/>
    <m/>
    <m/>
    <m/>
    <m/>
    <m/>
    <m/>
    <m/>
  </r>
  <r>
    <d v="2021-09-02T00:00:00"/>
    <x v="9"/>
    <x v="20"/>
    <x v="20"/>
    <n v="-10000"/>
    <n v="0"/>
    <n v="10000"/>
    <x v="33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2T00:00:00"/>
    <x v="9"/>
    <x v="0"/>
    <x v="0"/>
    <n v="14691"/>
    <n v="14691"/>
    <n v="0"/>
    <x v="781"/>
    <s v="Administracion"/>
    <m/>
    <m/>
    <m/>
    <m/>
    <m/>
    <m/>
    <m/>
  </r>
  <r>
    <d v="2021-09-02T00:00:00"/>
    <x v="9"/>
    <x v="24"/>
    <x v="24"/>
    <n v="-14691"/>
    <n v="0"/>
    <n v="14691"/>
    <x v="78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2T00:00:00"/>
    <x v="9"/>
    <x v="0"/>
    <x v="0"/>
    <n v="50000"/>
    <n v="50000"/>
    <n v="0"/>
    <x v="798"/>
    <s v="Administracion"/>
    <m/>
    <m/>
    <m/>
    <m/>
    <m/>
    <m/>
    <m/>
  </r>
  <r>
    <d v="2021-09-02T00:00:00"/>
    <x v="9"/>
    <x v="19"/>
    <x v="19"/>
    <n v="-50000"/>
    <n v="0"/>
    <n v="50000"/>
    <x v="7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3T00:00:00"/>
    <x v="9"/>
    <x v="0"/>
    <x v="0"/>
    <n v="20000"/>
    <n v="20000"/>
    <n v="0"/>
    <x v="670"/>
    <s v="Administracion"/>
    <m/>
    <m/>
    <m/>
    <m/>
    <m/>
    <m/>
    <m/>
  </r>
  <r>
    <d v="2021-09-03T00:00:00"/>
    <x v="9"/>
    <x v="19"/>
    <x v="19"/>
    <n v="-20000"/>
    <n v="0"/>
    <n v="20000"/>
    <x v="67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3T00:00:00"/>
    <x v="9"/>
    <x v="0"/>
    <x v="0"/>
    <n v="50000"/>
    <n v="50000"/>
    <n v="0"/>
    <x v="799"/>
    <s v="Administracion"/>
    <m/>
    <m/>
    <m/>
    <m/>
    <m/>
    <m/>
    <m/>
  </r>
  <r>
    <d v="2021-09-03T00:00:00"/>
    <x v="9"/>
    <x v="19"/>
    <x v="19"/>
    <n v="-50000"/>
    <n v="0"/>
    <n v="50000"/>
    <x v="79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3T00:00:00"/>
    <x v="9"/>
    <x v="0"/>
    <x v="0"/>
    <n v="10000"/>
    <n v="10000"/>
    <n v="0"/>
    <x v="272"/>
    <s v="Administracion"/>
    <m/>
    <m/>
    <m/>
    <m/>
    <m/>
    <m/>
    <m/>
  </r>
  <r>
    <d v="2021-09-03T00:00:00"/>
    <x v="9"/>
    <x v="19"/>
    <x v="19"/>
    <n v="-10000"/>
    <n v="0"/>
    <n v="10000"/>
    <x v="2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3T00:00:00"/>
    <x v="9"/>
    <x v="38"/>
    <x v="37"/>
    <n v="16377"/>
    <n v="16377"/>
    <n v="0"/>
    <x v="800"/>
    <s v="Administracion"/>
    <m/>
    <m/>
    <m/>
    <m/>
    <m/>
    <m/>
    <m/>
  </r>
  <r>
    <d v="2021-09-03T00:00:00"/>
    <x v="9"/>
    <x v="0"/>
    <x v="0"/>
    <n v="-16377"/>
    <n v="0"/>
    <n v="16377"/>
    <x v="80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3T00:00:00"/>
    <x v="9"/>
    <x v="0"/>
    <x v="0"/>
    <n v="30000"/>
    <n v="30000"/>
    <n v="0"/>
    <x v="655"/>
    <s v="Administracion"/>
    <m/>
    <m/>
    <m/>
    <m/>
    <m/>
    <m/>
    <m/>
  </r>
  <r>
    <d v="2021-09-03T00:00:00"/>
    <x v="9"/>
    <x v="6"/>
    <x v="6"/>
    <n v="-30000"/>
    <n v="0"/>
    <n v="30000"/>
    <x v="65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3T00:00:00"/>
    <x v="9"/>
    <x v="0"/>
    <x v="0"/>
    <n v="10000"/>
    <n v="10000"/>
    <n v="0"/>
    <x v="441"/>
    <s v="Administracion"/>
    <m/>
    <m/>
    <m/>
    <m/>
    <m/>
    <m/>
    <m/>
  </r>
  <r>
    <d v="2021-09-03T00:00:00"/>
    <x v="9"/>
    <x v="20"/>
    <x v="20"/>
    <n v="-10000"/>
    <n v="0"/>
    <n v="10000"/>
    <x v="4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3T00:00:00"/>
    <x v="9"/>
    <x v="0"/>
    <x v="0"/>
    <n v="4896"/>
    <n v="4896"/>
    <n v="0"/>
    <x v="96"/>
    <s v="Administracion"/>
    <m/>
    <m/>
    <m/>
    <m/>
    <m/>
    <m/>
    <m/>
  </r>
  <r>
    <d v="2021-09-03T00:00:00"/>
    <x v="9"/>
    <x v="19"/>
    <x v="19"/>
    <n v="-4896"/>
    <n v="0"/>
    <n v="4896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3T00:00:00"/>
    <x v="9"/>
    <x v="0"/>
    <x v="0"/>
    <n v="450000"/>
    <n v="450000"/>
    <n v="0"/>
    <x v="801"/>
    <s v="Administracion"/>
    <m/>
    <m/>
    <m/>
    <m/>
    <m/>
    <m/>
    <m/>
  </r>
  <r>
    <d v="2021-09-03T00:00:00"/>
    <x v="9"/>
    <x v="6"/>
    <x v="6"/>
    <n v="-450000"/>
    <n v="0"/>
    <n v="450000"/>
    <x v="80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3T00:00:00"/>
    <x v="9"/>
    <x v="0"/>
    <x v="0"/>
    <n v="50000"/>
    <n v="50000"/>
    <n v="0"/>
    <x v="198"/>
    <s v="Administracion"/>
    <m/>
    <m/>
    <m/>
    <m/>
    <m/>
    <m/>
    <m/>
  </r>
  <r>
    <d v="2021-09-03T00:00:00"/>
    <x v="9"/>
    <x v="19"/>
    <x v="19"/>
    <n v="-50000"/>
    <n v="0"/>
    <n v="50000"/>
    <x v="19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3T00:00:00"/>
    <x v="9"/>
    <x v="0"/>
    <x v="0"/>
    <n v="35000"/>
    <n v="35000"/>
    <n v="0"/>
    <x v="448"/>
    <s v="Administracion"/>
    <m/>
    <m/>
    <m/>
    <m/>
    <m/>
    <m/>
    <m/>
  </r>
  <r>
    <d v="2021-09-03T00:00:00"/>
    <x v="9"/>
    <x v="21"/>
    <x v="21"/>
    <n v="-35000"/>
    <n v="0"/>
    <n v="35000"/>
    <x v="44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3T00:00:00"/>
    <x v="9"/>
    <x v="23"/>
    <x v="23"/>
    <n v="1069"/>
    <n v="1069"/>
    <n v="0"/>
    <x v="208"/>
    <s v="Administracion"/>
    <m/>
    <m/>
    <m/>
    <m/>
    <m/>
    <m/>
    <m/>
  </r>
  <r>
    <d v="2021-09-03T00:00:00"/>
    <x v="9"/>
    <x v="0"/>
    <x v="0"/>
    <n v="-1069"/>
    <n v="0"/>
    <n v="1069"/>
    <x v="20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3T00:00:00"/>
    <x v="9"/>
    <x v="23"/>
    <x v="23"/>
    <n v="5700"/>
    <n v="5700"/>
    <n v="0"/>
    <x v="208"/>
    <s v="Administracion"/>
    <m/>
    <m/>
    <m/>
    <m/>
    <m/>
    <m/>
    <m/>
  </r>
  <r>
    <d v="2021-09-03T00:00:00"/>
    <x v="9"/>
    <x v="0"/>
    <x v="0"/>
    <n v="-5700"/>
    <n v="0"/>
    <n v="5700"/>
    <x v="20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25"/>
    <x v="25"/>
    <n v="810698"/>
    <n v="810698"/>
    <n v="0"/>
    <x v="802"/>
    <s v="Administracion"/>
    <m/>
    <m/>
    <m/>
    <m/>
    <m/>
    <m/>
    <m/>
  </r>
  <r>
    <d v="2021-09-06T00:00:00"/>
    <x v="9"/>
    <x v="0"/>
    <x v="0"/>
    <n v="-810698"/>
    <n v="0"/>
    <n v="810698"/>
    <x v="80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40"/>
    <x v="39"/>
    <n v="234444"/>
    <n v="234444"/>
    <n v="0"/>
    <x v="803"/>
    <s v="Administracion"/>
    <m/>
    <m/>
    <m/>
    <m/>
    <m/>
    <m/>
    <m/>
  </r>
  <r>
    <d v="2021-09-06T00:00:00"/>
    <x v="9"/>
    <x v="0"/>
    <x v="0"/>
    <n v="-234444"/>
    <n v="0"/>
    <n v="234444"/>
    <x v="80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35"/>
    <x v="21"/>
    <n v="56000"/>
    <n v="56000"/>
    <n v="0"/>
    <x v="804"/>
    <s v="Administracion"/>
    <m/>
    <m/>
    <m/>
    <m/>
    <m/>
    <m/>
    <m/>
  </r>
  <r>
    <d v="2021-09-06T00:00:00"/>
    <x v="9"/>
    <x v="0"/>
    <x v="0"/>
    <n v="-56000"/>
    <n v="0"/>
    <n v="56000"/>
    <x v="80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35"/>
    <x v="21"/>
    <n v="34000"/>
    <n v="34000"/>
    <n v="0"/>
    <x v="804"/>
    <s v="Administracion"/>
    <m/>
    <m/>
    <m/>
    <m/>
    <m/>
    <m/>
    <m/>
  </r>
  <r>
    <d v="2021-09-06T00:00:00"/>
    <x v="9"/>
    <x v="0"/>
    <x v="0"/>
    <n v="-34000"/>
    <n v="0"/>
    <n v="34000"/>
    <x v="80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9"/>
    <x v="9"/>
    <n v="125577"/>
    <n v="125577"/>
    <n v="0"/>
    <x v="740"/>
    <s v="Administracion"/>
    <m/>
    <m/>
    <m/>
    <m/>
    <m/>
    <m/>
    <m/>
  </r>
  <r>
    <d v="2021-09-06T00:00:00"/>
    <x v="9"/>
    <x v="6"/>
    <x v="6"/>
    <n v="48353"/>
    <n v="48353"/>
    <n v="0"/>
    <x v="740"/>
    <s v="Administracion"/>
    <m/>
    <m/>
    <m/>
    <m/>
    <m/>
    <m/>
    <m/>
  </r>
  <r>
    <d v="2021-09-06T00:00:00"/>
    <x v="9"/>
    <x v="0"/>
    <x v="0"/>
    <n v="-189186"/>
    <n v="0"/>
    <n v="189186"/>
    <x v="740"/>
    <s v="Administracion"/>
    <m/>
    <m/>
    <m/>
    <m/>
    <m/>
    <m/>
    <m/>
  </r>
  <r>
    <d v="2021-09-06T00:00:00"/>
    <x v="9"/>
    <x v="9"/>
    <x v="9"/>
    <n v="15256"/>
    <n v="15256"/>
    <n v="0"/>
    <x v="74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10"/>
    <x v="10"/>
    <n v="413240"/>
    <n v="413240"/>
    <n v="0"/>
    <x v="581"/>
    <s v="Administracion"/>
    <m/>
    <m/>
    <m/>
    <m/>
    <m/>
    <m/>
    <m/>
  </r>
  <r>
    <d v="2021-09-06T00:00:00"/>
    <x v="9"/>
    <x v="0"/>
    <x v="0"/>
    <n v="-413240"/>
    <n v="0"/>
    <n v="413240"/>
    <x v="58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10"/>
    <x v="10"/>
    <n v="176915"/>
    <n v="176915"/>
    <n v="0"/>
    <x v="582"/>
    <s v="Administracion"/>
    <m/>
    <m/>
    <m/>
    <m/>
    <m/>
    <m/>
    <m/>
  </r>
  <r>
    <d v="2021-09-06T00:00:00"/>
    <x v="9"/>
    <x v="0"/>
    <x v="0"/>
    <n v="-176915"/>
    <n v="0"/>
    <n v="176915"/>
    <x v="58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100000"/>
    <n v="100000"/>
    <n v="0"/>
    <x v="497"/>
    <s v="Administracion"/>
    <m/>
    <m/>
    <m/>
    <m/>
    <m/>
    <m/>
    <m/>
  </r>
  <r>
    <d v="2021-09-06T00:00:00"/>
    <x v="9"/>
    <x v="19"/>
    <x v="19"/>
    <n v="-100000"/>
    <n v="0"/>
    <n v="100000"/>
    <x v="49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20000"/>
    <n v="20000"/>
    <n v="0"/>
    <x v="805"/>
    <s v="Administracion"/>
    <m/>
    <m/>
    <m/>
    <m/>
    <m/>
    <m/>
    <m/>
  </r>
  <r>
    <d v="2021-09-06T00:00:00"/>
    <x v="9"/>
    <x v="24"/>
    <x v="24"/>
    <n v="-20000"/>
    <n v="0"/>
    <n v="20000"/>
    <x v="80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40000"/>
    <n v="40000"/>
    <n v="0"/>
    <x v="806"/>
    <s v="Administracion"/>
    <m/>
    <m/>
    <m/>
    <m/>
    <m/>
    <m/>
    <m/>
  </r>
  <r>
    <d v="2021-09-06T00:00:00"/>
    <x v="9"/>
    <x v="19"/>
    <x v="19"/>
    <n v="-40000"/>
    <n v="0"/>
    <n v="40000"/>
    <x v="80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10000"/>
    <n v="10000"/>
    <n v="0"/>
    <x v="167"/>
    <s v="Administracion"/>
    <m/>
    <m/>
    <m/>
    <m/>
    <m/>
    <m/>
    <m/>
  </r>
  <r>
    <d v="2021-09-06T00:00:00"/>
    <x v="9"/>
    <x v="19"/>
    <x v="19"/>
    <n v="-10000"/>
    <n v="0"/>
    <n v="10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450000"/>
    <n v="450000"/>
    <n v="0"/>
    <x v="807"/>
    <s v="Administracion"/>
    <m/>
    <m/>
    <m/>
    <m/>
    <m/>
    <m/>
    <m/>
  </r>
  <r>
    <d v="2021-09-06T00:00:00"/>
    <x v="9"/>
    <x v="6"/>
    <x v="6"/>
    <n v="-450000"/>
    <n v="0"/>
    <n v="450000"/>
    <x v="80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10000"/>
    <n v="10000"/>
    <n v="0"/>
    <x v="78"/>
    <s v="Administracion"/>
    <m/>
    <m/>
    <m/>
    <m/>
    <m/>
    <m/>
    <m/>
  </r>
  <r>
    <d v="2021-09-06T00:00:00"/>
    <x v="9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20000"/>
    <n v="20000"/>
    <n v="0"/>
    <x v="808"/>
    <s v="Administracion"/>
    <m/>
    <m/>
    <m/>
    <m/>
    <m/>
    <m/>
    <m/>
  </r>
  <r>
    <d v="2021-09-06T00:00:00"/>
    <x v="9"/>
    <x v="19"/>
    <x v="19"/>
    <n v="-20000"/>
    <n v="0"/>
    <n v="20000"/>
    <x v="80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20000"/>
    <n v="20000"/>
    <n v="0"/>
    <x v="809"/>
    <s v="Administracion"/>
    <m/>
    <m/>
    <m/>
    <m/>
    <m/>
    <m/>
    <m/>
  </r>
  <r>
    <d v="2021-09-06T00:00:00"/>
    <x v="9"/>
    <x v="19"/>
    <x v="19"/>
    <n v="-20000"/>
    <n v="0"/>
    <n v="20000"/>
    <x v="80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40000"/>
    <n v="40000"/>
    <n v="0"/>
    <x v="810"/>
    <s v="Administracion"/>
    <m/>
    <m/>
    <m/>
    <m/>
    <m/>
    <m/>
    <m/>
  </r>
  <r>
    <d v="2021-09-06T00:00:00"/>
    <x v="9"/>
    <x v="19"/>
    <x v="19"/>
    <n v="-40000"/>
    <n v="0"/>
    <n v="40000"/>
    <x v="81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40000"/>
    <n v="40000"/>
    <n v="0"/>
    <x v="811"/>
    <s v="Administracion"/>
    <m/>
    <m/>
    <m/>
    <m/>
    <m/>
    <m/>
    <m/>
  </r>
  <r>
    <d v="2021-09-06T00:00:00"/>
    <x v="9"/>
    <x v="19"/>
    <x v="19"/>
    <n v="-40000"/>
    <n v="0"/>
    <n v="40000"/>
    <x v="81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15000"/>
    <n v="15000"/>
    <n v="0"/>
    <x v="752"/>
    <s v="Administracion"/>
    <m/>
    <m/>
    <m/>
    <m/>
    <m/>
    <m/>
    <m/>
  </r>
  <r>
    <d v="2021-09-06T00:00:00"/>
    <x v="9"/>
    <x v="42"/>
    <x v="23"/>
    <n v="-15000"/>
    <n v="0"/>
    <n v="15000"/>
    <x v="75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25000"/>
    <n v="25000"/>
    <n v="0"/>
    <x v="812"/>
    <s v="Administracion"/>
    <m/>
    <m/>
    <m/>
    <m/>
    <m/>
    <m/>
    <m/>
  </r>
  <r>
    <d v="2021-09-06T00:00:00"/>
    <x v="9"/>
    <x v="19"/>
    <x v="19"/>
    <n v="-25000"/>
    <n v="0"/>
    <n v="25000"/>
    <x v="8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20000"/>
    <n v="20000"/>
    <n v="0"/>
    <x v="297"/>
    <s v="Administracion"/>
    <m/>
    <m/>
    <m/>
    <m/>
    <m/>
    <m/>
    <m/>
  </r>
  <r>
    <d v="2021-09-06T00:00:00"/>
    <x v="9"/>
    <x v="6"/>
    <x v="6"/>
    <n v="-20000"/>
    <n v="0"/>
    <n v="20000"/>
    <x v="29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21000"/>
    <n v="21000"/>
    <n v="0"/>
    <x v="749"/>
    <s v="Administracion"/>
    <m/>
    <m/>
    <m/>
    <m/>
    <m/>
    <m/>
    <m/>
  </r>
  <r>
    <d v="2021-09-06T00:00:00"/>
    <x v="9"/>
    <x v="6"/>
    <x v="6"/>
    <n v="-21000"/>
    <n v="0"/>
    <n v="21000"/>
    <x v="74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2000"/>
    <n v="2000"/>
    <n v="0"/>
    <x v="283"/>
    <s v="Administracion"/>
    <m/>
    <m/>
    <m/>
    <m/>
    <m/>
    <m/>
    <m/>
  </r>
  <r>
    <d v="2021-09-06T00:00:00"/>
    <x v="9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3000"/>
    <n v="3000"/>
    <n v="0"/>
    <x v="600"/>
    <s v="Administracion"/>
    <m/>
    <m/>
    <m/>
    <m/>
    <m/>
    <m/>
    <m/>
  </r>
  <r>
    <d v="2021-09-06T00:00:00"/>
    <x v="9"/>
    <x v="19"/>
    <x v="19"/>
    <n v="-3000"/>
    <n v="0"/>
    <n v="3000"/>
    <x v="60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3T00:00:00"/>
    <x v="9"/>
    <x v="0"/>
    <x v="0"/>
    <n v="59199"/>
    <n v="59199"/>
    <n v="0"/>
    <x v="96"/>
    <s v="Administracion"/>
    <m/>
    <m/>
    <m/>
    <m/>
    <m/>
    <m/>
    <m/>
  </r>
  <r>
    <d v="2021-09-03T00:00:00"/>
    <x v="9"/>
    <x v="19"/>
    <x v="19"/>
    <n v="-59199"/>
    <n v="0"/>
    <n v="59199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23"/>
    <x v="23"/>
    <n v="21357"/>
    <n v="21357"/>
    <n v="0"/>
    <x v="813"/>
    <s v="Administracion"/>
    <m/>
    <m/>
    <m/>
    <m/>
    <m/>
    <m/>
    <m/>
  </r>
  <r>
    <d v="2021-09-06T00:00:00"/>
    <x v="9"/>
    <x v="0"/>
    <x v="0"/>
    <n v="-21357"/>
    <n v="0"/>
    <n v="21357"/>
    <x v="81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8000"/>
    <n v="8000"/>
    <n v="0"/>
    <x v="556"/>
    <s v="Administracion"/>
    <m/>
    <m/>
    <m/>
    <m/>
    <m/>
    <m/>
    <m/>
  </r>
  <r>
    <d v="2021-09-06T00:00:00"/>
    <x v="9"/>
    <x v="24"/>
    <x v="24"/>
    <n v="-8000"/>
    <n v="0"/>
    <n v="8000"/>
    <x v="55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10000"/>
    <n v="10000"/>
    <n v="0"/>
    <x v="418"/>
    <s v="Administracion"/>
    <m/>
    <m/>
    <m/>
    <m/>
    <m/>
    <m/>
    <m/>
  </r>
  <r>
    <d v="2021-09-06T00:00:00"/>
    <x v="9"/>
    <x v="19"/>
    <x v="19"/>
    <n v="-10000"/>
    <n v="0"/>
    <n v="1000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6T00:00:00"/>
    <x v="9"/>
    <x v="0"/>
    <x v="0"/>
    <n v="485930"/>
    <n v="485930"/>
    <n v="0"/>
    <x v="418"/>
    <s v="Administracion"/>
    <m/>
    <m/>
    <m/>
    <m/>
    <m/>
    <m/>
    <m/>
  </r>
  <r>
    <d v="2021-09-06T00:00:00"/>
    <x v="9"/>
    <x v="19"/>
    <x v="19"/>
    <n v="-485930"/>
    <n v="0"/>
    <n v="48593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7T00:00:00"/>
    <x v="9"/>
    <x v="0"/>
    <x v="0"/>
    <n v="15000"/>
    <n v="15000"/>
    <n v="0"/>
    <x v="8"/>
    <s v="Administracion"/>
    <m/>
    <m/>
    <m/>
    <m/>
    <m/>
    <m/>
    <m/>
  </r>
  <r>
    <d v="2021-09-07T00:00:00"/>
    <x v="9"/>
    <x v="6"/>
    <x v="6"/>
    <n v="-15000"/>
    <n v="0"/>
    <n v="15000"/>
    <x v="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7T00:00:00"/>
    <x v="9"/>
    <x v="0"/>
    <x v="0"/>
    <n v="15000"/>
    <n v="15000"/>
    <n v="0"/>
    <x v="323"/>
    <s v="Administracion"/>
    <m/>
    <m/>
    <m/>
    <m/>
    <m/>
    <m/>
    <m/>
  </r>
  <r>
    <d v="2021-09-07T00:00:00"/>
    <x v="9"/>
    <x v="19"/>
    <x v="19"/>
    <n v="-15000"/>
    <n v="0"/>
    <n v="15000"/>
    <x v="32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7T00:00:00"/>
    <x v="9"/>
    <x v="0"/>
    <x v="0"/>
    <n v="30000"/>
    <n v="30000"/>
    <n v="0"/>
    <x v="18"/>
    <s v="Administracion"/>
    <m/>
    <m/>
    <m/>
    <m/>
    <m/>
    <m/>
    <m/>
  </r>
  <r>
    <d v="2021-09-07T00:00:00"/>
    <x v="9"/>
    <x v="6"/>
    <x v="6"/>
    <n v="-30000"/>
    <n v="0"/>
    <n v="30000"/>
    <x v="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7T00:00:00"/>
    <x v="9"/>
    <x v="0"/>
    <x v="0"/>
    <n v="20000"/>
    <n v="20000"/>
    <n v="0"/>
    <x v="74"/>
    <s v="Administracion"/>
    <m/>
    <m/>
    <m/>
    <m/>
    <m/>
    <m/>
    <m/>
  </r>
  <r>
    <d v="2021-09-07T00:00:00"/>
    <x v="9"/>
    <x v="19"/>
    <x v="19"/>
    <n v="-20000"/>
    <n v="0"/>
    <n v="20000"/>
    <x v="7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7T00:00:00"/>
    <x v="9"/>
    <x v="0"/>
    <x v="0"/>
    <n v="10000"/>
    <n v="10000"/>
    <n v="0"/>
    <x v="404"/>
    <s v="Administracion"/>
    <m/>
    <m/>
    <m/>
    <m/>
    <m/>
    <m/>
    <m/>
  </r>
  <r>
    <d v="2021-09-07T00:00:00"/>
    <x v="9"/>
    <x v="19"/>
    <x v="19"/>
    <n v="-10000"/>
    <n v="0"/>
    <n v="10000"/>
    <x v="40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7T00:00:00"/>
    <x v="9"/>
    <x v="0"/>
    <x v="0"/>
    <n v="54301"/>
    <n v="54301"/>
    <n v="0"/>
    <x v="344"/>
    <s v="Administracion"/>
    <m/>
    <m/>
    <m/>
    <m/>
    <m/>
    <m/>
    <m/>
  </r>
  <r>
    <d v="2021-09-07T00:00:00"/>
    <x v="9"/>
    <x v="20"/>
    <x v="20"/>
    <n v="-54301"/>
    <n v="0"/>
    <n v="54301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7T00:00:00"/>
    <x v="9"/>
    <x v="0"/>
    <x v="0"/>
    <n v="9881"/>
    <n v="9881"/>
    <n v="0"/>
    <x v="96"/>
    <s v="Administracion"/>
    <m/>
    <m/>
    <m/>
    <m/>
    <m/>
    <m/>
    <m/>
  </r>
  <r>
    <d v="2021-09-07T00:00:00"/>
    <x v="9"/>
    <x v="19"/>
    <x v="19"/>
    <n v="-9881"/>
    <n v="0"/>
    <n v="9881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7T00:00:00"/>
    <x v="9"/>
    <x v="0"/>
    <x v="0"/>
    <n v="20000"/>
    <n v="20000"/>
    <n v="0"/>
    <x v="814"/>
    <s v="Administracion"/>
    <m/>
    <m/>
    <m/>
    <m/>
    <m/>
    <m/>
    <m/>
  </r>
  <r>
    <d v="2021-09-07T00:00:00"/>
    <x v="9"/>
    <x v="24"/>
    <x v="24"/>
    <n v="-20000"/>
    <n v="0"/>
    <n v="20000"/>
    <x v="81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8T00:00:00"/>
    <x v="9"/>
    <x v="0"/>
    <x v="0"/>
    <n v="20000"/>
    <n v="20000"/>
    <n v="0"/>
    <x v="196"/>
    <s v="Administracion"/>
    <m/>
    <m/>
    <m/>
    <m/>
    <m/>
    <m/>
    <m/>
  </r>
  <r>
    <d v="2021-09-08T00:00:00"/>
    <x v="9"/>
    <x v="19"/>
    <x v="19"/>
    <n v="-20000"/>
    <n v="0"/>
    <n v="20000"/>
    <x v="1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8T00:00:00"/>
    <x v="9"/>
    <x v="26"/>
    <x v="26"/>
    <n v="10371"/>
    <n v="10371"/>
    <n v="0"/>
    <x v="23"/>
    <s v="Administracion"/>
    <m/>
    <m/>
    <m/>
    <m/>
    <m/>
    <m/>
    <m/>
  </r>
  <r>
    <d v="2021-09-08T00:00:00"/>
    <x v="9"/>
    <x v="0"/>
    <x v="0"/>
    <n v="-10371"/>
    <n v="0"/>
    <n v="10371"/>
    <x v="2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8T00:00:00"/>
    <x v="9"/>
    <x v="0"/>
    <x v="0"/>
    <n v="36600"/>
    <n v="36600"/>
    <n v="0"/>
    <x v="815"/>
    <s v="Administracion"/>
    <m/>
    <m/>
    <m/>
    <m/>
    <m/>
    <m/>
    <m/>
  </r>
  <r>
    <d v="2021-09-08T00:00:00"/>
    <x v="9"/>
    <x v="19"/>
    <x v="19"/>
    <n v="-36600"/>
    <n v="0"/>
    <n v="36600"/>
    <x v="8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8T00:00:00"/>
    <x v="9"/>
    <x v="0"/>
    <x v="0"/>
    <n v="35000"/>
    <n v="35000"/>
    <n v="0"/>
    <x v="712"/>
    <s v="Administracion"/>
    <m/>
    <m/>
    <m/>
    <m/>
    <m/>
    <m/>
    <m/>
  </r>
  <r>
    <d v="2021-09-08T00:00:00"/>
    <x v="9"/>
    <x v="6"/>
    <x v="6"/>
    <n v="-35000"/>
    <n v="0"/>
    <n v="35000"/>
    <x v="7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8T00:00:00"/>
    <x v="9"/>
    <x v="0"/>
    <x v="0"/>
    <n v="307000"/>
    <n v="307000"/>
    <n v="0"/>
    <x v="816"/>
    <s v="Administracion"/>
    <m/>
    <m/>
    <m/>
    <m/>
    <m/>
    <m/>
    <m/>
  </r>
  <r>
    <d v="2021-09-08T00:00:00"/>
    <x v="9"/>
    <x v="21"/>
    <x v="21"/>
    <n v="-307000"/>
    <n v="0"/>
    <n v="307000"/>
    <x v="81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8T00:00:00"/>
    <x v="9"/>
    <x v="0"/>
    <x v="0"/>
    <n v="31261"/>
    <n v="31261"/>
    <n v="0"/>
    <x v="816"/>
    <s v="Administracion"/>
    <m/>
    <m/>
    <m/>
    <m/>
    <m/>
    <m/>
    <m/>
  </r>
  <r>
    <d v="2021-09-08T00:00:00"/>
    <x v="9"/>
    <x v="21"/>
    <x v="21"/>
    <n v="-31261"/>
    <n v="0"/>
    <n v="31261"/>
    <x v="81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9T00:00:00"/>
    <x v="9"/>
    <x v="0"/>
    <x v="0"/>
    <n v="25000"/>
    <n v="25000"/>
    <n v="0"/>
    <x v="457"/>
    <s v="Administracion"/>
    <m/>
    <m/>
    <m/>
    <m/>
    <m/>
    <m/>
    <m/>
  </r>
  <r>
    <d v="2021-09-09T00:00:00"/>
    <x v="9"/>
    <x v="42"/>
    <x v="23"/>
    <n v="-25000"/>
    <n v="0"/>
    <n v="25000"/>
    <x v="45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9T00:00:00"/>
    <x v="9"/>
    <x v="0"/>
    <x v="0"/>
    <n v="20000"/>
    <n v="20000"/>
    <n v="0"/>
    <x v="113"/>
    <s v="Administracion"/>
    <m/>
    <m/>
    <m/>
    <m/>
    <m/>
    <m/>
    <m/>
  </r>
  <r>
    <d v="2021-09-09T00:00:00"/>
    <x v="9"/>
    <x v="19"/>
    <x v="19"/>
    <n v="-20000"/>
    <n v="0"/>
    <n v="20000"/>
    <x v="11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9T00:00:00"/>
    <x v="9"/>
    <x v="0"/>
    <x v="0"/>
    <n v="20000"/>
    <n v="20000"/>
    <n v="0"/>
    <x v="594"/>
    <s v="Administracion"/>
    <m/>
    <m/>
    <m/>
    <m/>
    <m/>
    <m/>
    <m/>
  </r>
  <r>
    <d v="2021-09-09T00:00:00"/>
    <x v="9"/>
    <x v="19"/>
    <x v="19"/>
    <n v="-20000"/>
    <n v="0"/>
    <n v="20000"/>
    <x v="59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09T00:00:00"/>
    <x v="9"/>
    <x v="0"/>
    <x v="0"/>
    <n v="25000"/>
    <n v="25000"/>
    <n v="0"/>
    <x v="268"/>
    <s v="Administracion"/>
    <m/>
    <m/>
    <m/>
    <m/>
    <m/>
    <m/>
    <m/>
  </r>
  <r>
    <d v="2021-09-09T00:00:00"/>
    <x v="9"/>
    <x v="42"/>
    <x v="23"/>
    <n v="-25000"/>
    <n v="0"/>
    <n v="25000"/>
    <x v="26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0T00:00:00"/>
    <x v="9"/>
    <x v="27"/>
    <x v="27"/>
    <n v="35956"/>
    <n v="35956"/>
    <n v="0"/>
    <x v="211"/>
    <s v="Administracion"/>
    <m/>
    <m/>
    <m/>
    <m/>
    <m/>
    <m/>
    <m/>
  </r>
  <r>
    <d v="2021-09-10T00:00:00"/>
    <x v="9"/>
    <x v="0"/>
    <x v="0"/>
    <n v="-35956"/>
    <n v="0"/>
    <n v="35956"/>
    <x v="21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0T00:00:00"/>
    <x v="9"/>
    <x v="0"/>
    <x v="0"/>
    <n v="16000"/>
    <n v="16000"/>
    <n v="0"/>
    <x v="336"/>
    <s v="Administracion"/>
    <m/>
    <m/>
    <m/>
    <m/>
    <m/>
    <m/>
    <m/>
  </r>
  <r>
    <d v="2021-09-10T00:00:00"/>
    <x v="9"/>
    <x v="19"/>
    <x v="19"/>
    <n v="-16000"/>
    <n v="0"/>
    <n v="16000"/>
    <x v="33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3T00:00:00"/>
    <x v="9"/>
    <x v="0"/>
    <x v="0"/>
    <n v="10000"/>
    <n v="10000"/>
    <n v="0"/>
    <x v="78"/>
    <s v="Administracion"/>
    <m/>
    <m/>
    <m/>
    <m/>
    <m/>
    <m/>
    <m/>
  </r>
  <r>
    <d v="2021-09-13T00:00:00"/>
    <x v="9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3T00:00:00"/>
    <x v="9"/>
    <x v="0"/>
    <x v="0"/>
    <n v="10000"/>
    <n v="10000"/>
    <n v="0"/>
    <x v="167"/>
    <s v="Administracion"/>
    <m/>
    <m/>
    <m/>
    <m/>
    <m/>
    <m/>
    <m/>
  </r>
  <r>
    <d v="2021-09-13T00:00:00"/>
    <x v="9"/>
    <x v="19"/>
    <x v="19"/>
    <n v="-10000"/>
    <n v="0"/>
    <n v="10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3T00:00:00"/>
    <x v="9"/>
    <x v="0"/>
    <x v="0"/>
    <n v="15000"/>
    <n v="15000"/>
    <n v="0"/>
    <x v="86"/>
    <s v="Administracion"/>
    <m/>
    <m/>
    <m/>
    <m/>
    <m/>
    <m/>
    <m/>
  </r>
  <r>
    <d v="2021-09-13T00:00:00"/>
    <x v="9"/>
    <x v="19"/>
    <x v="19"/>
    <n v="-15000"/>
    <n v="0"/>
    <n v="15000"/>
    <x v="8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3T00:00:00"/>
    <x v="9"/>
    <x v="0"/>
    <x v="0"/>
    <n v="13000"/>
    <n v="13000"/>
    <n v="0"/>
    <x v="817"/>
    <s v="Administracion"/>
    <m/>
    <m/>
    <m/>
    <m/>
    <m/>
    <m/>
    <m/>
  </r>
  <r>
    <d v="2021-09-13T00:00:00"/>
    <x v="9"/>
    <x v="6"/>
    <x v="6"/>
    <n v="-13000"/>
    <n v="0"/>
    <n v="13000"/>
    <x v="8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3T00:00:00"/>
    <x v="9"/>
    <x v="0"/>
    <x v="0"/>
    <n v="13000"/>
    <n v="13000"/>
    <n v="0"/>
    <x v="818"/>
    <s v="Administracion"/>
    <m/>
    <m/>
    <m/>
    <m/>
    <m/>
    <m/>
    <m/>
  </r>
  <r>
    <d v="2021-09-13T00:00:00"/>
    <x v="9"/>
    <x v="6"/>
    <x v="6"/>
    <n v="-13000"/>
    <n v="0"/>
    <n v="13000"/>
    <x v="8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3T00:00:00"/>
    <x v="9"/>
    <x v="0"/>
    <x v="0"/>
    <n v="13000"/>
    <n v="13000"/>
    <n v="0"/>
    <x v="819"/>
    <s v="Administracion"/>
    <m/>
    <m/>
    <m/>
    <m/>
    <m/>
    <m/>
    <m/>
  </r>
  <r>
    <d v="2021-09-13T00:00:00"/>
    <x v="9"/>
    <x v="6"/>
    <x v="6"/>
    <n v="-13000"/>
    <n v="0"/>
    <n v="13000"/>
    <x v="81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3T00:00:00"/>
    <x v="9"/>
    <x v="0"/>
    <x v="0"/>
    <n v="20000"/>
    <n v="20000"/>
    <n v="0"/>
    <x v="191"/>
    <s v="Administracion"/>
    <m/>
    <m/>
    <m/>
    <m/>
    <m/>
    <m/>
    <m/>
  </r>
  <r>
    <d v="2021-09-13T00:00:00"/>
    <x v="9"/>
    <x v="19"/>
    <x v="19"/>
    <n v="-20000"/>
    <n v="0"/>
    <n v="20000"/>
    <x v="19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3T00:00:00"/>
    <x v="9"/>
    <x v="0"/>
    <x v="0"/>
    <n v="3000"/>
    <n v="3000"/>
    <n v="0"/>
    <x v="600"/>
    <s v="Administracion"/>
    <m/>
    <m/>
    <m/>
    <m/>
    <m/>
    <m/>
    <m/>
  </r>
  <r>
    <d v="2021-09-13T00:00:00"/>
    <x v="9"/>
    <x v="19"/>
    <x v="19"/>
    <n v="-3000"/>
    <n v="0"/>
    <n v="3000"/>
    <x v="60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3T00:00:00"/>
    <x v="9"/>
    <x v="0"/>
    <x v="0"/>
    <n v="20000"/>
    <n v="20000"/>
    <n v="0"/>
    <x v="152"/>
    <s v="Administracion"/>
    <m/>
    <m/>
    <m/>
    <m/>
    <m/>
    <m/>
    <m/>
  </r>
  <r>
    <d v="2021-09-13T00:00:00"/>
    <x v="9"/>
    <x v="19"/>
    <x v="19"/>
    <n v="-20000"/>
    <n v="0"/>
    <n v="20000"/>
    <x v="15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3T00:00:00"/>
    <x v="9"/>
    <x v="0"/>
    <x v="0"/>
    <n v="30000"/>
    <n v="30000"/>
    <n v="0"/>
    <x v="593"/>
    <s v="Administracion"/>
    <m/>
    <m/>
    <m/>
    <m/>
    <m/>
    <m/>
    <m/>
  </r>
  <r>
    <d v="2021-09-13T00:00:00"/>
    <x v="9"/>
    <x v="21"/>
    <x v="21"/>
    <n v="-30000"/>
    <n v="0"/>
    <n v="30000"/>
    <x v="59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3T00:00:00"/>
    <x v="9"/>
    <x v="0"/>
    <x v="0"/>
    <n v="2000"/>
    <n v="2000"/>
    <n v="0"/>
    <x v="283"/>
    <s v="Administracion"/>
    <m/>
    <m/>
    <m/>
    <m/>
    <m/>
    <m/>
    <m/>
  </r>
  <r>
    <d v="2021-09-13T00:00:00"/>
    <x v="9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3T00:00:00"/>
    <x v="9"/>
    <x v="0"/>
    <x v="0"/>
    <n v="20000"/>
    <n v="20000"/>
    <n v="0"/>
    <x v="820"/>
    <s v="Administracion"/>
    <m/>
    <m/>
    <m/>
    <m/>
    <m/>
    <m/>
    <m/>
  </r>
  <r>
    <d v="2021-09-13T00:00:00"/>
    <x v="9"/>
    <x v="24"/>
    <x v="24"/>
    <n v="-20000"/>
    <n v="0"/>
    <n v="20000"/>
    <x v="82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3T00:00:00"/>
    <x v="9"/>
    <x v="0"/>
    <x v="0"/>
    <n v="3000"/>
    <n v="3000"/>
    <n v="0"/>
    <x v="821"/>
    <s v="Administracion"/>
    <m/>
    <m/>
    <m/>
    <m/>
    <m/>
    <m/>
    <m/>
  </r>
  <r>
    <d v="2021-09-13T00:00:00"/>
    <x v="9"/>
    <x v="20"/>
    <x v="20"/>
    <n v="-3000"/>
    <n v="0"/>
    <n v="3000"/>
    <x v="82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3T00:00:00"/>
    <x v="9"/>
    <x v="0"/>
    <x v="0"/>
    <n v="351240"/>
    <n v="351240"/>
    <n v="0"/>
    <x v="418"/>
    <s v="Administracion"/>
    <m/>
    <m/>
    <m/>
    <m/>
    <m/>
    <m/>
    <m/>
  </r>
  <r>
    <d v="2021-09-13T00:00:00"/>
    <x v="9"/>
    <x v="19"/>
    <x v="19"/>
    <n v="-351240"/>
    <n v="0"/>
    <n v="35124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4T00:00:00"/>
    <x v="9"/>
    <x v="0"/>
    <x v="0"/>
    <n v="10000"/>
    <n v="10000"/>
    <n v="0"/>
    <x v="285"/>
    <s v="Administracion"/>
    <m/>
    <m/>
    <m/>
    <m/>
    <m/>
    <m/>
    <m/>
  </r>
  <r>
    <d v="2021-09-14T00:00:00"/>
    <x v="9"/>
    <x v="19"/>
    <x v="19"/>
    <n v="-10000"/>
    <n v="0"/>
    <n v="10000"/>
    <x v="28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4T00:00:00"/>
    <x v="9"/>
    <x v="0"/>
    <x v="0"/>
    <n v="25000"/>
    <n v="25000"/>
    <n v="0"/>
    <x v="437"/>
    <s v="Administracion"/>
    <m/>
    <m/>
    <m/>
    <m/>
    <m/>
    <m/>
    <m/>
  </r>
  <r>
    <d v="2021-09-14T00:00:00"/>
    <x v="9"/>
    <x v="42"/>
    <x v="23"/>
    <n v="-25000"/>
    <n v="0"/>
    <n v="25000"/>
    <x v="4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5T00:00:00"/>
    <x v="9"/>
    <x v="0"/>
    <x v="0"/>
    <n v="50000"/>
    <n v="50000"/>
    <n v="0"/>
    <x v="12"/>
    <s v="Administracion"/>
    <m/>
    <m/>
    <m/>
    <m/>
    <m/>
    <m/>
    <m/>
  </r>
  <r>
    <d v="2021-09-15T00:00:00"/>
    <x v="9"/>
    <x v="6"/>
    <x v="6"/>
    <n v="-50000"/>
    <n v="0"/>
    <n v="50000"/>
    <x v="1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5T00:00:00"/>
    <x v="9"/>
    <x v="0"/>
    <x v="0"/>
    <n v="20000"/>
    <n v="20000"/>
    <n v="0"/>
    <x v="217"/>
    <s v="Administracion"/>
    <m/>
    <m/>
    <m/>
    <m/>
    <m/>
    <m/>
    <m/>
  </r>
  <r>
    <d v="2021-09-15T00:00:00"/>
    <x v="9"/>
    <x v="19"/>
    <x v="19"/>
    <n v="-20000"/>
    <n v="0"/>
    <n v="20000"/>
    <x v="21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5T00:00:00"/>
    <x v="9"/>
    <x v="29"/>
    <x v="29"/>
    <n v="43716"/>
    <n v="43716"/>
    <n v="0"/>
    <x v="41"/>
    <s v="Administracion"/>
    <m/>
    <m/>
    <m/>
    <m/>
    <m/>
    <m/>
    <m/>
  </r>
  <r>
    <d v="2021-09-15T00:00:00"/>
    <x v="9"/>
    <x v="0"/>
    <x v="0"/>
    <n v="-43716"/>
    <n v="0"/>
    <n v="43716"/>
    <x v="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5T00:00:00"/>
    <x v="9"/>
    <x v="0"/>
    <x v="0"/>
    <n v="108691"/>
    <n v="108691"/>
    <n v="0"/>
    <x v="96"/>
    <s v="Administracion"/>
    <m/>
    <m/>
    <m/>
    <m/>
    <m/>
    <m/>
    <m/>
  </r>
  <r>
    <d v="2021-09-15T00:00:00"/>
    <x v="9"/>
    <x v="19"/>
    <x v="19"/>
    <n v="-108691"/>
    <n v="0"/>
    <n v="108691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5T00:00:00"/>
    <x v="9"/>
    <x v="0"/>
    <x v="0"/>
    <n v="29382"/>
    <n v="29382"/>
    <n v="0"/>
    <x v="744"/>
    <s v="Administracion"/>
    <m/>
    <m/>
    <m/>
    <m/>
    <m/>
    <m/>
    <m/>
  </r>
  <r>
    <d v="2021-09-15T00:00:00"/>
    <x v="9"/>
    <x v="19"/>
    <x v="19"/>
    <n v="-29382"/>
    <n v="0"/>
    <n v="29382"/>
    <x v="7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6T00:00:00"/>
    <x v="9"/>
    <x v="28"/>
    <x v="28"/>
    <n v="338983"/>
    <n v="338983"/>
    <n v="0"/>
    <x v="822"/>
    <s v="Administracion"/>
    <m/>
    <m/>
    <m/>
    <m/>
    <m/>
    <m/>
    <m/>
  </r>
  <r>
    <d v="2021-09-16T00:00:00"/>
    <x v="9"/>
    <x v="0"/>
    <x v="0"/>
    <n v="-300000"/>
    <n v="0"/>
    <n v="300000"/>
    <x v="822"/>
    <s v="Administracion"/>
    <m/>
    <m/>
    <m/>
    <m/>
    <m/>
    <m/>
    <m/>
  </r>
  <r>
    <d v="2021-09-16T00:00:00"/>
    <x v="9"/>
    <x v="9"/>
    <x v="9"/>
    <n v="-38983"/>
    <m/>
    <n v="38983"/>
    <x v="82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6T00:00:00"/>
    <x v="9"/>
    <x v="33"/>
    <x v="33"/>
    <n v="60000"/>
    <n v="60000"/>
    <n v="0"/>
    <x v="823"/>
    <s v="Administracion"/>
    <m/>
    <m/>
    <m/>
    <m/>
    <m/>
    <m/>
    <m/>
  </r>
  <r>
    <d v="2021-09-16T00:00:00"/>
    <x v="9"/>
    <x v="0"/>
    <x v="0"/>
    <n v="-53100"/>
    <n v="0"/>
    <n v="53100"/>
    <x v="823"/>
    <s v="Administracion"/>
    <m/>
    <m/>
    <m/>
    <m/>
    <m/>
    <m/>
    <m/>
  </r>
  <r>
    <d v="2021-09-16T00:00:00"/>
    <x v="9"/>
    <x v="9"/>
    <x v="9"/>
    <n v="-6900"/>
    <m/>
    <n v="6900"/>
    <x v="82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6T00:00:00"/>
    <x v="9"/>
    <x v="28"/>
    <x v="28"/>
    <n v="112994"/>
    <n v="112994"/>
    <n v="0"/>
    <x v="824"/>
    <s v="Administracion"/>
    <m/>
    <m/>
    <m/>
    <m/>
    <m/>
    <m/>
    <m/>
  </r>
  <r>
    <d v="2021-09-16T00:00:00"/>
    <x v="9"/>
    <x v="0"/>
    <x v="0"/>
    <n v="-100000"/>
    <n v="0"/>
    <n v="100000"/>
    <x v="824"/>
    <s v="Administracion"/>
    <m/>
    <m/>
    <m/>
    <m/>
    <m/>
    <m/>
    <m/>
  </r>
  <r>
    <d v="2021-09-16T00:00:00"/>
    <x v="9"/>
    <x v="9"/>
    <x v="9"/>
    <n v="-12994"/>
    <m/>
    <n v="12994"/>
    <x v="82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6T00:00:00"/>
    <x v="9"/>
    <x v="35"/>
    <x v="21"/>
    <n v="105000"/>
    <n v="105000"/>
    <n v="0"/>
    <x v="825"/>
    <s v="Administracion"/>
    <m/>
    <m/>
    <m/>
    <m/>
    <m/>
    <m/>
    <m/>
  </r>
  <r>
    <d v="2021-09-16T00:00:00"/>
    <x v="9"/>
    <x v="0"/>
    <x v="0"/>
    <n v="-105000"/>
    <m/>
    <n v="105000"/>
    <x v="82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6T00:00:00"/>
    <x v="9"/>
    <x v="39"/>
    <x v="38"/>
    <n v="35000"/>
    <n v="35000"/>
    <n v="0"/>
    <x v="826"/>
    <s v="Administracion"/>
    <m/>
    <m/>
    <m/>
    <m/>
    <m/>
    <m/>
    <m/>
  </r>
  <r>
    <d v="2021-09-16T00:00:00"/>
    <x v="9"/>
    <x v="0"/>
    <x v="0"/>
    <n v="-35000"/>
    <n v="0"/>
    <n v="35000"/>
    <x v="82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6T00:00:00"/>
    <x v="9"/>
    <x v="39"/>
    <x v="38"/>
    <n v="35000"/>
    <n v="35000"/>
    <n v="0"/>
    <x v="827"/>
    <s v="Administracion"/>
    <m/>
    <m/>
    <m/>
    <m/>
    <m/>
    <m/>
    <m/>
  </r>
  <r>
    <d v="2021-09-16T00:00:00"/>
    <x v="9"/>
    <x v="0"/>
    <x v="0"/>
    <n v="-35000"/>
    <n v="0"/>
    <n v="35000"/>
    <x v="82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6T00:00:00"/>
    <x v="9"/>
    <x v="39"/>
    <x v="38"/>
    <n v="15000"/>
    <n v="15000"/>
    <n v="0"/>
    <x v="828"/>
    <s v="Administracion"/>
    <m/>
    <m/>
    <m/>
    <m/>
    <m/>
    <m/>
    <m/>
  </r>
  <r>
    <d v="2021-09-16T00:00:00"/>
    <x v="9"/>
    <x v="0"/>
    <x v="0"/>
    <n v="-15000"/>
    <n v="0"/>
    <n v="15000"/>
    <x v="82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6T00:00:00"/>
    <x v="9"/>
    <x v="39"/>
    <x v="38"/>
    <n v="55000"/>
    <n v="55000"/>
    <n v="0"/>
    <x v="829"/>
    <s v="Administracion"/>
    <m/>
    <m/>
    <m/>
    <m/>
    <m/>
    <m/>
    <m/>
  </r>
  <r>
    <d v="2021-09-16T00:00:00"/>
    <x v="9"/>
    <x v="0"/>
    <x v="0"/>
    <n v="-55000"/>
    <n v="0"/>
    <n v="55000"/>
    <x v="82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6T00:00:00"/>
    <x v="9"/>
    <x v="0"/>
    <x v="0"/>
    <n v="5000"/>
    <n v="5000"/>
    <n v="0"/>
    <x v="830"/>
    <s v="Administracion"/>
    <m/>
    <m/>
    <m/>
    <m/>
    <m/>
    <m/>
    <m/>
  </r>
  <r>
    <d v="2021-09-16T00:00:00"/>
    <x v="9"/>
    <x v="20"/>
    <x v="20"/>
    <n v="-5000"/>
    <n v="0"/>
    <n v="5000"/>
    <x v="83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6T00:00:00"/>
    <x v="9"/>
    <x v="27"/>
    <x v="27"/>
    <n v="20990"/>
    <n v="20990"/>
    <n v="0"/>
    <x v="367"/>
    <s v="Administracion"/>
    <m/>
    <m/>
    <m/>
    <m/>
    <m/>
    <m/>
    <m/>
  </r>
  <r>
    <d v="2021-09-16T00:00:00"/>
    <x v="9"/>
    <x v="0"/>
    <x v="0"/>
    <n v="-20990"/>
    <n v="0"/>
    <n v="20990"/>
    <x v="3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16T00:00:00"/>
    <x v="9"/>
    <x v="0"/>
    <x v="0"/>
    <n v="78353"/>
    <n v="78353"/>
    <n v="0"/>
    <x v="96"/>
    <s v="Administracion"/>
    <m/>
    <m/>
    <m/>
    <m/>
    <m/>
    <m/>
    <m/>
  </r>
  <r>
    <d v="2021-09-16T00:00:00"/>
    <x v="9"/>
    <x v="19"/>
    <x v="19"/>
    <n v="-78353"/>
    <n v="0"/>
    <n v="78353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0T00:00:00"/>
    <x v="9"/>
    <x v="0"/>
    <x v="0"/>
    <n v="10000"/>
    <n v="10000"/>
    <n v="0"/>
    <x v="78"/>
    <s v="Administracion"/>
    <m/>
    <m/>
    <m/>
    <m/>
    <m/>
    <m/>
    <m/>
  </r>
  <r>
    <d v="2021-09-20T00:00:00"/>
    <x v="9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0T00:00:00"/>
    <x v="9"/>
    <x v="0"/>
    <x v="0"/>
    <n v="8000"/>
    <n v="8000"/>
    <n v="0"/>
    <x v="831"/>
    <s v="Administracion"/>
    <m/>
    <m/>
    <m/>
    <m/>
    <m/>
    <m/>
    <m/>
  </r>
  <r>
    <d v="2021-09-20T00:00:00"/>
    <x v="9"/>
    <x v="19"/>
    <x v="19"/>
    <n v="-8000"/>
    <n v="0"/>
    <n v="8000"/>
    <x v="83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0T00:00:00"/>
    <x v="9"/>
    <x v="0"/>
    <x v="0"/>
    <n v="3000"/>
    <n v="3000"/>
    <n v="0"/>
    <x v="600"/>
    <s v="Administracion"/>
    <m/>
    <m/>
    <m/>
    <m/>
    <m/>
    <m/>
    <m/>
  </r>
  <r>
    <d v="2021-09-20T00:00:00"/>
    <x v="9"/>
    <x v="19"/>
    <x v="19"/>
    <n v="-3000"/>
    <n v="0"/>
    <n v="3000"/>
    <x v="60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0T00:00:00"/>
    <x v="9"/>
    <x v="0"/>
    <x v="0"/>
    <n v="15000"/>
    <n v="15000"/>
    <n v="0"/>
    <x v="251"/>
    <s v="Administracion"/>
    <m/>
    <m/>
    <m/>
    <m/>
    <m/>
    <m/>
    <m/>
  </r>
  <r>
    <d v="2021-09-20T00:00:00"/>
    <x v="9"/>
    <x v="19"/>
    <x v="19"/>
    <n v="-15000"/>
    <n v="0"/>
    <n v="15000"/>
    <x v="25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0T00:00:00"/>
    <x v="9"/>
    <x v="0"/>
    <x v="0"/>
    <n v="2000"/>
    <n v="2000"/>
    <n v="0"/>
    <x v="283"/>
    <s v="Administracion"/>
    <m/>
    <m/>
    <m/>
    <m/>
    <m/>
    <m/>
    <m/>
  </r>
  <r>
    <d v="2021-09-20T00:00:00"/>
    <x v="9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0T00:00:00"/>
    <x v="9"/>
    <x v="0"/>
    <x v="0"/>
    <n v="15000"/>
    <n v="15000"/>
    <n v="0"/>
    <x v="144"/>
    <s v="Administracion"/>
    <m/>
    <m/>
    <m/>
    <m/>
    <m/>
    <m/>
    <m/>
  </r>
  <r>
    <d v="2021-09-20T00:00:00"/>
    <x v="9"/>
    <x v="19"/>
    <x v="19"/>
    <n v="-15000"/>
    <n v="0"/>
    <n v="15000"/>
    <x v="1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0T00:00:00"/>
    <x v="9"/>
    <x v="0"/>
    <x v="0"/>
    <n v="4940"/>
    <n v="4940"/>
    <n v="0"/>
    <x v="744"/>
    <s v="Administracion"/>
    <m/>
    <m/>
    <m/>
    <m/>
    <m/>
    <m/>
    <m/>
  </r>
  <r>
    <d v="2021-09-20T00:00:00"/>
    <x v="9"/>
    <x v="19"/>
    <x v="19"/>
    <n v="-4940"/>
    <n v="0"/>
    <n v="4940"/>
    <x v="7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0T00:00:00"/>
    <x v="9"/>
    <x v="0"/>
    <x v="0"/>
    <n v="9793"/>
    <n v="9793"/>
    <n v="0"/>
    <x v="344"/>
    <s v="Administracion"/>
    <m/>
    <m/>
    <m/>
    <m/>
    <m/>
    <m/>
    <m/>
  </r>
  <r>
    <d v="2021-09-20T00:00:00"/>
    <x v="9"/>
    <x v="20"/>
    <x v="20"/>
    <n v="-9793"/>
    <n v="0"/>
    <n v="9793"/>
    <x v="3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0T00:00:00"/>
    <x v="9"/>
    <x v="0"/>
    <x v="0"/>
    <n v="100000"/>
    <n v="100000"/>
    <n v="0"/>
    <x v="172"/>
    <s v="Administracion"/>
    <m/>
    <m/>
    <m/>
    <m/>
    <m/>
    <m/>
    <m/>
  </r>
  <r>
    <d v="2021-09-20T00:00:00"/>
    <x v="9"/>
    <x v="19"/>
    <x v="19"/>
    <n v="-100000"/>
    <n v="0"/>
    <n v="100000"/>
    <x v="17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0T00:00:00"/>
    <x v="9"/>
    <x v="0"/>
    <x v="0"/>
    <n v="20000"/>
    <n v="20000"/>
    <n v="0"/>
    <x v="832"/>
    <s v="Administracion"/>
    <m/>
    <m/>
    <m/>
    <m/>
    <m/>
    <m/>
    <m/>
  </r>
  <r>
    <d v="2021-09-20T00:00:00"/>
    <x v="9"/>
    <x v="19"/>
    <x v="19"/>
    <n v="-20000"/>
    <n v="0"/>
    <n v="20000"/>
    <x v="83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0T00:00:00"/>
    <x v="9"/>
    <x v="0"/>
    <x v="0"/>
    <n v="5000"/>
    <n v="5000"/>
    <n v="0"/>
    <x v="833"/>
    <s v="Administracion"/>
    <m/>
    <m/>
    <m/>
    <m/>
    <m/>
    <m/>
    <m/>
  </r>
  <r>
    <d v="2021-09-20T00:00:00"/>
    <x v="9"/>
    <x v="24"/>
    <x v="24"/>
    <n v="-5000"/>
    <n v="0"/>
    <n v="5000"/>
    <x v="83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0T00:00:00"/>
    <x v="9"/>
    <x v="0"/>
    <x v="0"/>
    <n v="607950"/>
    <n v="607950"/>
    <n v="0"/>
    <x v="418"/>
    <s v="Administracion"/>
    <m/>
    <m/>
    <m/>
    <m/>
    <m/>
    <m/>
    <m/>
  </r>
  <r>
    <d v="2021-09-20T00:00:00"/>
    <x v="9"/>
    <x v="19"/>
    <x v="19"/>
    <n v="-607950"/>
    <n v="0"/>
    <n v="60795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0T00:00:00"/>
    <x v="9"/>
    <x v="0"/>
    <x v="0"/>
    <n v="20000"/>
    <n v="20000"/>
    <n v="0"/>
    <x v="834"/>
    <s v="Administracion"/>
    <m/>
    <m/>
    <m/>
    <m/>
    <m/>
    <m/>
    <m/>
  </r>
  <r>
    <d v="2021-09-20T00:00:00"/>
    <x v="9"/>
    <x v="6"/>
    <x v="6"/>
    <n v="-20000"/>
    <n v="0"/>
    <n v="20000"/>
    <x v="83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0T00:00:00"/>
    <x v="9"/>
    <x v="0"/>
    <x v="0"/>
    <n v="20000"/>
    <n v="20000"/>
    <n v="0"/>
    <x v="835"/>
    <s v="Administracion"/>
    <m/>
    <m/>
    <m/>
    <m/>
    <m/>
    <m/>
    <m/>
  </r>
  <r>
    <d v="2021-09-20T00:00:00"/>
    <x v="9"/>
    <x v="6"/>
    <x v="6"/>
    <n v="-20000"/>
    <n v="0"/>
    <n v="20000"/>
    <x v="83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0T00:00:00"/>
    <x v="9"/>
    <x v="0"/>
    <x v="0"/>
    <n v="10000"/>
    <n v="10000"/>
    <n v="0"/>
    <x v="836"/>
    <s v="Administracion"/>
    <m/>
    <m/>
    <m/>
    <m/>
    <m/>
    <m/>
    <m/>
  </r>
  <r>
    <d v="2021-09-20T00:00:00"/>
    <x v="9"/>
    <x v="6"/>
    <x v="6"/>
    <n v="-10000"/>
    <n v="0"/>
    <n v="10000"/>
    <x v="83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1T00:00:00"/>
    <x v="9"/>
    <x v="0"/>
    <x v="0"/>
    <n v="20000"/>
    <n v="20000"/>
    <n v="0"/>
    <x v="105"/>
    <s v="Administracion"/>
    <m/>
    <m/>
    <m/>
    <m/>
    <m/>
    <m/>
    <m/>
  </r>
  <r>
    <d v="2021-09-21T00:00:00"/>
    <x v="9"/>
    <x v="19"/>
    <x v="19"/>
    <n v="-20000"/>
    <n v="0"/>
    <n v="20000"/>
    <x v="10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1T00:00:00"/>
    <x v="9"/>
    <x v="0"/>
    <x v="0"/>
    <n v="20000"/>
    <n v="20000"/>
    <n v="0"/>
    <x v="837"/>
    <s v="Administracion"/>
    <m/>
    <m/>
    <m/>
    <m/>
    <m/>
    <m/>
    <m/>
  </r>
  <r>
    <d v="2021-09-21T00:00:00"/>
    <x v="9"/>
    <x v="24"/>
    <x v="24"/>
    <n v="-20000"/>
    <n v="0"/>
    <n v="20000"/>
    <x v="83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2T00:00:00"/>
    <x v="9"/>
    <x v="0"/>
    <x v="0"/>
    <n v="4896"/>
    <n v="4896"/>
    <n v="0"/>
    <x v="744"/>
    <s v="Administracion"/>
    <m/>
    <m/>
    <m/>
    <m/>
    <m/>
    <m/>
    <m/>
  </r>
  <r>
    <d v="2021-09-22T00:00:00"/>
    <x v="9"/>
    <x v="19"/>
    <x v="19"/>
    <n v="-4896"/>
    <n v="0"/>
    <n v="4896"/>
    <x v="74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4T00:00:00"/>
    <x v="9"/>
    <x v="0"/>
    <x v="0"/>
    <n v="30000"/>
    <n v="30000"/>
    <n v="0"/>
    <x v="615"/>
    <s v="Administracion"/>
    <m/>
    <m/>
    <m/>
    <m/>
    <m/>
    <m/>
    <m/>
  </r>
  <r>
    <d v="2021-09-24T00:00:00"/>
    <x v="9"/>
    <x v="19"/>
    <x v="19"/>
    <n v="-30000"/>
    <n v="0"/>
    <n v="30000"/>
    <x v="615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4T00:00:00"/>
    <x v="9"/>
    <x v="0"/>
    <x v="0"/>
    <n v="30000"/>
    <n v="30000"/>
    <n v="0"/>
    <x v="616"/>
    <s v="Administracion"/>
    <m/>
    <m/>
    <m/>
    <m/>
    <m/>
    <m/>
    <m/>
  </r>
  <r>
    <d v="2021-09-24T00:00:00"/>
    <x v="9"/>
    <x v="21"/>
    <x v="21"/>
    <n v="-30000"/>
    <n v="0"/>
    <n v="30000"/>
    <x v="61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4T00:00:00"/>
    <x v="9"/>
    <x v="0"/>
    <x v="0"/>
    <n v="30000"/>
    <n v="30000"/>
    <n v="0"/>
    <x v="54"/>
    <s v="Administracion"/>
    <m/>
    <m/>
    <m/>
    <m/>
    <m/>
    <m/>
    <m/>
  </r>
  <r>
    <d v="2021-09-24T00:00:00"/>
    <x v="9"/>
    <x v="6"/>
    <x v="6"/>
    <n v="-30000"/>
    <n v="0"/>
    <n v="30000"/>
    <x v="54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4T00:00:00"/>
    <x v="9"/>
    <x v="0"/>
    <x v="0"/>
    <n v="10000"/>
    <n v="10000"/>
    <n v="0"/>
    <x v="838"/>
    <s v="Administracion"/>
    <m/>
    <m/>
    <m/>
    <m/>
    <m/>
    <m/>
    <m/>
  </r>
  <r>
    <d v="2021-09-24T00:00:00"/>
    <x v="9"/>
    <x v="19"/>
    <x v="19"/>
    <n v="-10000"/>
    <n v="0"/>
    <n v="10000"/>
    <x v="83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4T00:00:00"/>
    <x v="9"/>
    <x v="0"/>
    <x v="0"/>
    <n v="40000"/>
    <n v="40000"/>
    <n v="0"/>
    <x v="839"/>
    <s v="Administracion"/>
    <m/>
    <m/>
    <m/>
    <m/>
    <m/>
    <m/>
    <m/>
  </r>
  <r>
    <d v="2021-09-24T00:00:00"/>
    <x v="9"/>
    <x v="24"/>
    <x v="24"/>
    <n v="-40000"/>
    <n v="0"/>
    <n v="40000"/>
    <x v="839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7T00:00:00"/>
    <x v="9"/>
    <x v="31"/>
    <x v="31"/>
    <n v="51645"/>
    <n v="51645"/>
    <n v="0"/>
    <x v="151"/>
    <s v="Administracion"/>
    <m/>
    <m/>
    <m/>
    <m/>
    <m/>
    <m/>
    <m/>
  </r>
  <r>
    <d v="2021-09-27T00:00:00"/>
    <x v="9"/>
    <x v="0"/>
    <x v="0"/>
    <n v="-51645"/>
    <n v="0"/>
    <n v="51645"/>
    <x v="15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7T00:00:00"/>
    <x v="9"/>
    <x v="0"/>
    <x v="0"/>
    <n v="10000"/>
    <n v="10000"/>
    <n v="0"/>
    <x v="78"/>
    <s v="Administracion"/>
    <m/>
    <m/>
    <m/>
    <m/>
    <m/>
    <m/>
    <m/>
  </r>
  <r>
    <d v="2021-09-27T00:00:00"/>
    <x v="9"/>
    <x v="19"/>
    <x v="19"/>
    <n v="-10000"/>
    <n v="0"/>
    <n v="10000"/>
    <x v="7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7T00:00:00"/>
    <x v="9"/>
    <x v="0"/>
    <x v="0"/>
    <n v="10000"/>
    <n v="10000"/>
    <n v="0"/>
    <x v="167"/>
    <s v="Administracion"/>
    <m/>
    <m/>
    <m/>
    <m/>
    <m/>
    <m/>
    <m/>
  </r>
  <r>
    <d v="2021-09-27T00:00:00"/>
    <x v="9"/>
    <x v="19"/>
    <x v="19"/>
    <n v="-10000"/>
    <n v="0"/>
    <n v="10000"/>
    <x v="167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7T00:00:00"/>
    <x v="9"/>
    <x v="0"/>
    <x v="0"/>
    <n v="5000"/>
    <n v="5000"/>
    <n v="0"/>
    <x v="173"/>
    <s v="Administracion"/>
    <m/>
    <m/>
    <m/>
    <m/>
    <m/>
    <m/>
    <m/>
  </r>
  <r>
    <d v="2021-09-27T00:00:00"/>
    <x v="9"/>
    <x v="19"/>
    <x v="19"/>
    <n v="-5000"/>
    <n v="0"/>
    <n v="5000"/>
    <x v="17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7T00:00:00"/>
    <x v="9"/>
    <x v="0"/>
    <x v="0"/>
    <n v="60000"/>
    <n v="60000"/>
    <n v="0"/>
    <x v="462"/>
    <s v="Administracion"/>
    <m/>
    <m/>
    <m/>
    <m/>
    <m/>
    <m/>
    <m/>
  </r>
  <r>
    <d v="2021-09-27T00:00:00"/>
    <x v="9"/>
    <x v="19"/>
    <x v="19"/>
    <n v="-60000"/>
    <n v="0"/>
    <n v="60000"/>
    <x v="46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7T00:00:00"/>
    <x v="9"/>
    <x v="0"/>
    <x v="0"/>
    <n v="20000"/>
    <n v="20000"/>
    <n v="0"/>
    <x v="266"/>
    <s v="Administracion"/>
    <m/>
    <m/>
    <m/>
    <m/>
    <m/>
    <m/>
    <m/>
  </r>
  <r>
    <d v="2021-09-27T00:00:00"/>
    <x v="9"/>
    <x v="19"/>
    <x v="19"/>
    <n v="-20000"/>
    <n v="0"/>
    <n v="20000"/>
    <x v="26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7T00:00:00"/>
    <x v="9"/>
    <x v="0"/>
    <x v="0"/>
    <n v="2000"/>
    <n v="2000"/>
    <n v="0"/>
    <x v="283"/>
    <s v="Administracion"/>
    <m/>
    <m/>
    <m/>
    <m/>
    <m/>
    <m/>
    <m/>
  </r>
  <r>
    <d v="2021-09-27T00:00:00"/>
    <x v="9"/>
    <x v="19"/>
    <x v="19"/>
    <n v="-2000"/>
    <n v="0"/>
    <n v="2000"/>
    <x v="28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7T00:00:00"/>
    <x v="9"/>
    <x v="0"/>
    <x v="0"/>
    <n v="19327"/>
    <n v="19327"/>
    <n v="0"/>
    <x v="96"/>
    <s v="Administracion"/>
    <m/>
    <m/>
    <m/>
    <m/>
    <m/>
    <m/>
    <m/>
  </r>
  <r>
    <d v="2021-09-27T00:00:00"/>
    <x v="9"/>
    <x v="19"/>
    <x v="19"/>
    <n v="-19327"/>
    <n v="0"/>
    <n v="19327"/>
    <x v="96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7T00:00:00"/>
    <x v="9"/>
    <x v="0"/>
    <x v="0"/>
    <n v="641930"/>
    <n v="641930"/>
    <n v="0"/>
    <x v="418"/>
    <s v="Administracion"/>
    <m/>
    <m/>
    <m/>
    <m/>
    <m/>
    <m/>
    <m/>
  </r>
  <r>
    <d v="2021-09-27T00:00:00"/>
    <x v="9"/>
    <x v="19"/>
    <x v="19"/>
    <n v="-641930"/>
    <n v="0"/>
    <n v="641930"/>
    <x v="418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7T00:00:00"/>
    <x v="9"/>
    <x v="0"/>
    <x v="0"/>
    <n v="8000"/>
    <n v="8000"/>
    <n v="0"/>
    <x v="270"/>
    <s v="Administracion"/>
    <m/>
    <m/>
    <m/>
    <m/>
    <m/>
    <m/>
    <m/>
  </r>
  <r>
    <d v="2021-09-27T00:00:00"/>
    <x v="9"/>
    <x v="19"/>
    <x v="19"/>
    <n v="-8000"/>
    <n v="0"/>
    <n v="8000"/>
    <x v="27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27T00:00:00"/>
    <x v="9"/>
    <x v="0"/>
    <x v="0"/>
    <n v="40000"/>
    <n v="40000"/>
    <n v="0"/>
    <x v="563"/>
    <s v="Administracion"/>
    <m/>
    <m/>
    <m/>
    <m/>
    <m/>
    <m/>
    <m/>
  </r>
  <r>
    <d v="2021-09-27T00:00:00"/>
    <x v="9"/>
    <x v="19"/>
    <x v="19"/>
    <n v="-40000"/>
    <n v="0"/>
    <n v="40000"/>
    <x v="56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34"/>
    <x v="34"/>
    <n v="423803"/>
    <n v="423803"/>
    <n v="0"/>
    <x v="840"/>
    <s v="Administracion"/>
    <m/>
    <m/>
    <m/>
    <m/>
    <m/>
    <m/>
    <m/>
  </r>
  <r>
    <d v="2021-09-30T00:00:00"/>
    <x v="9"/>
    <x v="0"/>
    <x v="0"/>
    <n v="-423803"/>
    <n v="0"/>
    <n v="423803"/>
    <x v="840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47"/>
    <x v="45"/>
    <n v="20320"/>
    <n v="20320"/>
    <n v="0"/>
    <x v="841"/>
    <s v="Administracion"/>
    <m/>
    <m/>
    <m/>
    <m/>
    <m/>
    <m/>
    <m/>
  </r>
  <r>
    <d v="2021-09-30T00:00:00"/>
    <x v="9"/>
    <x v="0"/>
    <x v="0"/>
    <n v="-20320"/>
    <n v="0"/>
    <n v="20320"/>
    <x v="841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33"/>
    <x v="33"/>
    <n v="60000"/>
    <n v="60000"/>
    <n v="0"/>
    <x v="842"/>
    <s v="Administracion"/>
    <m/>
    <m/>
    <m/>
    <m/>
    <m/>
    <m/>
    <m/>
  </r>
  <r>
    <d v="2021-09-30T00:00:00"/>
    <x v="9"/>
    <x v="0"/>
    <x v="0"/>
    <n v="-53100"/>
    <n v="0"/>
    <n v="53100"/>
    <x v="842"/>
    <s v="Administracion"/>
    <m/>
    <m/>
    <m/>
    <m/>
    <m/>
    <m/>
    <m/>
  </r>
  <r>
    <d v="2021-09-30T00:00:00"/>
    <x v="9"/>
    <x v="9"/>
    <x v="9"/>
    <n v="-6900"/>
    <n v="0"/>
    <n v="6900"/>
    <x v="842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32"/>
    <x v="32"/>
    <n v="33898"/>
    <n v="33898"/>
    <n v="0"/>
    <x v="843"/>
    <s v="Administracion"/>
    <m/>
    <m/>
    <m/>
    <m/>
    <m/>
    <m/>
    <m/>
  </r>
  <r>
    <d v="2021-09-30T00:00:00"/>
    <x v="9"/>
    <x v="0"/>
    <x v="0"/>
    <n v="-30000"/>
    <n v="0"/>
    <n v="30000"/>
    <x v="843"/>
    <s v="Administracion"/>
    <m/>
    <m/>
    <m/>
    <m/>
    <m/>
    <m/>
    <m/>
  </r>
  <r>
    <d v="2021-09-30T00:00:00"/>
    <x v="9"/>
    <x v="9"/>
    <x v="9"/>
    <n v="-3898"/>
    <n v="0"/>
    <n v="3898"/>
    <x v="843"/>
    <s v="Administracio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36"/>
    <x v="35"/>
    <n v="3059525"/>
    <n v="3059525"/>
    <n v="0"/>
    <x v="72"/>
    <s v="Administración"/>
    <m/>
    <m/>
    <m/>
    <m/>
    <m/>
    <m/>
    <m/>
  </r>
  <r>
    <d v="2021-09-30T00:00:00"/>
    <x v="9"/>
    <x v="37"/>
    <x v="36"/>
    <n v="912822"/>
    <n v="912822"/>
    <n v="0"/>
    <x v="72"/>
    <s v="Administración"/>
    <m/>
    <m/>
    <m/>
    <m/>
    <m/>
    <m/>
    <m/>
  </r>
  <r>
    <d v="2021-09-30T00:00:00"/>
    <x v="9"/>
    <x v="36"/>
    <x v="35"/>
    <n v="51252"/>
    <n v="51252"/>
    <n v="0"/>
    <x v="72"/>
    <s v="Administración"/>
    <m/>
    <m/>
    <m/>
    <m/>
    <m/>
    <m/>
    <m/>
  </r>
  <r>
    <d v="2021-09-30T00:00:00"/>
    <x v="9"/>
    <x v="11"/>
    <x v="11"/>
    <n v="-3401866"/>
    <n v="0"/>
    <n v="3401866"/>
    <x v="72"/>
    <s v="Administración"/>
    <m/>
    <m/>
    <m/>
    <m/>
    <m/>
    <m/>
    <m/>
  </r>
  <r>
    <d v="2021-09-30T00:00:00"/>
    <x v="9"/>
    <x v="10"/>
    <x v="10"/>
    <n v="-428919"/>
    <n v="0"/>
    <n v="428919"/>
    <x v="72"/>
    <s v="Administración"/>
    <m/>
    <m/>
    <m/>
    <m/>
    <m/>
    <m/>
    <m/>
  </r>
  <r>
    <d v="2021-09-30T00:00:00"/>
    <x v="9"/>
    <x v="10"/>
    <x v="10"/>
    <n v="-177822"/>
    <n v="0"/>
    <n v="177822"/>
    <x v="72"/>
    <s v="Administración"/>
    <m/>
    <m/>
    <m/>
    <m/>
    <m/>
    <m/>
    <m/>
  </r>
  <r>
    <d v="2021-09-30T00:00:00"/>
    <x v="9"/>
    <x v="9"/>
    <x v="9"/>
    <n v="-14992"/>
    <n v="0"/>
    <n v="14992"/>
    <x v="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11"/>
    <x v="11"/>
    <n v="735000"/>
    <n v="735000"/>
    <n v="0"/>
    <x v="844"/>
    <s v="Administración"/>
    <m/>
    <m/>
    <m/>
    <m/>
    <m/>
    <m/>
    <m/>
  </r>
  <r>
    <d v="2021-09-30T00:00:00"/>
    <x v="9"/>
    <x v="0"/>
    <x v="0"/>
    <n v="-735000"/>
    <n v="0"/>
    <n v="735000"/>
    <x v="8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11"/>
    <x v="11"/>
    <n v="779747"/>
    <n v="779747"/>
    <n v="0"/>
    <x v="845"/>
    <s v="Administración"/>
    <m/>
    <m/>
    <m/>
    <m/>
    <m/>
    <m/>
    <m/>
  </r>
  <r>
    <d v="2021-09-30T00:00:00"/>
    <x v="9"/>
    <x v="0"/>
    <x v="0"/>
    <n v="-779747"/>
    <n v="0"/>
    <n v="779747"/>
    <x v="84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11"/>
    <x v="11"/>
    <n v="514843"/>
    <n v="514843"/>
    <n v="0"/>
    <x v="846"/>
    <s v="Administración"/>
    <m/>
    <m/>
    <m/>
    <m/>
    <m/>
    <m/>
    <m/>
  </r>
  <r>
    <d v="2021-09-30T00:00:00"/>
    <x v="9"/>
    <x v="0"/>
    <x v="0"/>
    <n v="-514843"/>
    <n v="0"/>
    <n v="514843"/>
    <x v="84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11"/>
    <x v="11"/>
    <n v="255470"/>
    <n v="255470"/>
    <n v="0"/>
    <x v="847"/>
    <s v="Administración"/>
    <m/>
    <m/>
    <m/>
    <m/>
    <m/>
    <m/>
    <m/>
  </r>
  <r>
    <d v="2021-09-30T00:00:00"/>
    <x v="9"/>
    <x v="0"/>
    <x v="0"/>
    <n v="-255470"/>
    <n v="0"/>
    <n v="255470"/>
    <x v="84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11"/>
    <x v="11"/>
    <n v="1116806"/>
    <n v="1116806"/>
    <n v="0"/>
    <x v="848"/>
    <s v="Administración"/>
    <m/>
    <m/>
    <m/>
    <m/>
    <m/>
    <m/>
    <m/>
  </r>
  <r>
    <d v="2021-09-30T00:00:00"/>
    <x v="9"/>
    <x v="0"/>
    <x v="0"/>
    <n v="-1116806"/>
    <n v="0"/>
    <n v="1116806"/>
    <x v="84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16"/>
    <x v="16"/>
    <n v="15000"/>
    <n v="15000"/>
    <n v="0"/>
    <x v="164"/>
    <s v="Administración"/>
    <m/>
    <m/>
    <m/>
    <m/>
    <m/>
    <m/>
    <m/>
  </r>
  <r>
    <d v="2021-09-30T00:00:00"/>
    <x v="9"/>
    <x v="16"/>
    <x v="16"/>
    <n v="5500"/>
    <n v="5500"/>
    <n v="0"/>
    <x v="168"/>
    <s v="Administración"/>
    <m/>
    <m/>
    <m/>
    <m/>
    <m/>
    <m/>
    <m/>
  </r>
  <r>
    <d v="2021-09-30T00:00:00"/>
    <x v="9"/>
    <x v="16"/>
    <x v="16"/>
    <n v="5000"/>
    <n v="5000"/>
    <n v="0"/>
    <x v="708"/>
    <s v="Administración"/>
    <m/>
    <m/>
    <m/>
    <m/>
    <m/>
    <m/>
    <m/>
  </r>
  <r>
    <d v="2021-09-30T00:00:00"/>
    <x v="9"/>
    <x v="16"/>
    <x v="16"/>
    <n v="80000"/>
    <n v="80000"/>
    <n v="0"/>
    <x v="793"/>
    <s v="Administración"/>
    <m/>
    <m/>
    <m/>
    <m/>
    <m/>
    <m/>
    <m/>
  </r>
  <r>
    <d v="2021-09-30T00:00:00"/>
    <x v="9"/>
    <x v="16"/>
    <x v="16"/>
    <n v="60000"/>
    <n v="60000"/>
    <n v="0"/>
    <x v="794"/>
    <s v="Administración"/>
    <m/>
    <m/>
    <m/>
    <m/>
    <m/>
    <m/>
    <m/>
  </r>
  <r>
    <d v="2021-09-30T00:00:00"/>
    <x v="9"/>
    <x v="16"/>
    <x v="16"/>
    <n v="5000"/>
    <n v="5000"/>
    <n v="0"/>
    <x v="849"/>
    <s v="Administración"/>
    <m/>
    <m/>
    <m/>
    <m/>
    <m/>
    <m/>
    <m/>
  </r>
  <r>
    <d v="2021-09-30T00:00:00"/>
    <x v="9"/>
    <x v="19"/>
    <x v="19"/>
    <n v="-15000"/>
    <n v="0"/>
    <n v="15000"/>
    <x v="164"/>
    <s v="Administración"/>
    <m/>
    <m/>
    <m/>
    <m/>
    <m/>
    <m/>
    <m/>
  </r>
  <r>
    <d v="2021-09-30T00:00:00"/>
    <x v="9"/>
    <x v="19"/>
    <x v="19"/>
    <n v="-5500"/>
    <n v="0"/>
    <n v="5500"/>
    <x v="168"/>
    <s v="Administración"/>
    <m/>
    <m/>
    <m/>
    <m/>
    <m/>
    <m/>
    <m/>
  </r>
  <r>
    <d v="2021-09-30T00:00:00"/>
    <x v="9"/>
    <x v="19"/>
    <x v="19"/>
    <n v="-5000"/>
    <n v="0"/>
    <n v="5000"/>
    <x v="708"/>
    <s v="Administración"/>
    <m/>
    <m/>
    <m/>
    <m/>
    <m/>
    <m/>
    <m/>
  </r>
  <r>
    <d v="2021-09-30T00:00:00"/>
    <x v="9"/>
    <x v="19"/>
    <x v="19"/>
    <n v="-80000"/>
    <n v="0"/>
    <n v="80000"/>
    <x v="793"/>
    <s v="Administración"/>
    <m/>
    <m/>
    <m/>
    <m/>
    <m/>
    <m/>
    <m/>
  </r>
  <r>
    <d v="2021-09-30T00:00:00"/>
    <x v="9"/>
    <x v="19"/>
    <x v="19"/>
    <n v="-60000"/>
    <n v="0"/>
    <n v="60000"/>
    <x v="794"/>
    <s v="Administración"/>
    <m/>
    <m/>
    <m/>
    <m/>
    <m/>
    <m/>
    <m/>
  </r>
  <r>
    <d v="2021-09-30T00:00:00"/>
    <x v="9"/>
    <x v="19"/>
    <x v="19"/>
    <n v="-5000"/>
    <n v="0"/>
    <n v="5000"/>
    <x v="84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1000000"/>
    <n v="1000000"/>
    <n v="0"/>
    <x v="850"/>
    <s v="Administración"/>
    <m/>
    <m/>
    <m/>
    <m/>
    <m/>
    <m/>
    <m/>
  </r>
  <r>
    <d v="2021-09-30T00:00:00"/>
    <x v="9"/>
    <x v="6"/>
    <x v="6"/>
    <n v="-1000000"/>
    <n v="0"/>
    <n v="1000000"/>
    <x v="85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20000"/>
    <n v="20000"/>
    <n v="0"/>
    <x v="851"/>
    <s v="Administración"/>
    <m/>
    <m/>
    <m/>
    <m/>
    <m/>
    <m/>
    <m/>
  </r>
  <r>
    <d v="2021-09-30T00:00:00"/>
    <x v="9"/>
    <x v="24"/>
    <x v="24"/>
    <n v="-20000"/>
    <n v="0"/>
    <n v="20000"/>
    <x v="85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20000"/>
    <n v="20000"/>
    <n v="0"/>
    <x v="852"/>
    <s v="Administración"/>
    <m/>
    <m/>
    <m/>
    <m/>
    <m/>
    <m/>
    <m/>
  </r>
  <r>
    <d v="2021-09-30T00:00:00"/>
    <x v="9"/>
    <x v="19"/>
    <x v="19"/>
    <n v="-20000"/>
    <n v="0"/>
    <n v="20000"/>
    <x v="85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9792"/>
    <n v="9792"/>
    <n v="0"/>
    <x v="344"/>
    <s v="Administración"/>
    <m/>
    <m/>
    <m/>
    <m/>
    <m/>
    <m/>
    <m/>
  </r>
  <r>
    <d v="2021-09-30T00:00:00"/>
    <x v="9"/>
    <x v="20"/>
    <x v="20"/>
    <n v="-9792"/>
    <n v="0"/>
    <n v="9792"/>
    <x v="3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10000"/>
    <n v="10000"/>
    <n v="0"/>
    <x v="315"/>
    <s v="Administración"/>
    <m/>
    <m/>
    <m/>
    <m/>
    <m/>
    <m/>
    <m/>
  </r>
  <r>
    <d v="2021-09-30T00:00:00"/>
    <x v="9"/>
    <x v="20"/>
    <x v="20"/>
    <n v="-10000"/>
    <n v="0"/>
    <n v="10000"/>
    <x v="3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4896"/>
    <n v="4896"/>
    <n v="0"/>
    <x v="853"/>
    <s v="Administración"/>
    <m/>
    <m/>
    <m/>
    <m/>
    <m/>
    <m/>
    <m/>
  </r>
  <r>
    <d v="2021-09-30T00:00:00"/>
    <x v="9"/>
    <x v="19"/>
    <x v="19"/>
    <n v="-4896"/>
    <n v="0"/>
    <n v="4896"/>
    <x v="85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4832"/>
    <n v="4832"/>
    <n v="0"/>
    <x v="344"/>
    <s v="Administración"/>
    <m/>
    <m/>
    <m/>
    <m/>
    <m/>
    <m/>
    <m/>
  </r>
  <r>
    <d v="2021-09-30T00:00:00"/>
    <x v="9"/>
    <x v="20"/>
    <x v="20"/>
    <n v="-4832"/>
    <n v="0"/>
    <n v="4832"/>
    <x v="3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5000"/>
    <n v="5000"/>
    <n v="0"/>
    <x v="389"/>
    <s v="Administración"/>
    <m/>
    <m/>
    <m/>
    <m/>
    <m/>
    <m/>
    <m/>
  </r>
  <r>
    <d v="2021-09-30T00:00:00"/>
    <x v="9"/>
    <x v="19"/>
    <x v="19"/>
    <n v="-5000"/>
    <n v="0"/>
    <n v="5000"/>
    <x v="38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20000"/>
    <n v="20000"/>
    <n v="0"/>
    <x v="161"/>
    <s v="Administración"/>
    <m/>
    <m/>
    <m/>
    <m/>
    <m/>
    <m/>
    <m/>
  </r>
  <r>
    <d v="2021-09-30T00:00:00"/>
    <x v="9"/>
    <x v="19"/>
    <x v="19"/>
    <n v="-20000"/>
    <n v="0"/>
    <n v="20000"/>
    <x v="1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15000"/>
    <n v="15000"/>
    <n v="0"/>
    <x v="854"/>
    <s v="Administración"/>
    <m/>
    <m/>
    <m/>
    <m/>
    <m/>
    <m/>
    <m/>
  </r>
  <r>
    <d v="2021-09-30T00:00:00"/>
    <x v="9"/>
    <x v="19"/>
    <x v="19"/>
    <n v="-15000"/>
    <n v="0"/>
    <n v="15000"/>
    <x v="85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75000"/>
    <n v="75000"/>
    <n v="0"/>
    <x v="407"/>
    <s v="Administración"/>
    <m/>
    <m/>
    <m/>
    <m/>
    <m/>
    <m/>
    <m/>
  </r>
  <r>
    <d v="2021-09-30T00:00:00"/>
    <x v="9"/>
    <x v="42"/>
    <x v="23"/>
    <n v="-75000"/>
    <n v="0"/>
    <n v="75000"/>
    <x v="40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50000"/>
    <n v="50000"/>
    <n v="0"/>
    <x v="163"/>
    <s v="Administración"/>
    <m/>
    <m/>
    <m/>
    <m/>
    <m/>
    <m/>
    <m/>
  </r>
  <r>
    <d v="2021-09-30T00:00:00"/>
    <x v="9"/>
    <x v="19"/>
    <x v="19"/>
    <n v="-50000"/>
    <n v="0"/>
    <n v="50000"/>
    <x v="16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40000"/>
    <n v="40000"/>
    <n v="0"/>
    <x v="643"/>
    <s v="Administración"/>
    <m/>
    <m/>
    <m/>
    <m/>
    <m/>
    <m/>
    <m/>
  </r>
  <r>
    <d v="2021-09-30T00:00:00"/>
    <x v="9"/>
    <x v="6"/>
    <x v="6"/>
    <n v="-40000"/>
    <n v="0"/>
    <n v="40000"/>
    <x v="64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20000"/>
    <n v="20000"/>
    <n v="0"/>
    <x v="162"/>
    <s v="Administración"/>
    <m/>
    <m/>
    <m/>
    <m/>
    <m/>
    <m/>
    <m/>
  </r>
  <r>
    <d v="2021-09-30T00:00:00"/>
    <x v="9"/>
    <x v="19"/>
    <x v="19"/>
    <n v="-20000"/>
    <n v="0"/>
    <n v="20000"/>
    <x v="16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50000"/>
    <n v="50000"/>
    <n v="0"/>
    <x v="12"/>
    <s v="Administración"/>
    <m/>
    <m/>
    <m/>
    <m/>
    <m/>
    <m/>
    <m/>
  </r>
  <r>
    <d v="2021-09-30T00:00:00"/>
    <x v="9"/>
    <x v="6"/>
    <x v="6"/>
    <n v="-50000"/>
    <n v="0"/>
    <n v="50000"/>
    <x v="1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0"/>
    <x v="0"/>
    <n v="40000"/>
    <n v="40000"/>
    <n v="0"/>
    <x v="855"/>
    <s v="Administración"/>
    <m/>
    <m/>
    <m/>
    <m/>
    <m/>
    <m/>
    <m/>
  </r>
  <r>
    <d v="2021-09-30T00:00:00"/>
    <x v="9"/>
    <x v="19"/>
    <x v="19"/>
    <n v="-40000"/>
    <n v="0"/>
    <n v="40000"/>
    <x v="85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09-30T00:00:00"/>
    <x v="9"/>
    <x v="44"/>
    <x v="42"/>
    <n v="430000"/>
    <n v="430000"/>
    <n v="0"/>
    <x v="856"/>
    <s v="Administración"/>
    <m/>
    <m/>
    <m/>
    <m/>
    <m/>
    <m/>
    <m/>
  </r>
  <r>
    <d v="2021-09-30T00:00:00"/>
    <x v="9"/>
    <x v="9"/>
    <x v="9"/>
    <n v="-49450"/>
    <n v="0"/>
    <n v="49450"/>
    <x v="856"/>
    <s v="Administración"/>
    <m/>
    <m/>
    <m/>
    <m/>
    <m/>
    <m/>
    <m/>
  </r>
  <r>
    <d v="2021-09-30T00:00:00"/>
    <x v="9"/>
    <x v="50"/>
    <x v="47"/>
    <n v="-380550"/>
    <n v="0"/>
    <n v="380550"/>
    <x v="85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1T00:00:00"/>
    <x v="10"/>
    <x v="0"/>
    <x v="0"/>
    <n v="10000"/>
    <n v="10000"/>
    <n v="0"/>
    <x v="315"/>
    <s v="Administración"/>
    <m/>
    <m/>
    <m/>
    <m/>
    <m/>
    <m/>
    <m/>
  </r>
  <r>
    <d v="2021-10-01T00:00:00"/>
    <x v="10"/>
    <x v="20"/>
    <x v="20"/>
    <n v="-10000"/>
    <n v="0"/>
    <n v="10000"/>
    <x v="3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1T00:00:00"/>
    <x v="10"/>
    <x v="0"/>
    <x v="0"/>
    <n v="100000"/>
    <n v="100000"/>
    <n v="0"/>
    <x v="84"/>
    <s v="Administración"/>
    <m/>
    <m/>
    <m/>
    <m/>
    <m/>
    <m/>
    <m/>
  </r>
  <r>
    <d v="2021-10-01T00:00:00"/>
    <x v="10"/>
    <x v="19"/>
    <x v="19"/>
    <n v="-100000"/>
    <n v="0"/>
    <n v="100000"/>
    <x v="8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1T00:00:00"/>
    <x v="10"/>
    <x v="0"/>
    <x v="0"/>
    <n v="12000"/>
    <n v="12000"/>
    <n v="0"/>
    <x v="231"/>
    <s v="Administración"/>
    <m/>
    <m/>
    <m/>
    <m/>
    <m/>
    <m/>
    <m/>
  </r>
  <r>
    <d v="2021-10-01T00:00:00"/>
    <x v="10"/>
    <x v="19"/>
    <x v="19"/>
    <n v="-12000"/>
    <n v="0"/>
    <n v="12000"/>
    <x v="23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1T00:00:00"/>
    <x v="10"/>
    <x v="0"/>
    <x v="0"/>
    <n v="14562"/>
    <n v="14562"/>
    <n v="0"/>
    <x v="344"/>
    <s v="Administración"/>
    <m/>
    <m/>
    <m/>
    <m/>
    <m/>
    <m/>
    <m/>
  </r>
  <r>
    <d v="2021-10-01T00:00:00"/>
    <x v="10"/>
    <x v="20"/>
    <x v="20"/>
    <n v="-14562"/>
    <n v="0"/>
    <n v="14562"/>
    <x v="3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1T00:00:00"/>
    <x v="10"/>
    <x v="0"/>
    <x v="0"/>
    <n v="15000"/>
    <n v="15000"/>
    <n v="0"/>
    <x v="85"/>
    <s v="Administración"/>
    <m/>
    <m/>
    <m/>
    <m/>
    <m/>
    <m/>
    <m/>
  </r>
  <r>
    <d v="2021-10-01T00:00:00"/>
    <x v="10"/>
    <x v="19"/>
    <x v="19"/>
    <n v="-15000"/>
    <n v="0"/>
    <n v="15000"/>
    <x v="8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1T00:00:00"/>
    <x v="10"/>
    <x v="0"/>
    <x v="0"/>
    <n v="10000"/>
    <n v="10000"/>
    <n v="0"/>
    <x v="651"/>
    <s v="Administración"/>
    <m/>
    <m/>
    <m/>
    <m/>
    <m/>
    <m/>
    <m/>
  </r>
  <r>
    <d v="2021-10-01T00:00:00"/>
    <x v="10"/>
    <x v="20"/>
    <x v="20"/>
    <n v="-10000"/>
    <n v="0"/>
    <n v="10000"/>
    <x v="65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10000"/>
    <n v="10000"/>
    <n v="0"/>
    <x v="285"/>
    <s v="Administración"/>
    <m/>
    <m/>
    <m/>
    <m/>
    <m/>
    <m/>
    <m/>
  </r>
  <r>
    <d v="2021-10-04T00:00:00"/>
    <x v="10"/>
    <x v="19"/>
    <x v="19"/>
    <n v="-10000"/>
    <n v="0"/>
    <n v="10000"/>
    <x v="28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50000"/>
    <n v="50000"/>
    <n v="0"/>
    <x v="198"/>
    <s v="Administración"/>
    <m/>
    <m/>
    <m/>
    <m/>
    <m/>
    <m/>
    <m/>
  </r>
  <r>
    <d v="2021-10-04T00:00:00"/>
    <x v="10"/>
    <x v="19"/>
    <x v="19"/>
    <n v="-50000"/>
    <n v="0"/>
    <n v="50000"/>
    <x v="19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35000"/>
    <n v="35000"/>
    <n v="0"/>
    <x v="396"/>
    <s v="Administración"/>
    <m/>
    <m/>
    <m/>
    <m/>
    <m/>
    <m/>
    <m/>
  </r>
  <r>
    <d v="2021-10-04T00:00:00"/>
    <x v="10"/>
    <x v="21"/>
    <x v="21"/>
    <n v="-35000"/>
    <n v="0"/>
    <n v="35000"/>
    <x v="3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70000"/>
    <n v="70000"/>
    <n v="0"/>
    <x v="91"/>
    <s v="Administración"/>
    <m/>
    <m/>
    <m/>
    <m/>
    <m/>
    <m/>
    <m/>
  </r>
  <r>
    <d v="2021-10-04T00:00:00"/>
    <x v="10"/>
    <x v="21"/>
    <x v="21"/>
    <n v="-70000"/>
    <n v="0"/>
    <n v="70000"/>
    <x v="9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100000"/>
    <n v="100000"/>
    <n v="0"/>
    <x v="90"/>
    <s v="Administración"/>
    <m/>
    <m/>
    <m/>
    <m/>
    <m/>
    <m/>
    <m/>
  </r>
  <r>
    <d v="2021-10-04T00:00:00"/>
    <x v="10"/>
    <x v="19"/>
    <x v="19"/>
    <n v="-100000"/>
    <n v="0"/>
    <n v="100000"/>
    <x v="9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15000"/>
    <n v="15000"/>
    <n v="0"/>
    <x v="8"/>
    <s v="Administración"/>
    <m/>
    <m/>
    <m/>
    <m/>
    <m/>
    <m/>
    <m/>
  </r>
  <r>
    <d v="2021-10-04T00:00:00"/>
    <x v="10"/>
    <x v="6"/>
    <x v="6"/>
    <n v="-15000"/>
    <n v="0"/>
    <n v="15000"/>
    <x v="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15000"/>
    <n v="15000"/>
    <n v="0"/>
    <x v="86"/>
    <s v="Administración"/>
    <m/>
    <m/>
    <m/>
    <m/>
    <m/>
    <m/>
    <m/>
  </r>
  <r>
    <d v="2021-10-04T00:00:00"/>
    <x v="10"/>
    <x v="19"/>
    <x v="19"/>
    <n v="-15000"/>
    <n v="0"/>
    <n v="15000"/>
    <x v="8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8500"/>
    <n v="8500"/>
    <n v="0"/>
    <x v="857"/>
    <s v="Administración"/>
    <m/>
    <m/>
    <m/>
    <m/>
    <m/>
    <m/>
    <m/>
  </r>
  <r>
    <d v="2021-10-04T00:00:00"/>
    <x v="10"/>
    <x v="6"/>
    <x v="6"/>
    <n v="-8500"/>
    <n v="0"/>
    <n v="8500"/>
    <x v="85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30000"/>
    <n v="30000"/>
    <n v="0"/>
    <x v="655"/>
    <s v="Administración"/>
    <m/>
    <m/>
    <m/>
    <m/>
    <m/>
    <m/>
    <m/>
  </r>
  <r>
    <d v="2021-10-04T00:00:00"/>
    <x v="10"/>
    <x v="6"/>
    <x v="6"/>
    <n v="-30000"/>
    <n v="0"/>
    <n v="30000"/>
    <x v="65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10000"/>
    <n v="10000"/>
    <n v="0"/>
    <x v="78"/>
    <s v="Administración"/>
    <m/>
    <m/>
    <m/>
    <m/>
    <m/>
    <m/>
    <m/>
  </r>
  <r>
    <d v="2021-10-04T00:00:00"/>
    <x v="10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25000"/>
    <n v="25000"/>
    <n v="0"/>
    <x v="752"/>
    <s v="Administración"/>
    <m/>
    <m/>
    <m/>
    <m/>
    <m/>
    <m/>
    <m/>
  </r>
  <r>
    <d v="2021-10-04T00:00:00"/>
    <x v="10"/>
    <x v="42"/>
    <x v="23"/>
    <n v="-25000"/>
    <n v="0"/>
    <n v="25000"/>
    <x v="75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95000"/>
    <n v="95000"/>
    <n v="0"/>
    <x v="466"/>
    <s v="Administración"/>
    <m/>
    <m/>
    <m/>
    <m/>
    <m/>
    <m/>
    <m/>
  </r>
  <r>
    <d v="2021-10-04T00:00:00"/>
    <x v="10"/>
    <x v="6"/>
    <x v="6"/>
    <n v="-95000"/>
    <n v="0"/>
    <n v="95000"/>
    <x v="46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10000"/>
    <n v="10000"/>
    <n v="0"/>
    <x v="858"/>
    <s v="Administración"/>
    <m/>
    <m/>
    <m/>
    <m/>
    <m/>
    <m/>
    <m/>
  </r>
  <r>
    <d v="2021-10-04T00:00:00"/>
    <x v="10"/>
    <x v="19"/>
    <x v="19"/>
    <n v="-10000"/>
    <n v="0"/>
    <n v="10000"/>
    <x v="85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20000"/>
    <n v="20000"/>
    <n v="0"/>
    <x v="859"/>
    <s v="Administración"/>
    <m/>
    <m/>
    <m/>
    <m/>
    <m/>
    <m/>
    <m/>
  </r>
  <r>
    <d v="2021-10-04T00:00:00"/>
    <x v="10"/>
    <x v="19"/>
    <x v="19"/>
    <n v="-20000"/>
    <n v="0"/>
    <n v="20000"/>
    <x v="85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2000"/>
    <n v="2000"/>
    <n v="0"/>
    <x v="283"/>
    <s v="Administración"/>
    <m/>
    <m/>
    <m/>
    <m/>
    <m/>
    <m/>
    <m/>
  </r>
  <r>
    <d v="2021-10-04T00:00:00"/>
    <x v="10"/>
    <x v="19"/>
    <x v="19"/>
    <n v="-2000"/>
    <n v="0"/>
    <n v="2000"/>
    <x v="2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15000"/>
    <n v="15000"/>
    <n v="0"/>
    <x v="860"/>
    <s v="Administración"/>
    <m/>
    <m/>
    <m/>
    <m/>
    <m/>
    <m/>
    <m/>
  </r>
  <r>
    <d v="2021-10-04T00:00:00"/>
    <x v="10"/>
    <x v="30"/>
    <x v="30"/>
    <n v="-15000"/>
    <n v="0"/>
    <n v="15000"/>
    <x v="86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4T00:00:00"/>
    <x v="10"/>
    <x v="0"/>
    <x v="0"/>
    <n v="817500"/>
    <n v="817500"/>
    <n v="0"/>
    <x v="861"/>
    <s v="Administración"/>
    <m/>
    <m/>
    <m/>
    <m/>
    <m/>
    <m/>
    <m/>
  </r>
  <r>
    <d v="2021-10-04T00:00:00"/>
    <x v="10"/>
    <x v="19"/>
    <x v="19"/>
    <n v="-817500"/>
    <n v="0"/>
    <n v="81750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5T00:00:00"/>
    <x v="10"/>
    <x v="0"/>
    <x v="0"/>
    <n v="20000"/>
    <n v="20000"/>
    <n v="0"/>
    <x v="339"/>
    <s v="Administración"/>
    <m/>
    <m/>
    <m/>
    <m/>
    <m/>
    <m/>
    <m/>
  </r>
  <r>
    <d v="2021-10-05T00:00:00"/>
    <x v="10"/>
    <x v="19"/>
    <x v="19"/>
    <n v="-20000"/>
    <n v="0"/>
    <n v="20000"/>
    <x v="33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5T00:00:00"/>
    <x v="10"/>
    <x v="0"/>
    <x v="0"/>
    <n v="25000"/>
    <n v="25000"/>
    <n v="0"/>
    <x v="812"/>
    <s v="Administración"/>
    <m/>
    <m/>
    <m/>
    <m/>
    <m/>
    <m/>
    <m/>
  </r>
  <r>
    <d v="2021-10-05T00:00:00"/>
    <x v="10"/>
    <x v="19"/>
    <x v="19"/>
    <n v="-25000"/>
    <n v="0"/>
    <n v="25000"/>
    <x v="81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5T00:00:00"/>
    <x v="10"/>
    <x v="0"/>
    <x v="0"/>
    <n v="20000"/>
    <n v="20000"/>
    <n v="0"/>
    <x v="297"/>
    <s v="Administración"/>
    <m/>
    <m/>
    <m/>
    <m/>
    <m/>
    <m/>
    <m/>
  </r>
  <r>
    <d v="2021-10-05T00:00:00"/>
    <x v="10"/>
    <x v="6"/>
    <x v="6"/>
    <n v="-20000"/>
    <n v="0"/>
    <n v="20000"/>
    <x v="29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5T00:00:00"/>
    <x v="10"/>
    <x v="38"/>
    <x v="37"/>
    <n v="12499"/>
    <n v="12499"/>
    <n v="0"/>
    <x v="464"/>
    <s v="Administración"/>
    <m/>
    <m/>
    <m/>
    <m/>
    <m/>
    <m/>
    <m/>
  </r>
  <r>
    <d v="2021-10-05T00:00:00"/>
    <x v="10"/>
    <x v="0"/>
    <x v="0"/>
    <n v="-12499"/>
    <n v="0"/>
    <n v="12499"/>
    <x v="46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5T00:00:00"/>
    <x v="10"/>
    <x v="25"/>
    <x v="25"/>
    <n v="821027"/>
    <n v="821027"/>
    <n v="0"/>
    <x v="862"/>
    <s v="Administración"/>
    <m/>
    <m/>
    <m/>
    <m/>
    <m/>
    <m/>
    <m/>
  </r>
  <r>
    <d v="2021-10-05T00:00:00"/>
    <x v="10"/>
    <x v="0"/>
    <x v="0"/>
    <n v="-821027"/>
    <n v="0"/>
    <n v="821027"/>
    <x v="86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5T00:00:00"/>
    <x v="10"/>
    <x v="51"/>
    <x v="48"/>
    <n v="30900"/>
    <n v="30900"/>
    <n v="0"/>
    <x v="863"/>
    <s v="Administración"/>
    <m/>
    <m/>
    <m/>
    <m/>
    <m/>
    <m/>
    <m/>
  </r>
  <r>
    <d v="2021-10-05T00:00:00"/>
    <x v="10"/>
    <x v="0"/>
    <x v="0"/>
    <n v="-30900"/>
    <n v="0"/>
    <n v="30900"/>
    <x v="86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5T00:00:00"/>
    <x v="10"/>
    <x v="52"/>
    <x v="49"/>
    <n v="35000"/>
    <n v="35000"/>
    <n v="0"/>
    <x v="864"/>
    <s v="Administración"/>
    <m/>
    <m/>
    <m/>
    <m/>
    <m/>
    <m/>
    <m/>
  </r>
  <r>
    <d v="2021-10-05T00:00:00"/>
    <x v="10"/>
    <x v="0"/>
    <x v="0"/>
    <n v="-35000"/>
    <n v="0"/>
    <n v="35000"/>
    <x v="86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5T00:00:00"/>
    <x v="10"/>
    <x v="50"/>
    <x v="47"/>
    <n v="380550"/>
    <n v="380550"/>
    <n v="0"/>
    <x v="856"/>
    <s v="Administración"/>
    <m/>
    <m/>
    <m/>
    <m/>
    <m/>
    <m/>
    <m/>
  </r>
  <r>
    <d v="2021-10-05T00:00:00"/>
    <x v="10"/>
    <x v="0"/>
    <x v="0"/>
    <n v="-380550"/>
    <n v="0"/>
    <n v="380550"/>
    <x v="85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5T00:00:00"/>
    <x v="10"/>
    <x v="9"/>
    <x v="9"/>
    <n v="134117"/>
    <n v="134117"/>
    <n v="0"/>
    <x v="865"/>
    <s v="Administración"/>
    <m/>
    <m/>
    <m/>
    <m/>
    <m/>
    <m/>
    <m/>
  </r>
  <r>
    <d v="2021-10-05T00:00:00"/>
    <x v="10"/>
    <x v="0"/>
    <x v="0"/>
    <n v="-181408"/>
    <n v="0"/>
    <n v="181408"/>
    <x v="865"/>
    <s v="Administración"/>
    <m/>
    <m/>
    <m/>
    <m/>
    <m/>
    <m/>
    <m/>
  </r>
  <r>
    <d v="2021-10-05T00:00:00"/>
    <x v="10"/>
    <x v="6"/>
    <x v="6"/>
    <n v="47291"/>
    <n v="47291"/>
    <n v="0"/>
    <x v="86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5T00:00:00"/>
    <x v="10"/>
    <x v="10"/>
    <x v="10"/>
    <n v="414429"/>
    <n v="414429"/>
    <n v="0"/>
    <x v="581"/>
    <s v="Administración"/>
    <m/>
    <m/>
    <m/>
    <m/>
    <m/>
    <m/>
    <m/>
  </r>
  <r>
    <d v="2021-10-05T00:00:00"/>
    <x v="10"/>
    <x v="0"/>
    <x v="0"/>
    <n v="-414429"/>
    <n v="0"/>
    <n v="414429"/>
    <x v="58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5T00:00:00"/>
    <x v="10"/>
    <x v="10"/>
    <x v="10"/>
    <n v="177822"/>
    <n v="177822"/>
    <n v="0"/>
    <x v="582"/>
    <s v="Administración"/>
    <m/>
    <m/>
    <m/>
    <m/>
    <m/>
    <m/>
    <m/>
  </r>
  <r>
    <d v="2021-10-05T00:00:00"/>
    <x v="10"/>
    <x v="0"/>
    <x v="0"/>
    <n v="-177822"/>
    <n v="0"/>
    <n v="177822"/>
    <x v="58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6T00:00:00"/>
    <x v="10"/>
    <x v="0"/>
    <x v="0"/>
    <n v="25000"/>
    <n v="25000"/>
    <n v="0"/>
    <x v="457"/>
    <s v="Administración"/>
    <m/>
    <m/>
    <m/>
    <m/>
    <m/>
    <m/>
    <m/>
  </r>
  <r>
    <d v="2021-10-06T00:00:00"/>
    <x v="10"/>
    <x v="42"/>
    <x v="23"/>
    <n v="-25000"/>
    <n v="0"/>
    <n v="25000"/>
    <x v="45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6T00:00:00"/>
    <x v="10"/>
    <x v="0"/>
    <x v="0"/>
    <n v="20000"/>
    <n v="20000"/>
    <n v="0"/>
    <x v="113"/>
    <s v="Administración"/>
    <m/>
    <m/>
    <m/>
    <m/>
    <m/>
    <m/>
    <m/>
  </r>
  <r>
    <d v="2021-10-06T00:00:00"/>
    <x v="10"/>
    <x v="19"/>
    <x v="19"/>
    <n v="-20000"/>
    <n v="0"/>
    <n v="20000"/>
    <x v="11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6T00:00:00"/>
    <x v="10"/>
    <x v="0"/>
    <x v="0"/>
    <n v="10000"/>
    <n v="10000"/>
    <n v="0"/>
    <x v="272"/>
    <s v="Administración"/>
    <m/>
    <m/>
    <m/>
    <m/>
    <m/>
    <m/>
    <m/>
  </r>
  <r>
    <d v="2021-10-06T00:00:00"/>
    <x v="10"/>
    <x v="19"/>
    <x v="19"/>
    <n v="-10000"/>
    <n v="0"/>
    <n v="10000"/>
    <x v="2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6T00:00:00"/>
    <x v="10"/>
    <x v="0"/>
    <x v="0"/>
    <n v="21000"/>
    <n v="21000"/>
    <n v="0"/>
    <x v="749"/>
    <s v="Administración"/>
    <m/>
    <m/>
    <m/>
    <m/>
    <m/>
    <m/>
    <m/>
  </r>
  <r>
    <d v="2021-10-06T00:00:00"/>
    <x v="10"/>
    <x v="6"/>
    <x v="6"/>
    <n v="-21000"/>
    <n v="0"/>
    <n v="21000"/>
    <x v="74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6T00:00:00"/>
    <x v="10"/>
    <x v="0"/>
    <x v="0"/>
    <n v="20000"/>
    <n v="20000"/>
    <n v="0"/>
    <x v="866"/>
    <s v="Administración"/>
    <m/>
    <m/>
    <m/>
    <m/>
    <m/>
    <m/>
    <m/>
  </r>
  <r>
    <d v="2021-10-06T00:00:00"/>
    <x v="10"/>
    <x v="24"/>
    <x v="24"/>
    <n v="-20000"/>
    <n v="0"/>
    <n v="20000"/>
    <x v="86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6T00:00:00"/>
    <x v="10"/>
    <x v="0"/>
    <x v="0"/>
    <n v="10000"/>
    <n v="10000"/>
    <n v="0"/>
    <x v="279"/>
    <s v="Administración"/>
    <m/>
    <m/>
    <m/>
    <m/>
    <m/>
    <m/>
    <m/>
  </r>
  <r>
    <d v="2021-10-06T00:00:00"/>
    <x v="10"/>
    <x v="19"/>
    <x v="19"/>
    <n v="-10000"/>
    <n v="0"/>
    <n v="10000"/>
    <x v="27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7T00:00:00"/>
    <x v="10"/>
    <x v="0"/>
    <x v="0"/>
    <n v="120000"/>
    <n v="120000"/>
    <n v="0"/>
    <x v="497"/>
    <s v="Administración"/>
    <m/>
    <m/>
    <m/>
    <m/>
    <m/>
    <m/>
    <m/>
  </r>
  <r>
    <d v="2021-10-07T00:00:00"/>
    <x v="10"/>
    <x v="19"/>
    <x v="19"/>
    <n v="-120000"/>
    <n v="0"/>
    <n v="120000"/>
    <x v="49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7T00:00:00"/>
    <x v="10"/>
    <x v="0"/>
    <x v="0"/>
    <n v="20000"/>
    <n v="20000"/>
    <n v="0"/>
    <x v="105"/>
    <s v="Administración"/>
    <m/>
    <m/>
    <m/>
    <m/>
    <m/>
    <m/>
    <m/>
  </r>
  <r>
    <d v="2021-10-07T00:00:00"/>
    <x v="10"/>
    <x v="19"/>
    <x v="19"/>
    <n v="-20000"/>
    <n v="0"/>
    <n v="20000"/>
    <x v="10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7T00:00:00"/>
    <x v="10"/>
    <x v="0"/>
    <x v="0"/>
    <n v="10000"/>
    <n v="10000"/>
    <n v="0"/>
    <x v="670"/>
    <s v="Administración"/>
    <m/>
    <m/>
    <m/>
    <m/>
    <m/>
    <m/>
    <m/>
  </r>
  <r>
    <d v="2021-10-07T00:00:00"/>
    <x v="10"/>
    <x v="19"/>
    <x v="19"/>
    <n v="-10000"/>
    <n v="0"/>
    <n v="10000"/>
    <x v="67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7T00:00:00"/>
    <x v="10"/>
    <x v="0"/>
    <x v="0"/>
    <n v="5000"/>
    <n v="5000"/>
    <n v="0"/>
    <x v="384"/>
    <s v="Administración"/>
    <m/>
    <m/>
    <m/>
    <m/>
    <m/>
    <m/>
    <m/>
  </r>
  <r>
    <d v="2021-10-07T00:00:00"/>
    <x v="10"/>
    <x v="19"/>
    <x v="19"/>
    <n v="-5000"/>
    <n v="0"/>
    <n v="5000"/>
    <x v="38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7T00:00:00"/>
    <x v="10"/>
    <x v="0"/>
    <x v="0"/>
    <n v="40000"/>
    <n v="40000"/>
    <n v="0"/>
    <x v="810"/>
    <s v="Administración"/>
    <m/>
    <m/>
    <m/>
    <m/>
    <m/>
    <m/>
    <m/>
  </r>
  <r>
    <d v="2021-10-07T00:00:00"/>
    <x v="10"/>
    <x v="19"/>
    <x v="19"/>
    <n v="-40000"/>
    <n v="0"/>
    <n v="40000"/>
    <x v="81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7T00:00:00"/>
    <x v="10"/>
    <x v="0"/>
    <x v="0"/>
    <n v="25000"/>
    <n v="25000"/>
    <n v="0"/>
    <x v="268"/>
    <s v="Administración"/>
    <m/>
    <m/>
    <m/>
    <m/>
    <m/>
    <m/>
    <m/>
  </r>
  <r>
    <d v="2021-10-07T00:00:00"/>
    <x v="10"/>
    <x v="42"/>
    <x v="23"/>
    <n v="-25000"/>
    <n v="0"/>
    <n v="25000"/>
    <x v="26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7T00:00:00"/>
    <x v="10"/>
    <x v="0"/>
    <x v="0"/>
    <n v="15000"/>
    <n v="15000"/>
    <n v="0"/>
    <x v="323"/>
    <s v="Administración"/>
    <m/>
    <m/>
    <m/>
    <m/>
    <m/>
    <m/>
    <m/>
  </r>
  <r>
    <d v="2021-10-07T00:00:00"/>
    <x v="10"/>
    <x v="19"/>
    <x v="19"/>
    <n v="-15000"/>
    <n v="0"/>
    <n v="15000"/>
    <x v="32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7T00:00:00"/>
    <x v="10"/>
    <x v="0"/>
    <x v="0"/>
    <n v="30000"/>
    <n v="30000"/>
    <n v="0"/>
    <x v="18"/>
    <s v="Administración"/>
    <m/>
    <m/>
    <m/>
    <m/>
    <m/>
    <m/>
    <m/>
  </r>
  <r>
    <d v="2021-10-07T00:00:00"/>
    <x v="10"/>
    <x v="6"/>
    <x v="6"/>
    <n v="-30000"/>
    <n v="0"/>
    <n v="30000"/>
    <x v="1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7T00:00:00"/>
    <x v="10"/>
    <x v="23"/>
    <x v="23"/>
    <n v="1074"/>
    <n v="1074"/>
    <n v="0"/>
    <x v="208"/>
    <s v="Administración"/>
    <m/>
    <m/>
    <m/>
    <m/>
    <m/>
    <m/>
    <m/>
  </r>
  <r>
    <d v="2021-10-07T00:00:00"/>
    <x v="10"/>
    <x v="0"/>
    <x v="0"/>
    <n v="-1074"/>
    <n v="0"/>
    <n v="1074"/>
    <x v="20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7T00:00:00"/>
    <x v="10"/>
    <x v="23"/>
    <x v="23"/>
    <n v="3581"/>
    <n v="3581"/>
    <n v="0"/>
    <x v="208"/>
    <s v="Administración"/>
    <m/>
    <m/>
    <m/>
    <m/>
    <m/>
    <m/>
    <m/>
  </r>
  <r>
    <d v="2021-10-07T00:00:00"/>
    <x v="10"/>
    <x v="0"/>
    <x v="0"/>
    <n v="-3581"/>
    <n v="0"/>
    <n v="3581"/>
    <x v="20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8T00:00:00"/>
    <x v="10"/>
    <x v="0"/>
    <x v="0"/>
    <n v="5000"/>
    <n v="5000"/>
    <n v="0"/>
    <x v="217"/>
    <s v="Administración"/>
    <m/>
    <m/>
    <m/>
    <m/>
    <m/>
    <m/>
    <m/>
  </r>
  <r>
    <d v="2021-10-08T00:00:00"/>
    <x v="10"/>
    <x v="19"/>
    <x v="19"/>
    <n v="-5000"/>
    <n v="0"/>
    <n v="5000"/>
    <x v="21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8T00:00:00"/>
    <x v="10"/>
    <x v="0"/>
    <x v="0"/>
    <n v="25000"/>
    <n v="25000"/>
    <n v="0"/>
    <x v="437"/>
    <s v="Administración"/>
    <m/>
    <m/>
    <m/>
    <m/>
    <m/>
    <m/>
    <m/>
  </r>
  <r>
    <d v="2021-10-08T00:00:00"/>
    <x v="10"/>
    <x v="42"/>
    <x v="23"/>
    <n v="-25000"/>
    <n v="0"/>
    <n v="25000"/>
    <x v="43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8T00:00:00"/>
    <x v="10"/>
    <x v="0"/>
    <x v="0"/>
    <n v="50000"/>
    <n v="50000"/>
    <n v="0"/>
    <x v="799"/>
    <s v="Administración"/>
    <m/>
    <m/>
    <m/>
    <m/>
    <m/>
    <m/>
    <m/>
  </r>
  <r>
    <d v="2021-10-08T00:00:00"/>
    <x v="10"/>
    <x v="19"/>
    <x v="19"/>
    <n v="-50000"/>
    <n v="0"/>
    <n v="50000"/>
    <x v="79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8T00:00:00"/>
    <x v="10"/>
    <x v="0"/>
    <x v="0"/>
    <n v="50000"/>
    <n v="50000"/>
    <n v="0"/>
    <x v="25"/>
    <s v="Administración"/>
    <m/>
    <m/>
    <m/>
    <m/>
    <m/>
    <m/>
    <m/>
  </r>
  <r>
    <d v="2021-10-08T00:00:00"/>
    <x v="10"/>
    <x v="6"/>
    <x v="6"/>
    <n v="-50000"/>
    <n v="0"/>
    <n v="50000"/>
    <x v="2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08T00:00:00"/>
    <x v="10"/>
    <x v="0"/>
    <x v="0"/>
    <n v="30000"/>
    <n v="30000"/>
    <n v="0"/>
    <x v="32"/>
    <s v="Administración"/>
    <m/>
    <m/>
    <m/>
    <m/>
    <m/>
    <m/>
    <m/>
  </r>
  <r>
    <d v="2021-10-08T00:00:00"/>
    <x v="10"/>
    <x v="6"/>
    <x v="6"/>
    <n v="-30000"/>
    <n v="0"/>
    <n v="30000"/>
    <x v="3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2T00:00:00"/>
    <x v="10"/>
    <x v="26"/>
    <x v="26"/>
    <n v="13507"/>
    <n v="13507"/>
    <n v="0"/>
    <x v="23"/>
    <s v="Administración"/>
    <m/>
    <m/>
    <m/>
    <m/>
    <m/>
    <m/>
    <m/>
  </r>
  <r>
    <d v="2021-10-12T00:00:00"/>
    <x v="10"/>
    <x v="0"/>
    <x v="0"/>
    <n v="-13507"/>
    <n v="0"/>
    <n v="13507"/>
    <x v="2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2T00:00:00"/>
    <x v="10"/>
    <x v="27"/>
    <x v="27"/>
    <n v="35956"/>
    <n v="35956"/>
    <n v="0"/>
    <x v="491"/>
    <s v="Administración"/>
    <m/>
    <m/>
    <m/>
    <m/>
    <m/>
    <m/>
    <m/>
  </r>
  <r>
    <d v="2021-10-12T00:00:00"/>
    <x v="10"/>
    <x v="0"/>
    <x v="0"/>
    <n v="-35956"/>
    <n v="0"/>
    <n v="35956"/>
    <x v="49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2T00:00:00"/>
    <x v="10"/>
    <x v="0"/>
    <x v="0"/>
    <n v="10000"/>
    <n v="10000"/>
    <n v="0"/>
    <x v="322"/>
    <s v="Administración"/>
    <m/>
    <m/>
    <m/>
    <m/>
    <m/>
    <m/>
    <m/>
  </r>
  <r>
    <d v="2021-10-12T00:00:00"/>
    <x v="10"/>
    <x v="20"/>
    <x v="20"/>
    <n v="-10000"/>
    <n v="0"/>
    <n v="10000"/>
    <x v="32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2T00:00:00"/>
    <x v="10"/>
    <x v="0"/>
    <x v="0"/>
    <n v="10000"/>
    <n v="10000"/>
    <n v="0"/>
    <x v="78"/>
    <s v="Administración"/>
    <m/>
    <m/>
    <m/>
    <m/>
    <m/>
    <m/>
    <m/>
  </r>
  <r>
    <d v="2021-10-12T00:00:00"/>
    <x v="10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2T00:00:00"/>
    <x v="10"/>
    <x v="0"/>
    <x v="0"/>
    <n v="15000"/>
    <n v="15000"/>
    <n v="0"/>
    <x v="867"/>
    <s v="Administración"/>
    <m/>
    <m/>
    <m/>
    <m/>
    <m/>
    <m/>
    <m/>
  </r>
  <r>
    <d v="2021-10-12T00:00:00"/>
    <x v="10"/>
    <x v="19"/>
    <x v="19"/>
    <n v="-15000"/>
    <n v="0"/>
    <n v="15000"/>
    <x v="86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2T00:00:00"/>
    <x v="10"/>
    <x v="0"/>
    <x v="0"/>
    <n v="8000"/>
    <n v="8000"/>
    <n v="0"/>
    <x v="167"/>
    <s v="Administración"/>
    <m/>
    <m/>
    <m/>
    <m/>
    <m/>
    <m/>
    <m/>
  </r>
  <r>
    <d v="2021-10-12T00:00:00"/>
    <x v="10"/>
    <x v="19"/>
    <x v="19"/>
    <n v="-8000"/>
    <n v="0"/>
    <n v="8000"/>
    <x v="16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2T00:00:00"/>
    <x v="10"/>
    <x v="0"/>
    <x v="0"/>
    <n v="10000"/>
    <n v="10000"/>
    <n v="0"/>
    <x v="76"/>
    <s v="Administración"/>
    <m/>
    <m/>
    <m/>
    <m/>
    <m/>
    <m/>
    <m/>
  </r>
  <r>
    <d v="2021-10-12T00:00:00"/>
    <x v="10"/>
    <x v="19"/>
    <x v="19"/>
    <n v="-10000"/>
    <n v="0"/>
    <n v="10000"/>
    <x v="7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2T00:00:00"/>
    <x v="10"/>
    <x v="0"/>
    <x v="0"/>
    <n v="2000"/>
    <n v="2000"/>
    <n v="0"/>
    <x v="283"/>
    <s v="Administración"/>
    <m/>
    <m/>
    <m/>
    <m/>
    <m/>
    <m/>
    <m/>
  </r>
  <r>
    <d v="2021-10-12T00:00:00"/>
    <x v="10"/>
    <x v="19"/>
    <x v="19"/>
    <n v="-2000"/>
    <n v="0"/>
    <n v="2000"/>
    <x v="2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2T00:00:00"/>
    <x v="10"/>
    <x v="0"/>
    <x v="0"/>
    <n v="10000"/>
    <n v="10000"/>
    <n v="0"/>
    <x v="868"/>
    <s v="Administración"/>
    <m/>
    <m/>
    <m/>
    <m/>
    <m/>
    <m/>
    <m/>
  </r>
  <r>
    <d v="2021-10-12T00:00:00"/>
    <x v="10"/>
    <x v="20"/>
    <x v="20"/>
    <n v="-10000"/>
    <n v="0"/>
    <n v="10000"/>
    <x v="86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2T00:00:00"/>
    <x v="10"/>
    <x v="0"/>
    <x v="0"/>
    <n v="20000"/>
    <n v="20000"/>
    <n v="0"/>
    <x v="196"/>
    <s v="Administración"/>
    <m/>
    <m/>
    <m/>
    <m/>
    <m/>
    <m/>
    <m/>
  </r>
  <r>
    <d v="2021-10-12T00:00:00"/>
    <x v="10"/>
    <x v="19"/>
    <x v="19"/>
    <n v="-20000"/>
    <n v="0"/>
    <n v="20000"/>
    <x v="1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2T00:00:00"/>
    <x v="10"/>
    <x v="0"/>
    <x v="0"/>
    <n v="520710"/>
    <n v="520710"/>
    <n v="0"/>
    <x v="861"/>
    <s v="Administración"/>
    <m/>
    <m/>
    <m/>
    <m/>
    <m/>
    <m/>
    <m/>
  </r>
  <r>
    <d v="2021-10-12T00:00:00"/>
    <x v="10"/>
    <x v="19"/>
    <x v="19"/>
    <n v="-520710"/>
    <n v="0"/>
    <n v="52071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3T00:00:00"/>
    <x v="10"/>
    <x v="0"/>
    <x v="0"/>
    <n v="30000"/>
    <n v="30000"/>
    <n v="0"/>
    <x v="152"/>
    <s v="Administración"/>
    <m/>
    <m/>
    <m/>
    <m/>
    <m/>
    <m/>
    <m/>
  </r>
  <r>
    <d v="2021-10-13T00:00:00"/>
    <x v="10"/>
    <x v="19"/>
    <x v="19"/>
    <n v="-30000"/>
    <n v="0"/>
    <n v="30000"/>
    <x v="15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3T00:00:00"/>
    <x v="10"/>
    <x v="0"/>
    <x v="0"/>
    <n v="24161"/>
    <n v="24161"/>
    <n v="0"/>
    <x v="96"/>
    <s v="Administración"/>
    <m/>
    <m/>
    <m/>
    <m/>
    <m/>
    <m/>
    <m/>
  </r>
  <r>
    <d v="2021-10-13T00:00:00"/>
    <x v="10"/>
    <x v="19"/>
    <x v="19"/>
    <n v="-24161"/>
    <n v="0"/>
    <n v="24161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3T00:00:00"/>
    <x v="10"/>
    <x v="23"/>
    <x v="23"/>
    <n v="16645"/>
    <n v="16645"/>
    <n v="0"/>
    <x v="853"/>
    <s v="Administración"/>
    <m/>
    <m/>
    <m/>
    <m/>
    <m/>
    <m/>
    <m/>
  </r>
  <r>
    <d v="2021-10-13T00:00:00"/>
    <x v="10"/>
    <x v="0"/>
    <x v="0"/>
    <n v="-16645"/>
    <n v="0"/>
    <n v="16645"/>
    <x v="85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3T00:00:00"/>
    <x v="10"/>
    <x v="0"/>
    <x v="0"/>
    <n v="20000"/>
    <n v="20000"/>
    <n v="0"/>
    <x v="869"/>
    <s v="Administración"/>
    <m/>
    <m/>
    <m/>
    <m/>
    <m/>
    <m/>
    <m/>
  </r>
  <r>
    <d v="2021-10-13T00:00:00"/>
    <x v="10"/>
    <x v="24"/>
    <x v="24"/>
    <n v="-20000"/>
    <n v="0"/>
    <n v="20000"/>
    <x v="86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3T00:00:00"/>
    <x v="10"/>
    <x v="0"/>
    <x v="0"/>
    <n v="15000"/>
    <n v="15000"/>
    <n v="0"/>
    <x v="869"/>
    <s v="Administración"/>
    <m/>
    <m/>
    <m/>
    <m/>
    <m/>
    <m/>
    <m/>
  </r>
  <r>
    <d v="2021-10-13T00:00:00"/>
    <x v="10"/>
    <x v="19"/>
    <x v="19"/>
    <n v="-15000"/>
    <n v="0"/>
    <n v="15000"/>
    <x v="86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4T00:00:00"/>
    <x v="10"/>
    <x v="0"/>
    <x v="0"/>
    <n v="4901"/>
    <n v="4901"/>
    <n v="0"/>
    <x v="344"/>
    <s v="Administración"/>
    <m/>
    <m/>
    <m/>
    <m/>
    <m/>
    <m/>
    <m/>
  </r>
  <r>
    <d v="2021-10-14T00:00:00"/>
    <x v="10"/>
    <x v="20"/>
    <x v="20"/>
    <n v="-4901"/>
    <n v="0"/>
    <n v="4901"/>
    <x v="3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4T00:00:00"/>
    <x v="10"/>
    <x v="0"/>
    <x v="0"/>
    <n v="75000"/>
    <n v="75000"/>
    <n v="0"/>
    <x v="575"/>
    <s v="Administración"/>
    <m/>
    <m/>
    <m/>
    <m/>
    <m/>
    <m/>
    <m/>
  </r>
  <r>
    <d v="2021-10-14T00:00:00"/>
    <x v="10"/>
    <x v="42"/>
    <x v="23"/>
    <n v="-75000"/>
    <n v="0"/>
    <n v="75000"/>
    <x v="57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5T00:00:00"/>
    <x v="10"/>
    <x v="27"/>
    <x v="27"/>
    <n v="20990"/>
    <n v="20990"/>
    <n v="0"/>
    <x v="367"/>
    <s v="Administración"/>
    <m/>
    <m/>
    <m/>
    <m/>
    <m/>
    <m/>
    <m/>
  </r>
  <r>
    <d v="2021-10-15T00:00:00"/>
    <x v="10"/>
    <x v="0"/>
    <x v="0"/>
    <n v="-20990"/>
    <n v="0"/>
    <n v="20990"/>
    <x v="36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5T00:00:00"/>
    <x v="10"/>
    <x v="0"/>
    <x v="0"/>
    <n v="4832"/>
    <n v="4832"/>
    <n v="0"/>
    <x v="744"/>
    <s v="Administración"/>
    <m/>
    <m/>
    <m/>
    <m/>
    <m/>
    <m/>
    <m/>
  </r>
  <r>
    <d v="2021-10-15T00:00:00"/>
    <x v="10"/>
    <x v="19"/>
    <x v="19"/>
    <n v="-4832"/>
    <n v="0"/>
    <n v="4832"/>
    <x v="7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5T00:00:00"/>
    <x v="10"/>
    <x v="0"/>
    <x v="0"/>
    <n v="15000"/>
    <n v="15000"/>
    <n v="0"/>
    <x v="556"/>
    <s v="Administración"/>
    <m/>
    <m/>
    <m/>
    <m/>
    <m/>
    <m/>
    <m/>
  </r>
  <r>
    <d v="2021-10-15T00:00:00"/>
    <x v="10"/>
    <x v="24"/>
    <x v="24"/>
    <n v="-15000"/>
    <n v="0"/>
    <n v="15000"/>
    <x v="55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5T00:00:00"/>
    <x v="10"/>
    <x v="28"/>
    <x v="28"/>
    <n v="338983"/>
    <n v="338983"/>
    <n v="0"/>
    <x v="870"/>
    <s v="Administración"/>
    <m/>
    <m/>
    <m/>
    <m/>
    <m/>
    <m/>
    <m/>
  </r>
  <r>
    <d v="2021-10-15T00:00:00"/>
    <x v="10"/>
    <x v="9"/>
    <x v="9"/>
    <n v="-38983"/>
    <n v="0"/>
    <n v="38983"/>
    <x v="870"/>
    <s v="Administración"/>
    <m/>
    <m/>
    <m/>
    <m/>
    <m/>
    <m/>
    <m/>
  </r>
  <r>
    <d v="2021-10-15T00:00:00"/>
    <x v="10"/>
    <x v="0"/>
    <x v="0"/>
    <n v="-300000"/>
    <n v="0"/>
    <n v="300000"/>
    <x v="87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5T00:00:00"/>
    <x v="10"/>
    <x v="28"/>
    <x v="28"/>
    <n v="100000"/>
    <n v="100000"/>
    <n v="0"/>
    <x v="871"/>
    <s v="Administración"/>
    <m/>
    <m/>
    <m/>
    <m/>
    <m/>
    <m/>
    <m/>
  </r>
  <r>
    <d v="2021-10-15T00:00:00"/>
    <x v="10"/>
    <x v="9"/>
    <x v="9"/>
    <n v="-11500"/>
    <n v="0"/>
    <n v="11500"/>
    <x v="871"/>
    <s v="Administración"/>
    <m/>
    <m/>
    <m/>
    <m/>
    <m/>
    <m/>
    <m/>
  </r>
  <r>
    <d v="2021-10-15T00:00:00"/>
    <x v="10"/>
    <x v="0"/>
    <x v="0"/>
    <n v="-88500"/>
    <n v="0"/>
    <n v="88500"/>
    <x v="87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5T00:00:00"/>
    <x v="10"/>
    <x v="28"/>
    <x v="28"/>
    <n v="112994"/>
    <n v="112994"/>
    <n v="0"/>
    <x v="872"/>
    <s v="Administración"/>
    <m/>
    <m/>
    <m/>
    <m/>
    <m/>
    <m/>
    <m/>
  </r>
  <r>
    <d v="2021-10-15T00:00:00"/>
    <x v="10"/>
    <x v="9"/>
    <x v="9"/>
    <n v="-12994"/>
    <n v="0"/>
    <n v="12994"/>
    <x v="872"/>
    <s v="Administración"/>
    <m/>
    <m/>
    <m/>
    <m/>
    <m/>
    <m/>
    <m/>
  </r>
  <r>
    <d v="2021-10-15T00:00:00"/>
    <x v="10"/>
    <x v="0"/>
    <x v="0"/>
    <n v="-100000"/>
    <n v="0"/>
    <n v="100000"/>
    <x v="8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5T00:00:00"/>
    <x v="10"/>
    <x v="53"/>
    <x v="50"/>
    <n v="200000"/>
    <n v="200000"/>
    <n v="0"/>
    <x v="873"/>
    <s v="Administración"/>
    <m/>
    <m/>
    <m/>
    <m/>
    <m/>
    <m/>
    <m/>
  </r>
  <r>
    <d v="2021-10-15T00:00:00"/>
    <x v="10"/>
    <x v="0"/>
    <x v="0"/>
    <n v="-200000"/>
    <n v="0"/>
    <n v="200000"/>
    <x v="87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8T00:00:00"/>
    <x v="10"/>
    <x v="0"/>
    <x v="0"/>
    <n v="20000"/>
    <n v="20000"/>
    <n v="0"/>
    <x v="874"/>
    <s v="Administración"/>
    <m/>
    <m/>
    <m/>
    <m/>
    <m/>
    <m/>
    <m/>
  </r>
  <r>
    <d v="2021-10-18T00:00:00"/>
    <x v="10"/>
    <x v="24"/>
    <x v="24"/>
    <n v="-20000"/>
    <n v="0"/>
    <n v="20000"/>
    <x v="87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8T00:00:00"/>
    <x v="10"/>
    <x v="22"/>
    <x v="22"/>
    <n v="6630"/>
    <n v="6630"/>
    <n v="0"/>
    <x v="301"/>
    <s v="Administración"/>
    <m/>
    <m/>
    <m/>
    <m/>
    <m/>
    <m/>
    <m/>
  </r>
  <r>
    <d v="2021-10-18T00:00:00"/>
    <x v="10"/>
    <x v="0"/>
    <x v="0"/>
    <n v="-6630"/>
    <n v="0"/>
    <n v="6630"/>
    <x v="30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8T00:00:00"/>
    <x v="10"/>
    <x v="29"/>
    <x v="29"/>
    <n v="43935"/>
    <n v="43935"/>
    <n v="0"/>
    <x v="41"/>
    <s v="Administración"/>
    <m/>
    <m/>
    <m/>
    <m/>
    <m/>
    <m/>
    <m/>
  </r>
  <r>
    <d v="2021-10-18T00:00:00"/>
    <x v="10"/>
    <x v="0"/>
    <x v="0"/>
    <n v="-43935"/>
    <n v="0"/>
    <n v="43935"/>
    <x v="4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8T00:00:00"/>
    <x v="10"/>
    <x v="0"/>
    <x v="0"/>
    <n v="10000"/>
    <n v="10000"/>
    <n v="0"/>
    <x v="78"/>
    <s v="Administración"/>
    <m/>
    <m/>
    <m/>
    <m/>
    <m/>
    <m/>
    <m/>
  </r>
  <r>
    <d v="2021-10-18T00:00:00"/>
    <x v="10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8T00:00:00"/>
    <x v="10"/>
    <x v="0"/>
    <x v="0"/>
    <n v="8000"/>
    <n v="8000"/>
    <n v="0"/>
    <x v="167"/>
    <s v="Administración"/>
    <m/>
    <m/>
    <m/>
    <m/>
    <m/>
    <m/>
    <m/>
  </r>
  <r>
    <d v="2021-10-18T00:00:00"/>
    <x v="10"/>
    <x v="19"/>
    <x v="19"/>
    <n v="-8000"/>
    <n v="0"/>
    <n v="8000"/>
    <x v="16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8T00:00:00"/>
    <x v="10"/>
    <x v="0"/>
    <x v="0"/>
    <n v="10000"/>
    <n v="10000"/>
    <n v="0"/>
    <x v="76"/>
    <s v="Administración"/>
    <m/>
    <m/>
    <m/>
    <m/>
    <m/>
    <m/>
    <m/>
  </r>
  <r>
    <d v="2021-10-18T00:00:00"/>
    <x v="10"/>
    <x v="19"/>
    <x v="19"/>
    <n v="-10000"/>
    <n v="0"/>
    <n v="10000"/>
    <x v="7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8T00:00:00"/>
    <x v="10"/>
    <x v="0"/>
    <x v="0"/>
    <n v="30000"/>
    <n v="30000"/>
    <n v="0"/>
    <x v="319"/>
    <s v="Administración"/>
    <m/>
    <m/>
    <m/>
    <m/>
    <m/>
    <m/>
    <m/>
  </r>
  <r>
    <d v="2021-10-18T00:00:00"/>
    <x v="10"/>
    <x v="19"/>
    <x v="19"/>
    <n v="-30000"/>
    <n v="0"/>
    <n v="30000"/>
    <x v="31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8T00:00:00"/>
    <x v="10"/>
    <x v="0"/>
    <x v="0"/>
    <n v="2000"/>
    <n v="2000"/>
    <n v="0"/>
    <x v="283"/>
    <s v="Administración"/>
    <m/>
    <m/>
    <m/>
    <m/>
    <m/>
    <m/>
    <m/>
  </r>
  <r>
    <d v="2021-10-18T00:00:00"/>
    <x v="10"/>
    <x v="19"/>
    <x v="19"/>
    <n v="-2000"/>
    <n v="0"/>
    <n v="2000"/>
    <x v="2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8T00:00:00"/>
    <x v="10"/>
    <x v="0"/>
    <x v="0"/>
    <n v="110000"/>
    <n v="110000"/>
    <n v="0"/>
    <x v="283"/>
    <s v="Administración"/>
    <m/>
    <m/>
    <m/>
    <m/>
    <m/>
    <m/>
    <m/>
  </r>
  <r>
    <d v="2021-10-18T00:00:00"/>
    <x v="10"/>
    <x v="19"/>
    <x v="19"/>
    <n v="-110000"/>
    <n v="0"/>
    <n v="110000"/>
    <x v="2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8T00:00:00"/>
    <x v="10"/>
    <x v="0"/>
    <x v="0"/>
    <n v="613920"/>
    <n v="613920"/>
    <n v="0"/>
    <x v="861"/>
    <s v="Administración"/>
    <m/>
    <m/>
    <m/>
    <m/>
    <m/>
    <m/>
    <m/>
  </r>
  <r>
    <d v="2021-10-18T00:00:00"/>
    <x v="10"/>
    <x v="19"/>
    <x v="19"/>
    <n v="-613920"/>
    <n v="0"/>
    <n v="61392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9T00:00:00"/>
    <x v="10"/>
    <x v="0"/>
    <x v="0"/>
    <n v="5451"/>
    <n v="5451"/>
    <n v="0"/>
    <x v="344"/>
    <s v="Administración"/>
    <m/>
    <m/>
    <m/>
    <m/>
    <m/>
    <m/>
    <m/>
  </r>
  <r>
    <d v="2021-10-19T00:00:00"/>
    <x v="10"/>
    <x v="20"/>
    <x v="20"/>
    <n v="-5451"/>
    <n v="0"/>
    <n v="5451"/>
    <x v="3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19T00:00:00"/>
    <x v="10"/>
    <x v="0"/>
    <x v="0"/>
    <n v="20000"/>
    <n v="20000"/>
    <n v="0"/>
    <x v="875"/>
    <s v="Administración"/>
    <m/>
    <m/>
    <m/>
    <m/>
    <m/>
    <m/>
    <m/>
  </r>
  <r>
    <d v="2021-10-19T00:00:00"/>
    <x v="10"/>
    <x v="24"/>
    <x v="24"/>
    <n v="-20000"/>
    <n v="0"/>
    <n v="20000"/>
    <x v="87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0T00:00:00"/>
    <x v="10"/>
    <x v="0"/>
    <x v="0"/>
    <n v="4901"/>
    <n v="4901"/>
    <n v="0"/>
    <x v="96"/>
    <s v="Administración"/>
    <m/>
    <m/>
    <m/>
    <m/>
    <m/>
    <m/>
    <m/>
  </r>
  <r>
    <d v="2021-10-20T00:00:00"/>
    <x v="10"/>
    <x v="19"/>
    <x v="19"/>
    <n v="-4901"/>
    <n v="0"/>
    <n v="4901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0T00:00:00"/>
    <x v="10"/>
    <x v="0"/>
    <x v="0"/>
    <n v="20000"/>
    <n v="20000"/>
    <n v="0"/>
    <x v="876"/>
    <s v="Administración"/>
    <m/>
    <m/>
    <m/>
    <m/>
    <m/>
    <m/>
    <m/>
  </r>
  <r>
    <d v="2021-10-20T00:00:00"/>
    <x v="10"/>
    <x v="19"/>
    <x v="19"/>
    <n v="-20000"/>
    <n v="0"/>
    <n v="20000"/>
    <x v="87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1T00:00:00"/>
    <x v="10"/>
    <x v="0"/>
    <x v="0"/>
    <n v="15000"/>
    <n v="15000"/>
    <n v="0"/>
    <x v="144"/>
    <s v="Administración"/>
    <m/>
    <m/>
    <m/>
    <m/>
    <m/>
    <m/>
    <m/>
  </r>
  <r>
    <d v="2021-10-21T00:00:00"/>
    <x v="10"/>
    <x v="19"/>
    <x v="19"/>
    <n v="-15000"/>
    <n v="0"/>
    <n v="15000"/>
    <x v="1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1T00:00:00"/>
    <x v="10"/>
    <x v="0"/>
    <x v="0"/>
    <n v="14000"/>
    <n v="14000"/>
    <n v="0"/>
    <x v="877"/>
    <s v="Administración"/>
    <m/>
    <m/>
    <m/>
    <m/>
    <m/>
    <m/>
    <m/>
  </r>
  <r>
    <d v="2021-10-21T00:00:00"/>
    <x v="10"/>
    <x v="19"/>
    <x v="19"/>
    <n v="-14000"/>
    <n v="0"/>
    <n v="14000"/>
    <x v="87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1T00:00:00"/>
    <x v="10"/>
    <x v="0"/>
    <x v="0"/>
    <n v="20000"/>
    <n v="20000"/>
    <n v="0"/>
    <x v="878"/>
    <s v="Administración"/>
    <m/>
    <m/>
    <m/>
    <m/>
    <m/>
    <m/>
    <m/>
  </r>
  <r>
    <d v="2021-10-21T00:00:00"/>
    <x v="10"/>
    <x v="24"/>
    <x v="24"/>
    <n v="-20000"/>
    <n v="0"/>
    <n v="20000"/>
    <x v="8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2T00:00:00"/>
    <x v="10"/>
    <x v="0"/>
    <x v="0"/>
    <n v="9804"/>
    <n v="9804"/>
    <n v="0"/>
    <x v="344"/>
    <s v="Administración"/>
    <m/>
    <m/>
    <m/>
    <m/>
    <m/>
    <m/>
    <m/>
  </r>
  <r>
    <d v="2021-10-22T00:00:00"/>
    <x v="10"/>
    <x v="20"/>
    <x v="20"/>
    <n v="-9804"/>
    <n v="0"/>
    <n v="9804"/>
    <x v="3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2T00:00:00"/>
    <x v="10"/>
    <x v="0"/>
    <x v="0"/>
    <n v="20000"/>
    <n v="20000"/>
    <n v="0"/>
    <x v="879"/>
    <s v="Administración"/>
    <m/>
    <m/>
    <m/>
    <m/>
    <m/>
    <m/>
    <m/>
  </r>
  <r>
    <d v="2021-10-22T00:00:00"/>
    <x v="10"/>
    <x v="24"/>
    <x v="24"/>
    <n v="-20000"/>
    <n v="0"/>
    <n v="20000"/>
    <x v="87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5T00:00:00"/>
    <x v="10"/>
    <x v="31"/>
    <x v="31"/>
    <n v="52047"/>
    <n v="52047"/>
    <n v="0"/>
    <x v="151"/>
    <s v="Administración"/>
    <m/>
    <m/>
    <m/>
    <m/>
    <m/>
    <m/>
    <m/>
  </r>
  <r>
    <d v="2021-10-25T00:00:00"/>
    <x v="10"/>
    <x v="0"/>
    <x v="0"/>
    <n v="-52047"/>
    <n v="0"/>
    <n v="52047"/>
    <x v="15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5T00:00:00"/>
    <x v="10"/>
    <x v="0"/>
    <x v="0"/>
    <n v="30000"/>
    <n v="30000"/>
    <n v="0"/>
    <x v="615"/>
    <s v="Administración"/>
    <m/>
    <m/>
    <m/>
    <m/>
    <m/>
    <m/>
    <m/>
  </r>
  <r>
    <d v="2021-10-25T00:00:00"/>
    <x v="10"/>
    <x v="19"/>
    <x v="19"/>
    <n v="-30000"/>
    <n v="0"/>
    <n v="30000"/>
    <x v="6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5T00:00:00"/>
    <x v="10"/>
    <x v="0"/>
    <x v="0"/>
    <n v="30000"/>
    <n v="30000"/>
    <n v="0"/>
    <x v="616"/>
    <s v="Administración"/>
    <m/>
    <m/>
    <m/>
    <m/>
    <m/>
    <m/>
    <m/>
  </r>
  <r>
    <d v="2021-10-25T00:00:00"/>
    <x v="10"/>
    <x v="21"/>
    <x v="21"/>
    <n v="-30000"/>
    <n v="0"/>
    <n v="30000"/>
    <x v="61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5T00:00:00"/>
    <x v="10"/>
    <x v="0"/>
    <x v="0"/>
    <n v="30000"/>
    <n v="30000"/>
    <n v="0"/>
    <x v="54"/>
    <s v="Administración"/>
    <m/>
    <m/>
    <m/>
    <m/>
    <m/>
    <m/>
    <m/>
  </r>
  <r>
    <d v="2021-10-25T00:00:00"/>
    <x v="10"/>
    <x v="6"/>
    <x v="6"/>
    <n v="-30000"/>
    <n v="0"/>
    <n v="30000"/>
    <x v="5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5T00:00:00"/>
    <x v="10"/>
    <x v="0"/>
    <x v="0"/>
    <n v="10000"/>
    <n v="10000"/>
    <n v="0"/>
    <x v="319"/>
    <s v="Administración"/>
    <m/>
    <m/>
    <m/>
    <m/>
    <m/>
    <m/>
    <m/>
  </r>
  <r>
    <d v="2021-10-25T00:00:00"/>
    <x v="10"/>
    <x v="19"/>
    <x v="19"/>
    <n v="-10000"/>
    <n v="0"/>
    <n v="10000"/>
    <x v="31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5T00:00:00"/>
    <x v="10"/>
    <x v="0"/>
    <x v="0"/>
    <n v="10000"/>
    <n v="10000"/>
    <n v="0"/>
    <x v="78"/>
    <s v="Administración"/>
    <m/>
    <m/>
    <m/>
    <m/>
    <m/>
    <m/>
    <m/>
  </r>
  <r>
    <d v="2021-10-25T00:00:00"/>
    <x v="10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5T00:00:00"/>
    <x v="10"/>
    <x v="0"/>
    <x v="0"/>
    <n v="10000"/>
    <n v="10000"/>
    <n v="0"/>
    <x v="167"/>
    <s v="Administración"/>
    <m/>
    <m/>
    <m/>
    <m/>
    <m/>
    <m/>
    <m/>
  </r>
  <r>
    <d v="2021-10-25T00:00:00"/>
    <x v="10"/>
    <x v="19"/>
    <x v="19"/>
    <n v="-10000"/>
    <n v="0"/>
    <n v="10000"/>
    <x v="16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5T00:00:00"/>
    <x v="10"/>
    <x v="0"/>
    <x v="0"/>
    <n v="20000"/>
    <n v="20000"/>
    <n v="0"/>
    <x v="266"/>
    <s v="Administración"/>
    <m/>
    <m/>
    <m/>
    <m/>
    <m/>
    <m/>
    <m/>
  </r>
  <r>
    <d v="2021-10-25T00:00:00"/>
    <x v="10"/>
    <x v="19"/>
    <x v="19"/>
    <n v="-20000"/>
    <n v="0"/>
    <n v="20000"/>
    <x v="26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5T00:00:00"/>
    <x v="10"/>
    <x v="0"/>
    <x v="0"/>
    <n v="2000"/>
    <n v="2000"/>
    <n v="0"/>
    <x v="283"/>
    <s v="Administración"/>
    <m/>
    <m/>
    <m/>
    <m/>
    <m/>
    <m/>
    <m/>
  </r>
  <r>
    <d v="2021-10-25T00:00:00"/>
    <x v="10"/>
    <x v="19"/>
    <x v="19"/>
    <n v="-2000"/>
    <n v="0"/>
    <n v="2000"/>
    <x v="2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5T00:00:00"/>
    <x v="10"/>
    <x v="0"/>
    <x v="0"/>
    <n v="20000"/>
    <n v="20000"/>
    <n v="0"/>
    <x v="880"/>
    <s v="Administración"/>
    <m/>
    <m/>
    <m/>
    <m/>
    <m/>
    <m/>
    <m/>
  </r>
  <r>
    <d v="2021-10-25T00:00:00"/>
    <x v="10"/>
    <x v="24"/>
    <x v="24"/>
    <n v="-20000"/>
    <n v="0"/>
    <n v="20000"/>
    <x v="88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5T00:00:00"/>
    <x v="10"/>
    <x v="0"/>
    <x v="0"/>
    <n v="868130"/>
    <n v="868130"/>
    <n v="0"/>
    <x v="861"/>
    <s v="Administración"/>
    <m/>
    <m/>
    <m/>
    <m/>
    <m/>
    <m/>
    <m/>
  </r>
  <r>
    <d v="2021-10-25T00:00:00"/>
    <x v="10"/>
    <x v="19"/>
    <x v="19"/>
    <n v="-868130"/>
    <n v="0"/>
    <n v="86813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6T00:00:00"/>
    <x v="10"/>
    <x v="0"/>
    <x v="0"/>
    <n v="10000"/>
    <n v="10000"/>
    <n v="0"/>
    <x v="404"/>
    <s v="Administración"/>
    <m/>
    <m/>
    <m/>
    <m/>
    <m/>
    <m/>
    <m/>
  </r>
  <r>
    <d v="2021-10-26T00:00:00"/>
    <x v="10"/>
    <x v="19"/>
    <x v="19"/>
    <n v="-10000"/>
    <n v="0"/>
    <n v="10000"/>
    <x v="40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8T00:00:00"/>
    <x v="10"/>
    <x v="0"/>
    <x v="0"/>
    <n v="40000"/>
    <n v="40000"/>
    <n v="0"/>
    <x v="563"/>
    <s v="Administración"/>
    <m/>
    <m/>
    <m/>
    <m/>
    <m/>
    <m/>
    <m/>
  </r>
  <r>
    <d v="2021-10-28T00:00:00"/>
    <x v="10"/>
    <x v="19"/>
    <x v="19"/>
    <n v="-40000"/>
    <n v="0"/>
    <n v="40000"/>
    <x v="56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8T00:00:00"/>
    <x v="10"/>
    <x v="0"/>
    <x v="0"/>
    <n v="20000"/>
    <n v="20000"/>
    <n v="0"/>
    <x v="852"/>
    <s v="Administración"/>
    <m/>
    <m/>
    <m/>
    <m/>
    <m/>
    <m/>
    <m/>
  </r>
  <r>
    <d v="2021-10-28T00:00:00"/>
    <x v="10"/>
    <x v="19"/>
    <x v="19"/>
    <n v="-20000"/>
    <n v="0"/>
    <n v="20000"/>
    <x v="85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34"/>
    <x v="34"/>
    <n v="426538"/>
    <n v="426538"/>
    <n v="0"/>
    <x v="881"/>
    <s v="Administración"/>
    <m/>
    <m/>
    <m/>
    <m/>
    <m/>
    <m/>
    <m/>
  </r>
  <r>
    <d v="2021-10-29T00:00:00"/>
    <x v="10"/>
    <x v="0"/>
    <x v="0"/>
    <n v="-426538"/>
    <n v="0"/>
    <n v="426538"/>
    <x v="88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53"/>
    <x v="50"/>
    <n v="29250"/>
    <n v="29250"/>
    <n v="0"/>
    <x v="882"/>
    <s v="Administración"/>
    <m/>
    <m/>
    <m/>
    <m/>
    <m/>
    <m/>
    <m/>
  </r>
  <r>
    <d v="2021-10-29T00:00:00"/>
    <x v="10"/>
    <x v="0"/>
    <x v="0"/>
    <n v="-29250"/>
    <n v="0"/>
    <n v="29250"/>
    <x v="88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39"/>
    <x v="38"/>
    <n v="50000"/>
    <n v="50000"/>
    <n v="0"/>
    <x v="883"/>
    <s v="Administración"/>
    <m/>
    <m/>
    <m/>
    <m/>
    <m/>
    <m/>
    <m/>
  </r>
  <r>
    <d v="2021-10-29T00:00:00"/>
    <x v="10"/>
    <x v="0"/>
    <x v="0"/>
    <n v="-50000"/>
    <n v="0"/>
    <n v="50000"/>
    <x v="8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47"/>
    <x v="45"/>
    <n v="30000"/>
    <n v="30000"/>
    <n v="0"/>
    <x v="884"/>
    <s v="Administración"/>
    <m/>
    <m/>
    <m/>
    <m/>
    <m/>
    <m/>
    <m/>
  </r>
  <r>
    <d v="2021-10-29T00:00:00"/>
    <x v="10"/>
    <x v="0"/>
    <x v="0"/>
    <n v="-30000"/>
    <n v="0"/>
    <n v="30000"/>
    <x v="88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39"/>
    <x v="38"/>
    <n v="30000"/>
    <n v="30000"/>
    <n v="0"/>
    <x v="885"/>
    <s v="Administración"/>
    <m/>
    <m/>
    <m/>
    <m/>
    <m/>
    <m/>
    <m/>
  </r>
  <r>
    <d v="2021-10-29T00:00:00"/>
    <x v="10"/>
    <x v="0"/>
    <x v="0"/>
    <n v="-30000"/>
    <n v="0"/>
    <n v="30000"/>
    <x v="88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39"/>
    <x v="38"/>
    <n v="45000"/>
    <n v="45000"/>
    <n v="0"/>
    <x v="886"/>
    <s v="Administración"/>
    <m/>
    <m/>
    <m/>
    <m/>
    <m/>
    <m/>
    <m/>
  </r>
  <r>
    <d v="2021-10-29T00:00:00"/>
    <x v="10"/>
    <x v="0"/>
    <x v="0"/>
    <n v="-45000"/>
    <n v="0"/>
    <n v="45000"/>
    <x v="88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33"/>
    <x v="33"/>
    <n v="160000"/>
    <n v="160000"/>
    <n v="0"/>
    <x v="887"/>
    <s v="Administración"/>
    <m/>
    <m/>
    <m/>
    <m/>
    <m/>
    <m/>
    <m/>
  </r>
  <r>
    <d v="2021-10-29T00:00:00"/>
    <x v="10"/>
    <x v="9"/>
    <x v="9"/>
    <n v="-18400"/>
    <n v="0"/>
    <n v="18400"/>
    <x v="887"/>
    <s v="Administración"/>
    <m/>
    <m/>
    <m/>
    <m/>
    <m/>
    <m/>
    <m/>
  </r>
  <r>
    <d v="2021-10-29T00:00:00"/>
    <x v="10"/>
    <x v="0"/>
    <x v="0"/>
    <n v="-141600"/>
    <n v="0"/>
    <n v="141600"/>
    <x v="88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32"/>
    <x v="32"/>
    <n v="50847"/>
    <n v="50847"/>
    <n v="0"/>
    <x v="888"/>
    <s v="Administración"/>
    <m/>
    <m/>
    <m/>
    <m/>
    <m/>
    <m/>
    <m/>
  </r>
  <r>
    <d v="2021-10-29T00:00:00"/>
    <x v="10"/>
    <x v="9"/>
    <x v="9"/>
    <n v="-5847"/>
    <n v="0"/>
    <n v="5847"/>
    <x v="888"/>
    <s v="Administración"/>
    <m/>
    <m/>
    <m/>
    <m/>
    <m/>
    <m/>
    <m/>
  </r>
  <r>
    <d v="2021-10-29T00:00:00"/>
    <x v="10"/>
    <x v="0"/>
    <x v="0"/>
    <n v="-45000"/>
    <n v="0"/>
    <n v="45000"/>
    <x v="88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30T00:00:00"/>
    <x v="10"/>
    <x v="16"/>
    <x v="16"/>
    <n v="15000"/>
    <n v="15000"/>
    <n v="0"/>
    <x v="164"/>
    <s v="Administración"/>
    <m/>
    <m/>
    <m/>
    <m/>
    <m/>
    <m/>
    <m/>
  </r>
  <r>
    <d v="2021-10-30T00:00:00"/>
    <x v="10"/>
    <x v="16"/>
    <x v="16"/>
    <n v="5500"/>
    <n v="5500"/>
    <n v="0"/>
    <x v="168"/>
    <s v="Administración"/>
    <m/>
    <m/>
    <m/>
    <m/>
    <m/>
    <m/>
    <m/>
  </r>
  <r>
    <d v="2021-10-30T00:00:00"/>
    <x v="10"/>
    <x v="16"/>
    <x v="16"/>
    <n v="5000"/>
    <n v="5000"/>
    <n v="0"/>
    <x v="708"/>
    <s v="Administración"/>
    <m/>
    <m/>
    <m/>
    <m/>
    <m/>
    <m/>
    <m/>
  </r>
  <r>
    <d v="2021-10-30T00:00:00"/>
    <x v="10"/>
    <x v="16"/>
    <x v="16"/>
    <n v="30000"/>
    <n v="30000"/>
    <n v="0"/>
    <x v="794"/>
    <s v="Administración"/>
    <m/>
    <m/>
    <m/>
    <m/>
    <m/>
    <m/>
    <m/>
  </r>
  <r>
    <d v="2021-10-30T00:00:00"/>
    <x v="10"/>
    <x v="19"/>
    <x v="19"/>
    <n v="-15000"/>
    <n v="0"/>
    <n v="15000"/>
    <x v="164"/>
    <s v="Administración"/>
    <m/>
    <m/>
    <m/>
    <m/>
    <m/>
    <m/>
    <m/>
  </r>
  <r>
    <d v="2021-10-30T00:00:00"/>
    <x v="10"/>
    <x v="19"/>
    <x v="19"/>
    <n v="-5500"/>
    <n v="0"/>
    <n v="5500"/>
    <x v="168"/>
    <s v="Administración"/>
    <m/>
    <m/>
    <m/>
    <m/>
    <m/>
    <m/>
    <m/>
  </r>
  <r>
    <d v="2021-10-30T00:00:00"/>
    <x v="10"/>
    <x v="19"/>
    <x v="19"/>
    <n v="-5000"/>
    <n v="0"/>
    <n v="5000"/>
    <x v="708"/>
    <s v="Administración"/>
    <m/>
    <m/>
    <m/>
    <m/>
    <m/>
    <m/>
    <m/>
  </r>
  <r>
    <d v="2021-10-30T00:00:00"/>
    <x v="10"/>
    <x v="19"/>
    <x v="19"/>
    <n v="-30000"/>
    <n v="0"/>
    <n v="30000"/>
    <x v="79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36"/>
    <x v="35"/>
    <n v="3031525"/>
    <n v="3031525"/>
    <n v="0"/>
    <x v="72"/>
    <s v="Administración"/>
    <m/>
    <m/>
    <m/>
    <m/>
    <m/>
    <m/>
    <m/>
  </r>
  <r>
    <d v="2021-10-29T00:00:00"/>
    <x v="10"/>
    <x v="37"/>
    <x v="36"/>
    <n v="914490"/>
    <n v="914490"/>
    <n v="0"/>
    <x v="72"/>
    <s v="Administración"/>
    <m/>
    <m/>
    <m/>
    <m/>
    <m/>
    <m/>
    <m/>
  </r>
  <r>
    <d v="2021-10-29T00:00:00"/>
    <x v="10"/>
    <x v="36"/>
    <x v="35"/>
    <n v="72172"/>
    <n v="72172"/>
    <n v="0"/>
    <x v="72"/>
    <s v="Administración"/>
    <m/>
    <m/>
    <m/>
    <m/>
    <m/>
    <m/>
    <m/>
  </r>
  <r>
    <d v="2021-10-29T00:00:00"/>
    <x v="10"/>
    <x v="11"/>
    <x v="11"/>
    <n v="-3376929"/>
    <n v="0"/>
    <n v="3376929"/>
    <x v="72"/>
    <s v="Administración"/>
    <m/>
    <m/>
    <m/>
    <m/>
    <m/>
    <m/>
    <m/>
  </r>
  <r>
    <d v="2021-10-29T00:00:00"/>
    <x v="10"/>
    <x v="10"/>
    <x v="10"/>
    <n v="-447529"/>
    <n v="0"/>
    <n v="447529"/>
    <x v="72"/>
    <s v="Administración"/>
    <m/>
    <m/>
    <m/>
    <m/>
    <m/>
    <m/>
    <m/>
  </r>
  <r>
    <d v="2021-10-29T00:00:00"/>
    <x v="10"/>
    <x v="10"/>
    <x v="10"/>
    <n v="-179490"/>
    <n v="0"/>
    <n v="179490"/>
    <x v="72"/>
    <s v="Administración"/>
    <m/>
    <m/>
    <m/>
    <m/>
    <m/>
    <m/>
    <m/>
  </r>
  <r>
    <d v="2021-10-29T00:00:00"/>
    <x v="10"/>
    <x v="9"/>
    <x v="9"/>
    <n v="-14239"/>
    <n v="0"/>
    <n v="14239"/>
    <x v="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11"/>
    <x v="11"/>
    <n v="735000"/>
    <n v="735000"/>
    <n v="0"/>
    <x v="844"/>
    <s v="Administración"/>
    <m/>
    <m/>
    <m/>
    <m/>
    <m/>
    <m/>
    <m/>
  </r>
  <r>
    <d v="2021-10-29T00:00:00"/>
    <x v="10"/>
    <x v="0"/>
    <x v="0"/>
    <n v="-735000"/>
    <n v="0"/>
    <n v="735000"/>
    <x v="8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11"/>
    <x v="11"/>
    <n v="779408"/>
    <n v="779408"/>
    <n v="0"/>
    <x v="845"/>
    <s v="Administración"/>
    <m/>
    <m/>
    <m/>
    <m/>
    <m/>
    <m/>
    <m/>
  </r>
  <r>
    <d v="2021-10-29T00:00:00"/>
    <x v="10"/>
    <x v="0"/>
    <x v="0"/>
    <n v="-779408"/>
    <n v="0"/>
    <n v="779408"/>
    <x v="84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11"/>
    <x v="11"/>
    <n v="514296"/>
    <n v="514296"/>
    <n v="0"/>
    <x v="846"/>
    <s v="Administración"/>
    <m/>
    <m/>
    <m/>
    <m/>
    <m/>
    <m/>
    <m/>
  </r>
  <r>
    <d v="2021-10-29T00:00:00"/>
    <x v="10"/>
    <x v="0"/>
    <x v="0"/>
    <n v="-514296"/>
    <n v="0"/>
    <n v="514296"/>
    <x v="84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11"/>
    <x v="11"/>
    <n v="232045"/>
    <n v="232045"/>
    <n v="0"/>
    <x v="847"/>
    <s v="Administración"/>
    <m/>
    <m/>
    <m/>
    <m/>
    <m/>
    <m/>
    <m/>
  </r>
  <r>
    <d v="2021-10-29T00:00:00"/>
    <x v="10"/>
    <x v="0"/>
    <x v="0"/>
    <n v="-232045"/>
    <n v="0"/>
    <n v="232045"/>
    <x v="84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11"/>
    <x v="11"/>
    <n v="1116180"/>
    <n v="1116180"/>
    <n v="0"/>
    <x v="848"/>
    <s v="Administración"/>
    <m/>
    <m/>
    <m/>
    <m/>
    <m/>
    <m/>
    <m/>
  </r>
  <r>
    <d v="2021-10-29T00:00:00"/>
    <x v="10"/>
    <x v="0"/>
    <x v="0"/>
    <n v="-1116180"/>
    <n v="0"/>
    <n v="1116180"/>
    <x v="84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0"/>
    <x v="0"/>
    <n v="15000"/>
    <n v="15000"/>
    <n v="0"/>
    <x v="889"/>
    <s v="Administración"/>
    <m/>
    <m/>
    <m/>
    <m/>
    <m/>
    <m/>
    <m/>
  </r>
  <r>
    <d v="2021-10-29T00:00:00"/>
    <x v="10"/>
    <x v="19"/>
    <x v="19"/>
    <n v="-15000"/>
    <n v="0"/>
    <n v="15000"/>
    <x v="88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0"/>
    <x v="0"/>
    <n v="50000"/>
    <n v="50000"/>
    <n v="0"/>
    <x v="163"/>
    <s v="Administración"/>
    <m/>
    <m/>
    <m/>
    <m/>
    <m/>
    <m/>
    <m/>
  </r>
  <r>
    <d v="2021-10-29T00:00:00"/>
    <x v="10"/>
    <x v="19"/>
    <x v="19"/>
    <n v="-50000"/>
    <n v="0"/>
    <n v="50000"/>
    <x v="16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0"/>
    <x v="0"/>
    <n v="20000"/>
    <n v="20000"/>
    <n v="0"/>
    <x v="162"/>
    <s v="Administración"/>
    <m/>
    <m/>
    <m/>
    <m/>
    <m/>
    <m/>
    <m/>
  </r>
  <r>
    <d v="2021-10-29T00:00:00"/>
    <x v="10"/>
    <x v="19"/>
    <x v="19"/>
    <n v="-20000"/>
    <n v="0"/>
    <n v="20000"/>
    <x v="16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0"/>
    <x v="0"/>
    <n v="19329"/>
    <n v="19329"/>
    <n v="0"/>
    <x v="744"/>
    <s v="Administración"/>
    <m/>
    <m/>
    <m/>
    <m/>
    <m/>
    <m/>
    <m/>
  </r>
  <r>
    <d v="2021-10-29T00:00:00"/>
    <x v="10"/>
    <x v="19"/>
    <x v="19"/>
    <n v="-19329"/>
    <n v="0"/>
    <n v="19329"/>
    <x v="7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0"/>
    <x v="0"/>
    <n v="20000"/>
    <n v="20000"/>
    <n v="0"/>
    <x v="161"/>
    <s v="Administración"/>
    <m/>
    <m/>
    <m/>
    <m/>
    <m/>
    <m/>
    <m/>
  </r>
  <r>
    <d v="2021-10-29T00:00:00"/>
    <x v="10"/>
    <x v="19"/>
    <x v="19"/>
    <n v="-20000"/>
    <n v="0"/>
    <n v="20000"/>
    <x v="1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0-29T00:00:00"/>
    <x v="10"/>
    <x v="0"/>
    <x v="0"/>
    <n v="5000"/>
    <n v="5000"/>
    <n v="0"/>
    <x v="890"/>
    <s v="Administración"/>
    <m/>
    <m/>
    <m/>
    <m/>
    <m/>
    <m/>
    <m/>
  </r>
  <r>
    <d v="2021-10-29T00:00:00"/>
    <x v="10"/>
    <x v="19"/>
    <x v="19"/>
    <n v="-5000"/>
    <n v="0"/>
    <n v="5000"/>
    <x v="89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2T00:00:00"/>
    <x v="11"/>
    <x v="0"/>
    <x v="0"/>
    <n v="100000"/>
    <n v="100000"/>
    <n v="0"/>
    <x v="326"/>
    <s v="Administración"/>
    <m/>
    <m/>
    <m/>
    <m/>
    <m/>
    <m/>
    <m/>
  </r>
  <r>
    <d v="2021-11-02T00:00:00"/>
    <x v="11"/>
    <x v="21"/>
    <x v="21"/>
    <n v="-100000"/>
    <n v="0"/>
    <n v="100000"/>
    <x v="32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2T00:00:00"/>
    <x v="11"/>
    <x v="0"/>
    <x v="0"/>
    <n v="65000"/>
    <n v="65000"/>
    <n v="0"/>
    <x v="326"/>
    <s v="Administración"/>
    <m/>
    <m/>
    <m/>
    <m/>
    <m/>
    <m/>
    <m/>
  </r>
  <r>
    <d v="2021-11-02T00:00:00"/>
    <x v="11"/>
    <x v="19"/>
    <x v="19"/>
    <n v="-65000"/>
    <n v="0"/>
    <n v="65000"/>
    <x v="32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2T00:00:00"/>
    <x v="11"/>
    <x v="0"/>
    <x v="0"/>
    <n v="40000"/>
    <n v="40000"/>
    <n v="0"/>
    <x v="643"/>
    <s v="Administración"/>
    <m/>
    <m/>
    <m/>
    <m/>
    <m/>
    <m/>
    <m/>
  </r>
  <r>
    <d v="2021-11-02T00:00:00"/>
    <x v="11"/>
    <x v="6"/>
    <x v="6"/>
    <n v="-40000"/>
    <n v="0"/>
    <n v="40000"/>
    <x v="64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2T00:00:00"/>
    <x v="11"/>
    <x v="0"/>
    <x v="0"/>
    <n v="10000"/>
    <n v="10000"/>
    <n v="0"/>
    <x v="78"/>
    <s v="Administración"/>
    <m/>
    <m/>
    <m/>
    <m/>
    <m/>
    <m/>
    <m/>
  </r>
  <r>
    <d v="2021-11-02T00:00:00"/>
    <x v="11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2T00:00:00"/>
    <x v="11"/>
    <x v="0"/>
    <x v="0"/>
    <n v="8000"/>
    <n v="8000"/>
    <n v="0"/>
    <x v="858"/>
    <s v="Administración"/>
    <m/>
    <m/>
    <m/>
    <m/>
    <m/>
    <m/>
    <m/>
  </r>
  <r>
    <d v="2021-11-02T00:00:00"/>
    <x v="11"/>
    <x v="19"/>
    <x v="19"/>
    <n v="-8000"/>
    <n v="0"/>
    <n v="8000"/>
    <x v="85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2T00:00:00"/>
    <x v="11"/>
    <x v="0"/>
    <x v="0"/>
    <n v="2000"/>
    <n v="2000"/>
    <n v="0"/>
    <x v="283"/>
    <s v="Administración"/>
    <m/>
    <m/>
    <m/>
    <m/>
    <m/>
    <m/>
    <m/>
  </r>
  <r>
    <d v="2021-11-02T00:00:00"/>
    <x v="11"/>
    <x v="19"/>
    <x v="19"/>
    <n v="-2000"/>
    <n v="0"/>
    <n v="2000"/>
    <x v="2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2T00:00:00"/>
    <x v="11"/>
    <x v="0"/>
    <x v="0"/>
    <n v="100000"/>
    <n v="100000"/>
    <n v="0"/>
    <x v="84"/>
    <s v="Administración"/>
    <m/>
    <m/>
    <m/>
    <m/>
    <m/>
    <m/>
    <m/>
  </r>
  <r>
    <d v="2021-11-02T00:00:00"/>
    <x v="11"/>
    <x v="19"/>
    <x v="19"/>
    <n v="-100000"/>
    <n v="0"/>
    <n v="100000"/>
    <x v="8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2T00:00:00"/>
    <x v="11"/>
    <x v="0"/>
    <x v="0"/>
    <n v="12000"/>
    <n v="12000"/>
    <n v="0"/>
    <x v="231"/>
    <s v="Administración"/>
    <m/>
    <m/>
    <m/>
    <m/>
    <m/>
    <m/>
    <m/>
  </r>
  <r>
    <d v="2021-11-02T00:00:00"/>
    <x v="11"/>
    <x v="19"/>
    <x v="19"/>
    <n v="-12000"/>
    <n v="0"/>
    <n v="12000"/>
    <x v="23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2T00:00:00"/>
    <x v="11"/>
    <x v="0"/>
    <x v="0"/>
    <n v="5000"/>
    <n v="5000"/>
    <n v="0"/>
    <x v="384"/>
    <s v="Administración"/>
    <m/>
    <m/>
    <m/>
    <m/>
    <m/>
    <m/>
    <m/>
  </r>
  <r>
    <d v="2021-11-02T00:00:00"/>
    <x v="11"/>
    <x v="19"/>
    <x v="19"/>
    <n v="-5000"/>
    <n v="0"/>
    <n v="5000"/>
    <x v="38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2T00:00:00"/>
    <x v="11"/>
    <x v="0"/>
    <x v="0"/>
    <n v="10000"/>
    <n v="10000"/>
    <n v="0"/>
    <x v="651"/>
    <s v="Administración"/>
    <m/>
    <m/>
    <m/>
    <m/>
    <m/>
    <m/>
    <m/>
  </r>
  <r>
    <d v="2021-11-02T00:00:00"/>
    <x v="11"/>
    <x v="20"/>
    <x v="20"/>
    <n v="-10000"/>
    <n v="0"/>
    <n v="10000"/>
    <x v="65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2T00:00:00"/>
    <x v="11"/>
    <x v="0"/>
    <x v="0"/>
    <n v="4000"/>
    <n v="4000"/>
    <n v="0"/>
    <x v="171"/>
    <s v="Administración"/>
    <m/>
    <m/>
    <m/>
    <m/>
    <m/>
    <m/>
    <m/>
  </r>
  <r>
    <d v="2021-11-02T00:00:00"/>
    <x v="11"/>
    <x v="19"/>
    <x v="19"/>
    <n v="-4000"/>
    <n v="0"/>
    <n v="4000"/>
    <x v="17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2T00:00:00"/>
    <x v="11"/>
    <x v="0"/>
    <x v="0"/>
    <n v="15000"/>
    <n v="15000"/>
    <n v="0"/>
    <x v="8"/>
    <s v="Administración"/>
    <m/>
    <m/>
    <m/>
    <m/>
    <m/>
    <m/>
    <m/>
  </r>
  <r>
    <d v="2021-11-02T00:00:00"/>
    <x v="11"/>
    <x v="6"/>
    <x v="6"/>
    <n v="-15000"/>
    <n v="0"/>
    <n v="15000"/>
    <x v="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2T00:00:00"/>
    <x v="11"/>
    <x v="0"/>
    <x v="0"/>
    <n v="15000"/>
    <n v="15000"/>
    <n v="0"/>
    <x v="85"/>
    <s v="Administración"/>
    <m/>
    <m/>
    <m/>
    <m/>
    <m/>
    <m/>
    <m/>
  </r>
  <r>
    <d v="2021-11-02T00:00:00"/>
    <x v="11"/>
    <x v="19"/>
    <x v="19"/>
    <n v="-15000"/>
    <n v="0"/>
    <n v="15000"/>
    <x v="8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2T00:00:00"/>
    <x v="11"/>
    <x v="0"/>
    <x v="0"/>
    <n v="2944"/>
    <n v="2944"/>
    <n v="0"/>
    <x v="744"/>
    <s v="Administración"/>
    <m/>
    <m/>
    <m/>
    <m/>
    <m/>
    <m/>
    <m/>
  </r>
  <r>
    <d v="2021-11-02T00:00:00"/>
    <x v="11"/>
    <x v="19"/>
    <x v="19"/>
    <n v="-2944"/>
    <n v="0"/>
    <n v="2944"/>
    <x v="7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2T00:00:00"/>
    <x v="11"/>
    <x v="0"/>
    <x v="0"/>
    <n v="1126810"/>
    <n v="1126810"/>
    <n v="0"/>
    <x v="861"/>
    <s v="Administración"/>
    <m/>
    <m/>
    <m/>
    <m/>
    <m/>
    <m/>
    <m/>
  </r>
  <r>
    <d v="2021-11-02T00:00:00"/>
    <x v="11"/>
    <x v="19"/>
    <x v="19"/>
    <n v="-1126810"/>
    <n v="0"/>
    <n v="112681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3T00:00:00"/>
    <x v="11"/>
    <x v="0"/>
    <x v="0"/>
    <n v="10000"/>
    <n v="10000"/>
    <n v="0"/>
    <x v="285"/>
    <s v="Administración"/>
    <m/>
    <m/>
    <m/>
    <m/>
    <m/>
    <m/>
    <m/>
  </r>
  <r>
    <d v="2021-11-03T00:00:00"/>
    <x v="11"/>
    <x v="19"/>
    <x v="19"/>
    <n v="-10000"/>
    <n v="0"/>
    <n v="10000"/>
    <x v="28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3T00:00:00"/>
    <x v="11"/>
    <x v="0"/>
    <x v="0"/>
    <n v="30000"/>
    <n v="30000"/>
    <n v="0"/>
    <x v="655"/>
    <s v="Administración"/>
    <m/>
    <m/>
    <m/>
    <m/>
    <m/>
    <m/>
    <m/>
  </r>
  <r>
    <d v="2021-11-03T00:00:00"/>
    <x v="11"/>
    <x v="6"/>
    <x v="6"/>
    <n v="-30000"/>
    <n v="0"/>
    <n v="30000"/>
    <x v="65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3T00:00:00"/>
    <x v="11"/>
    <x v="0"/>
    <x v="0"/>
    <n v="10000"/>
    <n v="10000"/>
    <n v="0"/>
    <x v="891"/>
    <s v="Administración"/>
    <m/>
    <m/>
    <m/>
    <m/>
    <m/>
    <m/>
    <m/>
  </r>
  <r>
    <d v="2021-11-03T00:00:00"/>
    <x v="11"/>
    <x v="19"/>
    <x v="19"/>
    <n v="-10000"/>
    <n v="0"/>
    <n v="10000"/>
    <x v="89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3T00:00:00"/>
    <x v="11"/>
    <x v="0"/>
    <x v="0"/>
    <n v="9816"/>
    <n v="9816"/>
    <n v="0"/>
    <x v="892"/>
    <s v="Administración"/>
    <m/>
    <m/>
    <m/>
    <m/>
    <m/>
    <m/>
    <m/>
  </r>
  <r>
    <d v="2021-11-03T00:00:00"/>
    <x v="11"/>
    <x v="6"/>
    <x v="6"/>
    <n v="-9816"/>
    <n v="0"/>
    <n v="9816"/>
    <x v="89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3T00:00:00"/>
    <x v="11"/>
    <x v="0"/>
    <x v="0"/>
    <n v="30000"/>
    <n v="30000"/>
    <n v="0"/>
    <x v="893"/>
    <s v="Administración"/>
    <m/>
    <m/>
    <m/>
    <m/>
    <m/>
    <m/>
    <m/>
  </r>
  <r>
    <d v="2021-11-03T00:00:00"/>
    <x v="11"/>
    <x v="19"/>
    <x v="19"/>
    <n v="-30000"/>
    <n v="0"/>
    <n v="30000"/>
    <x v="89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3T00:00:00"/>
    <x v="11"/>
    <x v="0"/>
    <x v="0"/>
    <n v="20000"/>
    <n v="20000"/>
    <n v="0"/>
    <x v="573"/>
    <s v="Administración"/>
    <m/>
    <m/>
    <m/>
    <m/>
    <m/>
    <m/>
    <m/>
  </r>
  <r>
    <d v="2021-11-03T00:00:00"/>
    <x v="11"/>
    <x v="21"/>
    <x v="21"/>
    <n v="-20000"/>
    <n v="0"/>
    <n v="20000"/>
    <x v="57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3T00:00:00"/>
    <x v="11"/>
    <x v="0"/>
    <x v="0"/>
    <n v="20000"/>
    <n v="20000"/>
    <n v="0"/>
    <x v="894"/>
    <s v="Administración"/>
    <m/>
    <m/>
    <m/>
    <m/>
    <m/>
    <m/>
    <m/>
  </r>
  <r>
    <d v="2021-11-03T00:00:00"/>
    <x v="11"/>
    <x v="6"/>
    <x v="6"/>
    <n v="-20000"/>
    <n v="0"/>
    <n v="20000"/>
    <x v="89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3T00:00:00"/>
    <x v="11"/>
    <x v="0"/>
    <x v="0"/>
    <n v="120000"/>
    <n v="120000"/>
    <n v="0"/>
    <x v="654"/>
    <s v="Administración"/>
    <m/>
    <m/>
    <m/>
    <m/>
    <m/>
    <m/>
    <m/>
  </r>
  <r>
    <d v="2021-11-03T00:00:00"/>
    <x v="11"/>
    <x v="6"/>
    <x v="6"/>
    <n v="-120000"/>
    <n v="0"/>
    <n v="120000"/>
    <x v="65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3T00:00:00"/>
    <x v="11"/>
    <x v="0"/>
    <x v="0"/>
    <n v="100000"/>
    <n v="100000"/>
    <n v="0"/>
    <x v="194"/>
    <s v="Administración"/>
    <m/>
    <m/>
    <m/>
    <m/>
    <m/>
    <m/>
    <m/>
  </r>
  <r>
    <d v="2021-11-03T00:00:00"/>
    <x v="11"/>
    <x v="19"/>
    <x v="19"/>
    <n v="-100000"/>
    <n v="0"/>
    <n v="100000"/>
    <x v="19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4T00:00:00"/>
    <x v="11"/>
    <x v="0"/>
    <x v="0"/>
    <n v="50000"/>
    <n v="50000"/>
    <n v="0"/>
    <x v="12"/>
    <s v="Administración"/>
    <m/>
    <m/>
    <m/>
    <m/>
    <m/>
    <m/>
    <m/>
  </r>
  <r>
    <d v="2021-11-04T00:00:00"/>
    <x v="11"/>
    <x v="6"/>
    <x v="6"/>
    <n v="-50000"/>
    <n v="0"/>
    <n v="50000"/>
    <x v="1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4T00:00:00"/>
    <x v="11"/>
    <x v="38"/>
    <x v="37"/>
    <n v="26612"/>
    <n v="26612"/>
    <n v="0"/>
    <x v="12"/>
    <s v="Administración"/>
    <m/>
    <m/>
    <m/>
    <m/>
    <m/>
    <m/>
    <m/>
  </r>
  <r>
    <d v="2021-11-04T00:00:00"/>
    <x v="11"/>
    <x v="0"/>
    <x v="0"/>
    <n v="-26612"/>
    <n v="0"/>
    <n v="26612"/>
    <x v="1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4T00:00:00"/>
    <x v="11"/>
    <x v="0"/>
    <x v="0"/>
    <n v="29447"/>
    <n v="29447"/>
    <n v="0"/>
    <x v="96"/>
    <s v="Administración"/>
    <m/>
    <m/>
    <m/>
    <m/>
    <m/>
    <m/>
    <m/>
  </r>
  <r>
    <d v="2021-11-04T00:00:00"/>
    <x v="11"/>
    <x v="19"/>
    <x v="19"/>
    <n v="-29447"/>
    <n v="0"/>
    <n v="29447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4T00:00:00"/>
    <x v="11"/>
    <x v="0"/>
    <x v="0"/>
    <n v="9679"/>
    <n v="9679"/>
    <n v="0"/>
    <x v="344"/>
    <s v="Administración"/>
    <m/>
    <m/>
    <m/>
    <m/>
    <m/>
    <m/>
    <m/>
  </r>
  <r>
    <d v="2021-11-04T00:00:00"/>
    <x v="11"/>
    <x v="20"/>
    <x v="20"/>
    <n v="-9679"/>
    <n v="0"/>
    <n v="9679"/>
    <x v="3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5T00:00:00"/>
    <x v="11"/>
    <x v="0"/>
    <x v="0"/>
    <n v="50000"/>
    <n v="50000"/>
    <n v="0"/>
    <x v="799"/>
    <s v="Administración"/>
    <m/>
    <m/>
    <m/>
    <m/>
    <m/>
    <m/>
    <m/>
  </r>
  <r>
    <d v="2021-11-05T00:00:00"/>
    <x v="11"/>
    <x v="19"/>
    <x v="19"/>
    <n v="-50000"/>
    <n v="0"/>
    <n v="50000"/>
    <x v="79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5T00:00:00"/>
    <x v="11"/>
    <x v="0"/>
    <x v="0"/>
    <n v="20000"/>
    <n v="20000"/>
    <n v="0"/>
    <x v="832"/>
    <s v="Administración"/>
    <m/>
    <m/>
    <m/>
    <m/>
    <m/>
    <m/>
    <m/>
  </r>
  <r>
    <d v="2021-11-05T00:00:00"/>
    <x v="11"/>
    <x v="19"/>
    <x v="19"/>
    <n v="-20000"/>
    <n v="0"/>
    <n v="20000"/>
    <x v="83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5T00:00:00"/>
    <x v="11"/>
    <x v="25"/>
    <x v="25"/>
    <n v="821027"/>
    <n v="821027"/>
    <n v="0"/>
    <x v="895"/>
    <s v="Administración"/>
    <m/>
    <m/>
    <m/>
    <m/>
    <m/>
    <m/>
    <m/>
  </r>
  <r>
    <d v="2021-11-05T00:00:00"/>
    <x v="11"/>
    <x v="0"/>
    <x v="0"/>
    <n v="-821027"/>
    <n v="0"/>
    <n v="821027"/>
    <x v="89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5T00:00:00"/>
    <x v="11"/>
    <x v="52"/>
    <x v="49"/>
    <n v="50000"/>
    <n v="50000"/>
    <n v="0"/>
    <x v="896"/>
    <s v="Administración"/>
    <m/>
    <m/>
    <m/>
    <m/>
    <m/>
    <m/>
    <m/>
  </r>
  <r>
    <d v="2021-11-05T00:00:00"/>
    <x v="11"/>
    <x v="0"/>
    <x v="0"/>
    <n v="-50000"/>
    <n v="0"/>
    <n v="50000"/>
    <x v="8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5T00:00:00"/>
    <x v="11"/>
    <x v="54"/>
    <x v="51"/>
    <n v="600000"/>
    <n v="600000"/>
    <n v="0"/>
    <x v="897"/>
    <s v="Administración"/>
    <m/>
    <m/>
    <m/>
    <m/>
    <m/>
    <m/>
    <m/>
  </r>
  <r>
    <d v="2021-11-05T00:00:00"/>
    <x v="11"/>
    <x v="0"/>
    <x v="0"/>
    <n v="-600000"/>
    <n v="0"/>
    <n v="600000"/>
    <x v="89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5T00:00:00"/>
    <x v="11"/>
    <x v="32"/>
    <x v="32"/>
    <n v="89250"/>
    <n v="89250"/>
    <n v="0"/>
    <x v="898"/>
    <s v="Administración"/>
    <m/>
    <m/>
    <m/>
    <m/>
    <m/>
    <m/>
    <m/>
  </r>
  <r>
    <d v="2021-11-05T00:00:00"/>
    <x v="11"/>
    <x v="0"/>
    <x v="0"/>
    <n v="-89250"/>
    <n v="0"/>
    <n v="89250"/>
    <x v="89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5T00:00:00"/>
    <x v="11"/>
    <x v="0"/>
    <x v="0"/>
    <n v="90000"/>
    <n v="90000"/>
    <n v="0"/>
    <x v="466"/>
    <s v="Administración"/>
    <m/>
    <m/>
    <m/>
    <m/>
    <m/>
    <m/>
    <m/>
  </r>
  <r>
    <d v="2021-11-05T00:00:00"/>
    <x v="11"/>
    <x v="6"/>
    <x v="6"/>
    <n v="-90000"/>
    <n v="0"/>
    <n v="90000"/>
    <x v="46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5T00:00:00"/>
    <x v="11"/>
    <x v="0"/>
    <x v="0"/>
    <n v="25000"/>
    <n v="25000"/>
    <n v="0"/>
    <x v="812"/>
    <s v="Administración"/>
    <m/>
    <m/>
    <m/>
    <m/>
    <m/>
    <m/>
    <m/>
  </r>
  <r>
    <d v="2021-11-05T00:00:00"/>
    <x v="11"/>
    <x v="19"/>
    <x v="19"/>
    <n v="-25000"/>
    <n v="0"/>
    <n v="25000"/>
    <x v="81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5T00:00:00"/>
    <x v="11"/>
    <x v="0"/>
    <x v="0"/>
    <n v="20000"/>
    <n v="20000"/>
    <n v="0"/>
    <x v="297"/>
    <s v="Administración"/>
    <m/>
    <m/>
    <m/>
    <m/>
    <m/>
    <m/>
    <m/>
  </r>
  <r>
    <d v="2021-11-05T00:00:00"/>
    <x v="11"/>
    <x v="6"/>
    <x v="6"/>
    <n v="-20000"/>
    <n v="0"/>
    <n v="20000"/>
    <x v="29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5T00:00:00"/>
    <x v="11"/>
    <x v="23"/>
    <x v="23"/>
    <n v="21666"/>
    <n v="21666"/>
    <n v="0"/>
    <x v="813"/>
    <s v="Administración"/>
    <m/>
    <m/>
    <m/>
    <m/>
    <m/>
    <m/>
    <m/>
  </r>
  <r>
    <d v="2021-11-05T00:00:00"/>
    <x v="11"/>
    <x v="0"/>
    <x v="0"/>
    <n v="-21666"/>
    <n v="0"/>
    <n v="21666"/>
    <x v="81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5T00:00:00"/>
    <x v="11"/>
    <x v="0"/>
    <x v="0"/>
    <n v="33879"/>
    <n v="33879"/>
    <n v="0"/>
    <x v="96"/>
    <s v="Administración"/>
    <m/>
    <m/>
    <m/>
    <m/>
    <m/>
    <m/>
    <m/>
  </r>
  <r>
    <d v="2021-11-05T00:00:00"/>
    <x v="11"/>
    <x v="19"/>
    <x v="19"/>
    <n v="-33879"/>
    <n v="0"/>
    <n v="33879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5T00:00:00"/>
    <x v="11"/>
    <x v="0"/>
    <x v="0"/>
    <n v="80000"/>
    <n v="80000"/>
    <n v="0"/>
    <x v="470"/>
    <s v="Administración"/>
    <m/>
    <m/>
    <m/>
    <m/>
    <m/>
    <m/>
    <m/>
  </r>
  <r>
    <d v="2021-11-05T00:00:00"/>
    <x v="11"/>
    <x v="19"/>
    <x v="19"/>
    <n v="-80000"/>
    <n v="0"/>
    <n v="80000"/>
    <x v="47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5T00:00:00"/>
    <x v="11"/>
    <x v="0"/>
    <x v="0"/>
    <n v="20000"/>
    <n v="20000"/>
    <n v="0"/>
    <x v="389"/>
    <s v="Administración"/>
    <m/>
    <m/>
    <m/>
    <m/>
    <m/>
    <m/>
    <m/>
  </r>
  <r>
    <d v="2021-11-05T00:00:00"/>
    <x v="11"/>
    <x v="19"/>
    <x v="19"/>
    <n v="-20000"/>
    <n v="0"/>
    <n v="20000"/>
    <x v="38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5T00:00:00"/>
    <x v="11"/>
    <x v="0"/>
    <x v="0"/>
    <n v="5000"/>
    <n v="5000"/>
    <n v="0"/>
    <x v="389"/>
    <s v="Administración"/>
    <m/>
    <m/>
    <m/>
    <m/>
    <m/>
    <m/>
    <m/>
  </r>
  <r>
    <d v="2021-11-05T00:00:00"/>
    <x v="11"/>
    <x v="19"/>
    <x v="19"/>
    <n v="-5000"/>
    <n v="0"/>
    <n v="5000"/>
    <x v="38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5T00:00:00"/>
    <x v="11"/>
    <x v="0"/>
    <x v="0"/>
    <n v="30000"/>
    <n v="30000"/>
    <n v="0"/>
    <x v="899"/>
    <s v="Administración"/>
    <m/>
    <m/>
    <m/>
    <m/>
    <m/>
    <m/>
    <m/>
  </r>
  <r>
    <d v="2021-11-05T00:00:00"/>
    <x v="11"/>
    <x v="24"/>
    <x v="24"/>
    <n v="-30000"/>
    <n v="0"/>
    <n v="30000"/>
    <x v="89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9"/>
    <x v="9"/>
    <n v="101963"/>
    <n v="101963"/>
    <n v="0"/>
    <x v="900"/>
    <s v="Administración"/>
    <m/>
    <m/>
    <m/>
    <m/>
    <m/>
    <m/>
    <m/>
  </r>
  <r>
    <d v="2021-11-08T00:00:00"/>
    <x v="11"/>
    <x v="6"/>
    <x v="6"/>
    <n v="45290"/>
    <n v="45290"/>
    <n v="0"/>
    <x v="900"/>
    <s v="Administración"/>
    <m/>
    <m/>
    <m/>
    <m/>
    <m/>
    <m/>
    <m/>
  </r>
  <r>
    <d v="2021-11-08T00:00:00"/>
    <x v="11"/>
    <x v="0"/>
    <x v="0"/>
    <n v="-147253"/>
    <n v="0"/>
    <n v="147253"/>
    <x v="90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10"/>
    <x v="10"/>
    <n v="179490"/>
    <n v="179490"/>
    <n v="0"/>
    <x v="582"/>
    <s v="Administración"/>
    <m/>
    <m/>
    <m/>
    <m/>
    <m/>
    <m/>
    <m/>
  </r>
  <r>
    <d v="2021-11-08T00:00:00"/>
    <x v="11"/>
    <x v="0"/>
    <x v="0"/>
    <n v="-179490"/>
    <n v="0"/>
    <n v="179490"/>
    <x v="58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10"/>
    <x v="10"/>
    <n v="408749"/>
    <n v="408749"/>
    <n v="0"/>
    <x v="581"/>
    <s v="Administración"/>
    <m/>
    <m/>
    <m/>
    <m/>
    <m/>
    <m/>
    <m/>
  </r>
  <r>
    <d v="2021-11-08T00:00:00"/>
    <x v="11"/>
    <x v="0"/>
    <x v="0"/>
    <n v="-408749"/>
    <n v="0"/>
    <n v="408749"/>
    <x v="58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25000"/>
    <n v="25000"/>
    <n v="0"/>
    <x v="457"/>
    <s v="Administración"/>
    <m/>
    <m/>
    <m/>
    <m/>
    <m/>
    <m/>
    <m/>
  </r>
  <r>
    <d v="2021-11-08T00:00:00"/>
    <x v="11"/>
    <x v="42"/>
    <x v="23"/>
    <n v="-25000"/>
    <n v="0"/>
    <n v="25000"/>
    <x v="45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20000"/>
    <n v="20000"/>
    <n v="0"/>
    <x v="113"/>
    <s v="Administración"/>
    <m/>
    <m/>
    <m/>
    <m/>
    <m/>
    <m/>
    <m/>
  </r>
  <r>
    <d v="2021-11-08T00:00:00"/>
    <x v="11"/>
    <x v="19"/>
    <x v="19"/>
    <n v="-20000"/>
    <n v="0"/>
    <n v="20000"/>
    <x v="11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21000"/>
    <n v="21000"/>
    <n v="0"/>
    <x v="749"/>
    <s v="Administración"/>
    <m/>
    <m/>
    <m/>
    <m/>
    <m/>
    <m/>
    <m/>
  </r>
  <r>
    <d v="2021-11-08T00:00:00"/>
    <x v="11"/>
    <x v="6"/>
    <x v="6"/>
    <n v="-21000"/>
    <n v="0"/>
    <n v="21000"/>
    <x v="74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10000"/>
    <n v="10000"/>
    <n v="0"/>
    <x v="78"/>
    <s v="Administración"/>
    <m/>
    <m/>
    <m/>
    <m/>
    <m/>
    <m/>
    <m/>
  </r>
  <r>
    <d v="2021-11-08T00:00:00"/>
    <x v="11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32000"/>
    <n v="32000"/>
    <n v="0"/>
    <x v="901"/>
    <s v="Administración"/>
    <m/>
    <m/>
    <m/>
    <m/>
    <m/>
    <m/>
    <m/>
  </r>
  <r>
    <d v="2021-11-08T00:00:00"/>
    <x v="11"/>
    <x v="55"/>
    <x v="52"/>
    <n v="-32000"/>
    <n v="0"/>
    <n v="32000"/>
    <x v="90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30000"/>
    <n v="30000"/>
    <n v="0"/>
    <x v="901"/>
    <s v="Administración"/>
    <m/>
    <m/>
    <m/>
    <m/>
    <m/>
    <m/>
    <m/>
  </r>
  <r>
    <d v="2021-11-08T00:00:00"/>
    <x v="11"/>
    <x v="55"/>
    <x v="52"/>
    <n v="-30000"/>
    <n v="0"/>
    <n v="30000"/>
    <x v="90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10000"/>
    <n v="10000"/>
    <n v="0"/>
    <x v="167"/>
    <s v="Administración"/>
    <m/>
    <m/>
    <m/>
    <m/>
    <m/>
    <m/>
    <m/>
  </r>
  <r>
    <d v="2021-11-08T00:00:00"/>
    <x v="11"/>
    <x v="19"/>
    <x v="19"/>
    <n v="-10000"/>
    <n v="0"/>
    <n v="10000"/>
    <x v="16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32000"/>
    <n v="32000"/>
    <n v="0"/>
    <x v="902"/>
    <s v="Administración"/>
    <m/>
    <m/>
    <m/>
    <m/>
    <m/>
    <m/>
    <m/>
  </r>
  <r>
    <d v="2021-11-08T00:00:00"/>
    <x v="11"/>
    <x v="55"/>
    <x v="52"/>
    <n v="-32000"/>
    <n v="0"/>
    <n v="32000"/>
    <x v="90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64000"/>
    <n v="64000"/>
    <n v="0"/>
    <x v="903"/>
    <s v="Administración"/>
    <m/>
    <m/>
    <m/>
    <m/>
    <m/>
    <m/>
    <m/>
  </r>
  <r>
    <d v="2021-11-08T00:00:00"/>
    <x v="11"/>
    <x v="55"/>
    <x v="52"/>
    <n v="-64000"/>
    <n v="0"/>
    <n v="64000"/>
    <x v="90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32000"/>
    <n v="32000"/>
    <n v="0"/>
    <x v="904"/>
    <s v="Administración"/>
    <m/>
    <m/>
    <m/>
    <m/>
    <m/>
    <m/>
    <m/>
  </r>
  <r>
    <d v="2021-11-08T00:00:00"/>
    <x v="11"/>
    <x v="55"/>
    <x v="52"/>
    <n v="-32000"/>
    <n v="0"/>
    <n v="32000"/>
    <x v="90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32000"/>
    <n v="32000"/>
    <n v="0"/>
    <x v="905"/>
    <s v="Administración"/>
    <m/>
    <m/>
    <m/>
    <m/>
    <m/>
    <m/>
    <m/>
  </r>
  <r>
    <d v="2021-11-08T00:00:00"/>
    <x v="11"/>
    <x v="55"/>
    <x v="52"/>
    <n v="-32000"/>
    <n v="0"/>
    <n v="32000"/>
    <x v="90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10000"/>
    <n v="10000"/>
    <n v="0"/>
    <x v="319"/>
    <s v="Administración"/>
    <m/>
    <m/>
    <m/>
    <m/>
    <m/>
    <m/>
    <m/>
  </r>
  <r>
    <d v="2021-11-08T00:00:00"/>
    <x v="11"/>
    <x v="19"/>
    <x v="19"/>
    <n v="-10000"/>
    <n v="0"/>
    <n v="10000"/>
    <x v="31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20000"/>
    <n v="20000"/>
    <n v="0"/>
    <x v="349"/>
    <s v="Administración"/>
    <m/>
    <m/>
    <m/>
    <m/>
    <m/>
    <m/>
    <m/>
  </r>
  <r>
    <d v="2021-11-08T00:00:00"/>
    <x v="11"/>
    <x v="19"/>
    <x v="19"/>
    <n v="-20000"/>
    <n v="0"/>
    <n v="20000"/>
    <x v="34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25000"/>
    <n v="25000"/>
    <n v="0"/>
    <x v="268"/>
    <s v="Administración"/>
    <m/>
    <m/>
    <m/>
    <m/>
    <m/>
    <m/>
    <m/>
  </r>
  <r>
    <d v="2021-11-08T00:00:00"/>
    <x v="11"/>
    <x v="42"/>
    <x v="23"/>
    <n v="-25000"/>
    <n v="0"/>
    <n v="25000"/>
    <x v="26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32000"/>
    <n v="32000"/>
    <n v="0"/>
    <x v="906"/>
    <s v="Administración"/>
    <m/>
    <m/>
    <m/>
    <m/>
    <m/>
    <m/>
    <m/>
  </r>
  <r>
    <d v="2021-11-08T00:00:00"/>
    <x v="11"/>
    <x v="55"/>
    <x v="52"/>
    <n v="-32000"/>
    <n v="0"/>
    <n v="32000"/>
    <x v="90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40000"/>
    <n v="40000"/>
    <n v="0"/>
    <x v="810"/>
    <s v="Administración"/>
    <m/>
    <m/>
    <m/>
    <m/>
    <m/>
    <m/>
    <m/>
  </r>
  <r>
    <d v="2021-11-08T00:00:00"/>
    <x v="11"/>
    <x v="19"/>
    <x v="19"/>
    <n v="-40000"/>
    <n v="0"/>
    <n v="40000"/>
    <x v="81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40000"/>
    <n v="40000"/>
    <n v="0"/>
    <x v="806"/>
    <s v="Administración"/>
    <m/>
    <m/>
    <m/>
    <m/>
    <m/>
    <m/>
    <m/>
  </r>
  <r>
    <d v="2021-11-08T00:00:00"/>
    <x v="11"/>
    <x v="19"/>
    <x v="19"/>
    <n v="-40000"/>
    <n v="0"/>
    <n v="40000"/>
    <x v="80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64000"/>
    <n v="64000"/>
    <n v="0"/>
    <x v="907"/>
    <s v="Administración"/>
    <m/>
    <m/>
    <m/>
    <m/>
    <m/>
    <m/>
    <m/>
  </r>
  <r>
    <d v="2021-11-08T00:00:00"/>
    <x v="11"/>
    <x v="55"/>
    <x v="52"/>
    <n v="-64000"/>
    <n v="0"/>
    <n v="64000"/>
    <x v="90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60000"/>
    <n v="60000"/>
    <n v="0"/>
    <x v="908"/>
    <s v="Administración"/>
    <m/>
    <m/>
    <m/>
    <m/>
    <m/>
    <m/>
    <m/>
  </r>
  <r>
    <d v="2021-11-08T00:00:00"/>
    <x v="11"/>
    <x v="6"/>
    <x v="6"/>
    <n v="-60000"/>
    <n v="0"/>
    <n v="60000"/>
    <x v="90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2000"/>
    <n v="2000"/>
    <n v="0"/>
    <x v="283"/>
    <s v="Administración"/>
    <m/>
    <m/>
    <m/>
    <m/>
    <m/>
    <m/>
    <m/>
  </r>
  <r>
    <d v="2021-11-08T00:00:00"/>
    <x v="11"/>
    <x v="19"/>
    <x v="19"/>
    <n v="-2000"/>
    <n v="0"/>
    <n v="2000"/>
    <x v="2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9680"/>
    <n v="9680"/>
    <n v="0"/>
    <x v="909"/>
    <s v="Administración"/>
    <m/>
    <m/>
    <m/>
    <m/>
    <m/>
    <m/>
    <m/>
  </r>
  <r>
    <d v="2021-11-08T00:00:00"/>
    <x v="11"/>
    <x v="55"/>
    <x v="52"/>
    <n v="-9680"/>
    <n v="0"/>
    <n v="9680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32000"/>
    <n v="32000"/>
    <n v="0"/>
    <x v="910"/>
    <s v="Administración"/>
    <m/>
    <m/>
    <m/>
    <m/>
    <m/>
    <m/>
    <m/>
  </r>
  <r>
    <d v="2021-11-08T00:00:00"/>
    <x v="11"/>
    <x v="55"/>
    <x v="52"/>
    <n v="-32000"/>
    <n v="0"/>
    <n v="32000"/>
    <x v="91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60000"/>
    <n v="60000"/>
    <n v="0"/>
    <x v="911"/>
    <s v="Administración"/>
    <m/>
    <m/>
    <m/>
    <m/>
    <m/>
    <m/>
    <m/>
  </r>
  <r>
    <d v="2021-11-08T00:00:00"/>
    <x v="11"/>
    <x v="6"/>
    <x v="6"/>
    <n v="-60000"/>
    <n v="0"/>
    <n v="60000"/>
    <x v="91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150000"/>
    <n v="150000"/>
    <n v="0"/>
    <x v="912"/>
    <s v="Administración"/>
    <m/>
    <m/>
    <m/>
    <m/>
    <m/>
    <m/>
    <m/>
  </r>
  <r>
    <d v="2021-11-08T00:00:00"/>
    <x v="11"/>
    <x v="55"/>
    <x v="52"/>
    <n v="-150000"/>
    <n v="0"/>
    <n v="150000"/>
    <x v="91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72000"/>
    <n v="72000"/>
    <n v="0"/>
    <x v="913"/>
    <s v="Administración"/>
    <m/>
    <m/>
    <m/>
    <m/>
    <m/>
    <m/>
    <m/>
  </r>
  <r>
    <d v="2021-11-08T00:00:00"/>
    <x v="11"/>
    <x v="55"/>
    <x v="52"/>
    <n v="-72000"/>
    <n v="0"/>
    <n v="72000"/>
    <x v="91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30000"/>
    <n v="30000"/>
    <n v="0"/>
    <x v="32"/>
    <s v="Administración"/>
    <m/>
    <m/>
    <m/>
    <m/>
    <m/>
    <m/>
    <m/>
  </r>
  <r>
    <d v="2021-11-08T00:00:00"/>
    <x v="11"/>
    <x v="6"/>
    <x v="6"/>
    <n v="-30000"/>
    <n v="0"/>
    <n v="30000"/>
    <x v="3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25000"/>
    <n v="25000"/>
    <n v="0"/>
    <x v="752"/>
    <s v="Administración"/>
    <m/>
    <m/>
    <m/>
    <m/>
    <m/>
    <m/>
    <m/>
  </r>
  <r>
    <d v="2021-11-08T00:00:00"/>
    <x v="11"/>
    <x v="42"/>
    <x v="23"/>
    <n v="-25000"/>
    <n v="0"/>
    <n v="25000"/>
    <x v="75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8T00:00:00"/>
    <x v="11"/>
    <x v="0"/>
    <x v="0"/>
    <n v="484910"/>
    <n v="484910"/>
    <n v="0"/>
    <x v="747"/>
    <s v="Administración"/>
    <m/>
    <m/>
    <m/>
    <m/>
    <m/>
    <m/>
    <m/>
  </r>
  <r>
    <d v="2021-11-08T00:00:00"/>
    <x v="11"/>
    <x v="19"/>
    <x v="19"/>
    <n v="-484910"/>
    <n v="0"/>
    <n v="484910"/>
    <x v="74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9T00:00:00"/>
    <x v="11"/>
    <x v="0"/>
    <x v="0"/>
    <n v="15000"/>
    <n v="15000"/>
    <n v="0"/>
    <x v="323"/>
    <s v="Administración"/>
    <m/>
    <m/>
    <m/>
    <m/>
    <m/>
    <m/>
    <m/>
  </r>
  <r>
    <d v="2021-11-09T00:00:00"/>
    <x v="11"/>
    <x v="19"/>
    <x v="19"/>
    <n v="-15000"/>
    <n v="0"/>
    <n v="15000"/>
    <x v="32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9T00:00:00"/>
    <x v="11"/>
    <x v="0"/>
    <x v="0"/>
    <n v="30000"/>
    <n v="30000"/>
    <n v="0"/>
    <x v="18"/>
    <s v="Administración"/>
    <m/>
    <m/>
    <m/>
    <m/>
    <m/>
    <m/>
    <m/>
  </r>
  <r>
    <d v="2021-11-09T00:00:00"/>
    <x v="11"/>
    <x v="6"/>
    <x v="6"/>
    <n v="-30000"/>
    <n v="0"/>
    <n v="30000"/>
    <x v="1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9T00:00:00"/>
    <x v="11"/>
    <x v="0"/>
    <x v="0"/>
    <n v="32000"/>
    <n v="32000"/>
    <n v="0"/>
    <x v="914"/>
    <s v="Administración"/>
    <m/>
    <m/>
    <m/>
    <m/>
    <m/>
    <m/>
    <m/>
  </r>
  <r>
    <d v="2021-11-09T00:00:00"/>
    <x v="11"/>
    <x v="55"/>
    <x v="52"/>
    <n v="-32000"/>
    <n v="0"/>
    <n v="32000"/>
    <x v="91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9T00:00:00"/>
    <x v="11"/>
    <x v="0"/>
    <x v="0"/>
    <n v="50000"/>
    <n v="50000"/>
    <n v="0"/>
    <x v="915"/>
    <s v="Administración"/>
    <m/>
    <m/>
    <m/>
    <m/>
    <m/>
    <m/>
    <m/>
  </r>
  <r>
    <d v="2021-11-09T00:00:00"/>
    <x v="11"/>
    <x v="24"/>
    <x v="24"/>
    <n v="-50000"/>
    <n v="0"/>
    <n v="50000"/>
    <x v="9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9T00:00:00"/>
    <x v="11"/>
    <x v="0"/>
    <x v="0"/>
    <n v="394585"/>
    <n v="394585"/>
    <n v="0"/>
    <x v="909"/>
    <s v="Administración"/>
    <m/>
    <m/>
    <m/>
    <m/>
    <m/>
    <m/>
    <m/>
  </r>
  <r>
    <d v="2021-11-09T00:00:00"/>
    <x v="11"/>
    <x v="55"/>
    <x v="52"/>
    <n v="-394585"/>
    <n v="0"/>
    <n v="394585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9T00:00:00"/>
    <x v="11"/>
    <x v="0"/>
    <x v="0"/>
    <n v="64000"/>
    <n v="64000"/>
    <n v="0"/>
    <x v="916"/>
    <s v="Administración"/>
    <m/>
    <m/>
    <m/>
    <m/>
    <m/>
    <m/>
    <m/>
  </r>
  <r>
    <d v="2021-11-09T00:00:00"/>
    <x v="11"/>
    <x v="55"/>
    <x v="52"/>
    <n v="-64000"/>
    <n v="0"/>
    <n v="64000"/>
    <x v="91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9T00:00:00"/>
    <x v="11"/>
    <x v="0"/>
    <x v="0"/>
    <n v="64000"/>
    <n v="64000"/>
    <n v="0"/>
    <x v="917"/>
    <s v="Administración"/>
    <m/>
    <m/>
    <m/>
    <m/>
    <m/>
    <m/>
    <m/>
  </r>
  <r>
    <d v="2021-11-09T00:00:00"/>
    <x v="11"/>
    <x v="55"/>
    <x v="52"/>
    <n v="-64000"/>
    <n v="0"/>
    <n v="64000"/>
    <x v="91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9T00:00:00"/>
    <x v="11"/>
    <x v="0"/>
    <x v="0"/>
    <n v="64000"/>
    <n v="64000"/>
    <n v="0"/>
    <x v="918"/>
    <s v="Administración"/>
    <m/>
    <m/>
    <m/>
    <m/>
    <m/>
    <m/>
    <m/>
  </r>
  <r>
    <d v="2021-11-09T00:00:00"/>
    <x v="11"/>
    <x v="55"/>
    <x v="52"/>
    <n v="-64000"/>
    <n v="0"/>
    <n v="64000"/>
    <x v="91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09T00:00:00"/>
    <x v="11"/>
    <x v="0"/>
    <x v="0"/>
    <n v="32000"/>
    <n v="32000"/>
    <n v="0"/>
    <x v="919"/>
    <s v="Administración"/>
    <m/>
    <m/>
    <m/>
    <m/>
    <m/>
    <m/>
    <m/>
  </r>
  <r>
    <d v="2021-11-09T00:00:00"/>
    <x v="11"/>
    <x v="55"/>
    <x v="52"/>
    <n v="-32000"/>
    <n v="0"/>
    <n v="32000"/>
    <x v="91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0T00:00:00"/>
    <x v="11"/>
    <x v="0"/>
    <x v="0"/>
    <n v="32000"/>
    <n v="32000"/>
    <n v="0"/>
    <x v="920"/>
    <s v="Administración"/>
    <m/>
    <m/>
    <m/>
    <m/>
    <m/>
    <m/>
    <m/>
  </r>
  <r>
    <d v="2021-11-10T00:00:00"/>
    <x v="11"/>
    <x v="55"/>
    <x v="52"/>
    <n v="-32000"/>
    <n v="0"/>
    <n v="32000"/>
    <x v="92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0T00:00:00"/>
    <x v="11"/>
    <x v="26"/>
    <x v="26"/>
    <n v="5141"/>
    <n v="5141"/>
    <n v="0"/>
    <x v="23"/>
    <s v="Administración"/>
    <m/>
    <m/>
    <m/>
    <m/>
    <m/>
    <m/>
    <m/>
  </r>
  <r>
    <d v="2021-11-10T00:00:00"/>
    <x v="11"/>
    <x v="0"/>
    <x v="0"/>
    <n v="-5141"/>
    <n v="0"/>
    <n v="5141"/>
    <x v="2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0T00:00:00"/>
    <x v="11"/>
    <x v="27"/>
    <x v="27"/>
    <n v="35956"/>
    <n v="35956"/>
    <n v="0"/>
    <x v="491"/>
    <s v="Administración"/>
    <m/>
    <m/>
    <m/>
    <m/>
    <m/>
    <m/>
    <m/>
  </r>
  <r>
    <d v="2021-11-10T00:00:00"/>
    <x v="11"/>
    <x v="0"/>
    <x v="0"/>
    <n v="-35956"/>
    <n v="0"/>
    <n v="35956"/>
    <x v="49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0T00:00:00"/>
    <x v="11"/>
    <x v="0"/>
    <x v="0"/>
    <n v="557557"/>
    <n v="557557"/>
    <n v="0"/>
    <x v="921"/>
    <s v="Administración"/>
    <m/>
    <m/>
    <m/>
    <m/>
    <m/>
    <m/>
    <m/>
  </r>
  <r>
    <d v="2021-11-10T00:00:00"/>
    <x v="11"/>
    <x v="55"/>
    <x v="52"/>
    <n v="-557557"/>
    <n v="0"/>
    <n v="557557"/>
    <x v="92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0T00:00:00"/>
    <x v="11"/>
    <x v="0"/>
    <x v="0"/>
    <n v="19361"/>
    <n v="19361"/>
    <n v="0"/>
    <x v="96"/>
    <s v="Administración"/>
    <m/>
    <m/>
    <m/>
    <m/>
    <m/>
    <m/>
    <m/>
  </r>
  <r>
    <d v="2021-11-10T00:00:00"/>
    <x v="11"/>
    <x v="19"/>
    <x v="19"/>
    <n v="-19361"/>
    <n v="0"/>
    <n v="19361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0T00:00:00"/>
    <x v="11"/>
    <x v="0"/>
    <x v="0"/>
    <n v="50000"/>
    <n v="50000"/>
    <n v="0"/>
    <x v="25"/>
    <s v="Administración"/>
    <m/>
    <m/>
    <m/>
    <m/>
    <m/>
    <m/>
    <m/>
  </r>
  <r>
    <d v="2021-11-10T00:00:00"/>
    <x v="11"/>
    <x v="6"/>
    <x v="6"/>
    <n v="-50000"/>
    <n v="0"/>
    <n v="50000"/>
    <x v="2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0T00:00:00"/>
    <x v="11"/>
    <x v="0"/>
    <x v="0"/>
    <n v="64000"/>
    <n v="64000"/>
    <n v="0"/>
    <x v="922"/>
    <s v="Administración"/>
    <m/>
    <m/>
    <m/>
    <m/>
    <m/>
    <m/>
    <m/>
  </r>
  <r>
    <d v="2021-11-10T00:00:00"/>
    <x v="11"/>
    <x v="55"/>
    <x v="52"/>
    <n v="-64000"/>
    <n v="0"/>
    <n v="64000"/>
    <x v="92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0T00:00:00"/>
    <x v="11"/>
    <x v="0"/>
    <x v="0"/>
    <n v="20000"/>
    <n v="20000"/>
    <n v="0"/>
    <x v="923"/>
    <s v="Administración"/>
    <m/>
    <m/>
    <m/>
    <m/>
    <m/>
    <m/>
    <m/>
  </r>
  <r>
    <d v="2021-11-10T00:00:00"/>
    <x v="11"/>
    <x v="24"/>
    <x v="24"/>
    <n v="-20000"/>
    <n v="0"/>
    <n v="20000"/>
    <x v="92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0T00:00:00"/>
    <x v="11"/>
    <x v="0"/>
    <x v="0"/>
    <n v="16000"/>
    <n v="16000"/>
    <n v="0"/>
    <x v="747"/>
    <s v="Administración"/>
    <m/>
    <m/>
    <m/>
    <m/>
    <m/>
    <m/>
    <m/>
  </r>
  <r>
    <d v="2021-11-10T00:00:00"/>
    <x v="11"/>
    <x v="19"/>
    <x v="19"/>
    <n v="-16000"/>
    <n v="0"/>
    <n v="16000"/>
    <x v="74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0T00:00:00"/>
    <x v="11"/>
    <x v="0"/>
    <x v="0"/>
    <n v="3000"/>
    <n v="3000"/>
    <n v="0"/>
    <x v="924"/>
    <s v="Administración"/>
    <m/>
    <m/>
    <m/>
    <m/>
    <m/>
    <m/>
    <m/>
  </r>
  <r>
    <d v="2021-11-10T00:00:00"/>
    <x v="11"/>
    <x v="24"/>
    <x v="24"/>
    <n v="-3000"/>
    <n v="0"/>
    <n v="3000"/>
    <x v="92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0T00:00:00"/>
    <x v="11"/>
    <x v="0"/>
    <x v="0"/>
    <n v="40000"/>
    <n v="40000"/>
    <n v="0"/>
    <x v="925"/>
    <s v="Administración"/>
    <m/>
    <m/>
    <m/>
    <m/>
    <m/>
    <m/>
    <m/>
  </r>
  <r>
    <d v="2021-11-10T00:00:00"/>
    <x v="11"/>
    <x v="55"/>
    <x v="52"/>
    <n v="-40000"/>
    <n v="0"/>
    <n v="40000"/>
    <x v="92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1T00:00:00"/>
    <x v="11"/>
    <x v="0"/>
    <x v="0"/>
    <n v="35000"/>
    <n v="35000"/>
    <n v="0"/>
    <x v="712"/>
    <s v="Administración"/>
    <m/>
    <m/>
    <m/>
    <m/>
    <m/>
    <m/>
    <m/>
  </r>
  <r>
    <d v="2021-11-11T00:00:00"/>
    <x v="11"/>
    <x v="6"/>
    <x v="6"/>
    <n v="-35000"/>
    <n v="0"/>
    <n v="35000"/>
    <x v="71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1T00:00:00"/>
    <x v="11"/>
    <x v="0"/>
    <x v="0"/>
    <n v="64000"/>
    <n v="64000"/>
    <n v="0"/>
    <x v="926"/>
    <s v="Administración"/>
    <m/>
    <m/>
    <m/>
    <m/>
    <m/>
    <m/>
    <m/>
  </r>
  <r>
    <d v="2021-11-11T00:00:00"/>
    <x v="11"/>
    <x v="55"/>
    <x v="52"/>
    <n v="-64000"/>
    <n v="0"/>
    <n v="64000"/>
    <x v="92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1T00:00:00"/>
    <x v="11"/>
    <x v="0"/>
    <x v="0"/>
    <n v="5000"/>
    <n v="5000"/>
    <n v="0"/>
    <x v="927"/>
    <s v="Administración"/>
    <m/>
    <m/>
    <m/>
    <m/>
    <m/>
    <m/>
    <m/>
  </r>
  <r>
    <d v="2021-11-11T00:00:00"/>
    <x v="11"/>
    <x v="20"/>
    <x v="20"/>
    <n v="-5000"/>
    <n v="0"/>
    <n v="5000"/>
    <x v="92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1T00:00:00"/>
    <x v="11"/>
    <x v="0"/>
    <x v="0"/>
    <n v="320000"/>
    <n v="320000"/>
    <n v="0"/>
    <x v="928"/>
    <s v="Administración"/>
    <m/>
    <m/>
    <m/>
    <m/>
    <m/>
    <m/>
    <m/>
  </r>
  <r>
    <d v="2021-11-11T00:00:00"/>
    <x v="11"/>
    <x v="55"/>
    <x v="52"/>
    <n v="-320000"/>
    <n v="0"/>
    <n v="320000"/>
    <x v="92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1T00:00:00"/>
    <x v="11"/>
    <x v="0"/>
    <x v="0"/>
    <n v="40000"/>
    <n v="40000"/>
    <n v="0"/>
    <x v="929"/>
    <s v="Administración"/>
    <m/>
    <m/>
    <m/>
    <m/>
    <m/>
    <m/>
    <m/>
  </r>
  <r>
    <d v="2021-11-11T00:00:00"/>
    <x v="11"/>
    <x v="19"/>
    <x v="19"/>
    <n v="-40000"/>
    <n v="0"/>
    <n v="40000"/>
    <x v="92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1T00:00:00"/>
    <x v="11"/>
    <x v="0"/>
    <x v="0"/>
    <n v="34286"/>
    <n v="34286"/>
    <n v="0"/>
    <x v="344"/>
    <s v="Administración"/>
    <m/>
    <m/>
    <m/>
    <m/>
    <m/>
    <m/>
    <m/>
  </r>
  <r>
    <d v="2021-11-11T00:00:00"/>
    <x v="11"/>
    <x v="20"/>
    <x v="20"/>
    <n v="-34286"/>
    <n v="0"/>
    <n v="34286"/>
    <x v="3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1T00:00:00"/>
    <x v="11"/>
    <x v="0"/>
    <x v="0"/>
    <n v="49078"/>
    <n v="49078"/>
    <n v="0"/>
    <x v="930"/>
    <s v="Administración"/>
    <m/>
    <m/>
    <m/>
    <m/>
    <m/>
    <m/>
    <m/>
  </r>
  <r>
    <d v="2021-11-11T00:00:00"/>
    <x v="11"/>
    <x v="6"/>
    <x v="6"/>
    <n v="-49078"/>
    <n v="0"/>
    <n v="49078"/>
    <x v="93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1T00:00:00"/>
    <x v="11"/>
    <x v="0"/>
    <x v="0"/>
    <n v="16686"/>
    <n v="16686"/>
    <n v="0"/>
    <x v="931"/>
    <s v="Administración"/>
    <m/>
    <m/>
    <m/>
    <m/>
    <m/>
    <m/>
    <m/>
  </r>
  <r>
    <d v="2021-11-11T00:00:00"/>
    <x v="11"/>
    <x v="6"/>
    <x v="6"/>
    <n v="-16686"/>
    <n v="0"/>
    <n v="16686"/>
    <x v="93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1T00:00:00"/>
    <x v="11"/>
    <x v="0"/>
    <x v="0"/>
    <n v="64000"/>
    <n v="64000"/>
    <n v="0"/>
    <x v="932"/>
    <s v="Administración"/>
    <m/>
    <m/>
    <m/>
    <m/>
    <m/>
    <m/>
    <m/>
  </r>
  <r>
    <d v="2021-11-11T00:00:00"/>
    <x v="11"/>
    <x v="55"/>
    <x v="52"/>
    <n v="-64000"/>
    <n v="0"/>
    <n v="64000"/>
    <x v="93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1T00:00:00"/>
    <x v="11"/>
    <x v="0"/>
    <x v="0"/>
    <n v="20000"/>
    <n v="20000"/>
    <n v="0"/>
    <x v="933"/>
    <s v="Administración"/>
    <m/>
    <m/>
    <m/>
    <m/>
    <m/>
    <m/>
    <m/>
  </r>
  <r>
    <d v="2021-11-11T00:00:00"/>
    <x v="11"/>
    <x v="24"/>
    <x v="24"/>
    <n v="-20000"/>
    <n v="0"/>
    <n v="20000"/>
    <x v="93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2T00:00:00"/>
    <x v="11"/>
    <x v="0"/>
    <x v="0"/>
    <n v="35000"/>
    <n v="35000"/>
    <n v="0"/>
    <x v="934"/>
    <s v="Administración"/>
    <m/>
    <m/>
    <m/>
    <m/>
    <m/>
    <m/>
    <m/>
  </r>
  <r>
    <d v="2021-11-12T00:00:00"/>
    <x v="11"/>
    <x v="55"/>
    <x v="52"/>
    <n v="-35000"/>
    <n v="0"/>
    <n v="35000"/>
    <x v="93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2T00:00:00"/>
    <x v="11"/>
    <x v="0"/>
    <x v="0"/>
    <n v="29040"/>
    <n v="29040"/>
    <n v="0"/>
    <x v="935"/>
    <s v="Administración"/>
    <m/>
    <m/>
    <m/>
    <m/>
    <m/>
    <m/>
    <m/>
  </r>
  <r>
    <d v="2021-11-12T00:00:00"/>
    <x v="11"/>
    <x v="6"/>
    <x v="6"/>
    <n v="-29040"/>
    <n v="0"/>
    <n v="29040"/>
    <x v="93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2T00:00:00"/>
    <x v="11"/>
    <x v="0"/>
    <x v="0"/>
    <n v="64000"/>
    <n v="64000"/>
    <n v="0"/>
    <x v="936"/>
    <s v="Administración"/>
    <m/>
    <m/>
    <m/>
    <m/>
    <m/>
    <m/>
    <m/>
  </r>
  <r>
    <d v="2021-11-12T00:00:00"/>
    <x v="11"/>
    <x v="55"/>
    <x v="52"/>
    <n v="-64000"/>
    <n v="0"/>
    <n v="64000"/>
    <x v="93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2T00:00:00"/>
    <x v="11"/>
    <x v="0"/>
    <x v="0"/>
    <n v="10000"/>
    <n v="10000"/>
    <n v="0"/>
    <x v="868"/>
    <s v="Administración"/>
    <m/>
    <m/>
    <m/>
    <m/>
    <m/>
    <m/>
    <m/>
  </r>
  <r>
    <d v="2021-11-12T00:00:00"/>
    <x v="11"/>
    <x v="20"/>
    <x v="20"/>
    <n v="-10000"/>
    <n v="0"/>
    <n v="10000"/>
    <x v="86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2T00:00:00"/>
    <x v="11"/>
    <x v="0"/>
    <x v="0"/>
    <n v="20000"/>
    <n v="20000"/>
    <n v="0"/>
    <x v="937"/>
    <s v="Administración"/>
    <m/>
    <m/>
    <m/>
    <m/>
    <m/>
    <m/>
    <m/>
  </r>
  <r>
    <d v="2021-11-12T00:00:00"/>
    <x v="11"/>
    <x v="24"/>
    <x v="24"/>
    <n v="-20000"/>
    <n v="0"/>
    <n v="20000"/>
    <x v="93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2T00:00:00"/>
    <x v="11"/>
    <x v="0"/>
    <x v="0"/>
    <n v="64000"/>
    <n v="64000"/>
    <n v="0"/>
    <x v="938"/>
    <s v="Administración"/>
    <m/>
    <m/>
    <m/>
    <m/>
    <m/>
    <m/>
    <m/>
  </r>
  <r>
    <d v="2021-11-12T00:00:00"/>
    <x v="11"/>
    <x v="55"/>
    <x v="52"/>
    <n v="-64000"/>
    <n v="0"/>
    <n v="64000"/>
    <x v="93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5T00:00:00"/>
    <x v="11"/>
    <x v="0"/>
    <x v="0"/>
    <n v="20000"/>
    <n v="20000"/>
    <n v="0"/>
    <x v="105"/>
    <s v="Administración"/>
    <m/>
    <m/>
    <m/>
    <m/>
    <m/>
    <m/>
    <m/>
  </r>
  <r>
    <d v="2021-11-15T00:00:00"/>
    <x v="11"/>
    <x v="19"/>
    <x v="19"/>
    <n v="-20000"/>
    <n v="0"/>
    <n v="20000"/>
    <x v="10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5T00:00:00"/>
    <x v="11"/>
    <x v="0"/>
    <x v="0"/>
    <n v="32000"/>
    <n v="32000"/>
    <n v="0"/>
    <x v="939"/>
    <s v="Administración"/>
    <m/>
    <m/>
    <m/>
    <m/>
    <m/>
    <m/>
    <m/>
  </r>
  <r>
    <d v="2021-11-15T00:00:00"/>
    <x v="11"/>
    <x v="55"/>
    <x v="52"/>
    <n v="-32000"/>
    <n v="0"/>
    <n v="32000"/>
    <x v="93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5T00:00:00"/>
    <x v="11"/>
    <x v="27"/>
    <x v="27"/>
    <n v="20990"/>
    <n v="20990"/>
    <n v="0"/>
    <x v="367"/>
    <s v="Administración"/>
    <m/>
    <m/>
    <m/>
    <m/>
    <m/>
    <m/>
    <m/>
  </r>
  <r>
    <d v="2021-11-15T00:00:00"/>
    <x v="11"/>
    <x v="0"/>
    <x v="0"/>
    <n v="-20990"/>
    <n v="0"/>
    <n v="20990"/>
    <x v="36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5T00:00:00"/>
    <x v="11"/>
    <x v="0"/>
    <x v="0"/>
    <n v="32000"/>
    <n v="32000"/>
    <n v="0"/>
    <x v="940"/>
    <s v="Administración"/>
    <m/>
    <m/>
    <m/>
    <m/>
    <m/>
    <m/>
    <m/>
  </r>
  <r>
    <d v="2021-11-15T00:00:00"/>
    <x v="11"/>
    <x v="55"/>
    <x v="52"/>
    <n v="-32000"/>
    <n v="0"/>
    <n v="32000"/>
    <x v="94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5T00:00:00"/>
    <x v="11"/>
    <x v="0"/>
    <x v="0"/>
    <n v="10000"/>
    <n v="10000"/>
    <n v="0"/>
    <x v="78"/>
    <s v="Administración"/>
    <m/>
    <m/>
    <m/>
    <m/>
    <m/>
    <m/>
    <m/>
  </r>
  <r>
    <d v="2021-11-15T00:00:00"/>
    <x v="11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5T00:00:00"/>
    <x v="11"/>
    <x v="0"/>
    <x v="0"/>
    <n v="20000"/>
    <n v="20000"/>
    <n v="0"/>
    <x v="941"/>
    <s v="Administración"/>
    <m/>
    <m/>
    <m/>
    <m/>
    <m/>
    <m/>
    <m/>
  </r>
  <r>
    <d v="2021-11-15T00:00:00"/>
    <x v="11"/>
    <x v="55"/>
    <x v="52"/>
    <n v="-20000"/>
    <n v="0"/>
    <n v="20000"/>
    <x v="94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5T00:00:00"/>
    <x v="11"/>
    <x v="0"/>
    <x v="0"/>
    <n v="8000"/>
    <n v="8000"/>
    <n v="0"/>
    <x v="167"/>
    <s v="Administración"/>
    <m/>
    <m/>
    <m/>
    <m/>
    <m/>
    <m/>
    <m/>
  </r>
  <r>
    <d v="2021-11-15T00:00:00"/>
    <x v="11"/>
    <x v="19"/>
    <x v="19"/>
    <n v="-8000"/>
    <n v="0"/>
    <n v="8000"/>
    <x v="16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5T00:00:00"/>
    <x v="11"/>
    <x v="0"/>
    <x v="0"/>
    <n v="32000"/>
    <n v="32000"/>
    <n v="0"/>
    <x v="942"/>
    <s v="Administración"/>
    <m/>
    <m/>
    <m/>
    <m/>
    <m/>
    <m/>
    <m/>
  </r>
  <r>
    <d v="2021-11-15T00:00:00"/>
    <x v="11"/>
    <x v="55"/>
    <x v="52"/>
    <n v="-32000"/>
    <n v="0"/>
    <n v="32000"/>
    <x v="94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5T00:00:00"/>
    <x v="11"/>
    <x v="0"/>
    <x v="0"/>
    <n v="32000"/>
    <n v="32000"/>
    <n v="0"/>
    <x v="943"/>
    <s v="Administración"/>
    <m/>
    <m/>
    <m/>
    <m/>
    <m/>
    <m/>
    <m/>
  </r>
  <r>
    <d v="2021-11-15T00:00:00"/>
    <x v="11"/>
    <x v="55"/>
    <x v="52"/>
    <n v="-32000"/>
    <n v="0"/>
    <n v="32000"/>
    <x v="94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5T00:00:00"/>
    <x v="11"/>
    <x v="0"/>
    <x v="0"/>
    <n v="32000"/>
    <n v="32000"/>
    <n v="0"/>
    <x v="944"/>
    <s v="Administración"/>
    <m/>
    <m/>
    <m/>
    <m/>
    <m/>
    <m/>
    <m/>
  </r>
  <r>
    <d v="2021-11-15T00:00:00"/>
    <x v="11"/>
    <x v="55"/>
    <x v="52"/>
    <n v="-32000"/>
    <n v="0"/>
    <n v="32000"/>
    <x v="9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5T00:00:00"/>
    <x v="11"/>
    <x v="0"/>
    <x v="0"/>
    <n v="2000"/>
    <n v="2000"/>
    <n v="0"/>
    <x v="283"/>
    <s v="Administración"/>
    <m/>
    <m/>
    <m/>
    <m/>
    <m/>
    <m/>
    <m/>
  </r>
  <r>
    <d v="2021-11-15T00:00:00"/>
    <x v="11"/>
    <x v="19"/>
    <x v="19"/>
    <n v="-2000"/>
    <n v="0"/>
    <n v="2000"/>
    <x v="2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5T00:00:00"/>
    <x v="11"/>
    <x v="0"/>
    <x v="0"/>
    <n v="20618"/>
    <n v="20618"/>
    <n v="0"/>
    <x v="96"/>
    <s v="Administración"/>
    <m/>
    <m/>
    <m/>
    <m/>
    <m/>
    <m/>
    <m/>
  </r>
  <r>
    <d v="2021-11-15T00:00:00"/>
    <x v="11"/>
    <x v="19"/>
    <x v="19"/>
    <n v="-20618"/>
    <n v="0"/>
    <n v="20618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5T00:00:00"/>
    <x v="11"/>
    <x v="0"/>
    <x v="0"/>
    <n v="40000"/>
    <n v="40000"/>
    <n v="0"/>
    <x v="945"/>
    <s v="Administración"/>
    <m/>
    <m/>
    <m/>
    <m/>
    <m/>
    <m/>
    <m/>
  </r>
  <r>
    <d v="2021-11-15T00:00:00"/>
    <x v="11"/>
    <x v="55"/>
    <x v="52"/>
    <n v="-40000"/>
    <n v="0"/>
    <n v="40000"/>
    <x v="94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5T00:00:00"/>
    <x v="11"/>
    <x v="0"/>
    <x v="0"/>
    <n v="64000"/>
    <n v="64000"/>
    <n v="0"/>
    <x v="946"/>
    <s v="Administración"/>
    <m/>
    <m/>
    <m/>
    <m/>
    <m/>
    <m/>
    <m/>
  </r>
  <r>
    <d v="2021-11-15T00:00:00"/>
    <x v="11"/>
    <x v="55"/>
    <x v="52"/>
    <n v="-64000"/>
    <n v="0"/>
    <n v="64000"/>
    <x v="94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5T00:00:00"/>
    <x v="11"/>
    <x v="0"/>
    <x v="0"/>
    <n v="692690"/>
    <n v="692690"/>
    <n v="0"/>
    <x v="747"/>
    <s v="Administración"/>
    <m/>
    <m/>
    <m/>
    <m/>
    <m/>
    <m/>
    <m/>
  </r>
  <r>
    <d v="2021-11-15T00:00:00"/>
    <x v="11"/>
    <x v="19"/>
    <x v="19"/>
    <n v="-692690"/>
    <n v="0"/>
    <n v="692690"/>
    <x v="74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6T00:00:00"/>
    <x v="11"/>
    <x v="0"/>
    <x v="0"/>
    <n v="20000"/>
    <n v="20000"/>
    <n v="0"/>
    <x v="947"/>
    <s v="Administración"/>
    <m/>
    <m/>
    <m/>
    <m/>
    <m/>
    <m/>
    <m/>
  </r>
  <r>
    <d v="2021-11-16T00:00:00"/>
    <x v="11"/>
    <x v="24"/>
    <x v="24"/>
    <n v="-20000"/>
    <n v="0"/>
    <n v="20000"/>
    <x v="94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6T00:00:00"/>
    <x v="11"/>
    <x v="0"/>
    <x v="0"/>
    <n v="50000"/>
    <n v="50000"/>
    <n v="0"/>
    <x v="532"/>
    <s v="Administración"/>
    <m/>
    <m/>
    <m/>
    <m/>
    <m/>
    <m/>
    <m/>
  </r>
  <r>
    <d v="2021-11-16T00:00:00"/>
    <x v="11"/>
    <x v="42"/>
    <x v="23"/>
    <n v="-50000"/>
    <n v="0"/>
    <n v="50000"/>
    <x v="53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6T00:00:00"/>
    <x v="11"/>
    <x v="0"/>
    <x v="0"/>
    <n v="162000"/>
    <n v="162000"/>
    <n v="0"/>
    <x v="913"/>
    <s v="Administración"/>
    <m/>
    <m/>
    <m/>
    <m/>
    <m/>
    <m/>
    <m/>
  </r>
  <r>
    <d v="2021-11-16T00:00:00"/>
    <x v="11"/>
    <x v="55"/>
    <x v="52"/>
    <n v="-162000"/>
    <n v="0"/>
    <n v="162000"/>
    <x v="91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6T00:00:00"/>
    <x v="11"/>
    <x v="0"/>
    <x v="0"/>
    <n v="25000"/>
    <n v="25000"/>
    <n v="0"/>
    <x v="948"/>
    <s v="Administración"/>
    <m/>
    <m/>
    <m/>
    <m/>
    <m/>
    <m/>
    <m/>
  </r>
  <r>
    <d v="2021-11-16T00:00:00"/>
    <x v="11"/>
    <x v="55"/>
    <x v="52"/>
    <n v="-25000"/>
    <n v="0"/>
    <n v="25000"/>
    <x v="94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6T00:00:00"/>
    <x v="11"/>
    <x v="0"/>
    <x v="0"/>
    <n v="10000"/>
    <n v="10000"/>
    <n v="0"/>
    <x v="949"/>
    <s v="Administración"/>
    <m/>
    <m/>
    <m/>
    <m/>
    <m/>
    <m/>
    <m/>
  </r>
  <r>
    <d v="2021-11-16T00:00:00"/>
    <x v="11"/>
    <x v="20"/>
    <x v="20"/>
    <n v="-10000"/>
    <n v="0"/>
    <n v="10000"/>
    <x v="94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6T00:00:00"/>
    <x v="11"/>
    <x v="22"/>
    <x v="22"/>
    <n v="9652"/>
    <n v="9652"/>
    <n v="0"/>
    <x v="301"/>
    <s v="Administración"/>
    <m/>
    <m/>
    <m/>
    <m/>
    <m/>
    <m/>
    <m/>
  </r>
  <r>
    <d v="2021-11-16T00:00:00"/>
    <x v="11"/>
    <x v="0"/>
    <x v="0"/>
    <n v="-9652"/>
    <n v="0"/>
    <n v="9652"/>
    <x v="30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6T00:00:00"/>
    <x v="11"/>
    <x v="29"/>
    <x v="29"/>
    <n v="44373"/>
    <n v="44373"/>
    <n v="0"/>
    <x v="41"/>
    <s v="Administración"/>
    <m/>
    <m/>
    <m/>
    <m/>
    <m/>
    <m/>
    <m/>
  </r>
  <r>
    <d v="2021-11-16T00:00:00"/>
    <x v="11"/>
    <x v="0"/>
    <x v="0"/>
    <n v="-44373"/>
    <n v="0"/>
    <n v="44373"/>
    <x v="4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6T00:00:00"/>
    <x v="11"/>
    <x v="0"/>
    <x v="0"/>
    <n v="9816"/>
    <n v="9816"/>
    <n v="0"/>
    <x v="950"/>
    <s v="Administración"/>
    <m/>
    <m/>
    <m/>
    <m/>
    <m/>
    <m/>
    <m/>
  </r>
  <r>
    <d v="2021-11-16T00:00:00"/>
    <x v="11"/>
    <x v="6"/>
    <x v="6"/>
    <n v="-9816"/>
    <n v="0"/>
    <n v="9816"/>
    <x v="95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6T00:00:00"/>
    <x v="11"/>
    <x v="0"/>
    <x v="0"/>
    <n v="14519"/>
    <n v="14519"/>
    <n v="0"/>
    <x v="951"/>
    <s v="Administración"/>
    <m/>
    <m/>
    <m/>
    <m/>
    <m/>
    <m/>
    <m/>
  </r>
  <r>
    <d v="2021-11-16T00:00:00"/>
    <x v="11"/>
    <x v="6"/>
    <x v="6"/>
    <n v="-14519"/>
    <n v="0"/>
    <n v="14519"/>
    <x v="95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6T00:00:00"/>
    <x v="11"/>
    <x v="0"/>
    <x v="0"/>
    <n v="404400"/>
    <n v="404400"/>
    <n v="0"/>
    <x v="909"/>
    <s v="Administración"/>
    <m/>
    <m/>
    <m/>
    <m/>
    <m/>
    <m/>
    <m/>
  </r>
  <r>
    <d v="2021-11-16T00:00:00"/>
    <x v="11"/>
    <x v="55"/>
    <x v="52"/>
    <n v="-404400"/>
    <n v="0"/>
    <n v="404400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6T00:00:00"/>
    <x v="11"/>
    <x v="0"/>
    <x v="0"/>
    <n v="80000"/>
    <n v="80000"/>
    <n v="0"/>
    <x v="952"/>
    <s v="Administración"/>
    <m/>
    <m/>
    <m/>
    <m/>
    <m/>
    <m/>
    <m/>
  </r>
  <r>
    <d v="2021-11-16T00:00:00"/>
    <x v="11"/>
    <x v="30"/>
    <x v="30"/>
    <n v="-80000"/>
    <n v="0"/>
    <n v="80000"/>
    <x v="95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6T00:00:00"/>
    <x v="11"/>
    <x v="0"/>
    <x v="0"/>
    <n v="10000"/>
    <n v="10000"/>
    <n v="0"/>
    <x v="953"/>
    <s v="Administración"/>
    <m/>
    <m/>
    <m/>
    <m/>
    <m/>
    <m/>
    <m/>
  </r>
  <r>
    <d v="2021-11-16T00:00:00"/>
    <x v="11"/>
    <x v="30"/>
    <x v="30"/>
    <n v="-10000"/>
    <n v="0"/>
    <n v="10000"/>
    <x v="95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7T00:00:00"/>
    <x v="11"/>
    <x v="28"/>
    <x v="28"/>
    <n v="338983"/>
    <n v="338983"/>
    <n v="0"/>
    <x v="954"/>
    <s v="Administración"/>
    <m/>
    <m/>
    <m/>
    <m/>
    <m/>
    <m/>
    <m/>
  </r>
  <r>
    <d v="2021-11-17T00:00:00"/>
    <x v="11"/>
    <x v="9"/>
    <x v="9"/>
    <n v="-38983"/>
    <n v="0"/>
    <n v="38983"/>
    <x v="954"/>
    <s v="Administración"/>
    <m/>
    <m/>
    <m/>
    <m/>
    <m/>
    <m/>
    <m/>
  </r>
  <r>
    <d v="2021-11-17T00:00:00"/>
    <x v="11"/>
    <x v="0"/>
    <x v="0"/>
    <n v="-300000"/>
    <n v="0"/>
    <n v="300000"/>
    <x v="95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7T00:00:00"/>
    <x v="11"/>
    <x v="33"/>
    <x v="33"/>
    <n v="220000"/>
    <n v="220000"/>
    <n v="0"/>
    <x v="955"/>
    <s v="Administración"/>
    <m/>
    <m/>
    <m/>
    <m/>
    <m/>
    <m/>
    <m/>
  </r>
  <r>
    <d v="2021-11-17T00:00:00"/>
    <x v="11"/>
    <x v="9"/>
    <x v="9"/>
    <n v="-25300"/>
    <n v="0"/>
    <n v="25300"/>
    <x v="955"/>
    <s v="Administración"/>
    <m/>
    <m/>
    <m/>
    <m/>
    <m/>
    <m/>
    <m/>
  </r>
  <r>
    <d v="2021-11-17T00:00:00"/>
    <x v="11"/>
    <x v="0"/>
    <x v="0"/>
    <n v="-194700"/>
    <n v="0"/>
    <n v="194700"/>
    <x v="95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7T00:00:00"/>
    <x v="11"/>
    <x v="33"/>
    <x v="33"/>
    <n v="112994"/>
    <n v="112994"/>
    <n v="0"/>
    <x v="956"/>
    <s v="Administración"/>
    <m/>
    <m/>
    <m/>
    <m/>
    <m/>
    <m/>
    <m/>
  </r>
  <r>
    <d v="2021-11-17T00:00:00"/>
    <x v="11"/>
    <x v="9"/>
    <x v="9"/>
    <n v="-12994"/>
    <n v="0"/>
    <n v="12994"/>
    <x v="956"/>
    <s v="Administración"/>
    <m/>
    <m/>
    <m/>
    <m/>
    <m/>
    <m/>
    <m/>
  </r>
  <r>
    <d v="2021-11-17T00:00:00"/>
    <x v="11"/>
    <x v="0"/>
    <x v="0"/>
    <n v="-100000"/>
    <n v="0"/>
    <n v="100000"/>
    <x v="95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7T00:00:00"/>
    <x v="11"/>
    <x v="52"/>
    <x v="49"/>
    <n v="70000"/>
    <n v="70000"/>
    <n v="0"/>
    <x v="957"/>
    <s v="Administración"/>
    <m/>
    <m/>
    <m/>
    <m/>
    <m/>
    <m/>
    <m/>
  </r>
  <r>
    <d v="2021-11-17T00:00:00"/>
    <x v="11"/>
    <x v="0"/>
    <x v="0"/>
    <n v="-70000"/>
    <n v="0"/>
    <n v="70000"/>
    <x v="95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7T00:00:00"/>
    <x v="11"/>
    <x v="40"/>
    <x v="39"/>
    <n v="242565"/>
    <n v="242565"/>
    <n v="0"/>
    <x v="958"/>
    <s v="Administración"/>
    <m/>
    <m/>
    <m/>
    <m/>
    <m/>
    <m/>
    <m/>
  </r>
  <r>
    <d v="2021-11-17T00:00:00"/>
    <x v="11"/>
    <x v="0"/>
    <x v="0"/>
    <n v="-242565"/>
    <n v="0"/>
    <n v="242565"/>
    <x v="95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7T00:00:00"/>
    <x v="11"/>
    <x v="0"/>
    <x v="0"/>
    <n v="10000"/>
    <n v="10000"/>
    <n v="0"/>
    <x v="404"/>
    <s v="Administración"/>
    <m/>
    <m/>
    <m/>
    <m/>
    <m/>
    <m/>
    <m/>
  </r>
  <r>
    <d v="2021-11-17T00:00:00"/>
    <x v="11"/>
    <x v="19"/>
    <x v="19"/>
    <n v="-10000"/>
    <n v="0"/>
    <n v="10000"/>
    <x v="40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7T00:00:00"/>
    <x v="11"/>
    <x v="0"/>
    <x v="0"/>
    <n v="32000"/>
    <n v="32000"/>
    <n v="0"/>
    <x v="959"/>
    <s v="Administración"/>
    <m/>
    <m/>
    <m/>
    <m/>
    <m/>
    <m/>
    <m/>
  </r>
  <r>
    <d v="2021-11-17T00:00:00"/>
    <x v="11"/>
    <x v="55"/>
    <x v="52"/>
    <n v="-32000"/>
    <n v="0"/>
    <n v="32000"/>
    <x v="95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7T00:00:00"/>
    <x v="11"/>
    <x v="0"/>
    <x v="0"/>
    <n v="64000"/>
    <n v="64000"/>
    <n v="0"/>
    <x v="960"/>
    <s v="Administración"/>
    <m/>
    <m/>
    <m/>
    <m/>
    <m/>
    <m/>
    <m/>
  </r>
  <r>
    <d v="2021-11-17T00:00:00"/>
    <x v="11"/>
    <x v="55"/>
    <x v="52"/>
    <n v="-64000"/>
    <n v="0"/>
    <n v="64000"/>
    <x v="96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7T00:00:00"/>
    <x v="11"/>
    <x v="0"/>
    <x v="0"/>
    <n v="379449"/>
    <n v="379449"/>
    <n v="0"/>
    <x v="909"/>
    <s v="Administración"/>
    <m/>
    <m/>
    <m/>
    <m/>
    <m/>
    <m/>
    <m/>
  </r>
  <r>
    <d v="2021-11-17T00:00:00"/>
    <x v="11"/>
    <x v="55"/>
    <x v="52"/>
    <n v="-379449"/>
    <n v="0"/>
    <n v="379449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7T00:00:00"/>
    <x v="11"/>
    <x v="0"/>
    <x v="0"/>
    <n v="189350"/>
    <n v="189350"/>
    <n v="0"/>
    <x v="961"/>
    <s v="Administración"/>
    <m/>
    <m/>
    <m/>
    <m/>
    <m/>
    <m/>
    <m/>
  </r>
  <r>
    <d v="2021-11-17T00:00:00"/>
    <x v="11"/>
    <x v="55"/>
    <x v="52"/>
    <n v="-189350"/>
    <n v="0"/>
    <n v="189350"/>
    <x v="9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7T00:00:00"/>
    <x v="11"/>
    <x v="0"/>
    <x v="0"/>
    <n v="9816"/>
    <n v="9816"/>
    <n v="0"/>
    <x v="962"/>
    <s v="Administración"/>
    <m/>
    <m/>
    <m/>
    <m/>
    <m/>
    <m/>
    <m/>
  </r>
  <r>
    <d v="2021-11-17T00:00:00"/>
    <x v="11"/>
    <x v="6"/>
    <x v="6"/>
    <n v="-9816"/>
    <n v="0"/>
    <n v="9816"/>
    <x v="96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7T00:00:00"/>
    <x v="11"/>
    <x v="0"/>
    <x v="0"/>
    <n v="30976"/>
    <n v="30976"/>
    <n v="0"/>
    <x v="963"/>
    <s v="Administración"/>
    <m/>
    <m/>
    <m/>
    <m/>
    <m/>
    <m/>
    <m/>
  </r>
  <r>
    <d v="2021-11-17T00:00:00"/>
    <x v="11"/>
    <x v="19"/>
    <x v="19"/>
    <n v="-30976"/>
    <n v="0"/>
    <n v="30976"/>
    <x v="96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7T00:00:00"/>
    <x v="11"/>
    <x v="0"/>
    <x v="0"/>
    <n v="32000"/>
    <n v="32000"/>
    <n v="0"/>
    <x v="964"/>
    <s v="Administración"/>
    <m/>
    <m/>
    <m/>
    <m/>
    <m/>
    <m/>
    <m/>
  </r>
  <r>
    <d v="2021-11-17T00:00:00"/>
    <x v="11"/>
    <x v="55"/>
    <x v="52"/>
    <n v="-32000"/>
    <n v="0"/>
    <n v="32000"/>
    <x v="96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7T00:00:00"/>
    <x v="11"/>
    <x v="0"/>
    <x v="0"/>
    <n v="32000"/>
    <n v="32000"/>
    <n v="0"/>
    <x v="965"/>
    <s v="Administración"/>
    <m/>
    <m/>
    <m/>
    <m/>
    <m/>
    <m/>
    <m/>
  </r>
  <r>
    <d v="2021-11-17T00:00:00"/>
    <x v="11"/>
    <x v="55"/>
    <x v="52"/>
    <n v="-32000"/>
    <n v="0"/>
    <n v="32000"/>
    <x v="96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7T00:00:00"/>
    <x v="11"/>
    <x v="0"/>
    <x v="0"/>
    <n v="32000"/>
    <n v="32000"/>
    <n v="0"/>
    <x v="932"/>
    <s v="Administración"/>
    <m/>
    <m/>
    <m/>
    <m/>
    <m/>
    <m/>
    <m/>
  </r>
  <r>
    <d v="2021-11-17T00:00:00"/>
    <x v="11"/>
    <x v="55"/>
    <x v="52"/>
    <n v="-32000"/>
    <n v="0"/>
    <n v="32000"/>
    <x v="93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8T00:00:00"/>
    <x v="11"/>
    <x v="0"/>
    <x v="0"/>
    <n v="64000"/>
    <n v="64000"/>
    <n v="0"/>
    <x v="966"/>
    <s v="Administración"/>
    <m/>
    <m/>
    <m/>
    <m/>
    <m/>
    <m/>
    <m/>
  </r>
  <r>
    <d v="2021-11-18T00:00:00"/>
    <x v="11"/>
    <x v="55"/>
    <x v="52"/>
    <n v="-64000"/>
    <n v="0"/>
    <n v="64000"/>
    <x v="96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8T00:00:00"/>
    <x v="11"/>
    <x v="0"/>
    <x v="0"/>
    <n v="40000"/>
    <n v="40000"/>
    <n v="0"/>
    <x v="967"/>
    <s v="Administración"/>
    <m/>
    <m/>
    <m/>
    <m/>
    <m/>
    <m/>
    <m/>
  </r>
  <r>
    <d v="2021-11-18T00:00:00"/>
    <x v="11"/>
    <x v="55"/>
    <x v="52"/>
    <n v="-40000"/>
    <n v="0"/>
    <n v="40000"/>
    <x v="96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9T00:00:00"/>
    <x v="11"/>
    <x v="0"/>
    <x v="0"/>
    <n v="40000"/>
    <n v="40000"/>
    <n v="0"/>
    <x v="311"/>
    <s v="Administración"/>
    <m/>
    <m/>
    <m/>
    <m/>
    <m/>
    <m/>
    <m/>
  </r>
  <r>
    <d v="2021-11-19T00:00:00"/>
    <x v="11"/>
    <x v="19"/>
    <x v="19"/>
    <n v="-40000"/>
    <n v="0"/>
    <n v="40000"/>
    <x v="31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9T00:00:00"/>
    <x v="11"/>
    <x v="0"/>
    <x v="0"/>
    <n v="32000"/>
    <n v="32000"/>
    <n v="0"/>
    <x v="968"/>
    <s v="Administración"/>
    <m/>
    <m/>
    <m/>
    <m/>
    <m/>
    <m/>
    <m/>
  </r>
  <r>
    <d v="2021-11-19T00:00:00"/>
    <x v="11"/>
    <x v="55"/>
    <x v="52"/>
    <n v="-32000"/>
    <n v="0"/>
    <n v="32000"/>
    <x v="96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9T00:00:00"/>
    <x v="11"/>
    <x v="0"/>
    <x v="0"/>
    <n v="32000"/>
    <n v="32000"/>
    <n v="0"/>
    <x v="969"/>
    <s v="Administración"/>
    <m/>
    <m/>
    <m/>
    <m/>
    <m/>
    <m/>
    <m/>
  </r>
  <r>
    <d v="2021-11-19T00:00:00"/>
    <x v="11"/>
    <x v="55"/>
    <x v="52"/>
    <n v="-32000"/>
    <n v="0"/>
    <n v="32000"/>
    <x v="96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9T00:00:00"/>
    <x v="11"/>
    <x v="0"/>
    <x v="0"/>
    <n v="128000"/>
    <n v="128000"/>
    <n v="0"/>
    <x v="970"/>
    <s v="Administración"/>
    <m/>
    <m/>
    <m/>
    <m/>
    <m/>
    <m/>
    <m/>
  </r>
  <r>
    <d v="2021-11-19T00:00:00"/>
    <x v="11"/>
    <x v="55"/>
    <x v="52"/>
    <n v="-128000"/>
    <n v="0"/>
    <n v="128000"/>
    <x v="97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9T00:00:00"/>
    <x v="11"/>
    <x v="0"/>
    <x v="0"/>
    <n v="128000"/>
    <n v="128000"/>
    <n v="0"/>
    <x v="971"/>
    <s v="Administración"/>
    <m/>
    <m/>
    <m/>
    <m/>
    <m/>
    <m/>
    <m/>
  </r>
  <r>
    <d v="2021-11-19T00:00:00"/>
    <x v="11"/>
    <x v="55"/>
    <x v="52"/>
    <n v="-128000"/>
    <n v="0"/>
    <n v="128000"/>
    <x v="97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19T00:00:00"/>
    <x v="11"/>
    <x v="0"/>
    <x v="0"/>
    <n v="35000"/>
    <n v="35000"/>
    <n v="0"/>
    <x v="972"/>
    <s v="Administración"/>
    <m/>
    <m/>
    <m/>
    <m/>
    <m/>
    <m/>
    <m/>
  </r>
  <r>
    <d v="2021-11-19T00:00:00"/>
    <x v="11"/>
    <x v="19"/>
    <x v="19"/>
    <n v="-35000"/>
    <n v="0"/>
    <n v="35000"/>
    <x v="9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2T00:00:00"/>
    <x v="11"/>
    <x v="0"/>
    <x v="0"/>
    <n v="64000"/>
    <n v="64000"/>
    <n v="0"/>
    <x v="973"/>
    <s v="Administración"/>
    <m/>
    <m/>
    <m/>
    <m/>
    <m/>
    <m/>
    <m/>
  </r>
  <r>
    <d v="2021-11-22T00:00:00"/>
    <x v="11"/>
    <x v="55"/>
    <x v="52"/>
    <n v="-64000"/>
    <n v="0"/>
    <n v="64000"/>
    <x v="97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2T00:00:00"/>
    <x v="11"/>
    <x v="0"/>
    <x v="0"/>
    <n v="320000"/>
    <n v="320000"/>
    <n v="0"/>
    <x v="974"/>
    <s v="Administración"/>
    <m/>
    <m/>
    <m/>
    <m/>
    <m/>
    <m/>
    <m/>
  </r>
  <r>
    <d v="2021-11-22T00:00:00"/>
    <x v="11"/>
    <x v="55"/>
    <x v="52"/>
    <n v="-320000"/>
    <n v="0"/>
    <n v="320000"/>
    <x v="97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2T00:00:00"/>
    <x v="11"/>
    <x v="0"/>
    <x v="0"/>
    <n v="8000"/>
    <n v="8000"/>
    <n v="0"/>
    <x v="167"/>
    <s v="Administración"/>
    <m/>
    <m/>
    <m/>
    <m/>
    <m/>
    <m/>
    <m/>
  </r>
  <r>
    <d v="2021-11-22T00:00:00"/>
    <x v="11"/>
    <x v="19"/>
    <x v="19"/>
    <n v="-8000"/>
    <n v="0"/>
    <n v="8000"/>
    <x v="16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2T00:00:00"/>
    <x v="11"/>
    <x v="0"/>
    <x v="0"/>
    <n v="15000"/>
    <n v="15000"/>
    <n v="0"/>
    <x v="144"/>
    <s v="Administración"/>
    <m/>
    <m/>
    <m/>
    <m/>
    <m/>
    <m/>
    <m/>
  </r>
  <r>
    <d v="2021-11-22T00:00:00"/>
    <x v="11"/>
    <x v="19"/>
    <x v="19"/>
    <n v="-15000"/>
    <n v="0"/>
    <n v="15000"/>
    <x v="1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2T00:00:00"/>
    <x v="11"/>
    <x v="0"/>
    <x v="0"/>
    <n v="10000"/>
    <n v="10000"/>
    <n v="0"/>
    <x v="78"/>
    <s v="Administración"/>
    <m/>
    <m/>
    <m/>
    <m/>
    <m/>
    <m/>
    <m/>
  </r>
  <r>
    <d v="2021-11-22T00:00:00"/>
    <x v="11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2T00:00:00"/>
    <x v="11"/>
    <x v="0"/>
    <x v="0"/>
    <n v="32000"/>
    <n v="32000"/>
    <n v="0"/>
    <x v="975"/>
    <s v="Administración"/>
    <m/>
    <m/>
    <m/>
    <m/>
    <m/>
    <m/>
    <m/>
  </r>
  <r>
    <d v="2021-11-22T00:00:00"/>
    <x v="11"/>
    <x v="55"/>
    <x v="52"/>
    <n v="-32000"/>
    <n v="0"/>
    <n v="32000"/>
    <x v="97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2T00:00:00"/>
    <x v="11"/>
    <x v="0"/>
    <x v="0"/>
    <n v="40000"/>
    <n v="40000"/>
    <n v="0"/>
    <x v="976"/>
    <s v="Administración"/>
    <m/>
    <m/>
    <m/>
    <m/>
    <m/>
    <m/>
    <m/>
  </r>
  <r>
    <d v="2021-11-22T00:00:00"/>
    <x v="11"/>
    <x v="55"/>
    <x v="52"/>
    <n v="-40000"/>
    <n v="0"/>
    <n v="40000"/>
    <x v="97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2T00:00:00"/>
    <x v="11"/>
    <x v="0"/>
    <x v="0"/>
    <n v="32000"/>
    <n v="32000"/>
    <n v="0"/>
    <x v="977"/>
    <s v="Administración"/>
    <m/>
    <m/>
    <m/>
    <m/>
    <m/>
    <m/>
    <m/>
  </r>
  <r>
    <d v="2021-11-22T00:00:00"/>
    <x v="11"/>
    <x v="55"/>
    <x v="52"/>
    <n v="-32000"/>
    <n v="0"/>
    <n v="32000"/>
    <x v="97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2T00:00:00"/>
    <x v="11"/>
    <x v="0"/>
    <x v="0"/>
    <n v="2000"/>
    <n v="2000"/>
    <n v="0"/>
    <x v="283"/>
    <s v="Administración"/>
    <m/>
    <m/>
    <m/>
    <m/>
    <m/>
    <m/>
    <m/>
  </r>
  <r>
    <d v="2021-11-22T00:00:00"/>
    <x v="11"/>
    <x v="19"/>
    <x v="19"/>
    <n v="-2000"/>
    <n v="0"/>
    <n v="2000"/>
    <x v="2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2T00:00:00"/>
    <x v="11"/>
    <x v="0"/>
    <x v="0"/>
    <n v="58079"/>
    <n v="58079"/>
    <n v="0"/>
    <x v="96"/>
    <s v="Administración"/>
    <m/>
    <m/>
    <m/>
    <m/>
    <m/>
    <m/>
    <m/>
  </r>
  <r>
    <d v="2021-11-22T00:00:00"/>
    <x v="11"/>
    <x v="19"/>
    <x v="19"/>
    <n v="-58079"/>
    <n v="0"/>
    <n v="58079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2T00:00:00"/>
    <x v="11"/>
    <x v="0"/>
    <x v="0"/>
    <n v="252973"/>
    <n v="252973"/>
    <n v="0"/>
    <x v="909"/>
    <s v="Administración"/>
    <m/>
    <m/>
    <m/>
    <m/>
    <m/>
    <m/>
    <m/>
  </r>
  <r>
    <d v="2021-11-22T00:00:00"/>
    <x v="11"/>
    <x v="55"/>
    <x v="52"/>
    <n v="-252973"/>
    <n v="0"/>
    <n v="252973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2T00:00:00"/>
    <x v="11"/>
    <x v="0"/>
    <x v="0"/>
    <n v="20000"/>
    <n v="20000"/>
    <n v="0"/>
    <x v="978"/>
    <s v="Administración"/>
    <m/>
    <m/>
    <m/>
    <m/>
    <m/>
    <m/>
    <m/>
  </r>
  <r>
    <d v="2021-11-22T00:00:00"/>
    <x v="11"/>
    <x v="55"/>
    <x v="52"/>
    <n v="-20000"/>
    <n v="0"/>
    <n v="20000"/>
    <x v="9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2T00:00:00"/>
    <x v="11"/>
    <x v="0"/>
    <x v="0"/>
    <n v="881000"/>
    <n v="881000"/>
    <n v="0"/>
    <x v="861"/>
    <s v="Administración"/>
    <m/>
    <m/>
    <m/>
    <m/>
    <m/>
    <m/>
    <m/>
  </r>
  <r>
    <d v="2021-11-22T00:00:00"/>
    <x v="11"/>
    <x v="19"/>
    <x v="19"/>
    <n v="-881000"/>
    <n v="0"/>
    <n v="88100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2T00:00:00"/>
    <x v="11"/>
    <x v="23"/>
    <x v="23"/>
    <n v="1084"/>
    <n v="1084"/>
    <n v="0"/>
    <x v="208"/>
    <s v="Administración"/>
    <m/>
    <m/>
    <m/>
    <m/>
    <m/>
    <m/>
    <m/>
  </r>
  <r>
    <d v="2021-11-22T00:00:00"/>
    <x v="11"/>
    <x v="0"/>
    <x v="0"/>
    <n v="-1084"/>
    <n v="0"/>
    <n v="1084"/>
    <x v="20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2T00:00:00"/>
    <x v="11"/>
    <x v="23"/>
    <x v="23"/>
    <n v="3613"/>
    <n v="3613"/>
    <n v="0"/>
    <x v="208"/>
    <s v="Administración"/>
    <m/>
    <m/>
    <m/>
    <m/>
    <m/>
    <m/>
    <m/>
  </r>
  <r>
    <d v="2021-11-22T00:00:00"/>
    <x v="11"/>
    <x v="0"/>
    <x v="0"/>
    <n v="-3613"/>
    <n v="0"/>
    <n v="3613"/>
    <x v="20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3T00:00:00"/>
    <x v="11"/>
    <x v="0"/>
    <x v="0"/>
    <n v="42000"/>
    <n v="42000"/>
    <n v="0"/>
    <x v="979"/>
    <s v="Administración"/>
    <m/>
    <m/>
    <m/>
    <m/>
    <m/>
    <m/>
    <m/>
  </r>
  <r>
    <d v="2021-11-23T00:00:00"/>
    <x v="11"/>
    <x v="55"/>
    <x v="52"/>
    <n v="-42000"/>
    <n v="0"/>
    <n v="42000"/>
    <x v="97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3T00:00:00"/>
    <x v="11"/>
    <x v="0"/>
    <x v="0"/>
    <n v="150000"/>
    <n v="150000"/>
    <n v="0"/>
    <x v="172"/>
    <s v="Administración"/>
    <m/>
    <m/>
    <m/>
    <m/>
    <m/>
    <m/>
    <m/>
  </r>
  <r>
    <d v="2021-11-23T00:00:00"/>
    <x v="11"/>
    <x v="19"/>
    <x v="19"/>
    <n v="-150000"/>
    <n v="0"/>
    <n v="150000"/>
    <x v="1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3T00:00:00"/>
    <x v="11"/>
    <x v="0"/>
    <x v="0"/>
    <n v="96000"/>
    <n v="96000"/>
    <n v="0"/>
    <x v="980"/>
    <s v="Administración"/>
    <m/>
    <m/>
    <m/>
    <m/>
    <m/>
    <m/>
    <m/>
  </r>
  <r>
    <d v="2021-11-23T00:00:00"/>
    <x v="11"/>
    <x v="55"/>
    <x v="52"/>
    <n v="-96000"/>
    <n v="0"/>
    <n v="96000"/>
    <x v="98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3T00:00:00"/>
    <x v="11"/>
    <x v="0"/>
    <x v="0"/>
    <n v="5025"/>
    <n v="5025"/>
    <n v="0"/>
    <x v="96"/>
    <s v="Administración"/>
    <m/>
    <m/>
    <m/>
    <m/>
    <m/>
    <m/>
    <m/>
  </r>
  <r>
    <d v="2021-11-23T00:00:00"/>
    <x v="11"/>
    <x v="19"/>
    <x v="19"/>
    <n v="-5025"/>
    <n v="0"/>
    <n v="5025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3T00:00:00"/>
    <x v="11"/>
    <x v="0"/>
    <x v="0"/>
    <n v="280318"/>
    <n v="280318"/>
    <n v="0"/>
    <x v="909"/>
    <s v="Administración"/>
    <m/>
    <m/>
    <m/>
    <m/>
    <m/>
    <m/>
    <m/>
  </r>
  <r>
    <d v="2021-11-23T00:00:00"/>
    <x v="11"/>
    <x v="55"/>
    <x v="52"/>
    <n v="-280318"/>
    <n v="0"/>
    <n v="280318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3T00:00:00"/>
    <x v="11"/>
    <x v="0"/>
    <x v="0"/>
    <n v="514644"/>
    <n v="514644"/>
    <n v="0"/>
    <x v="961"/>
    <s v="Administración"/>
    <m/>
    <m/>
    <m/>
    <m/>
    <m/>
    <m/>
    <m/>
  </r>
  <r>
    <d v="2021-11-23T00:00:00"/>
    <x v="11"/>
    <x v="55"/>
    <x v="52"/>
    <n v="-514644"/>
    <n v="0"/>
    <n v="514644"/>
    <x v="9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3T00:00:00"/>
    <x v="11"/>
    <x v="0"/>
    <x v="0"/>
    <n v="29040"/>
    <n v="29040"/>
    <n v="0"/>
    <x v="981"/>
    <s v="Administración"/>
    <m/>
    <m/>
    <m/>
    <m/>
    <m/>
    <m/>
    <m/>
  </r>
  <r>
    <d v="2021-11-23T00:00:00"/>
    <x v="11"/>
    <x v="6"/>
    <x v="6"/>
    <n v="-29040"/>
    <n v="0"/>
    <n v="29040"/>
    <x v="98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3T00:00:00"/>
    <x v="11"/>
    <x v="0"/>
    <x v="0"/>
    <n v="64000"/>
    <n v="64000"/>
    <n v="0"/>
    <x v="982"/>
    <s v="Administración"/>
    <m/>
    <m/>
    <m/>
    <m/>
    <m/>
    <m/>
    <m/>
  </r>
  <r>
    <d v="2021-11-23T00:00:00"/>
    <x v="11"/>
    <x v="55"/>
    <x v="52"/>
    <n v="-64000"/>
    <n v="0"/>
    <n v="64000"/>
    <x v="98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4T00:00:00"/>
    <x v="11"/>
    <x v="0"/>
    <x v="0"/>
    <n v="38000"/>
    <n v="38000"/>
    <n v="0"/>
    <x v="983"/>
    <s v="Administración"/>
    <m/>
    <m/>
    <m/>
    <m/>
    <m/>
    <m/>
    <m/>
  </r>
  <r>
    <d v="2021-11-24T00:00:00"/>
    <x v="11"/>
    <x v="55"/>
    <x v="52"/>
    <n v="-38000"/>
    <n v="0"/>
    <n v="38000"/>
    <x v="9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4T00:00:00"/>
    <x v="11"/>
    <x v="0"/>
    <x v="0"/>
    <n v="40000"/>
    <n v="40000"/>
    <n v="0"/>
    <x v="984"/>
    <s v="Administración"/>
    <m/>
    <m/>
    <m/>
    <m/>
    <m/>
    <m/>
    <m/>
  </r>
  <r>
    <d v="2021-11-24T00:00:00"/>
    <x v="11"/>
    <x v="55"/>
    <x v="52"/>
    <n v="-40000"/>
    <n v="0"/>
    <n v="40000"/>
    <x v="98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4T00:00:00"/>
    <x v="11"/>
    <x v="0"/>
    <x v="0"/>
    <n v="588533"/>
    <n v="588533"/>
    <n v="0"/>
    <x v="909"/>
    <s v="Administración"/>
    <m/>
    <m/>
    <m/>
    <m/>
    <m/>
    <m/>
    <m/>
  </r>
  <r>
    <d v="2021-11-24T00:00:00"/>
    <x v="11"/>
    <x v="55"/>
    <x v="52"/>
    <n v="-588533"/>
    <n v="0"/>
    <n v="588533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4T00:00:00"/>
    <x v="11"/>
    <x v="0"/>
    <x v="0"/>
    <n v="32000"/>
    <n v="32000"/>
    <n v="0"/>
    <x v="985"/>
    <s v="Administración"/>
    <m/>
    <m/>
    <m/>
    <m/>
    <m/>
    <m/>
    <m/>
  </r>
  <r>
    <d v="2021-11-24T00:00:00"/>
    <x v="11"/>
    <x v="55"/>
    <x v="52"/>
    <n v="-32000"/>
    <n v="0"/>
    <n v="32000"/>
    <x v="98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4T00:00:00"/>
    <x v="11"/>
    <x v="0"/>
    <x v="0"/>
    <n v="10000"/>
    <n v="10000"/>
    <n v="0"/>
    <x v="986"/>
    <s v="Administración"/>
    <m/>
    <m/>
    <m/>
    <m/>
    <m/>
    <m/>
    <m/>
  </r>
  <r>
    <d v="2021-11-24T00:00:00"/>
    <x v="11"/>
    <x v="30"/>
    <x v="30"/>
    <n v="-10000"/>
    <n v="0"/>
    <n v="10000"/>
    <x v="98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4T00:00:00"/>
    <x v="11"/>
    <x v="0"/>
    <x v="0"/>
    <n v="17000"/>
    <n v="17000"/>
    <n v="0"/>
    <x v="987"/>
    <s v="Administración"/>
    <m/>
    <m/>
    <m/>
    <m/>
    <m/>
    <m/>
    <m/>
  </r>
  <r>
    <d v="2021-11-24T00:00:00"/>
    <x v="11"/>
    <x v="24"/>
    <x v="24"/>
    <n v="-17000"/>
    <n v="0"/>
    <n v="17000"/>
    <x v="98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4T00:00:00"/>
    <x v="11"/>
    <x v="0"/>
    <x v="0"/>
    <n v="93807"/>
    <n v="93807"/>
    <n v="0"/>
    <x v="724"/>
    <s v="Administración"/>
    <m/>
    <m/>
    <m/>
    <m/>
    <m/>
    <m/>
    <m/>
  </r>
  <r>
    <d v="2021-11-24T00:00:00"/>
    <x v="11"/>
    <x v="45"/>
    <x v="43"/>
    <n v="-93807"/>
    <n v="0"/>
    <n v="93807"/>
    <x v="72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5T00:00:00"/>
    <x v="11"/>
    <x v="0"/>
    <x v="0"/>
    <n v="30000"/>
    <n v="30000"/>
    <n v="0"/>
    <x v="615"/>
    <s v="Administración"/>
    <m/>
    <m/>
    <m/>
    <m/>
    <m/>
    <m/>
    <m/>
  </r>
  <r>
    <d v="2021-11-25T00:00:00"/>
    <x v="11"/>
    <x v="19"/>
    <x v="19"/>
    <n v="-30000"/>
    <n v="0"/>
    <n v="30000"/>
    <x v="6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5T00:00:00"/>
    <x v="11"/>
    <x v="0"/>
    <x v="0"/>
    <n v="30000"/>
    <n v="30000"/>
    <n v="0"/>
    <x v="988"/>
    <s v="Administración"/>
    <m/>
    <m/>
    <m/>
    <m/>
    <m/>
    <m/>
    <m/>
  </r>
  <r>
    <d v="2021-11-25T00:00:00"/>
    <x v="11"/>
    <x v="55"/>
    <x v="52"/>
    <n v="-30000"/>
    <n v="0"/>
    <n v="30000"/>
    <x v="98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5T00:00:00"/>
    <x v="11"/>
    <x v="0"/>
    <x v="0"/>
    <n v="30000"/>
    <n v="30000"/>
    <n v="0"/>
    <x v="54"/>
    <s v="Administración"/>
    <m/>
    <m/>
    <m/>
    <m/>
    <m/>
    <m/>
    <m/>
  </r>
  <r>
    <d v="2021-11-25T00:00:00"/>
    <x v="11"/>
    <x v="6"/>
    <x v="6"/>
    <n v="-30000"/>
    <n v="0"/>
    <n v="30000"/>
    <x v="5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5T00:00:00"/>
    <x v="11"/>
    <x v="0"/>
    <x v="0"/>
    <n v="20000"/>
    <n v="20000"/>
    <n v="0"/>
    <x v="266"/>
    <s v="Administración"/>
    <m/>
    <m/>
    <m/>
    <m/>
    <m/>
    <m/>
    <m/>
  </r>
  <r>
    <d v="2021-11-25T00:00:00"/>
    <x v="11"/>
    <x v="19"/>
    <x v="19"/>
    <n v="-20000"/>
    <n v="0"/>
    <n v="20000"/>
    <x v="26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5T00:00:00"/>
    <x v="11"/>
    <x v="31"/>
    <x v="31"/>
    <n v="52710"/>
    <n v="52710"/>
    <n v="0"/>
    <x v="151"/>
    <s v="Administración"/>
    <m/>
    <m/>
    <m/>
    <m/>
    <m/>
    <m/>
    <m/>
  </r>
  <r>
    <d v="2021-11-25T00:00:00"/>
    <x v="11"/>
    <x v="0"/>
    <x v="0"/>
    <n v="-52710"/>
    <n v="0"/>
    <n v="52710"/>
    <x v="15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5T00:00:00"/>
    <x v="11"/>
    <x v="0"/>
    <x v="0"/>
    <n v="31631"/>
    <n v="31631"/>
    <n v="0"/>
    <x v="989"/>
    <s v="Administración"/>
    <m/>
    <m/>
    <m/>
    <m/>
    <m/>
    <m/>
    <m/>
  </r>
  <r>
    <d v="2021-11-25T00:00:00"/>
    <x v="11"/>
    <x v="55"/>
    <x v="52"/>
    <n v="-31631"/>
    <n v="0"/>
    <n v="31631"/>
    <x v="98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5T00:00:00"/>
    <x v="11"/>
    <x v="0"/>
    <x v="0"/>
    <n v="64000"/>
    <n v="64000"/>
    <n v="0"/>
    <x v="990"/>
    <s v="Administración"/>
    <m/>
    <m/>
    <m/>
    <m/>
    <m/>
    <m/>
    <m/>
  </r>
  <r>
    <d v="2021-11-25T00:00:00"/>
    <x v="11"/>
    <x v="55"/>
    <x v="52"/>
    <n v="-64000"/>
    <n v="0"/>
    <n v="64000"/>
    <x v="99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6T00:00:00"/>
    <x v="11"/>
    <x v="0"/>
    <x v="0"/>
    <n v="31631"/>
    <n v="31631"/>
    <n v="0"/>
    <x v="989"/>
    <s v="Administración"/>
    <m/>
    <m/>
    <m/>
    <m/>
    <m/>
    <m/>
    <m/>
  </r>
  <r>
    <d v="2021-11-26T00:00:00"/>
    <x v="11"/>
    <x v="55"/>
    <x v="52"/>
    <n v="-31631"/>
    <n v="0"/>
    <n v="31631"/>
    <x v="98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6T00:00:00"/>
    <x v="11"/>
    <x v="0"/>
    <x v="0"/>
    <n v="20000"/>
    <n v="20000"/>
    <n v="0"/>
    <x v="991"/>
    <s v="Administración"/>
    <m/>
    <m/>
    <m/>
    <m/>
    <m/>
    <m/>
    <m/>
  </r>
  <r>
    <d v="2021-11-26T00:00:00"/>
    <x v="11"/>
    <x v="24"/>
    <x v="24"/>
    <n v="-20000"/>
    <n v="0"/>
    <n v="20000"/>
    <x v="99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6T00:00:00"/>
    <x v="11"/>
    <x v="0"/>
    <x v="0"/>
    <n v="64000"/>
    <n v="64000"/>
    <n v="0"/>
    <x v="992"/>
    <s v="Administración"/>
    <m/>
    <m/>
    <m/>
    <m/>
    <m/>
    <m/>
    <m/>
  </r>
  <r>
    <d v="2021-11-26T00:00:00"/>
    <x v="11"/>
    <x v="55"/>
    <x v="52"/>
    <n v="-64000"/>
    <n v="0"/>
    <n v="64000"/>
    <x v="99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6T00:00:00"/>
    <x v="11"/>
    <x v="0"/>
    <x v="0"/>
    <n v="10000"/>
    <n v="10000"/>
    <n v="0"/>
    <x v="993"/>
    <s v="Administración"/>
    <m/>
    <m/>
    <m/>
    <m/>
    <m/>
    <m/>
    <m/>
  </r>
  <r>
    <d v="2021-11-26T00:00:00"/>
    <x v="11"/>
    <x v="24"/>
    <x v="24"/>
    <n v="-10000"/>
    <n v="0"/>
    <n v="10000"/>
    <x v="99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8000"/>
    <n v="8000"/>
    <n v="0"/>
    <x v="167"/>
    <s v="Administración"/>
    <m/>
    <m/>
    <m/>
    <m/>
    <m/>
    <m/>
    <m/>
  </r>
  <r>
    <d v="2021-11-29T00:00:00"/>
    <x v="11"/>
    <x v="19"/>
    <x v="19"/>
    <n v="-8000"/>
    <n v="0"/>
    <n v="8000"/>
    <x v="16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10000"/>
    <n v="10000"/>
    <n v="0"/>
    <x v="78"/>
    <s v="Administración"/>
    <m/>
    <m/>
    <m/>
    <m/>
    <m/>
    <m/>
    <m/>
  </r>
  <r>
    <d v="2021-11-29T00:00:00"/>
    <x v="11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20000"/>
    <n v="20000"/>
    <n v="0"/>
    <x v="852"/>
    <s v="Administración"/>
    <m/>
    <m/>
    <m/>
    <m/>
    <m/>
    <m/>
    <m/>
  </r>
  <r>
    <d v="2021-11-29T00:00:00"/>
    <x v="11"/>
    <x v="19"/>
    <x v="19"/>
    <n v="-20000"/>
    <n v="0"/>
    <n v="20000"/>
    <x v="85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32000"/>
    <n v="32000"/>
    <n v="0"/>
    <x v="994"/>
    <s v="Administración"/>
    <m/>
    <m/>
    <m/>
    <m/>
    <m/>
    <m/>
    <m/>
  </r>
  <r>
    <d v="2021-11-29T00:00:00"/>
    <x v="11"/>
    <x v="55"/>
    <x v="52"/>
    <n v="-32000"/>
    <n v="0"/>
    <n v="32000"/>
    <x v="99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80000"/>
    <n v="80000"/>
    <n v="0"/>
    <x v="995"/>
    <s v="Administración"/>
    <m/>
    <m/>
    <m/>
    <m/>
    <m/>
    <m/>
    <m/>
  </r>
  <r>
    <d v="2021-11-29T00:00:00"/>
    <x v="11"/>
    <x v="55"/>
    <x v="52"/>
    <n v="-80000"/>
    <n v="0"/>
    <n v="80000"/>
    <x v="99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20000"/>
    <n v="20000"/>
    <n v="0"/>
    <x v="901"/>
    <s v="Administración"/>
    <m/>
    <m/>
    <m/>
    <m/>
    <m/>
    <m/>
    <m/>
  </r>
  <r>
    <d v="2021-11-29T00:00:00"/>
    <x v="11"/>
    <x v="55"/>
    <x v="52"/>
    <n v="-20000"/>
    <n v="0"/>
    <n v="20000"/>
    <x v="90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32000"/>
    <n v="32000"/>
    <n v="0"/>
    <x v="996"/>
    <s v="Administración"/>
    <m/>
    <m/>
    <m/>
    <m/>
    <m/>
    <m/>
    <m/>
  </r>
  <r>
    <d v="2021-11-29T00:00:00"/>
    <x v="11"/>
    <x v="55"/>
    <x v="52"/>
    <n v="-32000"/>
    <n v="0"/>
    <n v="32000"/>
    <x v="9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32000"/>
    <n v="32000"/>
    <n v="0"/>
    <x v="997"/>
    <s v="Administración"/>
    <m/>
    <m/>
    <m/>
    <m/>
    <m/>
    <m/>
    <m/>
  </r>
  <r>
    <d v="2021-11-29T00:00:00"/>
    <x v="11"/>
    <x v="55"/>
    <x v="52"/>
    <n v="-32000"/>
    <n v="0"/>
    <n v="32000"/>
    <x v="99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15000"/>
    <n v="15000"/>
    <n v="0"/>
    <x v="251"/>
    <s v="Administración"/>
    <m/>
    <m/>
    <m/>
    <m/>
    <m/>
    <m/>
    <m/>
  </r>
  <r>
    <d v="2021-11-29T00:00:00"/>
    <x v="11"/>
    <x v="19"/>
    <x v="19"/>
    <n v="-15000"/>
    <n v="0"/>
    <n v="15000"/>
    <x v="25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2000"/>
    <n v="2000"/>
    <n v="0"/>
    <x v="283"/>
    <s v="Administración"/>
    <m/>
    <m/>
    <m/>
    <m/>
    <m/>
    <m/>
    <m/>
  </r>
  <r>
    <d v="2021-11-29T00:00:00"/>
    <x v="11"/>
    <x v="19"/>
    <x v="19"/>
    <n v="-2000"/>
    <n v="0"/>
    <n v="2000"/>
    <x v="2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63117"/>
    <n v="63117"/>
    <n v="0"/>
    <x v="909"/>
    <s v="Administración"/>
    <m/>
    <m/>
    <m/>
    <m/>
    <m/>
    <m/>
    <m/>
  </r>
  <r>
    <d v="2021-11-29T00:00:00"/>
    <x v="11"/>
    <x v="55"/>
    <x v="52"/>
    <n v="-63117"/>
    <n v="0"/>
    <n v="63117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20000"/>
    <n v="20000"/>
    <n v="0"/>
    <x v="161"/>
    <s v="Administración"/>
    <m/>
    <m/>
    <m/>
    <m/>
    <m/>
    <m/>
    <m/>
  </r>
  <r>
    <d v="2021-11-29T00:00:00"/>
    <x v="11"/>
    <x v="19"/>
    <x v="19"/>
    <n v="-20000"/>
    <n v="0"/>
    <n v="20000"/>
    <x v="1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105000"/>
    <n v="105000"/>
    <n v="0"/>
    <x v="913"/>
    <s v="Administración"/>
    <m/>
    <m/>
    <m/>
    <m/>
    <m/>
    <m/>
    <m/>
  </r>
  <r>
    <d v="2021-11-29T00:00:00"/>
    <x v="11"/>
    <x v="55"/>
    <x v="52"/>
    <n v="-105000"/>
    <n v="0"/>
    <n v="105000"/>
    <x v="91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40000"/>
    <n v="40000"/>
    <n v="0"/>
    <x v="563"/>
    <s v="Administración"/>
    <m/>
    <m/>
    <m/>
    <m/>
    <m/>
    <m/>
    <m/>
  </r>
  <r>
    <d v="2021-11-29T00:00:00"/>
    <x v="11"/>
    <x v="19"/>
    <x v="19"/>
    <n v="-40000"/>
    <n v="0"/>
    <n v="40000"/>
    <x v="56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64000"/>
    <n v="64000"/>
    <n v="0"/>
    <x v="998"/>
    <s v="Administración"/>
    <m/>
    <m/>
    <m/>
    <m/>
    <m/>
    <m/>
    <m/>
  </r>
  <r>
    <d v="2021-11-29T00:00:00"/>
    <x v="11"/>
    <x v="55"/>
    <x v="52"/>
    <n v="-64000"/>
    <n v="0"/>
    <n v="64000"/>
    <x v="99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5000"/>
    <n v="5000"/>
    <n v="0"/>
    <x v="999"/>
    <s v="Administración"/>
    <m/>
    <m/>
    <m/>
    <m/>
    <m/>
    <m/>
    <m/>
  </r>
  <r>
    <d v="2021-11-29T00:00:00"/>
    <x v="11"/>
    <x v="24"/>
    <x v="24"/>
    <n v="-5000"/>
    <n v="0"/>
    <n v="5000"/>
    <x v="99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37000"/>
    <n v="37000"/>
    <n v="0"/>
    <x v="1000"/>
    <s v="Administración"/>
    <m/>
    <m/>
    <m/>
    <m/>
    <m/>
    <m/>
    <m/>
  </r>
  <r>
    <d v="2021-11-29T00:00:00"/>
    <x v="11"/>
    <x v="55"/>
    <x v="52"/>
    <n v="-37000"/>
    <n v="0"/>
    <n v="37000"/>
    <x v="100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35000"/>
    <n v="35000"/>
    <n v="0"/>
    <x v="1001"/>
    <s v="Administración"/>
    <m/>
    <m/>
    <m/>
    <m/>
    <m/>
    <m/>
    <m/>
  </r>
  <r>
    <d v="2021-11-29T00:00:00"/>
    <x v="11"/>
    <x v="55"/>
    <x v="52"/>
    <n v="-35000"/>
    <n v="0"/>
    <n v="35000"/>
    <x v="100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782000"/>
    <n v="782000"/>
    <n v="0"/>
    <x v="861"/>
    <s v="Administración"/>
    <m/>
    <m/>
    <m/>
    <m/>
    <m/>
    <m/>
    <m/>
  </r>
  <r>
    <d v="2021-11-29T00:00:00"/>
    <x v="11"/>
    <x v="19"/>
    <x v="19"/>
    <n v="-782000"/>
    <n v="0"/>
    <n v="78200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8290"/>
    <n v="8290"/>
    <n v="0"/>
    <x v="861"/>
    <s v="Administración"/>
    <m/>
    <m/>
    <m/>
    <m/>
    <m/>
    <m/>
    <m/>
  </r>
  <r>
    <d v="2021-11-29T00:00:00"/>
    <x v="11"/>
    <x v="19"/>
    <x v="19"/>
    <n v="-8290"/>
    <n v="0"/>
    <n v="829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32000"/>
    <n v="32000"/>
    <n v="0"/>
    <x v="1002"/>
    <s v="Administración"/>
    <m/>
    <m/>
    <m/>
    <m/>
    <m/>
    <m/>
    <m/>
  </r>
  <r>
    <d v="2021-11-29T00:00:00"/>
    <x v="11"/>
    <x v="55"/>
    <x v="52"/>
    <n v="-32000"/>
    <n v="0"/>
    <n v="32000"/>
    <x v="100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29T00:00:00"/>
    <x v="11"/>
    <x v="0"/>
    <x v="0"/>
    <n v="5000"/>
    <n v="5000"/>
    <n v="0"/>
    <x v="1002"/>
    <s v="Administración"/>
    <m/>
    <m/>
    <m/>
    <m/>
    <m/>
    <m/>
    <m/>
  </r>
  <r>
    <d v="2021-11-29T00:00:00"/>
    <x v="11"/>
    <x v="55"/>
    <x v="52"/>
    <n v="-5000"/>
    <n v="0"/>
    <n v="5000"/>
    <x v="100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34"/>
    <x v="34"/>
    <n v="425803"/>
    <n v="425803"/>
    <n v="0"/>
    <x v="1003"/>
    <s v="Administración"/>
    <m/>
    <m/>
    <m/>
    <m/>
    <m/>
    <m/>
    <m/>
  </r>
  <r>
    <d v="2021-11-30T00:00:00"/>
    <x v="11"/>
    <x v="0"/>
    <x v="0"/>
    <n v="-425803"/>
    <n v="0"/>
    <n v="425803"/>
    <x v="100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56"/>
    <x v="53"/>
    <n v="59000"/>
    <n v="59000"/>
    <n v="0"/>
    <x v="1004"/>
    <s v="Administración"/>
    <m/>
    <m/>
    <m/>
    <m/>
    <m/>
    <m/>
    <m/>
  </r>
  <r>
    <d v="2021-11-30T00:00:00"/>
    <x v="11"/>
    <x v="0"/>
    <x v="0"/>
    <n v="-59000"/>
    <n v="0"/>
    <n v="59000"/>
    <x v="100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39"/>
    <x v="38"/>
    <n v="50000"/>
    <n v="50000"/>
    <n v="0"/>
    <x v="1005"/>
    <s v="Administración"/>
    <m/>
    <m/>
    <m/>
    <m/>
    <m/>
    <m/>
    <m/>
  </r>
  <r>
    <d v="2021-11-30T00:00:00"/>
    <x v="11"/>
    <x v="0"/>
    <x v="0"/>
    <n v="-50000"/>
    <n v="0"/>
    <n v="50000"/>
    <x v="100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39"/>
    <x v="38"/>
    <n v="30000"/>
    <n v="30000"/>
    <n v="0"/>
    <x v="1006"/>
    <s v="Administración"/>
    <m/>
    <m/>
    <m/>
    <m/>
    <m/>
    <m/>
    <m/>
  </r>
  <r>
    <d v="2021-11-30T00:00:00"/>
    <x v="11"/>
    <x v="0"/>
    <x v="0"/>
    <n v="-30000"/>
    <n v="0"/>
    <n v="30000"/>
    <x v="100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54"/>
    <x v="51"/>
    <n v="1200000"/>
    <n v="1200000"/>
    <n v="0"/>
    <x v="1007"/>
    <s v="Administración"/>
    <m/>
    <m/>
    <m/>
    <m/>
    <m/>
    <m/>
    <m/>
  </r>
  <r>
    <d v="2021-11-30T00:00:00"/>
    <x v="11"/>
    <x v="0"/>
    <x v="0"/>
    <n v="-1200000"/>
    <n v="0"/>
    <n v="1200000"/>
    <x v="100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33"/>
    <x v="33"/>
    <n v="240000"/>
    <n v="240000"/>
    <n v="0"/>
    <x v="1008"/>
    <s v="Administración"/>
    <m/>
    <m/>
    <m/>
    <m/>
    <m/>
    <m/>
    <m/>
  </r>
  <r>
    <d v="2021-11-30T00:00:00"/>
    <x v="11"/>
    <x v="9"/>
    <x v="9"/>
    <n v="-27600"/>
    <n v="0"/>
    <n v="27600"/>
    <x v="1008"/>
    <m/>
    <m/>
    <m/>
    <m/>
    <m/>
    <m/>
    <m/>
    <m/>
  </r>
  <r>
    <d v="2021-11-30T00:00:00"/>
    <x v="11"/>
    <x v="0"/>
    <x v="0"/>
    <n v="-212400"/>
    <n v="0"/>
    <n v="212400"/>
    <x v="100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32"/>
    <x v="32"/>
    <n v="33898"/>
    <n v="33898"/>
    <n v="0"/>
    <x v="1009"/>
    <s v="Administración"/>
    <m/>
    <m/>
    <m/>
    <m/>
    <m/>
    <m/>
    <m/>
  </r>
  <r>
    <d v="2021-11-30T00:00:00"/>
    <x v="11"/>
    <x v="9"/>
    <x v="9"/>
    <n v="-3898"/>
    <n v="0"/>
    <n v="3898"/>
    <x v="1009"/>
    <s v="Administración"/>
    <m/>
    <m/>
    <m/>
    <m/>
    <m/>
    <m/>
    <m/>
  </r>
  <r>
    <d v="2021-11-30T00:00:00"/>
    <x v="11"/>
    <x v="0"/>
    <x v="0"/>
    <n v="-30000"/>
    <n v="0"/>
    <n v="30000"/>
    <x v="10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36"/>
    <x v="35"/>
    <n v="3059525"/>
    <n v="3059525"/>
    <n v="0"/>
    <x v="72"/>
    <s v="Administración"/>
    <m/>
    <m/>
    <m/>
    <m/>
    <m/>
    <m/>
    <m/>
  </r>
  <r>
    <d v="2021-11-30T00:00:00"/>
    <x v="11"/>
    <x v="37"/>
    <x v="36"/>
    <n v="913611"/>
    <n v="913611"/>
    <n v="0"/>
    <x v="72"/>
    <s v="Administración"/>
    <m/>
    <m/>
    <m/>
    <m/>
    <m/>
    <m/>
    <m/>
  </r>
  <r>
    <d v="2021-11-30T00:00:00"/>
    <x v="11"/>
    <x v="36"/>
    <x v="35"/>
    <n v="73364"/>
    <n v="73364"/>
    <n v="0"/>
    <x v="72"/>
    <s v="Administración"/>
    <m/>
    <m/>
    <m/>
    <m/>
    <m/>
    <m/>
    <m/>
  </r>
  <r>
    <d v="2021-11-30T00:00:00"/>
    <x v="11"/>
    <x v="11"/>
    <x v="11"/>
    <n v="-3398314"/>
    <n v="0"/>
    <n v="3398314"/>
    <x v="72"/>
    <s v="Administración"/>
    <m/>
    <m/>
    <m/>
    <m/>
    <m/>
    <m/>
    <m/>
  </r>
  <r>
    <d v="2021-11-30T00:00:00"/>
    <x v="11"/>
    <x v="10"/>
    <x v="10"/>
    <n v="-455867"/>
    <n v="0"/>
    <n v="455867"/>
    <x v="72"/>
    <s v="Administración"/>
    <m/>
    <m/>
    <m/>
    <m/>
    <m/>
    <m/>
    <m/>
  </r>
  <r>
    <d v="2021-11-30T00:00:00"/>
    <x v="11"/>
    <x v="10"/>
    <x v="10"/>
    <n v="-178611"/>
    <n v="0"/>
    <n v="178611"/>
    <x v="72"/>
    <s v="Administración"/>
    <m/>
    <m/>
    <m/>
    <m/>
    <m/>
    <m/>
    <m/>
  </r>
  <r>
    <d v="2021-11-30T00:00:00"/>
    <x v="11"/>
    <x v="9"/>
    <x v="9"/>
    <n v="-13708"/>
    <n v="0"/>
    <n v="13708"/>
    <x v="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11"/>
    <x v="11"/>
    <n v="735000"/>
    <n v="735000"/>
    <n v="0"/>
    <x v="844"/>
    <s v="Administración"/>
    <m/>
    <m/>
    <m/>
    <m/>
    <m/>
    <m/>
    <m/>
  </r>
  <r>
    <d v="2021-11-30T00:00:00"/>
    <x v="11"/>
    <x v="0"/>
    <x v="0"/>
    <n v="-735000"/>
    <n v="0"/>
    <n v="735000"/>
    <x v="8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11"/>
    <x v="11"/>
    <n v="778582"/>
    <n v="778582"/>
    <n v="0"/>
    <x v="845"/>
    <s v="Administración"/>
    <m/>
    <m/>
    <m/>
    <m/>
    <m/>
    <m/>
    <m/>
  </r>
  <r>
    <d v="2021-11-30T00:00:00"/>
    <x v="11"/>
    <x v="0"/>
    <x v="0"/>
    <n v="-778582"/>
    <n v="0"/>
    <n v="778582"/>
    <x v="84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11"/>
    <x v="11"/>
    <n v="513580"/>
    <n v="513580"/>
    <n v="0"/>
    <x v="846"/>
    <s v="Administración"/>
    <m/>
    <m/>
    <m/>
    <m/>
    <m/>
    <m/>
    <m/>
  </r>
  <r>
    <d v="2021-11-30T00:00:00"/>
    <x v="11"/>
    <x v="0"/>
    <x v="0"/>
    <n v="-513580"/>
    <n v="0"/>
    <n v="513580"/>
    <x v="84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11"/>
    <x v="11"/>
    <n v="255863"/>
    <n v="255863"/>
    <n v="0"/>
    <x v="847"/>
    <s v="Administración"/>
    <m/>
    <m/>
    <m/>
    <m/>
    <m/>
    <m/>
    <m/>
  </r>
  <r>
    <d v="2021-11-30T00:00:00"/>
    <x v="11"/>
    <x v="0"/>
    <x v="0"/>
    <n v="-255863"/>
    <n v="0"/>
    <n v="255863"/>
    <x v="84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11"/>
    <x v="11"/>
    <n v="1115289"/>
    <n v="1115289"/>
    <n v="0"/>
    <x v="848"/>
    <s v="Administración"/>
    <m/>
    <m/>
    <m/>
    <m/>
    <m/>
    <m/>
    <m/>
  </r>
  <r>
    <d v="2021-11-30T00:00:00"/>
    <x v="11"/>
    <x v="0"/>
    <x v="0"/>
    <n v="-1115289"/>
    <n v="0"/>
    <n v="1115289"/>
    <x v="84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0"/>
    <x v="0"/>
    <n v="64000"/>
    <n v="64000"/>
    <n v="0"/>
    <x v="1010"/>
    <s v="Administración"/>
    <m/>
    <m/>
    <m/>
    <m/>
    <m/>
    <m/>
    <m/>
  </r>
  <r>
    <d v="2021-11-30T00:00:00"/>
    <x v="11"/>
    <x v="55"/>
    <x v="52"/>
    <n v="-64000"/>
    <n v="0"/>
    <n v="64000"/>
    <x v="101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0"/>
    <x v="0"/>
    <n v="64000"/>
    <n v="64000"/>
    <n v="0"/>
    <x v="1011"/>
    <s v="Administración"/>
    <m/>
    <m/>
    <m/>
    <m/>
    <m/>
    <m/>
    <m/>
  </r>
  <r>
    <d v="2021-11-30T00:00:00"/>
    <x v="11"/>
    <x v="55"/>
    <x v="52"/>
    <n v="-64000"/>
    <n v="0"/>
    <n v="64000"/>
    <x v="101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0"/>
    <x v="0"/>
    <n v="50000"/>
    <n v="50000"/>
    <n v="0"/>
    <x v="163"/>
    <s v="Administración"/>
    <m/>
    <m/>
    <m/>
    <m/>
    <m/>
    <m/>
    <m/>
  </r>
  <r>
    <d v="2021-11-30T00:00:00"/>
    <x v="11"/>
    <x v="19"/>
    <x v="19"/>
    <n v="-50000"/>
    <n v="0"/>
    <n v="50000"/>
    <x v="16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0"/>
    <x v="0"/>
    <n v="15000"/>
    <n v="15000"/>
    <n v="0"/>
    <x v="854"/>
    <s v="Administración"/>
    <m/>
    <m/>
    <m/>
    <m/>
    <m/>
    <m/>
    <m/>
  </r>
  <r>
    <d v="2021-11-30T00:00:00"/>
    <x v="11"/>
    <x v="19"/>
    <x v="19"/>
    <n v="-15000"/>
    <n v="0"/>
    <n v="15000"/>
    <x v="85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0"/>
    <x v="0"/>
    <n v="40000"/>
    <n v="40000"/>
    <n v="0"/>
    <x v="643"/>
    <s v="Administración"/>
    <m/>
    <m/>
    <m/>
    <m/>
    <m/>
    <m/>
    <m/>
  </r>
  <r>
    <d v="2021-11-30T00:00:00"/>
    <x v="11"/>
    <x v="6"/>
    <x v="6"/>
    <n v="-40000"/>
    <n v="0"/>
    <n v="40000"/>
    <x v="64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0"/>
    <x v="0"/>
    <n v="865977"/>
    <n v="865977"/>
    <n v="0"/>
    <x v="909"/>
    <s v="Administración"/>
    <m/>
    <m/>
    <m/>
    <m/>
    <m/>
    <m/>
    <m/>
  </r>
  <r>
    <d v="2021-11-30T00:00:00"/>
    <x v="11"/>
    <x v="55"/>
    <x v="52"/>
    <n v="-865977"/>
    <n v="0"/>
    <n v="865977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0"/>
    <x v="0"/>
    <n v="96794"/>
    <n v="96794"/>
    <n v="0"/>
    <x v="744"/>
    <s v="Administración"/>
    <m/>
    <m/>
    <m/>
    <m/>
    <m/>
    <m/>
    <m/>
  </r>
  <r>
    <d v="2021-11-30T00:00:00"/>
    <x v="11"/>
    <x v="19"/>
    <x v="19"/>
    <n v="-96794"/>
    <n v="0"/>
    <n v="96794"/>
    <x v="7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0"/>
    <x v="0"/>
    <n v="20000"/>
    <n v="20000"/>
    <n v="0"/>
    <x v="162"/>
    <s v="Administración"/>
    <m/>
    <m/>
    <m/>
    <m/>
    <m/>
    <m/>
    <m/>
  </r>
  <r>
    <d v="2021-11-30T00:00:00"/>
    <x v="11"/>
    <x v="19"/>
    <x v="19"/>
    <n v="-20000"/>
    <n v="0"/>
    <n v="20000"/>
    <x v="16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0"/>
    <x v="0"/>
    <n v="20000"/>
    <n v="20000"/>
    <n v="0"/>
    <x v="1012"/>
    <s v="Administración"/>
    <m/>
    <m/>
    <m/>
    <m/>
    <m/>
    <m/>
    <m/>
  </r>
  <r>
    <d v="2021-11-30T00:00:00"/>
    <x v="11"/>
    <x v="19"/>
    <x v="19"/>
    <n v="-20000"/>
    <n v="0"/>
    <n v="20000"/>
    <x v="101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0"/>
    <x v="0"/>
    <n v="30000"/>
    <n v="30000"/>
    <n v="0"/>
    <x v="102"/>
    <s v="Administración"/>
    <m/>
    <m/>
    <m/>
    <m/>
    <m/>
    <m/>
    <m/>
  </r>
  <r>
    <d v="2021-11-30T00:00:00"/>
    <x v="11"/>
    <x v="19"/>
    <x v="19"/>
    <n v="-30000"/>
    <n v="0"/>
    <n v="30000"/>
    <x v="10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6"/>
    <x v="6"/>
    <n v="64000"/>
    <n v="64000"/>
    <n v="0"/>
    <x v="1013"/>
    <s v="Administración"/>
    <m/>
    <m/>
    <m/>
    <m/>
    <m/>
    <m/>
    <m/>
  </r>
  <r>
    <d v="2021-11-30T00:00:00"/>
    <x v="11"/>
    <x v="6"/>
    <x v="6"/>
    <n v="65967"/>
    <n v="65967"/>
    <n v="0"/>
    <x v="961"/>
    <s v="Administración"/>
    <m/>
    <m/>
    <m/>
    <m/>
    <m/>
    <m/>
    <m/>
  </r>
  <r>
    <d v="2021-11-30T00:00:00"/>
    <x v="11"/>
    <x v="6"/>
    <x v="6"/>
    <n v="94229"/>
    <n v="94229"/>
    <n v="0"/>
    <x v="909"/>
    <s v="Administración"/>
    <m/>
    <m/>
    <m/>
    <m/>
    <m/>
    <m/>
    <m/>
  </r>
  <r>
    <d v="2021-11-30T00:00:00"/>
    <x v="11"/>
    <x v="6"/>
    <x v="6"/>
    <n v="64000"/>
    <n v="64000"/>
    <n v="0"/>
    <x v="1014"/>
    <s v="Administración"/>
    <m/>
    <m/>
    <m/>
    <m/>
    <m/>
    <m/>
    <m/>
  </r>
  <r>
    <d v="2021-11-30T00:00:00"/>
    <x v="11"/>
    <x v="55"/>
    <x v="52"/>
    <n v="-64000"/>
    <n v="0"/>
    <n v="64000"/>
    <x v="1013"/>
    <s v="Administración"/>
    <m/>
    <m/>
    <m/>
    <m/>
    <m/>
    <m/>
    <m/>
  </r>
  <r>
    <d v="2021-11-30T00:00:00"/>
    <x v="11"/>
    <x v="55"/>
    <x v="52"/>
    <n v="-65967"/>
    <n v="0"/>
    <n v="65967"/>
    <x v="961"/>
    <s v="Administración"/>
    <m/>
    <m/>
    <m/>
    <m/>
    <m/>
    <m/>
    <m/>
  </r>
  <r>
    <d v="2021-11-30T00:00:00"/>
    <x v="11"/>
    <x v="55"/>
    <x v="52"/>
    <n v="-94229"/>
    <n v="0"/>
    <n v="94229"/>
    <x v="909"/>
    <s v="Administración"/>
    <m/>
    <m/>
    <m/>
    <m/>
    <m/>
    <m/>
    <m/>
  </r>
  <r>
    <d v="2021-11-30T00:00:00"/>
    <x v="11"/>
    <x v="55"/>
    <x v="52"/>
    <n v="-64000"/>
    <n v="0"/>
    <n v="64000"/>
    <x v="101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6"/>
    <x v="6"/>
    <n v="15000"/>
    <n v="15000"/>
    <n v="0"/>
    <x v="164"/>
    <s v="Administración"/>
    <m/>
    <m/>
    <m/>
    <m/>
    <m/>
    <m/>
    <m/>
  </r>
  <r>
    <d v="2021-11-30T00:00:00"/>
    <x v="11"/>
    <x v="6"/>
    <x v="6"/>
    <n v="6000"/>
    <n v="6000"/>
    <n v="0"/>
    <x v="168"/>
    <s v="Administración"/>
    <m/>
    <m/>
    <m/>
    <m/>
    <m/>
    <m/>
    <m/>
  </r>
  <r>
    <d v="2021-11-30T00:00:00"/>
    <x v="11"/>
    <x v="6"/>
    <x v="6"/>
    <n v="5000"/>
    <n v="5000"/>
    <n v="0"/>
    <x v="708"/>
    <s v="Administración"/>
    <m/>
    <m/>
    <m/>
    <m/>
    <m/>
    <m/>
    <m/>
  </r>
  <r>
    <d v="2021-11-30T00:00:00"/>
    <x v="11"/>
    <x v="19"/>
    <x v="19"/>
    <n v="-15000"/>
    <n v="0"/>
    <n v="15000"/>
    <x v="164"/>
    <s v="Administración"/>
    <m/>
    <m/>
    <m/>
    <m/>
    <m/>
    <m/>
    <m/>
  </r>
  <r>
    <d v="2021-11-30T00:00:00"/>
    <x v="11"/>
    <x v="19"/>
    <x v="19"/>
    <n v="-6000"/>
    <n v="0"/>
    <n v="6000"/>
    <x v="168"/>
    <s v="Administración"/>
    <m/>
    <m/>
    <m/>
    <m/>
    <m/>
    <m/>
    <m/>
  </r>
  <r>
    <d v="2021-11-30T00:00:00"/>
    <x v="11"/>
    <x v="19"/>
    <x v="19"/>
    <n v="-5000"/>
    <n v="0"/>
    <n v="5000"/>
    <x v="708"/>
    <s v="Administración"/>
    <m/>
    <m/>
    <m/>
    <m/>
    <m/>
    <m/>
    <m/>
  </r>
  <r>
    <d v="2021-11-30T00:00:00"/>
    <x v="11"/>
    <x v="6"/>
    <x v="6"/>
    <n v="85000"/>
    <n v="85000"/>
    <m/>
    <x v="166"/>
    <s v="Administración"/>
    <m/>
    <m/>
    <m/>
    <m/>
    <m/>
    <m/>
    <m/>
  </r>
  <r>
    <d v="2021-11-30T00:00:00"/>
    <x v="11"/>
    <x v="19"/>
    <x v="19"/>
    <n v="-85000"/>
    <m/>
    <n v="85000"/>
    <x v="16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1-30T00:00:00"/>
    <x v="11"/>
    <x v="13"/>
    <x v="13"/>
    <n v="420000"/>
    <n v="420000"/>
    <n v="0"/>
    <x v="1015"/>
    <s v="Administración"/>
    <m/>
    <m/>
    <m/>
    <m/>
    <m/>
    <m/>
    <m/>
  </r>
  <r>
    <d v="2021-11-30T00:00:00"/>
    <x v="11"/>
    <x v="13"/>
    <x v="13"/>
    <n v="150000"/>
    <n v="150000"/>
    <n v="0"/>
    <x v="1015"/>
    <s v="Administración"/>
    <m/>
    <m/>
    <m/>
    <m/>
    <m/>
    <m/>
    <m/>
  </r>
  <r>
    <d v="2021-11-30T00:00:00"/>
    <x v="11"/>
    <x v="13"/>
    <x v="13"/>
    <n v="1506559"/>
    <n v="1506559"/>
    <n v="0"/>
    <x v="1015"/>
    <s v="Administración"/>
    <m/>
    <m/>
    <m/>
    <m/>
    <m/>
    <m/>
    <m/>
  </r>
  <r>
    <d v="2021-11-30T00:00:00"/>
    <x v="11"/>
    <x v="35"/>
    <x v="21"/>
    <n v="-420000"/>
    <n v="0"/>
    <n v="420000"/>
    <x v="1015"/>
    <s v="Administración"/>
    <m/>
    <m/>
    <m/>
    <m/>
    <m/>
    <m/>
    <m/>
  </r>
  <r>
    <d v="2021-11-30T00:00:00"/>
    <x v="11"/>
    <x v="35"/>
    <x v="21"/>
    <n v="-150000"/>
    <n v="0"/>
    <n v="150000"/>
    <x v="1015"/>
    <s v="Administración"/>
    <m/>
    <m/>
    <m/>
    <m/>
    <m/>
    <m/>
    <m/>
  </r>
  <r>
    <d v="2021-11-30T00:00:00"/>
    <x v="11"/>
    <x v="35"/>
    <x v="21"/>
    <n v="-1506559"/>
    <n v="0"/>
    <n v="1506559"/>
    <x v="10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1T00:00:00"/>
    <x v="12"/>
    <x v="0"/>
    <x v="0"/>
    <n v="100000"/>
    <n v="100000"/>
    <n v="0"/>
    <x v="1016"/>
    <s v="Administración"/>
    <m/>
    <m/>
    <m/>
    <m/>
    <m/>
    <m/>
    <m/>
  </r>
  <r>
    <d v="2021-12-01T00:00:00"/>
    <x v="12"/>
    <x v="55"/>
    <x v="52"/>
    <n v="-100000"/>
    <n v="0"/>
    <n v="100000"/>
    <x v="101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1T00:00:00"/>
    <x v="12"/>
    <x v="0"/>
    <x v="0"/>
    <n v="10000"/>
    <n v="10000"/>
    <n v="0"/>
    <x v="285"/>
    <s v="Administración"/>
    <m/>
    <m/>
    <m/>
    <m/>
    <m/>
    <m/>
    <m/>
  </r>
  <r>
    <d v="2021-12-01T00:00:00"/>
    <x v="12"/>
    <x v="19"/>
    <x v="19"/>
    <n v="-10000"/>
    <n v="0"/>
    <n v="10000"/>
    <x v="28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1T00:00:00"/>
    <x v="12"/>
    <x v="0"/>
    <x v="0"/>
    <n v="20000"/>
    <n v="20000"/>
    <n v="0"/>
    <x v="1017"/>
    <s v="Administración"/>
    <m/>
    <m/>
    <m/>
    <m/>
    <m/>
    <m/>
    <m/>
  </r>
  <r>
    <d v="2021-12-01T00:00:00"/>
    <x v="12"/>
    <x v="24"/>
    <x v="24"/>
    <n v="-20000"/>
    <n v="0"/>
    <n v="20000"/>
    <x v="101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1T00:00:00"/>
    <x v="12"/>
    <x v="0"/>
    <x v="0"/>
    <n v="20000"/>
    <n v="20000"/>
    <n v="0"/>
    <x v="1018"/>
    <s v="Administración"/>
    <m/>
    <m/>
    <m/>
    <m/>
    <m/>
    <m/>
    <m/>
  </r>
  <r>
    <d v="2021-12-01T00:00:00"/>
    <x v="12"/>
    <x v="24"/>
    <x v="24"/>
    <n v="-20000"/>
    <n v="0"/>
    <n v="20000"/>
    <x v="101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1T00:00:00"/>
    <x v="12"/>
    <x v="0"/>
    <x v="0"/>
    <n v="32000"/>
    <n v="32000"/>
    <n v="0"/>
    <x v="1019"/>
    <s v="Administración"/>
    <m/>
    <m/>
    <m/>
    <m/>
    <m/>
    <m/>
    <m/>
  </r>
  <r>
    <d v="2021-12-01T00:00:00"/>
    <x v="12"/>
    <x v="55"/>
    <x v="52"/>
    <n v="-32000"/>
    <n v="0"/>
    <n v="32000"/>
    <x v="101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1T00:00:00"/>
    <x v="12"/>
    <x v="0"/>
    <x v="0"/>
    <n v="64000"/>
    <n v="64000"/>
    <n v="0"/>
    <x v="1020"/>
    <s v="Administración"/>
    <m/>
    <m/>
    <m/>
    <m/>
    <m/>
    <m/>
    <m/>
  </r>
  <r>
    <d v="2021-12-01T00:00:00"/>
    <x v="12"/>
    <x v="55"/>
    <x v="52"/>
    <n v="-64000"/>
    <n v="0"/>
    <n v="64000"/>
    <x v="102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1T00:00:00"/>
    <x v="12"/>
    <x v="0"/>
    <x v="0"/>
    <n v="100000"/>
    <n v="100000"/>
    <n v="0"/>
    <x v="84"/>
    <s v="Administración"/>
    <m/>
    <m/>
    <m/>
    <m/>
    <m/>
    <m/>
    <m/>
  </r>
  <r>
    <d v="2021-12-01T00:00:00"/>
    <x v="12"/>
    <x v="19"/>
    <x v="19"/>
    <n v="-100000"/>
    <n v="0"/>
    <n v="100000"/>
    <x v="8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1T00:00:00"/>
    <x v="12"/>
    <x v="0"/>
    <x v="0"/>
    <n v="12000"/>
    <n v="12000"/>
    <n v="0"/>
    <x v="231"/>
    <s v="Administración"/>
    <m/>
    <m/>
    <m/>
    <m/>
    <m/>
    <m/>
    <m/>
  </r>
  <r>
    <d v="2021-12-01T00:00:00"/>
    <x v="12"/>
    <x v="19"/>
    <x v="19"/>
    <n v="-12000"/>
    <n v="0"/>
    <n v="12000"/>
    <x v="23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1T00:00:00"/>
    <x v="12"/>
    <x v="0"/>
    <x v="0"/>
    <n v="128000"/>
    <n v="128000"/>
    <n v="0"/>
    <x v="1021"/>
    <s v="Administración"/>
    <m/>
    <m/>
    <m/>
    <m/>
    <m/>
    <m/>
    <m/>
  </r>
  <r>
    <d v="2021-12-01T00:00:00"/>
    <x v="12"/>
    <x v="55"/>
    <x v="52"/>
    <n v="-128000"/>
    <n v="0"/>
    <n v="128000"/>
    <x v="102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1T00:00:00"/>
    <x v="12"/>
    <x v="0"/>
    <x v="0"/>
    <n v="94748"/>
    <n v="94748"/>
    <n v="0"/>
    <x v="961"/>
    <s v="Administración"/>
    <m/>
    <m/>
    <m/>
    <m/>
    <m/>
    <m/>
    <m/>
  </r>
  <r>
    <d v="2021-12-01T00:00:00"/>
    <x v="12"/>
    <x v="55"/>
    <x v="52"/>
    <n v="-94748"/>
    <n v="0"/>
    <n v="94748"/>
    <x v="9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1T00:00:00"/>
    <x v="12"/>
    <x v="0"/>
    <x v="0"/>
    <n v="4"/>
    <n v="4"/>
    <n v="0"/>
    <x v="96"/>
    <s v="Administración"/>
    <m/>
    <m/>
    <m/>
    <m/>
    <m/>
    <m/>
    <m/>
  </r>
  <r>
    <d v="2021-12-01T00:00:00"/>
    <x v="12"/>
    <x v="19"/>
    <x v="19"/>
    <n v="-4"/>
    <n v="0"/>
    <n v="4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1T00:00:00"/>
    <x v="12"/>
    <x v="0"/>
    <x v="0"/>
    <n v="1531348"/>
    <n v="1531348"/>
    <n v="0"/>
    <x v="909"/>
    <s v="Administración"/>
    <m/>
    <m/>
    <m/>
    <m/>
    <m/>
    <m/>
    <m/>
  </r>
  <r>
    <d v="2021-12-01T00:00:00"/>
    <x v="12"/>
    <x v="55"/>
    <x v="52"/>
    <n v="-1531348"/>
    <n v="0"/>
    <n v="1531348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1T00:00:00"/>
    <x v="12"/>
    <x v="0"/>
    <x v="0"/>
    <n v="15000"/>
    <n v="15000"/>
    <n v="0"/>
    <x v="85"/>
    <s v="Administración"/>
    <m/>
    <m/>
    <m/>
    <m/>
    <m/>
    <m/>
    <m/>
  </r>
  <r>
    <d v="2021-12-01T00:00:00"/>
    <x v="12"/>
    <x v="19"/>
    <x v="19"/>
    <n v="-15000"/>
    <n v="0"/>
    <n v="15000"/>
    <x v="8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1T00:00:00"/>
    <x v="12"/>
    <x v="0"/>
    <x v="0"/>
    <n v="64000"/>
    <n v="64000"/>
    <n v="0"/>
    <x v="1022"/>
    <s v="Administración"/>
    <m/>
    <m/>
    <m/>
    <m/>
    <m/>
    <m/>
    <m/>
  </r>
  <r>
    <d v="2021-12-01T00:00:00"/>
    <x v="12"/>
    <x v="55"/>
    <x v="52"/>
    <n v="-64000"/>
    <n v="0"/>
    <n v="64000"/>
    <x v="102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2T00:00:00"/>
    <x v="12"/>
    <x v="0"/>
    <x v="0"/>
    <n v="50000"/>
    <n v="50000"/>
    <n v="0"/>
    <x v="187"/>
    <s v="Administración"/>
    <m/>
    <m/>
    <m/>
    <m/>
    <m/>
    <m/>
    <m/>
  </r>
  <r>
    <d v="2021-12-02T00:00:00"/>
    <x v="12"/>
    <x v="19"/>
    <x v="19"/>
    <n v="-50000"/>
    <n v="0"/>
    <n v="50000"/>
    <x v="18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2T00:00:00"/>
    <x v="12"/>
    <x v="0"/>
    <x v="0"/>
    <n v="64000"/>
    <n v="64000"/>
    <n v="0"/>
    <x v="1023"/>
    <s v="Administración"/>
    <m/>
    <m/>
    <m/>
    <m/>
    <m/>
    <m/>
    <m/>
  </r>
  <r>
    <d v="2021-12-02T00:00:00"/>
    <x v="12"/>
    <x v="55"/>
    <x v="52"/>
    <n v="-64000"/>
    <n v="0"/>
    <n v="64000"/>
    <x v="102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2T00:00:00"/>
    <x v="12"/>
    <x v="0"/>
    <x v="0"/>
    <n v="120000"/>
    <n v="120000"/>
    <n v="0"/>
    <x v="194"/>
    <s v="Administración"/>
    <m/>
    <m/>
    <m/>
    <m/>
    <m/>
    <m/>
    <m/>
  </r>
  <r>
    <d v="2021-12-02T00:00:00"/>
    <x v="12"/>
    <x v="19"/>
    <x v="19"/>
    <n v="-120000"/>
    <n v="0"/>
    <n v="120000"/>
    <x v="19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2T00:00:00"/>
    <x v="12"/>
    <x v="0"/>
    <x v="0"/>
    <n v="10000"/>
    <n v="10000"/>
    <n v="0"/>
    <x v="651"/>
    <s v="Administración"/>
    <m/>
    <m/>
    <m/>
    <m/>
    <m/>
    <m/>
    <m/>
  </r>
  <r>
    <d v="2021-12-02T00:00:00"/>
    <x v="12"/>
    <x v="20"/>
    <x v="20"/>
    <n v="-10000"/>
    <n v="0"/>
    <n v="10000"/>
    <x v="65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2T00:00:00"/>
    <x v="12"/>
    <x v="0"/>
    <x v="0"/>
    <n v="345237"/>
    <n v="345237"/>
    <n v="0"/>
    <x v="909"/>
    <s v="Administración"/>
    <m/>
    <m/>
    <m/>
    <m/>
    <m/>
    <m/>
    <m/>
  </r>
  <r>
    <d v="2021-12-02T00:00:00"/>
    <x v="12"/>
    <x v="55"/>
    <x v="52"/>
    <n v="-345237"/>
    <n v="0"/>
    <n v="345237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2T00:00:00"/>
    <x v="12"/>
    <x v="0"/>
    <x v="0"/>
    <n v="199800"/>
    <n v="199800"/>
    <n v="0"/>
    <x v="1024"/>
    <s v="Administración"/>
    <m/>
    <m/>
    <m/>
    <m/>
    <m/>
    <m/>
    <m/>
  </r>
  <r>
    <d v="2021-12-02T00:00:00"/>
    <x v="12"/>
    <x v="55"/>
    <x v="52"/>
    <n v="-199800"/>
    <n v="0"/>
    <n v="199800"/>
    <x v="102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3T00:00:00"/>
    <x v="12"/>
    <x v="0"/>
    <x v="0"/>
    <n v="72000"/>
    <n v="72000"/>
    <n v="0"/>
    <x v="1025"/>
    <s v="Administración"/>
    <m/>
    <m/>
    <m/>
    <m/>
    <m/>
    <m/>
    <m/>
  </r>
  <r>
    <d v="2021-12-03T00:00:00"/>
    <x v="12"/>
    <x v="19"/>
    <x v="19"/>
    <n v="-72000"/>
    <n v="0"/>
    <n v="72000"/>
    <x v="102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3T00:00:00"/>
    <x v="12"/>
    <x v="38"/>
    <x v="37"/>
    <n v="32317"/>
    <n v="32317"/>
    <n v="0"/>
    <x v="464"/>
    <s v="Administración"/>
    <m/>
    <m/>
    <m/>
    <m/>
    <m/>
    <m/>
    <m/>
  </r>
  <r>
    <d v="2021-12-03T00:00:00"/>
    <x v="12"/>
    <x v="0"/>
    <x v="0"/>
    <n v="-32317"/>
    <n v="0"/>
    <n v="32317"/>
    <x v="46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3T00:00:00"/>
    <x v="12"/>
    <x v="0"/>
    <x v="0"/>
    <n v="30000"/>
    <n v="30000"/>
    <n v="0"/>
    <x v="655"/>
    <s v="Administración"/>
    <m/>
    <m/>
    <m/>
    <m/>
    <m/>
    <m/>
    <m/>
  </r>
  <r>
    <d v="2021-12-03T00:00:00"/>
    <x v="12"/>
    <x v="6"/>
    <x v="6"/>
    <n v="-30000"/>
    <n v="0"/>
    <n v="30000"/>
    <x v="65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3T00:00:00"/>
    <x v="12"/>
    <x v="0"/>
    <x v="0"/>
    <n v="64000"/>
    <n v="64000"/>
    <n v="0"/>
    <x v="1026"/>
    <s v="Administración"/>
    <m/>
    <m/>
    <m/>
    <m/>
    <m/>
    <m/>
    <m/>
  </r>
  <r>
    <d v="2021-12-03T00:00:00"/>
    <x v="12"/>
    <x v="55"/>
    <x v="52"/>
    <n v="-64000"/>
    <n v="0"/>
    <n v="64000"/>
    <x v="102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3T00:00:00"/>
    <x v="12"/>
    <x v="0"/>
    <x v="0"/>
    <n v="20000"/>
    <n v="20000"/>
    <n v="0"/>
    <x v="105"/>
    <s v="Administración"/>
    <m/>
    <m/>
    <m/>
    <m/>
    <m/>
    <m/>
    <m/>
  </r>
  <r>
    <d v="2021-12-03T00:00:00"/>
    <x v="12"/>
    <x v="19"/>
    <x v="19"/>
    <n v="-20000"/>
    <n v="0"/>
    <n v="20000"/>
    <x v="10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3T00:00:00"/>
    <x v="12"/>
    <x v="0"/>
    <x v="0"/>
    <n v="4837"/>
    <n v="4837"/>
    <n v="0"/>
    <x v="344"/>
    <s v="Administración"/>
    <m/>
    <m/>
    <m/>
    <m/>
    <m/>
    <m/>
    <m/>
  </r>
  <r>
    <d v="2021-12-03T00:00:00"/>
    <x v="12"/>
    <x v="20"/>
    <x v="20"/>
    <n v="-4837"/>
    <n v="0"/>
    <n v="4837"/>
    <x v="3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3T00:00:00"/>
    <x v="12"/>
    <x v="0"/>
    <x v="0"/>
    <n v="32000"/>
    <n v="32000"/>
    <n v="0"/>
    <x v="1027"/>
    <s v="Administración"/>
    <m/>
    <m/>
    <m/>
    <m/>
    <m/>
    <m/>
    <m/>
  </r>
  <r>
    <d v="2021-12-03T00:00:00"/>
    <x v="12"/>
    <x v="55"/>
    <x v="52"/>
    <n v="-32000"/>
    <n v="0"/>
    <n v="32000"/>
    <x v="102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3T00:00:00"/>
    <x v="12"/>
    <x v="0"/>
    <x v="0"/>
    <n v="96000"/>
    <n v="96000"/>
    <n v="0"/>
    <x v="1028"/>
    <s v="Administración"/>
    <m/>
    <m/>
    <m/>
    <m/>
    <m/>
    <m/>
    <m/>
  </r>
  <r>
    <d v="2021-12-03T00:00:00"/>
    <x v="12"/>
    <x v="55"/>
    <x v="52"/>
    <n v="-96000"/>
    <n v="0"/>
    <n v="96000"/>
    <x v="102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64000"/>
    <n v="64000"/>
    <n v="0"/>
    <x v="1029"/>
    <s v="Administración"/>
    <m/>
    <m/>
    <m/>
    <m/>
    <m/>
    <m/>
    <m/>
  </r>
  <r>
    <d v="2021-12-06T00:00:00"/>
    <x v="12"/>
    <x v="55"/>
    <x v="52"/>
    <n v="-64000"/>
    <n v="0"/>
    <n v="64000"/>
    <x v="102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30000"/>
    <n v="30000"/>
    <n v="0"/>
    <x v="1024"/>
    <s v="Administración"/>
    <m/>
    <m/>
    <m/>
    <m/>
    <m/>
    <m/>
    <m/>
  </r>
  <r>
    <d v="2021-12-06T00:00:00"/>
    <x v="12"/>
    <x v="55"/>
    <x v="52"/>
    <n v="-30000"/>
    <n v="0"/>
    <n v="30000"/>
    <x v="102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30000"/>
    <n v="30000"/>
    <n v="0"/>
    <x v="152"/>
    <s v="Administración"/>
    <m/>
    <m/>
    <m/>
    <m/>
    <m/>
    <m/>
    <m/>
  </r>
  <r>
    <d v="2021-12-06T00:00:00"/>
    <x v="12"/>
    <x v="19"/>
    <x v="19"/>
    <n v="-30000"/>
    <n v="0"/>
    <n v="30000"/>
    <x v="15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72000"/>
    <n v="72000"/>
    <n v="0"/>
    <x v="1024"/>
    <s v="Administración"/>
    <m/>
    <m/>
    <m/>
    <m/>
    <m/>
    <m/>
    <m/>
  </r>
  <r>
    <d v="2021-12-06T00:00:00"/>
    <x v="12"/>
    <x v="55"/>
    <x v="52"/>
    <n v="-72000"/>
    <n v="0"/>
    <n v="72000"/>
    <x v="102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40"/>
    <x v="39"/>
    <n v="259008"/>
    <n v="259008"/>
    <n v="0"/>
    <x v="803"/>
    <s v="Administración"/>
    <m/>
    <m/>
    <m/>
    <m/>
    <m/>
    <m/>
    <m/>
  </r>
  <r>
    <d v="2021-12-06T00:00:00"/>
    <x v="12"/>
    <x v="0"/>
    <x v="0"/>
    <n v="-259008"/>
    <n v="0"/>
    <n v="259008"/>
    <x v="80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32000"/>
    <n v="32000"/>
    <n v="0"/>
    <x v="1030"/>
    <s v="Administración"/>
    <m/>
    <m/>
    <m/>
    <m/>
    <m/>
    <m/>
    <m/>
  </r>
  <r>
    <d v="2021-12-06T00:00:00"/>
    <x v="12"/>
    <x v="55"/>
    <x v="52"/>
    <n v="-32000"/>
    <n v="0"/>
    <n v="32000"/>
    <x v="103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160000"/>
    <n v="160000"/>
    <n v="0"/>
    <x v="1031"/>
    <s v="Administración"/>
    <m/>
    <m/>
    <m/>
    <m/>
    <m/>
    <m/>
    <m/>
  </r>
  <r>
    <d v="2021-12-06T00:00:00"/>
    <x v="12"/>
    <x v="55"/>
    <x v="52"/>
    <n v="-160000"/>
    <n v="0"/>
    <n v="160000"/>
    <x v="103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40000"/>
    <n v="40000"/>
    <n v="0"/>
    <x v="1032"/>
    <s v="Administración"/>
    <m/>
    <m/>
    <m/>
    <m/>
    <m/>
    <m/>
    <m/>
  </r>
  <r>
    <d v="2021-12-06T00:00:00"/>
    <x v="12"/>
    <x v="19"/>
    <x v="19"/>
    <n v="-40000"/>
    <n v="0"/>
    <n v="40000"/>
    <x v="103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20000"/>
    <n v="20000"/>
    <n v="0"/>
    <x v="1033"/>
    <s v="Administración"/>
    <m/>
    <m/>
    <m/>
    <m/>
    <m/>
    <m/>
    <m/>
  </r>
  <r>
    <d v="2021-12-06T00:00:00"/>
    <x v="12"/>
    <x v="24"/>
    <x v="24"/>
    <n v="-20000"/>
    <n v="0"/>
    <n v="20000"/>
    <x v="103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30000"/>
    <n v="30000"/>
    <n v="0"/>
    <x v="1034"/>
    <s v="Administración"/>
    <m/>
    <m/>
    <m/>
    <m/>
    <m/>
    <m/>
    <m/>
  </r>
  <r>
    <d v="2021-12-06T00:00:00"/>
    <x v="12"/>
    <x v="55"/>
    <x v="52"/>
    <n v="-30000"/>
    <n v="0"/>
    <n v="30000"/>
    <x v="103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40000"/>
    <n v="40000"/>
    <n v="0"/>
    <x v="1035"/>
    <s v="Administración"/>
    <m/>
    <m/>
    <m/>
    <m/>
    <m/>
    <m/>
    <m/>
  </r>
  <r>
    <d v="2021-12-06T00:00:00"/>
    <x v="12"/>
    <x v="55"/>
    <x v="52"/>
    <n v="-40000"/>
    <n v="0"/>
    <n v="40000"/>
    <x v="103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10000"/>
    <n v="10000"/>
    <n v="0"/>
    <x v="78"/>
    <s v="Administración"/>
    <m/>
    <m/>
    <m/>
    <m/>
    <m/>
    <m/>
    <m/>
  </r>
  <r>
    <d v="2021-12-06T00:00:00"/>
    <x v="12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32000"/>
    <n v="32000"/>
    <n v="0"/>
    <x v="1036"/>
    <s v="Administración"/>
    <m/>
    <m/>
    <m/>
    <m/>
    <m/>
    <m/>
    <m/>
  </r>
  <r>
    <d v="2021-12-06T00:00:00"/>
    <x v="12"/>
    <x v="55"/>
    <x v="52"/>
    <n v="-32000"/>
    <n v="0"/>
    <n v="32000"/>
    <x v="103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10000"/>
    <n v="10000"/>
    <n v="0"/>
    <x v="858"/>
    <s v="Administración"/>
    <m/>
    <m/>
    <m/>
    <m/>
    <m/>
    <m/>
    <m/>
  </r>
  <r>
    <d v="2021-12-06T00:00:00"/>
    <x v="12"/>
    <x v="19"/>
    <x v="19"/>
    <n v="-10000"/>
    <n v="0"/>
    <n v="10000"/>
    <x v="85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3000"/>
    <n v="3000"/>
    <n v="0"/>
    <x v="171"/>
    <s v="Administración"/>
    <m/>
    <m/>
    <m/>
    <m/>
    <m/>
    <m/>
    <m/>
  </r>
  <r>
    <d v="2021-12-06T00:00:00"/>
    <x v="12"/>
    <x v="19"/>
    <x v="19"/>
    <n v="-3000"/>
    <n v="0"/>
    <n v="3000"/>
    <x v="17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32000"/>
    <n v="32000"/>
    <n v="0"/>
    <x v="1037"/>
    <s v="Administración"/>
    <m/>
    <m/>
    <m/>
    <m/>
    <m/>
    <m/>
    <m/>
  </r>
  <r>
    <d v="2021-12-06T00:00:00"/>
    <x v="12"/>
    <x v="55"/>
    <x v="52"/>
    <n v="-32000"/>
    <n v="0"/>
    <n v="32000"/>
    <x v="103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50000"/>
    <n v="50000"/>
    <n v="0"/>
    <x v="12"/>
    <s v="Administración"/>
    <m/>
    <m/>
    <m/>
    <m/>
    <m/>
    <m/>
    <m/>
  </r>
  <r>
    <d v="2021-12-06T00:00:00"/>
    <x v="12"/>
    <x v="6"/>
    <x v="6"/>
    <n v="-50000"/>
    <n v="0"/>
    <n v="50000"/>
    <x v="1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10000"/>
    <n v="10000"/>
    <n v="0"/>
    <x v="319"/>
    <s v="Administración"/>
    <m/>
    <m/>
    <m/>
    <m/>
    <m/>
    <m/>
    <m/>
  </r>
  <r>
    <d v="2021-12-06T00:00:00"/>
    <x v="12"/>
    <x v="19"/>
    <x v="19"/>
    <n v="-10000"/>
    <n v="0"/>
    <n v="10000"/>
    <x v="31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20000"/>
    <n v="20000"/>
    <n v="0"/>
    <x v="297"/>
    <s v="Administración"/>
    <m/>
    <m/>
    <m/>
    <m/>
    <m/>
    <m/>
    <m/>
  </r>
  <r>
    <d v="2021-12-06T00:00:00"/>
    <x v="12"/>
    <x v="6"/>
    <x v="6"/>
    <n v="-20000"/>
    <n v="0"/>
    <n v="20000"/>
    <x v="29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25000"/>
    <n v="25000"/>
    <n v="0"/>
    <x v="812"/>
    <s v="Administración"/>
    <m/>
    <m/>
    <m/>
    <m/>
    <m/>
    <m/>
    <m/>
  </r>
  <r>
    <d v="2021-12-06T00:00:00"/>
    <x v="12"/>
    <x v="19"/>
    <x v="19"/>
    <n v="-25000"/>
    <n v="0"/>
    <n v="25000"/>
    <x v="81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21000"/>
    <n v="21000"/>
    <n v="0"/>
    <x v="749"/>
    <s v="Administración"/>
    <m/>
    <m/>
    <m/>
    <m/>
    <m/>
    <m/>
    <m/>
  </r>
  <r>
    <d v="2021-12-06T00:00:00"/>
    <x v="12"/>
    <x v="6"/>
    <x v="6"/>
    <n v="-21000"/>
    <n v="0"/>
    <n v="21000"/>
    <x v="74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2000"/>
    <n v="2000"/>
    <n v="0"/>
    <x v="283"/>
    <s v="Administración"/>
    <m/>
    <m/>
    <m/>
    <m/>
    <m/>
    <m/>
    <m/>
  </r>
  <r>
    <d v="2021-12-06T00:00:00"/>
    <x v="12"/>
    <x v="19"/>
    <x v="19"/>
    <n v="-2000"/>
    <n v="0"/>
    <n v="2000"/>
    <x v="2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20000"/>
    <n v="20000"/>
    <n v="0"/>
    <x v="1038"/>
    <s v="Administración"/>
    <m/>
    <m/>
    <m/>
    <m/>
    <m/>
    <m/>
    <m/>
  </r>
  <r>
    <d v="2021-12-06T00:00:00"/>
    <x v="12"/>
    <x v="55"/>
    <x v="52"/>
    <n v="-20000"/>
    <n v="0"/>
    <n v="20000"/>
    <x v="103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31631"/>
    <n v="31631"/>
    <n v="0"/>
    <x v="961"/>
    <s v="Administración"/>
    <m/>
    <m/>
    <m/>
    <m/>
    <m/>
    <m/>
    <m/>
  </r>
  <r>
    <d v="2021-12-06T00:00:00"/>
    <x v="12"/>
    <x v="55"/>
    <x v="52"/>
    <n v="-31631"/>
    <n v="0"/>
    <n v="31631"/>
    <x v="9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29472"/>
    <n v="29472"/>
    <n v="0"/>
    <x v="1039"/>
    <s v="Administración"/>
    <m/>
    <m/>
    <m/>
    <m/>
    <m/>
    <m/>
    <m/>
  </r>
  <r>
    <d v="2021-12-06T00:00:00"/>
    <x v="12"/>
    <x v="6"/>
    <x v="6"/>
    <n v="-29472"/>
    <n v="0"/>
    <n v="29472"/>
    <x v="103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5000"/>
    <n v="5000"/>
    <n v="0"/>
    <x v="389"/>
    <s v="Administración"/>
    <m/>
    <m/>
    <m/>
    <m/>
    <m/>
    <m/>
    <m/>
  </r>
  <r>
    <d v="2021-12-06T00:00:00"/>
    <x v="12"/>
    <x v="19"/>
    <x v="19"/>
    <n v="-5000"/>
    <n v="0"/>
    <n v="5000"/>
    <x v="38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15000"/>
    <n v="15000"/>
    <n v="0"/>
    <x v="451"/>
    <s v="Administración"/>
    <m/>
    <m/>
    <m/>
    <m/>
    <m/>
    <m/>
    <m/>
  </r>
  <r>
    <d v="2021-12-06T00:00:00"/>
    <x v="12"/>
    <x v="6"/>
    <x v="6"/>
    <n v="-15000"/>
    <n v="0"/>
    <n v="15000"/>
    <x v="45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32000"/>
    <n v="32000"/>
    <n v="0"/>
    <x v="1040"/>
    <s v="Administración"/>
    <m/>
    <m/>
    <m/>
    <m/>
    <m/>
    <m/>
    <m/>
  </r>
  <r>
    <d v="2021-12-06T00:00:00"/>
    <x v="12"/>
    <x v="55"/>
    <x v="52"/>
    <n v="-32000"/>
    <n v="0"/>
    <n v="32000"/>
    <x v="104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143000"/>
    <n v="143000"/>
    <n v="0"/>
    <x v="1001"/>
    <s v="Administración"/>
    <m/>
    <m/>
    <m/>
    <m/>
    <m/>
    <m/>
    <m/>
  </r>
  <r>
    <d v="2021-12-06T00:00:00"/>
    <x v="12"/>
    <x v="55"/>
    <x v="52"/>
    <n v="-143000"/>
    <n v="0"/>
    <n v="143000"/>
    <x v="100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25000"/>
    <n v="25000"/>
    <n v="0"/>
    <x v="1041"/>
    <s v="Administración"/>
    <m/>
    <m/>
    <m/>
    <m/>
    <m/>
    <m/>
    <m/>
  </r>
  <r>
    <d v="2021-12-06T00:00:00"/>
    <x v="12"/>
    <x v="42"/>
    <x v="23"/>
    <n v="-25000"/>
    <n v="0"/>
    <n v="25000"/>
    <x v="104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832947"/>
    <n v="832947"/>
    <n v="0"/>
    <x v="861"/>
    <s v="Administración"/>
    <m/>
    <m/>
    <m/>
    <m/>
    <m/>
    <m/>
    <m/>
  </r>
  <r>
    <d v="2021-12-06T00:00:00"/>
    <x v="12"/>
    <x v="19"/>
    <x v="19"/>
    <n v="-832947"/>
    <n v="0"/>
    <n v="832947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25000"/>
    <n v="25000"/>
    <n v="0"/>
    <x v="248"/>
    <s v="Administración"/>
    <m/>
    <m/>
    <m/>
    <m/>
    <m/>
    <m/>
    <m/>
  </r>
  <r>
    <d v="2021-12-06T00:00:00"/>
    <x v="12"/>
    <x v="42"/>
    <x v="23"/>
    <n v="-25000"/>
    <n v="0"/>
    <n v="25000"/>
    <x v="24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20000"/>
    <n v="20000"/>
    <n v="0"/>
    <x v="113"/>
    <s v="Administración"/>
    <m/>
    <m/>
    <m/>
    <m/>
    <m/>
    <m/>
    <m/>
  </r>
  <r>
    <d v="2021-12-06T00:00:00"/>
    <x v="12"/>
    <x v="19"/>
    <x v="19"/>
    <n v="-20000"/>
    <n v="0"/>
    <n v="20000"/>
    <x v="11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6T00:00:00"/>
    <x v="12"/>
    <x v="0"/>
    <x v="0"/>
    <n v="32000"/>
    <n v="32000"/>
    <n v="0"/>
    <x v="1042"/>
    <s v="Administración"/>
    <m/>
    <m/>
    <m/>
    <m/>
    <m/>
    <m/>
    <m/>
  </r>
  <r>
    <d v="2021-12-06T00:00:00"/>
    <x v="12"/>
    <x v="55"/>
    <x v="52"/>
    <n v="-32000"/>
    <n v="0"/>
    <n v="32000"/>
    <x v="104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32000"/>
    <n v="32000"/>
    <n v="0"/>
    <x v="1043"/>
    <s v="Administración"/>
    <m/>
    <m/>
    <m/>
    <m/>
    <m/>
    <m/>
    <m/>
  </r>
  <r>
    <d v="2021-12-07T00:00:00"/>
    <x v="12"/>
    <x v="55"/>
    <x v="52"/>
    <n v="-32000"/>
    <n v="0"/>
    <n v="32000"/>
    <x v="104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115112"/>
    <n v="115112"/>
    <n v="0"/>
    <x v="1044"/>
    <s v="Administración"/>
    <m/>
    <m/>
    <m/>
    <m/>
    <m/>
    <m/>
    <m/>
  </r>
  <r>
    <d v="2021-12-07T00:00:00"/>
    <x v="12"/>
    <x v="55"/>
    <x v="52"/>
    <n v="-115112"/>
    <n v="0"/>
    <n v="115112"/>
    <x v="10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60000"/>
    <n v="60000"/>
    <n v="0"/>
    <x v="1045"/>
    <s v="Administración"/>
    <m/>
    <m/>
    <m/>
    <m/>
    <m/>
    <m/>
    <m/>
  </r>
  <r>
    <d v="2021-12-07T00:00:00"/>
    <x v="12"/>
    <x v="55"/>
    <x v="52"/>
    <n v="-60000"/>
    <n v="0"/>
    <n v="60000"/>
    <x v="104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320000"/>
    <n v="320000"/>
    <n v="0"/>
    <x v="920"/>
    <s v="Administración"/>
    <m/>
    <m/>
    <m/>
    <m/>
    <m/>
    <m/>
    <m/>
  </r>
  <r>
    <d v="2021-12-07T00:00:00"/>
    <x v="12"/>
    <x v="55"/>
    <x v="52"/>
    <n v="-320000"/>
    <n v="0"/>
    <n v="320000"/>
    <x v="92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3000000"/>
    <n v="3000000"/>
    <n v="0"/>
    <x v="1046"/>
    <s v="Administración"/>
    <m/>
    <m/>
    <m/>
    <m/>
    <m/>
    <m/>
    <m/>
  </r>
  <r>
    <d v="2021-12-07T00:00:00"/>
    <x v="12"/>
    <x v="6"/>
    <x v="6"/>
    <n v="-3000000"/>
    <n v="0"/>
    <n v="3000000"/>
    <x v="104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5000"/>
    <n v="5000"/>
    <n v="0"/>
    <x v="384"/>
    <s v="Administración"/>
    <m/>
    <m/>
    <m/>
    <m/>
    <m/>
    <m/>
    <m/>
  </r>
  <r>
    <d v="2021-12-07T00:00:00"/>
    <x v="12"/>
    <x v="19"/>
    <x v="19"/>
    <n v="-5000"/>
    <n v="0"/>
    <n v="5000"/>
    <x v="38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50000"/>
    <n v="50000"/>
    <n v="0"/>
    <x v="384"/>
    <s v="Administración"/>
    <m/>
    <m/>
    <m/>
    <m/>
    <m/>
    <m/>
    <m/>
  </r>
  <r>
    <d v="2021-12-07T00:00:00"/>
    <x v="12"/>
    <x v="19"/>
    <x v="19"/>
    <n v="-50000"/>
    <n v="0"/>
    <n v="50000"/>
    <x v="38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4912"/>
    <n v="4912"/>
    <n v="0"/>
    <x v="344"/>
    <s v="Administración"/>
    <m/>
    <m/>
    <m/>
    <m/>
    <m/>
    <m/>
    <m/>
  </r>
  <r>
    <d v="2021-12-07T00:00:00"/>
    <x v="12"/>
    <x v="20"/>
    <x v="20"/>
    <n v="-4912"/>
    <n v="0"/>
    <n v="4912"/>
    <x v="3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249011"/>
    <n v="249011"/>
    <n v="0"/>
    <x v="961"/>
    <s v="Administración"/>
    <m/>
    <m/>
    <m/>
    <m/>
    <m/>
    <m/>
    <m/>
  </r>
  <r>
    <d v="2021-12-07T00:00:00"/>
    <x v="12"/>
    <x v="55"/>
    <x v="52"/>
    <n v="-249011"/>
    <n v="0"/>
    <n v="249011"/>
    <x v="9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727947"/>
    <n v="727947"/>
    <n v="0"/>
    <x v="909"/>
    <s v="Administración"/>
    <m/>
    <m/>
    <m/>
    <m/>
    <m/>
    <m/>
    <m/>
  </r>
  <r>
    <d v="2021-12-07T00:00:00"/>
    <x v="12"/>
    <x v="55"/>
    <x v="52"/>
    <n v="-727947"/>
    <n v="0"/>
    <n v="727947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7860"/>
    <n v="7860"/>
    <n v="0"/>
    <x v="1047"/>
    <s v="Administración"/>
    <m/>
    <m/>
    <m/>
    <m/>
    <m/>
    <m/>
    <m/>
  </r>
  <r>
    <d v="2021-12-07T00:00:00"/>
    <x v="12"/>
    <x v="6"/>
    <x v="6"/>
    <n v="-7860"/>
    <n v="0"/>
    <n v="7860"/>
    <x v="104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29804"/>
    <n v="29804"/>
    <n v="0"/>
    <x v="96"/>
    <s v="Administración"/>
    <m/>
    <m/>
    <m/>
    <m/>
    <m/>
    <m/>
    <m/>
  </r>
  <r>
    <d v="2021-12-07T00:00:00"/>
    <x v="12"/>
    <x v="19"/>
    <x v="19"/>
    <n v="-29804"/>
    <n v="0"/>
    <n v="29804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25"/>
    <x v="25"/>
    <n v="821027"/>
    <n v="821027"/>
    <n v="0"/>
    <x v="1048"/>
    <s v="Administración"/>
    <m/>
    <m/>
    <m/>
    <m/>
    <m/>
    <m/>
    <m/>
  </r>
  <r>
    <d v="2021-12-07T00:00:00"/>
    <x v="12"/>
    <x v="0"/>
    <x v="0"/>
    <n v="-821027"/>
    <n v="0"/>
    <n v="821027"/>
    <x v="104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9"/>
    <x v="9"/>
    <n v="122483"/>
    <n v="122483"/>
    <n v="0"/>
    <x v="1049"/>
    <s v="Administración"/>
    <m/>
    <m/>
    <m/>
    <m/>
    <m/>
    <m/>
    <m/>
  </r>
  <r>
    <d v="2021-12-07T00:00:00"/>
    <x v="12"/>
    <x v="6"/>
    <x v="6"/>
    <n v="46739"/>
    <n v="46739"/>
    <n v="0"/>
    <x v="1049"/>
    <s v="Administración"/>
    <m/>
    <m/>
    <m/>
    <m/>
    <m/>
    <m/>
    <m/>
  </r>
  <r>
    <d v="2021-12-07T00:00:00"/>
    <x v="12"/>
    <x v="0"/>
    <x v="0"/>
    <n v="-169222"/>
    <n v="0"/>
    <n v="169222"/>
    <x v="104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10"/>
    <x v="10"/>
    <n v="178611"/>
    <n v="178611"/>
    <n v="0"/>
    <x v="582"/>
    <s v="Administración"/>
    <m/>
    <m/>
    <m/>
    <m/>
    <m/>
    <m/>
    <m/>
  </r>
  <r>
    <d v="2021-12-07T00:00:00"/>
    <x v="12"/>
    <x v="0"/>
    <x v="0"/>
    <n v="-178611"/>
    <n v="0"/>
    <n v="178611"/>
    <x v="58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10"/>
    <x v="10"/>
    <n v="415263"/>
    <n v="415263"/>
    <n v="0"/>
    <x v="581"/>
    <s v="Administración"/>
    <m/>
    <m/>
    <m/>
    <m/>
    <m/>
    <m/>
    <m/>
  </r>
  <r>
    <d v="2021-12-07T00:00:00"/>
    <x v="12"/>
    <x v="0"/>
    <x v="0"/>
    <n v="-415263"/>
    <n v="0"/>
    <n v="415263"/>
    <x v="58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10000"/>
    <n v="10000"/>
    <n v="0"/>
    <x v="315"/>
    <s v="Administración"/>
    <m/>
    <m/>
    <m/>
    <m/>
    <m/>
    <m/>
    <m/>
  </r>
  <r>
    <d v="2021-12-07T00:00:00"/>
    <x v="12"/>
    <x v="20"/>
    <x v="20"/>
    <n v="-10000"/>
    <n v="0"/>
    <n v="10000"/>
    <x v="3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64000"/>
    <n v="64000"/>
    <n v="0"/>
    <x v="1050"/>
    <s v="Administración"/>
    <m/>
    <m/>
    <m/>
    <m/>
    <m/>
    <m/>
    <m/>
  </r>
  <r>
    <d v="2021-12-07T00:00:00"/>
    <x v="12"/>
    <x v="55"/>
    <x v="52"/>
    <n v="-64000"/>
    <n v="0"/>
    <n v="64000"/>
    <x v="105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12000"/>
    <n v="12000"/>
    <n v="0"/>
    <x v="323"/>
    <s v="Administración"/>
    <m/>
    <m/>
    <m/>
    <m/>
    <m/>
    <m/>
    <m/>
  </r>
  <r>
    <d v="2021-12-07T00:00:00"/>
    <x v="12"/>
    <x v="19"/>
    <x v="19"/>
    <n v="-12000"/>
    <n v="0"/>
    <n v="12000"/>
    <x v="32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7T00:00:00"/>
    <x v="12"/>
    <x v="0"/>
    <x v="0"/>
    <n v="30000"/>
    <n v="30000"/>
    <n v="0"/>
    <x v="1051"/>
    <s v="Administración"/>
    <m/>
    <m/>
    <m/>
    <m/>
    <m/>
    <m/>
    <m/>
  </r>
  <r>
    <d v="2021-12-07T00:00:00"/>
    <x v="12"/>
    <x v="6"/>
    <x v="6"/>
    <n v="-30000"/>
    <n v="0"/>
    <n v="30000"/>
    <x v="105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26"/>
    <x v="26"/>
    <n v="3433"/>
    <n v="3433"/>
    <n v="0"/>
    <x v="23"/>
    <s v="Administración"/>
    <m/>
    <m/>
    <m/>
    <m/>
    <m/>
    <m/>
    <m/>
  </r>
  <r>
    <d v="2021-12-09T00:00:00"/>
    <x v="12"/>
    <x v="0"/>
    <x v="0"/>
    <n v="-3433"/>
    <n v="0"/>
    <n v="3433"/>
    <x v="2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60000"/>
    <n v="60000"/>
    <n v="0"/>
    <x v="908"/>
    <s v="Administración"/>
    <m/>
    <m/>
    <m/>
    <m/>
    <m/>
    <m/>
    <m/>
  </r>
  <r>
    <d v="2021-12-09T00:00:00"/>
    <x v="12"/>
    <x v="6"/>
    <x v="6"/>
    <n v="-60000"/>
    <n v="0"/>
    <n v="60000"/>
    <x v="90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25000"/>
    <n v="25000"/>
    <n v="0"/>
    <x v="1052"/>
    <s v="Administración"/>
    <m/>
    <m/>
    <m/>
    <m/>
    <m/>
    <m/>
    <m/>
  </r>
  <r>
    <d v="2021-12-09T00:00:00"/>
    <x v="12"/>
    <x v="42"/>
    <x v="23"/>
    <n v="-25000"/>
    <n v="0"/>
    <n v="25000"/>
    <x v="105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15000"/>
    <n v="15000"/>
    <n v="0"/>
    <x v="1053"/>
    <s v="Administración"/>
    <m/>
    <m/>
    <m/>
    <m/>
    <m/>
    <m/>
    <m/>
  </r>
  <r>
    <d v="2021-12-09T00:00:00"/>
    <x v="12"/>
    <x v="19"/>
    <x v="19"/>
    <n v="-15000"/>
    <n v="0"/>
    <n v="15000"/>
    <x v="105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15000"/>
    <n v="15000"/>
    <n v="0"/>
    <x v="8"/>
    <s v="Administración"/>
    <m/>
    <m/>
    <m/>
    <m/>
    <m/>
    <m/>
    <m/>
  </r>
  <r>
    <d v="2021-12-09T00:00:00"/>
    <x v="12"/>
    <x v="6"/>
    <x v="6"/>
    <n v="-15000"/>
    <n v="0"/>
    <n v="15000"/>
    <x v="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2000"/>
    <n v="2000"/>
    <n v="0"/>
    <x v="168"/>
    <s v="Administración"/>
    <m/>
    <m/>
    <m/>
    <m/>
    <m/>
    <m/>
    <m/>
  </r>
  <r>
    <d v="2021-12-09T00:00:00"/>
    <x v="12"/>
    <x v="19"/>
    <x v="19"/>
    <n v="-2000"/>
    <n v="0"/>
    <n v="2000"/>
    <x v="16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64000"/>
    <n v="64000"/>
    <n v="0"/>
    <x v="1054"/>
    <s v="Administración"/>
    <m/>
    <m/>
    <m/>
    <m/>
    <m/>
    <m/>
    <m/>
  </r>
  <r>
    <d v="2021-12-09T00:00:00"/>
    <x v="12"/>
    <x v="55"/>
    <x v="52"/>
    <n v="-64000"/>
    <n v="0"/>
    <n v="64000"/>
    <x v="105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100000"/>
    <n v="100000"/>
    <n v="0"/>
    <x v="326"/>
    <s v="Administración"/>
    <m/>
    <m/>
    <m/>
    <m/>
    <m/>
    <m/>
    <m/>
  </r>
  <r>
    <d v="2021-12-09T00:00:00"/>
    <x v="12"/>
    <x v="21"/>
    <x v="21"/>
    <n v="-100000"/>
    <n v="0"/>
    <n v="100000"/>
    <x v="32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70000"/>
    <n v="70000"/>
    <n v="0"/>
    <x v="90"/>
    <s v="Administración"/>
    <m/>
    <m/>
    <m/>
    <m/>
    <m/>
    <m/>
    <m/>
  </r>
  <r>
    <d v="2021-12-09T00:00:00"/>
    <x v="12"/>
    <x v="19"/>
    <x v="19"/>
    <n v="-70000"/>
    <n v="0"/>
    <n v="70000"/>
    <x v="9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4835"/>
    <n v="4835"/>
    <n v="0"/>
    <x v="344"/>
    <s v="Administración"/>
    <m/>
    <m/>
    <m/>
    <m/>
    <m/>
    <m/>
    <m/>
  </r>
  <r>
    <d v="2021-12-09T00:00:00"/>
    <x v="12"/>
    <x v="20"/>
    <x v="20"/>
    <n v="-4835"/>
    <n v="0"/>
    <n v="4835"/>
    <x v="3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207104"/>
    <n v="207104"/>
    <n v="0"/>
    <x v="961"/>
    <s v="Administración"/>
    <m/>
    <m/>
    <m/>
    <m/>
    <m/>
    <m/>
    <m/>
  </r>
  <r>
    <d v="2021-12-09T00:00:00"/>
    <x v="12"/>
    <x v="55"/>
    <x v="52"/>
    <n v="-207104"/>
    <n v="0"/>
    <n v="207104"/>
    <x v="9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1108765"/>
    <n v="1108765"/>
    <n v="0"/>
    <x v="909"/>
    <s v="Administración"/>
    <m/>
    <m/>
    <m/>
    <m/>
    <m/>
    <m/>
    <m/>
  </r>
  <r>
    <d v="2021-12-09T00:00:00"/>
    <x v="12"/>
    <x v="55"/>
    <x v="52"/>
    <n v="-1108765"/>
    <n v="0"/>
    <n v="1108765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32000"/>
    <n v="32000"/>
    <n v="0"/>
    <x v="909"/>
    <s v="Administración"/>
    <m/>
    <m/>
    <m/>
    <m/>
    <m/>
    <m/>
    <m/>
  </r>
  <r>
    <d v="2021-12-09T00:00:00"/>
    <x v="12"/>
    <x v="55"/>
    <x v="52"/>
    <n v="-32000"/>
    <n v="0"/>
    <n v="32000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85000"/>
    <n v="85000"/>
    <n v="0"/>
    <x v="198"/>
    <s v="Administración"/>
    <m/>
    <m/>
    <m/>
    <m/>
    <m/>
    <m/>
    <m/>
  </r>
  <r>
    <d v="2021-12-09T00:00:00"/>
    <x v="12"/>
    <x v="19"/>
    <x v="19"/>
    <n v="-85000"/>
    <n v="0"/>
    <n v="85000"/>
    <x v="19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25000"/>
    <n v="25000"/>
    <n v="0"/>
    <x v="268"/>
    <s v="Administración"/>
    <m/>
    <m/>
    <m/>
    <m/>
    <m/>
    <m/>
    <m/>
  </r>
  <r>
    <d v="2021-12-09T00:00:00"/>
    <x v="12"/>
    <x v="42"/>
    <x v="23"/>
    <n v="-25000"/>
    <n v="0"/>
    <n v="25000"/>
    <x v="26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697000"/>
    <n v="697000"/>
    <n v="0"/>
    <x v="861"/>
    <s v="Administración"/>
    <m/>
    <m/>
    <m/>
    <m/>
    <m/>
    <m/>
    <m/>
  </r>
  <r>
    <d v="2021-12-09T00:00:00"/>
    <x v="12"/>
    <x v="19"/>
    <x v="19"/>
    <n v="-697000"/>
    <n v="0"/>
    <n v="69700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09T00:00:00"/>
    <x v="12"/>
    <x v="0"/>
    <x v="0"/>
    <n v="12970"/>
    <n v="12970"/>
    <n v="0"/>
    <x v="861"/>
    <s v="Administración"/>
    <m/>
    <m/>
    <m/>
    <m/>
    <m/>
    <m/>
    <m/>
  </r>
  <r>
    <d v="2021-12-09T00:00:00"/>
    <x v="12"/>
    <x v="19"/>
    <x v="19"/>
    <n v="-12970"/>
    <n v="0"/>
    <n v="1297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0T00:00:00"/>
    <x v="12"/>
    <x v="0"/>
    <x v="0"/>
    <n v="32000"/>
    <n v="32000"/>
    <n v="0"/>
    <x v="1055"/>
    <s v="Administración"/>
    <m/>
    <m/>
    <m/>
    <m/>
    <m/>
    <m/>
    <m/>
  </r>
  <r>
    <d v="2021-12-10T00:00:00"/>
    <x v="12"/>
    <x v="55"/>
    <x v="52"/>
    <n v="-32000"/>
    <n v="0"/>
    <n v="32000"/>
    <x v="105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0T00:00:00"/>
    <x v="12"/>
    <x v="0"/>
    <x v="0"/>
    <n v="3000"/>
    <n v="3000"/>
    <n v="0"/>
    <x v="1056"/>
    <s v="Administración"/>
    <m/>
    <m/>
    <m/>
    <m/>
    <m/>
    <m/>
    <m/>
  </r>
  <r>
    <d v="2021-12-10T00:00:00"/>
    <x v="12"/>
    <x v="55"/>
    <x v="52"/>
    <n v="-3000"/>
    <n v="0"/>
    <n v="3000"/>
    <x v="105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0T00:00:00"/>
    <x v="12"/>
    <x v="0"/>
    <x v="0"/>
    <n v="160000"/>
    <n v="160000"/>
    <n v="0"/>
    <x v="1057"/>
    <s v="Administración"/>
    <m/>
    <m/>
    <m/>
    <m/>
    <m/>
    <m/>
    <m/>
  </r>
  <r>
    <d v="2021-12-10T00:00:00"/>
    <x v="12"/>
    <x v="55"/>
    <x v="52"/>
    <n v="-160000"/>
    <n v="0"/>
    <n v="160000"/>
    <x v="105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0T00:00:00"/>
    <x v="12"/>
    <x v="27"/>
    <x v="27"/>
    <n v="35956"/>
    <n v="35956"/>
    <n v="0"/>
    <x v="491"/>
    <s v="Administración"/>
    <m/>
    <m/>
    <m/>
    <m/>
    <m/>
    <m/>
    <m/>
  </r>
  <r>
    <d v="2021-12-10T00:00:00"/>
    <x v="12"/>
    <x v="0"/>
    <x v="0"/>
    <n v="-35956"/>
    <n v="0"/>
    <n v="35956"/>
    <x v="49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0T00:00:00"/>
    <x v="12"/>
    <x v="0"/>
    <x v="0"/>
    <n v="50000"/>
    <n v="50000"/>
    <n v="0"/>
    <x v="25"/>
    <s v="Administración"/>
    <m/>
    <m/>
    <m/>
    <m/>
    <m/>
    <m/>
    <m/>
  </r>
  <r>
    <d v="2021-12-10T00:00:00"/>
    <x v="12"/>
    <x v="6"/>
    <x v="6"/>
    <n v="-50000"/>
    <n v="0"/>
    <n v="50000"/>
    <x v="2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0T00:00:00"/>
    <x v="12"/>
    <x v="0"/>
    <x v="0"/>
    <n v="1061190"/>
    <n v="1061190"/>
    <n v="0"/>
    <x v="961"/>
    <s v="Administración"/>
    <m/>
    <m/>
    <m/>
    <m/>
    <m/>
    <m/>
    <m/>
  </r>
  <r>
    <d v="2021-12-10T00:00:00"/>
    <x v="12"/>
    <x v="55"/>
    <x v="52"/>
    <n v="-1061190"/>
    <n v="0"/>
    <n v="1061190"/>
    <x v="9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0T00:00:00"/>
    <x v="12"/>
    <x v="0"/>
    <x v="0"/>
    <n v="525575"/>
    <n v="525575"/>
    <n v="0"/>
    <x v="909"/>
    <s v="Administración"/>
    <m/>
    <m/>
    <m/>
    <m/>
    <m/>
    <m/>
    <m/>
  </r>
  <r>
    <d v="2021-12-10T00:00:00"/>
    <x v="12"/>
    <x v="55"/>
    <x v="52"/>
    <n v="-525575"/>
    <n v="0"/>
    <n v="525575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0T00:00:00"/>
    <x v="12"/>
    <x v="0"/>
    <x v="0"/>
    <n v="32000"/>
    <n v="32000"/>
    <n v="0"/>
    <x v="1058"/>
    <s v="Administración"/>
    <m/>
    <m/>
    <m/>
    <m/>
    <m/>
    <m/>
    <m/>
  </r>
  <r>
    <d v="2021-12-10T00:00:00"/>
    <x v="12"/>
    <x v="55"/>
    <x v="52"/>
    <n v="-32000"/>
    <n v="0"/>
    <n v="32000"/>
    <x v="105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0T00:00:00"/>
    <x v="12"/>
    <x v="0"/>
    <x v="0"/>
    <n v="20000"/>
    <n v="20000"/>
    <n v="0"/>
    <x v="1059"/>
    <s v="Administración"/>
    <m/>
    <m/>
    <m/>
    <m/>
    <m/>
    <m/>
    <m/>
  </r>
  <r>
    <d v="2021-12-10T00:00:00"/>
    <x v="12"/>
    <x v="24"/>
    <x v="24"/>
    <n v="-20000"/>
    <n v="0"/>
    <n v="20000"/>
    <x v="105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3T00:00:00"/>
    <x v="12"/>
    <x v="0"/>
    <x v="0"/>
    <n v="75000"/>
    <n v="75000"/>
    <n v="0"/>
    <x v="575"/>
    <s v="Administración"/>
    <m/>
    <m/>
    <m/>
    <m/>
    <m/>
    <m/>
    <m/>
  </r>
  <r>
    <d v="2021-12-13T00:00:00"/>
    <x v="12"/>
    <x v="42"/>
    <x v="23"/>
    <n v="-75000"/>
    <n v="0"/>
    <n v="75000"/>
    <x v="57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3T00:00:00"/>
    <x v="12"/>
    <x v="22"/>
    <x v="22"/>
    <n v="6504"/>
    <n v="6504"/>
    <n v="0"/>
    <x v="301"/>
    <s v="Administración"/>
    <m/>
    <m/>
    <m/>
    <m/>
    <m/>
    <m/>
    <m/>
  </r>
  <r>
    <d v="2021-12-13T00:00:00"/>
    <x v="12"/>
    <x v="0"/>
    <x v="0"/>
    <n v="-6504"/>
    <n v="0"/>
    <n v="6504"/>
    <x v="30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3T00:00:00"/>
    <x v="12"/>
    <x v="0"/>
    <x v="0"/>
    <n v="10000"/>
    <n v="10000"/>
    <n v="0"/>
    <x v="78"/>
    <s v="Administración"/>
    <m/>
    <m/>
    <m/>
    <m/>
    <m/>
    <m/>
    <m/>
  </r>
  <r>
    <d v="2021-12-13T00:00:00"/>
    <x v="12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3T00:00:00"/>
    <x v="12"/>
    <x v="0"/>
    <x v="0"/>
    <n v="3000"/>
    <n v="3000"/>
    <n v="0"/>
    <x v="600"/>
    <s v="Administración"/>
    <m/>
    <m/>
    <m/>
    <m/>
    <m/>
    <m/>
    <m/>
  </r>
  <r>
    <d v="2021-12-13T00:00:00"/>
    <x v="12"/>
    <x v="19"/>
    <x v="19"/>
    <n v="-3000"/>
    <n v="0"/>
    <n v="3000"/>
    <x v="60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3T00:00:00"/>
    <x v="12"/>
    <x v="0"/>
    <x v="0"/>
    <n v="8000"/>
    <n v="8000"/>
    <n v="0"/>
    <x v="167"/>
    <s v="Administración"/>
    <m/>
    <m/>
    <m/>
    <m/>
    <m/>
    <m/>
    <m/>
  </r>
  <r>
    <d v="2021-12-13T00:00:00"/>
    <x v="12"/>
    <x v="19"/>
    <x v="19"/>
    <n v="-8000"/>
    <n v="0"/>
    <n v="8000"/>
    <x v="16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3T00:00:00"/>
    <x v="12"/>
    <x v="0"/>
    <x v="0"/>
    <n v="100000"/>
    <n v="100000"/>
    <n v="0"/>
    <x v="1060"/>
    <s v="Administración"/>
    <m/>
    <m/>
    <m/>
    <m/>
    <m/>
    <m/>
    <m/>
  </r>
  <r>
    <d v="2021-12-13T00:00:00"/>
    <x v="12"/>
    <x v="55"/>
    <x v="52"/>
    <n v="-100000"/>
    <n v="0"/>
    <n v="100000"/>
    <x v="106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3T00:00:00"/>
    <x v="12"/>
    <x v="0"/>
    <x v="0"/>
    <n v="2000"/>
    <n v="2000"/>
    <n v="0"/>
    <x v="283"/>
    <s v="Administración"/>
    <m/>
    <m/>
    <m/>
    <m/>
    <m/>
    <m/>
    <m/>
  </r>
  <r>
    <d v="2021-12-13T00:00:00"/>
    <x v="12"/>
    <x v="19"/>
    <x v="19"/>
    <n v="-2000"/>
    <n v="0"/>
    <n v="2000"/>
    <x v="2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3T00:00:00"/>
    <x v="12"/>
    <x v="0"/>
    <x v="0"/>
    <n v="308634"/>
    <n v="308634"/>
    <n v="0"/>
    <x v="909"/>
    <s v="Administración"/>
    <m/>
    <m/>
    <m/>
    <m/>
    <m/>
    <m/>
    <m/>
  </r>
  <r>
    <d v="2021-12-13T00:00:00"/>
    <x v="12"/>
    <x v="19"/>
    <x v="19"/>
    <n v="-308634"/>
    <n v="0"/>
    <n v="308634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3T00:00:00"/>
    <x v="12"/>
    <x v="0"/>
    <x v="0"/>
    <n v="4912"/>
    <n v="4912"/>
    <n v="0"/>
    <x v="344"/>
    <s v="Administración"/>
    <m/>
    <m/>
    <m/>
    <m/>
    <m/>
    <m/>
    <m/>
  </r>
  <r>
    <d v="2021-12-13T00:00:00"/>
    <x v="12"/>
    <x v="20"/>
    <x v="20"/>
    <n v="-4912"/>
    <n v="0"/>
    <n v="4912"/>
    <x v="3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3T00:00:00"/>
    <x v="12"/>
    <x v="0"/>
    <x v="0"/>
    <n v="40000"/>
    <n v="40000"/>
    <n v="0"/>
    <x v="280"/>
    <s v="Administración"/>
    <m/>
    <m/>
    <m/>
    <m/>
    <m/>
    <m/>
    <m/>
  </r>
  <r>
    <d v="2021-12-13T00:00:00"/>
    <x v="12"/>
    <x v="19"/>
    <x v="19"/>
    <n v="-40000"/>
    <n v="0"/>
    <n v="40000"/>
    <x v="28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3T00:00:00"/>
    <x v="12"/>
    <x v="0"/>
    <x v="0"/>
    <n v="52600"/>
    <n v="52600"/>
    <n v="0"/>
    <x v="1061"/>
    <s v="Administración"/>
    <m/>
    <m/>
    <m/>
    <m/>
    <m/>
    <m/>
    <m/>
  </r>
  <r>
    <d v="2021-12-13T00:00:00"/>
    <x v="12"/>
    <x v="55"/>
    <x v="52"/>
    <n v="-52600"/>
    <n v="0"/>
    <n v="52600"/>
    <x v="10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3T00:00:00"/>
    <x v="12"/>
    <x v="0"/>
    <x v="0"/>
    <n v="10000"/>
    <n v="10000"/>
    <n v="0"/>
    <x v="1062"/>
    <s v="Administración"/>
    <m/>
    <m/>
    <m/>
    <m/>
    <m/>
    <m/>
    <m/>
  </r>
  <r>
    <d v="2021-12-13T00:00:00"/>
    <x v="12"/>
    <x v="20"/>
    <x v="20"/>
    <n v="-10000"/>
    <n v="0"/>
    <n v="10000"/>
    <x v="106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3T00:00:00"/>
    <x v="12"/>
    <x v="0"/>
    <x v="0"/>
    <n v="968000"/>
    <n v="968000"/>
    <n v="0"/>
    <x v="861"/>
    <s v="Administración"/>
    <m/>
    <m/>
    <m/>
    <m/>
    <m/>
    <m/>
    <m/>
  </r>
  <r>
    <d v="2021-12-13T00:00:00"/>
    <x v="12"/>
    <x v="19"/>
    <x v="19"/>
    <n v="-968000"/>
    <n v="0"/>
    <n v="96800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3T00:00:00"/>
    <x v="12"/>
    <x v="0"/>
    <x v="0"/>
    <n v="10760"/>
    <n v="10760"/>
    <n v="0"/>
    <x v="861"/>
    <s v="Administración"/>
    <m/>
    <m/>
    <m/>
    <m/>
    <m/>
    <m/>
    <m/>
  </r>
  <r>
    <d v="2021-12-13T00:00:00"/>
    <x v="12"/>
    <x v="19"/>
    <x v="19"/>
    <n v="-10760"/>
    <n v="0"/>
    <n v="1076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4T00:00:00"/>
    <x v="12"/>
    <x v="0"/>
    <x v="0"/>
    <n v="539329"/>
    <n v="539329"/>
    <n v="0"/>
    <x v="909"/>
    <s v="Administración"/>
    <m/>
    <m/>
    <m/>
    <m/>
    <m/>
    <m/>
    <m/>
  </r>
  <r>
    <d v="2021-12-14T00:00:00"/>
    <x v="12"/>
    <x v="55"/>
    <x v="52"/>
    <n v="-539329"/>
    <n v="0"/>
    <n v="539329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4T00:00:00"/>
    <x v="12"/>
    <x v="0"/>
    <x v="0"/>
    <n v="63262"/>
    <n v="63262"/>
    <n v="0"/>
    <x v="961"/>
    <s v="Administración"/>
    <m/>
    <m/>
    <m/>
    <m/>
    <m/>
    <m/>
    <m/>
  </r>
  <r>
    <d v="2021-12-14T00:00:00"/>
    <x v="12"/>
    <x v="55"/>
    <x v="52"/>
    <n v="-63262"/>
    <n v="0"/>
    <n v="63262"/>
    <x v="9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4T00:00:00"/>
    <x v="12"/>
    <x v="0"/>
    <x v="0"/>
    <n v="50000"/>
    <n v="50000"/>
    <n v="0"/>
    <x v="1063"/>
    <s v="Administración"/>
    <m/>
    <m/>
    <m/>
    <m/>
    <m/>
    <m/>
    <m/>
  </r>
  <r>
    <d v="2021-12-14T00:00:00"/>
    <x v="12"/>
    <x v="20"/>
    <x v="20"/>
    <n v="-50000"/>
    <n v="0"/>
    <n v="50000"/>
    <x v="106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5T00:00:00"/>
    <x v="12"/>
    <x v="0"/>
    <x v="0"/>
    <n v="25000"/>
    <n v="25000"/>
    <n v="0"/>
    <x v="437"/>
    <s v="Administración"/>
    <m/>
    <m/>
    <m/>
    <m/>
    <m/>
    <m/>
    <m/>
  </r>
  <r>
    <d v="2021-12-15T00:00:00"/>
    <x v="12"/>
    <x v="42"/>
    <x v="23"/>
    <n v="-25000"/>
    <n v="0"/>
    <n v="25000"/>
    <x v="43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5T00:00:00"/>
    <x v="12"/>
    <x v="0"/>
    <x v="0"/>
    <n v="20000"/>
    <n v="20000"/>
    <n v="0"/>
    <x v="1064"/>
    <s v="Administración"/>
    <m/>
    <m/>
    <m/>
    <m/>
    <m/>
    <m/>
    <m/>
  </r>
  <r>
    <d v="2021-12-15T00:00:00"/>
    <x v="12"/>
    <x v="19"/>
    <x v="19"/>
    <n v="-20000"/>
    <n v="0"/>
    <n v="20000"/>
    <x v="106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5T00:00:00"/>
    <x v="12"/>
    <x v="0"/>
    <x v="0"/>
    <n v="32000"/>
    <n v="32000"/>
    <n v="0"/>
    <x v="1065"/>
    <s v="Administración"/>
    <m/>
    <m/>
    <m/>
    <m/>
    <m/>
    <m/>
    <m/>
  </r>
  <r>
    <d v="2021-12-15T00:00:00"/>
    <x v="12"/>
    <x v="55"/>
    <x v="52"/>
    <n v="-32000"/>
    <n v="0"/>
    <n v="32000"/>
    <x v="106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5T00:00:00"/>
    <x v="12"/>
    <x v="29"/>
    <x v="29"/>
    <n v="44933"/>
    <n v="44933"/>
    <n v="0"/>
    <x v="41"/>
    <s v="Administración"/>
    <m/>
    <m/>
    <m/>
    <m/>
    <m/>
    <m/>
    <m/>
  </r>
  <r>
    <d v="2021-12-15T00:00:00"/>
    <x v="12"/>
    <x v="0"/>
    <x v="0"/>
    <n v="-44933"/>
    <n v="0"/>
    <n v="44933"/>
    <x v="4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5T00:00:00"/>
    <x v="12"/>
    <x v="27"/>
    <x v="27"/>
    <n v="20990"/>
    <n v="20990"/>
    <n v="0"/>
    <x v="301"/>
    <s v="Administración"/>
    <m/>
    <m/>
    <m/>
    <m/>
    <m/>
    <m/>
    <m/>
  </r>
  <r>
    <d v="2021-12-15T00:00:00"/>
    <x v="12"/>
    <x v="0"/>
    <x v="0"/>
    <n v="-20990"/>
    <n v="0"/>
    <n v="20990"/>
    <x v="30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5T00:00:00"/>
    <x v="12"/>
    <x v="0"/>
    <x v="0"/>
    <n v="11610"/>
    <n v="11610"/>
    <n v="0"/>
    <x v="96"/>
    <s v="Administración"/>
    <m/>
    <m/>
    <m/>
    <m/>
    <m/>
    <m/>
    <m/>
  </r>
  <r>
    <d v="2021-12-15T00:00:00"/>
    <x v="12"/>
    <x v="19"/>
    <x v="19"/>
    <n v="-11610"/>
    <n v="0"/>
    <n v="11610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5T00:00:00"/>
    <x v="12"/>
    <x v="0"/>
    <x v="0"/>
    <n v="88758"/>
    <n v="88758"/>
    <n v="0"/>
    <x v="961"/>
    <s v="Administración"/>
    <m/>
    <m/>
    <m/>
    <m/>
    <m/>
    <m/>
    <m/>
  </r>
  <r>
    <d v="2021-12-15T00:00:00"/>
    <x v="12"/>
    <x v="55"/>
    <x v="52"/>
    <n v="-88758"/>
    <n v="0"/>
    <n v="88758"/>
    <x v="9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5T00:00:00"/>
    <x v="12"/>
    <x v="0"/>
    <x v="0"/>
    <n v="694975"/>
    <n v="694975"/>
    <n v="0"/>
    <x v="909"/>
    <s v="Administración"/>
    <m/>
    <m/>
    <m/>
    <m/>
    <m/>
    <m/>
    <m/>
  </r>
  <r>
    <d v="2021-12-15T00:00:00"/>
    <x v="12"/>
    <x v="55"/>
    <x v="52"/>
    <n v="-694975"/>
    <n v="0"/>
    <n v="694975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5T00:00:00"/>
    <x v="12"/>
    <x v="0"/>
    <x v="0"/>
    <n v="30000"/>
    <n v="30000"/>
    <n v="0"/>
    <x v="1066"/>
    <s v="Administración"/>
    <m/>
    <m/>
    <m/>
    <m/>
    <m/>
    <m/>
    <m/>
  </r>
  <r>
    <d v="2021-12-15T00:00:00"/>
    <x v="12"/>
    <x v="19"/>
    <x v="19"/>
    <n v="-30000"/>
    <n v="0"/>
    <n v="30000"/>
    <x v="106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5T00:00:00"/>
    <x v="12"/>
    <x v="0"/>
    <x v="0"/>
    <n v="17000"/>
    <n v="17000"/>
    <n v="0"/>
    <x v="857"/>
    <s v="Administración"/>
    <m/>
    <m/>
    <m/>
    <m/>
    <m/>
    <m/>
    <m/>
  </r>
  <r>
    <d v="2021-12-15T00:00:00"/>
    <x v="12"/>
    <x v="6"/>
    <x v="6"/>
    <n v="-17000"/>
    <n v="0"/>
    <n v="17000"/>
    <x v="85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5T00:00:00"/>
    <x v="12"/>
    <x v="23"/>
    <x v="23"/>
    <n v="1098"/>
    <n v="1098"/>
    <n v="0"/>
    <x v="208"/>
    <s v="Administración"/>
    <m/>
    <m/>
    <m/>
    <m/>
    <m/>
    <m/>
    <m/>
  </r>
  <r>
    <d v="2021-12-15T00:00:00"/>
    <x v="12"/>
    <x v="0"/>
    <x v="0"/>
    <n v="-1098"/>
    <n v="0"/>
    <n v="1098"/>
    <x v="20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5T00:00:00"/>
    <x v="12"/>
    <x v="23"/>
    <x v="23"/>
    <n v="3295"/>
    <n v="3295"/>
    <n v="0"/>
    <x v="208"/>
    <s v="Administración"/>
    <m/>
    <m/>
    <m/>
    <m/>
    <m/>
    <m/>
    <m/>
  </r>
  <r>
    <d v="2021-12-15T00:00:00"/>
    <x v="12"/>
    <x v="0"/>
    <x v="0"/>
    <n v="-3295"/>
    <n v="0"/>
    <n v="3295"/>
    <x v="20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6T00:00:00"/>
    <x v="12"/>
    <x v="0"/>
    <x v="0"/>
    <n v="9824"/>
    <n v="9824"/>
    <n v="0"/>
    <x v="892"/>
    <s v="Administración"/>
    <m/>
    <m/>
    <m/>
    <m/>
    <m/>
    <m/>
    <m/>
  </r>
  <r>
    <d v="2021-12-16T00:00:00"/>
    <x v="12"/>
    <x v="6"/>
    <x v="6"/>
    <n v="-9824"/>
    <n v="0"/>
    <n v="9824"/>
    <x v="89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6T00:00:00"/>
    <x v="12"/>
    <x v="0"/>
    <x v="0"/>
    <n v="9824"/>
    <n v="9824"/>
    <n v="0"/>
    <x v="1067"/>
    <s v="Administración"/>
    <m/>
    <m/>
    <m/>
    <m/>
    <m/>
    <m/>
    <m/>
  </r>
  <r>
    <d v="2021-12-16T00:00:00"/>
    <x v="12"/>
    <x v="6"/>
    <x v="6"/>
    <n v="-9824"/>
    <n v="0"/>
    <n v="9824"/>
    <x v="106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6T00:00:00"/>
    <x v="12"/>
    <x v="0"/>
    <x v="0"/>
    <n v="16700"/>
    <n v="16700"/>
    <n v="0"/>
    <x v="1068"/>
    <s v="Administración"/>
    <m/>
    <m/>
    <m/>
    <m/>
    <m/>
    <m/>
    <m/>
  </r>
  <r>
    <d v="2021-12-16T00:00:00"/>
    <x v="12"/>
    <x v="6"/>
    <x v="6"/>
    <n v="-16700"/>
    <n v="0"/>
    <n v="16700"/>
    <x v="106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6T00:00:00"/>
    <x v="12"/>
    <x v="0"/>
    <x v="0"/>
    <n v="9824"/>
    <n v="9824"/>
    <n v="0"/>
    <x v="1069"/>
    <s v="Administración"/>
    <m/>
    <m/>
    <m/>
    <m/>
    <m/>
    <m/>
    <m/>
  </r>
  <r>
    <d v="2021-12-16T00:00:00"/>
    <x v="12"/>
    <x v="6"/>
    <x v="6"/>
    <n v="-9824"/>
    <n v="0"/>
    <n v="9824"/>
    <x v="106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6T00:00:00"/>
    <x v="12"/>
    <x v="0"/>
    <x v="0"/>
    <n v="49119"/>
    <n v="49119"/>
    <n v="0"/>
    <x v="1070"/>
    <s v="Administración"/>
    <m/>
    <m/>
    <m/>
    <m/>
    <m/>
    <m/>
    <m/>
  </r>
  <r>
    <d v="2021-12-16T00:00:00"/>
    <x v="12"/>
    <x v="6"/>
    <x v="6"/>
    <n v="-49119"/>
    <n v="0"/>
    <n v="49119"/>
    <x v="107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6T00:00:00"/>
    <x v="12"/>
    <x v="0"/>
    <x v="0"/>
    <n v="75000"/>
    <n v="75000"/>
    <n v="0"/>
    <x v="575"/>
    <s v="Administración"/>
    <m/>
    <m/>
    <m/>
    <m/>
    <m/>
    <m/>
    <m/>
  </r>
  <r>
    <d v="2021-12-16T00:00:00"/>
    <x v="12"/>
    <x v="42"/>
    <x v="23"/>
    <n v="-75000"/>
    <n v="0"/>
    <n v="75000"/>
    <x v="57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6T00:00:00"/>
    <x v="12"/>
    <x v="0"/>
    <x v="0"/>
    <n v="32000"/>
    <n v="32000"/>
    <n v="0"/>
    <x v="1071"/>
    <s v="Administración"/>
    <m/>
    <m/>
    <m/>
    <m/>
    <m/>
    <m/>
    <m/>
  </r>
  <r>
    <d v="2021-12-16T00:00:00"/>
    <x v="12"/>
    <x v="55"/>
    <x v="52"/>
    <n v="-32000"/>
    <n v="0"/>
    <n v="32000"/>
    <x v="107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6T00:00:00"/>
    <x v="12"/>
    <x v="0"/>
    <x v="0"/>
    <n v="20000"/>
    <n v="20000"/>
    <n v="0"/>
    <x v="1072"/>
    <s v="Administración"/>
    <m/>
    <m/>
    <m/>
    <m/>
    <m/>
    <m/>
    <m/>
  </r>
  <r>
    <d v="2021-12-16T00:00:00"/>
    <x v="12"/>
    <x v="24"/>
    <x v="24"/>
    <n v="-20000"/>
    <n v="0"/>
    <n v="20000"/>
    <x v="10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7T00:00:00"/>
    <x v="12"/>
    <x v="28"/>
    <x v="28"/>
    <n v="338983"/>
    <n v="338983"/>
    <n v="0"/>
    <x v="1073"/>
    <s v="Administración"/>
    <m/>
    <m/>
    <m/>
    <m/>
    <m/>
    <m/>
    <m/>
  </r>
  <r>
    <d v="2021-12-17T00:00:00"/>
    <x v="12"/>
    <x v="9"/>
    <x v="9"/>
    <n v="-38983"/>
    <n v="0"/>
    <n v="38983"/>
    <x v="1073"/>
    <s v="Administración"/>
    <m/>
    <m/>
    <m/>
    <m/>
    <m/>
    <m/>
    <m/>
  </r>
  <r>
    <d v="2021-12-17T00:00:00"/>
    <x v="12"/>
    <x v="0"/>
    <x v="0"/>
    <n v="-300000"/>
    <n v="0"/>
    <n v="300000"/>
    <x v="107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7T00:00:00"/>
    <x v="12"/>
    <x v="33"/>
    <x v="33"/>
    <n v="260000"/>
    <n v="260000"/>
    <n v="0"/>
    <x v="1074"/>
    <s v="Administración"/>
    <m/>
    <m/>
    <m/>
    <m/>
    <m/>
    <m/>
    <m/>
  </r>
  <r>
    <d v="2021-12-17T00:00:00"/>
    <x v="12"/>
    <x v="9"/>
    <x v="9"/>
    <n v="-29900"/>
    <n v="0"/>
    <n v="29900"/>
    <x v="1074"/>
    <s v="Administración"/>
    <m/>
    <m/>
    <m/>
    <m/>
    <m/>
    <m/>
    <m/>
  </r>
  <r>
    <d v="2021-12-17T00:00:00"/>
    <x v="12"/>
    <x v="0"/>
    <x v="0"/>
    <n v="-230100"/>
    <n v="0"/>
    <n v="230100"/>
    <x v="107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7T00:00:00"/>
    <x v="12"/>
    <x v="28"/>
    <x v="28"/>
    <n v="112994"/>
    <n v="112994"/>
    <n v="0"/>
    <x v="1075"/>
    <s v="Administración"/>
    <m/>
    <m/>
    <m/>
    <m/>
    <m/>
    <m/>
    <m/>
  </r>
  <r>
    <d v="2021-12-17T00:00:00"/>
    <x v="12"/>
    <x v="9"/>
    <x v="9"/>
    <n v="-12994"/>
    <n v="0"/>
    <n v="12994"/>
    <x v="1075"/>
    <s v="Administración"/>
    <m/>
    <m/>
    <m/>
    <m/>
    <m/>
    <m/>
    <m/>
  </r>
  <r>
    <d v="2021-12-17T00:00:00"/>
    <x v="12"/>
    <x v="0"/>
    <x v="0"/>
    <n v="-100000"/>
    <n v="0"/>
    <n v="100000"/>
    <x v="107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7T00:00:00"/>
    <x v="12"/>
    <x v="54"/>
    <x v="51"/>
    <n v="600000"/>
    <n v="600000"/>
    <n v="0"/>
    <x v="1076"/>
    <s v="Administración"/>
    <m/>
    <m/>
    <m/>
    <m/>
    <m/>
    <m/>
    <m/>
  </r>
  <r>
    <d v="2021-12-17T00:00:00"/>
    <x v="12"/>
    <x v="0"/>
    <x v="0"/>
    <n v="-600000"/>
    <n v="0"/>
    <n v="600000"/>
    <x v="107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7T00:00:00"/>
    <x v="12"/>
    <x v="46"/>
    <x v="44"/>
    <n v="329990"/>
    <n v="329990"/>
    <n v="0"/>
    <x v="1077"/>
    <s v="Administración"/>
    <m/>
    <m/>
    <m/>
    <m/>
    <m/>
    <m/>
    <m/>
  </r>
  <r>
    <d v="2021-12-17T00:00:00"/>
    <x v="12"/>
    <x v="0"/>
    <x v="0"/>
    <n v="-329990"/>
    <n v="0"/>
    <n v="329990"/>
    <x v="107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7T00:00:00"/>
    <x v="12"/>
    <x v="8"/>
    <x v="8"/>
    <n v="80000"/>
    <n v="80000"/>
    <n v="0"/>
    <x v="1078"/>
    <s v="Administración"/>
    <m/>
    <m/>
    <m/>
    <m/>
    <m/>
    <m/>
    <m/>
  </r>
  <r>
    <d v="2021-12-17T00:00:00"/>
    <x v="12"/>
    <x v="0"/>
    <x v="0"/>
    <n v="-80000"/>
    <n v="0"/>
    <n v="80000"/>
    <x v="10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7T00:00:00"/>
    <x v="12"/>
    <x v="0"/>
    <x v="0"/>
    <n v="31436"/>
    <n v="31436"/>
    <n v="0"/>
    <x v="909"/>
    <s v="Administración"/>
    <m/>
    <m/>
    <m/>
    <m/>
    <m/>
    <m/>
    <m/>
  </r>
  <r>
    <d v="2021-12-17T00:00:00"/>
    <x v="12"/>
    <x v="55"/>
    <x v="52"/>
    <n v="-31436"/>
    <n v="0"/>
    <n v="31436"/>
    <x v="9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7T00:00:00"/>
    <x v="12"/>
    <x v="0"/>
    <x v="0"/>
    <n v="30000"/>
    <n v="30000"/>
    <n v="0"/>
    <x v="615"/>
    <s v="Administración"/>
    <m/>
    <m/>
    <m/>
    <m/>
    <m/>
    <m/>
    <m/>
  </r>
  <r>
    <d v="2021-12-17T00:00:00"/>
    <x v="12"/>
    <x v="19"/>
    <x v="19"/>
    <n v="-30000"/>
    <n v="0"/>
    <n v="30000"/>
    <x v="6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7T00:00:00"/>
    <x v="12"/>
    <x v="0"/>
    <x v="0"/>
    <n v="30000"/>
    <n v="30000"/>
    <n v="0"/>
    <x v="988"/>
    <s v="Administración"/>
    <m/>
    <m/>
    <m/>
    <m/>
    <m/>
    <m/>
    <m/>
  </r>
  <r>
    <d v="2021-12-17T00:00:00"/>
    <x v="12"/>
    <x v="55"/>
    <x v="52"/>
    <n v="-30000"/>
    <n v="0"/>
    <n v="30000"/>
    <x v="98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7T00:00:00"/>
    <x v="12"/>
    <x v="0"/>
    <x v="0"/>
    <n v="30000"/>
    <n v="30000"/>
    <n v="0"/>
    <x v="54"/>
    <s v="Administración"/>
    <m/>
    <m/>
    <m/>
    <m/>
    <m/>
    <m/>
    <m/>
  </r>
  <r>
    <d v="2021-12-17T00:00:00"/>
    <x v="12"/>
    <x v="6"/>
    <x v="6"/>
    <n v="-30000"/>
    <n v="0"/>
    <n v="30000"/>
    <x v="5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7T00:00:00"/>
    <x v="12"/>
    <x v="0"/>
    <x v="0"/>
    <n v="10000"/>
    <n v="10000"/>
    <n v="0"/>
    <x v="1079"/>
    <s v="Administración"/>
    <m/>
    <m/>
    <m/>
    <m/>
    <m/>
    <m/>
    <m/>
  </r>
  <r>
    <d v="2021-12-17T00:00:00"/>
    <x v="12"/>
    <x v="55"/>
    <x v="52"/>
    <n v="-10000"/>
    <n v="0"/>
    <n v="10000"/>
    <x v="107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17T00:00:00"/>
    <x v="12"/>
    <x v="0"/>
    <x v="0"/>
    <n v="20000"/>
    <n v="20000"/>
    <n v="0"/>
    <x v="1080"/>
    <s v="Administración"/>
    <m/>
    <m/>
    <m/>
    <m/>
    <m/>
    <m/>
    <m/>
  </r>
  <r>
    <d v="2021-12-17T00:00:00"/>
    <x v="12"/>
    <x v="19"/>
    <x v="19"/>
    <n v="-20000"/>
    <n v="0"/>
    <n v="20000"/>
    <x v="108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0T00:00:00"/>
    <x v="12"/>
    <x v="0"/>
    <x v="0"/>
    <n v="40000"/>
    <n v="40000"/>
    <n v="0"/>
    <x v="1081"/>
    <s v="Administración"/>
    <m/>
    <m/>
    <m/>
    <m/>
    <m/>
    <m/>
    <m/>
  </r>
  <r>
    <d v="2021-12-20T00:00:00"/>
    <x v="12"/>
    <x v="55"/>
    <x v="52"/>
    <n v="-40000"/>
    <n v="0"/>
    <n v="40000"/>
    <x v="108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0T00:00:00"/>
    <x v="12"/>
    <x v="0"/>
    <x v="0"/>
    <n v="150000"/>
    <n v="150000"/>
    <n v="0"/>
    <x v="172"/>
    <s v="Administración"/>
    <m/>
    <m/>
    <m/>
    <m/>
    <m/>
    <m/>
    <m/>
  </r>
  <r>
    <d v="2021-12-20T00:00:00"/>
    <x v="12"/>
    <x v="19"/>
    <x v="19"/>
    <n v="-150000"/>
    <n v="0"/>
    <n v="150000"/>
    <x v="1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0T00:00:00"/>
    <x v="12"/>
    <x v="0"/>
    <x v="0"/>
    <n v="75000"/>
    <n v="75000"/>
    <n v="0"/>
    <x v="575"/>
    <s v="Administración"/>
    <m/>
    <m/>
    <m/>
    <m/>
    <m/>
    <m/>
    <m/>
  </r>
  <r>
    <d v="2021-12-20T00:00:00"/>
    <x v="12"/>
    <x v="42"/>
    <x v="23"/>
    <n v="-75000"/>
    <n v="0"/>
    <n v="75000"/>
    <x v="57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0T00:00:00"/>
    <x v="12"/>
    <x v="0"/>
    <x v="0"/>
    <n v="32000"/>
    <n v="32000"/>
    <n v="0"/>
    <x v="1082"/>
    <s v="Administración"/>
    <m/>
    <m/>
    <m/>
    <m/>
    <m/>
    <m/>
    <m/>
  </r>
  <r>
    <d v="2021-12-20T00:00:00"/>
    <x v="12"/>
    <x v="55"/>
    <x v="52"/>
    <n v="-32000"/>
    <n v="0"/>
    <n v="32000"/>
    <x v="108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0T00:00:00"/>
    <x v="12"/>
    <x v="0"/>
    <x v="0"/>
    <n v="32000"/>
    <n v="32000"/>
    <n v="0"/>
    <x v="1083"/>
    <s v="Administración"/>
    <m/>
    <m/>
    <m/>
    <m/>
    <m/>
    <m/>
    <m/>
  </r>
  <r>
    <d v="2021-12-20T00:00:00"/>
    <x v="12"/>
    <x v="55"/>
    <x v="52"/>
    <n v="-32000"/>
    <n v="0"/>
    <n v="32000"/>
    <x v="10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0T00:00:00"/>
    <x v="12"/>
    <x v="0"/>
    <x v="0"/>
    <n v="10000"/>
    <n v="10000"/>
    <n v="0"/>
    <x v="78"/>
    <s v="Administración"/>
    <m/>
    <m/>
    <m/>
    <m/>
    <m/>
    <m/>
    <m/>
  </r>
  <r>
    <d v="2021-12-20T00:00:00"/>
    <x v="12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0T00:00:00"/>
    <x v="12"/>
    <x v="0"/>
    <x v="0"/>
    <n v="10000"/>
    <n v="10000"/>
    <n v="0"/>
    <x v="1084"/>
    <s v="Administración"/>
    <m/>
    <m/>
    <m/>
    <m/>
    <m/>
    <m/>
    <m/>
  </r>
  <r>
    <d v="2021-12-20T00:00:00"/>
    <x v="12"/>
    <x v="30"/>
    <x v="30"/>
    <n v="-10000"/>
    <n v="0"/>
    <n v="10000"/>
    <x v="108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0T00:00:00"/>
    <x v="12"/>
    <x v="0"/>
    <x v="0"/>
    <n v="2000"/>
    <n v="2000"/>
    <n v="0"/>
    <x v="283"/>
    <s v="Administración"/>
    <m/>
    <m/>
    <m/>
    <m/>
    <m/>
    <m/>
    <m/>
  </r>
  <r>
    <d v="2021-12-20T00:00:00"/>
    <x v="12"/>
    <x v="19"/>
    <x v="19"/>
    <n v="-2000"/>
    <n v="0"/>
    <n v="2000"/>
    <x v="2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0T00:00:00"/>
    <x v="12"/>
    <x v="0"/>
    <x v="0"/>
    <n v="34176"/>
    <n v="34176"/>
    <n v="0"/>
    <x v="96"/>
    <s v="Administración"/>
    <m/>
    <m/>
    <m/>
    <m/>
    <m/>
    <m/>
    <m/>
  </r>
  <r>
    <d v="2021-12-20T00:00:00"/>
    <x v="12"/>
    <x v="19"/>
    <x v="19"/>
    <n v="-34176"/>
    <n v="0"/>
    <n v="34176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1T00:00:00"/>
    <x v="12"/>
    <x v="0"/>
    <x v="0"/>
    <n v="30000"/>
    <n v="30000"/>
    <n v="0"/>
    <x v="1085"/>
    <s v="Administración"/>
    <m/>
    <m/>
    <m/>
    <m/>
    <m/>
    <m/>
    <m/>
  </r>
  <r>
    <d v="2021-12-21T00:00:00"/>
    <x v="12"/>
    <x v="42"/>
    <x v="23"/>
    <n v="-30000"/>
    <n v="0"/>
    <n v="30000"/>
    <x v="108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1T00:00:00"/>
    <x v="12"/>
    <x v="0"/>
    <x v="0"/>
    <n v="60000"/>
    <n v="60000"/>
    <n v="0"/>
    <x v="1086"/>
    <s v="Administración"/>
    <m/>
    <m/>
    <m/>
    <m/>
    <m/>
    <m/>
    <m/>
  </r>
  <r>
    <d v="2021-12-21T00:00:00"/>
    <x v="12"/>
    <x v="55"/>
    <x v="52"/>
    <n v="-60000"/>
    <n v="0"/>
    <n v="60000"/>
    <x v="108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1T00:00:00"/>
    <x v="12"/>
    <x v="0"/>
    <x v="0"/>
    <n v="32000"/>
    <n v="32000"/>
    <n v="0"/>
    <x v="1087"/>
    <s v="Administración"/>
    <m/>
    <m/>
    <m/>
    <m/>
    <m/>
    <m/>
    <m/>
  </r>
  <r>
    <d v="2021-12-21T00:00:00"/>
    <x v="12"/>
    <x v="55"/>
    <x v="52"/>
    <n v="-32000"/>
    <n v="0"/>
    <n v="32000"/>
    <x v="108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1T00:00:00"/>
    <x v="12"/>
    <x v="0"/>
    <x v="0"/>
    <n v="15000"/>
    <n v="15000"/>
    <n v="0"/>
    <x v="1088"/>
    <s v="Administración"/>
    <m/>
    <m/>
    <m/>
    <m/>
    <m/>
    <m/>
    <m/>
  </r>
  <r>
    <d v="2021-12-21T00:00:00"/>
    <x v="12"/>
    <x v="19"/>
    <x v="19"/>
    <n v="-15000"/>
    <n v="0"/>
    <n v="15000"/>
    <x v="108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1T00:00:00"/>
    <x v="12"/>
    <x v="0"/>
    <x v="0"/>
    <n v="169812"/>
    <n v="169812"/>
    <n v="0"/>
    <x v="961"/>
    <s v="Administración"/>
    <m/>
    <m/>
    <m/>
    <m/>
    <m/>
    <m/>
    <m/>
  </r>
  <r>
    <d v="2021-12-21T00:00:00"/>
    <x v="12"/>
    <x v="55"/>
    <x v="52"/>
    <n v="-169812"/>
    <n v="0"/>
    <n v="169812"/>
    <x v="9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1T00:00:00"/>
    <x v="12"/>
    <x v="0"/>
    <x v="0"/>
    <n v="387000"/>
    <n v="387000"/>
    <n v="0"/>
    <x v="861"/>
    <s v="Administración"/>
    <m/>
    <m/>
    <m/>
    <m/>
    <m/>
    <m/>
    <m/>
  </r>
  <r>
    <d v="2021-12-21T00:00:00"/>
    <x v="12"/>
    <x v="19"/>
    <x v="19"/>
    <n v="-387000"/>
    <n v="0"/>
    <n v="38700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1T00:00:00"/>
    <x v="12"/>
    <x v="0"/>
    <x v="0"/>
    <n v="8120"/>
    <n v="8120"/>
    <n v="0"/>
    <x v="861"/>
    <s v="Administración"/>
    <m/>
    <m/>
    <m/>
    <m/>
    <m/>
    <m/>
    <m/>
  </r>
  <r>
    <d v="2021-12-21T00:00:00"/>
    <x v="12"/>
    <x v="19"/>
    <x v="19"/>
    <n v="-8120"/>
    <n v="0"/>
    <n v="812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1T00:00:00"/>
    <x v="12"/>
    <x v="0"/>
    <x v="0"/>
    <n v="604670"/>
    <n v="604670"/>
    <n v="0"/>
    <x v="861"/>
    <s v="Administración"/>
    <m/>
    <m/>
    <m/>
    <m/>
    <m/>
    <m/>
    <m/>
  </r>
  <r>
    <d v="2021-12-21T00:00:00"/>
    <x v="12"/>
    <x v="19"/>
    <x v="19"/>
    <n v="-604670"/>
    <n v="0"/>
    <n v="60467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2T00:00:00"/>
    <x v="12"/>
    <x v="0"/>
    <x v="0"/>
    <n v="20000"/>
    <n v="20000"/>
    <n v="0"/>
    <x v="1089"/>
    <s v="Administración"/>
    <m/>
    <m/>
    <m/>
    <m/>
    <m/>
    <m/>
    <m/>
  </r>
  <r>
    <d v="2021-12-22T00:00:00"/>
    <x v="12"/>
    <x v="19"/>
    <x v="19"/>
    <n v="-20000"/>
    <n v="0"/>
    <n v="20000"/>
    <x v="108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2T00:00:00"/>
    <x v="12"/>
    <x v="0"/>
    <x v="0"/>
    <n v="158009"/>
    <n v="158009"/>
    <n v="0"/>
    <x v="961"/>
    <s v="Administración"/>
    <m/>
    <m/>
    <m/>
    <m/>
    <m/>
    <m/>
    <m/>
  </r>
  <r>
    <d v="2021-12-22T00:00:00"/>
    <x v="12"/>
    <x v="55"/>
    <x v="52"/>
    <n v="-158009"/>
    <n v="0"/>
    <n v="158009"/>
    <x v="9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2T00:00:00"/>
    <x v="12"/>
    <x v="28"/>
    <x v="28"/>
    <n v="255000"/>
    <n v="255000"/>
    <n v="0"/>
    <x v="1090"/>
    <s v="Administración"/>
    <m/>
    <m/>
    <m/>
    <m/>
    <m/>
    <m/>
    <m/>
  </r>
  <r>
    <d v="2021-12-22T00:00:00"/>
    <x v="12"/>
    <x v="0"/>
    <x v="0"/>
    <n v="-255000"/>
    <n v="0"/>
    <n v="255000"/>
    <x v="109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2T00:00:00"/>
    <x v="12"/>
    <x v="56"/>
    <x v="53"/>
    <n v="14368000"/>
    <n v="14368000"/>
    <n v="0"/>
    <x v="1091"/>
    <s v="Administración"/>
    <m/>
    <m/>
    <m/>
    <m/>
    <m/>
    <m/>
    <m/>
  </r>
  <r>
    <d v="2021-12-22T00:00:00"/>
    <x v="12"/>
    <x v="0"/>
    <x v="0"/>
    <n v="-14368000"/>
    <n v="0"/>
    <n v="14368000"/>
    <x v="109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2T00:00:00"/>
    <x v="12"/>
    <x v="56"/>
    <x v="53"/>
    <n v="3000000"/>
    <n v="3000000"/>
    <n v="0"/>
    <x v="1092"/>
    <s v="Administración"/>
    <m/>
    <m/>
    <m/>
    <m/>
    <m/>
    <m/>
    <m/>
  </r>
  <r>
    <d v="2021-12-22T00:00:00"/>
    <x v="12"/>
    <x v="0"/>
    <x v="0"/>
    <n v="-3000000"/>
    <n v="0"/>
    <n v="3000000"/>
    <x v="109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2T00:00:00"/>
    <x v="12"/>
    <x v="56"/>
    <x v="53"/>
    <n v="2400000"/>
    <n v="2400000"/>
    <n v="0"/>
    <x v="1093"/>
    <s v="Administración"/>
    <m/>
    <m/>
    <m/>
    <m/>
    <m/>
    <m/>
    <m/>
  </r>
  <r>
    <d v="2021-12-22T00:00:00"/>
    <x v="12"/>
    <x v="0"/>
    <x v="0"/>
    <n v="-2400000"/>
    <n v="0"/>
    <n v="2400000"/>
    <x v="109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2T00:00:00"/>
    <x v="12"/>
    <x v="57"/>
    <x v="54"/>
    <n v="180791"/>
    <n v="180791"/>
    <n v="0"/>
    <x v="1094"/>
    <s v="Administración"/>
    <m/>
    <m/>
    <m/>
    <m/>
    <m/>
    <m/>
    <m/>
  </r>
  <r>
    <d v="2021-12-22T00:00:00"/>
    <x v="12"/>
    <x v="8"/>
    <x v="8"/>
    <n v="-160000"/>
    <n v="0"/>
    <n v="160000"/>
    <x v="1094"/>
    <s v="Administración"/>
    <m/>
    <m/>
    <m/>
    <m/>
    <m/>
    <m/>
    <m/>
  </r>
  <r>
    <d v="2021-12-22T00:00:00"/>
    <x v="12"/>
    <x v="9"/>
    <x v="9"/>
    <n v="-20791"/>
    <n v="0"/>
    <n v="20791"/>
    <x v="109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3T00:00:00"/>
    <x v="12"/>
    <x v="8"/>
    <x v="8"/>
    <n v="80000"/>
    <n v="80000"/>
    <n v="0"/>
    <x v="1094"/>
    <s v="Administración"/>
    <m/>
    <m/>
    <m/>
    <m/>
    <m/>
    <m/>
    <m/>
  </r>
  <r>
    <d v="2021-12-23T00:00:00"/>
    <x v="12"/>
    <x v="0"/>
    <x v="0"/>
    <n v="-80000"/>
    <n v="0"/>
    <n v="80000"/>
    <x v="109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7T00:00:00"/>
    <x v="12"/>
    <x v="58"/>
    <x v="55"/>
    <n v="535500"/>
    <n v="535500"/>
    <n v="0"/>
    <x v="1095"/>
    <s v="Administración"/>
    <m/>
    <m/>
    <m/>
    <m/>
    <m/>
    <m/>
    <m/>
  </r>
  <r>
    <d v="2021-12-27T00:00:00"/>
    <x v="12"/>
    <x v="59"/>
    <x v="56"/>
    <n v="-535500"/>
    <n v="0"/>
    <n v="535500"/>
    <x v="109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3T00:00:00"/>
    <x v="12"/>
    <x v="59"/>
    <x v="56"/>
    <n v="225000"/>
    <n v="225000"/>
    <n v="0"/>
    <x v="1096"/>
    <s v="Administración"/>
    <m/>
    <m/>
    <m/>
    <m/>
    <m/>
    <m/>
    <m/>
  </r>
  <r>
    <d v="2021-12-23T00:00:00"/>
    <x v="12"/>
    <x v="0"/>
    <x v="0"/>
    <n v="-225000"/>
    <n v="0"/>
    <n v="225000"/>
    <x v="10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3T00:00:00"/>
    <x v="12"/>
    <x v="57"/>
    <x v="54"/>
    <n v="279970"/>
    <n v="279970"/>
    <n v="0"/>
    <x v="1097"/>
    <s v="Administración"/>
    <m/>
    <m/>
    <m/>
    <m/>
    <m/>
    <m/>
    <m/>
  </r>
  <r>
    <d v="2021-12-23T00:00:00"/>
    <x v="12"/>
    <x v="0"/>
    <x v="0"/>
    <n v="-279970"/>
    <n v="0"/>
    <n v="279970"/>
    <x v="109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3T00:00:00"/>
    <x v="12"/>
    <x v="0"/>
    <x v="0"/>
    <n v="20000"/>
    <n v="20000"/>
    <n v="0"/>
    <x v="105"/>
    <s v="Administración"/>
    <m/>
    <m/>
    <m/>
    <m/>
    <m/>
    <m/>
    <m/>
  </r>
  <r>
    <d v="2021-12-23T00:00:00"/>
    <x v="12"/>
    <x v="19"/>
    <x v="19"/>
    <n v="-20000"/>
    <n v="0"/>
    <n v="20000"/>
    <x v="10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3T00:00:00"/>
    <x v="12"/>
    <x v="0"/>
    <x v="0"/>
    <n v="100000"/>
    <n v="100000"/>
    <n v="0"/>
    <x v="1098"/>
    <s v="Administración"/>
    <m/>
    <m/>
    <m/>
    <m/>
    <m/>
    <m/>
    <m/>
  </r>
  <r>
    <d v="2021-12-23T00:00:00"/>
    <x v="12"/>
    <x v="6"/>
    <x v="6"/>
    <n v="-100000"/>
    <n v="0"/>
    <n v="100000"/>
    <x v="109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3T00:00:00"/>
    <x v="12"/>
    <x v="0"/>
    <x v="0"/>
    <n v="28085"/>
    <n v="28085"/>
    <n v="0"/>
    <x v="96"/>
    <s v="Administración"/>
    <m/>
    <m/>
    <m/>
    <m/>
    <m/>
    <m/>
    <m/>
  </r>
  <r>
    <d v="2021-12-23T00:00:00"/>
    <x v="12"/>
    <x v="19"/>
    <x v="19"/>
    <n v="-28085"/>
    <n v="0"/>
    <n v="28085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4T00:00:00"/>
    <x v="12"/>
    <x v="58"/>
    <x v="55"/>
    <n v="163625"/>
    <n v="163625"/>
    <n v="0"/>
    <x v="1099"/>
    <s v="Administración"/>
    <m/>
    <m/>
    <m/>
    <m/>
    <m/>
    <m/>
    <m/>
  </r>
  <r>
    <d v="2021-12-24T00:00:00"/>
    <x v="12"/>
    <x v="0"/>
    <x v="0"/>
    <n v="-163625"/>
    <n v="0"/>
    <n v="163625"/>
    <x v="109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4T00:00:00"/>
    <x v="12"/>
    <x v="0"/>
    <x v="0"/>
    <n v="60000"/>
    <n v="60000"/>
    <n v="0"/>
    <x v="187"/>
    <s v="Administración"/>
    <m/>
    <m/>
    <m/>
    <m/>
    <m/>
    <m/>
    <m/>
  </r>
  <r>
    <d v="2021-12-24T00:00:00"/>
    <x v="12"/>
    <x v="19"/>
    <x v="19"/>
    <n v="-60000"/>
    <n v="0"/>
    <n v="60000"/>
    <x v="18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7T00:00:00"/>
    <x v="12"/>
    <x v="0"/>
    <x v="0"/>
    <n v="1000"/>
    <n v="1000"/>
    <n v="0"/>
    <x v="1100"/>
    <s v="Administración"/>
    <m/>
    <m/>
    <m/>
    <m/>
    <m/>
    <m/>
    <m/>
  </r>
  <r>
    <d v="2021-12-27T00:00:00"/>
    <x v="12"/>
    <x v="19"/>
    <x v="19"/>
    <n v="-1000"/>
    <n v="0"/>
    <n v="1000"/>
    <x v="110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7T00:00:00"/>
    <x v="12"/>
    <x v="0"/>
    <x v="0"/>
    <n v="20000"/>
    <n v="20000"/>
    <n v="0"/>
    <x v="76"/>
    <s v="Administración"/>
    <m/>
    <m/>
    <m/>
    <m/>
    <m/>
    <m/>
    <m/>
  </r>
  <r>
    <d v="2021-12-27T00:00:00"/>
    <x v="12"/>
    <x v="19"/>
    <x v="19"/>
    <n v="-20000"/>
    <n v="0"/>
    <n v="20000"/>
    <x v="7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7T00:00:00"/>
    <x v="12"/>
    <x v="31"/>
    <x v="31"/>
    <n v="53183"/>
    <n v="53183"/>
    <n v="0"/>
    <x v="151"/>
    <s v="Administración"/>
    <m/>
    <m/>
    <m/>
    <m/>
    <m/>
    <m/>
    <m/>
  </r>
  <r>
    <d v="2021-12-27T00:00:00"/>
    <x v="12"/>
    <x v="0"/>
    <x v="0"/>
    <n v="-53183"/>
    <n v="0"/>
    <n v="53183"/>
    <x v="15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7T00:00:00"/>
    <x v="12"/>
    <x v="0"/>
    <x v="0"/>
    <n v="10000"/>
    <n v="10000"/>
    <n v="0"/>
    <x v="78"/>
    <s v="Administración"/>
    <m/>
    <m/>
    <m/>
    <m/>
    <m/>
    <m/>
    <m/>
  </r>
  <r>
    <d v="2021-12-27T00:00:00"/>
    <x v="12"/>
    <x v="19"/>
    <x v="19"/>
    <n v="-10000"/>
    <n v="0"/>
    <n v="10000"/>
    <x v="7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7T00:00:00"/>
    <x v="12"/>
    <x v="0"/>
    <x v="0"/>
    <n v="40000"/>
    <n v="40000"/>
    <n v="0"/>
    <x v="563"/>
    <s v="Administración"/>
    <m/>
    <m/>
    <m/>
    <m/>
    <m/>
    <m/>
    <m/>
  </r>
  <r>
    <d v="2021-12-27T00:00:00"/>
    <x v="12"/>
    <x v="19"/>
    <x v="19"/>
    <n v="-40000"/>
    <n v="0"/>
    <n v="40000"/>
    <x v="56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7T00:00:00"/>
    <x v="12"/>
    <x v="0"/>
    <x v="0"/>
    <n v="20000"/>
    <n v="20000"/>
    <n v="0"/>
    <x v="76"/>
    <s v="Administración"/>
    <m/>
    <m/>
    <m/>
    <m/>
    <m/>
    <m/>
    <m/>
  </r>
  <r>
    <d v="2021-12-27T00:00:00"/>
    <x v="12"/>
    <x v="19"/>
    <x v="19"/>
    <n v="-20000"/>
    <n v="0"/>
    <n v="20000"/>
    <x v="7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7T00:00:00"/>
    <x v="12"/>
    <x v="0"/>
    <x v="0"/>
    <n v="2000"/>
    <n v="2000"/>
    <n v="0"/>
    <x v="283"/>
    <s v="Administración"/>
    <m/>
    <m/>
    <m/>
    <m/>
    <m/>
    <m/>
    <m/>
  </r>
  <r>
    <d v="2021-12-27T00:00:00"/>
    <x v="12"/>
    <x v="19"/>
    <x v="19"/>
    <n v="-2000"/>
    <n v="0"/>
    <n v="2000"/>
    <x v="28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7T00:00:00"/>
    <x v="12"/>
    <x v="0"/>
    <x v="0"/>
    <n v="15000"/>
    <n v="15000"/>
    <n v="0"/>
    <x v="854"/>
    <s v="Administración"/>
    <m/>
    <m/>
    <m/>
    <m/>
    <m/>
    <m/>
    <m/>
  </r>
  <r>
    <d v="2021-12-27T00:00:00"/>
    <x v="12"/>
    <x v="19"/>
    <x v="19"/>
    <n v="-15000"/>
    <n v="0"/>
    <n v="15000"/>
    <x v="85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7T00:00:00"/>
    <x v="12"/>
    <x v="0"/>
    <x v="0"/>
    <n v="15000"/>
    <n v="15000"/>
    <n v="0"/>
    <x v="1101"/>
    <s v="Administración"/>
    <m/>
    <m/>
    <m/>
    <m/>
    <m/>
    <m/>
    <m/>
  </r>
  <r>
    <d v="2021-12-27T00:00:00"/>
    <x v="12"/>
    <x v="19"/>
    <x v="19"/>
    <n v="-15000"/>
    <n v="0"/>
    <n v="15000"/>
    <x v="110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8T00:00:00"/>
    <x v="12"/>
    <x v="0"/>
    <x v="0"/>
    <n v="20000"/>
    <n v="20000"/>
    <n v="0"/>
    <x v="1102"/>
    <s v="Administración"/>
    <m/>
    <m/>
    <m/>
    <m/>
    <m/>
    <m/>
    <m/>
  </r>
  <r>
    <d v="2021-12-28T00:00:00"/>
    <x v="12"/>
    <x v="19"/>
    <x v="19"/>
    <n v="-20000"/>
    <n v="0"/>
    <n v="20000"/>
    <x v="110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8T00:00:00"/>
    <x v="12"/>
    <x v="0"/>
    <x v="0"/>
    <n v="678649"/>
    <n v="678649"/>
    <n v="0"/>
    <x v="96"/>
    <s v="Administración"/>
    <m/>
    <m/>
    <m/>
    <m/>
    <m/>
    <m/>
    <m/>
  </r>
  <r>
    <d v="2021-12-28T00:00:00"/>
    <x v="12"/>
    <x v="19"/>
    <x v="19"/>
    <n v="-678649"/>
    <n v="0"/>
    <n v="678649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8T00:00:00"/>
    <x v="12"/>
    <x v="0"/>
    <x v="0"/>
    <n v="19648"/>
    <n v="19648"/>
    <n v="0"/>
    <x v="1103"/>
    <s v="Administración"/>
    <m/>
    <m/>
    <m/>
    <m/>
    <m/>
    <m/>
    <m/>
  </r>
  <r>
    <d v="2021-12-28T00:00:00"/>
    <x v="12"/>
    <x v="6"/>
    <x v="6"/>
    <n v="-19648"/>
    <n v="0"/>
    <n v="19648"/>
    <x v="110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8T00:00:00"/>
    <x v="12"/>
    <x v="0"/>
    <x v="0"/>
    <n v="20000"/>
    <n v="20000"/>
    <n v="0"/>
    <x v="1104"/>
    <s v="Administración"/>
    <m/>
    <m/>
    <m/>
    <m/>
    <m/>
    <m/>
    <m/>
  </r>
  <r>
    <d v="2021-12-28T00:00:00"/>
    <x v="12"/>
    <x v="19"/>
    <x v="19"/>
    <n v="-20000"/>
    <n v="0"/>
    <n v="20000"/>
    <x v="110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8T00:00:00"/>
    <x v="12"/>
    <x v="0"/>
    <x v="0"/>
    <n v="980350"/>
    <n v="980350"/>
    <n v="0"/>
    <x v="1105"/>
    <s v="Administración"/>
    <m/>
    <m/>
    <m/>
    <m/>
    <m/>
    <m/>
    <m/>
  </r>
  <r>
    <d v="2021-12-28T00:00:00"/>
    <x v="12"/>
    <x v="19"/>
    <x v="19"/>
    <n v="-980350"/>
    <n v="0"/>
    <n v="980350"/>
    <x v="110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8T00:00:00"/>
    <x v="12"/>
    <x v="0"/>
    <x v="0"/>
    <n v="1345000"/>
    <n v="1345000"/>
    <n v="0"/>
    <x v="861"/>
    <s v="Administración"/>
    <m/>
    <m/>
    <m/>
    <m/>
    <m/>
    <m/>
    <m/>
  </r>
  <r>
    <d v="2021-12-28T00:00:00"/>
    <x v="12"/>
    <x v="19"/>
    <x v="19"/>
    <n v="-1345000"/>
    <n v="0"/>
    <n v="134500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8T00:00:00"/>
    <x v="12"/>
    <x v="0"/>
    <x v="0"/>
    <n v="11810"/>
    <n v="11810"/>
    <n v="0"/>
    <x v="861"/>
    <s v="Administración"/>
    <m/>
    <m/>
    <m/>
    <m/>
    <m/>
    <m/>
    <m/>
  </r>
  <r>
    <d v="2021-12-28T00:00:00"/>
    <x v="12"/>
    <x v="19"/>
    <x v="19"/>
    <n v="-11810"/>
    <n v="0"/>
    <n v="11810"/>
    <x v="86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9T00:00:00"/>
    <x v="12"/>
    <x v="0"/>
    <x v="0"/>
    <n v="20000"/>
    <n v="20000"/>
    <n v="0"/>
    <x v="1106"/>
    <s v="Administración"/>
    <m/>
    <m/>
    <m/>
    <m/>
    <m/>
    <m/>
    <m/>
  </r>
  <r>
    <d v="2021-12-29T00:00:00"/>
    <x v="12"/>
    <x v="19"/>
    <x v="19"/>
    <n v="-20000"/>
    <n v="0"/>
    <n v="20000"/>
    <x v="110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9T00:00:00"/>
    <x v="12"/>
    <x v="0"/>
    <x v="0"/>
    <n v="79335"/>
    <n v="79335"/>
    <n v="0"/>
    <x v="96"/>
    <s v="Administración"/>
    <m/>
    <m/>
    <m/>
    <m/>
    <m/>
    <m/>
    <m/>
  </r>
  <r>
    <d v="2021-12-29T00:00:00"/>
    <x v="12"/>
    <x v="19"/>
    <x v="19"/>
    <n v="-79335"/>
    <n v="0"/>
    <n v="79335"/>
    <x v="9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9T00:00:00"/>
    <x v="12"/>
    <x v="34"/>
    <x v="34"/>
    <n v="424762"/>
    <n v="424762"/>
    <n v="0"/>
    <x v="1107"/>
    <s v="Administración"/>
    <m/>
    <m/>
    <m/>
    <m/>
    <m/>
    <m/>
    <m/>
  </r>
  <r>
    <d v="2021-12-29T00:00:00"/>
    <x v="12"/>
    <x v="0"/>
    <x v="0"/>
    <n v="-424762"/>
    <n v="0"/>
    <n v="424762"/>
    <x v="110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9T00:00:00"/>
    <x v="12"/>
    <x v="39"/>
    <x v="38"/>
    <n v="50000"/>
    <n v="50000"/>
    <n v="0"/>
    <x v="1108"/>
    <s v="Administración"/>
    <m/>
    <m/>
    <m/>
    <m/>
    <m/>
    <m/>
    <m/>
  </r>
  <r>
    <d v="2021-12-29T00:00:00"/>
    <x v="12"/>
    <x v="0"/>
    <x v="0"/>
    <n v="-50000"/>
    <n v="0"/>
    <n v="50000"/>
    <x v="110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9T00:00:00"/>
    <x v="12"/>
    <x v="33"/>
    <x v="33"/>
    <n v="220000"/>
    <n v="220000"/>
    <n v="0"/>
    <x v="1109"/>
    <s v="Administración"/>
    <m/>
    <m/>
    <m/>
    <m/>
    <m/>
    <m/>
    <m/>
  </r>
  <r>
    <d v="2021-12-29T00:00:00"/>
    <x v="12"/>
    <x v="9"/>
    <x v="9"/>
    <n v="-25300"/>
    <n v="0"/>
    <n v="25300"/>
    <x v="1109"/>
    <s v="Administración"/>
    <m/>
    <m/>
    <m/>
    <m/>
    <m/>
    <m/>
    <m/>
  </r>
  <r>
    <d v="2021-12-29T00:00:00"/>
    <x v="12"/>
    <x v="0"/>
    <x v="0"/>
    <n v="-194700"/>
    <n v="0"/>
    <n v="194700"/>
    <x v="110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9T00:00:00"/>
    <x v="12"/>
    <x v="44"/>
    <x v="42"/>
    <n v="675000"/>
    <n v="675000"/>
    <n v="0"/>
    <x v="1110"/>
    <s v="Administración"/>
    <m/>
    <m/>
    <m/>
    <m/>
    <m/>
    <m/>
    <m/>
  </r>
  <r>
    <d v="2021-12-29T00:00:00"/>
    <x v="12"/>
    <x v="9"/>
    <x v="9"/>
    <n v="-77625"/>
    <n v="0"/>
    <n v="77625"/>
    <x v="1110"/>
    <s v="Administración"/>
    <m/>
    <m/>
    <m/>
    <m/>
    <m/>
    <m/>
    <m/>
  </r>
  <r>
    <d v="2021-12-29T00:00:00"/>
    <x v="12"/>
    <x v="0"/>
    <x v="0"/>
    <n v="-597375"/>
    <n v="0"/>
    <n v="597375"/>
    <x v="111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9T00:00:00"/>
    <x v="12"/>
    <x v="32"/>
    <x v="32"/>
    <n v="16949"/>
    <n v="16949"/>
    <n v="0"/>
    <x v="1111"/>
    <s v="Administración"/>
    <m/>
    <m/>
    <m/>
    <m/>
    <m/>
    <m/>
    <m/>
  </r>
  <r>
    <d v="2021-12-29T00:00:00"/>
    <x v="12"/>
    <x v="9"/>
    <x v="9"/>
    <n v="-1949"/>
    <n v="0"/>
    <n v="1949"/>
    <x v="1111"/>
    <s v="Administración"/>
    <m/>
    <m/>
    <m/>
    <m/>
    <m/>
    <m/>
    <m/>
  </r>
  <r>
    <d v="2021-12-29T00:00:00"/>
    <x v="12"/>
    <x v="0"/>
    <x v="0"/>
    <n v="-15000"/>
    <n v="0"/>
    <n v="15000"/>
    <x v="1111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9T00:00:00"/>
    <x v="12"/>
    <x v="58"/>
    <x v="55"/>
    <n v="203390"/>
    <n v="203390"/>
    <n v="0"/>
    <x v="1112"/>
    <s v="Administración"/>
    <m/>
    <m/>
    <m/>
    <m/>
    <m/>
    <m/>
    <m/>
  </r>
  <r>
    <d v="2021-12-29T00:00:00"/>
    <x v="12"/>
    <x v="9"/>
    <x v="9"/>
    <n v="-23390"/>
    <n v="0"/>
    <n v="23390"/>
    <x v="1112"/>
    <s v="Administración"/>
    <m/>
    <m/>
    <m/>
    <m/>
    <m/>
    <m/>
    <m/>
  </r>
  <r>
    <d v="2021-12-29T00:00:00"/>
    <x v="12"/>
    <x v="0"/>
    <x v="0"/>
    <n v="-180000"/>
    <n v="0"/>
    <n v="180000"/>
    <x v="111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9T00:00:00"/>
    <x v="12"/>
    <x v="59"/>
    <x v="56"/>
    <n v="310500"/>
    <n v="310500"/>
    <n v="0"/>
    <x v="1113"/>
    <s v="Administración"/>
    <m/>
    <m/>
    <m/>
    <m/>
    <m/>
    <m/>
    <m/>
  </r>
  <r>
    <d v="2021-12-29T00:00:00"/>
    <x v="12"/>
    <x v="0"/>
    <x v="0"/>
    <n v="-310500"/>
    <n v="0"/>
    <n v="310500"/>
    <x v="111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36"/>
    <x v="35"/>
    <n v="3094525"/>
    <n v="3094525"/>
    <n v="0"/>
    <x v="72"/>
    <s v="Administración"/>
    <m/>
    <m/>
    <m/>
    <m/>
    <m/>
    <m/>
    <m/>
  </r>
  <r>
    <d v="2021-12-30T00:00:00"/>
    <x v="12"/>
    <x v="37"/>
    <x v="36"/>
    <n v="914939"/>
    <n v="914939"/>
    <n v="0"/>
    <x v="72"/>
    <s v="Administración"/>
    <m/>
    <m/>
    <m/>
    <m/>
    <m/>
    <m/>
    <m/>
  </r>
  <r>
    <d v="2021-12-30T00:00:00"/>
    <x v="12"/>
    <x v="36"/>
    <x v="35"/>
    <n v="75177"/>
    <n v="75177"/>
    <n v="0"/>
    <x v="72"/>
    <s v="Administración"/>
    <m/>
    <m/>
    <m/>
    <m/>
    <m/>
    <m/>
    <m/>
  </r>
  <r>
    <d v="2021-12-30T00:00:00"/>
    <x v="12"/>
    <x v="11"/>
    <x v="11"/>
    <n v="-3425354"/>
    <n v="0"/>
    <n v="3425354"/>
    <x v="72"/>
    <s v="Administración"/>
    <m/>
    <m/>
    <m/>
    <m/>
    <m/>
    <m/>
    <m/>
  </r>
  <r>
    <d v="2021-12-30T00:00:00"/>
    <x v="12"/>
    <x v="10"/>
    <x v="10"/>
    <n v="-465818"/>
    <n v="0"/>
    <n v="465818"/>
    <x v="72"/>
    <s v="Administración"/>
    <m/>
    <m/>
    <m/>
    <m/>
    <m/>
    <m/>
    <m/>
  </r>
  <r>
    <d v="2021-12-30T00:00:00"/>
    <x v="12"/>
    <x v="10"/>
    <x v="10"/>
    <n v="-179939"/>
    <n v="0"/>
    <n v="179939"/>
    <x v="72"/>
    <s v="Administración"/>
    <m/>
    <m/>
    <m/>
    <m/>
    <m/>
    <m/>
    <m/>
  </r>
  <r>
    <d v="2021-12-30T00:00:00"/>
    <x v="12"/>
    <x v="9"/>
    <x v="9"/>
    <n v="-13530"/>
    <n v="0"/>
    <n v="13530"/>
    <x v="7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11"/>
    <x v="11"/>
    <n v="735000"/>
    <n v="735000"/>
    <n v="0"/>
    <x v="844"/>
    <s v="Administración"/>
    <m/>
    <m/>
    <m/>
    <m/>
    <m/>
    <m/>
    <m/>
  </r>
  <r>
    <d v="2021-12-30T00:00:00"/>
    <x v="12"/>
    <x v="0"/>
    <x v="0"/>
    <n v="-735000"/>
    <n v="0"/>
    <n v="735000"/>
    <x v="84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11"/>
    <x v="11"/>
    <n v="778026"/>
    <n v="778026"/>
    <n v="0"/>
    <x v="845"/>
    <s v="Administración"/>
    <m/>
    <m/>
    <m/>
    <m/>
    <m/>
    <m/>
    <m/>
  </r>
  <r>
    <d v="2021-12-30T00:00:00"/>
    <x v="12"/>
    <x v="0"/>
    <x v="0"/>
    <n v="-778026"/>
    <n v="0"/>
    <n v="778026"/>
    <x v="84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11"/>
    <x v="11"/>
    <n v="513151"/>
    <n v="513151"/>
    <n v="0"/>
    <x v="846"/>
    <s v="Administración"/>
    <m/>
    <m/>
    <m/>
    <m/>
    <m/>
    <m/>
    <m/>
  </r>
  <r>
    <d v="2021-12-30T00:00:00"/>
    <x v="12"/>
    <x v="0"/>
    <x v="0"/>
    <n v="-513151"/>
    <n v="0"/>
    <n v="513151"/>
    <x v="84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11"/>
    <x v="11"/>
    <n v="284500"/>
    <n v="284500"/>
    <n v="0"/>
    <x v="847"/>
    <s v="Administración"/>
    <m/>
    <m/>
    <m/>
    <m/>
    <m/>
    <m/>
    <m/>
  </r>
  <r>
    <d v="2021-12-30T00:00:00"/>
    <x v="12"/>
    <x v="0"/>
    <x v="0"/>
    <n v="-284500"/>
    <n v="0"/>
    <n v="284500"/>
    <x v="84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11"/>
    <x v="11"/>
    <n v="1114677"/>
    <n v="1114677"/>
    <n v="0"/>
    <x v="848"/>
    <s v="Administración"/>
    <m/>
    <m/>
    <m/>
    <m/>
    <m/>
    <m/>
    <m/>
  </r>
  <r>
    <d v="2021-12-30T00:00:00"/>
    <x v="12"/>
    <x v="0"/>
    <x v="0"/>
    <n v="-1114677"/>
    <n v="0"/>
    <n v="1114677"/>
    <x v="84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9T00:00:00"/>
    <x v="12"/>
    <x v="0"/>
    <x v="0"/>
    <n v="50000"/>
    <n v="50000"/>
    <n v="0"/>
    <x v="163"/>
    <s v="Administración"/>
    <m/>
    <m/>
    <m/>
    <m/>
    <m/>
    <m/>
    <m/>
  </r>
  <r>
    <d v="2021-12-29T00:00:00"/>
    <x v="12"/>
    <x v="19"/>
    <x v="19"/>
    <n v="-50000"/>
    <n v="0"/>
    <n v="50000"/>
    <x v="16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29T00:00:00"/>
    <x v="12"/>
    <x v="0"/>
    <x v="0"/>
    <n v="194700"/>
    <n v="194700"/>
    <n v="0"/>
    <x v="1114"/>
    <s v="Administración"/>
    <m/>
    <m/>
    <m/>
    <m/>
    <m/>
    <m/>
    <m/>
  </r>
  <r>
    <d v="2021-12-29T00:00:00"/>
    <x v="12"/>
    <x v="33"/>
    <x v="33"/>
    <n v="-194700"/>
    <n v="0"/>
    <n v="194700"/>
    <x v="111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0"/>
    <x v="0"/>
    <n v="40000"/>
    <n v="40000"/>
    <n v="0"/>
    <x v="643"/>
    <s v="Administración"/>
    <m/>
    <m/>
    <m/>
    <m/>
    <m/>
    <m/>
    <m/>
  </r>
  <r>
    <d v="2021-12-30T00:00:00"/>
    <x v="12"/>
    <x v="6"/>
    <x v="6"/>
    <n v="-40000"/>
    <n v="0"/>
    <n v="40000"/>
    <x v="643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0"/>
    <x v="0"/>
    <n v="20000"/>
    <n v="20000"/>
    <n v="0"/>
    <x v="162"/>
    <s v="Administración"/>
    <m/>
    <m/>
    <m/>
    <m/>
    <m/>
    <m/>
    <m/>
  </r>
  <r>
    <d v="2021-12-30T00:00:00"/>
    <x v="12"/>
    <x v="19"/>
    <x v="19"/>
    <n v="-20000"/>
    <n v="0"/>
    <n v="20000"/>
    <x v="16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58"/>
    <x v="55"/>
    <n v="202300"/>
    <n v="202300"/>
    <n v="0"/>
    <x v="1115"/>
    <s v="Administración"/>
    <m/>
    <m/>
    <m/>
    <m/>
    <m/>
    <m/>
    <m/>
  </r>
  <r>
    <d v="2021-12-30T00:00:00"/>
    <x v="12"/>
    <x v="0"/>
    <x v="0"/>
    <n v="-202300"/>
    <n v="0"/>
    <n v="202300"/>
    <x v="1115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58"/>
    <x v="55"/>
    <n v="135593"/>
    <n v="135593"/>
    <n v="0"/>
    <x v="1116"/>
    <s v="Administración"/>
    <m/>
    <m/>
    <m/>
    <m/>
    <m/>
    <m/>
    <m/>
  </r>
  <r>
    <d v="2021-12-30T00:00:00"/>
    <x v="12"/>
    <x v="9"/>
    <x v="9"/>
    <n v="-19661"/>
    <n v="0"/>
    <n v="19661"/>
    <x v="1116"/>
    <s v="Administración"/>
    <m/>
    <m/>
    <m/>
    <m/>
    <m/>
    <m/>
    <m/>
  </r>
  <r>
    <d v="2021-12-30T00:00:00"/>
    <x v="12"/>
    <x v="0"/>
    <x v="0"/>
    <n v="-115932"/>
    <n v="0"/>
    <n v="115932"/>
    <x v="111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23"/>
    <x v="23"/>
    <n v="325000"/>
    <n v="325000"/>
    <n v="0"/>
    <x v="1117"/>
    <s v="Administración"/>
    <m/>
    <m/>
    <m/>
    <m/>
    <m/>
    <m/>
    <m/>
  </r>
  <r>
    <d v="2021-12-30T00:00:00"/>
    <x v="12"/>
    <x v="0"/>
    <x v="0"/>
    <n v="-325000"/>
    <n v="0"/>
    <n v="325000"/>
    <x v="1117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23"/>
    <x v="23"/>
    <n v="263270"/>
    <n v="263270"/>
    <n v="0"/>
    <x v="1118"/>
    <s v="Administración"/>
    <m/>
    <m/>
    <m/>
    <m/>
    <m/>
    <m/>
    <m/>
  </r>
  <r>
    <d v="2021-12-30T00:00:00"/>
    <x v="12"/>
    <x v="0"/>
    <x v="0"/>
    <n v="-263270"/>
    <n v="0"/>
    <n v="263270"/>
    <x v="111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6"/>
    <x v="6"/>
    <n v="32000"/>
    <n v="32000"/>
    <n v="0"/>
    <x v="1119"/>
    <s v="Administración"/>
    <m/>
    <m/>
    <m/>
    <m/>
    <m/>
    <m/>
    <m/>
  </r>
  <r>
    <d v="2021-12-30T00:00:00"/>
    <x v="12"/>
    <x v="55"/>
    <x v="52"/>
    <n v="-32000"/>
    <n v="0"/>
    <n v="32000"/>
    <x v="1119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6"/>
    <x v="6"/>
    <n v="12000"/>
    <n v="12000"/>
    <n v="0"/>
    <x v="164"/>
    <s v="Administración"/>
    <m/>
    <m/>
    <m/>
    <m/>
    <m/>
    <m/>
    <m/>
  </r>
  <r>
    <d v="2021-12-30T00:00:00"/>
    <x v="12"/>
    <x v="6"/>
    <x v="6"/>
    <n v="6000"/>
    <n v="6000"/>
    <n v="0"/>
    <x v="168"/>
    <s v="Administración"/>
    <m/>
    <m/>
    <m/>
    <m/>
    <m/>
    <m/>
    <m/>
  </r>
  <r>
    <d v="2021-12-30T00:00:00"/>
    <x v="12"/>
    <x v="6"/>
    <x v="6"/>
    <n v="5000"/>
    <n v="5000"/>
    <n v="0"/>
    <x v="708"/>
    <s v="Administración"/>
    <m/>
    <m/>
    <m/>
    <m/>
    <m/>
    <m/>
    <m/>
  </r>
  <r>
    <d v="2021-12-30T00:00:00"/>
    <x v="12"/>
    <x v="19"/>
    <x v="19"/>
    <n v="-12000"/>
    <n v="0"/>
    <n v="12000"/>
    <x v="164"/>
    <s v="Administración"/>
    <m/>
    <m/>
    <m/>
    <m/>
    <m/>
    <m/>
    <m/>
  </r>
  <r>
    <d v="2021-12-30T00:00:00"/>
    <x v="12"/>
    <x v="19"/>
    <x v="19"/>
    <n v="-6000"/>
    <n v="0"/>
    <n v="6000"/>
    <x v="168"/>
    <s v="Administración"/>
    <m/>
    <m/>
    <m/>
    <m/>
    <m/>
    <m/>
    <m/>
  </r>
  <r>
    <d v="2021-12-30T00:00:00"/>
    <x v="12"/>
    <x v="19"/>
    <x v="19"/>
    <n v="-5000"/>
    <n v="0"/>
    <n v="5000"/>
    <x v="708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0"/>
    <x v="0"/>
    <n v="15"/>
    <n v="15"/>
    <n v="0"/>
    <x v="1120"/>
    <s v="Administración"/>
    <m/>
    <m/>
    <m/>
    <m/>
    <m/>
    <m/>
    <m/>
  </r>
  <r>
    <d v="2021-12-30T00:00:00"/>
    <x v="12"/>
    <x v="23"/>
    <x v="23"/>
    <n v="188"/>
    <n v="188"/>
    <n v="0"/>
    <x v="1120"/>
    <s v="Administración"/>
    <m/>
    <m/>
    <m/>
    <m/>
    <m/>
    <m/>
    <m/>
  </r>
  <r>
    <d v="2021-12-30T00:00:00"/>
    <x v="12"/>
    <x v="8"/>
    <x v="8"/>
    <n v="5"/>
    <n v="5"/>
    <n v="0"/>
    <x v="1120"/>
    <s v="Administración"/>
    <m/>
    <m/>
    <m/>
    <m/>
    <m/>
    <m/>
    <m/>
  </r>
  <r>
    <d v="2021-12-30T00:00:00"/>
    <x v="12"/>
    <x v="11"/>
    <x v="11"/>
    <n v="2"/>
    <n v="2"/>
    <n v="0"/>
    <x v="1120"/>
    <s v="Administración"/>
    <m/>
    <m/>
    <m/>
    <m/>
    <m/>
    <m/>
    <m/>
  </r>
  <r>
    <d v="2021-12-30T00:00:00"/>
    <x v="12"/>
    <x v="2"/>
    <x v="2"/>
    <n v="-210"/>
    <n v="0"/>
    <n v="210"/>
    <x v="1120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54"/>
    <x v="51"/>
    <n v="900000"/>
    <n v="900000"/>
    <n v="0"/>
    <x v="1121"/>
    <s v="Administración"/>
    <m/>
    <m/>
    <m/>
    <m/>
    <m/>
    <m/>
    <m/>
  </r>
  <r>
    <d v="2021-12-30T00:00:00"/>
    <x v="12"/>
    <x v="12"/>
    <x v="12"/>
    <n v="-900000"/>
    <n v="0"/>
    <n v="900000"/>
    <x v="1121"/>
    <s v="Administración"/>
    <m/>
    <m/>
    <m/>
    <m/>
    <m/>
    <m/>
    <m/>
  </r>
  <r>
    <d v="2021-12-30T00:00:00"/>
    <x v="12"/>
    <x v="4"/>
    <x v="4"/>
    <n v="10000"/>
    <n v="10000"/>
    <n v="0"/>
    <x v="1122"/>
    <s v="Administración"/>
    <m/>
    <m/>
    <m/>
    <m/>
    <m/>
    <m/>
    <m/>
  </r>
  <r>
    <d v="2021-12-30T00:00:00"/>
    <x v="12"/>
    <x v="12"/>
    <x v="12"/>
    <n v="-10000"/>
    <n v="0"/>
    <n v="10000"/>
    <x v="1122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58"/>
    <x v="55"/>
    <n v="535000"/>
    <n v="535000"/>
    <n v="0"/>
    <x v="1123"/>
    <s v="Administración"/>
    <m/>
    <m/>
    <m/>
    <m/>
    <m/>
    <m/>
    <m/>
  </r>
  <r>
    <d v="2021-12-30T00:00:00"/>
    <x v="12"/>
    <x v="12"/>
    <x v="12"/>
    <n v="-535000"/>
    <n v="0"/>
    <n v="535000"/>
    <x v="1123"/>
    <s v="Administración"/>
    <m/>
    <m/>
    <m/>
    <m/>
    <m/>
    <m/>
    <m/>
  </r>
  <r>
    <d v="2021-12-30T00:00:00"/>
    <x v="12"/>
    <x v="35"/>
    <x v="21"/>
    <n v="1587495"/>
    <n v="1587495"/>
    <n v="0"/>
    <x v="1124"/>
    <s v="Administración"/>
    <m/>
    <m/>
    <m/>
    <m/>
    <m/>
    <m/>
    <m/>
  </r>
  <r>
    <d v="2021-12-30T00:00:00"/>
    <x v="12"/>
    <x v="13"/>
    <x v="13"/>
    <n v="-1587495"/>
    <n v="0"/>
    <n v="1587495"/>
    <x v="1124"/>
    <s v="Administración"/>
    <m/>
    <m/>
    <m/>
    <m/>
    <m/>
    <m/>
    <m/>
  </r>
  <r>
    <d v="2021-12-30T00:00:00"/>
    <x v="12"/>
    <x v="44"/>
    <x v="42"/>
    <n v="30000"/>
    <n v="30000"/>
    <n v="0"/>
    <x v="1125"/>
    <s v="Administración"/>
    <m/>
    <m/>
    <m/>
    <m/>
    <m/>
    <m/>
    <m/>
  </r>
  <r>
    <d v="2021-12-30T00:00:00"/>
    <x v="12"/>
    <x v="12"/>
    <x v="12"/>
    <n v="-30000"/>
    <n v="0"/>
    <n v="30000"/>
    <x v="1125"/>
    <s v="Administración"/>
    <m/>
    <m/>
    <m/>
    <m/>
    <m/>
    <m/>
    <m/>
  </r>
  <r>
    <d v="2021-12-30T00:00:00"/>
    <x v="12"/>
    <x v="7"/>
    <x v="7"/>
    <n v="878224"/>
    <n v="878224"/>
    <n v="0"/>
    <x v="4"/>
    <s v="Administración"/>
    <m/>
    <m/>
    <m/>
    <m/>
    <m/>
    <m/>
    <m/>
  </r>
  <r>
    <d v="2021-12-30T00:00:00"/>
    <x v="12"/>
    <x v="45"/>
    <x v="43"/>
    <n v="-878224"/>
    <n v="0"/>
    <n v="878224"/>
    <x v="1126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d v="2021-12-30T00:00:00"/>
    <x v="12"/>
    <x v="6"/>
    <x v="6"/>
    <n v="3231652"/>
    <n v="3231652"/>
    <n v="0"/>
    <x v="4"/>
    <s v="Administración"/>
    <m/>
    <m/>
    <m/>
    <m/>
    <m/>
    <m/>
    <m/>
  </r>
  <r>
    <d v="2021-12-30T00:00:00"/>
    <x v="12"/>
    <x v="16"/>
    <x v="16"/>
    <n v="-3231652"/>
    <n v="0"/>
    <n v="3231652"/>
    <x v="1126"/>
    <s v="Administración"/>
    <m/>
    <m/>
    <m/>
    <m/>
    <m/>
    <m/>
    <m/>
  </r>
  <r>
    <d v="2021-12-30T00:00:00"/>
    <x v="12"/>
    <x v="6"/>
    <x v="6"/>
    <n v="765000"/>
    <n v="765000"/>
    <n v="0"/>
    <x v="4"/>
    <s v="Administración"/>
    <m/>
    <m/>
    <m/>
    <m/>
    <m/>
    <m/>
    <m/>
  </r>
  <r>
    <d v="2021-12-30T00:00:00"/>
    <x v="12"/>
    <x v="17"/>
    <x v="17"/>
    <n v="-765000"/>
    <n v="0"/>
    <n v="765000"/>
    <x v="4"/>
    <s v="Administración"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  <r>
    <m/>
    <x v="1"/>
    <x v="18"/>
    <x v="18"/>
    <m/>
    <m/>
    <m/>
    <x v="4"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02">
  <r>
    <d v="2021-01-01T00:00:00"/>
    <x v="0"/>
    <x v="0"/>
    <x v="0"/>
    <n v="12855633"/>
    <n v="12855633"/>
    <n v="0"/>
    <x v="0"/>
    <s v="Cali"/>
  </r>
  <r>
    <d v="2021-01-01T00:00:00"/>
    <x v="0"/>
    <x v="1"/>
    <x v="1"/>
    <n v="2243143"/>
    <n v="2243143"/>
    <n v="0"/>
    <x v="0"/>
    <s v="Cali"/>
  </r>
  <r>
    <d v="2021-01-01T00:00:00"/>
    <x v="0"/>
    <x v="2"/>
    <x v="2"/>
    <n v="1039317900"/>
    <n v="1039317900"/>
    <n v="0"/>
    <x v="0"/>
    <s v="Cali"/>
  </r>
  <r>
    <d v="2021-01-01T00:00:00"/>
    <x v="0"/>
    <x v="3"/>
    <x v="3"/>
    <n v="418001289"/>
    <n v="418001289"/>
    <n v="0"/>
    <x v="0"/>
    <s v="Cali"/>
  </r>
  <r>
    <d v="2021-01-01T00:00:00"/>
    <x v="0"/>
    <x v="4"/>
    <x v="4"/>
    <n v="166000"/>
    <n v="166000"/>
    <n v="0"/>
    <x v="0"/>
    <s v="Cali"/>
  </r>
  <r>
    <d v="2021-01-01T00:00:00"/>
    <x v="0"/>
    <x v="5"/>
    <x v="5"/>
    <n v="8846511"/>
    <n v="8846511"/>
    <n v="0"/>
    <x v="0"/>
    <s v="Cali"/>
  </r>
  <r>
    <d v="2021-01-01T00:00:00"/>
    <x v="0"/>
    <x v="6"/>
    <x v="6"/>
    <n v="3000000"/>
    <n v="3000000"/>
    <n v="0"/>
    <x v="0"/>
    <s v="Cali"/>
  </r>
  <r>
    <d v="2021-01-01T00:00:00"/>
    <x v="0"/>
    <x v="7"/>
    <x v="7"/>
    <n v="45575499"/>
    <n v="45575499"/>
    <n v="0"/>
    <x v="0"/>
    <s v="Cali"/>
  </r>
  <r>
    <d v="2021-01-01T00:00:00"/>
    <x v="0"/>
    <x v="8"/>
    <x v="8"/>
    <n v="926724594"/>
    <n v="926724594"/>
    <n v="0"/>
    <x v="0"/>
    <s v="Cali"/>
  </r>
  <r>
    <d v="2021-01-01T00:00:00"/>
    <x v="0"/>
    <x v="9"/>
    <x v="9"/>
    <n v="22540273"/>
    <n v="22540273"/>
    <n v="0"/>
    <x v="0"/>
    <s v="Cali"/>
  </r>
  <r>
    <d v="2021-01-01T00:00:00"/>
    <x v="0"/>
    <x v="10"/>
    <x v="10"/>
    <n v="4836183"/>
    <n v="4836183"/>
    <n v="0"/>
    <x v="0"/>
    <s v="Cali"/>
  </r>
  <r>
    <d v="2021-01-01T00:00:00"/>
    <x v="0"/>
    <x v="11"/>
    <x v="11"/>
    <n v="420960472"/>
    <n v="420960472"/>
    <n v="0"/>
    <x v="0"/>
    <s v="Cali"/>
  </r>
  <r>
    <d v="2021-01-01T00:00:00"/>
    <x v="0"/>
    <x v="12"/>
    <x v="12"/>
    <n v="43145258"/>
    <n v="43145258"/>
    <n v="0"/>
    <x v="0"/>
    <s v="Cali"/>
  </r>
  <r>
    <d v="2021-01-01T00:00:00"/>
    <x v="0"/>
    <x v="13"/>
    <x v="13"/>
    <n v="110822645"/>
    <n v="110822645"/>
    <n v="0"/>
    <x v="0"/>
    <s v="Cali"/>
  </r>
  <r>
    <d v="2021-01-01T00:00:00"/>
    <x v="0"/>
    <x v="14"/>
    <x v="14"/>
    <n v="-183911"/>
    <n v="0"/>
    <n v="183911"/>
    <x v="0"/>
    <s v="Cali"/>
  </r>
  <r>
    <d v="2021-01-01T00:00:00"/>
    <x v="0"/>
    <x v="15"/>
    <x v="15"/>
    <n v="-3091523"/>
    <n v="0"/>
    <n v="3091523"/>
    <x v="0"/>
    <s v="Cali"/>
  </r>
  <r>
    <d v="2021-01-01T00:00:00"/>
    <x v="0"/>
    <x v="16"/>
    <x v="16"/>
    <n v="-78408"/>
    <n v="0"/>
    <n v="78408"/>
    <x v="0"/>
    <s v="Cali"/>
  </r>
  <r>
    <d v="2021-01-01T00:00:00"/>
    <x v="0"/>
    <x v="17"/>
    <x v="17"/>
    <n v="-326103"/>
    <n v="0"/>
    <n v="326103"/>
    <x v="0"/>
    <s v="Cali"/>
  </r>
  <r>
    <d v="2021-01-01T00:00:00"/>
    <x v="0"/>
    <x v="18"/>
    <x v="18"/>
    <n v="-30054942"/>
    <n v="0"/>
    <n v="30054942"/>
    <x v="0"/>
    <s v="Cali"/>
  </r>
  <r>
    <d v="2021-01-01T00:00:00"/>
    <x v="0"/>
    <x v="19"/>
    <x v="19"/>
    <n v="-1943069"/>
    <n v="0"/>
    <n v="1943069"/>
    <x v="0"/>
    <s v="Cali"/>
  </r>
  <r>
    <d v="2021-01-01T00:00:00"/>
    <x v="0"/>
    <x v="20"/>
    <x v="20"/>
    <n v="-595000"/>
    <n v="0"/>
    <n v="595000"/>
    <x v="0"/>
    <s v="Cali"/>
  </r>
  <r>
    <d v="2021-01-01T00:00:00"/>
    <x v="0"/>
    <x v="21"/>
    <x v="21"/>
    <n v="-684178804"/>
    <n v="0"/>
    <n v="684178804"/>
    <x v="0"/>
    <s v="Cali"/>
  </r>
  <r>
    <d v="2021-01-01T00:00:00"/>
    <x v="0"/>
    <x v="22"/>
    <x v="22"/>
    <n v="-2338583640"/>
    <n v="0"/>
    <n v="2338583640"/>
    <x v="0"/>
    <s v="Cali"/>
  </r>
  <r>
    <m/>
    <x v="1"/>
    <x v="23"/>
    <x v="23"/>
    <m/>
    <m/>
    <m/>
    <x v="1"/>
    <m/>
  </r>
  <r>
    <d v="2021-01-11T00:00:00"/>
    <x v="0"/>
    <x v="17"/>
    <x v="17"/>
    <n v="326103"/>
    <n v="326103"/>
    <n v="0"/>
    <x v="2"/>
    <s v="Cali"/>
  </r>
  <r>
    <d v="2021-01-11T00:00:00"/>
    <x v="0"/>
    <x v="13"/>
    <x v="13"/>
    <n v="-326103"/>
    <n v="0"/>
    <n v="326103"/>
    <x v="2"/>
    <s v="Cali"/>
  </r>
  <r>
    <m/>
    <x v="1"/>
    <x v="23"/>
    <x v="23"/>
    <m/>
    <m/>
    <m/>
    <x v="1"/>
    <m/>
  </r>
  <r>
    <d v="2021-01-15T00:00:00"/>
    <x v="0"/>
    <x v="24"/>
    <x v="24"/>
    <n v="20000"/>
    <n v="20000"/>
    <n v="0"/>
    <x v="3"/>
    <s v="Cali"/>
  </r>
  <r>
    <d v="2021-01-15T00:00:00"/>
    <x v="0"/>
    <x v="13"/>
    <x v="13"/>
    <n v="-20000"/>
    <m/>
    <n v="20000"/>
    <x v="3"/>
    <s v="Cali"/>
  </r>
  <r>
    <m/>
    <x v="1"/>
    <x v="23"/>
    <x v="23"/>
    <m/>
    <m/>
    <m/>
    <x v="1"/>
    <m/>
  </r>
  <r>
    <m/>
    <x v="1"/>
    <x v="23"/>
    <x v="23"/>
    <m/>
    <m/>
    <m/>
    <x v="1"/>
    <m/>
  </r>
  <r>
    <d v="2021-01-04T00:00:00"/>
    <x v="0"/>
    <x v="0"/>
    <x v="0"/>
    <n v="20000"/>
    <n v="20000"/>
    <n v="0"/>
    <x v="4"/>
    <s v="Cali"/>
  </r>
  <r>
    <d v="2021-01-04T00:00:00"/>
    <x v="0"/>
    <x v="25"/>
    <x v="25"/>
    <n v="-20000"/>
    <m/>
    <n v="20000"/>
    <x v="4"/>
    <s v="Cali"/>
  </r>
  <r>
    <m/>
    <x v="1"/>
    <x v="23"/>
    <x v="23"/>
    <m/>
    <m/>
    <m/>
    <x v="1"/>
    <m/>
  </r>
  <r>
    <d v="2021-01-04T00:00:00"/>
    <x v="0"/>
    <x v="0"/>
    <x v="0"/>
    <n v="150000"/>
    <n v="150000"/>
    <n v="0"/>
    <x v="5"/>
    <s v="Cali"/>
  </r>
  <r>
    <d v="2021-01-04T00:00:00"/>
    <x v="0"/>
    <x v="26"/>
    <x v="26"/>
    <n v="-150000"/>
    <m/>
    <n v="150000"/>
    <x v="5"/>
    <s v="Cali"/>
  </r>
  <r>
    <m/>
    <x v="1"/>
    <x v="23"/>
    <x v="23"/>
    <m/>
    <m/>
    <m/>
    <x v="1"/>
    <m/>
  </r>
  <r>
    <d v="2021-01-04T00:00:00"/>
    <x v="0"/>
    <x v="0"/>
    <x v="0"/>
    <n v="17500"/>
    <n v="17500"/>
    <n v="0"/>
    <x v="6"/>
    <s v="Cali"/>
  </r>
  <r>
    <d v="2021-01-04T00:00:00"/>
    <x v="0"/>
    <x v="25"/>
    <x v="25"/>
    <n v="-17500"/>
    <m/>
    <n v="17500"/>
    <x v="6"/>
    <s v="Cali"/>
  </r>
  <r>
    <m/>
    <x v="1"/>
    <x v="23"/>
    <x v="23"/>
    <m/>
    <m/>
    <m/>
    <x v="1"/>
    <m/>
  </r>
  <r>
    <d v="2021-01-04T00:00:00"/>
    <x v="0"/>
    <x v="0"/>
    <x v="0"/>
    <n v="250000"/>
    <n v="250000"/>
    <n v="0"/>
    <x v="7"/>
    <s v="Cali"/>
  </r>
  <r>
    <d v="2021-01-04T00:00:00"/>
    <x v="0"/>
    <x v="26"/>
    <x v="26"/>
    <n v="-250000"/>
    <m/>
    <n v="250000"/>
    <x v="7"/>
    <s v="Cali"/>
  </r>
  <r>
    <m/>
    <x v="1"/>
    <x v="23"/>
    <x v="23"/>
    <m/>
    <m/>
    <m/>
    <x v="1"/>
    <m/>
  </r>
  <r>
    <d v="2021-01-04T00:00:00"/>
    <x v="0"/>
    <x v="0"/>
    <x v="0"/>
    <n v="15000"/>
    <n v="15000"/>
    <n v="0"/>
    <x v="8"/>
    <s v="Cali"/>
  </r>
  <r>
    <d v="2021-01-04T00:00:00"/>
    <x v="0"/>
    <x v="27"/>
    <x v="27"/>
    <n v="-15000"/>
    <m/>
    <n v="15000"/>
    <x v="8"/>
    <s v="Cali"/>
  </r>
  <r>
    <m/>
    <x v="1"/>
    <x v="23"/>
    <x v="23"/>
    <m/>
    <m/>
    <m/>
    <x v="1"/>
    <m/>
  </r>
  <r>
    <d v="2021-01-04T00:00:00"/>
    <x v="0"/>
    <x v="0"/>
    <x v="0"/>
    <n v="70000"/>
    <n v="70000"/>
    <n v="0"/>
    <x v="9"/>
    <s v="Cali"/>
  </r>
  <r>
    <d v="2021-01-04T00:00:00"/>
    <x v="0"/>
    <x v="26"/>
    <x v="26"/>
    <n v="-70000"/>
    <m/>
    <n v="70000"/>
    <x v="9"/>
    <s v="Cali"/>
  </r>
  <r>
    <m/>
    <x v="1"/>
    <x v="23"/>
    <x v="23"/>
    <m/>
    <m/>
    <m/>
    <x v="1"/>
    <m/>
  </r>
  <r>
    <d v="2021-01-04T00:00:00"/>
    <x v="0"/>
    <x v="0"/>
    <x v="0"/>
    <n v="24000"/>
    <n v="24000"/>
    <n v="0"/>
    <x v="10"/>
    <s v="Cali"/>
  </r>
  <r>
    <d v="2021-01-04T00:00:00"/>
    <x v="0"/>
    <x v="25"/>
    <x v="25"/>
    <n v="-24000"/>
    <m/>
    <n v="24000"/>
    <x v="10"/>
    <s v="Cali"/>
  </r>
  <r>
    <m/>
    <x v="1"/>
    <x v="23"/>
    <x v="23"/>
    <m/>
    <m/>
    <m/>
    <x v="1"/>
    <m/>
  </r>
  <r>
    <d v="2021-01-04T00:00:00"/>
    <x v="0"/>
    <x v="0"/>
    <x v="0"/>
    <n v="40000"/>
    <n v="40000"/>
    <n v="0"/>
    <x v="11"/>
    <s v="Cali"/>
  </r>
  <r>
    <d v="2021-01-04T00:00:00"/>
    <x v="0"/>
    <x v="27"/>
    <x v="27"/>
    <n v="-40000"/>
    <m/>
    <n v="40000"/>
    <x v="11"/>
    <s v="Cali"/>
  </r>
  <r>
    <m/>
    <x v="1"/>
    <x v="23"/>
    <x v="23"/>
    <m/>
    <m/>
    <m/>
    <x v="1"/>
    <m/>
  </r>
  <r>
    <d v="2021-01-04T00:00:00"/>
    <x v="0"/>
    <x v="13"/>
    <x v="13"/>
    <n v="3000000"/>
    <n v="3000000"/>
    <n v="0"/>
    <x v="12"/>
    <s v="Cali"/>
  </r>
  <r>
    <d v="2021-01-04T00:00:00"/>
    <x v="0"/>
    <x v="0"/>
    <x v="0"/>
    <n v="-3000000"/>
    <n v="0"/>
    <n v="3000000"/>
    <x v="12"/>
    <s v="Cali"/>
  </r>
  <r>
    <m/>
    <x v="1"/>
    <x v="23"/>
    <x v="23"/>
    <m/>
    <m/>
    <m/>
    <x v="1"/>
    <m/>
  </r>
  <r>
    <d v="2021-01-04T00:00:00"/>
    <x v="0"/>
    <x v="0"/>
    <x v="0"/>
    <n v="0"/>
    <n v="0"/>
    <n v="0"/>
    <x v="13"/>
    <s v="Cali"/>
  </r>
  <r>
    <d v="2021-01-04T00:00:00"/>
    <x v="0"/>
    <x v="28"/>
    <x v="28"/>
    <n v="0"/>
    <m/>
    <n v="0"/>
    <x v="13"/>
    <s v="Cali"/>
  </r>
  <r>
    <m/>
    <x v="1"/>
    <x v="23"/>
    <x v="23"/>
    <m/>
    <m/>
    <m/>
    <x v="1"/>
    <m/>
  </r>
  <r>
    <d v="2021-01-04T00:00:00"/>
    <x v="0"/>
    <x v="0"/>
    <x v="0"/>
    <n v="48000"/>
    <n v="48000"/>
    <n v="0"/>
    <x v="14"/>
    <s v="Cali"/>
  </r>
  <r>
    <d v="2021-01-04T00:00:00"/>
    <x v="0"/>
    <x v="27"/>
    <x v="27"/>
    <n v="-48000"/>
    <m/>
    <n v="48000"/>
    <x v="14"/>
    <s v="Cali"/>
  </r>
  <r>
    <m/>
    <x v="1"/>
    <x v="23"/>
    <x v="23"/>
    <m/>
    <m/>
    <m/>
    <x v="1"/>
    <m/>
  </r>
  <r>
    <d v="2021-01-04T00:00:00"/>
    <x v="0"/>
    <x v="0"/>
    <x v="0"/>
    <n v="40000"/>
    <n v="40000"/>
    <n v="0"/>
    <x v="15"/>
    <s v="Cali"/>
  </r>
  <r>
    <d v="2021-01-04T00:00:00"/>
    <x v="0"/>
    <x v="25"/>
    <x v="25"/>
    <n v="-40000"/>
    <m/>
    <n v="40000"/>
    <x v="15"/>
    <s v="Cali"/>
  </r>
  <r>
    <m/>
    <x v="1"/>
    <x v="23"/>
    <x v="23"/>
    <m/>
    <m/>
    <m/>
    <x v="1"/>
    <m/>
  </r>
  <r>
    <d v="2021-01-04T00:00:00"/>
    <x v="0"/>
    <x v="0"/>
    <x v="0"/>
    <n v="20000"/>
    <n v="20000"/>
    <n v="0"/>
    <x v="16"/>
    <s v="Cali"/>
  </r>
  <r>
    <d v="2021-01-04T00:00:00"/>
    <x v="0"/>
    <x v="26"/>
    <x v="26"/>
    <n v="-20000"/>
    <m/>
    <n v="20000"/>
    <x v="16"/>
    <s v="Cali"/>
  </r>
  <r>
    <m/>
    <x v="1"/>
    <x v="23"/>
    <x v="23"/>
    <m/>
    <m/>
    <m/>
    <x v="1"/>
    <m/>
  </r>
  <r>
    <d v="2021-01-04T00:00:00"/>
    <x v="0"/>
    <x v="0"/>
    <x v="0"/>
    <n v="20000"/>
    <n v="20000"/>
    <n v="0"/>
    <x v="17"/>
    <s v="Cali"/>
  </r>
  <r>
    <d v="2021-01-04T00:00:00"/>
    <x v="0"/>
    <x v="25"/>
    <x v="25"/>
    <n v="-20000"/>
    <m/>
    <n v="20000"/>
    <x v="17"/>
    <s v="Cali"/>
  </r>
  <r>
    <m/>
    <x v="1"/>
    <x v="23"/>
    <x v="23"/>
    <m/>
    <m/>
    <m/>
    <x v="1"/>
    <m/>
  </r>
  <r>
    <d v="2021-01-04T00:00:00"/>
    <x v="0"/>
    <x v="0"/>
    <x v="0"/>
    <n v="30000"/>
    <n v="30000"/>
    <n v="0"/>
    <x v="18"/>
    <s v="Cali"/>
  </r>
  <r>
    <d v="2021-01-04T00:00:00"/>
    <x v="0"/>
    <x v="26"/>
    <x v="26"/>
    <n v="-30000"/>
    <m/>
    <n v="30000"/>
    <x v="18"/>
    <s v="Cali"/>
  </r>
  <r>
    <m/>
    <x v="1"/>
    <x v="23"/>
    <x v="23"/>
    <m/>
    <m/>
    <m/>
    <x v="1"/>
    <m/>
  </r>
  <r>
    <d v="2021-01-04T00:00:00"/>
    <x v="0"/>
    <x v="0"/>
    <x v="0"/>
    <n v="50000"/>
    <n v="50000"/>
    <n v="0"/>
    <x v="19"/>
    <s v="Cali"/>
  </r>
  <r>
    <d v="2021-01-04T00:00:00"/>
    <x v="0"/>
    <x v="25"/>
    <x v="25"/>
    <n v="-50000"/>
    <m/>
    <n v="50000"/>
    <x v="19"/>
    <s v="Cali"/>
  </r>
  <r>
    <m/>
    <x v="1"/>
    <x v="23"/>
    <x v="23"/>
    <m/>
    <m/>
    <m/>
    <x v="1"/>
    <m/>
  </r>
  <r>
    <d v="2021-01-04T00:00:00"/>
    <x v="0"/>
    <x v="0"/>
    <x v="0"/>
    <n v="15000"/>
    <n v="15000"/>
    <n v="0"/>
    <x v="20"/>
    <s v="Cali"/>
  </r>
  <r>
    <d v="2021-01-04T00:00:00"/>
    <x v="0"/>
    <x v="25"/>
    <x v="25"/>
    <n v="-15000"/>
    <m/>
    <n v="15000"/>
    <x v="20"/>
    <s v="Cali"/>
  </r>
  <r>
    <m/>
    <x v="1"/>
    <x v="23"/>
    <x v="23"/>
    <m/>
    <m/>
    <m/>
    <x v="1"/>
    <m/>
  </r>
  <r>
    <d v="2021-01-04T00:00:00"/>
    <x v="0"/>
    <x v="0"/>
    <x v="0"/>
    <n v="25000"/>
    <n v="25000"/>
    <n v="0"/>
    <x v="21"/>
    <s v="Cali"/>
  </r>
  <r>
    <d v="2021-01-04T00:00:00"/>
    <x v="0"/>
    <x v="27"/>
    <x v="27"/>
    <n v="-25000"/>
    <m/>
    <n v="25000"/>
    <x v="21"/>
    <s v="Cali"/>
  </r>
  <r>
    <m/>
    <x v="1"/>
    <x v="23"/>
    <x v="23"/>
    <m/>
    <m/>
    <m/>
    <x v="1"/>
    <m/>
  </r>
  <r>
    <d v="2021-01-04T00:00:00"/>
    <x v="0"/>
    <x v="0"/>
    <x v="0"/>
    <n v="80000"/>
    <n v="80000"/>
    <n v="0"/>
    <x v="22"/>
    <s v="Cali"/>
  </r>
  <r>
    <d v="2021-01-04T00:00:00"/>
    <x v="0"/>
    <x v="27"/>
    <x v="27"/>
    <n v="-80000"/>
    <m/>
    <n v="80000"/>
    <x v="22"/>
    <s v="Cali"/>
  </r>
  <r>
    <m/>
    <x v="1"/>
    <x v="23"/>
    <x v="23"/>
    <m/>
    <m/>
    <m/>
    <x v="1"/>
    <m/>
  </r>
  <r>
    <d v="2021-01-04T00:00:00"/>
    <x v="0"/>
    <x v="0"/>
    <x v="0"/>
    <n v="45000"/>
    <n v="45000"/>
    <n v="0"/>
    <x v="23"/>
    <s v="Cali"/>
  </r>
  <r>
    <d v="2021-01-04T00:00:00"/>
    <x v="0"/>
    <x v="26"/>
    <x v="26"/>
    <n v="-45000"/>
    <m/>
    <n v="45000"/>
    <x v="23"/>
    <s v="Cali"/>
  </r>
  <r>
    <m/>
    <x v="1"/>
    <x v="23"/>
    <x v="23"/>
    <m/>
    <m/>
    <m/>
    <x v="1"/>
    <m/>
  </r>
  <r>
    <d v="2021-01-04T00:00:00"/>
    <x v="0"/>
    <x v="0"/>
    <x v="0"/>
    <n v="100000"/>
    <n v="100000"/>
    <n v="0"/>
    <x v="24"/>
    <s v="Cali"/>
  </r>
  <r>
    <d v="2021-01-04T00:00:00"/>
    <x v="0"/>
    <x v="27"/>
    <x v="27"/>
    <n v="-100000"/>
    <m/>
    <n v="100000"/>
    <x v="24"/>
    <s v="Cali"/>
  </r>
  <r>
    <m/>
    <x v="1"/>
    <x v="23"/>
    <x v="23"/>
    <m/>
    <m/>
    <m/>
    <x v="1"/>
    <m/>
  </r>
  <r>
    <d v="2021-01-04T00:00:00"/>
    <x v="0"/>
    <x v="0"/>
    <x v="0"/>
    <n v="25000"/>
    <n v="25000"/>
    <n v="0"/>
    <x v="25"/>
    <s v="Cali"/>
  </r>
  <r>
    <d v="2021-01-04T00:00:00"/>
    <x v="0"/>
    <x v="25"/>
    <x v="25"/>
    <n v="-25000"/>
    <m/>
    <n v="25000"/>
    <x v="25"/>
    <s v="Cali"/>
  </r>
  <r>
    <m/>
    <x v="1"/>
    <x v="23"/>
    <x v="23"/>
    <m/>
    <m/>
    <m/>
    <x v="1"/>
    <m/>
  </r>
  <r>
    <d v="2021-01-04T00:00:00"/>
    <x v="0"/>
    <x v="0"/>
    <x v="0"/>
    <n v="55000"/>
    <n v="55000"/>
    <n v="0"/>
    <x v="26"/>
    <s v="Cali"/>
  </r>
  <r>
    <d v="2021-01-04T00:00:00"/>
    <x v="0"/>
    <x v="25"/>
    <x v="25"/>
    <n v="-55000"/>
    <m/>
    <n v="55000"/>
    <x v="26"/>
    <s v="Cali"/>
  </r>
  <r>
    <m/>
    <x v="1"/>
    <x v="23"/>
    <x v="23"/>
    <m/>
    <m/>
    <m/>
    <x v="1"/>
    <m/>
  </r>
  <r>
    <d v="2021-01-04T00:00:00"/>
    <x v="0"/>
    <x v="0"/>
    <x v="0"/>
    <n v="40000"/>
    <n v="40000"/>
    <n v="0"/>
    <x v="27"/>
    <s v="Cali"/>
  </r>
  <r>
    <d v="2021-01-04T00:00:00"/>
    <x v="0"/>
    <x v="25"/>
    <x v="25"/>
    <n v="-40000"/>
    <m/>
    <n v="40000"/>
    <x v="27"/>
    <s v="Cali"/>
  </r>
  <r>
    <m/>
    <x v="1"/>
    <x v="23"/>
    <x v="23"/>
    <m/>
    <m/>
    <m/>
    <x v="1"/>
    <m/>
  </r>
  <r>
    <d v="2021-01-04T00:00:00"/>
    <x v="0"/>
    <x v="0"/>
    <x v="0"/>
    <n v="50000"/>
    <n v="50000"/>
    <n v="0"/>
    <x v="28"/>
    <s v="Cali"/>
  </r>
  <r>
    <d v="2021-01-04T00:00:00"/>
    <x v="0"/>
    <x v="25"/>
    <x v="25"/>
    <n v="-50000"/>
    <m/>
    <n v="50000"/>
    <x v="28"/>
    <s v="Cali"/>
  </r>
  <r>
    <m/>
    <x v="1"/>
    <x v="23"/>
    <x v="23"/>
    <m/>
    <m/>
    <m/>
    <x v="1"/>
    <m/>
  </r>
  <r>
    <d v="2021-01-04T00:00:00"/>
    <x v="0"/>
    <x v="0"/>
    <x v="0"/>
    <n v="30000"/>
    <n v="30000"/>
    <n v="0"/>
    <x v="29"/>
    <s v="Cali"/>
  </r>
  <r>
    <d v="2021-01-04T00:00:00"/>
    <x v="0"/>
    <x v="26"/>
    <x v="26"/>
    <n v="-30000"/>
    <m/>
    <n v="30000"/>
    <x v="29"/>
    <s v="Cali"/>
  </r>
  <r>
    <m/>
    <x v="1"/>
    <x v="23"/>
    <x v="23"/>
    <m/>
    <m/>
    <m/>
    <x v="1"/>
    <m/>
  </r>
  <r>
    <d v="2021-01-04T00:00:00"/>
    <x v="0"/>
    <x v="0"/>
    <x v="0"/>
    <n v="5000"/>
    <n v="5000"/>
    <n v="0"/>
    <x v="1"/>
    <s v="Cali"/>
  </r>
  <r>
    <d v="2021-01-04T00:00:00"/>
    <x v="0"/>
    <x v="19"/>
    <x v="19"/>
    <n v="-5000"/>
    <m/>
    <n v="5000"/>
    <x v="30"/>
    <s v="Cali"/>
  </r>
  <r>
    <m/>
    <x v="1"/>
    <x v="23"/>
    <x v="23"/>
    <m/>
    <m/>
    <m/>
    <x v="1"/>
    <m/>
  </r>
  <r>
    <d v="2021-01-04T00:00:00"/>
    <x v="0"/>
    <x v="0"/>
    <x v="0"/>
    <n v="8000"/>
    <n v="8000"/>
    <n v="0"/>
    <x v="1"/>
    <s v="Cali"/>
  </r>
  <r>
    <d v="2021-01-04T00:00:00"/>
    <x v="0"/>
    <x v="19"/>
    <x v="19"/>
    <n v="-8000"/>
    <m/>
    <n v="8000"/>
    <x v="30"/>
    <s v="Cali"/>
  </r>
  <r>
    <m/>
    <x v="1"/>
    <x v="23"/>
    <x v="23"/>
    <m/>
    <m/>
    <m/>
    <x v="1"/>
    <m/>
  </r>
  <r>
    <d v="2021-01-04T00:00:00"/>
    <x v="0"/>
    <x v="0"/>
    <x v="0"/>
    <n v="10000"/>
    <n v="10000"/>
    <n v="0"/>
    <x v="31"/>
    <s v="Cali"/>
  </r>
  <r>
    <d v="2021-01-04T00:00:00"/>
    <x v="0"/>
    <x v="25"/>
    <x v="25"/>
    <n v="-10000"/>
    <m/>
    <n v="10000"/>
    <x v="31"/>
    <s v="Cali"/>
  </r>
  <r>
    <m/>
    <x v="1"/>
    <x v="23"/>
    <x v="23"/>
    <m/>
    <m/>
    <m/>
    <x v="1"/>
    <m/>
  </r>
  <r>
    <d v="2021-01-04T00:00:00"/>
    <x v="0"/>
    <x v="0"/>
    <x v="0"/>
    <n v="50000"/>
    <n v="50000"/>
    <n v="0"/>
    <x v="32"/>
    <s v="Cali"/>
  </r>
  <r>
    <d v="2021-01-04T00:00:00"/>
    <x v="0"/>
    <x v="25"/>
    <x v="25"/>
    <n v="-50000"/>
    <m/>
    <n v="50000"/>
    <x v="32"/>
    <s v="Cali"/>
  </r>
  <r>
    <m/>
    <x v="1"/>
    <x v="23"/>
    <x v="23"/>
    <m/>
    <m/>
    <m/>
    <x v="1"/>
    <m/>
  </r>
  <r>
    <d v="2021-01-04T00:00:00"/>
    <x v="0"/>
    <x v="0"/>
    <x v="0"/>
    <n v="150000"/>
    <n v="150000"/>
    <n v="0"/>
    <x v="33"/>
    <s v="Cali"/>
  </r>
  <r>
    <d v="2021-01-04T00:00:00"/>
    <x v="0"/>
    <x v="25"/>
    <x v="25"/>
    <n v="-150000"/>
    <m/>
    <n v="150000"/>
    <x v="33"/>
    <s v="Cali"/>
  </r>
  <r>
    <m/>
    <x v="1"/>
    <x v="23"/>
    <x v="23"/>
    <m/>
    <m/>
    <m/>
    <x v="1"/>
    <m/>
  </r>
  <r>
    <d v="2021-01-04T00:00:00"/>
    <x v="0"/>
    <x v="0"/>
    <x v="0"/>
    <n v="10000"/>
    <n v="10000"/>
    <n v="0"/>
    <x v="34"/>
    <s v="Cali"/>
  </r>
  <r>
    <d v="2021-01-04T00:00:00"/>
    <x v="0"/>
    <x v="25"/>
    <x v="25"/>
    <n v="-10000"/>
    <m/>
    <n v="10000"/>
    <x v="34"/>
    <s v="Cali"/>
  </r>
  <r>
    <m/>
    <x v="1"/>
    <x v="23"/>
    <x v="23"/>
    <m/>
    <m/>
    <m/>
    <x v="1"/>
    <m/>
  </r>
  <r>
    <d v="2021-01-04T00:00:00"/>
    <x v="0"/>
    <x v="0"/>
    <x v="0"/>
    <n v="20000"/>
    <n v="20000"/>
    <n v="0"/>
    <x v="35"/>
    <s v="Cali"/>
  </r>
  <r>
    <d v="2021-01-04T00:00:00"/>
    <x v="0"/>
    <x v="26"/>
    <x v="26"/>
    <n v="-20000"/>
    <m/>
    <n v="20000"/>
    <x v="35"/>
    <s v="Cali"/>
  </r>
  <r>
    <m/>
    <x v="1"/>
    <x v="23"/>
    <x v="23"/>
    <m/>
    <m/>
    <m/>
    <x v="1"/>
    <m/>
  </r>
  <r>
    <d v="2021-01-04T00:00:00"/>
    <x v="0"/>
    <x v="0"/>
    <x v="0"/>
    <n v="4907"/>
    <n v="4907"/>
    <n v="0"/>
    <x v="36"/>
    <s v="Cali"/>
  </r>
  <r>
    <d v="2021-01-04T00:00:00"/>
    <x v="0"/>
    <x v="19"/>
    <x v="19"/>
    <n v="-4907"/>
    <m/>
    <n v="4907"/>
    <x v="36"/>
    <s v="Cali"/>
  </r>
  <r>
    <m/>
    <x v="1"/>
    <x v="23"/>
    <x v="23"/>
    <m/>
    <m/>
    <m/>
    <x v="1"/>
    <m/>
  </r>
  <r>
    <d v="2021-01-04T00:00:00"/>
    <x v="0"/>
    <x v="0"/>
    <x v="0"/>
    <n v="70000"/>
    <n v="70000"/>
    <n v="0"/>
    <x v="37"/>
    <s v="Cali"/>
  </r>
  <r>
    <d v="2021-01-04T00:00:00"/>
    <x v="0"/>
    <x v="25"/>
    <x v="25"/>
    <n v="-70000"/>
    <m/>
    <n v="70000"/>
    <x v="37"/>
    <s v="Cali"/>
  </r>
  <r>
    <m/>
    <x v="1"/>
    <x v="23"/>
    <x v="23"/>
    <m/>
    <m/>
    <m/>
    <x v="1"/>
    <m/>
  </r>
  <r>
    <d v="2021-01-04T00:00:00"/>
    <x v="0"/>
    <x v="0"/>
    <x v="0"/>
    <n v="20000"/>
    <n v="20000"/>
    <n v="0"/>
    <x v="38"/>
    <s v="Cali"/>
  </r>
  <r>
    <d v="2021-01-04T00:00:00"/>
    <x v="0"/>
    <x v="25"/>
    <x v="25"/>
    <n v="-20000"/>
    <m/>
    <n v="20000"/>
    <x v="38"/>
    <s v="Cali"/>
  </r>
  <r>
    <m/>
    <x v="1"/>
    <x v="23"/>
    <x v="23"/>
    <m/>
    <m/>
    <m/>
    <x v="1"/>
    <m/>
  </r>
  <r>
    <d v="2021-01-04T00:00:00"/>
    <x v="0"/>
    <x v="0"/>
    <x v="0"/>
    <n v="12000"/>
    <n v="12000"/>
    <n v="0"/>
    <x v="1"/>
    <s v="Cali"/>
  </r>
  <r>
    <d v="2021-01-04T00:00:00"/>
    <x v="0"/>
    <x v="19"/>
    <x v="19"/>
    <n v="-12000"/>
    <m/>
    <n v="12000"/>
    <x v="30"/>
    <s v="Cali"/>
  </r>
  <r>
    <m/>
    <x v="1"/>
    <x v="23"/>
    <x v="23"/>
    <m/>
    <m/>
    <m/>
    <x v="1"/>
    <m/>
  </r>
  <r>
    <d v="2021-01-05T00:00:00"/>
    <x v="0"/>
    <x v="0"/>
    <x v="0"/>
    <n v="20000"/>
    <n v="20000"/>
    <n v="0"/>
    <x v="39"/>
    <s v="Cali"/>
  </r>
  <r>
    <d v="2021-01-05T00:00:00"/>
    <x v="0"/>
    <x v="25"/>
    <x v="25"/>
    <n v="-20000"/>
    <m/>
    <n v="20000"/>
    <x v="39"/>
    <s v="Cali"/>
  </r>
  <r>
    <m/>
    <x v="1"/>
    <x v="23"/>
    <x v="23"/>
    <m/>
    <m/>
    <m/>
    <x v="1"/>
    <m/>
  </r>
  <r>
    <d v="2021-01-05T00:00:00"/>
    <x v="0"/>
    <x v="0"/>
    <x v="0"/>
    <n v="20000"/>
    <n v="20000"/>
    <n v="0"/>
    <x v="40"/>
    <s v="Cali"/>
  </r>
  <r>
    <d v="2021-01-05T00:00:00"/>
    <x v="0"/>
    <x v="25"/>
    <x v="25"/>
    <n v="-20000"/>
    <m/>
    <n v="20000"/>
    <x v="40"/>
    <s v="Cali"/>
  </r>
  <r>
    <m/>
    <x v="1"/>
    <x v="23"/>
    <x v="23"/>
    <m/>
    <m/>
    <m/>
    <x v="1"/>
    <m/>
  </r>
  <r>
    <d v="2021-01-05T00:00:00"/>
    <x v="0"/>
    <x v="0"/>
    <x v="0"/>
    <n v="15000"/>
    <n v="15000"/>
    <n v="0"/>
    <x v="41"/>
    <s v="Cali"/>
  </r>
  <r>
    <d v="2021-01-05T00:00:00"/>
    <x v="0"/>
    <x v="29"/>
    <x v="29"/>
    <n v="-15000"/>
    <m/>
    <n v="15000"/>
    <x v="41"/>
    <s v="Cali"/>
  </r>
  <r>
    <m/>
    <x v="1"/>
    <x v="23"/>
    <x v="23"/>
    <m/>
    <m/>
    <m/>
    <x v="1"/>
    <m/>
  </r>
  <r>
    <d v="2021-01-05T00:00:00"/>
    <x v="0"/>
    <x v="0"/>
    <x v="0"/>
    <n v="50000"/>
    <n v="50000"/>
    <n v="0"/>
    <x v="42"/>
    <s v="Cali"/>
  </r>
  <r>
    <d v="2021-01-05T00:00:00"/>
    <x v="0"/>
    <x v="26"/>
    <x v="26"/>
    <n v="-50000"/>
    <m/>
    <n v="50000"/>
    <x v="42"/>
    <s v="Cali"/>
  </r>
  <r>
    <m/>
    <x v="1"/>
    <x v="23"/>
    <x v="23"/>
    <m/>
    <m/>
    <m/>
    <x v="1"/>
    <m/>
  </r>
  <r>
    <d v="2021-01-05T00:00:00"/>
    <x v="0"/>
    <x v="0"/>
    <x v="0"/>
    <n v="10000"/>
    <n v="10000"/>
    <n v="0"/>
    <x v="43"/>
    <s v="Cali"/>
  </r>
  <r>
    <d v="2021-01-05T00:00:00"/>
    <x v="0"/>
    <x v="26"/>
    <x v="26"/>
    <n v="-10000"/>
    <m/>
    <n v="10000"/>
    <x v="43"/>
    <s v="Cali"/>
  </r>
  <r>
    <m/>
    <x v="1"/>
    <x v="23"/>
    <x v="23"/>
    <m/>
    <m/>
    <m/>
    <x v="1"/>
    <m/>
  </r>
  <r>
    <d v="2021-01-05T00:00:00"/>
    <x v="0"/>
    <x v="0"/>
    <x v="0"/>
    <n v="1435887"/>
    <n v="1435887"/>
    <n v="0"/>
    <x v="44"/>
    <s v="Cali"/>
  </r>
  <r>
    <d v="2021-01-05T00:00:00"/>
    <x v="0"/>
    <x v="30"/>
    <x v="30"/>
    <n v="0"/>
    <n v="0"/>
    <n v="0"/>
    <x v="44"/>
    <s v="Cali"/>
  </r>
  <r>
    <d v="2021-01-05T00:00:00"/>
    <x v="0"/>
    <x v="26"/>
    <x v="26"/>
    <n v="-1435887"/>
    <n v="0"/>
    <n v="1435887"/>
    <x v="44"/>
    <s v="Cali"/>
  </r>
  <r>
    <m/>
    <x v="1"/>
    <x v="23"/>
    <x v="23"/>
    <m/>
    <m/>
    <m/>
    <x v="1"/>
    <m/>
  </r>
  <r>
    <d v="2021-01-05T00:00:00"/>
    <x v="0"/>
    <x v="0"/>
    <x v="0"/>
    <n v="14721"/>
    <n v="14721"/>
    <n v="0"/>
    <x v="36"/>
    <s v="Cali"/>
  </r>
  <r>
    <d v="2021-01-05T00:00:00"/>
    <x v="0"/>
    <x v="19"/>
    <x v="19"/>
    <n v="-14721"/>
    <m/>
    <n v="14721"/>
    <x v="36"/>
    <s v="Cali"/>
  </r>
  <r>
    <m/>
    <x v="1"/>
    <x v="23"/>
    <x v="23"/>
    <m/>
    <m/>
    <m/>
    <x v="1"/>
    <m/>
  </r>
  <r>
    <d v="2021-01-05T00:00:00"/>
    <x v="0"/>
    <x v="0"/>
    <x v="0"/>
    <n v="60000"/>
    <n v="60000"/>
    <n v="0"/>
    <x v="45"/>
    <s v="Cali"/>
  </r>
  <r>
    <d v="2021-01-05T00:00:00"/>
    <x v="0"/>
    <x v="29"/>
    <x v="29"/>
    <n v="-60000"/>
    <m/>
    <n v="60000"/>
    <x v="45"/>
    <s v="Cali"/>
  </r>
  <r>
    <m/>
    <x v="1"/>
    <x v="23"/>
    <x v="23"/>
    <m/>
    <m/>
    <m/>
    <x v="1"/>
    <m/>
  </r>
  <r>
    <d v="2021-01-05T00:00:00"/>
    <x v="0"/>
    <x v="0"/>
    <x v="0"/>
    <n v="59000"/>
    <n v="59000"/>
    <n v="0"/>
    <x v="1"/>
    <s v="Cali"/>
  </r>
  <r>
    <d v="2021-01-05T00:00:00"/>
    <x v="0"/>
    <x v="4"/>
    <x v="4"/>
    <n v="-59000"/>
    <m/>
    <n v="59000"/>
    <x v="30"/>
    <s v="Cali"/>
  </r>
  <r>
    <m/>
    <x v="1"/>
    <x v="23"/>
    <x v="23"/>
    <m/>
    <m/>
    <m/>
    <x v="1"/>
    <m/>
  </r>
  <r>
    <d v="2021-01-06T00:00:00"/>
    <x v="0"/>
    <x v="0"/>
    <x v="0"/>
    <n v="120000"/>
    <n v="120000"/>
    <n v="0"/>
    <x v="46"/>
    <s v="Cali"/>
  </r>
  <r>
    <d v="2021-01-06T00:00:00"/>
    <x v="0"/>
    <x v="26"/>
    <x v="26"/>
    <n v="-120000"/>
    <m/>
    <n v="120000"/>
    <x v="46"/>
    <s v="Cali"/>
  </r>
  <r>
    <m/>
    <x v="1"/>
    <x v="23"/>
    <x v="23"/>
    <m/>
    <m/>
    <m/>
    <x v="1"/>
    <m/>
  </r>
  <r>
    <d v="2021-01-06T00:00:00"/>
    <x v="0"/>
    <x v="0"/>
    <x v="0"/>
    <n v="40000"/>
    <n v="40000"/>
    <n v="0"/>
    <x v="47"/>
    <s v="Cali"/>
  </r>
  <r>
    <d v="2021-01-06T00:00:00"/>
    <x v="0"/>
    <x v="25"/>
    <x v="25"/>
    <n v="-40000"/>
    <m/>
    <n v="40000"/>
    <x v="47"/>
    <s v="Cali"/>
  </r>
  <r>
    <m/>
    <x v="1"/>
    <x v="23"/>
    <x v="23"/>
    <m/>
    <m/>
    <m/>
    <x v="1"/>
    <m/>
  </r>
  <r>
    <d v="2021-01-06T00:00:00"/>
    <x v="0"/>
    <x v="0"/>
    <x v="0"/>
    <n v="15000"/>
    <n v="15000"/>
    <n v="0"/>
    <x v="48"/>
    <s v="Cali"/>
  </r>
  <r>
    <d v="2021-01-06T00:00:00"/>
    <x v="0"/>
    <x v="26"/>
    <x v="26"/>
    <n v="-15000"/>
    <m/>
    <n v="15000"/>
    <x v="48"/>
    <s v="Cali"/>
  </r>
  <r>
    <m/>
    <x v="1"/>
    <x v="23"/>
    <x v="23"/>
    <m/>
    <m/>
    <m/>
    <x v="1"/>
    <m/>
  </r>
  <r>
    <d v="2021-01-06T00:00:00"/>
    <x v="0"/>
    <x v="0"/>
    <x v="0"/>
    <n v="8846507"/>
    <n v="8846507"/>
    <n v="0"/>
    <x v="49"/>
    <s v="Cali"/>
  </r>
  <r>
    <d v="2021-01-06T00:00:00"/>
    <x v="0"/>
    <x v="5"/>
    <x v="5"/>
    <n v="-8846507"/>
    <m/>
    <n v="8846507"/>
    <x v="49"/>
    <s v="Cali"/>
  </r>
  <r>
    <m/>
    <x v="1"/>
    <x v="23"/>
    <x v="23"/>
    <m/>
    <m/>
    <m/>
    <x v="1"/>
    <m/>
  </r>
  <r>
    <d v="2021-01-06T00:00:00"/>
    <x v="0"/>
    <x v="0"/>
    <x v="0"/>
    <n v="18000"/>
    <n v="18000"/>
    <n v="0"/>
    <x v="50"/>
    <s v="Cali"/>
  </r>
  <r>
    <d v="2021-01-06T00:00:00"/>
    <x v="0"/>
    <x v="27"/>
    <x v="27"/>
    <n v="-18000"/>
    <m/>
    <n v="18000"/>
    <x v="50"/>
    <s v="Cali"/>
  </r>
  <r>
    <m/>
    <x v="1"/>
    <x v="23"/>
    <x v="23"/>
    <m/>
    <m/>
    <m/>
    <x v="1"/>
    <m/>
  </r>
  <r>
    <d v="2021-01-06T00:00:00"/>
    <x v="0"/>
    <x v="0"/>
    <x v="0"/>
    <n v="55000"/>
    <n v="55000"/>
    <n v="0"/>
    <x v="51"/>
    <s v="Cali"/>
  </r>
  <r>
    <d v="2021-01-06T00:00:00"/>
    <x v="0"/>
    <x v="27"/>
    <x v="27"/>
    <n v="-55000"/>
    <m/>
    <n v="55000"/>
    <x v="51"/>
    <s v="Cali"/>
  </r>
  <r>
    <m/>
    <x v="1"/>
    <x v="23"/>
    <x v="23"/>
    <m/>
    <m/>
    <m/>
    <x v="1"/>
    <m/>
  </r>
  <r>
    <d v="2021-01-06T00:00:00"/>
    <x v="0"/>
    <x v="0"/>
    <x v="0"/>
    <n v="20000"/>
    <n v="20000"/>
    <n v="0"/>
    <x v="52"/>
    <s v="Cali"/>
  </r>
  <r>
    <d v="2021-01-06T00:00:00"/>
    <x v="0"/>
    <x v="25"/>
    <x v="25"/>
    <n v="-20000"/>
    <m/>
    <n v="20000"/>
    <x v="52"/>
    <s v="Cali"/>
  </r>
  <r>
    <m/>
    <x v="1"/>
    <x v="23"/>
    <x v="23"/>
    <m/>
    <m/>
    <m/>
    <x v="1"/>
    <m/>
  </r>
  <r>
    <d v="2021-01-06T00:00:00"/>
    <x v="0"/>
    <x v="31"/>
    <x v="31"/>
    <n v="2076"/>
    <n v="2076"/>
    <n v="0"/>
    <x v="53"/>
    <s v="Cali"/>
  </r>
  <r>
    <d v="2021-01-06T00:00:00"/>
    <x v="0"/>
    <x v="0"/>
    <x v="0"/>
    <n v="-2076"/>
    <m/>
    <n v="2076"/>
    <x v="53"/>
    <s v="Cali"/>
  </r>
  <r>
    <m/>
    <x v="1"/>
    <x v="23"/>
    <x v="23"/>
    <m/>
    <m/>
    <m/>
    <x v="1"/>
    <m/>
  </r>
  <r>
    <d v="2021-01-07T00:00:00"/>
    <x v="0"/>
    <x v="0"/>
    <x v="0"/>
    <n v="2944"/>
    <n v="2944"/>
    <n v="0"/>
    <x v="36"/>
    <s v="Cali"/>
  </r>
  <r>
    <d v="2021-01-07T00:00:00"/>
    <x v="0"/>
    <x v="19"/>
    <x v="19"/>
    <n v="-2944"/>
    <m/>
    <n v="2944"/>
    <x v="36"/>
    <s v="Cali"/>
  </r>
  <r>
    <m/>
    <x v="1"/>
    <x v="23"/>
    <x v="23"/>
    <m/>
    <m/>
    <m/>
    <x v="1"/>
    <m/>
  </r>
  <r>
    <d v="2021-01-07T00:00:00"/>
    <x v="0"/>
    <x v="0"/>
    <x v="0"/>
    <n v="1400000"/>
    <n v="1400000"/>
    <n v="0"/>
    <x v="54"/>
    <s v="Cali"/>
  </r>
  <r>
    <d v="2021-01-07T00:00:00"/>
    <x v="0"/>
    <x v="26"/>
    <x v="26"/>
    <n v="-1400000"/>
    <m/>
    <n v="1400000"/>
    <x v="54"/>
    <s v="Cali"/>
  </r>
  <r>
    <m/>
    <x v="1"/>
    <x v="23"/>
    <x v="23"/>
    <m/>
    <m/>
    <m/>
    <x v="1"/>
    <m/>
  </r>
  <r>
    <d v="2021-01-08T00:00:00"/>
    <x v="0"/>
    <x v="0"/>
    <x v="0"/>
    <n v="40000"/>
    <n v="40000"/>
    <n v="0"/>
    <x v="55"/>
    <s v="Cali"/>
  </r>
  <r>
    <d v="2021-01-08T00:00:00"/>
    <x v="0"/>
    <x v="25"/>
    <x v="25"/>
    <n v="-40000"/>
    <m/>
    <n v="40000"/>
    <x v="55"/>
    <s v="Cali"/>
  </r>
  <r>
    <m/>
    <x v="1"/>
    <x v="23"/>
    <x v="23"/>
    <m/>
    <m/>
    <m/>
    <x v="1"/>
    <m/>
  </r>
  <r>
    <d v="2021-01-08T00:00:00"/>
    <x v="0"/>
    <x v="0"/>
    <x v="0"/>
    <n v="19629"/>
    <n v="19629"/>
    <n v="0"/>
    <x v="36"/>
    <s v="Cali"/>
  </r>
  <r>
    <d v="2021-01-08T00:00:00"/>
    <x v="0"/>
    <x v="19"/>
    <x v="19"/>
    <n v="-19629"/>
    <m/>
    <n v="19629"/>
    <x v="36"/>
    <s v="Cali"/>
  </r>
  <r>
    <m/>
    <x v="1"/>
    <x v="23"/>
    <x v="23"/>
    <m/>
    <m/>
    <m/>
    <x v="1"/>
    <m/>
  </r>
  <r>
    <d v="2021-01-08T00:00:00"/>
    <x v="0"/>
    <x v="0"/>
    <x v="0"/>
    <n v="10000"/>
    <n v="10000"/>
    <n v="0"/>
    <x v="56"/>
    <s v="Cali"/>
  </r>
  <r>
    <d v="2021-01-08T00:00:00"/>
    <x v="0"/>
    <x v="25"/>
    <x v="25"/>
    <n v="-10000"/>
    <m/>
    <n v="10000"/>
    <x v="56"/>
    <s v="Cali"/>
  </r>
  <r>
    <m/>
    <x v="1"/>
    <x v="23"/>
    <x v="23"/>
    <m/>
    <m/>
    <m/>
    <x v="1"/>
    <m/>
  </r>
  <r>
    <d v="2021-01-08T00:00:00"/>
    <x v="0"/>
    <x v="0"/>
    <x v="0"/>
    <n v="10000"/>
    <n v="10000"/>
    <n v="0"/>
    <x v="57"/>
    <s v="Cali"/>
  </r>
  <r>
    <d v="2021-01-08T00:00:00"/>
    <x v="0"/>
    <x v="26"/>
    <x v="26"/>
    <n v="-10000"/>
    <m/>
    <n v="10000"/>
    <x v="57"/>
    <s v="Cali"/>
  </r>
  <r>
    <m/>
    <x v="1"/>
    <x v="23"/>
    <x v="23"/>
    <m/>
    <m/>
    <m/>
    <x v="1"/>
    <m/>
  </r>
  <r>
    <d v="2021-01-11T00:00:00"/>
    <x v="0"/>
    <x v="0"/>
    <x v="0"/>
    <n v="750000"/>
    <n v="750000"/>
    <n v="0"/>
    <x v="58"/>
    <s v="Cali"/>
  </r>
  <r>
    <d v="2021-01-11T00:00:00"/>
    <x v="0"/>
    <x v="26"/>
    <x v="26"/>
    <n v="-750000"/>
    <m/>
    <n v="750000"/>
    <x v="58"/>
    <s v="Cali"/>
  </r>
  <r>
    <m/>
    <x v="1"/>
    <x v="23"/>
    <x v="23"/>
    <m/>
    <m/>
    <m/>
    <x v="1"/>
    <m/>
  </r>
  <r>
    <d v="2021-01-11T00:00:00"/>
    <x v="0"/>
    <x v="0"/>
    <x v="0"/>
    <n v="10000"/>
    <n v="10000"/>
    <n v="0"/>
    <x v="1"/>
    <s v="Cali"/>
  </r>
  <r>
    <d v="2021-01-11T00:00:00"/>
    <x v="0"/>
    <x v="19"/>
    <x v="19"/>
    <n v="-10000"/>
    <m/>
    <n v="10000"/>
    <x v="30"/>
    <s v="Cali"/>
  </r>
  <r>
    <m/>
    <x v="1"/>
    <x v="23"/>
    <x v="23"/>
    <m/>
    <m/>
    <m/>
    <x v="1"/>
    <m/>
  </r>
  <r>
    <d v="2021-01-11T00:00:00"/>
    <x v="0"/>
    <x v="0"/>
    <x v="0"/>
    <n v="30000"/>
    <n v="30000"/>
    <n v="0"/>
    <x v="59"/>
    <s v="Cali"/>
  </r>
  <r>
    <d v="2021-01-11T00:00:00"/>
    <x v="0"/>
    <x v="25"/>
    <x v="25"/>
    <n v="-30000"/>
    <m/>
    <n v="30000"/>
    <x v="59"/>
    <s v="Cali"/>
  </r>
  <r>
    <m/>
    <x v="1"/>
    <x v="23"/>
    <x v="23"/>
    <m/>
    <m/>
    <m/>
    <x v="1"/>
    <m/>
  </r>
  <r>
    <d v="2021-01-11T00:00:00"/>
    <x v="0"/>
    <x v="0"/>
    <x v="0"/>
    <n v="30000"/>
    <n v="30000"/>
    <n v="0"/>
    <x v="60"/>
    <s v="Cali"/>
  </r>
  <r>
    <d v="2021-01-11T00:00:00"/>
    <x v="0"/>
    <x v="26"/>
    <x v="26"/>
    <n v="-30000"/>
    <m/>
    <n v="30000"/>
    <x v="60"/>
    <s v="Cali"/>
  </r>
  <r>
    <m/>
    <x v="1"/>
    <x v="23"/>
    <x v="23"/>
    <m/>
    <m/>
    <m/>
    <x v="1"/>
    <m/>
  </r>
  <r>
    <d v="2021-01-11T00:00:00"/>
    <x v="0"/>
    <x v="0"/>
    <x v="0"/>
    <n v="1500"/>
    <n v="1500"/>
    <n v="0"/>
    <x v="1"/>
    <s v="Cali"/>
  </r>
  <r>
    <d v="2021-01-11T00:00:00"/>
    <x v="0"/>
    <x v="19"/>
    <x v="19"/>
    <n v="-1500"/>
    <m/>
    <n v="1500"/>
    <x v="1"/>
    <s v="Cali"/>
  </r>
  <r>
    <m/>
    <x v="1"/>
    <x v="23"/>
    <x v="23"/>
    <m/>
    <m/>
    <m/>
    <x v="1"/>
    <m/>
  </r>
  <r>
    <d v="2021-01-11T00:00:00"/>
    <x v="0"/>
    <x v="0"/>
    <x v="0"/>
    <n v="50000"/>
    <n v="50000"/>
    <n v="0"/>
    <x v="5"/>
    <s v="Cali"/>
  </r>
  <r>
    <d v="2021-01-11T00:00:00"/>
    <x v="0"/>
    <x v="26"/>
    <x v="26"/>
    <n v="-50000"/>
    <m/>
    <n v="50000"/>
    <x v="5"/>
    <s v="Cali"/>
  </r>
  <r>
    <m/>
    <x v="1"/>
    <x v="23"/>
    <x v="23"/>
    <m/>
    <m/>
    <m/>
    <x v="1"/>
    <m/>
  </r>
  <r>
    <d v="2021-01-11T00:00:00"/>
    <x v="0"/>
    <x v="0"/>
    <x v="0"/>
    <n v="30000"/>
    <n v="30000"/>
    <n v="0"/>
    <x v="61"/>
    <s v="Cali"/>
  </r>
  <r>
    <d v="2021-01-11T00:00:00"/>
    <x v="0"/>
    <x v="25"/>
    <x v="25"/>
    <n v="-30000"/>
    <m/>
    <n v="30000"/>
    <x v="61"/>
    <s v="Cali"/>
  </r>
  <r>
    <m/>
    <x v="1"/>
    <x v="23"/>
    <x v="23"/>
    <m/>
    <m/>
    <m/>
    <x v="1"/>
    <m/>
  </r>
  <r>
    <d v="2021-01-11T00:00:00"/>
    <x v="0"/>
    <x v="0"/>
    <x v="0"/>
    <n v="10000"/>
    <n v="10000"/>
    <n v="0"/>
    <x v="62"/>
    <s v="Cali"/>
  </r>
  <r>
    <d v="2021-01-11T00:00:00"/>
    <x v="0"/>
    <x v="27"/>
    <x v="27"/>
    <n v="-10000"/>
    <m/>
    <n v="10000"/>
    <x v="62"/>
    <s v="Cali"/>
  </r>
  <r>
    <m/>
    <x v="1"/>
    <x v="23"/>
    <x v="23"/>
    <m/>
    <m/>
    <m/>
    <x v="1"/>
    <m/>
  </r>
  <r>
    <d v="2021-01-11T00:00:00"/>
    <x v="0"/>
    <x v="0"/>
    <x v="0"/>
    <n v="500000"/>
    <n v="500000"/>
    <n v="0"/>
    <x v="63"/>
    <s v="Cali"/>
  </r>
  <r>
    <d v="2021-01-11T00:00:00"/>
    <x v="0"/>
    <x v="26"/>
    <x v="26"/>
    <n v="-500000"/>
    <m/>
    <n v="500000"/>
    <x v="63"/>
    <s v="Cali"/>
  </r>
  <r>
    <m/>
    <x v="1"/>
    <x v="23"/>
    <x v="23"/>
    <m/>
    <m/>
    <m/>
    <x v="1"/>
    <m/>
  </r>
  <r>
    <d v="2021-01-11T00:00:00"/>
    <x v="0"/>
    <x v="0"/>
    <x v="0"/>
    <n v="64000"/>
    <n v="64000"/>
    <n v="0"/>
    <x v="64"/>
    <s v="Cali"/>
  </r>
  <r>
    <d v="2021-01-11T00:00:00"/>
    <x v="0"/>
    <x v="27"/>
    <x v="27"/>
    <n v="-64000"/>
    <m/>
    <n v="64000"/>
    <x v="64"/>
    <s v="Cali"/>
  </r>
  <r>
    <m/>
    <x v="1"/>
    <x v="23"/>
    <x v="23"/>
    <m/>
    <m/>
    <m/>
    <x v="1"/>
    <m/>
  </r>
  <r>
    <d v="2021-01-11T00:00:00"/>
    <x v="0"/>
    <x v="0"/>
    <x v="0"/>
    <n v="15000"/>
    <n v="15000"/>
    <n v="0"/>
    <x v="65"/>
    <s v="Cali"/>
  </r>
  <r>
    <d v="2021-01-11T00:00:00"/>
    <x v="0"/>
    <x v="29"/>
    <x v="29"/>
    <n v="-15000"/>
    <m/>
    <n v="15000"/>
    <x v="65"/>
    <s v="Cali"/>
  </r>
  <r>
    <m/>
    <x v="1"/>
    <x v="23"/>
    <x v="23"/>
    <m/>
    <m/>
    <m/>
    <x v="1"/>
    <m/>
  </r>
  <r>
    <d v="2021-01-11T00:00:00"/>
    <x v="0"/>
    <x v="0"/>
    <x v="0"/>
    <n v="14000"/>
    <n v="14000"/>
    <n v="0"/>
    <x v="65"/>
    <s v="Cali"/>
  </r>
  <r>
    <d v="2021-01-11T00:00:00"/>
    <x v="0"/>
    <x v="29"/>
    <x v="29"/>
    <n v="-14000"/>
    <m/>
    <n v="14000"/>
    <x v="65"/>
    <s v="Cali"/>
  </r>
  <r>
    <m/>
    <x v="1"/>
    <x v="23"/>
    <x v="23"/>
    <m/>
    <m/>
    <m/>
    <x v="1"/>
    <m/>
  </r>
  <r>
    <d v="2021-01-11T00:00:00"/>
    <x v="0"/>
    <x v="0"/>
    <x v="0"/>
    <n v="215000"/>
    <n v="215000"/>
    <n v="0"/>
    <x v="65"/>
    <s v="Cali"/>
  </r>
  <r>
    <d v="2021-01-11T00:00:00"/>
    <x v="0"/>
    <x v="29"/>
    <x v="29"/>
    <n v="-215000"/>
    <m/>
    <n v="215000"/>
    <x v="65"/>
    <s v="Cali"/>
  </r>
  <r>
    <m/>
    <x v="1"/>
    <x v="23"/>
    <x v="23"/>
    <m/>
    <m/>
    <m/>
    <x v="1"/>
    <m/>
  </r>
  <r>
    <d v="2021-01-12T00:00:00"/>
    <x v="0"/>
    <x v="0"/>
    <x v="0"/>
    <n v="7400"/>
    <n v="7400"/>
    <n v="0"/>
    <x v="66"/>
    <s v="Cali"/>
  </r>
  <r>
    <d v="2021-01-12T00:00:00"/>
    <x v="0"/>
    <x v="27"/>
    <x v="27"/>
    <n v="-7400"/>
    <m/>
    <n v="7400"/>
    <x v="66"/>
    <s v="Cali"/>
  </r>
  <r>
    <m/>
    <x v="1"/>
    <x v="23"/>
    <x v="23"/>
    <m/>
    <m/>
    <m/>
    <x v="1"/>
    <m/>
  </r>
  <r>
    <d v="2021-01-12T00:00:00"/>
    <x v="0"/>
    <x v="0"/>
    <x v="0"/>
    <n v="9814"/>
    <n v="9814"/>
    <n v="0"/>
    <x v="36"/>
    <s v="Cali"/>
  </r>
  <r>
    <d v="2021-01-12T00:00:00"/>
    <x v="0"/>
    <x v="19"/>
    <x v="19"/>
    <n v="-9814"/>
    <m/>
    <n v="9814"/>
    <x v="36"/>
    <s v="Cali"/>
  </r>
  <r>
    <m/>
    <x v="1"/>
    <x v="23"/>
    <x v="23"/>
    <m/>
    <m/>
    <m/>
    <x v="1"/>
    <m/>
  </r>
  <r>
    <d v="2021-01-12T00:00:00"/>
    <x v="0"/>
    <x v="0"/>
    <x v="0"/>
    <n v="30000000"/>
    <n v="30000000"/>
    <n v="0"/>
    <x v="67"/>
    <s v="Cali"/>
  </r>
  <r>
    <d v="2021-01-12T00:00:00"/>
    <x v="0"/>
    <x v="26"/>
    <x v="26"/>
    <n v="-30000000"/>
    <m/>
    <n v="30000000"/>
    <x v="67"/>
    <s v="Cali"/>
  </r>
  <r>
    <m/>
    <x v="1"/>
    <x v="23"/>
    <x v="23"/>
    <m/>
    <m/>
    <m/>
    <x v="1"/>
    <m/>
  </r>
  <r>
    <d v="2021-01-13T00:00:00"/>
    <x v="0"/>
    <x v="0"/>
    <x v="0"/>
    <n v="100000"/>
    <n v="100000"/>
    <n v="0"/>
    <x v="68"/>
    <s v="Cali"/>
  </r>
  <r>
    <d v="2021-01-13T00:00:00"/>
    <x v="0"/>
    <x v="25"/>
    <x v="25"/>
    <n v="-100000"/>
    <n v="0"/>
    <n v="100000"/>
    <x v="68"/>
    <s v="Cali"/>
  </r>
  <r>
    <m/>
    <x v="1"/>
    <x v="23"/>
    <x v="23"/>
    <m/>
    <m/>
    <m/>
    <x v="1"/>
    <m/>
  </r>
  <r>
    <d v="2021-01-13T00:00:00"/>
    <x v="0"/>
    <x v="0"/>
    <x v="0"/>
    <n v="20000"/>
    <n v="20000"/>
    <n v="0"/>
    <x v="69"/>
    <s v="Cali"/>
  </r>
  <r>
    <d v="2021-01-13T00:00:00"/>
    <x v="0"/>
    <x v="26"/>
    <x v="26"/>
    <n v="-20000"/>
    <n v="0"/>
    <n v="20000"/>
    <x v="69"/>
    <s v="Cali"/>
  </r>
  <r>
    <m/>
    <x v="1"/>
    <x v="23"/>
    <x v="23"/>
    <m/>
    <m/>
    <m/>
    <x v="1"/>
    <m/>
  </r>
  <r>
    <d v="2021-01-13T00:00:00"/>
    <x v="0"/>
    <x v="0"/>
    <x v="0"/>
    <n v="25000"/>
    <n v="25000"/>
    <n v="0"/>
    <x v="70"/>
    <s v="Cali"/>
  </r>
  <r>
    <d v="2021-01-13T00:00:00"/>
    <x v="0"/>
    <x v="25"/>
    <x v="25"/>
    <n v="-25000"/>
    <n v="0"/>
    <n v="25000"/>
    <x v="70"/>
    <s v="Cali"/>
  </r>
  <r>
    <m/>
    <x v="1"/>
    <x v="23"/>
    <x v="23"/>
    <m/>
    <m/>
    <m/>
    <x v="1"/>
    <m/>
  </r>
  <r>
    <d v="2021-01-13T00:00:00"/>
    <x v="0"/>
    <x v="0"/>
    <x v="0"/>
    <n v="50000"/>
    <n v="50000"/>
    <n v="0"/>
    <x v="65"/>
    <s v="Cali"/>
  </r>
  <r>
    <d v="2021-01-13T00:00:00"/>
    <x v="0"/>
    <x v="29"/>
    <x v="29"/>
    <n v="-50000"/>
    <n v="0"/>
    <n v="50000"/>
    <x v="65"/>
    <s v="Cali"/>
  </r>
  <r>
    <m/>
    <x v="1"/>
    <x v="23"/>
    <x v="23"/>
    <m/>
    <m/>
    <m/>
    <x v="1"/>
    <m/>
  </r>
  <r>
    <d v="2021-01-13T00:00:00"/>
    <x v="0"/>
    <x v="0"/>
    <x v="0"/>
    <n v="30000"/>
    <n v="30000"/>
    <n v="0"/>
    <x v="65"/>
    <s v="Cali"/>
  </r>
  <r>
    <d v="2021-01-13T00:00:00"/>
    <x v="0"/>
    <x v="29"/>
    <x v="29"/>
    <n v="-30000"/>
    <n v="0"/>
    <n v="30000"/>
    <x v="65"/>
    <s v="Cali"/>
  </r>
  <r>
    <m/>
    <x v="1"/>
    <x v="23"/>
    <x v="23"/>
    <m/>
    <m/>
    <m/>
    <x v="1"/>
    <m/>
  </r>
  <r>
    <d v="2021-01-14T00:00:00"/>
    <x v="0"/>
    <x v="0"/>
    <x v="0"/>
    <n v="30000"/>
    <n v="30000"/>
    <n v="0"/>
    <x v="71"/>
    <s v="Cali"/>
  </r>
  <r>
    <d v="2021-01-14T00:00:00"/>
    <x v="0"/>
    <x v="26"/>
    <x v="26"/>
    <n v="-30000"/>
    <n v="0"/>
    <n v="30000"/>
    <x v="71"/>
    <s v="Cali"/>
  </r>
  <r>
    <m/>
    <x v="1"/>
    <x v="23"/>
    <x v="23"/>
    <m/>
    <m/>
    <m/>
    <x v="1"/>
    <m/>
  </r>
  <r>
    <d v="2021-01-14T00:00:00"/>
    <x v="0"/>
    <x v="0"/>
    <x v="0"/>
    <n v="9000"/>
    <n v="9000"/>
    <n v="0"/>
    <x v="72"/>
    <s v="Cali"/>
  </r>
  <r>
    <d v="2021-01-14T00:00:00"/>
    <x v="0"/>
    <x v="27"/>
    <x v="27"/>
    <n v="-9000"/>
    <n v="0"/>
    <n v="9000"/>
    <x v="72"/>
    <s v="Cali"/>
  </r>
  <r>
    <m/>
    <x v="1"/>
    <x v="23"/>
    <x v="23"/>
    <m/>
    <m/>
    <m/>
    <x v="1"/>
    <m/>
  </r>
  <r>
    <d v="2021-01-15T00:00:00"/>
    <x v="0"/>
    <x v="15"/>
    <x v="15"/>
    <n v="3150666"/>
    <n v="3150666"/>
    <n v="0"/>
    <x v="73"/>
    <s v="Cali"/>
  </r>
  <r>
    <d v="2021-01-15T00:00:00"/>
    <x v="0"/>
    <x v="14"/>
    <x v="14"/>
    <n v="124767"/>
    <n v="124767"/>
    <n v="0"/>
    <x v="73"/>
    <s v="Cali"/>
  </r>
  <r>
    <d v="2021-01-15T00:00:00"/>
    <x v="0"/>
    <x v="0"/>
    <x v="0"/>
    <n v="-3275433"/>
    <n v="0"/>
    <n v="3275433"/>
    <x v="73"/>
    <s v="Cali"/>
  </r>
  <r>
    <m/>
    <x v="1"/>
    <x v="23"/>
    <x v="23"/>
    <m/>
    <m/>
    <m/>
    <x v="1"/>
    <m/>
  </r>
  <r>
    <d v="2021-01-15T00:00:00"/>
    <x v="0"/>
    <x v="31"/>
    <x v="31"/>
    <n v="166667"/>
    <n v="166667"/>
    <n v="0"/>
    <x v="74"/>
    <s v="Cali"/>
  </r>
  <r>
    <d v="2021-01-15T00:00:00"/>
    <x v="0"/>
    <x v="17"/>
    <x v="17"/>
    <n v="-19167"/>
    <n v="0"/>
    <n v="19167"/>
    <x v="74"/>
    <s v="Cali"/>
  </r>
  <r>
    <d v="2021-01-15T00:00:00"/>
    <x v="0"/>
    <x v="0"/>
    <x v="0"/>
    <n v="-147500"/>
    <n v="0"/>
    <n v="147500"/>
    <x v="74"/>
    <s v="Cali"/>
  </r>
  <r>
    <m/>
    <x v="1"/>
    <x v="23"/>
    <x v="23"/>
    <m/>
    <m/>
    <m/>
    <x v="1"/>
    <m/>
  </r>
  <r>
    <d v="2021-01-15T00:00:00"/>
    <x v="0"/>
    <x v="16"/>
    <x v="16"/>
    <n v="78480"/>
    <n v="78480"/>
    <n v="0"/>
    <x v="75"/>
    <s v="Cali"/>
  </r>
  <r>
    <d v="2021-01-15T00:00:00"/>
    <x v="0"/>
    <x v="17"/>
    <x v="17"/>
    <n v="-9025"/>
    <n v="0"/>
    <n v="9025"/>
    <x v="75"/>
    <s v="Cali"/>
  </r>
  <r>
    <d v="2021-01-15T00:00:00"/>
    <x v="0"/>
    <x v="0"/>
    <x v="0"/>
    <n v="-69455"/>
    <n v="0"/>
    <n v="69455"/>
    <x v="75"/>
    <s v="Cali"/>
  </r>
  <r>
    <m/>
    <x v="1"/>
    <x v="23"/>
    <x v="23"/>
    <m/>
    <m/>
    <m/>
    <x v="1"/>
    <m/>
  </r>
  <r>
    <d v="2021-01-15T00:00:00"/>
    <x v="0"/>
    <x v="0"/>
    <x v="0"/>
    <n v="20000"/>
    <n v="20000"/>
    <n v="0"/>
    <x v="76"/>
    <s v="Cali"/>
  </r>
  <r>
    <d v="2021-01-15T00:00:00"/>
    <x v="0"/>
    <x v="25"/>
    <x v="25"/>
    <n v="-20000"/>
    <n v="0"/>
    <n v="20000"/>
    <x v="76"/>
    <s v="Cali"/>
  </r>
  <r>
    <m/>
    <x v="1"/>
    <x v="23"/>
    <x v="23"/>
    <m/>
    <m/>
    <m/>
    <x v="1"/>
    <m/>
  </r>
  <r>
    <d v="2021-01-15T00:00:00"/>
    <x v="0"/>
    <x v="0"/>
    <x v="0"/>
    <n v="150000"/>
    <n v="150000"/>
    <n v="0"/>
    <x v="77"/>
    <s v="Cali"/>
  </r>
  <r>
    <d v="2021-01-15T00:00:00"/>
    <x v="0"/>
    <x v="27"/>
    <x v="27"/>
    <n v="-150000"/>
    <n v="0"/>
    <n v="150000"/>
    <x v="77"/>
    <s v="Cali"/>
  </r>
  <r>
    <m/>
    <x v="1"/>
    <x v="23"/>
    <x v="23"/>
    <m/>
    <m/>
    <m/>
    <x v="1"/>
    <m/>
  </r>
  <r>
    <d v="2021-01-18T00:00:00"/>
    <x v="0"/>
    <x v="0"/>
    <x v="0"/>
    <n v="8000"/>
    <n v="8000"/>
    <n v="0"/>
    <x v="1"/>
    <s v="Cali"/>
  </r>
  <r>
    <d v="2021-01-18T00:00:00"/>
    <x v="0"/>
    <x v="19"/>
    <x v="19"/>
    <n v="-8000"/>
    <m/>
    <n v="8000"/>
    <x v="1"/>
    <s v="Cali"/>
  </r>
  <r>
    <m/>
    <x v="1"/>
    <x v="23"/>
    <x v="23"/>
    <m/>
    <m/>
    <m/>
    <x v="1"/>
    <m/>
  </r>
  <r>
    <d v="2021-01-18T00:00:00"/>
    <x v="0"/>
    <x v="0"/>
    <x v="0"/>
    <n v="5000"/>
    <n v="5000"/>
    <n v="0"/>
    <x v="1"/>
    <s v="Cali"/>
  </r>
  <r>
    <d v="2021-01-18T00:00:00"/>
    <x v="0"/>
    <x v="19"/>
    <x v="19"/>
    <n v="-5000"/>
    <m/>
    <n v="5000"/>
    <x v="1"/>
    <s v="Cali"/>
  </r>
  <r>
    <m/>
    <x v="1"/>
    <x v="23"/>
    <x v="23"/>
    <m/>
    <m/>
    <m/>
    <x v="1"/>
    <m/>
  </r>
  <r>
    <d v="2021-01-19T00:00:00"/>
    <x v="0"/>
    <x v="0"/>
    <x v="0"/>
    <n v="300000"/>
    <n v="300000"/>
    <n v="0"/>
    <x v="78"/>
    <s v="Cali"/>
  </r>
  <r>
    <d v="2021-01-19T00:00:00"/>
    <x v="0"/>
    <x v="26"/>
    <x v="26"/>
    <n v="-300000"/>
    <n v="0"/>
    <n v="300000"/>
    <x v="78"/>
    <s v="Cali"/>
  </r>
  <r>
    <m/>
    <x v="1"/>
    <x v="23"/>
    <x v="23"/>
    <m/>
    <m/>
    <m/>
    <x v="1"/>
    <m/>
  </r>
  <r>
    <d v="2021-01-20T00:00:00"/>
    <x v="0"/>
    <x v="0"/>
    <x v="0"/>
    <n v="18000"/>
    <n v="18000"/>
    <n v="0"/>
    <x v="79"/>
    <s v="Cali"/>
  </r>
  <r>
    <d v="2021-01-20T00:00:00"/>
    <x v="0"/>
    <x v="25"/>
    <x v="25"/>
    <n v="-18000"/>
    <n v="0"/>
    <n v="18000"/>
    <x v="79"/>
    <s v="Cali"/>
  </r>
  <r>
    <m/>
    <x v="1"/>
    <x v="23"/>
    <x v="23"/>
    <m/>
    <m/>
    <m/>
    <x v="1"/>
    <m/>
  </r>
  <r>
    <d v="2021-01-20T00:00:00"/>
    <x v="0"/>
    <x v="0"/>
    <x v="0"/>
    <n v="1482126"/>
    <n v="1482126"/>
    <n v="0"/>
    <x v="80"/>
    <s v="Cali"/>
  </r>
  <r>
    <d v="2021-01-20T00:00:00"/>
    <x v="0"/>
    <x v="30"/>
    <x v="30"/>
    <n v="17874"/>
    <n v="17874"/>
    <n v="0"/>
    <x v="80"/>
    <s v="Cali"/>
  </r>
  <r>
    <d v="2021-01-20T00:00:00"/>
    <x v="0"/>
    <x v="26"/>
    <x v="26"/>
    <n v="-1500000"/>
    <n v="0"/>
    <n v="1500000"/>
    <x v="80"/>
    <s v="Cali"/>
  </r>
  <r>
    <m/>
    <x v="1"/>
    <x v="23"/>
    <x v="23"/>
    <m/>
    <m/>
    <m/>
    <x v="1"/>
    <m/>
  </r>
  <r>
    <d v="2021-01-20T00:00:00"/>
    <x v="0"/>
    <x v="0"/>
    <x v="0"/>
    <n v="1000000"/>
    <n v="1000000"/>
    <n v="0"/>
    <x v="81"/>
    <s v="Cali"/>
  </r>
  <r>
    <d v="2021-01-20T00:00:00"/>
    <x v="0"/>
    <x v="26"/>
    <x v="26"/>
    <n v="-1000000"/>
    <n v="0"/>
    <n v="1000000"/>
    <x v="81"/>
    <s v="Cali"/>
  </r>
  <r>
    <m/>
    <x v="1"/>
    <x v="23"/>
    <x v="23"/>
    <m/>
    <m/>
    <m/>
    <x v="1"/>
    <m/>
  </r>
  <r>
    <d v="2021-01-21T00:00:00"/>
    <x v="0"/>
    <x v="0"/>
    <x v="0"/>
    <n v="8000"/>
    <n v="8000"/>
    <n v="0"/>
    <x v="82"/>
    <s v="Cali"/>
  </r>
  <r>
    <d v="2021-01-21T00:00:00"/>
    <x v="0"/>
    <x v="25"/>
    <x v="25"/>
    <n v="-8000"/>
    <n v="0"/>
    <n v="8000"/>
    <x v="82"/>
    <s v="Cali"/>
  </r>
  <r>
    <m/>
    <x v="1"/>
    <x v="23"/>
    <x v="23"/>
    <m/>
    <m/>
    <m/>
    <x v="1"/>
    <m/>
  </r>
  <r>
    <m/>
    <x v="1"/>
    <x v="23"/>
    <x v="23"/>
    <m/>
    <m/>
    <m/>
    <x v="1"/>
    <m/>
  </r>
  <r>
    <d v="2021-01-22T00:00:00"/>
    <x v="0"/>
    <x v="0"/>
    <x v="0"/>
    <n v="30000"/>
    <n v="30000"/>
    <n v="0"/>
    <x v="83"/>
    <s v="Cali"/>
  </r>
  <r>
    <d v="2021-01-22T00:00:00"/>
    <x v="0"/>
    <x v="27"/>
    <x v="27"/>
    <n v="-30000"/>
    <n v="0"/>
    <n v="30000"/>
    <x v="83"/>
    <s v="Cali"/>
  </r>
  <r>
    <m/>
    <x v="1"/>
    <x v="23"/>
    <x v="23"/>
    <m/>
    <m/>
    <m/>
    <x v="1"/>
    <m/>
  </r>
  <r>
    <d v="2021-01-25T00:00:00"/>
    <x v="0"/>
    <x v="0"/>
    <x v="0"/>
    <n v="30000"/>
    <n v="30000"/>
    <n v="0"/>
    <x v="84"/>
    <s v="Cali"/>
  </r>
  <r>
    <d v="2021-01-25T00:00:00"/>
    <x v="0"/>
    <x v="27"/>
    <x v="27"/>
    <n v="-30000"/>
    <n v="0"/>
    <n v="30000"/>
    <x v="84"/>
    <s v="Cali"/>
  </r>
  <r>
    <m/>
    <x v="1"/>
    <x v="23"/>
    <x v="23"/>
    <m/>
    <m/>
    <m/>
    <x v="1"/>
    <m/>
  </r>
  <r>
    <m/>
    <x v="1"/>
    <x v="23"/>
    <x v="23"/>
    <m/>
    <m/>
    <m/>
    <x v="1"/>
    <m/>
  </r>
  <r>
    <d v="2021-01-25T00:00:00"/>
    <x v="0"/>
    <x v="0"/>
    <x v="0"/>
    <n v="20000"/>
    <n v="20000"/>
    <n v="0"/>
    <x v="85"/>
    <s v="Cali"/>
  </r>
  <r>
    <d v="2021-01-25T00:00:00"/>
    <x v="0"/>
    <x v="25"/>
    <x v="25"/>
    <n v="-20000"/>
    <n v="0"/>
    <n v="20000"/>
    <x v="85"/>
    <s v="Cali"/>
  </r>
  <r>
    <m/>
    <x v="1"/>
    <x v="23"/>
    <x v="23"/>
    <m/>
    <m/>
    <m/>
    <x v="1"/>
    <m/>
  </r>
  <r>
    <d v="2021-01-25T00:00:00"/>
    <x v="0"/>
    <x v="0"/>
    <x v="0"/>
    <n v="30000"/>
    <n v="30000"/>
    <n v="0"/>
    <x v="86"/>
    <s v="Cali"/>
  </r>
  <r>
    <d v="2021-01-25T00:00:00"/>
    <x v="0"/>
    <x v="25"/>
    <x v="25"/>
    <n v="-30000"/>
    <n v="0"/>
    <n v="30000"/>
    <x v="86"/>
    <s v="Cali"/>
  </r>
  <r>
    <m/>
    <x v="1"/>
    <x v="23"/>
    <x v="23"/>
    <m/>
    <m/>
    <m/>
    <x v="1"/>
    <m/>
  </r>
  <r>
    <d v="2021-01-25T00:00:00"/>
    <x v="0"/>
    <x v="0"/>
    <x v="0"/>
    <n v="10000"/>
    <n v="10000"/>
    <n v="0"/>
    <x v="1"/>
    <s v="Cali"/>
  </r>
  <r>
    <d v="2021-01-25T00:00:00"/>
    <x v="0"/>
    <x v="19"/>
    <x v="19"/>
    <n v="-10000"/>
    <m/>
    <n v="10000"/>
    <x v="1"/>
    <s v="Cali"/>
  </r>
  <r>
    <m/>
    <x v="1"/>
    <x v="23"/>
    <x v="23"/>
    <m/>
    <m/>
    <m/>
    <x v="1"/>
    <m/>
  </r>
  <r>
    <d v="2021-01-25T00:00:00"/>
    <x v="0"/>
    <x v="0"/>
    <x v="0"/>
    <n v="1500"/>
    <n v="1500"/>
    <n v="0"/>
    <x v="1"/>
    <s v="Cali"/>
  </r>
  <r>
    <d v="2021-01-25T00:00:00"/>
    <x v="0"/>
    <x v="19"/>
    <x v="19"/>
    <n v="-1500"/>
    <m/>
    <n v="1500"/>
    <x v="1"/>
    <s v="Cali"/>
  </r>
  <r>
    <m/>
    <x v="1"/>
    <x v="23"/>
    <x v="23"/>
    <m/>
    <m/>
    <m/>
    <x v="1"/>
    <m/>
  </r>
  <r>
    <d v="2021-01-25T00:00:00"/>
    <x v="0"/>
    <x v="0"/>
    <x v="0"/>
    <n v="10000"/>
    <n v="10000"/>
    <n v="0"/>
    <x v="87"/>
    <s v="Cali"/>
  </r>
  <r>
    <d v="2021-01-25T00:00:00"/>
    <x v="0"/>
    <x v="26"/>
    <x v="26"/>
    <n v="-10000"/>
    <n v="0"/>
    <n v="10000"/>
    <x v="87"/>
    <s v="Cali"/>
  </r>
  <r>
    <m/>
    <x v="1"/>
    <x v="23"/>
    <x v="23"/>
    <m/>
    <m/>
    <m/>
    <x v="1"/>
    <m/>
  </r>
  <r>
    <d v="2021-01-25T00:00:00"/>
    <x v="0"/>
    <x v="0"/>
    <x v="0"/>
    <n v="1461147"/>
    <n v="1461147"/>
    <n v="0"/>
    <x v="88"/>
    <s v="Cali"/>
  </r>
  <r>
    <d v="2021-01-25T00:00:00"/>
    <x v="0"/>
    <x v="30"/>
    <x v="30"/>
    <n v="17597"/>
    <n v="17597"/>
    <n v="0"/>
    <x v="88"/>
    <s v="Cali"/>
  </r>
  <r>
    <d v="2021-01-25T00:00:00"/>
    <x v="0"/>
    <x v="26"/>
    <x v="26"/>
    <n v="-1478744"/>
    <n v="0"/>
    <n v="1478744"/>
    <x v="88"/>
    <s v="Cali"/>
  </r>
  <r>
    <m/>
    <x v="1"/>
    <x v="23"/>
    <x v="23"/>
    <m/>
    <m/>
    <m/>
    <x v="1"/>
    <m/>
  </r>
  <r>
    <d v="2021-01-25T00:00:00"/>
    <x v="0"/>
    <x v="0"/>
    <x v="0"/>
    <n v="9374952"/>
    <n v="9374952"/>
    <n v="0"/>
    <x v="89"/>
    <s v="Cali"/>
  </r>
  <r>
    <d v="2021-01-25T00:00:00"/>
    <x v="0"/>
    <x v="5"/>
    <x v="5"/>
    <n v="-9374952"/>
    <n v="0"/>
    <n v="9374952"/>
    <x v="89"/>
    <s v="Cali"/>
  </r>
  <r>
    <m/>
    <x v="1"/>
    <x v="23"/>
    <x v="23"/>
    <m/>
    <m/>
    <m/>
    <x v="1"/>
    <m/>
  </r>
  <r>
    <d v="2021-01-26T00:00:00"/>
    <x v="0"/>
    <x v="0"/>
    <x v="0"/>
    <n v="29106860"/>
    <n v="29106860"/>
    <n v="0"/>
    <x v="90"/>
    <s v="Cali"/>
  </r>
  <r>
    <d v="2021-01-26T00:00:00"/>
    <x v="0"/>
    <x v="26"/>
    <x v="26"/>
    <n v="-29106860"/>
    <n v="0"/>
    <n v="29106860"/>
    <x v="90"/>
    <s v="Cali"/>
  </r>
  <r>
    <m/>
    <x v="1"/>
    <x v="23"/>
    <x v="23"/>
    <m/>
    <m/>
    <m/>
    <x v="1"/>
    <m/>
  </r>
  <r>
    <d v="2021-01-26T00:00:00"/>
    <x v="0"/>
    <x v="0"/>
    <x v="0"/>
    <n v="200000"/>
    <n v="200000"/>
    <n v="0"/>
    <x v="91"/>
    <s v="Cali"/>
  </r>
  <r>
    <d v="2021-01-26T00:00:00"/>
    <x v="0"/>
    <x v="26"/>
    <x v="26"/>
    <n v="-200000"/>
    <n v="0"/>
    <n v="200000"/>
    <x v="91"/>
    <s v="Cali"/>
  </r>
  <r>
    <m/>
    <x v="1"/>
    <x v="23"/>
    <x v="23"/>
    <m/>
    <m/>
    <m/>
    <x v="1"/>
    <m/>
  </r>
  <r>
    <d v="2021-01-26T00:00:00"/>
    <x v="0"/>
    <x v="0"/>
    <x v="0"/>
    <n v="400000"/>
    <n v="400000"/>
    <n v="0"/>
    <x v="92"/>
    <s v="Cali"/>
  </r>
  <r>
    <d v="2021-01-26T00:00:00"/>
    <x v="0"/>
    <x v="26"/>
    <x v="26"/>
    <n v="-400000"/>
    <n v="0"/>
    <n v="400000"/>
    <x v="92"/>
    <s v="Cali"/>
  </r>
  <r>
    <m/>
    <x v="1"/>
    <x v="23"/>
    <x v="23"/>
    <m/>
    <m/>
    <m/>
    <x v="1"/>
    <m/>
  </r>
  <r>
    <d v="2021-01-26T00:00:00"/>
    <x v="0"/>
    <x v="0"/>
    <x v="0"/>
    <n v="750000"/>
    <n v="750000"/>
    <n v="0"/>
    <x v="93"/>
    <s v="Cali"/>
  </r>
  <r>
    <d v="2021-01-26T00:00:00"/>
    <x v="0"/>
    <x v="25"/>
    <x v="25"/>
    <n v="-750000"/>
    <n v="0"/>
    <n v="750000"/>
    <x v="93"/>
    <s v="Cali"/>
  </r>
  <r>
    <m/>
    <x v="1"/>
    <x v="23"/>
    <x v="23"/>
    <m/>
    <m/>
    <m/>
    <x v="1"/>
    <m/>
  </r>
  <r>
    <d v="2021-01-27T00:00:00"/>
    <x v="0"/>
    <x v="0"/>
    <x v="0"/>
    <n v="150000"/>
    <n v="150000"/>
    <n v="0"/>
    <x v="5"/>
    <s v="Cali"/>
  </r>
  <r>
    <d v="2021-01-27T00:00:00"/>
    <x v="0"/>
    <x v="26"/>
    <x v="26"/>
    <n v="-150000"/>
    <n v="0"/>
    <n v="150000"/>
    <x v="5"/>
    <s v="Cali"/>
  </r>
  <r>
    <m/>
    <x v="1"/>
    <x v="23"/>
    <x v="23"/>
    <m/>
    <m/>
    <m/>
    <x v="1"/>
    <m/>
  </r>
  <r>
    <d v="2021-01-27T00:00:00"/>
    <x v="0"/>
    <x v="0"/>
    <x v="0"/>
    <n v="49405"/>
    <n v="49405"/>
    <n v="0"/>
    <x v="94"/>
    <s v="Cali"/>
  </r>
  <r>
    <d v="2021-01-27T00:00:00"/>
    <x v="0"/>
    <x v="30"/>
    <x v="30"/>
    <n v="595"/>
    <n v="595"/>
    <n v="0"/>
    <x v="94"/>
    <s v="Cali"/>
  </r>
  <r>
    <d v="2021-01-27T00:00:00"/>
    <x v="0"/>
    <x v="25"/>
    <x v="25"/>
    <n v="-50000"/>
    <n v="0"/>
    <n v="50000"/>
    <x v="94"/>
    <s v="Cali"/>
  </r>
  <r>
    <m/>
    <x v="1"/>
    <x v="23"/>
    <x v="23"/>
    <m/>
    <m/>
    <m/>
    <x v="1"/>
    <m/>
  </r>
  <r>
    <d v="2021-01-27T00:00:00"/>
    <x v="0"/>
    <x v="0"/>
    <x v="0"/>
    <n v="10000"/>
    <n v="10000"/>
    <n v="0"/>
    <x v="95"/>
    <s v="Cali"/>
  </r>
  <r>
    <d v="2021-01-27T00:00:00"/>
    <x v="0"/>
    <x v="25"/>
    <x v="25"/>
    <n v="-10000"/>
    <n v="0"/>
    <n v="10000"/>
    <x v="95"/>
    <s v="Cali"/>
  </r>
  <r>
    <m/>
    <x v="1"/>
    <x v="23"/>
    <x v="23"/>
    <m/>
    <m/>
    <m/>
    <x v="1"/>
    <m/>
  </r>
  <r>
    <d v="2021-01-27T00:00:00"/>
    <x v="0"/>
    <x v="0"/>
    <x v="0"/>
    <n v="18000"/>
    <n v="18000"/>
    <n v="0"/>
    <x v="96"/>
    <s v="Cali"/>
  </r>
  <r>
    <d v="2021-01-27T00:00:00"/>
    <x v="0"/>
    <x v="27"/>
    <x v="27"/>
    <n v="-18000"/>
    <n v="0"/>
    <n v="18000"/>
    <x v="96"/>
    <s v="Cali"/>
  </r>
  <r>
    <m/>
    <x v="1"/>
    <x v="23"/>
    <x v="23"/>
    <m/>
    <m/>
    <m/>
    <x v="1"/>
    <m/>
  </r>
  <r>
    <d v="2021-01-28T00:00:00"/>
    <x v="0"/>
    <x v="0"/>
    <x v="0"/>
    <n v="37000"/>
    <n v="37000"/>
    <n v="0"/>
    <x v="97"/>
    <s v="Cali"/>
  </r>
  <r>
    <d v="2021-01-28T00:00:00"/>
    <x v="0"/>
    <x v="25"/>
    <x v="25"/>
    <n v="-37000"/>
    <n v="0"/>
    <n v="37000"/>
    <x v="97"/>
    <s v="Cali"/>
  </r>
  <r>
    <m/>
    <x v="1"/>
    <x v="23"/>
    <x v="23"/>
    <m/>
    <m/>
    <m/>
    <x v="1"/>
    <m/>
  </r>
  <r>
    <d v="2021-01-28T00:00:00"/>
    <x v="0"/>
    <x v="13"/>
    <x v="13"/>
    <n v="5000000"/>
    <n v="5000000"/>
    <n v="0"/>
    <x v="12"/>
    <s v="Cali"/>
  </r>
  <r>
    <d v="2021-01-28T00:00:00"/>
    <x v="0"/>
    <x v="0"/>
    <x v="0"/>
    <n v="-5000000"/>
    <n v="0"/>
    <n v="5000000"/>
    <x v="12"/>
    <s v="Cali"/>
  </r>
  <r>
    <m/>
    <x v="1"/>
    <x v="23"/>
    <x v="23"/>
    <m/>
    <m/>
    <m/>
    <x v="1"/>
    <m/>
  </r>
  <r>
    <d v="2021-01-28T00:00:00"/>
    <x v="0"/>
    <x v="0"/>
    <x v="0"/>
    <n v="73000"/>
    <n v="73000"/>
    <n v="0"/>
    <x v="98"/>
    <s v="Cali"/>
  </r>
  <r>
    <d v="2021-01-28T00:00:00"/>
    <x v="0"/>
    <x v="26"/>
    <x v="26"/>
    <n v="-73000"/>
    <n v="0"/>
    <n v="73000"/>
    <x v="98"/>
    <s v="Cali"/>
  </r>
  <r>
    <m/>
    <x v="1"/>
    <x v="23"/>
    <x v="23"/>
    <m/>
    <m/>
    <m/>
    <x v="1"/>
    <m/>
  </r>
  <r>
    <d v="2021-01-28T00:00:00"/>
    <x v="0"/>
    <x v="0"/>
    <x v="0"/>
    <n v="20000"/>
    <n v="20000"/>
    <n v="0"/>
    <x v="1"/>
    <s v="Cali"/>
  </r>
  <r>
    <d v="2021-01-28T00:00:00"/>
    <x v="0"/>
    <x v="19"/>
    <x v="19"/>
    <n v="-20000"/>
    <m/>
    <n v="20000"/>
    <x v="1"/>
    <s v="Cali"/>
  </r>
  <r>
    <m/>
    <x v="1"/>
    <x v="23"/>
    <x v="23"/>
    <m/>
    <m/>
    <m/>
    <x v="1"/>
    <m/>
  </r>
  <r>
    <d v="2021-01-28T00:00:00"/>
    <x v="0"/>
    <x v="0"/>
    <x v="0"/>
    <n v="10000"/>
    <n v="10000"/>
    <n v="0"/>
    <x v="99"/>
    <s v="Cali"/>
  </r>
  <r>
    <d v="2021-01-28T00:00:00"/>
    <x v="0"/>
    <x v="25"/>
    <x v="25"/>
    <n v="-10000"/>
    <n v="0"/>
    <n v="10000"/>
    <x v="99"/>
    <s v="Cali"/>
  </r>
  <r>
    <m/>
    <x v="1"/>
    <x v="23"/>
    <x v="23"/>
    <m/>
    <m/>
    <m/>
    <x v="1"/>
    <m/>
  </r>
  <r>
    <d v="2021-01-28T00:00:00"/>
    <x v="0"/>
    <x v="0"/>
    <x v="0"/>
    <n v="150000"/>
    <n v="150000"/>
    <n v="0"/>
    <x v="77"/>
    <s v="Cali"/>
  </r>
  <r>
    <d v="2021-01-28T00:00:00"/>
    <x v="0"/>
    <x v="27"/>
    <x v="27"/>
    <n v="-150000"/>
    <n v="0"/>
    <n v="150000"/>
    <x v="77"/>
    <s v="Cali"/>
  </r>
  <r>
    <m/>
    <x v="1"/>
    <x v="23"/>
    <x v="23"/>
    <m/>
    <m/>
    <m/>
    <x v="1"/>
    <m/>
  </r>
  <r>
    <d v="2021-01-28T00:00:00"/>
    <x v="0"/>
    <x v="0"/>
    <x v="0"/>
    <n v="20000"/>
    <n v="20000"/>
    <n v="0"/>
    <x v="100"/>
    <s v="Cali"/>
  </r>
  <r>
    <d v="2021-01-28T00:00:00"/>
    <x v="0"/>
    <x v="25"/>
    <x v="25"/>
    <n v="-20000"/>
    <n v="0"/>
    <n v="20000"/>
    <x v="100"/>
    <s v="Cali"/>
  </r>
  <r>
    <m/>
    <x v="1"/>
    <x v="23"/>
    <x v="23"/>
    <m/>
    <m/>
    <m/>
    <x v="1"/>
    <m/>
  </r>
  <r>
    <d v="2021-01-28T00:00:00"/>
    <x v="0"/>
    <x v="0"/>
    <x v="0"/>
    <n v="20000"/>
    <n v="20000"/>
    <n v="0"/>
    <x v="101"/>
    <s v="Cali"/>
  </r>
  <r>
    <d v="2021-01-28T00:00:00"/>
    <x v="0"/>
    <x v="25"/>
    <x v="25"/>
    <n v="-20000"/>
    <n v="0"/>
    <n v="20000"/>
    <x v="101"/>
    <s v="Cali"/>
  </r>
  <r>
    <m/>
    <x v="1"/>
    <x v="23"/>
    <x v="23"/>
    <m/>
    <m/>
    <m/>
    <x v="1"/>
    <m/>
  </r>
  <r>
    <d v="2021-01-29T00:00:00"/>
    <x v="0"/>
    <x v="26"/>
    <x v="26"/>
    <n v="1000000"/>
    <n v="1000000"/>
    <n v="0"/>
    <x v="102"/>
    <s v="Cali"/>
  </r>
  <r>
    <d v="2021-01-29T00:00:00"/>
    <x v="0"/>
    <x v="0"/>
    <x v="0"/>
    <n v="-1000000"/>
    <n v="0"/>
    <n v="1000000"/>
    <x v="102"/>
    <s v="Cali"/>
  </r>
  <r>
    <m/>
    <x v="1"/>
    <x v="23"/>
    <x v="23"/>
    <m/>
    <m/>
    <m/>
    <x v="1"/>
    <m/>
  </r>
  <r>
    <d v="2021-01-29T00:00:00"/>
    <x v="0"/>
    <x v="26"/>
    <x v="26"/>
    <n v="29106860"/>
    <n v="29106860"/>
    <n v="0"/>
    <x v="103"/>
    <s v="Cali"/>
  </r>
  <r>
    <d v="2021-01-29T00:00:00"/>
    <x v="0"/>
    <x v="0"/>
    <x v="0"/>
    <n v="-29106860"/>
    <n v="0"/>
    <n v="29106860"/>
    <x v="103"/>
    <s v="Cali"/>
  </r>
  <r>
    <m/>
    <x v="1"/>
    <x v="23"/>
    <x v="23"/>
    <m/>
    <m/>
    <m/>
    <x v="1"/>
    <m/>
  </r>
  <r>
    <d v="2021-01-29T00:00:00"/>
    <x v="0"/>
    <x v="13"/>
    <x v="13"/>
    <n v="118015"/>
    <n v="118015"/>
    <n v="0"/>
    <x v="104"/>
    <s v="Cali"/>
  </r>
  <r>
    <d v="2021-01-29T00:00:00"/>
    <x v="0"/>
    <x v="0"/>
    <x v="0"/>
    <n v="-118015"/>
    <n v="0"/>
    <n v="118015"/>
    <x v="104"/>
    <s v="Cali"/>
  </r>
  <r>
    <m/>
    <x v="1"/>
    <x v="23"/>
    <x v="23"/>
    <m/>
    <m/>
    <m/>
    <x v="1"/>
    <m/>
  </r>
  <r>
    <d v="2021-01-29T00:00:00"/>
    <x v="0"/>
    <x v="1"/>
    <x v="1"/>
    <n v="60000000"/>
    <n v="60000000"/>
    <n v="0"/>
    <x v="12"/>
    <s v="Cali"/>
  </r>
  <r>
    <d v="2021-01-29T00:00:00"/>
    <x v="0"/>
    <x v="0"/>
    <x v="0"/>
    <n v="-60000000"/>
    <n v="0"/>
    <n v="60000000"/>
    <x v="12"/>
    <s v="Cali"/>
  </r>
  <r>
    <m/>
    <x v="1"/>
    <x v="23"/>
    <x v="23"/>
    <m/>
    <m/>
    <m/>
    <x v="1"/>
    <m/>
  </r>
  <r>
    <d v="2021-01-29T00:00:00"/>
    <x v="0"/>
    <x v="0"/>
    <x v="0"/>
    <n v="40000"/>
    <n v="40000"/>
    <n v="0"/>
    <x v="105"/>
    <s v="Cali"/>
  </r>
  <r>
    <d v="2021-01-29T00:00:00"/>
    <x v="0"/>
    <x v="26"/>
    <x v="26"/>
    <n v="-40000"/>
    <n v="0"/>
    <n v="40000"/>
    <x v="105"/>
    <s v="Cali"/>
  </r>
  <r>
    <m/>
    <x v="1"/>
    <x v="23"/>
    <x v="23"/>
    <m/>
    <m/>
    <m/>
    <x v="1"/>
    <m/>
  </r>
  <r>
    <d v="2021-01-29T00:00:00"/>
    <x v="0"/>
    <x v="0"/>
    <x v="0"/>
    <n v="60000"/>
    <n v="60000"/>
    <n v="0"/>
    <x v="106"/>
    <s v="Cali"/>
  </r>
  <r>
    <d v="2021-01-29T00:00:00"/>
    <x v="0"/>
    <x v="25"/>
    <x v="25"/>
    <n v="-60000"/>
    <n v="0"/>
    <n v="60000"/>
    <x v="106"/>
    <s v="Cali"/>
  </r>
  <r>
    <m/>
    <x v="1"/>
    <x v="23"/>
    <x v="23"/>
    <m/>
    <m/>
    <m/>
    <x v="1"/>
    <m/>
  </r>
  <r>
    <d v="2021-01-29T00:00:00"/>
    <x v="0"/>
    <x v="0"/>
    <x v="0"/>
    <n v="100000"/>
    <n v="100000"/>
    <n v="0"/>
    <x v="107"/>
    <s v="Cali"/>
  </r>
  <r>
    <d v="2021-01-29T00:00:00"/>
    <x v="0"/>
    <x v="26"/>
    <x v="26"/>
    <n v="-100000"/>
    <n v="0"/>
    <n v="100000"/>
    <x v="107"/>
    <s v="Cali"/>
  </r>
  <r>
    <m/>
    <x v="1"/>
    <x v="23"/>
    <x v="23"/>
    <m/>
    <m/>
    <m/>
    <x v="1"/>
    <m/>
  </r>
  <r>
    <d v="2021-01-31T00:00:00"/>
    <x v="0"/>
    <x v="32"/>
    <x v="32"/>
    <n v="-419000"/>
    <n v="0"/>
    <n v="419000"/>
    <x v="108"/>
    <s v="Cali"/>
  </r>
  <r>
    <d v="2021-01-31T00:00:00"/>
    <x v="0"/>
    <x v="33"/>
    <x v="33"/>
    <n v="0"/>
    <n v="0"/>
    <n v="0"/>
    <x v="108"/>
    <s v="Cali"/>
  </r>
  <r>
    <d v="2021-01-31T00:00:00"/>
    <x v="0"/>
    <x v="34"/>
    <x v="34"/>
    <n v="-909400"/>
    <n v="0"/>
    <n v="909400"/>
    <x v="108"/>
    <s v="Cali"/>
  </r>
  <r>
    <d v="2021-01-31T00:00:00"/>
    <x v="0"/>
    <x v="35"/>
    <x v="35"/>
    <n v="-2579500"/>
    <n v="0"/>
    <n v="2579500"/>
    <x v="108"/>
    <s v="Cali"/>
  </r>
  <r>
    <d v="2021-01-31T00:00:00"/>
    <x v="0"/>
    <x v="36"/>
    <x v="36"/>
    <n v="-4406600"/>
    <n v="0"/>
    <n v="4406600"/>
    <x v="108"/>
    <s v="Cali"/>
  </r>
  <r>
    <d v="2021-01-31T00:00:00"/>
    <x v="0"/>
    <x v="37"/>
    <x v="37"/>
    <n v="-5081258"/>
    <n v="0"/>
    <n v="5081258"/>
    <x v="108"/>
    <s v="Cali"/>
  </r>
  <r>
    <d v="2021-01-31T00:00:00"/>
    <x v="0"/>
    <x v="29"/>
    <x v="29"/>
    <n v="419000"/>
    <n v="419000"/>
    <n v="0"/>
    <x v="108"/>
    <s v="Cali"/>
  </r>
  <r>
    <d v="2021-01-31T00:00:00"/>
    <x v="0"/>
    <x v="27"/>
    <x v="27"/>
    <n v="909400"/>
    <n v="909400"/>
    <n v="0"/>
    <x v="108"/>
    <s v="Cali"/>
  </r>
  <r>
    <d v="2021-01-31T00:00:00"/>
    <x v="0"/>
    <x v="25"/>
    <x v="25"/>
    <n v="2579500"/>
    <n v="2579500"/>
    <n v="0"/>
    <x v="108"/>
    <s v="Cali"/>
  </r>
  <r>
    <d v="2021-01-31T00:00:00"/>
    <x v="0"/>
    <x v="5"/>
    <x v="5"/>
    <n v="9487858"/>
    <n v="9487858"/>
    <n v="0"/>
    <x v="108"/>
    <s v="Cali"/>
  </r>
  <r>
    <d v="2021-01-31T00:00:00"/>
    <x v="0"/>
    <x v="15"/>
    <x v="15"/>
    <n v="-2997799"/>
    <n v="0"/>
    <n v="2997799"/>
    <x v="108"/>
    <s v="Cali"/>
  </r>
  <r>
    <d v="2021-01-31T00:00:00"/>
    <x v="0"/>
    <x v="38"/>
    <x v="38"/>
    <n v="2997799"/>
    <n v="2997799"/>
    <n v="0"/>
    <x v="108"/>
    <s v="Cali"/>
  </r>
  <r>
    <d v="2021-01-31T00:00:00"/>
    <x v="0"/>
    <x v="16"/>
    <x v="16"/>
    <n v="-50280"/>
    <n v="0"/>
    <n v="50280"/>
    <x v="108"/>
    <s v="Cali"/>
  </r>
  <r>
    <d v="2021-01-31T00:00:00"/>
    <x v="0"/>
    <x v="14"/>
    <x v="14"/>
    <n v="-133958"/>
    <n v="0"/>
    <n v="133958"/>
    <x v="108"/>
    <s v="Cali"/>
  </r>
  <r>
    <d v="2021-01-31T00:00:00"/>
    <x v="0"/>
    <x v="39"/>
    <x v="39"/>
    <n v="50280"/>
    <n v="50280"/>
    <n v="0"/>
    <x v="108"/>
    <s v="Cali"/>
  </r>
  <r>
    <d v="2021-01-31T00:00:00"/>
    <x v="0"/>
    <x v="40"/>
    <x v="40"/>
    <n v="133958"/>
    <n v="133958"/>
    <n v="0"/>
    <x v="108"/>
    <s v="Cali"/>
  </r>
  <r>
    <d v="2021-01-31T00:00:00"/>
    <x v="0"/>
    <x v="41"/>
    <x v="41"/>
    <n v="-6283561"/>
    <n v="0"/>
    <n v="6283561"/>
    <x v="108"/>
    <s v="Cali"/>
  </r>
  <r>
    <d v="2021-01-31T00:00:00"/>
    <x v="0"/>
    <x v="42"/>
    <x v="42"/>
    <n v="-2006500"/>
    <n v="0"/>
    <n v="2006500"/>
    <x v="108"/>
    <s v="Cali"/>
  </r>
  <r>
    <d v="2021-01-31T00:00:00"/>
    <x v="0"/>
    <x v="43"/>
    <x v="43"/>
    <n v="421393"/>
    <n v="421393"/>
    <n v="0"/>
    <x v="108"/>
    <s v="Cali"/>
  </r>
  <r>
    <d v="2021-01-31T00:00:00"/>
    <x v="0"/>
    <x v="43"/>
    <x v="43"/>
    <n v="50163"/>
    <n v="50163"/>
    <n v="0"/>
    <x v="108"/>
    <s v="Cali"/>
  </r>
  <r>
    <d v="2021-01-31T00:00:00"/>
    <x v="0"/>
    <x v="38"/>
    <x v="38"/>
    <n v="3479599"/>
    <n v="3479599"/>
    <n v="0"/>
    <x v="108"/>
    <s v="Cali"/>
  </r>
  <r>
    <d v="2021-01-31T00:00:00"/>
    <x v="0"/>
    <x v="40"/>
    <x v="40"/>
    <n v="62836"/>
    <n v="62836"/>
    <n v="0"/>
    <x v="108"/>
    <s v="Cali"/>
  </r>
  <r>
    <d v="2021-01-31T00:00:00"/>
    <x v="0"/>
    <x v="40"/>
    <x v="40"/>
    <n v="20065"/>
    <n v="20065"/>
    <n v="0"/>
    <x v="108"/>
    <s v="Cali"/>
  </r>
  <r>
    <d v="2021-01-31T00:00:00"/>
    <x v="0"/>
    <x v="44"/>
    <x v="44"/>
    <n v="2319733"/>
    <n v="2319733"/>
    <n v="0"/>
    <x v="108"/>
    <s v="Cali"/>
  </r>
  <r>
    <d v="2021-01-31T00:00:00"/>
    <x v="0"/>
    <x v="45"/>
    <x v="45"/>
    <n v="1936272"/>
    <n v="1936272"/>
    <n v="0"/>
    <x v="108"/>
    <s v="Cali"/>
  </r>
  <r>
    <d v="2021-01-31T00:00:00"/>
    <x v="0"/>
    <x v="5"/>
    <x v="5"/>
    <n v="-112906"/>
    <n v="0"/>
    <n v="112906"/>
    <x v="108"/>
    <s v="Cali"/>
  </r>
  <r>
    <d v="2021-01-31T00:00:00"/>
    <x v="0"/>
    <x v="30"/>
    <x v="30"/>
    <n v="112906"/>
    <n v="112906"/>
    <n v="0"/>
    <x v="108"/>
    <s v="Cali"/>
  </r>
  <r>
    <m/>
    <x v="1"/>
    <x v="23"/>
    <x v="23"/>
    <m/>
    <m/>
    <m/>
    <x v="1"/>
    <m/>
  </r>
  <r>
    <d v="2021-01-31T00:00:00"/>
    <x v="0"/>
    <x v="4"/>
    <x v="4"/>
    <n v="20000"/>
    <n v="20000"/>
    <n v="0"/>
    <x v="109"/>
    <s v="Cali"/>
  </r>
  <r>
    <d v="2021-01-31T00:00:00"/>
    <x v="0"/>
    <x v="29"/>
    <x v="29"/>
    <n v="-20000"/>
    <n v="0"/>
    <n v="20000"/>
    <x v="109"/>
    <s v="Cali"/>
  </r>
  <r>
    <m/>
    <x v="1"/>
    <x v="23"/>
    <x v="23"/>
    <m/>
    <m/>
    <m/>
    <x v="1"/>
    <m/>
  </r>
  <r>
    <d v="2021-01-31T00:00:00"/>
    <x v="0"/>
    <x v="46"/>
    <x v="46"/>
    <n v="0"/>
    <n v="0"/>
    <n v="0"/>
    <x v="110"/>
    <s v="Cali"/>
  </r>
  <r>
    <d v="2021-01-31T00:00:00"/>
    <x v="0"/>
    <x v="47"/>
    <x v="47"/>
    <n v="0"/>
    <n v="0"/>
    <n v="0"/>
    <x v="110"/>
    <s v="Cali"/>
  </r>
  <r>
    <m/>
    <x v="1"/>
    <x v="23"/>
    <x v="23"/>
    <m/>
    <m/>
    <m/>
    <x v="1"/>
    <m/>
  </r>
  <r>
    <d v="2021-01-31T00:00:00"/>
    <x v="0"/>
    <x v="2"/>
    <x v="2"/>
    <n v="0"/>
    <n v="0"/>
    <n v="0"/>
    <x v="111"/>
    <s v="Cali"/>
  </r>
  <r>
    <d v="2021-01-31T00:00:00"/>
    <x v="0"/>
    <x v="47"/>
    <x v="47"/>
    <n v="0"/>
    <n v="0"/>
    <n v="0"/>
    <x v="111"/>
    <s v="Cali"/>
  </r>
  <r>
    <m/>
    <x v="1"/>
    <x v="23"/>
    <x v="23"/>
    <m/>
    <m/>
    <m/>
    <x v="1"/>
    <m/>
  </r>
  <r>
    <d v="2021-01-31T00:00:00"/>
    <x v="0"/>
    <x v="3"/>
    <x v="3"/>
    <n v="10507"/>
    <n v="10507"/>
    <n v="0"/>
    <x v="112"/>
    <s v="Cali"/>
  </r>
  <r>
    <d v="2021-01-31T00:00:00"/>
    <x v="0"/>
    <x v="47"/>
    <x v="47"/>
    <n v="-10507"/>
    <n v="0"/>
    <n v="10507"/>
    <x v="112"/>
    <s v="Cali"/>
  </r>
  <r>
    <m/>
    <x v="1"/>
    <x v="23"/>
    <x v="23"/>
    <m/>
    <m/>
    <m/>
    <x v="1"/>
    <m/>
  </r>
  <r>
    <d v="2021-01-06T00:00:00"/>
    <x v="0"/>
    <x v="31"/>
    <x v="31"/>
    <n v="3113"/>
    <n v="3113"/>
    <n v="0"/>
    <x v="113"/>
    <s v="Cali"/>
  </r>
  <r>
    <d v="2021-01-06T00:00:00"/>
    <x v="0"/>
    <x v="1"/>
    <x v="1"/>
    <n v="-3113"/>
    <n v="0"/>
    <n v="3113"/>
    <x v="113"/>
    <s v="Cali"/>
  </r>
  <r>
    <m/>
    <x v="1"/>
    <x v="23"/>
    <x v="23"/>
    <m/>
    <m/>
    <m/>
    <x v="1"/>
    <m/>
  </r>
  <r>
    <d v="2021-01-13T00:00:00"/>
    <x v="0"/>
    <x v="1"/>
    <x v="1"/>
    <n v="50000000"/>
    <n v="50000000"/>
    <n v="0"/>
    <x v="114"/>
    <s v="Cali"/>
  </r>
  <r>
    <d v="2021-01-13T00:00:00"/>
    <x v="0"/>
    <x v="3"/>
    <x v="3"/>
    <n v="-50000000"/>
    <n v="0"/>
    <n v="50000000"/>
    <x v="114"/>
    <s v="Cali"/>
  </r>
  <r>
    <m/>
    <x v="1"/>
    <x v="23"/>
    <x v="23"/>
    <m/>
    <m/>
    <m/>
    <x v="1"/>
    <m/>
  </r>
  <r>
    <d v="2021-01-13T00:00:00"/>
    <x v="0"/>
    <x v="1"/>
    <x v="1"/>
    <n v="85000000"/>
    <n v="85000000"/>
    <n v="0"/>
    <x v="114"/>
    <s v="Cali"/>
  </r>
  <r>
    <d v="2021-01-13T00:00:00"/>
    <x v="0"/>
    <x v="3"/>
    <x v="3"/>
    <n v="-85000000"/>
    <n v="0"/>
    <n v="85000000"/>
    <x v="114"/>
    <s v="Cali"/>
  </r>
  <r>
    <m/>
    <x v="1"/>
    <x v="23"/>
    <x v="23"/>
    <m/>
    <m/>
    <m/>
    <x v="1"/>
    <m/>
  </r>
  <r>
    <d v="2021-01-14T00:00:00"/>
    <x v="0"/>
    <x v="48"/>
    <x v="48"/>
    <n v="550938"/>
    <n v="550938"/>
    <n v="0"/>
    <x v="115"/>
    <s v="Cali"/>
  </r>
  <r>
    <d v="2021-01-14T00:00:00"/>
    <x v="0"/>
    <x v="1"/>
    <x v="1"/>
    <n v="-550938"/>
    <n v="0"/>
    <n v="550938"/>
    <x v="115"/>
    <s v="Cali"/>
  </r>
  <r>
    <m/>
    <x v="1"/>
    <x v="23"/>
    <x v="23"/>
    <m/>
    <m/>
    <m/>
    <x v="1"/>
    <m/>
  </r>
  <r>
    <d v="2021-01-14T00:00:00"/>
    <x v="0"/>
    <x v="10"/>
    <x v="10"/>
    <n v="2440824"/>
    <n v="2440824"/>
    <n v="0"/>
    <x v="116"/>
    <s v="Cali"/>
  </r>
  <r>
    <d v="2021-01-14T00:00:00"/>
    <x v="0"/>
    <x v="1"/>
    <x v="1"/>
    <n v="-2440824"/>
    <n v="0"/>
    <n v="2440824"/>
    <x v="116"/>
    <s v="Cali"/>
  </r>
  <r>
    <m/>
    <x v="1"/>
    <x v="23"/>
    <x v="23"/>
    <m/>
    <m/>
    <m/>
    <x v="1"/>
    <m/>
  </r>
  <r>
    <d v="2021-01-14T00:00:00"/>
    <x v="0"/>
    <x v="48"/>
    <x v="48"/>
    <n v="128167387"/>
    <n v="128167387"/>
    <n v="0"/>
    <x v="117"/>
    <s v="Cali"/>
  </r>
  <r>
    <d v="2021-01-14T00:00:00"/>
    <x v="0"/>
    <x v="1"/>
    <x v="1"/>
    <n v="-128167387"/>
    <n v="0"/>
    <n v="128167387"/>
    <x v="117"/>
    <s v="Cali"/>
  </r>
  <r>
    <m/>
    <x v="1"/>
    <x v="23"/>
    <x v="23"/>
    <m/>
    <m/>
    <m/>
    <x v="1"/>
    <m/>
  </r>
  <r>
    <d v="2021-01-14T00:00:00"/>
    <x v="0"/>
    <x v="48"/>
    <x v="48"/>
    <n v="4215334"/>
    <n v="4215334"/>
    <n v="0"/>
    <x v="118"/>
    <s v="Cali"/>
  </r>
  <r>
    <d v="2021-01-14T00:00:00"/>
    <x v="0"/>
    <x v="1"/>
    <x v="1"/>
    <n v="-4215334"/>
    <n v="0"/>
    <n v="4215334"/>
    <x v="118"/>
    <s v="Cali"/>
  </r>
  <r>
    <m/>
    <x v="1"/>
    <x v="23"/>
    <x v="23"/>
    <m/>
    <m/>
    <m/>
    <x v="1"/>
    <m/>
  </r>
  <r>
    <d v="2021-01-29T00:00:00"/>
    <x v="0"/>
    <x v="1"/>
    <x v="1"/>
    <n v="73000000"/>
    <n v="73000000"/>
    <n v="0"/>
    <x v="119"/>
    <s v="Cali"/>
  </r>
  <r>
    <d v="2021-01-29T00:00:00"/>
    <x v="0"/>
    <x v="26"/>
    <x v="26"/>
    <n v="-73000000"/>
    <n v="0"/>
    <n v="73000000"/>
    <x v="119"/>
    <s v="Cali"/>
  </r>
  <r>
    <m/>
    <x v="1"/>
    <x v="23"/>
    <x v="23"/>
    <m/>
    <m/>
    <m/>
    <x v="1"/>
    <m/>
  </r>
  <r>
    <d v="2021-01-04T00:00:00"/>
    <x v="0"/>
    <x v="31"/>
    <x v="31"/>
    <n v="100000"/>
    <n v="100000"/>
    <n v="0"/>
    <x v="120"/>
    <s v="Cali"/>
  </r>
  <r>
    <d v="2021-01-04T00:00:00"/>
    <x v="0"/>
    <x v="0"/>
    <x v="0"/>
    <n v="-100000"/>
    <n v="0"/>
    <n v="100000"/>
    <x v="120"/>
    <s v="Cali"/>
  </r>
  <r>
    <m/>
    <x v="1"/>
    <x v="23"/>
    <x v="23"/>
    <m/>
    <m/>
    <m/>
    <x v="1"/>
    <m/>
  </r>
  <r>
    <d v="2021-01-29T00:00:00"/>
    <x v="0"/>
    <x v="2"/>
    <x v="2"/>
    <n v="60000000"/>
    <n v="60000000"/>
    <n v="0"/>
    <x v="121"/>
    <s v="Cali"/>
  </r>
  <r>
    <d v="2021-01-29T00:00:00"/>
    <x v="0"/>
    <x v="1"/>
    <x v="1"/>
    <n v="-60000000"/>
    <n v="0"/>
    <n v="60000000"/>
    <x v="121"/>
    <s v="Cali"/>
  </r>
  <r>
    <m/>
    <x v="1"/>
    <x v="23"/>
    <x v="23"/>
    <m/>
    <m/>
    <m/>
    <x v="1"/>
    <m/>
  </r>
  <r>
    <d v="2021-01-29T00:00:00"/>
    <x v="0"/>
    <x v="26"/>
    <x v="26"/>
    <n v="-855000"/>
    <n v="0"/>
    <n v="855000"/>
    <x v="122"/>
    <s v="Cali"/>
  </r>
  <r>
    <d v="2021-01-29T00:00:00"/>
    <x v="0"/>
    <x v="25"/>
    <x v="25"/>
    <n v="-175000"/>
    <n v="0"/>
    <n v="175000"/>
    <x v="123"/>
    <s v="Cali"/>
  </r>
  <r>
    <d v="2021-01-29T00:00:00"/>
    <x v="0"/>
    <x v="25"/>
    <x v="25"/>
    <n v="-350000"/>
    <n v="0"/>
    <n v="350000"/>
    <x v="124"/>
    <s v="Cali"/>
  </r>
  <r>
    <d v="2021-01-29T00:00:00"/>
    <x v="0"/>
    <x v="13"/>
    <x v="13"/>
    <n v="1380000"/>
    <n v="1380000"/>
    <n v="0"/>
    <x v="125"/>
    <s v="Cali"/>
  </r>
  <r>
    <m/>
    <x v="1"/>
    <x v="23"/>
    <x v="23"/>
    <m/>
    <m/>
    <m/>
    <x v="1"/>
    <m/>
  </r>
  <r>
    <m/>
    <x v="1"/>
    <x v="23"/>
    <x v="23"/>
    <m/>
    <m/>
    <m/>
    <x v="1"/>
    <m/>
  </r>
  <r>
    <d v="2021-01-30T00:00:00"/>
    <x v="0"/>
    <x v="11"/>
    <x v="11"/>
    <n v="-12671175"/>
    <n v="0"/>
    <n v="12671175"/>
    <x v="126"/>
    <s v="Cali"/>
  </r>
  <r>
    <d v="2021-01-30T00:00:00"/>
    <x v="0"/>
    <x v="8"/>
    <x v="8"/>
    <n v="147174150"/>
    <n v="147174150"/>
    <n v="0"/>
    <x v="127"/>
    <s v="Cali"/>
  </r>
  <r>
    <d v="2021-01-30T00:00:00"/>
    <x v="0"/>
    <x v="18"/>
    <x v="18"/>
    <n v="-6335588"/>
    <n v="0"/>
    <n v="6335588"/>
    <x v="128"/>
    <s v="Cali"/>
  </r>
  <r>
    <d v="2021-01-30T00:00:00"/>
    <x v="0"/>
    <x v="48"/>
    <x v="48"/>
    <n v="-128167387"/>
    <n v="0"/>
    <n v="128167387"/>
    <x v="129"/>
    <s v="Cali"/>
  </r>
  <r>
    <m/>
    <x v="1"/>
    <x v="23"/>
    <x v="23"/>
    <m/>
    <m/>
    <m/>
    <x v="1"/>
    <m/>
  </r>
  <r>
    <d v="2021-01-30T00:00:00"/>
    <x v="0"/>
    <x v="12"/>
    <x v="12"/>
    <n v="4215334"/>
    <n v="4215334"/>
    <n v="0"/>
    <x v="130"/>
    <s v="Cali"/>
  </r>
  <r>
    <d v="2021-01-30T00:00:00"/>
    <x v="0"/>
    <x v="48"/>
    <x v="48"/>
    <n v="-4215334"/>
    <n v="0"/>
    <n v="4215334"/>
    <x v="131"/>
    <s v="Cali"/>
  </r>
  <r>
    <m/>
    <x v="1"/>
    <x v="23"/>
    <x v="23"/>
    <m/>
    <m/>
    <m/>
    <x v="1"/>
    <m/>
  </r>
  <r>
    <d v="2021-01-30T00:00:00"/>
    <x v="0"/>
    <x v="12"/>
    <x v="12"/>
    <n v="550938"/>
    <n v="550938"/>
    <n v="0"/>
    <x v="115"/>
    <s v="Cali"/>
  </r>
  <r>
    <d v="2021-01-30T00:00:00"/>
    <x v="0"/>
    <x v="48"/>
    <x v="48"/>
    <n v="-550938"/>
    <n v="0"/>
    <n v="550938"/>
    <x v="115"/>
    <s v="Cali"/>
  </r>
  <r>
    <m/>
    <x v="1"/>
    <x v="23"/>
    <x v="23"/>
    <m/>
    <m/>
    <m/>
    <x v="1"/>
    <m/>
  </r>
  <r>
    <d v="2021-02-01T00:00:00"/>
    <x v="2"/>
    <x v="0"/>
    <x v="0"/>
    <n v="20000"/>
    <n v="20000"/>
    <n v="0"/>
    <x v="132"/>
    <s v="Cali"/>
  </r>
  <r>
    <d v="2021-02-01T00:00:00"/>
    <x v="2"/>
    <x v="25"/>
    <x v="25"/>
    <n v="-20000"/>
    <n v="0"/>
    <n v="20000"/>
    <x v="132"/>
    <s v="Cali"/>
  </r>
  <r>
    <m/>
    <x v="1"/>
    <x v="23"/>
    <x v="23"/>
    <m/>
    <m/>
    <m/>
    <x v="1"/>
    <m/>
  </r>
  <r>
    <d v="2021-02-01T00:00:00"/>
    <x v="2"/>
    <x v="0"/>
    <x v="0"/>
    <n v="36000"/>
    <n v="36000"/>
    <n v="0"/>
    <x v="133"/>
    <s v="Cali"/>
  </r>
  <r>
    <d v="2021-02-01T00:00:00"/>
    <x v="2"/>
    <x v="25"/>
    <x v="25"/>
    <n v="-36000"/>
    <n v="0"/>
    <n v="36000"/>
    <x v="133"/>
    <s v="Cali"/>
  </r>
  <r>
    <m/>
    <x v="1"/>
    <x v="23"/>
    <x v="23"/>
    <m/>
    <m/>
    <m/>
    <x v="1"/>
    <m/>
  </r>
  <r>
    <d v="2021-02-01T00:00:00"/>
    <x v="2"/>
    <x v="0"/>
    <x v="0"/>
    <n v="100000"/>
    <n v="100000"/>
    <n v="0"/>
    <x v="134"/>
    <s v="Cali"/>
  </r>
  <r>
    <d v="2021-02-01T00:00:00"/>
    <x v="2"/>
    <x v="26"/>
    <x v="26"/>
    <n v="-100000"/>
    <n v="0"/>
    <n v="100000"/>
    <x v="134"/>
    <s v="Cali"/>
  </r>
  <r>
    <m/>
    <x v="1"/>
    <x v="23"/>
    <x v="23"/>
    <m/>
    <m/>
    <m/>
    <x v="1"/>
    <m/>
  </r>
  <r>
    <d v="2021-02-01T00:00:00"/>
    <x v="2"/>
    <x v="0"/>
    <x v="0"/>
    <n v="50000"/>
    <n v="50000"/>
    <n v="0"/>
    <x v="135"/>
    <s v="Cali"/>
  </r>
  <r>
    <d v="2021-02-01T00:00:00"/>
    <x v="2"/>
    <x v="26"/>
    <x v="26"/>
    <n v="-50000"/>
    <n v="0"/>
    <n v="50000"/>
    <x v="135"/>
    <s v="Cali"/>
  </r>
  <r>
    <m/>
    <x v="1"/>
    <x v="23"/>
    <x v="23"/>
    <m/>
    <m/>
    <m/>
    <x v="1"/>
    <m/>
  </r>
  <r>
    <d v="2021-02-01T00:00:00"/>
    <x v="2"/>
    <x v="0"/>
    <x v="0"/>
    <n v="125000"/>
    <n v="125000"/>
    <n v="0"/>
    <x v="136"/>
    <s v="Cali"/>
  </r>
  <r>
    <d v="2021-02-01T00:00:00"/>
    <x v="2"/>
    <x v="26"/>
    <x v="26"/>
    <n v="-125000"/>
    <n v="0"/>
    <n v="125000"/>
    <x v="136"/>
    <s v="Cali"/>
  </r>
  <r>
    <m/>
    <x v="1"/>
    <x v="23"/>
    <x v="23"/>
    <m/>
    <m/>
    <m/>
    <x v="1"/>
    <m/>
  </r>
  <r>
    <d v="2021-02-01T00:00:00"/>
    <x v="2"/>
    <x v="0"/>
    <x v="0"/>
    <n v="10000"/>
    <n v="10000"/>
    <n v="0"/>
    <x v="137"/>
    <s v="Cali"/>
  </r>
  <r>
    <d v="2021-02-01T00:00:00"/>
    <x v="2"/>
    <x v="26"/>
    <x v="26"/>
    <n v="-10000"/>
    <n v="0"/>
    <n v="10000"/>
    <x v="137"/>
    <s v="Cali"/>
  </r>
  <r>
    <m/>
    <x v="1"/>
    <x v="23"/>
    <x v="23"/>
    <m/>
    <m/>
    <m/>
    <x v="1"/>
    <m/>
  </r>
  <r>
    <d v="2021-02-01T00:00:00"/>
    <x v="2"/>
    <x v="0"/>
    <x v="0"/>
    <n v="25000"/>
    <n v="25000"/>
    <n v="0"/>
    <x v="138"/>
    <s v="Cali"/>
  </r>
  <r>
    <d v="2021-02-01T00:00:00"/>
    <x v="2"/>
    <x v="27"/>
    <x v="27"/>
    <n v="-25000"/>
    <n v="0"/>
    <n v="25000"/>
    <x v="138"/>
    <s v="Cali"/>
  </r>
  <r>
    <m/>
    <x v="1"/>
    <x v="23"/>
    <x v="23"/>
    <m/>
    <m/>
    <m/>
    <x v="1"/>
    <m/>
  </r>
  <r>
    <d v="2021-02-01T00:00:00"/>
    <x v="2"/>
    <x v="0"/>
    <x v="0"/>
    <n v="30000"/>
    <n v="30000"/>
    <n v="0"/>
    <x v="139"/>
    <s v="Cali"/>
  </r>
  <r>
    <d v="2021-02-01T00:00:00"/>
    <x v="2"/>
    <x v="25"/>
    <x v="25"/>
    <n v="-30000"/>
    <n v="0"/>
    <n v="30000"/>
    <x v="139"/>
    <s v="Cali"/>
  </r>
  <r>
    <m/>
    <x v="1"/>
    <x v="23"/>
    <x v="23"/>
    <m/>
    <m/>
    <m/>
    <x v="1"/>
    <m/>
  </r>
  <r>
    <d v="2021-02-01T00:00:00"/>
    <x v="2"/>
    <x v="0"/>
    <x v="0"/>
    <n v="10000"/>
    <n v="10000"/>
    <n v="0"/>
    <x v="140"/>
    <s v="Cali"/>
  </r>
  <r>
    <d v="2021-02-01T00:00:00"/>
    <x v="2"/>
    <x v="19"/>
    <x v="19"/>
    <n v="-10000"/>
    <n v="0"/>
    <n v="10000"/>
    <x v="140"/>
    <s v="Cali"/>
  </r>
  <r>
    <m/>
    <x v="1"/>
    <x v="23"/>
    <x v="23"/>
    <m/>
    <m/>
    <m/>
    <x v="1"/>
    <m/>
  </r>
  <r>
    <d v="2021-02-01T00:00:00"/>
    <x v="2"/>
    <x v="0"/>
    <x v="0"/>
    <n v="120000"/>
    <n v="120000"/>
    <n v="0"/>
    <x v="141"/>
    <s v="Cali"/>
  </r>
  <r>
    <d v="2021-02-01T00:00:00"/>
    <x v="2"/>
    <x v="25"/>
    <x v="25"/>
    <n v="-120000"/>
    <n v="0"/>
    <n v="120000"/>
    <x v="141"/>
    <s v="Cali"/>
  </r>
  <r>
    <m/>
    <x v="1"/>
    <x v="23"/>
    <x v="23"/>
    <m/>
    <m/>
    <m/>
    <x v="1"/>
    <m/>
  </r>
  <r>
    <d v="2021-02-01T00:00:00"/>
    <x v="2"/>
    <x v="0"/>
    <x v="0"/>
    <n v="80000"/>
    <n v="80000"/>
    <n v="0"/>
    <x v="22"/>
    <s v="Cali"/>
  </r>
  <r>
    <d v="2021-02-01T00:00:00"/>
    <x v="2"/>
    <x v="27"/>
    <x v="27"/>
    <n v="-80000"/>
    <n v="0"/>
    <n v="80000"/>
    <x v="22"/>
    <s v="Cali"/>
  </r>
  <r>
    <m/>
    <x v="1"/>
    <x v="23"/>
    <x v="23"/>
    <m/>
    <m/>
    <m/>
    <x v="1"/>
    <m/>
  </r>
  <r>
    <d v="2021-02-01T00:00:00"/>
    <x v="2"/>
    <x v="0"/>
    <x v="0"/>
    <n v="10000"/>
    <n v="10000"/>
    <n v="0"/>
    <x v="142"/>
    <s v="Cali"/>
  </r>
  <r>
    <d v="2021-02-01T00:00:00"/>
    <x v="2"/>
    <x v="25"/>
    <x v="25"/>
    <n v="-10000"/>
    <n v="0"/>
    <n v="10000"/>
    <x v="142"/>
    <s v="Cali"/>
  </r>
  <r>
    <m/>
    <x v="1"/>
    <x v="23"/>
    <x v="23"/>
    <m/>
    <m/>
    <m/>
    <x v="1"/>
    <m/>
  </r>
  <r>
    <d v="2021-02-01T00:00:00"/>
    <x v="2"/>
    <x v="0"/>
    <x v="0"/>
    <n v="50000"/>
    <n v="50000"/>
    <n v="0"/>
    <x v="143"/>
    <s v="Cali"/>
  </r>
  <r>
    <d v="2021-02-01T00:00:00"/>
    <x v="2"/>
    <x v="25"/>
    <x v="25"/>
    <n v="-50000"/>
    <n v="0"/>
    <n v="50000"/>
    <x v="143"/>
    <s v="Cali"/>
  </r>
  <r>
    <m/>
    <x v="1"/>
    <x v="23"/>
    <x v="23"/>
    <m/>
    <m/>
    <m/>
    <x v="1"/>
    <m/>
  </r>
  <r>
    <d v="2021-02-01T00:00:00"/>
    <x v="2"/>
    <x v="0"/>
    <x v="0"/>
    <n v="48000"/>
    <n v="48000"/>
    <n v="0"/>
    <x v="144"/>
    <s v="Cali"/>
  </r>
  <r>
    <d v="2021-02-01T00:00:00"/>
    <x v="2"/>
    <x v="27"/>
    <x v="27"/>
    <n v="-48000"/>
    <n v="0"/>
    <n v="48000"/>
    <x v="144"/>
    <s v="Cali"/>
  </r>
  <r>
    <m/>
    <x v="1"/>
    <x v="23"/>
    <x v="23"/>
    <m/>
    <m/>
    <m/>
    <x v="1"/>
    <m/>
  </r>
  <r>
    <d v="2021-02-01T00:00:00"/>
    <x v="2"/>
    <x v="0"/>
    <x v="0"/>
    <n v="40000"/>
    <n v="40000"/>
    <n v="0"/>
    <x v="145"/>
    <s v="Cali"/>
  </r>
  <r>
    <d v="2021-02-01T00:00:00"/>
    <x v="2"/>
    <x v="25"/>
    <x v="25"/>
    <n v="-40000"/>
    <n v="0"/>
    <n v="40000"/>
    <x v="145"/>
    <s v="Cali"/>
  </r>
  <r>
    <m/>
    <x v="1"/>
    <x v="23"/>
    <x v="23"/>
    <m/>
    <m/>
    <m/>
    <x v="1"/>
    <m/>
  </r>
  <r>
    <d v="2021-02-01T00:00:00"/>
    <x v="2"/>
    <x v="0"/>
    <x v="0"/>
    <n v="20000"/>
    <n v="20000"/>
    <n v="0"/>
    <x v="146"/>
    <s v="Cali"/>
  </r>
  <r>
    <d v="2021-02-01T00:00:00"/>
    <x v="2"/>
    <x v="26"/>
    <x v="26"/>
    <n v="-20000"/>
    <n v="0"/>
    <n v="20000"/>
    <x v="146"/>
    <s v="Cali"/>
  </r>
  <r>
    <m/>
    <x v="1"/>
    <x v="23"/>
    <x v="23"/>
    <m/>
    <m/>
    <m/>
    <x v="1"/>
    <m/>
  </r>
  <r>
    <d v="2021-02-01T00:00:00"/>
    <x v="2"/>
    <x v="0"/>
    <x v="0"/>
    <n v="30000"/>
    <n v="30000"/>
    <n v="0"/>
    <x v="147"/>
    <s v="Cali"/>
  </r>
  <r>
    <d v="2021-02-01T00:00:00"/>
    <x v="2"/>
    <x v="26"/>
    <x v="26"/>
    <n v="-30000"/>
    <n v="0"/>
    <n v="30000"/>
    <x v="147"/>
    <s v="Cali"/>
  </r>
  <r>
    <m/>
    <x v="1"/>
    <x v="23"/>
    <x v="23"/>
    <m/>
    <m/>
    <m/>
    <x v="1"/>
    <m/>
  </r>
  <r>
    <d v="2021-02-01T00:00:00"/>
    <x v="2"/>
    <x v="0"/>
    <x v="0"/>
    <n v="20000"/>
    <n v="20000"/>
    <n v="0"/>
    <x v="17"/>
    <s v="Cali"/>
  </r>
  <r>
    <d v="2021-02-01T00:00:00"/>
    <x v="2"/>
    <x v="25"/>
    <x v="25"/>
    <n v="-20000"/>
    <n v="0"/>
    <n v="20000"/>
    <x v="17"/>
    <s v="Cali"/>
  </r>
  <r>
    <m/>
    <x v="1"/>
    <x v="23"/>
    <x v="23"/>
    <m/>
    <m/>
    <m/>
    <x v="1"/>
    <m/>
  </r>
  <r>
    <d v="2021-02-01T00:00:00"/>
    <x v="2"/>
    <x v="0"/>
    <x v="0"/>
    <n v="50000"/>
    <n v="50000"/>
    <n v="0"/>
    <x v="19"/>
    <s v="Cali"/>
  </r>
  <r>
    <d v="2021-02-01T00:00:00"/>
    <x v="2"/>
    <x v="25"/>
    <x v="25"/>
    <n v="-50000"/>
    <n v="0"/>
    <n v="50000"/>
    <x v="19"/>
    <s v="Cali"/>
  </r>
  <r>
    <m/>
    <x v="1"/>
    <x v="23"/>
    <x v="23"/>
    <m/>
    <m/>
    <m/>
    <x v="1"/>
    <m/>
  </r>
  <r>
    <d v="2021-02-01T00:00:00"/>
    <x v="2"/>
    <x v="0"/>
    <x v="0"/>
    <n v="15000"/>
    <n v="15000"/>
    <n v="0"/>
    <x v="148"/>
    <s v="Cali"/>
  </r>
  <r>
    <d v="2021-02-01T00:00:00"/>
    <x v="2"/>
    <x v="25"/>
    <x v="25"/>
    <n v="-15000"/>
    <n v="0"/>
    <n v="15000"/>
    <x v="148"/>
    <s v="Cali"/>
  </r>
  <r>
    <m/>
    <x v="1"/>
    <x v="23"/>
    <x v="23"/>
    <m/>
    <m/>
    <m/>
    <x v="1"/>
    <m/>
  </r>
  <r>
    <d v="2021-02-01T00:00:00"/>
    <x v="2"/>
    <x v="0"/>
    <x v="0"/>
    <n v="25000"/>
    <n v="25000"/>
    <n v="0"/>
    <x v="149"/>
    <s v="Cali"/>
  </r>
  <r>
    <d v="2021-02-01T00:00:00"/>
    <x v="2"/>
    <x v="27"/>
    <x v="27"/>
    <n v="-25000"/>
    <n v="0"/>
    <n v="25000"/>
    <x v="149"/>
    <s v="Cali"/>
  </r>
  <r>
    <m/>
    <x v="1"/>
    <x v="23"/>
    <x v="23"/>
    <m/>
    <m/>
    <m/>
    <x v="1"/>
    <m/>
  </r>
  <r>
    <d v="2021-02-01T00:00:00"/>
    <x v="2"/>
    <x v="0"/>
    <x v="0"/>
    <n v="25000"/>
    <n v="25000"/>
    <n v="0"/>
    <x v="38"/>
    <s v="Cali"/>
  </r>
  <r>
    <d v="2021-02-01T00:00:00"/>
    <x v="2"/>
    <x v="25"/>
    <x v="25"/>
    <n v="-25000"/>
    <n v="0"/>
    <n v="25000"/>
    <x v="38"/>
    <s v="Cali"/>
  </r>
  <r>
    <m/>
    <x v="1"/>
    <x v="23"/>
    <x v="23"/>
    <m/>
    <m/>
    <m/>
    <x v="1"/>
    <m/>
  </r>
  <r>
    <d v="2021-02-01T00:00:00"/>
    <x v="2"/>
    <x v="0"/>
    <x v="0"/>
    <n v="12000"/>
    <n v="12000"/>
    <n v="0"/>
    <x v="150"/>
    <s v="Cali"/>
  </r>
  <r>
    <d v="2021-02-01T00:00:00"/>
    <x v="2"/>
    <x v="19"/>
    <x v="19"/>
    <n v="-12000"/>
    <n v="0"/>
    <n v="12000"/>
    <x v="150"/>
    <s v="Cali"/>
  </r>
  <r>
    <m/>
    <x v="1"/>
    <x v="23"/>
    <x v="23"/>
    <m/>
    <m/>
    <m/>
    <x v="1"/>
    <m/>
  </r>
  <r>
    <d v="2021-02-01T00:00:00"/>
    <x v="2"/>
    <x v="0"/>
    <x v="0"/>
    <n v="20000"/>
    <n v="20000"/>
    <n v="0"/>
    <x v="151"/>
    <s v="Cali"/>
  </r>
  <r>
    <d v="2021-02-01T00:00:00"/>
    <x v="2"/>
    <x v="25"/>
    <x v="25"/>
    <n v="-20000"/>
    <n v="0"/>
    <n v="20000"/>
    <x v="151"/>
    <s v="Cali"/>
  </r>
  <r>
    <m/>
    <x v="1"/>
    <x v="23"/>
    <x v="23"/>
    <m/>
    <m/>
    <m/>
    <x v="1"/>
    <m/>
  </r>
  <r>
    <d v="2021-02-02T00:00:00"/>
    <x v="2"/>
    <x v="0"/>
    <x v="0"/>
    <n v="2319733"/>
    <n v="2319733"/>
    <n v="0"/>
    <x v="152"/>
    <s v="Cali"/>
  </r>
  <r>
    <d v="2021-02-02T00:00:00"/>
    <x v="2"/>
    <x v="44"/>
    <x v="44"/>
    <n v="-2319733"/>
    <n v="0"/>
    <n v="2319733"/>
    <x v="152"/>
    <s v="Cali"/>
  </r>
  <r>
    <m/>
    <x v="1"/>
    <x v="23"/>
    <x v="23"/>
    <m/>
    <m/>
    <m/>
    <x v="1"/>
    <m/>
  </r>
  <r>
    <d v="2021-02-02T00:00:00"/>
    <x v="2"/>
    <x v="0"/>
    <x v="0"/>
    <n v="1936273"/>
    <n v="1936273"/>
    <n v="0"/>
    <x v="153"/>
    <s v="Cali"/>
  </r>
  <r>
    <d v="2021-02-02T00:00:00"/>
    <x v="2"/>
    <x v="45"/>
    <x v="45"/>
    <n v="-1936273"/>
    <n v="0"/>
    <n v="1936273"/>
    <x v="153"/>
    <s v="Cali"/>
  </r>
  <r>
    <m/>
    <x v="1"/>
    <x v="23"/>
    <x v="23"/>
    <m/>
    <m/>
    <m/>
    <x v="1"/>
    <m/>
  </r>
  <r>
    <d v="2021-02-02T00:00:00"/>
    <x v="2"/>
    <x v="0"/>
    <x v="0"/>
    <n v="42000"/>
    <n v="42000"/>
    <n v="0"/>
    <x v="154"/>
    <s v="Cali"/>
  </r>
  <r>
    <d v="2021-02-02T00:00:00"/>
    <x v="2"/>
    <x v="19"/>
    <x v="19"/>
    <n v="-42000"/>
    <n v="0"/>
    <n v="42000"/>
    <x v="154"/>
    <s v="Cali"/>
  </r>
  <r>
    <m/>
    <x v="1"/>
    <x v="23"/>
    <x v="23"/>
    <m/>
    <m/>
    <m/>
    <x v="1"/>
    <m/>
  </r>
  <r>
    <d v="2021-02-02T00:00:00"/>
    <x v="2"/>
    <x v="0"/>
    <x v="0"/>
    <n v="100000"/>
    <n v="100000"/>
    <n v="0"/>
    <x v="155"/>
    <s v="Cali"/>
  </r>
  <r>
    <d v="2021-02-02T00:00:00"/>
    <x v="2"/>
    <x v="27"/>
    <x v="27"/>
    <n v="-100000"/>
    <n v="0"/>
    <n v="100000"/>
    <x v="155"/>
    <s v="Cali"/>
  </r>
  <r>
    <m/>
    <x v="1"/>
    <x v="23"/>
    <x v="23"/>
    <m/>
    <m/>
    <m/>
    <x v="1"/>
    <m/>
  </r>
  <r>
    <d v="2021-02-02T00:00:00"/>
    <x v="2"/>
    <x v="0"/>
    <x v="0"/>
    <n v="20000"/>
    <n v="20000"/>
    <n v="0"/>
    <x v="156"/>
    <s v="Cali"/>
  </r>
  <r>
    <d v="2021-02-02T00:00:00"/>
    <x v="2"/>
    <x v="25"/>
    <x v="25"/>
    <n v="-20000"/>
    <n v="0"/>
    <n v="20000"/>
    <x v="156"/>
    <s v="Cali"/>
  </r>
  <r>
    <m/>
    <x v="1"/>
    <x v="23"/>
    <x v="23"/>
    <m/>
    <m/>
    <m/>
    <x v="1"/>
    <m/>
  </r>
  <r>
    <d v="2021-02-02T00:00:00"/>
    <x v="2"/>
    <x v="0"/>
    <x v="0"/>
    <n v="40000"/>
    <n v="40000"/>
    <n v="0"/>
    <x v="157"/>
    <s v="Cali"/>
  </r>
  <r>
    <d v="2021-02-02T00:00:00"/>
    <x v="2"/>
    <x v="27"/>
    <x v="27"/>
    <n v="-40000"/>
    <n v="0"/>
    <n v="40000"/>
    <x v="157"/>
    <s v="Cali"/>
  </r>
  <r>
    <m/>
    <x v="1"/>
    <x v="23"/>
    <x v="23"/>
    <m/>
    <m/>
    <m/>
    <x v="1"/>
    <m/>
  </r>
  <r>
    <d v="2021-02-02T00:00:00"/>
    <x v="2"/>
    <x v="0"/>
    <x v="0"/>
    <n v="25000"/>
    <n v="25000"/>
    <n v="0"/>
    <x v="158"/>
    <s v="Cali"/>
  </r>
  <r>
    <d v="2021-02-02T00:00:00"/>
    <x v="2"/>
    <x v="25"/>
    <x v="25"/>
    <n v="-25000"/>
    <n v="0"/>
    <n v="25000"/>
    <x v="158"/>
    <s v="Cali"/>
  </r>
  <r>
    <m/>
    <x v="1"/>
    <x v="23"/>
    <x v="23"/>
    <m/>
    <m/>
    <m/>
    <x v="1"/>
    <m/>
  </r>
  <r>
    <d v="2021-02-02T00:00:00"/>
    <x v="2"/>
    <x v="0"/>
    <x v="0"/>
    <n v="29429"/>
    <n v="29429"/>
    <n v="0"/>
    <x v="159"/>
    <s v="Cali"/>
  </r>
  <r>
    <d v="2021-02-02T00:00:00"/>
    <x v="2"/>
    <x v="49"/>
    <x v="49"/>
    <n v="571"/>
    <n v="571"/>
    <n v="0"/>
    <x v="159"/>
    <s v="Cali"/>
  </r>
  <r>
    <d v="2021-02-02T00:00:00"/>
    <x v="2"/>
    <x v="25"/>
    <x v="25"/>
    <n v="-30000"/>
    <n v="0"/>
    <n v="30000"/>
    <x v="159"/>
    <s v="Cali"/>
  </r>
  <r>
    <m/>
    <x v="1"/>
    <x v="23"/>
    <x v="23"/>
    <m/>
    <m/>
    <m/>
    <x v="1"/>
    <m/>
  </r>
  <r>
    <d v="2021-02-02T00:00:00"/>
    <x v="2"/>
    <x v="0"/>
    <x v="0"/>
    <n v="55000"/>
    <n v="55000"/>
    <n v="0"/>
    <x v="160"/>
    <s v="Cali"/>
  </r>
  <r>
    <d v="2021-02-02T00:00:00"/>
    <x v="2"/>
    <x v="25"/>
    <x v="25"/>
    <n v="-55000"/>
    <n v="0"/>
    <n v="55000"/>
    <x v="160"/>
    <s v="Cali"/>
  </r>
  <r>
    <m/>
    <x v="1"/>
    <x v="23"/>
    <x v="23"/>
    <m/>
    <m/>
    <m/>
    <x v="1"/>
    <m/>
  </r>
  <r>
    <d v="2021-02-02T00:00:00"/>
    <x v="2"/>
    <x v="0"/>
    <x v="0"/>
    <n v="45000"/>
    <n v="45000"/>
    <n v="0"/>
    <x v="161"/>
    <s v="Cali"/>
  </r>
  <r>
    <d v="2021-02-02T00:00:00"/>
    <x v="2"/>
    <x v="26"/>
    <x v="26"/>
    <n v="-45000"/>
    <n v="0"/>
    <n v="45000"/>
    <x v="161"/>
    <s v="Cali"/>
  </r>
  <r>
    <m/>
    <x v="1"/>
    <x v="23"/>
    <x v="23"/>
    <m/>
    <m/>
    <m/>
    <x v="1"/>
    <m/>
  </r>
  <r>
    <d v="2021-02-03T00:00:00"/>
    <x v="2"/>
    <x v="0"/>
    <x v="0"/>
    <n v="500000"/>
    <n v="500000"/>
    <n v="0"/>
    <x v="162"/>
    <s v="Cali"/>
  </r>
  <r>
    <d v="2021-02-03T00:00:00"/>
    <x v="2"/>
    <x v="26"/>
    <x v="26"/>
    <n v="-500000"/>
    <n v="0"/>
    <n v="500000"/>
    <x v="162"/>
    <s v="Cali"/>
  </r>
  <r>
    <m/>
    <x v="1"/>
    <x v="23"/>
    <x v="23"/>
    <m/>
    <m/>
    <m/>
    <x v="1"/>
    <m/>
  </r>
  <r>
    <d v="2021-02-03T00:00:00"/>
    <x v="2"/>
    <x v="0"/>
    <x v="0"/>
    <n v="50000"/>
    <n v="50000"/>
    <n v="0"/>
    <x v="163"/>
    <s v="Cali"/>
  </r>
  <r>
    <d v="2021-02-03T00:00:00"/>
    <x v="2"/>
    <x v="25"/>
    <x v="25"/>
    <n v="-50000"/>
    <n v="0"/>
    <n v="50000"/>
    <x v="163"/>
    <s v="Cali"/>
  </r>
  <r>
    <m/>
    <x v="1"/>
    <x v="23"/>
    <x v="23"/>
    <m/>
    <m/>
    <m/>
    <x v="1"/>
    <m/>
  </r>
  <r>
    <d v="2021-02-03T00:00:00"/>
    <x v="2"/>
    <x v="0"/>
    <x v="0"/>
    <n v="30000"/>
    <n v="30000"/>
    <n v="0"/>
    <x v="164"/>
    <s v="Cali"/>
  </r>
  <r>
    <d v="2021-02-03T00:00:00"/>
    <x v="2"/>
    <x v="26"/>
    <x v="26"/>
    <n v="-30000"/>
    <n v="0"/>
    <n v="30000"/>
    <x v="164"/>
    <s v="Cali"/>
  </r>
  <r>
    <m/>
    <x v="1"/>
    <x v="23"/>
    <x v="23"/>
    <m/>
    <m/>
    <m/>
    <x v="1"/>
    <m/>
  </r>
  <r>
    <d v="2021-02-03T00:00:00"/>
    <x v="2"/>
    <x v="0"/>
    <x v="0"/>
    <n v="70000"/>
    <n v="70000"/>
    <n v="0"/>
    <x v="37"/>
    <s v="Cali"/>
  </r>
  <r>
    <d v="2021-02-03T00:00:00"/>
    <x v="2"/>
    <x v="25"/>
    <x v="25"/>
    <n v="-70000"/>
    <n v="0"/>
    <n v="70000"/>
    <x v="37"/>
    <s v="Cali"/>
  </r>
  <r>
    <m/>
    <x v="1"/>
    <x v="23"/>
    <x v="23"/>
    <m/>
    <m/>
    <m/>
    <x v="1"/>
    <m/>
  </r>
  <r>
    <d v="2021-02-03T00:00:00"/>
    <x v="2"/>
    <x v="0"/>
    <x v="0"/>
    <n v="20000"/>
    <n v="20000"/>
    <n v="0"/>
    <x v="165"/>
    <s v="Cali"/>
  </r>
  <r>
    <d v="2021-02-03T00:00:00"/>
    <x v="2"/>
    <x v="25"/>
    <x v="25"/>
    <n v="-20000"/>
    <n v="0"/>
    <n v="20000"/>
    <x v="165"/>
    <s v="Cali"/>
  </r>
  <r>
    <m/>
    <x v="1"/>
    <x v="23"/>
    <x v="23"/>
    <m/>
    <m/>
    <m/>
    <x v="1"/>
    <m/>
  </r>
  <r>
    <d v="2021-02-04T00:00:00"/>
    <x v="2"/>
    <x v="0"/>
    <x v="0"/>
    <n v="10000"/>
    <n v="10000"/>
    <n v="0"/>
    <x v="166"/>
    <s v="Cali"/>
  </r>
  <r>
    <d v="2021-02-04T00:00:00"/>
    <x v="2"/>
    <x v="25"/>
    <x v="25"/>
    <n v="-10000"/>
    <n v="0"/>
    <n v="10000"/>
    <x v="166"/>
    <s v="Cali"/>
  </r>
  <r>
    <m/>
    <x v="1"/>
    <x v="23"/>
    <x v="23"/>
    <m/>
    <m/>
    <m/>
    <x v="1"/>
    <m/>
  </r>
  <r>
    <d v="2021-02-04T00:00:00"/>
    <x v="2"/>
    <x v="0"/>
    <x v="0"/>
    <n v="10000"/>
    <n v="10000"/>
    <n v="0"/>
    <x v="167"/>
    <s v="Cali"/>
  </r>
  <r>
    <d v="2021-02-04T00:00:00"/>
    <x v="2"/>
    <x v="26"/>
    <x v="26"/>
    <n v="-10000"/>
    <n v="0"/>
    <n v="10000"/>
    <x v="167"/>
    <s v="Cali"/>
  </r>
  <r>
    <m/>
    <x v="1"/>
    <x v="23"/>
    <x v="23"/>
    <m/>
    <m/>
    <m/>
    <x v="1"/>
    <m/>
  </r>
  <r>
    <d v="2021-02-04T00:00:00"/>
    <x v="2"/>
    <x v="0"/>
    <x v="0"/>
    <n v="20000"/>
    <n v="20000"/>
    <n v="0"/>
    <x v="168"/>
    <s v="Cali"/>
  </r>
  <r>
    <d v="2021-02-04T00:00:00"/>
    <x v="2"/>
    <x v="26"/>
    <x v="26"/>
    <n v="-20000"/>
    <n v="0"/>
    <n v="20000"/>
    <x v="168"/>
    <s v="Cali"/>
  </r>
  <r>
    <m/>
    <x v="1"/>
    <x v="23"/>
    <x v="23"/>
    <m/>
    <m/>
    <m/>
    <x v="1"/>
    <m/>
  </r>
  <r>
    <d v="2021-02-04T00:00:00"/>
    <x v="2"/>
    <x v="0"/>
    <x v="0"/>
    <n v="150000"/>
    <n v="150000"/>
    <n v="0"/>
    <x v="169"/>
    <s v="Cali"/>
  </r>
  <r>
    <d v="2021-02-04T00:00:00"/>
    <x v="2"/>
    <x v="25"/>
    <x v="25"/>
    <n v="-150000"/>
    <n v="0"/>
    <n v="150000"/>
    <x v="169"/>
    <s v="Cali"/>
  </r>
  <r>
    <m/>
    <x v="1"/>
    <x v="23"/>
    <x v="23"/>
    <m/>
    <m/>
    <m/>
    <x v="1"/>
    <m/>
  </r>
  <r>
    <d v="2021-02-04T00:00:00"/>
    <x v="2"/>
    <x v="0"/>
    <x v="0"/>
    <n v="30000"/>
    <n v="30000"/>
    <n v="0"/>
    <x v="170"/>
    <s v="Cali"/>
  </r>
  <r>
    <d v="2021-02-04T00:00:00"/>
    <x v="2"/>
    <x v="26"/>
    <x v="26"/>
    <n v="-30000"/>
    <n v="0"/>
    <n v="30000"/>
    <x v="170"/>
    <s v="Cali"/>
  </r>
  <r>
    <m/>
    <x v="1"/>
    <x v="23"/>
    <x v="23"/>
    <m/>
    <m/>
    <m/>
    <x v="1"/>
    <m/>
  </r>
  <r>
    <d v="2021-02-04T00:00:00"/>
    <x v="2"/>
    <x v="0"/>
    <x v="0"/>
    <n v="350000"/>
    <n v="350000"/>
    <n v="0"/>
    <x v="171"/>
    <s v="Cali"/>
  </r>
  <r>
    <d v="2021-02-04T00:00:00"/>
    <x v="2"/>
    <x v="26"/>
    <x v="26"/>
    <n v="-350000"/>
    <n v="0"/>
    <n v="350000"/>
    <x v="171"/>
    <s v="Cali"/>
  </r>
  <r>
    <m/>
    <x v="1"/>
    <x v="23"/>
    <x v="23"/>
    <m/>
    <m/>
    <m/>
    <x v="1"/>
    <m/>
  </r>
  <r>
    <d v="2021-02-04T00:00:00"/>
    <x v="2"/>
    <x v="31"/>
    <x v="31"/>
    <n v="1386"/>
    <n v="1386"/>
    <n v="0"/>
    <x v="172"/>
    <s v="Cali"/>
  </r>
  <r>
    <d v="2021-02-04T00:00:00"/>
    <x v="2"/>
    <x v="0"/>
    <x v="0"/>
    <n v="-1386"/>
    <n v="0"/>
    <n v="1386"/>
    <x v="172"/>
    <s v="Cali"/>
  </r>
  <r>
    <m/>
    <x v="1"/>
    <x v="23"/>
    <x v="23"/>
    <m/>
    <m/>
    <m/>
    <x v="1"/>
    <m/>
  </r>
  <r>
    <d v="2021-02-05T00:00:00"/>
    <x v="2"/>
    <x v="0"/>
    <x v="0"/>
    <n v="50000"/>
    <n v="50000"/>
    <n v="0"/>
    <x v="173"/>
    <s v="Cali"/>
  </r>
  <r>
    <d v="2021-02-05T00:00:00"/>
    <x v="2"/>
    <x v="26"/>
    <x v="26"/>
    <n v="-50000"/>
    <n v="0"/>
    <n v="50000"/>
    <x v="173"/>
    <s v="Cali"/>
  </r>
  <r>
    <m/>
    <x v="1"/>
    <x v="23"/>
    <x v="23"/>
    <m/>
    <m/>
    <m/>
    <x v="1"/>
    <m/>
  </r>
  <r>
    <d v="2021-02-08T00:00:00"/>
    <x v="2"/>
    <x v="0"/>
    <x v="0"/>
    <n v="20000"/>
    <n v="20000"/>
    <n v="0"/>
    <x v="174"/>
    <s v="Cali"/>
  </r>
  <r>
    <d v="2021-02-08T00:00:00"/>
    <x v="2"/>
    <x v="25"/>
    <x v="25"/>
    <n v="-20000"/>
    <n v="0"/>
    <n v="20000"/>
    <x v="174"/>
    <s v="Cali"/>
  </r>
  <r>
    <m/>
    <x v="1"/>
    <x v="23"/>
    <x v="23"/>
    <m/>
    <m/>
    <m/>
    <x v="1"/>
    <m/>
  </r>
  <r>
    <d v="2021-02-08T00:00:00"/>
    <x v="2"/>
    <x v="0"/>
    <x v="0"/>
    <n v="8000"/>
    <n v="8000"/>
    <n v="0"/>
    <x v="175"/>
    <s v="Cali"/>
  </r>
  <r>
    <d v="2021-02-08T00:00:00"/>
    <x v="2"/>
    <x v="25"/>
    <x v="25"/>
    <n v="-8000"/>
    <n v="0"/>
    <n v="8000"/>
    <x v="175"/>
    <s v="Cali"/>
  </r>
  <r>
    <m/>
    <x v="1"/>
    <x v="23"/>
    <x v="23"/>
    <m/>
    <m/>
    <m/>
    <x v="1"/>
    <m/>
  </r>
  <r>
    <d v="2021-02-08T00:00:00"/>
    <x v="2"/>
    <x v="0"/>
    <x v="0"/>
    <n v="40000"/>
    <n v="40000"/>
    <n v="0"/>
    <x v="176"/>
    <s v="Cali"/>
  </r>
  <r>
    <d v="2021-02-08T00:00:00"/>
    <x v="2"/>
    <x v="25"/>
    <x v="25"/>
    <n v="-40000"/>
    <n v="0"/>
    <n v="40000"/>
    <x v="176"/>
    <s v="Cali"/>
  </r>
  <r>
    <m/>
    <x v="1"/>
    <x v="23"/>
    <x v="23"/>
    <m/>
    <m/>
    <m/>
    <x v="1"/>
    <m/>
  </r>
  <r>
    <d v="2021-02-08T00:00:00"/>
    <x v="2"/>
    <x v="0"/>
    <x v="0"/>
    <n v="15000"/>
    <n v="15000"/>
    <n v="0"/>
    <x v="173"/>
    <s v="Cali"/>
  </r>
  <r>
    <d v="2021-02-08T00:00:00"/>
    <x v="2"/>
    <x v="26"/>
    <x v="26"/>
    <n v="-15000"/>
    <n v="0"/>
    <n v="15000"/>
    <x v="173"/>
    <s v="Cali"/>
  </r>
  <r>
    <m/>
    <x v="1"/>
    <x v="23"/>
    <x v="23"/>
    <m/>
    <m/>
    <m/>
    <x v="1"/>
    <m/>
  </r>
  <r>
    <d v="2021-02-08T00:00:00"/>
    <x v="2"/>
    <x v="0"/>
    <x v="0"/>
    <n v="1500"/>
    <n v="1500"/>
    <n v="0"/>
    <x v="177"/>
    <s v="Cali"/>
  </r>
  <r>
    <d v="2021-02-08T00:00:00"/>
    <x v="2"/>
    <x v="19"/>
    <x v="19"/>
    <n v="-1500"/>
    <n v="0"/>
    <n v="1500"/>
    <x v="177"/>
    <s v="Cali"/>
  </r>
  <r>
    <m/>
    <x v="1"/>
    <x v="23"/>
    <x v="23"/>
    <m/>
    <m/>
    <m/>
    <x v="1"/>
    <m/>
  </r>
  <r>
    <d v="2021-02-08T00:00:00"/>
    <x v="2"/>
    <x v="0"/>
    <x v="0"/>
    <n v="40000"/>
    <n v="40000"/>
    <n v="0"/>
    <x v="178"/>
    <s v="Cali"/>
  </r>
  <r>
    <d v="2021-02-08T00:00:00"/>
    <x v="2"/>
    <x v="25"/>
    <x v="25"/>
    <n v="-40000"/>
    <n v="0"/>
    <n v="40000"/>
    <x v="178"/>
    <s v="Cali"/>
  </r>
  <r>
    <m/>
    <x v="1"/>
    <x v="23"/>
    <x v="23"/>
    <m/>
    <m/>
    <m/>
    <x v="1"/>
    <m/>
  </r>
  <r>
    <d v="2021-02-08T00:00:00"/>
    <x v="2"/>
    <x v="0"/>
    <x v="0"/>
    <n v="60000"/>
    <n v="60000"/>
    <n v="0"/>
    <x v="179"/>
    <s v="Cali"/>
  </r>
  <r>
    <d v="2021-02-08T00:00:00"/>
    <x v="2"/>
    <x v="25"/>
    <x v="25"/>
    <n v="-60000"/>
    <n v="0"/>
    <n v="60000"/>
    <x v="179"/>
    <s v="Cali"/>
  </r>
  <r>
    <m/>
    <x v="1"/>
    <x v="23"/>
    <x v="23"/>
    <m/>
    <m/>
    <m/>
    <x v="1"/>
    <m/>
  </r>
  <r>
    <d v="2021-02-09T00:00:00"/>
    <x v="2"/>
    <x v="0"/>
    <x v="0"/>
    <n v="30000"/>
    <n v="30000"/>
    <n v="0"/>
    <x v="180"/>
    <s v="Cali"/>
  </r>
  <r>
    <d v="2021-02-09T00:00:00"/>
    <x v="2"/>
    <x v="26"/>
    <x v="26"/>
    <n v="-30000"/>
    <n v="0"/>
    <n v="30000"/>
    <x v="180"/>
    <s v="Cali"/>
  </r>
  <r>
    <m/>
    <x v="1"/>
    <x v="23"/>
    <x v="23"/>
    <m/>
    <m/>
    <m/>
    <x v="1"/>
    <m/>
  </r>
  <r>
    <d v="2021-02-09T00:00:00"/>
    <x v="2"/>
    <x v="0"/>
    <x v="0"/>
    <n v="1650000"/>
    <n v="1650000"/>
    <n v="0"/>
    <x v="171"/>
    <s v="Cali"/>
  </r>
  <r>
    <d v="2021-02-09T00:00:00"/>
    <x v="2"/>
    <x v="26"/>
    <x v="26"/>
    <n v="-1650000"/>
    <n v="0"/>
    <n v="1650000"/>
    <x v="171"/>
    <s v="Cali"/>
  </r>
  <r>
    <m/>
    <x v="1"/>
    <x v="23"/>
    <x v="23"/>
    <m/>
    <m/>
    <m/>
    <x v="1"/>
    <m/>
  </r>
  <r>
    <d v="2021-02-09T00:00:00"/>
    <x v="2"/>
    <x v="0"/>
    <x v="0"/>
    <n v="49405"/>
    <n v="49405"/>
    <n v="0"/>
    <x v="181"/>
    <s v="Cali"/>
  </r>
  <r>
    <d v="2021-02-09T00:00:00"/>
    <x v="2"/>
    <x v="49"/>
    <x v="49"/>
    <n v="595"/>
    <n v="595"/>
    <n v="0"/>
    <x v="181"/>
    <s v="Cali"/>
  </r>
  <r>
    <d v="2021-02-09T00:00:00"/>
    <x v="2"/>
    <x v="25"/>
    <x v="25"/>
    <n v="-50000"/>
    <n v="0"/>
    <n v="50000"/>
    <x v="181"/>
    <s v="Cali"/>
  </r>
  <r>
    <m/>
    <x v="1"/>
    <x v="23"/>
    <x v="23"/>
    <m/>
    <m/>
    <m/>
    <x v="1"/>
    <m/>
  </r>
  <r>
    <d v="2021-02-09T00:00:00"/>
    <x v="2"/>
    <x v="0"/>
    <x v="0"/>
    <n v="988100"/>
    <n v="988100"/>
    <n v="0"/>
    <x v="182"/>
    <s v="Cali"/>
  </r>
  <r>
    <d v="2021-02-09T00:00:00"/>
    <x v="2"/>
    <x v="26"/>
    <x v="26"/>
    <n v="-988100"/>
    <n v="0"/>
    <n v="988100"/>
    <x v="182"/>
    <s v="Cali"/>
  </r>
  <r>
    <m/>
    <x v="1"/>
    <x v="23"/>
    <x v="23"/>
    <m/>
    <m/>
    <m/>
    <x v="1"/>
    <m/>
  </r>
  <r>
    <d v="2021-02-09T00:00:00"/>
    <x v="2"/>
    <x v="0"/>
    <x v="0"/>
    <n v="59000"/>
    <n v="59000"/>
    <n v="0"/>
    <x v="183"/>
    <s v="Cali"/>
  </r>
  <r>
    <d v="2021-02-09T00:00:00"/>
    <x v="2"/>
    <x v="4"/>
    <x v="4"/>
    <n v="-59000"/>
    <n v="0"/>
    <n v="59000"/>
    <x v="183"/>
    <s v="Cali"/>
  </r>
  <r>
    <m/>
    <x v="1"/>
    <x v="23"/>
    <x v="23"/>
    <m/>
    <m/>
    <m/>
    <x v="1"/>
    <m/>
  </r>
  <r>
    <d v="2021-02-10T00:00:00"/>
    <x v="2"/>
    <x v="28"/>
    <x v="28"/>
    <n v="100000"/>
    <n v="100000"/>
    <n v="0"/>
    <x v="184"/>
    <s v="Cali"/>
  </r>
  <r>
    <d v="2021-02-10T00:00:00"/>
    <x v="2"/>
    <x v="0"/>
    <x v="0"/>
    <n v="-100000"/>
    <n v="0"/>
    <n v="100000"/>
    <x v="184"/>
    <s v="Cali"/>
  </r>
  <r>
    <m/>
    <x v="1"/>
    <x v="23"/>
    <x v="23"/>
    <m/>
    <m/>
    <m/>
    <x v="1"/>
    <m/>
  </r>
  <r>
    <d v="2021-02-10T00:00:00"/>
    <x v="2"/>
    <x v="0"/>
    <x v="0"/>
    <n v="30000"/>
    <n v="30000"/>
    <n v="0"/>
    <x v="185"/>
    <s v="Cali"/>
  </r>
  <r>
    <d v="2021-02-10T00:00:00"/>
    <x v="2"/>
    <x v="25"/>
    <x v="25"/>
    <n v="-30000"/>
    <n v="0"/>
    <n v="30000"/>
    <x v="185"/>
    <s v="Cali"/>
  </r>
  <r>
    <m/>
    <x v="1"/>
    <x v="23"/>
    <x v="23"/>
    <m/>
    <m/>
    <m/>
    <x v="1"/>
    <m/>
  </r>
  <r>
    <d v="2021-02-10T00:00:00"/>
    <x v="2"/>
    <x v="0"/>
    <x v="0"/>
    <n v="17000"/>
    <n v="17000"/>
    <n v="0"/>
    <x v="186"/>
    <s v="Cali"/>
  </r>
  <r>
    <d v="2021-02-10T00:00:00"/>
    <x v="2"/>
    <x v="25"/>
    <x v="25"/>
    <n v="-17000"/>
    <n v="0"/>
    <n v="17000"/>
    <x v="186"/>
    <s v="Cali"/>
  </r>
  <r>
    <m/>
    <x v="1"/>
    <x v="23"/>
    <x v="23"/>
    <m/>
    <m/>
    <m/>
    <x v="1"/>
    <m/>
  </r>
  <r>
    <d v="2021-02-10T00:00:00"/>
    <x v="2"/>
    <x v="17"/>
    <x v="17"/>
    <n v="28192"/>
    <n v="28192"/>
    <n v="0"/>
    <x v="187"/>
    <s v="Cali"/>
  </r>
  <r>
    <d v="2021-02-10T00:00:00"/>
    <x v="2"/>
    <x v="13"/>
    <x v="13"/>
    <n v="-28192"/>
    <n v="0"/>
    <n v="28192"/>
    <x v="187"/>
    <s v="Cali"/>
  </r>
  <r>
    <m/>
    <x v="1"/>
    <x v="23"/>
    <x v="23"/>
    <m/>
    <m/>
    <m/>
    <x v="1"/>
    <m/>
  </r>
  <r>
    <d v="2021-02-11T00:00:00"/>
    <x v="2"/>
    <x v="0"/>
    <x v="0"/>
    <n v="20000"/>
    <n v="20000"/>
    <n v="0"/>
    <x v="65"/>
    <s v="Cali"/>
  </r>
  <r>
    <d v="2021-02-11T00:00:00"/>
    <x v="2"/>
    <x v="4"/>
    <x v="4"/>
    <n v="-20000"/>
    <n v="0"/>
    <n v="20000"/>
    <x v="65"/>
    <s v="Cali"/>
  </r>
  <r>
    <m/>
    <x v="1"/>
    <x v="23"/>
    <x v="23"/>
    <m/>
    <m/>
    <m/>
    <x v="1"/>
    <m/>
  </r>
  <r>
    <d v="2021-02-11T00:00:00"/>
    <x v="2"/>
    <x v="0"/>
    <x v="0"/>
    <n v="40000"/>
    <n v="40000"/>
    <n v="0"/>
    <x v="65"/>
    <s v="Cali"/>
  </r>
  <r>
    <d v="2021-02-11T00:00:00"/>
    <x v="2"/>
    <x v="29"/>
    <x v="29"/>
    <n v="-40000"/>
    <n v="0"/>
    <n v="40000"/>
    <x v="65"/>
    <s v="Cali"/>
  </r>
  <r>
    <m/>
    <x v="1"/>
    <x v="23"/>
    <x v="23"/>
    <m/>
    <m/>
    <m/>
    <x v="1"/>
    <m/>
  </r>
  <r>
    <d v="2021-02-12T00:00:00"/>
    <x v="2"/>
    <x v="0"/>
    <x v="0"/>
    <n v="30000"/>
    <n v="30000"/>
    <n v="0"/>
    <x v="65"/>
    <s v="Cali"/>
  </r>
  <r>
    <d v="2021-02-12T00:00:00"/>
    <x v="2"/>
    <x v="29"/>
    <x v="29"/>
    <n v="-30000"/>
    <n v="0"/>
    <n v="30000"/>
    <x v="65"/>
    <s v="Cali"/>
  </r>
  <r>
    <m/>
    <x v="1"/>
    <x v="23"/>
    <x v="23"/>
    <m/>
    <m/>
    <m/>
    <x v="1"/>
    <m/>
  </r>
  <r>
    <d v="2021-02-12T00:00:00"/>
    <x v="2"/>
    <x v="0"/>
    <x v="0"/>
    <n v="60000"/>
    <n v="60000"/>
    <n v="0"/>
    <x v="65"/>
    <s v="Cali"/>
  </r>
  <r>
    <d v="2021-02-12T00:00:00"/>
    <x v="2"/>
    <x v="29"/>
    <x v="29"/>
    <n v="-60000"/>
    <n v="0"/>
    <n v="60000"/>
    <x v="65"/>
    <s v="Cali"/>
  </r>
  <r>
    <m/>
    <x v="1"/>
    <x v="23"/>
    <x v="23"/>
    <m/>
    <m/>
    <m/>
    <x v="1"/>
    <m/>
  </r>
  <r>
    <d v="2021-02-12T00:00:00"/>
    <x v="2"/>
    <x v="0"/>
    <x v="0"/>
    <n v="62000"/>
    <n v="62000"/>
    <n v="0"/>
    <x v="65"/>
    <s v="Cali"/>
  </r>
  <r>
    <d v="2021-02-12T00:00:00"/>
    <x v="2"/>
    <x v="29"/>
    <x v="29"/>
    <n v="-62000"/>
    <n v="0"/>
    <n v="62000"/>
    <x v="65"/>
    <s v="Cali"/>
  </r>
  <r>
    <m/>
    <x v="1"/>
    <x v="23"/>
    <x v="23"/>
    <m/>
    <m/>
    <m/>
    <x v="1"/>
    <m/>
  </r>
  <r>
    <d v="2021-02-12T00:00:00"/>
    <x v="2"/>
    <x v="0"/>
    <x v="0"/>
    <n v="20000"/>
    <n v="20000"/>
    <n v="0"/>
    <x v="188"/>
    <s v="Cali"/>
  </r>
  <r>
    <d v="2021-02-12T00:00:00"/>
    <x v="2"/>
    <x v="29"/>
    <x v="29"/>
    <n v="-20000"/>
    <n v="0"/>
    <n v="20000"/>
    <x v="188"/>
    <s v="Cali"/>
  </r>
  <r>
    <m/>
    <x v="1"/>
    <x v="23"/>
    <x v="23"/>
    <m/>
    <m/>
    <m/>
    <x v="1"/>
    <m/>
  </r>
  <r>
    <d v="2021-02-12T00:00:00"/>
    <x v="2"/>
    <x v="0"/>
    <x v="0"/>
    <n v="35000"/>
    <n v="35000"/>
    <n v="0"/>
    <x v="65"/>
    <s v="Cali"/>
  </r>
  <r>
    <d v="2021-02-12T00:00:00"/>
    <x v="2"/>
    <x v="29"/>
    <x v="29"/>
    <n v="-35000"/>
    <n v="0"/>
    <n v="35000"/>
    <x v="65"/>
    <s v="Cali"/>
  </r>
  <r>
    <m/>
    <x v="1"/>
    <x v="23"/>
    <x v="23"/>
    <m/>
    <m/>
    <m/>
    <x v="1"/>
    <m/>
  </r>
  <r>
    <d v="2021-02-15T00:00:00"/>
    <x v="2"/>
    <x v="31"/>
    <x v="31"/>
    <n v="112994"/>
    <n v="112994"/>
    <n v="0"/>
    <x v="189"/>
    <s v="Cali"/>
  </r>
  <r>
    <d v="2021-02-15T00:00:00"/>
    <x v="2"/>
    <x v="17"/>
    <x v="17"/>
    <n v="-12994"/>
    <n v="0"/>
    <n v="12994"/>
    <x v="189"/>
    <s v="Cali"/>
  </r>
  <r>
    <d v="2021-02-15T00:00:00"/>
    <x v="2"/>
    <x v="0"/>
    <x v="0"/>
    <n v="-100000"/>
    <n v="0"/>
    <n v="100000"/>
    <x v="189"/>
    <s v="Cali"/>
  </r>
  <r>
    <m/>
    <x v="1"/>
    <x v="23"/>
    <x v="23"/>
    <m/>
    <m/>
    <m/>
    <x v="1"/>
    <m/>
  </r>
  <r>
    <d v="2021-02-15T00:00:00"/>
    <x v="2"/>
    <x v="16"/>
    <x v="16"/>
    <n v="50280"/>
    <n v="50280"/>
    <n v="0"/>
    <x v="75"/>
    <s v="Cali"/>
  </r>
  <r>
    <d v="2021-02-15T00:00:00"/>
    <x v="2"/>
    <x v="17"/>
    <x v="17"/>
    <n v="-5782"/>
    <n v="0"/>
    <n v="5782"/>
    <x v="75"/>
    <s v="Cali"/>
  </r>
  <r>
    <d v="2021-02-15T00:00:00"/>
    <x v="2"/>
    <x v="0"/>
    <x v="0"/>
    <n v="-44498"/>
    <n v="0"/>
    <n v="44498"/>
    <x v="75"/>
    <s v="Cali"/>
  </r>
  <r>
    <m/>
    <x v="1"/>
    <x v="23"/>
    <x v="23"/>
    <m/>
    <m/>
    <m/>
    <x v="1"/>
    <m/>
  </r>
  <r>
    <d v="2021-02-15T00:00:00"/>
    <x v="2"/>
    <x v="0"/>
    <x v="0"/>
    <n v="250000"/>
    <n v="250000"/>
    <n v="0"/>
    <x v="190"/>
    <s v="Cali"/>
  </r>
  <r>
    <d v="2021-02-15T00:00:00"/>
    <x v="2"/>
    <x v="26"/>
    <x v="26"/>
    <n v="-250000"/>
    <n v="0"/>
    <n v="250000"/>
    <x v="190"/>
    <s v="Cali"/>
  </r>
  <r>
    <m/>
    <x v="1"/>
    <x v="23"/>
    <x v="23"/>
    <m/>
    <m/>
    <m/>
    <x v="1"/>
    <m/>
  </r>
  <r>
    <d v="2021-02-15T00:00:00"/>
    <x v="2"/>
    <x v="0"/>
    <x v="0"/>
    <n v="9000"/>
    <n v="9000"/>
    <n v="0"/>
    <x v="191"/>
    <s v="Cali"/>
  </r>
  <r>
    <d v="2021-02-15T00:00:00"/>
    <x v="2"/>
    <x v="27"/>
    <x v="27"/>
    <n v="-9000"/>
    <n v="0"/>
    <n v="9000"/>
    <x v="191"/>
    <s v="Cali"/>
  </r>
  <r>
    <m/>
    <x v="1"/>
    <x v="23"/>
    <x v="23"/>
    <m/>
    <m/>
    <m/>
    <x v="1"/>
    <m/>
  </r>
  <r>
    <d v="2021-02-15T00:00:00"/>
    <x v="2"/>
    <x v="0"/>
    <x v="0"/>
    <n v="10000"/>
    <n v="10000"/>
    <n v="0"/>
    <x v="140"/>
    <s v="Cali"/>
  </r>
  <r>
    <d v="2021-02-15T00:00:00"/>
    <x v="2"/>
    <x v="19"/>
    <x v="19"/>
    <n v="-10000"/>
    <n v="0"/>
    <n v="10000"/>
    <x v="140"/>
    <s v="Cali"/>
  </r>
  <r>
    <m/>
    <x v="1"/>
    <x v="23"/>
    <x v="23"/>
    <m/>
    <m/>
    <m/>
    <x v="1"/>
    <m/>
  </r>
  <r>
    <d v="2021-02-15T00:00:00"/>
    <x v="2"/>
    <x v="0"/>
    <x v="0"/>
    <n v="1500"/>
    <n v="1500"/>
    <n v="0"/>
    <x v="177"/>
    <s v="Cali"/>
  </r>
  <r>
    <d v="2021-02-15T00:00:00"/>
    <x v="2"/>
    <x v="19"/>
    <x v="19"/>
    <n v="-1500"/>
    <n v="0"/>
    <n v="1500"/>
    <x v="177"/>
    <s v="Cali"/>
  </r>
  <r>
    <m/>
    <x v="1"/>
    <x v="23"/>
    <x v="23"/>
    <m/>
    <m/>
    <m/>
    <x v="1"/>
    <m/>
  </r>
  <r>
    <d v="2021-02-15T00:00:00"/>
    <x v="2"/>
    <x v="0"/>
    <x v="0"/>
    <n v="100000"/>
    <n v="100000"/>
    <n v="0"/>
    <x v="192"/>
    <s v="Cali"/>
  </r>
  <r>
    <d v="2021-02-15T00:00:00"/>
    <x v="2"/>
    <x v="26"/>
    <x v="26"/>
    <n v="-100000"/>
    <n v="0"/>
    <n v="100000"/>
    <x v="192"/>
    <s v="Cali"/>
  </r>
  <r>
    <m/>
    <x v="1"/>
    <x v="23"/>
    <x v="23"/>
    <m/>
    <m/>
    <m/>
    <x v="1"/>
    <m/>
  </r>
  <r>
    <d v="2021-02-15T00:00:00"/>
    <x v="2"/>
    <x v="0"/>
    <x v="0"/>
    <n v="20000"/>
    <n v="20000"/>
    <n v="0"/>
    <x v="193"/>
    <s v="Cali"/>
  </r>
  <r>
    <d v="2021-02-15T00:00:00"/>
    <x v="2"/>
    <x v="25"/>
    <x v="25"/>
    <n v="-20000"/>
    <n v="0"/>
    <n v="20000"/>
    <x v="193"/>
    <s v="Cali"/>
  </r>
  <r>
    <m/>
    <x v="1"/>
    <x v="23"/>
    <x v="23"/>
    <m/>
    <m/>
    <m/>
    <x v="1"/>
    <m/>
  </r>
  <r>
    <d v="2021-02-15T00:00:00"/>
    <x v="2"/>
    <x v="0"/>
    <x v="0"/>
    <n v="25000"/>
    <n v="25000"/>
    <n v="0"/>
    <x v="194"/>
    <s v="Cali"/>
  </r>
  <r>
    <d v="2021-02-15T00:00:00"/>
    <x v="2"/>
    <x v="25"/>
    <x v="25"/>
    <n v="-25000"/>
    <n v="0"/>
    <n v="25000"/>
    <x v="194"/>
    <s v="Cali"/>
  </r>
  <r>
    <m/>
    <x v="1"/>
    <x v="23"/>
    <x v="23"/>
    <m/>
    <m/>
    <m/>
    <x v="1"/>
    <m/>
  </r>
  <r>
    <d v="2021-02-15T00:00:00"/>
    <x v="2"/>
    <x v="0"/>
    <x v="0"/>
    <n v="50000"/>
    <n v="50000"/>
    <n v="0"/>
    <x v="195"/>
    <s v="Cali"/>
  </r>
  <r>
    <d v="2021-02-15T00:00:00"/>
    <x v="2"/>
    <x v="25"/>
    <x v="25"/>
    <n v="-50000"/>
    <n v="0"/>
    <n v="50000"/>
    <x v="195"/>
    <s v="Cali"/>
  </r>
  <r>
    <m/>
    <x v="1"/>
    <x v="23"/>
    <x v="23"/>
    <m/>
    <m/>
    <m/>
    <x v="1"/>
    <m/>
  </r>
  <r>
    <d v="2021-02-15T00:00:00"/>
    <x v="2"/>
    <x v="0"/>
    <x v="0"/>
    <n v="20000"/>
    <n v="20000"/>
    <n v="0"/>
    <x v="196"/>
    <s v="Cali"/>
  </r>
  <r>
    <d v="2021-02-15T00:00:00"/>
    <x v="2"/>
    <x v="25"/>
    <x v="25"/>
    <n v="-20000"/>
    <n v="0"/>
    <n v="20000"/>
    <x v="196"/>
    <s v="Cali"/>
  </r>
  <r>
    <m/>
    <x v="1"/>
    <x v="23"/>
    <x v="23"/>
    <m/>
    <m/>
    <m/>
    <x v="1"/>
    <m/>
  </r>
  <r>
    <d v="2021-02-15T00:00:00"/>
    <x v="2"/>
    <x v="0"/>
    <x v="0"/>
    <n v="140000"/>
    <n v="140000"/>
    <n v="0"/>
    <x v="197"/>
    <s v="Cali"/>
  </r>
  <r>
    <d v="2021-02-15T00:00:00"/>
    <x v="2"/>
    <x v="26"/>
    <x v="26"/>
    <n v="-140000"/>
    <n v="0"/>
    <n v="140000"/>
    <x v="197"/>
    <s v="Cali"/>
  </r>
  <r>
    <m/>
    <x v="1"/>
    <x v="23"/>
    <x v="23"/>
    <m/>
    <m/>
    <m/>
    <x v="1"/>
    <m/>
  </r>
  <r>
    <d v="2021-02-15T00:00:00"/>
    <x v="2"/>
    <x v="0"/>
    <x v="0"/>
    <n v="10000"/>
    <n v="10000"/>
    <n v="0"/>
    <x v="198"/>
    <s v="Cali"/>
  </r>
  <r>
    <d v="2021-02-15T00:00:00"/>
    <x v="2"/>
    <x v="27"/>
    <x v="27"/>
    <n v="-10000"/>
    <n v="0"/>
    <n v="10000"/>
    <x v="198"/>
    <s v="Cali"/>
  </r>
  <r>
    <m/>
    <x v="1"/>
    <x v="23"/>
    <x v="23"/>
    <m/>
    <m/>
    <m/>
    <x v="1"/>
    <m/>
  </r>
  <r>
    <d v="2021-02-16T00:00:00"/>
    <x v="2"/>
    <x v="0"/>
    <x v="0"/>
    <n v="10000"/>
    <n v="10000"/>
    <n v="0"/>
    <x v="199"/>
    <s v="Cali"/>
  </r>
  <r>
    <d v="2021-02-16T00:00:00"/>
    <x v="2"/>
    <x v="27"/>
    <x v="27"/>
    <n v="-10000"/>
    <n v="0"/>
    <n v="10000"/>
    <x v="199"/>
    <s v="Cali"/>
  </r>
  <r>
    <m/>
    <x v="1"/>
    <x v="23"/>
    <x v="23"/>
    <m/>
    <m/>
    <m/>
    <x v="1"/>
    <m/>
  </r>
  <r>
    <d v="2021-02-18T00:00:00"/>
    <x v="2"/>
    <x v="0"/>
    <x v="0"/>
    <n v="5000"/>
    <n v="5000"/>
    <n v="0"/>
    <x v="200"/>
    <s v="Cali"/>
  </r>
  <r>
    <d v="2021-02-18T00:00:00"/>
    <x v="2"/>
    <x v="19"/>
    <x v="19"/>
    <n v="-5000"/>
    <n v="0"/>
    <n v="5000"/>
    <x v="200"/>
    <s v="Cali"/>
  </r>
  <r>
    <m/>
    <x v="1"/>
    <x v="23"/>
    <x v="23"/>
    <m/>
    <m/>
    <m/>
    <x v="1"/>
    <m/>
  </r>
  <r>
    <d v="2021-02-19T00:00:00"/>
    <x v="2"/>
    <x v="0"/>
    <x v="0"/>
    <n v="18000"/>
    <n v="18000"/>
    <n v="0"/>
    <x v="201"/>
    <s v="Cali"/>
  </r>
  <r>
    <d v="2021-02-19T00:00:00"/>
    <x v="2"/>
    <x v="25"/>
    <x v="25"/>
    <n v="-18000"/>
    <n v="0"/>
    <n v="18000"/>
    <x v="201"/>
    <s v="Cali"/>
  </r>
  <r>
    <m/>
    <x v="1"/>
    <x v="23"/>
    <x v="23"/>
    <m/>
    <m/>
    <m/>
    <x v="1"/>
    <m/>
  </r>
  <r>
    <d v="2021-02-22T00:00:00"/>
    <x v="2"/>
    <x v="0"/>
    <x v="0"/>
    <n v="55000"/>
    <n v="55000"/>
    <n v="0"/>
    <x v="202"/>
    <s v="Cali"/>
  </r>
  <r>
    <d v="2021-02-22T00:00:00"/>
    <x v="2"/>
    <x v="27"/>
    <x v="27"/>
    <n v="-55000"/>
    <n v="0"/>
    <n v="55000"/>
    <x v="202"/>
    <s v="Cali"/>
  </r>
  <r>
    <m/>
    <x v="1"/>
    <x v="23"/>
    <x v="23"/>
    <m/>
    <m/>
    <m/>
    <x v="1"/>
    <m/>
  </r>
  <r>
    <d v="2021-02-22T00:00:00"/>
    <x v="2"/>
    <x v="0"/>
    <x v="0"/>
    <n v="10000"/>
    <n v="10000"/>
    <n v="0"/>
    <x v="140"/>
    <s v="Cali"/>
  </r>
  <r>
    <d v="2021-02-22T00:00:00"/>
    <x v="2"/>
    <x v="19"/>
    <x v="19"/>
    <n v="-10000"/>
    <n v="0"/>
    <n v="10000"/>
    <x v="140"/>
    <s v="Cali"/>
  </r>
  <r>
    <m/>
    <x v="1"/>
    <x v="23"/>
    <x v="23"/>
    <m/>
    <m/>
    <m/>
    <x v="1"/>
    <m/>
  </r>
  <r>
    <d v="2021-02-23T00:00:00"/>
    <x v="2"/>
    <x v="0"/>
    <x v="0"/>
    <n v="30000"/>
    <n v="30000"/>
    <n v="0"/>
    <x v="203"/>
    <s v="Cali"/>
  </r>
  <r>
    <d v="2021-02-23T00:00:00"/>
    <x v="2"/>
    <x v="27"/>
    <x v="27"/>
    <n v="-30000"/>
    <n v="0"/>
    <n v="30000"/>
    <x v="203"/>
    <s v="Cali"/>
  </r>
  <r>
    <m/>
    <x v="1"/>
    <x v="23"/>
    <x v="23"/>
    <m/>
    <m/>
    <m/>
    <x v="1"/>
    <m/>
  </r>
  <r>
    <d v="2021-02-23T00:00:00"/>
    <x v="2"/>
    <x v="0"/>
    <x v="0"/>
    <n v="20000"/>
    <n v="20000"/>
    <n v="0"/>
    <x v="85"/>
    <s v="Cali"/>
  </r>
  <r>
    <d v="2021-02-23T00:00:00"/>
    <x v="2"/>
    <x v="25"/>
    <x v="25"/>
    <n v="-20000"/>
    <n v="0"/>
    <n v="20000"/>
    <x v="85"/>
    <s v="Cali"/>
  </r>
  <r>
    <m/>
    <x v="1"/>
    <x v="23"/>
    <x v="23"/>
    <m/>
    <m/>
    <m/>
    <x v="1"/>
    <m/>
  </r>
  <r>
    <d v="2021-02-23T00:00:00"/>
    <x v="2"/>
    <x v="0"/>
    <x v="0"/>
    <n v="550000"/>
    <n v="550000"/>
    <n v="0"/>
    <x v="190"/>
    <s v="Cali"/>
  </r>
  <r>
    <d v="2021-02-23T00:00:00"/>
    <x v="2"/>
    <x v="26"/>
    <x v="26"/>
    <n v="-550000"/>
    <n v="0"/>
    <n v="550000"/>
    <x v="190"/>
    <s v="Cali"/>
  </r>
  <r>
    <m/>
    <x v="1"/>
    <x v="23"/>
    <x v="23"/>
    <m/>
    <m/>
    <m/>
    <x v="1"/>
    <m/>
  </r>
  <r>
    <d v="2021-02-25T00:00:00"/>
    <x v="2"/>
    <x v="0"/>
    <x v="0"/>
    <n v="1471920"/>
    <n v="1471920"/>
    <n v="0"/>
    <x v="204"/>
    <s v="Cali"/>
  </r>
  <r>
    <d v="2021-02-25T00:00:00"/>
    <x v="2"/>
    <x v="26"/>
    <x v="26"/>
    <n v="-1471920"/>
    <n v="0"/>
    <n v="1471920"/>
    <x v="204"/>
    <s v="Cali"/>
  </r>
  <r>
    <m/>
    <x v="1"/>
    <x v="23"/>
    <x v="23"/>
    <m/>
    <m/>
    <m/>
    <x v="1"/>
    <m/>
  </r>
  <r>
    <d v="2021-02-25T00:00:00"/>
    <x v="2"/>
    <x v="0"/>
    <x v="0"/>
    <n v="15000"/>
    <n v="15000"/>
    <n v="0"/>
    <x v="205"/>
    <s v="Cali"/>
  </r>
  <r>
    <d v="2021-02-25T00:00:00"/>
    <x v="2"/>
    <x v="27"/>
    <x v="27"/>
    <n v="-15000"/>
    <n v="0"/>
    <n v="15000"/>
    <x v="205"/>
    <s v="Cali"/>
  </r>
  <r>
    <m/>
    <x v="1"/>
    <x v="23"/>
    <x v="23"/>
    <m/>
    <m/>
    <m/>
    <x v="1"/>
    <m/>
  </r>
  <r>
    <d v="2021-02-25T00:00:00"/>
    <x v="2"/>
    <x v="0"/>
    <x v="0"/>
    <n v="10000"/>
    <n v="10000"/>
    <n v="0"/>
    <x v="206"/>
    <s v="Cali"/>
  </r>
  <r>
    <d v="2021-02-25T00:00:00"/>
    <x v="2"/>
    <x v="26"/>
    <x v="26"/>
    <n v="-10000"/>
    <n v="0"/>
    <n v="10000"/>
    <x v="206"/>
    <s v="Cali"/>
  </r>
  <r>
    <m/>
    <x v="1"/>
    <x v="23"/>
    <x v="23"/>
    <m/>
    <m/>
    <m/>
    <x v="1"/>
    <m/>
  </r>
  <r>
    <d v="2021-02-25T00:00:00"/>
    <x v="2"/>
    <x v="0"/>
    <x v="0"/>
    <n v="20000"/>
    <n v="20000"/>
    <n v="0"/>
    <x v="207"/>
    <s v="Cali"/>
  </r>
  <r>
    <d v="2021-02-25T00:00:00"/>
    <x v="2"/>
    <x v="25"/>
    <x v="25"/>
    <n v="-20000"/>
    <n v="0"/>
    <n v="20000"/>
    <x v="207"/>
    <s v="Cali"/>
  </r>
  <r>
    <m/>
    <x v="1"/>
    <x v="23"/>
    <x v="23"/>
    <m/>
    <m/>
    <m/>
    <x v="1"/>
    <m/>
  </r>
  <r>
    <d v="2021-02-25T00:00:00"/>
    <x v="2"/>
    <x v="0"/>
    <x v="0"/>
    <n v="105000"/>
    <n v="105000"/>
    <n v="0"/>
    <x v="65"/>
    <s v="Cali"/>
  </r>
  <r>
    <d v="2021-02-25T00:00:00"/>
    <x v="2"/>
    <x v="29"/>
    <x v="29"/>
    <n v="-105000"/>
    <n v="0"/>
    <n v="105000"/>
    <x v="65"/>
    <s v="Cali"/>
  </r>
  <r>
    <m/>
    <x v="1"/>
    <x v="23"/>
    <x v="23"/>
    <m/>
    <m/>
    <m/>
    <x v="1"/>
    <m/>
  </r>
  <r>
    <d v="2021-02-26T00:00:00"/>
    <x v="2"/>
    <x v="15"/>
    <x v="15"/>
    <n v="2938656"/>
    <n v="2938656"/>
    <n v="0"/>
    <x v="208"/>
    <s v="Cali"/>
  </r>
  <r>
    <d v="2021-02-26T00:00:00"/>
    <x v="2"/>
    <x v="14"/>
    <x v="14"/>
    <n v="193101"/>
    <n v="193101"/>
    <n v="0"/>
    <x v="208"/>
    <s v="Cali"/>
  </r>
  <r>
    <d v="2021-02-26T00:00:00"/>
    <x v="2"/>
    <x v="0"/>
    <x v="0"/>
    <n v="-3131757"/>
    <n v="0"/>
    <n v="3131757"/>
    <x v="208"/>
    <s v="Cali"/>
  </r>
  <r>
    <m/>
    <x v="1"/>
    <x v="23"/>
    <x v="23"/>
    <m/>
    <m/>
    <m/>
    <x v="1"/>
    <m/>
  </r>
  <r>
    <d v="2021-02-26T00:00:00"/>
    <x v="2"/>
    <x v="31"/>
    <x v="31"/>
    <n v="169492"/>
    <n v="169492"/>
    <n v="0"/>
    <x v="209"/>
    <s v="Cali"/>
  </r>
  <r>
    <d v="2021-02-26T00:00:00"/>
    <x v="2"/>
    <x v="17"/>
    <x v="17"/>
    <n v="-19492"/>
    <n v="0"/>
    <n v="19492"/>
    <x v="209"/>
    <s v="Cali"/>
  </r>
  <r>
    <d v="2021-02-26T00:00:00"/>
    <x v="2"/>
    <x v="0"/>
    <x v="0"/>
    <n v="-150000"/>
    <n v="0"/>
    <n v="150000"/>
    <x v="209"/>
    <s v="Cali"/>
  </r>
  <r>
    <m/>
    <x v="1"/>
    <x v="23"/>
    <x v="23"/>
    <m/>
    <m/>
    <m/>
    <x v="1"/>
    <m/>
  </r>
  <r>
    <d v="2021-02-25T00:00:00"/>
    <x v="2"/>
    <x v="31"/>
    <x v="31"/>
    <n v="112994"/>
    <n v="112994"/>
    <n v="0"/>
    <x v="210"/>
    <s v="Cali"/>
  </r>
  <r>
    <d v="2021-02-25T00:00:00"/>
    <x v="2"/>
    <x v="17"/>
    <x v="17"/>
    <n v="-12994"/>
    <n v="0"/>
    <n v="12994"/>
    <x v="210"/>
    <s v="Cali"/>
  </r>
  <r>
    <d v="2021-02-25T00:00:00"/>
    <x v="2"/>
    <x v="50"/>
    <x v="50"/>
    <n v="-100000"/>
    <n v="0"/>
    <n v="100000"/>
    <x v="210"/>
    <s v="Cali"/>
  </r>
  <r>
    <m/>
    <x v="1"/>
    <x v="23"/>
    <x v="23"/>
    <m/>
    <m/>
    <m/>
    <x v="1"/>
    <m/>
  </r>
  <r>
    <d v="2021-02-26T00:00:00"/>
    <x v="2"/>
    <x v="51"/>
    <x v="51"/>
    <n v="2000000"/>
    <n v="2000000"/>
    <n v="0"/>
    <x v="211"/>
    <s v="Cali"/>
  </r>
  <r>
    <d v="2021-02-26T00:00:00"/>
    <x v="2"/>
    <x v="0"/>
    <x v="0"/>
    <n v="-2000000"/>
    <n v="0"/>
    <n v="2000000"/>
    <x v="211"/>
    <s v="Cali"/>
  </r>
  <r>
    <m/>
    <x v="1"/>
    <x v="23"/>
    <x v="23"/>
    <m/>
    <m/>
    <m/>
    <x v="1"/>
    <m/>
  </r>
  <r>
    <d v="2021-02-26T00:00:00"/>
    <x v="2"/>
    <x v="0"/>
    <x v="0"/>
    <n v="400000"/>
    <n v="400000"/>
    <n v="0"/>
    <x v="212"/>
    <s v="Cali"/>
  </r>
  <r>
    <d v="2021-02-26T00:00:00"/>
    <x v="2"/>
    <x v="26"/>
    <x v="26"/>
    <n v="-400000"/>
    <n v="0"/>
    <n v="400000"/>
    <x v="212"/>
    <s v="Cali"/>
  </r>
  <r>
    <m/>
    <x v="1"/>
    <x v="23"/>
    <x v="23"/>
    <m/>
    <m/>
    <m/>
    <x v="1"/>
    <m/>
  </r>
  <r>
    <d v="2021-02-26T00:00:00"/>
    <x v="2"/>
    <x v="0"/>
    <x v="0"/>
    <n v="60000"/>
    <n v="60000"/>
    <n v="0"/>
    <x v="213"/>
    <s v="Cali"/>
  </r>
  <r>
    <d v="2021-02-26T00:00:00"/>
    <x v="2"/>
    <x v="29"/>
    <x v="29"/>
    <n v="-60000"/>
    <n v="0"/>
    <n v="60000"/>
    <x v="213"/>
    <s v="Cali"/>
  </r>
  <r>
    <m/>
    <x v="1"/>
    <x v="23"/>
    <x v="23"/>
    <m/>
    <m/>
    <m/>
    <x v="1"/>
    <m/>
  </r>
  <r>
    <d v="2021-02-26T00:00:00"/>
    <x v="2"/>
    <x v="0"/>
    <x v="0"/>
    <n v="25000"/>
    <n v="25000"/>
    <n v="0"/>
    <x v="138"/>
    <s v="Cali"/>
  </r>
  <r>
    <d v="2021-02-26T00:00:00"/>
    <x v="2"/>
    <x v="27"/>
    <x v="27"/>
    <n v="-25000"/>
    <n v="0"/>
    <n v="25000"/>
    <x v="138"/>
    <s v="Cali"/>
  </r>
  <r>
    <m/>
    <x v="1"/>
    <x v="23"/>
    <x v="23"/>
    <m/>
    <m/>
    <m/>
    <x v="1"/>
    <m/>
  </r>
  <r>
    <d v="2021-02-26T00:00:00"/>
    <x v="2"/>
    <x v="0"/>
    <x v="0"/>
    <n v="64000"/>
    <n v="64000"/>
    <n v="0"/>
    <x v="64"/>
    <s v="Cali"/>
  </r>
  <r>
    <d v="2021-02-26T00:00:00"/>
    <x v="2"/>
    <x v="27"/>
    <x v="27"/>
    <n v="-64000"/>
    <n v="0"/>
    <n v="64000"/>
    <x v="64"/>
    <s v="Cali"/>
  </r>
  <r>
    <m/>
    <x v="1"/>
    <x v="23"/>
    <x v="23"/>
    <m/>
    <m/>
    <m/>
    <x v="1"/>
    <m/>
  </r>
  <r>
    <d v="2021-02-13T00:00:00"/>
    <x v="2"/>
    <x v="2"/>
    <x v="2"/>
    <n v="74000000"/>
    <n v="74000000"/>
    <n v="0"/>
    <x v="214"/>
    <s v="Cali"/>
  </r>
  <r>
    <d v="2021-02-13T00:00:00"/>
    <x v="2"/>
    <x v="1"/>
    <x v="1"/>
    <n v="-74000000"/>
    <n v="0"/>
    <n v="74000000"/>
    <x v="214"/>
    <s v="Cali"/>
  </r>
  <r>
    <m/>
    <x v="1"/>
    <x v="23"/>
    <x v="23"/>
    <m/>
    <m/>
    <m/>
    <x v="1"/>
    <m/>
  </r>
  <r>
    <d v="2021-02-08T00:00:00"/>
    <x v="2"/>
    <x v="31"/>
    <x v="31"/>
    <n v="2097"/>
    <n v="2097"/>
    <n v="0"/>
    <x v="215"/>
    <s v="Cali"/>
  </r>
  <r>
    <d v="2021-02-08T00:00:00"/>
    <x v="2"/>
    <x v="1"/>
    <x v="1"/>
    <n v="-2097"/>
    <n v="0"/>
    <n v="2097"/>
    <x v="215"/>
    <s v="Cali"/>
  </r>
  <r>
    <m/>
    <x v="1"/>
    <x v="23"/>
    <x v="23"/>
    <m/>
    <m/>
    <m/>
    <x v="1"/>
    <m/>
  </r>
  <r>
    <d v="2021-02-08T00:00:00"/>
    <x v="2"/>
    <x v="31"/>
    <x v="31"/>
    <n v="398"/>
    <n v="398"/>
    <n v="0"/>
    <x v="215"/>
    <s v="Cali"/>
  </r>
  <r>
    <d v="2021-02-08T00:00:00"/>
    <x v="2"/>
    <x v="1"/>
    <x v="1"/>
    <n v="-398"/>
    <n v="0"/>
    <n v="398"/>
    <x v="215"/>
    <s v="Cali"/>
  </r>
  <r>
    <m/>
    <x v="1"/>
    <x v="23"/>
    <x v="23"/>
    <m/>
    <m/>
    <m/>
    <x v="1"/>
    <m/>
  </r>
  <r>
    <d v="2021-02-28T00:00:00"/>
    <x v="2"/>
    <x v="13"/>
    <x v="13"/>
    <n v="15000"/>
    <n v="15000"/>
    <n v="0"/>
    <x v="216"/>
    <s v="Cali"/>
  </r>
  <r>
    <d v="2021-02-28T00:00:00"/>
    <x v="2"/>
    <x v="13"/>
    <x v="13"/>
    <n v="250000"/>
    <n v="250000"/>
    <n v="0"/>
    <x v="217"/>
    <s v="Cali"/>
  </r>
  <r>
    <d v="2021-02-28T00:00:00"/>
    <x v="2"/>
    <x v="13"/>
    <x v="13"/>
    <n v="100000"/>
    <n v="100000"/>
    <n v="0"/>
    <x v="218"/>
    <s v="Cali"/>
  </r>
  <r>
    <d v="2021-02-28T00:00:00"/>
    <x v="2"/>
    <x v="13"/>
    <x v="13"/>
    <n v="2000000"/>
    <n v="2000000"/>
    <n v="0"/>
    <x v="219"/>
    <s v="Cali"/>
  </r>
  <r>
    <d v="2021-02-28T00:00:00"/>
    <x v="2"/>
    <x v="13"/>
    <x v="13"/>
    <n v="200000"/>
    <n v="200000"/>
    <n v="0"/>
    <x v="220"/>
    <s v="Cali"/>
  </r>
  <r>
    <d v="2021-02-28T00:00:00"/>
    <x v="2"/>
    <x v="13"/>
    <x v="13"/>
    <n v="30000"/>
    <n v="30000"/>
    <n v="0"/>
    <x v="221"/>
    <s v="Cali"/>
  </r>
  <r>
    <d v="2021-02-28T00:00:00"/>
    <x v="2"/>
    <x v="13"/>
    <x v="13"/>
    <n v="15000"/>
    <n v="15000"/>
    <n v="0"/>
    <x v="222"/>
    <s v="Cali"/>
  </r>
  <r>
    <d v="2021-02-28T00:00:00"/>
    <x v="2"/>
    <x v="13"/>
    <x v="13"/>
    <n v="15000"/>
    <n v="15000"/>
    <n v="0"/>
    <x v="223"/>
    <s v="Cali"/>
  </r>
  <r>
    <d v="2021-02-28T00:00:00"/>
    <x v="2"/>
    <x v="29"/>
    <x v="29"/>
    <n v="-15000"/>
    <n v="0"/>
    <n v="15000"/>
    <x v="216"/>
    <s v="Cali"/>
  </r>
  <r>
    <d v="2021-02-28T00:00:00"/>
    <x v="2"/>
    <x v="26"/>
    <x v="26"/>
    <n v="-250000"/>
    <n v="0"/>
    <n v="250000"/>
    <x v="217"/>
    <s v="Cali"/>
  </r>
  <r>
    <d v="2021-02-28T00:00:00"/>
    <x v="2"/>
    <x v="26"/>
    <x v="26"/>
    <n v="-100000"/>
    <n v="0"/>
    <n v="100000"/>
    <x v="218"/>
    <s v="Cali"/>
  </r>
  <r>
    <d v="2021-02-28T00:00:00"/>
    <x v="2"/>
    <x v="26"/>
    <x v="26"/>
    <n v="-2000000"/>
    <n v="0"/>
    <n v="2000000"/>
    <x v="219"/>
    <s v="Cali"/>
  </r>
  <r>
    <d v="2021-02-28T00:00:00"/>
    <x v="2"/>
    <x v="25"/>
    <x v="25"/>
    <n v="-200000"/>
    <n v="0"/>
    <n v="200000"/>
    <x v="220"/>
    <s v="Cali"/>
  </r>
  <r>
    <d v="2021-02-28T00:00:00"/>
    <x v="2"/>
    <x v="25"/>
    <x v="25"/>
    <n v="-30000"/>
    <n v="0"/>
    <n v="30000"/>
    <x v="221"/>
    <s v="Cali"/>
  </r>
  <r>
    <d v="2021-02-28T00:00:00"/>
    <x v="2"/>
    <x v="25"/>
    <x v="25"/>
    <n v="-15000"/>
    <n v="0"/>
    <n v="15000"/>
    <x v="222"/>
    <s v="Cali"/>
  </r>
  <r>
    <d v="2021-02-28T00:00:00"/>
    <x v="2"/>
    <x v="26"/>
    <x v="26"/>
    <n v="-15000"/>
    <n v="0"/>
    <n v="15000"/>
    <x v="223"/>
    <s v="Cali"/>
  </r>
  <r>
    <m/>
    <x v="1"/>
    <x v="23"/>
    <x v="23"/>
    <m/>
    <m/>
    <m/>
    <x v="1"/>
    <m/>
  </r>
  <r>
    <d v="2021-02-26T00:00:00"/>
    <x v="2"/>
    <x v="51"/>
    <x v="51"/>
    <n v="0"/>
    <n v="0"/>
    <n v="0"/>
    <x v="224"/>
    <s v="Cali"/>
  </r>
  <r>
    <d v="2021-02-26T00:00:00"/>
    <x v="2"/>
    <x v="2"/>
    <x v="2"/>
    <n v="0"/>
    <n v="0"/>
    <n v="0"/>
    <x v="224"/>
    <s v="Cali"/>
  </r>
  <r>
    <m/>
    <x v="1"/>
    <x v="23"/>
    <x v="23"/>
    <m/>
    <m/>
    <m/>
    <x v="1"/>
    <m/>
  </r>
  <r>
    <d v="2021-02-11T00:00:00"/>
    <x v="2"/>
    <x v="1"/>
    <x v="1"/>
    <n v="150000000"/>
    <n v="150000000"/>
    <n v="0"/>
    <x v="225"/>
    <s v="Cali"/>
  </r>
  <r>
    <d v="2021-02-11T00:00:00"/>
    <x v="2"/>
    <x v="3"/>
    <x v="3"/>
    <n v="-150000000"/>
    <n v="0"/>
    <n v="150000000"/>
    <x v="225"/>
    <s v="Cali"/>
  </r>
  <r>
    <m/>
    <x v="1"/>
    <x v="23"/>
    <x v="23"/>
    <m/>
    <m/>
    <m/>
    <x v="1"/>
    <m/>
  </r>
  <r>
    <d v="2021-02-15T00:00:00"/>
    <x v="2"/>
    <x v="11"/>
    <x v="11"/>
    <n v="-14570898"/>
    <n v="0"/>
    <n v="14570898"/>
    <x v="226"/>
    <s v="Cali"/>
  </r>
  <r>
    <d v="2021-02-15T00:00:00"/>
    <x v="2"/>
    <x v="8"/>
    <x v="8"/>
    <n v="169243211"/>
    <n v="169243211"/>
    <n v="0"/>
    <x v="227"/>
    <s v="Cali"/>
  </r>
  <r>
    <d v="2021-02-15T00:00:00"/>
    <x v="2"/>
    <x v="18"/>
    <x v="18"/>
    <n v="-7285595"/>
    <n v="0"/>
    <n v="7285595"/>
    <x v="228"/>
    <s v="Cali"/>
  </r>
  <r>
    <d v="2021-02-15T00:00:00"/>
    <x v="2"/>
    <x v="48"/>
    <x v="48"/>
    <n v="-147386718"/>
    <n v="0"/>
    <n v="147386718"/>
    <x v="129"/>
    <s v="Cali"/>
  </r>
  <r>
    <m/>
    <x v="1"/>
    <x v="23"/>
    <x v="23"/>
    <m/>
    <m/>
    <m/>
    <x v="1"/>
    <m/>
  </r>
  <r>
    <d v="2021-02-15T00:00:00"/>
    <x v="2"/>
    <x v="48"/>
    <x v="48"/>
    <n v="147386718"/>
    <n v="147386718"/>
    <n v="0"/>
    <x v="229"/>
    <s v="Cali"/>
  </r>
  <r>
    <d v="2021-02-15T00:00:00"/>
    <x v="2"/>
    <x v="1"/>
    <x v="1"/>
    <n v="-147386718"/>
    <n v="0"/>
    <n v="147386718"/>
    <x v="229"/>
    <s v="Cali"/>
  </r>
  <r>
    <m/>
    <x v="1"/>
    <x v="23"/>
    <x v="23"/>
    <m/>
    <m/>
    <m/>
    <x v="1"/>
    <m/>
  </r>
  <r>
    <d v="2021-02-25T00:00:00"/>
    <x v="2"/>
    <x v="12"/>
    <x v="12"/>
    <n v="67193"/>
    <n v="67193"/>
    <n v="0"/>
    <x v="230"/>
    <s v="Cali"/>
  </r>
  <r>
    <d v="2021-02-25T00:00:00"/>
    <x v="2"/>
    <x v="1"/>
    <x v="1"/>
    <n v="-67193"/>
    <n v="0"/>
    <n v="67193"/>
    <x v="230"/>
    <s v="Cali"/>
  </r>
  <r>
    <m/>
    <x v="1"/>
    <x v="23"/>
    <x v="23"/>
    <m/>
    <m/>
    <m/>
    <x v="1"/>
    <m/>
  </r>
  <r>
    <d v="2021-02-28T00:00:00"/>
    <x v="2"/>
    <x v="12"/>
    <x v="12"/>
    <n v="4222126"/>
    <n v="4222126"/>
    <n v="0"/>
    <x v="231"/>
    <s v="Cali"/>
  </r>
  <r>
    <d v="2021-02-28T00:00:00"/>
    <x v="2"/>
    <x v="48"/>
    <x v="48"/>
    <n v="-4222126"/>
    <n v="0"/>
    <n v="4222126"/>
    <x v="231"/>
    <s v="Cali"/>
  </r>
  <r>
    <m/>
    <x v="1"/>
    <x v="23"/>
    <x v="23"/>
    <m/>
    <m/>
    <m/>
    <x v="1"/>
    <m/>
  </r>
  <r>
    <d v="2021-02-28T00:00:00"/>
    <x v="2"/>
    <x v="4"/>
    <x v="4"/>
    <n v="50000"/>
    <n v="50000"/>
    <n v="0"/>
    <x v="232"/>
    <s v="Cali"/>
  </r>
  <r>
    <d v="2021-02-28T00:00:00"/>
    <x v="2"/>
    <x v="29"/>
    <x v="29"/>
    <n v="-50000"/>
    <n v="0"/>
    <n v="50000"/>
    <x v="232"/>
    <s v="Cali"/>
  </r>
  <r>
    <m/>
    <x v="1"/>
    <x v="23"/>
    <x v="23"/>
    <m/>
    <m/>
    <m/>
    <x v="1"/>
    <m/>
  </r>
  <r>
    <d v="2021-02-28T00:00:00"/>
    <x v="2"/>
    <x v="32"/>
    <x v="32"/>
    <n v="-477000"/>
    <n v="0"/>
    <n v="477000"/>
    <x v="233"/>
    <s v="Cali"/>
  </r>
  <r>
    <d v="2021-02-28T00:00:00"/>
    <x v="2"/>
    <x v="33"/>
    <x v="33"/>
    <n v="0"/>
    <n v="0"/>
    <n v="0"/>
    <x v="233"/>
    <s v="Cali"/>
  </r>
  <r>
    <d v="2021-02-28T00:00:00"/>
    <x v="2"/>
    <x v="34"/>
    <x v="34"/>
    <n v="-536000"/>
    <n v="0"/>
    <n v="536000"/>
    <x v="233"/>
    <s v="Cali"/>
  </r>
  <r>
    <d v="2021-02-28T00:00:00"/>
    <x v="2"/>
    <x v="35"/>
    <x v="35"/>
    <n v="-1549000"/>
    <n v="0"/>
    <n v="1549000"/>
    <x v="233"/>
    <s v="Cali"/>
  </r>
  <r>
    <d v="2021-02-28T00:00:00"/>
    <x v="2"/>
    <x v="36"/>
    <x v="36"/>
    <n v="-4376600"/>
    <n v="0"/>
    <n v="4376600"/>
    <x v="233"/>
    <s v="Cali"/>
  </r>
  <r>
    <d v="2021-02-28T00:00:00"/>
    <x v="2"/>
    <x v="37"/>
    <x v="37"/>
    <n v="-5001258"/>
    <n v="0"/>
    <n v="5001258"/>
    <x v="233"/>
    <s v="Cali"/>
  </r>
  <r>
    <d v="2021-02-28T00:00:00"/>
    <x v="2"/>
    <x v="29"/>
    <x v="29"/>
    <n v="477000"/>
    <n v="477000"/>
    <n v="0"/>
    <x v="233"/>
    <s v="Cali"/>
  </r>
  <r>
    <d v="2021-02-28T00:00:00"/>
    <x v="2"/>
    <x v="27"/>
    <x v="27"/>
    <n v="536000"/>
    <n v="536000"/>
    <n v="0"/>
    <x v="233"/>
    <s v="Cali"/>
  </r>
  <r>
    <d v="2021-02-28T00:00:00"/>
    <x v="2"/>
    <x v="25"/>
    <x v="25"/>
    <n v="1549000"/>
    <n v="1549000"/>
    <n v="0"/>
    <x v="233"/>
    <s v="Cali"/>
  </r>
  <r>
    <d v="2021-02-28T00:00:00"/>
    <x v="2"/>
    <x v="5"/>
    <x v="5"/>
    <n v="9377858"/>
    <n v="9377858"/>
    <n v="0"/>
    <x v="233"/>
    <s v="Cali"/>
  </r>
  <r>
    <d v="2021-02-28T00:00:00"/>
    <x v="2"/>
    <x v="15"/>
    <x v="15"/>
    <n v="-2817252"/>
    <n v="0"/>
    <n v="2817252"/>
    <x v="233"/>
    <s v="Cali"/>
  </r>
  <r>
    <d v="2021-02-28T00:00:00"/>
    <x v="2"/>
    <x v="38"/>
    <x v="38"/>
    <n v="2817252"/>
    <n v="2817252"/>
    <n v="0"/>
    <x v="233"/>
    <s v="Cali"/>
  </r>
  <r>
    <d v="2021-02-28T00:00:00"/>
    <x v="2"/>
    <x v="16"/>
    <x v="16"/>
    <n v="-57240"/>
    <n v="0"/>
    <n v="57240"/>
    <x v="233"/>
    <s v="Cali"/>
  </r>
  <r>
    <d v="2021-02-28T00:00:00"/>
    <x v="2"/>
    <x v="14"/>
    <x v="14"/>
    <n v="-119399"/>
    <n v="0"/>
    <n v="119399"/>
    <x v="233"/>
    <s v="Cali"/>
  </r>
  <r>
    <d v="2021-02-28T00:00:00"/>
    <x v="2"/>
    <x v="39"/>
    <x v="39"/>
    <n v="57240"/>
    <n v="57240"/>
    <n v="0"/>
    <x v="233"/>
    <s v="Cali"/>
  </r>
  <r>
    <d v="2021-02-28T00:00:00"/>
    <x v="2"/>
    <x v="40"/>
    <x v="40"/>
    <n v="119399"/>
    <n v="119399"/>
    <n v="0"/>
    <x v="233"/>
    <s v="Cali"/>
  </r>
  <r>
    <d v="2021-02-28T00:00:00"/>
    <x v="2"/>
    <x v="41"/>
    <x v="41"/>
    <n v="-6067075"/>
    <n v="0"/>
    <n v="6067075"/>
    <x v="233"/>
    <s v="Cali"/>
  </r>
  <r>
    <d v="2021-02-28T00:00:00"/>
    <x v="2"/>
    <x v="42"/>
    <x v="42"/>
    <n v="-2014500"/>
    <n v="0"/>
    <n v="2014500"/>
    <x v="233"/>
    <s v="Cali"/>
  </r>
  <r>
    <d v="2021-02-28T00:00:00"/>
    <x v="2"/>
    <x v="43"/>
    <x v="43"/>
    <n v="415382"/>
    <n v="415382"/>
    <n v="0"/>
    <x v="233"/>
    <s v="Cali"/>
  </r>
  <r>
    <d v="2021-02-28T00:00:00"/>
    <x v="2"/>
    <x v="43"/>
    <x v="43"/>
    <n v="50363"/>
    <n v="50363"/>
    <n v="0"/>
    <x v="233"/>
    <s v="Cali"/>
  </r>
  <r>
    <d v="2021-02-28T00:00:00"/>
    <x v="2"/>
    <x v="38"/>
    <x v="38"/>
    <n v="3354613"/>
    <n v="3354613"/>
    <n v="0"/>
    <x v="233"/>
    <s v="Cali"/>
  </r>
  <r>
    <d v="2021-02-28T00:00:00"/>
    <x v="2"/>
    <x v="40"/>
    <x v="40"/>
    <n v="60671"/>
    <n v="60671"/>
    <n v="0"/>
    <x v="233"/>
    <s v="Cali"/>
  </r>
  <r>
    <d v="2021-02-28T00:00:00"/>
    <x v="2"/>
    <x v="40"/>
    <x v="40"/>
    <n v="20145"/>
    <n v="20145"/>
    <n v="0"/>
    <x v="233"/>
    <s v="Cali"/>
  </r>
  <r>
    <d v="2021-02-28T00:00:00"/>
    <x v="2"/>
    <x v="44"/>
    <x v="44"/>
    <n v="2236409"/>
    <n v="2236409"/>
    <n v="0"/>
    <x v="233"/>
    <s v="Cali"/>
  </r>
  <r>
    <d v="2021-02-28T00:00:00"/>
    <x v="2"/>
    <x v="45"/>
    <x v="45"/>
    <n v="1943992"/>
    <n v="1943992"/>
    <n v="0"/>
    <x v="233"/>
    <s v="Cali"/>
  </r>
  <r>
    <d v="2021-02-28T00:00:00"/>
    <x v="2"/>
    <x v="5"/>
    <x v="5"/>
    <n v="-91997"/>
    <n v="0"/>
    <n v="91997"/>
    <x v="233"/>
    <s v="Cali"/>
  </r>
  <r>
    <d v="2021-02-28T00:00:00"/>
    <x v="2"/>
    <x v="30"/>
    <x v="30"/>
    <n v="91997"/>
    <n v="91997"/>
    <n v="0"/>
    <x v="233"/>
    <s v="Cali"/>
  </r>
  <r>
    <m/>
    <x v="1"/>
    <x v="23"/>
    <x v="23"/>
    <m/>
    <m/>
    <m/>
    <x v="1"/>
    <m/>
  </r>
  <r>
    <d v="2021-02-28T00:00:00"/>
    <x v="2"/>
    <x v="46"/>
    <x v="46"/>
    <n v="0"/>
    <n v="0"/>
    <n v="0"/>
    <x v="110"/>
    <s v="Cali"/>
  </r>
  <r>
    <d v="2021-02-28T00:00:00"/>
    <x v="2"/>
    <x v="47"/>
    <x v="47"/>
    <n v="0"/>
    <n v="0"/>
    <n v="0"/>
    <x v="110"/>
    <s v="Cali"/>
  </r>
  <r>
    <m/>
    <x v="1"/>
    <x v="23"/>
    <x v="23"/>
    <m/>
    <m/>
    <m/>
    <x v="1"/>
    <m/>
  </r>
  <r>
    <d v="2021-02-28T00:00:00"/>
    <x v="2"/>
    <x v="2"/>
    <x v="2"/>
    <n v="779488"/>
    <n v="779488"/>
    <n v="0"/>
    <x v="111"/>
    <s v="Cali"/>
  </r>
  <r>
    <d v="2021-02-28T00:00:00"/>
    <x v="2"/>
    <x v="47"/>
    <x v="47"/>
    <n v="-779488"/>
    <n v="0"/>
    <n v="779488"/>
    <x v="111"/>
    <s v="Cali"/>
  </r>
  <r>
    <m/>
    <x v="1"/>
    <x v="23"/>
    <x v="23"/>
    <m/>
    <m/>
    <m/>
    <x v="1"/>
    <m/>
  </r>
  <r>
    <d v="2021-02-28T00:00:00"/>
    <x v="2"/>
    <x v="3"/>
    <x v="3"/>
    <n v="5213"/>
    <n v="5213"/>
    <n v="0"/>
    <x v="112"/>
    <s v="Cali"/>
  </r>
  <r>
    <d v="2021-02-28T00:00:00"/>
    <x v="2"/>
    <x v="47"/>
    <x v="47"/>
    <n v="-5213"/>
    <n v="0"/>
    <n v="5213"/>
    <x v="112"/>
    <s v="Cali"/>
  </r>
  <r>
    <m/>
    <x v="1"/>
    <x v="23"/>
    <x v="23"/>
    <m/>
    <m/>
    <m/>
    <x v="1"/>
    <m/>
  </r>
  <r>
    <m/>
    <x v="1"/>
    <x v="23"/>
    <x v="23"/>
    <m/>
    <m/>
    <m/>
    <x v="1"/>
    <m/>
  </r>
  <r>
    <d v="2021-03-01T00:00:00"/>
    <x v="3"/>
    <x v="0"/>
    <x v="0"/>
    <n v="2236409"/>
    <n v="2236409"/>
    <n v="0"/>
    <x v="234"/>
    <s v="Cali"/>
  </r>
  <r>
    <d v="2021-03-01T00:00:00"/>
    <x v="3"/>
    <x v="44"/>
    <x v="44"/>
    <n v="-2236409"/>
    <n v="0"/>
    <n v="2236409"/>
    <x v="234"/>
    <s v="Cali"/>
  </r>
  <r>
    <m/>
    <x v="1"/>
    <x v="23"/>
    <x v="23"/>
    <m/>
    <m/>
    <m/>
    <x v="1"/>
    <m/>
  </r>
  <r>
    <d v="2021-03-01T00:00:00"/>
    <x v="3"/>
    <x v="0"/>
    <x v="0"/>
    <n v="1943993"/>
    <n v="1943993"/>
    <n v="0"/>
    <x v="235"/>
    <s v="Cali"/>
  </r>
  <r>
    <d v="2021-03-01T00:00:00"/>
    <x v="3"/>
    <x v="45"/>
    <x v="45"/>
    <n v="-1943993"/>
    <n v="0"/>
    <n v="1943993"/>
    <x v="235"/>
    <s v="Cali"/>
  </r>
  <r>
    <m/>
    <x v="1"/>
    <x v="23"/>
    <x v="23"/>
    <m/>
    <m/>
    <m/>
    <x v="1"/>
    <m/>
  </r>
  <r>
    <d v="2021-03-01T00:00:00"/>
    <x v="3"/>
    <x v="0"/>
    <x v="0"/>
    <n v="50000"/>
    <n v="50000"/>
    <n v="0"/>
    <x v="135"/>
    <s v="Cali"/>
  </r>
  <r>
    <d v="2021-03-01T00:00:00"/>
    <x v="3"/>
    <x v="26"/>
    <x v="26"/>
    <n v="-50000"/>
    <n v="0"/>
    <n v="50000"/>
    <x v="135"/>
    <s v="Cali"/>
  </r>
  <r>
    <m/>
    <x v="1"/>
    <x v="23"/>
    <x v="23"/>
    <m/>
    <m/>
    <m/>
    <x v="1"/>
    <m/>
  </r>
  <r>
    <d v="2021-03-01T00:00:00"/>
    <x v="3"/>
    <x v="0"/>
    <x v="0"/>
    <n v="10000"/>
    <n v="10000"/>
    <n v="0"/>
    <x v="236"/>
    <s v="Cali"/>
  </r>
  <r>
    <d v="2021-03-01T00:00:00"/>
    <x v="3"/>
    <x v="25"/>
    <x v="25"/>
    <n v="-10000"/>
    <n v="0"/>
    <n v="10000"/>
    <x v="236"/>
    <s v="Cali"/>
  </r>
  <r>
    <m/>
    <x v="1"/>
    <x v="23"/>
    <x v="23"/>
    <m/>
    <m/>
    <m/>
    <x v="1"/>
    <m/>
  </r>
  <r>
    <d v="2021-03-01T00:00:00"/>
    <x v="3"/>
    <x v="0"/>
    <x v="0"/>
    <n v="36000"/>
    <n v="36000"/>
    <n v="0"/>
    <x v="133"/>
    <s v="Cali"/>
  </r>
  <r>
    <d v="2021-03-01T00:00:00"/>
    <x v="3"/>
    <x v="25"/>
    <x v="25"/>
    <n v="-36000"/>
    <n v="0"/>
    <n v="36000"/>
    <x v="133"/>
    <s v="Cali"/>
  </r>
  <r>
    <m/>
    <x v="1"/>
    <x v="23"/>
    <x v="23"/>
    <m/>
    <m/>
    <m/>
    <x v="1"/>
    <m/>
  </r>
  <r>
    <d v="2021-03-01T00:00:00"/>
    <x v="3"/>
    <x v="0"/>
    <x v="0"/>
    <n v="100000"/>
    <n v="100000"/>
    <n v="0"/>
    <x v="134"/>
    <s v="Cali"/>
  </r>
  <r>
    <d v="2021-03-01T00:00:00"/>
    <x v="3"/>
    <x v="26"/>
    <x v="26"/>
    <n v="-100000"/>
    <n v="0"/>
    <n v="100000"/>
    <x v="134"/>
    <s v="Cali"/>
  </r>
  <r>
    <m/>
    <x v="1"/>
    <x v="23"/>
    <x v="23"/>
    <m/>
    <m/>
    <m/>
    <x v="1"/>
    <m/>
  </r>
  <r>
    <d v="2021-03-01T00:00:00"/>
    <x v="3"/>
    <x v="0"/>
    <x v="0"/>
    <n v="20000"/>
    <n v="20000"/>
    <n v="0"/>
    <x v="237"/>
    <s v="Cali"/>
  </r>
  <r>
    <d v="2021-03-01T00:00:00"/>
    <x v="3"/>
    <x v="19"/>
    <x v="19"/>
    <n v="-20000"/>
    <n v="0"/>
    <n v="20000"/>
    <x v="237"/>
    <s v="Cali"/>
  </r>
  <r>
    <m/>
    <x v="1"/>
    <x v="23"/>
    <x v="23"/>
    <m/>
    <m/>
    <m/>
    <x v="1"/>
    <m/>
  </r>
  <r>
    <d v="2021-03-01T00:00:00"/>
    <x v="3"/>
    <x v="0"/>
    <x v="0"/>
    <n v="60000"/>
    <n v="60000"/>
    <n v="0"/>
    <x v="238"/>
    <s v="Cali"/>
  </r>
  <r>
    <d v="2021-03-01T00:00:00"/>
    <x v="3"/>
    <x v="25"/>
    <x v="25"/>
    <n v="-60000"/>
    <n v="0"/>
    <n v="60000"/>
    <x v="238"/>
    <s v="Cali"/>
  </r>
  <r>
    <m/>
    <x v="1"/>
    <x v="23"/>
    <x v="23"/>
    <m/>
    <m/>
    <m/>
    <x v="1"/>
    <m/>
  </r>
  <r>
    <d v="2021-03-01T00:00:00"/>
    <x v="3"/>
    <x v="0"/>
    <x v="0"/>
    <n v="125000"/>
    <n v="125000"/>
    <n v="0"/>
    <x v="136"/>
    <s v="Cali"/>
  </r>
  <r>
    <d v="2021-03-01T00:00:00"/>
    <x v="3"/>
    <x v="26"/>
    <x v="26"/>
    <n v="-125000"/>
    <n v="0"/>
    <n v="125000"/>
    <x v="136"/>
    <s v="Cali"/>
  </r>
  <r>
    <m/>
    <x v="1"/>
    <x v="23"/>
    <x v="23"/>
    <m/>
    <m/>
    <m/>
    <x v="1"/>
    <m/>
  </r>
  <r>
    <d v="2021-03-01T00:00:00"/>
    <x v="3"/>
    <x v="0"/>
    <x v="0"/>
    <n v="30000"/>
    <n v="30000"/>
    <n v="0"/>
    <x v="239"/>
    <s v="Cali"/>
  </r>
  <r>
    <d v="2021-03-01T00:00:00"/>
    <x v="3"/>
    <x v="27"/>
    <x v="27"/>
    <n v="-30000"/>
    <n v="0"/>
    <n v="30000"/>
    <x v="239"/>
    <s v="Cali"/>
  </r>
  <r>
    <m/>
    <x v="1"/>
    <x v="23"/>
    <x v="23"/>
    <m/>
    <m/>
    <m/>
    <x v="1"/>
    <m/>
  </r>
  <r>
    <d v="2021-03-01T00:00:00"/>
    <x v="3"/>
    <x v="0"/>
    <x v="0"/>
    <n v="10000"/>
    <n v="10000"/>
    <n v="0"/>
    <x v="140"/>
    <s v="Cali"/>
  </r>
  <r>
    <d v="2021-03-01T00:00:00"/>
    <x v="3"/>
    <x v="19"/>
    <x v="19"/>
    <n v="-10000"/>
    <n v="0"/>
    <n v="10000"/>
    <x v="140"/>
    <s v="Cali"/>
  </r>
  <r>
    <m/>
    <x v="1"/>
    <x v="23"/>
    <x v="23"/>
    <m/>
    <m/>
    <m/>
    <x v="1"/>
    <m/>
  </r>
  <r>
    <d v="2021-03-01T00:00:00"/>
    <x v="3"/>
    <x v="0"/>
    <x v="0"/>
    <n v="30000"/>
    <n v="30000"/>
    <n v="0"/>
    <x v="139"/>
    <s v="Cali"/>
  </r>
  <r>
    <d v="2021-03-01T00:00:00"/>
    <x v="3"/>
    <x v="25"/>
    <x v="25"/>
    <n v="-30000"/>
    <n v="0"/>
    <n v="30000"/>
    <x v="139"/>
    <s v="Cali"/>
  </r>
  <r>
    <m/>
    <x v="1"/>
    <x v="23"/>
    <x v="23"/>
    <m/>
    <m/>
    <m/>
    <x v="1"/>
    <m/>
  </r>
  <r>
    <d v="2021-03-01T00:00:00"/>
    <x v="3"/>
    <x v="0"/>
    <x v="0"/>
    <n v="20000"/>
    <n v="20000"/>
    <n v="0"/>
    <x v="132"/>
    <s v="Cali"/>
  </r>
  <r>
    <d v="2021-03-01T00:00:00"/>
    <x v="3"/>
    <x v="25"/>
    <x v="25"/>
    <n v="-20000"/>
    <n v="0"/>
    <n v="20000"/>
    <x v="132"/>
    <s v="Cali"/>
  </r>
  <r>
    <m/>
    <x v="1"/>
    <x v="23"/>
    <x v="23"/>
    <m/>
    <m/>
    <m/>
    <x v="1"/>
    <m/>
  </r>
  <r>
    <d v="2021-03-01T00:00:00"/>
    <x v="3"/>
    <x v="0"/>
    <x v="0"/>
    <n v="10000"/>
    <n v="10000"/>
    <n v="0"/>
    <x v="137"/>
    <s v="Cali"/>
  </r>
  <r>
    <d v="2021-03-01T00:00:00"/>
    <x v="3"/>
    <x v="26"/>
    <x v="26"/>
    <n v="-10000"/>
    <n v="0"/>
    <n v="10000"/>
    <x v="137"/>
    <s v="Cali"/>
  </r>
  <r>
    <m/>
    <x v="1"/>
    <x v="23"/>
    <x v="23"/>
    <m/>
    <m/>
    <m/>
    <x v="1"/>
    <m/>
  </r>
  <r>
    <d v="2021-03-01T00:00:00"/>
    <x v="3"/>
    <x v="0"/>
    <x v="0"/>
    <n v="25000"/>
    <n v="25000"/>
    <n v="0"/>
    <x v="38"/>
    <s v="Cali"/>
  </r>
  <r>
    <d v="2021-03-01T00:00:00"/>
    <x v="3"/>
    <x v="25"/>
    <x v="25"/>
    <n v="-25000"/>
    <n v="0"/>
    <n v="25000"/>
    <x v="38"/>
    <s v="Cali"/>
  </r>
  <r>
    <m/>
    <x v="1"/>
    <x v="23"/>
    <x v="23"/>
    <m/>
    <m/>
    <m/>
    <x v="1"/>
    <m/>
  </r>
  <r>
    <d v="2021-03-01T00:00:00"/>
    <x v="3"/>
    <x v="0"/>
    <x v="0"/>
    <n v="12000"/>
    <n v="12000"/>
    <n v="0"/>
    <x v="150"/>
    <s v="Cali"/>
  </r>
  <r>
    <d v="2021-03-01T00:00:00"/>
    <x v="3"/>
    <x v="19"/>
    <x v="19"/>
    <n v="-12000"/>
    <n v="0"/>
    <n v="12000"/>
    <x v="150"/>
    <s v="Cali"/>
  </r>
  <r>
    <m/>
    <x v="1"/>
    <x v="23"/>
    <x v="23"/>
    <m/>
    <m/>
    <m/>
    <x v="1"/>
    <m/>
  </r>
  <r>
    <d v="2021-03-01T00:00:00"/>
    <x v="3"/>
    <x v="0"/>
    <x v="0"/>
    <n v="10000"/>
    <n v="10000"/>
    <n v="0"/>
    <x v="142"/>
    <s v="Cali"/>
  </r>
  <r>
    <d v="2021-03-01T00:00:00"/>
    <x v="3"/>
    <x v="25"/>
    <x v="25"/>
    <n v="-10000"/>
    <n v="0"/>
    <n v="10000"/>
    <x v="142"/>
    <s v="Cali"/>
  </r>
  <r>
    <m/>
    <x v="1"/>
    <x v="23"/>
    <x v="23"/>
    <m/>
    <m/>
    <m/>
    <x v="1"/>
    <m/>
  </r>
  <r>
    <d v="2021-03-01T00:00:00"/>
    <x v="3"/>
    <x v="0"/>
    <x v="0"/>
    <n v="50000"/>
    <n v="50000"/>
    <n v="0"/>
    <x v="143"/>
    <s v="Cali"/>
  </r>
  <r>
    <d v="2021-03-01T00:00:00"/>
    <x v="3"/>
    <x v="25"/>
    <x v="25"/>
    <n v="-50000"/>
    <n v="0"/>
    <n v="50000"/>
    <x v="143"/>
    <s v="Cali"/>
  </r>
  <r>
    <m/>
    <x v="1"/>
    <x v="23"/>
    <x v="23"/>
    <m/>
    <m/>
    <m/>
    <x v="1"/>
    <m/>
  </r>
  <r>
    <d v="2021-03-01T00:00:00"/>
    <x v="3"/>
    <x v="0"/>
    <x v="0"/>
    <n v="73000"/>
    <n v="73000"/>
    <n v="0"/>
    <x v="240"/>
    <s v="Cali"/>
  </r>
  <r>
    <d v="2021-03-01T00:00:00"/>
    <x v="3"/>
    <x v="26"/>
    <x v="26"/>
    <n v="-73000"/>
    <n v="0"/>
    <n v="73000"/>
    <x v="240"/>
    <s v="Cali"/>
  </r>
  <r>
    <m/>
    <x v="1"/>
    <x v="23"/>
    <x v="23"/>
    <m/>
    <m/>
    <m/>
    <x v="1"/>
    <m/>
  </r>
  <r>
    <d v="2021-03-01T00:00:00"/>
    <x v="3"/>
    <x v="0"/>
    <x v="0"/>
    <n v="40000"/>
    <n v="40000"/>
    <n v="0"/>
    <x v="241"/>
    <s v="Cali"/>
  </r>
  <r>
    <d v="2021-03-01T00:00:00"/>
    <x v="3"/>
    <x v="26"/>
    <x v="26"/>
    <n v="-40000"/>
    <n v="0"/>
    <n v="40000"/>
    <x v="241"/>
    <s v="Cali"/>
  </r>
  <r>
    <m/>
    <x v="1"/>
    <x v="23"/>
    <x v="23"/>
    <m/>
    <m/>
    <m/>
    <x v="1"/>
    <m/>
  </r>
  <r>
    <d v="2021-03-01T00:00:00"/>
    <x v="3"/>
    <x v="0"/>
    <x v="0"/>
    <n v="48000"/>
    <n v="48000"/>
    <n v="0"/>
    <x v="144"/>
    <s v="Cali"/>
  </r>
  <r>
    <d v="2021-03-01T00:00:00"/>
    <x v="3"/>
    <x v="27"/>
    <x v="27"/>
    <n v="-48000"/>
    <n v="0"/>
    <n v="48000"/>
    <x v="144"/>
    <s v="Cali"/>
  </r>
  <r>
    <m/>
    <x v="1"/>
    <x v="23"/>
    <x v="23"/>
    <m/>
    <m/>
    <m/>
    <x v="1"/>
    <m/>
  </r>
  <r>
    <d v="2021-03-01T00:00:00"/>
    <x v="3"/>
    <x v="0"/>
    <x v="0"/>
    <n v="40000"/>
    <n v="40000"/>
    <n v="0"/>
    <x v="145"/>
    <s v="Cali"/>
  </r>
  <r>
    <d v="2021-03-01T00:00:00"/>
    <x v="3"/>
    <x v="25"/>
    <x v="25"/>
    <n v="-40000"/>
    <n v="0"/>
    <n v="40000"/>
    <x v="145"/>
    <s v="Cali"/>
  </r>
  <r>
    <m/>
    <x v="1"/>
    <x v="23"/>
    <x v="23"/>
    <m/>
    <m/>
    <m/>
    <x v="1"/>
    <m/>
  </r>
  <r>
    <d v="2021-03-01T00:00:00"/>
    <x v="3"/>
    <x v="0"/>
    <x v="0"/>
    <n v="20000"/>
    <n v="20000"/>
    <n v="0"/>
    <x v="17"/>
    <s v="Cali"/>
  </r>
  <r>
    <d v="2021-03-01T00:00:00"/>
    <x v="3"/>
    <x v="25"/>
    <x v="25"/>
    <n v="-20000"/>
    <n v="0"/>
    <n v="20000"/>
    <x v="17"/>
    <s v="Cali"/>
  </r>
  <r>
    <m/>
    <x v="1"/>
    <x v="23"/>
    <x v="23"/>
    <m/>
    <m/>
    <m/>
    <x v="1"/>
    <m/>
  </r>
  <r>
    <d v="2021-03-01T00:00:00"/>
    <x v="3"/>
    <x v="0"/>
    <x v="0"/>
    <n v="50000"/>
    <n v="50000"/>
    <n v="0"/>
    <x v="19"/>
    <s v="Cali"/>
  </r>
  <r>
    <d v="2021-03-01T00:00:00"/>
    <x v="3"/>
    <x v="25"/>
    <x v="25"/>
    <n v="-50000"/>
    <n v="0"/>
    <n v="50000"/>
    <x v="19"/>
    <s v="Cali"/>
  </r>
  <r>
    <m/>
    <x v="1"/>
    <x v="23"/>
    <x v="23"/>
    <m/>
    <m/>
    <m/>
    <x v="1"/>
    <m/>
  </r>
  <r>
    <d v="2021-03-01T00:00:00"/>
    <x v="3"/>
    <x v="0"/>
    <x v="0"/>
    <n v="30000"/>
    <n v="30000"/>
    <n v="0"/>
    <x v="147"/>
    <s v="Cali"/>
  </r>
  <r>
    <d v="2021-03-01T00:00:00"/>
    <x v="3"/>
    <x v="26"/>
    <x v="26"/>
    <n v="-30000"/>
    <n v="0"/>
    <n v="30000"/>
    <x v="147"/>
    <s v="Cali"/>
  </r>
  <r>
    <m/>
    <x v="1"/>
    <x v="23"/>
    <x v="23"/>
    <m/>
    <m/>
    <m/>
    <x v="1"/>
    <m/>
  </r>
  <r>
    <d v="2021-03-01T00:00:00"/>
    <x v="3"/>
    <x v="0"/>
    <x v="0"/>
    <n v="20000"/>
    <n v="20000"/>
    <n v="0"/>
    <x v="146"/>
    <s v="Cali"/>
  </r>
  <r>
    <d v="2021-03-01T00:00:00"/>
    <x v="3"/>
    <x v="26"/>
    <x v="26"/>
    <n v="-20000"/>
    <n v="0"/>
    <n v="20000"/>
    <x v="146"/>
    <s v="Cali"/>
  </r>
  <r>
    <m/>
    <x v="1"/>
    <x v="23"/>
    <x v="23"/>
    <m/>
    <m/>
    <m/>
    <x v="1"/>
    <m/>
  </r>
  <r>
    <d v="2021-03-01T00:00:00"/>
    <x v="3"/>
    <x v="0"/>
    <x v="0"/>
    <n v="15000"/>
    <n v="15000"/>
    <n v="0"/>
    <x v="148"/>
    <s v="Cali"/>
  </r>
  <r>
    <d v="2021-03-01T00:00:00"/>
    <x v="3"/>
    <x v="25"/>
    <x v="25"/>
    <n v="-15000"/>
    <n v="0"/>
    <n v="15000"/>
    <x v="148"/>
    <s v="Cali"/>
  </r>
  <r>
    <m/>
    <x v="1"/>
    <x v="23"/>
    <x v="23"/>
    <m/>
    <m/>
    <m/>
    <x v="1"/>
    <m/>
  </r>
  <r>
    <d v="2021-03-01T00:00:00"/>
    <x v="3"/>
    <x v="0"/>
    <x v="0"/>
    <n v="200000"/>
    <n v="200000"/>
    <n v="0"/>
    <x v="242"/>
    <s v="Cali"/>
  </r>
  <r>
    <d v="2021-03-01T00:00:00"/>
    <x v="3"/>
    <x v="26"/>
    <x v="26"/>
    <n v="-200000"/>
    <n v="0"/>
    <n v="200000"/>
    <x v="242"/>
    <s v="Cali"/>
  </r>
  <r>
    <m/>
    <x v="1"/>
    <x v="23"/>
    <x v="23"/>
    <m/>
    <m/>
    <m/>
    <x v="1"/>
    <m/>
  </r>
  <r>
    <d v="2021-03-01T00:00:00"/>
    <x v="3"/>
    <x v="0"/>
    <x v="0"/>
    <n v="80000"/>
    <n v="80000"/>
    <n v="0"/>
    <x v="22"/>
    <s v="Cali"/>
  </r>
  <r>
    <d v="2021-03-01T00:00:00"/>
    <x v="3"/>
    <x v="27"/>
    <x v="27"/>
    <n v="-80000"/>
    <n v="0"/>
    <n v="80000"/>
    <x v="22"/>
    <s v="Cali"/>
  </r>
  <r>
    <m/>
    <x v="1"/>
    <x v="23"/>
    <x v="23"/>
    <m/>
    <m/>
    <m/>
    <x v="1"/>
    <m/>
  </r>
  <r>
    <d v="2021-03-01T00:00:00"/>
    <x v="3"/>
    <x v="0"/>
    <x v="0"/>
    <n v="50000"/>
    <n v="50000"/>
    <n v="0"/>
    <x v="243"/>
    <s v="Cali"/>
  </r>
  <r>
    <d v="2021-03-01T00:00:00"/>
    <x v="3"/>
    <x v="4"/>
    <x v="4"/>
    <n v="-50000"/>
    <n v="0"/>
    <n v="50000"/>
    <x v="243"/>
    <s v="Cali"/>
  </r>
  <r>
    <m/>
    <x v="1"/>
    <x v="23"/>
    <x v="23"/>
    <m/>
    <m/>
    <m/>
    <x v="1"/>
    <m/>
  </r>
  <r>
    <d v="2021-03-01T00:00:00"/>
    <x v="3"/>
    <x v="0"/>
    <x v="0"/>
    <n v="40000"/>
    <n v="40000"/>
    <n v="0"/>
    <x v="157"/>
    <s v="Cali"/>
  </r>
  <r>
    <d v="2021-03-01T00:00:00"/>
    <x v="3"/>
    <x v="27"/>
    <x v="27"/>
    <n v="-40000"/>
    <n v="0"/>
    <n v="40000"/>
    <x v="157"/>
    <s v="Cali"/>
  </r>
  <r>
    <m/>
    <x v="1"/>
    <x v="23"/>
    <x v="23"/>
    <m/>
    <m/>
    <m/>
    <x v="1"/>
    <m/>
  </r>
  <r>
    <d v="2021-03-01T00:00:00"/>
    <x v="3"/>
    <x v="0"/>
    <x v="0"/>
    <n v="15000"/>
    <n v="15000"/>
    <n v="0"/>
    <x v="205"/>
    <s v="Cali"/>
  </r>
  <r>
    <d v="2021-03-01T00:00:00"/>
    <x v="3"/>
    <x v="27"/>
    <x v="27"/>
    <n v="-15000"/>
    <n v="0"/>
    <n v="15000"/>
    <x v="205"/>
    <s v="Cali"/>
  </r>
  <r>
    <m/>
    <x v="1"/>
    <x v="23"/>
    <x v="23"/>
    <m/>
    <m/>
    <m/>
    <x v="1"/>
    <m/>
  </r>
  <r>
    <d v="2021-03-01T00:00:00"/>
    <x v="3"/>
    <x v="0"/>
    <x v="0"/>
    <n v="30000"/>
    <n v="30000"/>
    <n v="0"/>
    <x v="244"/>
    <s v="Cali"/>
  </r>
  <r>
    <d v="2021-03-01T00:00:00"/>
    <x v="3"/>
    <x v="19"/>
    <x v="19"/>
    <n v="-30000"/>
    <n v="0"/>
    <n v="30000"/>
    <x v="244"/>
    <s v="Cali"/>
  </r>
  <r>
    <m/>
    <x v="1"/>
    <x v="23"/>
    <x v="23"/>
    <m/>
    <m/>
    <m/>
    <x v="1"/>
    <m/>
  </r>
  <r>
    <d v="2021-03-02T00:00:00"/>
    <x v="3"/>
    <x v="0"/>
    <x v="0"/>
    <n v="45000"/>
    <n v="45000"/>
    <n v="0"/>
    <x v="161"/>
    <s v="Cali"/>
  </r>
  <r>
    <d v="2021-03-02T00:00:00"/>
    <x v="3"/>
    <x v="26"/>
    <x v="26"/>
    <n v="-45000"/>
    <n v="0"/>
    <n v="45000"/>
    <x v="161"/>
    <s v="Cali"/>
  </r>
  <r>
    <m/>
    <x v="1"/>
    <x v="23"/>
    <x v="23"/>
    <m/>
    <m/>
    <m/>
    <x v="1"/>
    <m/>
  </r>
  <r>
    <d v="2021-03-02T00:00:00"/>
    <x v="3"/>
    <x v="0"/>
    <x v="0"/>
    <n v="55000"/>
    <n v="55000"/>
    <n v="0"/>
    <x v="160"/>
    <s v="Cali"/>
  </r>
  <r>
    <d v="2021-03-02T00:00:00"/>
    <x v="3"/>
    <x v="25"/>
    <x v="25"/>
    <n v="-55000"/>
    <n v="0"/>
    <n v="55000"/>
    <x v="160"/>
    <s v="Cali"/>
  </r>
  <r>
    <m/>
    <x v="1"/>
    <x v="23"/>
    <x v="23"/>
    <m/>
    <m/>
    <m/>
    <x v="1"/>
    <m/>
  </r>
  <r>
    <d v="2021-03-02T00:00:00"/>
    <x v="3"/>
    <x v="0"/>
    <x v="0"/>
    <n v="10000"/>
    <n v="10000"/>
    <n v="0"/>
    <x v="199"/>
    <s v="Cali"/>
  </r>
  <r>
    <d v="2021-03-02T00:00:00"/>
    <x v="3"/>
    <x v="27"/>
    <x v="27"/>
    <n v="-10000"/>
    <n v="0"/>
    <n v="10000"/>
    <x v="199"/>
    <s v="Cali"/>
  </r>
  <r>
    <m/>
    <x v="1"/>
    <x v="23"/>
    <x v="23"/>
    <m/>
    <m/>
    <m/>
    <x v="1"/>
    <m/>
  </r>
  <r>
    <d v="2021-03-02T00:00:00"/>
    <x v="3"/>
    <x v="0"/>
    <x v="0"/>
    <n v="180000"/>
    <n v="180000"/>
    <n v="0"/>
    <x v="245"/>
    <s v="Cali"/>
  </r>
  <r>
    <d v="2021-03-02T00:00:00"/>
    <x v="3"/>
    <x v="25"/>
    <x v="25"/>
    <n v="-180000"/>
    <n v="0"/>
    <n v="180000"/>
    <x v="245"/>
    <s v="Cali"/>
  </r>
  <r>
    <m/>
    <x v="1"/>
    <x v="23"/>
    <x v="23"/>
    <m/>
    <m/>
    <m/>
    <x v="1"/>
    <m/>
  </r>
  <r>
    <d v="2021-03-02T00:00:00"/>
    <x v="3"/>
    <x v="0"/>
    <x v="0"/>
    <n v="25000"/>
    <n v="25000"/>
    <n v="0"/>
    <x v="158"/>
    <s v="Cali"/>
  </r>
  <r>
    <d v="2021-03-02T00:00:00"/>
    <x v="3"/>
    <x v="25"/>
    <x v="25"/>
    <n v="-25000"/>
    <n v="0"/>
    <n v="25000"/>
    <x v="158"/>
    <s v="Cali"/>
  </r>
  <r>
    <m/>
    <x v="1"/>
    <x v="23"/>
    <x v="23"/>
    <m/>
    <m/>
    <m/>
    <x v="1"/>
    <m/>
  </r>
  <r>
    <d v="2021-03-02T00:00:00"/>
    <x v="3"/>
    <x v="0"/>
    <x v="0"/>
    <n v="20000"/>
    <n v="20000"/>
    <n v="0"/>
    <x v="246"/>
    <s v="Cali"/>
  </r>
  <r>
    <d v="2021-03-02T00:00:00"/>
    <x v="3"/>
    <x v="25"/>
    <x v="25"/>
    <n v="-20000"/>
    <n v="0"/>
    <n v="20000"/>
    <x v="246"/>
    <s v="Cali"/>
  </r>
  <r>
    <m/>
    <x v="1"/>
    <x v="23"/>
    <x v="23"/>
    <m/>
    <m/>
    <m/>
    <x v="1"/>
    <m/>
  </r>
  <r>
    <d v="2021-03-02T00:00:00"/>
    <x v="3"/>
    <x v="0"/>
    <x v="0"/>
    <n v="50000"/>
    <n v="50000"/>
    <n v="0"/>
    <x v="163"/>
    <s v="Cali"/>
  </r>
  <r>
    <d v="2021-03-02T00:00:00"/>
    <x v="3"/>
    <x v="25"/>
    <x v="25"/>
    <n v="-50000"/>
    <n v="0"/>
    <n v="50000"/>
    <x v="163"/>
    <s v="Cali"/>
  </r>
  <r>
    <m/>
    <x v="1"/>
    <x v="23"/>
    <x v="23"/>
    <m/>
    <m/>
    <m/>
    <x v="1"/>
    <m/>
  </r>
  <r>
    <d v="2021-03-03T00:00:00"/>
    <x v="3"/>
    <x v="0"/>
    <x v="0"/>
    <n v="37000"/>
    <n v="37000"/>
    <n v="0"/>
    <x v="10"/>
    <s v="Cali"/>
  </r>
  <r>
    <d v="2021-03-03T00:00:00"/>
    <x v="3"/>
    <x v="25"/>
    <x v="25"/>
    <n v="-37000"/>
    <n v="0"/>
    <n v="37000"/>
    <x v="10"/>
    <s v="Cali"/>
  </r>
  <r>
    <m/>
    <x v="1"/>
    <x v="23"/>
    <x v="23"/>
    <m/>
    <m/>
    <m/>
    <x v="1"/>
    <m/>
  </r>
  <r>
    <d v="2021-03-03T00:00:00"/>
    <x v="3"/>
    <x v="0"/>
    <x v="0"/>
    <n v="30000"/>
    <n v="30000"/>
    <n v="0"/>
    <x v="164"/>
    <s v="Cali"/>
  </r>
  <r>
    <d v="2021-03-03T00:00:00"/>
    <x v="3"/>
    <x v="26"/>
    <x v="26"/>
    <n v="-30000"/>
    <n v="0"/>
    <n v="30000"/>
    <x v="164"/>
    <s v="Cali"/>
  </r>
  <r>
    <m/>
    <x v="1"/>
    <x v="23"/>
    <x v="23"/>
    <m/>
    <m/>
    <m/>
    <x v="1"/>
    <m/>
  </r>
  <r>
    <d v="2021-03-03T00:00:00"/>
    <x v="3"/>
    <x v="0"/>
    <x v="0"/>
    <n v="59286"/>
    <n v="59286"/>
    <n v="0"/>
    <x v="247"/>
    <s v="Cali"/>
  </r>
  <r>
    <d v="2021-03-03T00:00:00"/>
    <x v="3"/>
    <x v="49"/>
    <x v="49"/>
    <n v="714"/>
    <n v="714"/>
    <n v="0"/>
    <x v="247"/>
    <s v="Cali"/>
  </r>
  <r>
    <d v="2021-03-03T00:00:00"/>
    <x v="3"/>
    <x v="25"/>
    <x v="25"/>
    <n v="-60000"/>
    <n v="0"/>
    <n v="60000"/>
    <x v="247"/>
    <s v="Cali"/>
  </r>
  <r>
    <m/>
    <x v="1"/>
    <x v="23"/>
    <x v="23"/>
    <m/>
    <m/>
    <m/>
    <x v="1"/>
    <m/>
  </r>
  <r>
    <d v="2021-03-03T00:00:00"/>
    <x v="3"/>
    <x v="0"/>
    <x v="0"/>
    <n v="19600"/>
    <n v="19600"/>
    <n v="0"/>
    <x v="248"/>
    <s v="Cali"/>
  </r>
  <r>
    <d v="2021-03-03T00:00:00"/>
    <x v="3"/>
    <x v="26"/>
    <x v="26"/>
    <n v="-19600"/>
    <n v="0"/>
    <n v="19600"/>
    <x v="248"/>
    <s v="Cali"/>
  </r>
  <r>
    <m/>
    <x v="1"/>
    <x v="23"/>
    <x v="23"/>
    <m/>
    <m/>
    <m/>
    <x v="1"/>
    <m/>
  </r>
  <r>
    <d v="2021-03-03T00:00:00"/>
    <x v="3"/>
    <x v="0"/>
    <x v="0"/>
    <n v="20000"/>
    <n v="20000"/>
    <n v="0"/>
    <x v="165"/>
    <s v="Cali"/>
  </r>
  <r>
    <d v="2021-03-03T00:00:00"/>
    <x v="3"/>
    <x v="25"/>
    <x v="25"/>
    <n v="-20000"/>
    <n v="0"/>
    <n v="20000"/>
    <x v="165"/>
    <s v="Cali"/>
  </r>
  <r>
    <m/>
    <x v="1"/>
    <x v="23"/>
    <x v="23"/>
    <m/>
    <m/>
    <m/>
    <x v="1"/>
    <m/>
  </r>
  <r>
    <d v="2021-03-04T00:00:00"/>
    <x v="3"/>
    <x v="0"/>
    <x v="0"/>
    <n v="20000"/>
    <n v="20000"/>
    <n v="0"/>
    <x v="168"/>
    <s v="Cali"/>
  </r>
  <r>
    <d v="2021-03-04T00:00:00"/>
    <x v="3"/>
    <x v="26"/>
    <x v="26"/>
    <n v="-20000"/>
    <n v="0"/>
    <n v="20000"/>
    <x v="168"/>
    <s v="Cali"/>
  </r>
  <r>
    <m/>
    <x v="1"/>
    <x v="23"/>
    <x v="23"/>
    <m/>
    <m/>
    <m/>
    <x v="1"/>
    <m/>
  </r>
  <r>
    <d v="2021-03-04T00:00:00"/>
    <x v="3"/>
    <x v="0"/>
    <x v="0"/>
    <n v="150000"/>
    <n v="150000"/>
    <n v="0"/>
    <x v="169"/>
    <s v="Cali"/>
  </r>
  <r>
    <d v="2021-03-04T00:00:00"/>
    <x v="3"/>
    <x v="25"/>
    <x v="25"/>
    <n v="-150000"/>
    <n v="0"/>
    <n v="150000"/>
    <x v="169"/>
    <s v="Cali"/>
  </r>
  <r>
    <m/>
    <x v="1"/>
    <x v="23"/>
    <x v="23"/>
    <m/>
    <m/>
    <m/>
    <x v="1"/>
    <m/>
  </r>
  <r>
    <d v="2021-03-04T00:00:00"/>
    <x v="3"/>
    <x v="0"/>
    <x v="0"/>
    <n v="70000"/>
    <n v="70000"/>
    <n v="0"/>
    <x v="37"/>
    <s v="Cali"/>
  </r>
  <r>
    <d v="2021-03-04T00:00:00"/>
    <x v="3"/>
    <x v="25"/>
    <x v="25"/>
    <n v="-70000"/>
    <n v="0"/>
    <n v="70000"/>
    <x v="37"/>
    <s v="Cali"/>
  </r>
  <r>
    <m/>
    <x v="1"/>
    <x v="23"/>
    <x v="23"/>
    <m/>
    <m/>
    <m/>
    <x v="1"/>
    <m/>
  </r>
  <r>
    <d v="2021-03-04T00:00:00"/>
    <x v="3"/>
    <x v="0"/>
    <x v="0"/>
    <n v="25000"/>
    <n v="25000"/>
    <n v="0"/>
    <x v="149"/>
    <s v="Cali"/>
  </r>
  <r>
    <d v="2021-03-04T00:00:00"/>
    <x v="3"/>
    <x v="27"/>
    <x v="27"/>
    <n v="-25000"/>
    <n v="0"/>
    <n v="25000"/>
    <x v="149"/>
    <s v="Cali"/>
  </r>
  <r>
    <m/>
    <x v="1"/>
    <x v="23"/>
    <x v="23"/>
    <m/>
    <m/>
    <m/>
    <x v="1"/>
    <m/>
  </r>
  <r>
    <d v="2021-03-04T00:00:00"/>
    <x v="3"/>
    <x v="0"/>
    <x v="0"/>
    <n v="20000"/>
    <n v="20000"/>
    <n v="0"/>
    <x v="151"/>
    <s v="Cali"/>
  </r>
  <r>
    <d v="2021-03-04T00:00:00"/>
    <x v="3"/>
    <x v="25"/>
    <x v="25"/>
    <n v="-20000"/>
    <n v="0"/>
    <n v="20000"/>
    <x v="151"/>
    <s v="Cali"/>
  </r>
  <r>
    <m/>
    <x v="1"/>
    <x v="23"/>
    <x v="23"/>
    <m/>
    <m/>
    <m/>
    <x v="1"/>
    <m/>
  </r>
  <r>
    <d v="2021-03-05T00:00:00"/>
    <x v="3"/>
    <x v="50"/>
    <x v="50"/>
    <n v="100000"/>
    <n v="100000"/>
    <n v="0"/>
    <x v="249"/>
    <s v="Cali"/>
  </r>
  <r>
    <d v="2021-03-05T00:00:00"/>
    <x v="3"/>
    <x v="0"/>
    <x v="0"/>
    <n v="-100000"/>
    <n v="0"/>
    <n v="100000"/>
    <x v="249"/>
    <s v="Cali"/>
  </r>
  <r>
    <m/>
    <x v="1"/>
    <x v="23"/>
    <x v="23"/>
    <m/>
    <m/>
    <m/>
    <x v="1"/>
    <m/>
  </r>
  <r>
    <d v="2021-03-05T00:00:00"/>
    <x v="3"/>
    <x v="16"/>
    <x v="16"/>
    <n v="57240"/>
    <n v="57240"/>
    <n v="0"/>
    <x v="250"/>
    <s v="Cali"/>
  </r>
  <r>
    <d v="2021-03-05T00:00:00"/>
    <x v="3"/>
    <x v="17"/>
    <x v="17"/>
    <n v="-6583"/>
    <n v="0"/>
    <n v="6583"/>
    <x v="250"/>
    <s v="Cali"/>
  </r>
  <r>
    <d v="2021-03-05T00:00:00"/>
    <x v="3"/>
    <x v="0"/>
    <x v="0"/>
    <n v="-50657"/>
    <n v="0"/>
    <n v="50657"/>
    <x v="250"/>
    <s v="Cali"/>
  </r>
  <r>
    <m/>
    <x v="1"/>
    <x v="23"/>
    <x v="23"/>
    <m/>
    <m/>
    <m/>
    <x v="1"/>
    <m/>
  </r>
  <r>
    <d v="2021-03-05T00:00:00"/>
    <x v="3"/>
    <x v="0"/>
    <x v="0"/>
    <n v="120000"/>
    <n v="120000"/>
    <n v="0"/>
    <x v="141"/>
    <s v="Cali"/>
  </r>
  <r>
    <d v="2021-03-05T00:00:00"/>
    <x v="3"/>
    <x v="25"/>
    <x v="25"/>
    <n v="-120000"/>
    <n v="0"/>
    <n v="120000"/>
    <x v="141"/>
    <s v="Cali"/>
  </r>
  <r>
    <m/>
    <x v="1"/>
    <x v="23"/>
    <x v="23"/>
    <m/>
    <m/>
    <m/>
    <x v="1"/>
    <m/>
  </r>
  <r>
    <d v="2021-03-05T00:00:00"/>
    <x v="3"/>
    <x v="0"/>
    <x v="0"/>
    <n v="150000"/>
    <n v="150000"/>
    <n v="0"/>
    <x v="251"/>
    <s v="Cali"/>
  </r>
  <r>
    <d v="2021-03-05T00:00:00"/>
    <x v="3"/>
    <x v="27"/>
    <x v="27"/>
    <n v="-150000"/>
    <n v="0"/>
    <n v="150000"/>
    <x v="251"/>
    <s v="Cali"/>
  </r>
  <r>
    <m/>
    <x v="1"/>
    <x v="23"/>
    <x v="23"/>
    <m/>
    <m/>
    <m/>
    <x v="1"/>
    <m/>
  </r>
  <r>
    <d v="2021-03-05T00:00:00"/>
    <x v="3"/>
    <x v="0"/>
    <x v="0"/>
    <n v="50000"/>
    <n v="50000"/>
    <n v="0"/>
    <x v="173"/>
    <s v="Cali"/>
  </r>
  <r>
    <d v="2021-03-05T00:00:00"/>
    <x v="3"/>
    <x v="26"/>
    <x v="26"/>
    <n v="-50000"/>
    <n v="0"/>
    <n v="50000"/>
    <x v="173"/>
    <s v="Cali"/>
  </r>
  <r>
    <m/>
    <x v="1"/>
    <x v="23"/>
    <x v="23"/>
    <m/>
    <m/>
    <m/>
    <x v="1"/>
    <m/>
  </r>
  <r>
    <d v="2021-03-05T00:00:00"/>
    <x v="3"/>
    <x v="0"/>
    <x v="0"/>
    <n v="100000"/>
    <n v="100000"/>
    <n v="0"/>
    <x v="155"/>
    <s v="Cali"/>
  </r>
  <r>
    <d v="2021-03-05T00:00:00"/>
    <x v="3"/>
    <x v="27"/>
    <x v="27"/>
    <n v="-100000"/>
    <n v="0"/>
    <n v="100000"/>
    <x v="155"/>
    <s v="Cali"/>
  </r>
  <r>
    <m/>
    <x v="1"/>
    <x v="23"/>
    <x v="23"/>
    <m/>
    <m/>
    <m/>
    <x v="1"/>
    <m/>
  </r>
  <r>
    <d v="2021-03-05T00:00:00"/>
    <x v="3"/>
    <x v="0"/>
    <x v="0"/>
    <n v="24000"/>
    <n v="24000"/>
    <n v="0"/>
    <x v="243"/>
    <s v="Cali"/>
  </r>
  <r>
    <d v="2021-03-05T00:00:00"/>
    <x v="3"/>
    <x v="4"/>
    <x v="4"/>
    <n v="-24000"/>
    <n v="0"/>
    <n v="24000"/>
    <x v="243"/>
    <s v="Cali"/>
  </r>
  <r>
    <m/>
    <x v="1"/>
    <x v="23"/>
    <x v="23"/>
    <m/>
    <m/>
    <m/>
    <x v="1"/>
    <m/>
  </r>
  <r>
    <d v="2021-03-08T00:00:00"/>
    <x v="3"/>
    <x v="0"/>
    <x v="0"/>
    <n v="40000"/>
    <n v="40000"/>
    <n v="0"/>
    <x v="178"/>
    <s v="Cali"/>
  </r>
  <r>
    <d v="2021-03-08T00:00:00"/>
    <x v="3"/>
    <x v="25"/>
    <x v="25"/>
    <n v="-40000"/>
    <n v="0"/>
    <n v="40000"/>
    <x v="178"/>
    <s v="Cali"/>
  </r>
  <r>
    <m/>
    <x v="1"/>
    <x v="23"/>
    <x v="23"/>
    <m/>
    <m/>
    <m/>
    <x v="1"/>
    <m/>
  </r>
  <r>
    <d v="2021-03-08T00:00:00"/>
    <x v="3"/>
    <x v="0"/>
    <x v="0"/>
    <n v="40000"/>
    <n v="40000"/>
    <n v="0"/>
    <x v="176"/>
    <s v="Cali"/>
  </r>
  <r>
    <d v="2021-03-08T00:00:00"/>
    <x v="3"/>
    <x v="25"/>
    <x v="25"/>
    <n v="-40000"/>
    <n v="0"/>
    <n v="40000"/>
    <x v="176"/>
    <s v="Cali"/>
  </r>
  <r>
    <m/>
    <x v="1"/>
    <x v="23"/>
    <x v="23"/>
    <m/>
    <m/>
    <m/>
    <x v="1"/>
    <m/>
  </r>
  <r>
    <d v="2021-03-08T00:00:00"/>
    <x v="3"/>
    <x v="0"/>
    <x v="0"/>
    <n v="15000"/>
    <n v="15000"/>
    <n v="0"/>
    <x v="252"/>
    <s v="Cali"/>
  </r>
  <r>
    <d v="2021-03-08T00:00:00"/>
    <x v="3"/>
    <x v="26"/>
    <x v="26"/>
    <n v="-15000"/>
    <n v="0"/>
    <n v="15000"/>
    <x v="252"/>
    <s v="Cali"/>
  </r>
  <r>
    <m/>
    <x v="1"/>
    <x v="23"/>
    <x v="23"/>
    <m/>
    <m/>
    <m/>
    <x v="1"/>
    <m/>
  </r>
  <r>
    <d v="2021-03-08T00:00:00"/>
    <x v="3"/>
    <x v="0"/>
    <x v="0"/>
    <n v="10000"/>
    <n v="10000"/>
    <n v="0"/>
    <x v="140"/>
    <s v="Cali"/>
  </r>
  <r>
    <d v="2021-03-08T00:00:00"/>
    <x v="3"/>
    <x v="19"/>
    <x v="19"/>
    <n v="-10000"/>
    <n v="0"/>
    <n v="10000"/>
    <x v="140"/>
    <s v="Cali"/>
  </r>
  <r>
    <m/>
    <x v="1"/>
    <x v="23"/>
    <x v="23"/>
    <m/>
    <m/>
    <m/>
    <x v="1"/>
    <m/>
  </r>
  <r>
    <d v="2021-03-08T00:00:00"/>
    <x v="3"/>
    <x v="0"/>
    <x v="0"/>
    <n v="2000"/>
    <n v="2000"/>
    <n v="0"/>
    <x v="177"/>
    <s v="Cali"/>
  </r>
  <r>
    <d v="2021-03-08T00:00:00"/>
    <x v="3"/>
    <x v="19"/>
    <x v="19"/>
    <n v="-2000"/>
    <n v="0"/>
    <n v="2000"/>
    <x v="177"/>
    <s v="Cali"/>
  </r>
  <r>
    <m/>
    <x v="1"/>
    <x v="23"/>
    <x v="23"/>
    <m/>
    <m/>
    <m/>
    <x v="1"/>
    <m/>
  </r>
  <r>
    <d v="2021-03-08T00:00:00"/>
    <x v="3"/>
    <x v="0"/>
    <x v="0"/>
    <n v="10000"/>
    <n v="10000"/>
    <n v="0"/>
    <x v="166"/>
    <s v="Cali"/>
  </r>
  <r>
    <d v="2021-03-08T00:00:00"/>
    <x v="3"/>
    <x v="25"/>
    <x v="25"/>
    <n v="-10000"/>
    <n v="0"/>
    <n v="10000"/>
    <x v="166"/>
    <s v="Cali"/>
  </r>
  <r>
    <m/>
    <x v="1"/>
    <x v="23"/>
    <x v="23"/>
    <m/>
    <m/>
    <m/>
    <x v="1"/>
    <m/>
  </r>
  <r>
    <d v="2021-03-08T00:00:00"/>
    <x v="3"/>
    <x v="0"/>
    <x v="0"/>
    <n v="10000"/>
    <n v="10000"/>
    <n v="0"/>
    <x v="167"/>
    <s v="Cali"/>
  </r>
  <r>
    <d v="2021-03-08T00:00:00"/>
    <x v="3"/>
    <x v="26"/>
    <x v="26"/>
    <n v="-10000"/>
    <n v="0"/>
    <n v="10000"/>
    <x v="167"/>
    <s v="Cali"/>
  </r>
  <r>
    <m/>
    <x v="1"/>
    <x v="23"/>
    <x v="23"/>
    <m/>
    <m/>
    <m/>
    <x v="1"/>
    <m/>
  </r>
  <r>
    <d v="2021-03-08T00:00:00"/>
    <x v="3"/>
    <x v="0"/>
    <x v="0"/>
    <n v="60000"/>
    <n v="60000"/>
    <n v="0"/>
    <x v="202"/>
    <s v="Cali"/>
  </r>
  <r>
    <d v="2021-03-08T00:00:00"/>
    <x v="3"/>
    <x v="27"/>
    <x v="27"/>
    <n v="-60000"/>
    <n v="0"/>
    <n v="60000"/>
    <x v="202"/>
    <s v="Cali"/>
  </r>
  <r>
    <m/>
    <x v="1"/>
    <x v="23"/>
    <x v="23"/>
    <m/>
    <m/>
    <m/>
    <x v="1"/>
    <m/>
  </r>
  <r>
    <d v="2021-03-08T00:00:00"/>
    <x v="3"/>
    <x v="0"/>
    <x v="0"/>
    <n v="64000"/>
    <n v="64000"/>
    <n v="0"/>
    <x v="64"/>
    <s v="Cali"/>
  </r>
  <r>
    <d v="2021-03-08T00:00:00"/>
    <x v="3"/>
    <x v="27"/>
    <x v="27"/>
    <n v="-64000"/>
    <n v="0"/>
    <n v="64000"/>
    <x v="64"/>
    <s v="Cali"/>
  </r>
  <r>
    <m/>
    <x v="1"/>
    <x v="23"/>
    <x v="23"/>
    <m/>
    <m/>
    <m/>
    <x v="1"/>
    <m/>
  </r>
  <r>
    <d v="2021-03-08T00:00:00"/>
    <x v="3"/>
    <x v="0"/>
    <x v="0"/>
    <n v="10000"/>
    <n v="10000"/>
    <n v="0"/>
    <x v="198"/>
    <s v="Cali"/>
  </r>
  <r>
    <d v="2021-03-08T00:00:00"/>
    <x v="3"/>
    <x v="27"/>
    <x v="27"/>
    <n v="-10000"/>
    <n v="0"/>
    <n v="10000"/>
    <x v="198"/>
    <s v="Cali"/>
  </r>
  <r>
    <m/>
    <x v="1"/>
    <x v="23"/>
    <x v="23"/>
    <m/>
    <m/>
    <m/>
    <x v="1"/>
    <m/>
  </r>
  <r>
    <d v="2021-03-08T00:00:00"/>
    <x v="3"/>
    <x v="0"/>
    <x v="0"/>
    <n v="1000000"/>
    <n v="1000000"/>
    <n v="0"/>
    <x v="253"/>
    <s v="Cali"/>
  </r>
  <r>
    <d v="2021-03-08T00:00:00"/>
    <x v="3"/>
    <x v="26"/>
    <x v="26"/>
    <n v="-1000000"/>
    <n v="0"/>
    <n v="1000000"/>
    <x v="253"/>
    <s v="Cali"/>
  </r>
  <r>
    <m/>
    <x v="1"/>
    <x v="23"/>
    <x v="23"/>
    <m/>
    <m/>
    <m/>
    <x v="1"/>
    <m/>
  </r>
  <r>
    <d v="2021-03-09T00:00:00"/>
    <x v="3"/>
    <x v="0"/>
    <x v="0"/>
    <n v="30000"/>
    <n v="30000"/>
    <n v="0"/>
    <x v="170"/>
    <s v="Cali"/>
  </r>
  <r>
    <d v="2021-03-09T00:00:00"/>
    <x v="3"/>
    <x v="26"/>
    <x v="26"/>
    <n v="-30000"/>
    <n v="0"/>
    <n v="30000"/>
    <x v="170"/>
    <s v="Cali"/>
  </r>
  <r>
    <m/>
    <x v="1"/>
    <x v="23"/>
    <x v="23"/>
    <m/>
    <m/>
    <m/>
    <x v="1"/>
    <m/>
  </r>
  <r>
    <d v="2021-03-09T00:00:00"/>
    <x v="3"/>
    <x v="0"/>
    <x v="0"/>
    <n v="25480"/>
    <n v="25480"/>
    <n v="0"/>
    <x v="254"/>
    <s v="Cali"/>
  </r>
  <r>
    <d v="2021-03-09T00:00:00"/>
    <x v="3"/>
    <x v="26"/>
    <x v="26"/>
    <n v="-25480"/>
    <n v="0"/>
    <n v="25480"/>
    <x v="254"/>
    <s v="Cali"/>
  </r>
  <r>
    <m/>
    <x v="1"/>
    <x v="23"/>
    <x v="23"/>
    <m/>
    <m/>
    <m/>
    <x v="1"/>
    <m/>
  </r>
  <r>
    <d v="2021-03-09T00:00:00"/>
    <x v="3"/>
    <x v="31"/>
    <x v="31"/>
    <n v="1742"/>
    <n v="1742"/>
    <n v="0"/>
    <x v="172"/>
    <s v="Cali"/>
  </r>
  <r>
    <d v="2021-03-09T00:00:00"/>
    <x v="3"/>
    <x v="0"/>
    <x v="0"/>
    <n v="-1742"/>
    <n v="0"/>
    <n v="1742"/>
    <x v="172"/>
    <s v="Cali"/>
  </r>
  <r>
    <m/>
    <x v="1"/>
    <x v="23"/>
    <x v="23"/>
    <m/>
    <m/>
    <m/>
    <x v="1"/>
    <m/>
  </r>
  <r>
    <d v="2021-03-10T00:00:00"/>
    <x v="3"/>
    <x v="0"/>
    <x v="0"/>
    <n v="150000"/>
    <n v="150000"/>
    <n v="0"/>
    <x v="192"/>
    <s v="Cali"/>
  </r>
  <r>
    <d v="2021-03-10T00:00:00"/>
    <x v="3"/>
    <x v="26"/>
    <x v="26"/>
    <n v="-150000"/>
    <n v="0"/>
    <n v="150000"/>
    <x v="192"/>
    <s v="Cali"/>
  </r>
  <r>
    <m/>
    <x v="1"/>
    <x v="23"/>
    <x v="23"/>
    <m/>
    <m/>
    <m/>
    <x v="1"/>
    <m/>
  </r>
  <r>
    <d v="2021-03-10T00:00:00"/>
    <x v="3"/>
    <x v="0"/>
    <x v="0"/>
    <n v="30000"/>
    <n v="30000"/>
    <n v="0"/>
    <x v="185"/>
    <s v="Cali"/>
  </r>
  <r>
    <d v="2021-03-10T00:00:00"/>
    <x v="3"/>
    <x v="25"/>
    <x v="25"/>
    <n v="-30000"/>
    <n v="0"/>
    <n v="30000"/>
    <x v="185"/>
    <s v="Cali"/>
  </r>
  <r>
    <m/>
    <x v="1"/>
    <x v="23"/>
    <x v="23"/>
    <m/>
    <m/>
    <m/>
    <x v="1"/>
    <m/>
  </r>
  <r>
    <d v="2021-03-10T00:00:00"/>
    <x v="3"/>
    <x v="0"/>
    <x v="0"/>
    <n v="17000"/>
    <n v="17000"/>
    <n v="0"/>
    <x v="186"/>
    <s v="Cali"/>
  </r>
  <r>
    <d v="2021-03-10T00:00:00"/>
    <x v="3"/>
    <x v="25"/>
    <x v="25"/>
    <n v="-17000"/>
    <n v="0"/>
    <n v="17000"/>
    <x v="186"/>
    <s v="Cali"/>
  </r>
  <r>
    <m/>
    <x v="1"/>
    <x v="23"/>
    <x v="23"/>
    <m/>
    <m/>
    <m/>
    <x v="1"/>
    <m/>
  </r>
  <r>
    <d v="2021-03-10T00:00:00"/>
    <x v="3"/>
    <x v="0"/>
    <x v="0"/>
    <n v="9285861"/>
    <n v="9285861"/>
    <n v="0"/>
    <x v="255"/>
    <s v="Cali"/>
  </r>
  <r>
    <d v="2021-03-10T00:00:00"/>
    <x v="3"/>
    <x v="5"/>
    <x v="5"/>
    <n v="-9285861"/>
    <n v="0"/>
    <n v="9285861"/>
    <x v="255"/>
    <s v="Cali"/>
  </r>
  <r>
    <m/>
    <x v="1"/>
    <x v="23"/>
    <x v="23"/>
    <m/>
    <m/>
    <m/>
    <x v="1"/>
    <m/>
  </r>
  <r>
    <d v="2021-03-11T00:00:00"/>
    <x v="3"/>
    <x v="0"/>
    <x v="0"/>
    <n v="30000"/>
    <n v="30000"/>
    <n v="0"/>
    <x v="256"/>
    <s v="Cali"/>
  </r>
  <r>
    <d v="2021-03-11T00:00:00"/>
    <x v="3"/>
    <x v="25"/>
    <x v="25"/>
    <n v="-30000"/>
    <n v="0"/>
    <n v="30000"/>
    <x v="256"/>
    <s v="Cali"/>
  </r>
  <r>
    <m/>
    <x v="1"/>
    <x v="23"/>
    <x v="23"/>
    <m/>
    <m/>
    <m/>
    <x v="1"/>
    <m/>
  </r>
  <r>
    <d v="2021-03-11T00:00:00"/>
    <x v="3"/>
    <x v="0"/>
    <x v="0"/>
    <n v="10000"/>
    <n v="10000"/>
    <n v="0"/>
    <x v="191"/>
    <s v="Cali"/>
  </r>
  <r>
    <d v="2021-03-11T00:00:00"/>
    <x v="3"/>
    <x v="27"/>
    <x v="27"/>
    <n v="-10000"/>
    <n v="0"/>
    <n v="10000"/>
    <x v="191"/>
    <s v="Cali"/>
  </r>
  <r>
    <m/>
    <x v="1"/>
    <x v="23"/>
    <x v="23"/>
    <m/>
    <m/>
    <m/>
    <x v="1"/>
    <m/>
  </r>
  <r>
    <d v="2021-03-11T00:00:00"/>
    <x v="3"/>
    <x v="0"/>
    <x v="0"/>
    <n v="10000"/>
    <n v="10000"/>
    <n v="0"/>
    <x v="188"/>
    <s v="Cali"/>
  </r>
  <r>
    <d v="2021-03-11T00:00:00"/>
    <x v="3"/>
    <x v="29"/>
    <x v="29"/>
    <n v="-10000"/>
    <n v="0"/>
    <n v="10000"/>
    <x v="188"/>
    <s v="Cali"/>
  </r>
  <r>
    <m/>
    <x v="1"/>
    <x v="23"/>
    <x v="23"/>
    <m/>
    <m/>
    <m/>
    <x v="1"/>
    <m/>
  </r>
  <r>
    <d v="2021-03-12T00:00:00"/>
    <x v="3"/>
    <x v="0"/>
    <x v="0"/>
    <n v="70000"/>
    <n v="70000"/>
    <n v="0"/>
    <x v="257"/>
    <s v="Cali"/>
  </r>
  <r>
    <d v="2021-03-12T00:00:00"/>
    <x v="3"/>
    <x v="26"/>
    <x v="26"/>
    <n v="-70000"/>
    <n v="0"/>
    <n v="70000"/>
    <x v="257"/>
    <s v="Cali"/>
  </r>
  <r>
    <m/>
    <x v="1"/>
    <x v="23"/>
    <x v="23"/>
    <m/>
    <m/>
    <m/>
    <x v="1"/>
    <m/>
  </r>
  <r>
    <d v="2021-03-12T00:00:00"/>
    <x v="3"/>
    <x v="17"/>
    <x v="17"/>
    <n v="51262"/>
    <n v="51262"/>
    <n v="0"/>
    <x v="258"/>
    <s v="Cali"/>
  </r>
  <r>
    <d v="2021-03-12T00:00:00"/>
    <x v="3"/>
    <x v="13"/>
    <x v="13"/>
    <n v="-51262"/>
    <n v="0"/>
    <n v="51262"/>
    <x v="258"/>
    <s v="Cali"/>
  </r>
  <r>
    <m/>
    <x v="1"/>
    <x v="23"/>
    <x v="23"/>
    <m/>
    <m/>
    <m/>
    <x v="1"/>
    <m/>
  </r>
  <r>
    <d v="2021-03-12T00:00:00"/>
    <x v="3"/>
    <x v="1"/>
    <x v="1"/>
    <n v="5000000"/>
    <n v="5000000"/>
    <n v="0"/>
    <x v="259"/>
    <s v="Cali"/>
  </r>
  <r>
    <d v="2021-03-12T00:00:00"/>
    <x v="3"/>
    <x v="0"/>
    <x v="0"/>
    <n v="-5000000"/>
    <n v="0"/>
    <n v="5000000"/>
    <x v="259"/>
    <s v="Cali"/>
  </r>
  <r>
    <m/>
    <x v="1"/>
    <x v="23"/>
    <x v="23"/>
    <m/>
    <m/>
    <m/>
    <x v="1"/>
    <m/>
  </r>
  <r>
    <d v="2021-03-12T00:00:00"/>
    <x v="3"/>
    <x v="1"/>
    <x v="1"/>
    <n v="5000000"/>
    <n v="5000000"/>
    <n v="0"/>
    <x v="259"/>
    <s v="Cali"/>
  </r>
  <r>
    <d v="2021-03-12T00:00:00"/>
    <x v="3"/>
    <x v="0"/>
    <x v="0"/>
    <n v="-5000000"/>
    <n v="0"/>
    <n v="5000000"/>
    <x v="259"/>
    <s v="Cali"/>
  </r>
  <r>
    <m/>
    <x v="1"/>
    <x v="23"/>
    <x v="23"/>
    <m/>
    <m/>
    <m/>
    <x v="1"/>
    <m/>
  </r>
  <r>
    <d v="2021-03-12T00:00:00"/>
    <x v="3"/>
    <x v="1"/>
    <x v="1"/>
    <n v="5000000"/>
    <n v="5000000"/>
    <n v="0"/>
    <x v="259"/>
    <s v="Cali"/>
  </r>
  <r>
    <d v="2021-03-12T00:00:00"/>
    <x v="3"/>
    <x v="0"/>
    <x v="0"/>
    <n v="-5000000"/>
    <n v="0"/>
    <n v="5000000"/>
    <x v="259"/>
    <s v="Cali"/>
  </r>
  <r>
    <m/>
    <x v="1"/>
    <x v="23"/>
    <x v="23"/>
    <m/>
    <m/>
    <m/>
    <x v="1"/>
    <m/>
  </r>
  <r>
    <d v="2021-03-12T00:00:00"/>
    <x v="3"/>
    <x v="1"/>
    <x v="1"/>
    <n v="5000000"/>
    <n v="5000000"/>
    <n v="0"/>
    <x v="259"/>
    <s v="Cali"/>
  </r>
  <r>
    <d v="2021-03-12T00:00:00"/>
    <x v="3"/>
    <x v="0"/>
    <x v="0"/>
    <n v="-5000000"/>
    <n v="0"/>
    <n v="5000000"/>
    <x v="259"/>
    <s v="Cali"/>
  </r>
  <r>
    <m/>
    <x v="1"/>
    <x v="23"/>
    <x v="23"/>
    <m/>
    <m/>
    <m/>
    <x v="1"/>
    <m/>
  </r>
  <r>
    <d v="2021-03-12T00:00:00"/>
    <x v="3"/>
    <x v="1"/>
    <x v="1"/>
    <n v="5000000"/>
    <n v="5000000"/>
    <n v="0"/>
    <x v="259"/>
    <s v="Cali"/>
  </r>
  <r>
    <d v="2021-03-12T00:00:00"/>
    <x v="3"/>
    <x v="0"/>
    <x v="0"/>
    <n v="-5000000"/>
    <n v="0"/>
    <n v="5000000"/>
    <x v="259"/>
    <s v="Cali"/>
  </r>
  <r>
    <m/>
    <x v="1"/>
    <x v="23"/>
    <x v="23"/>
    <m/>
    <m/>
    <m/>
    <x v="1"/>
    <m/>
  </r>
  <r>
    <d v="2021-03-12T00:00:00"/>
    <x v="3"/>
    <x v="31"/>
    <x v="31"/>
    <n v="200000"/>
    <n v="200000"/>
    <n v="0"/>
    <x v="260"/>
    <s v="Cali"/>
  </r>
  <r>
    <d v="2021-03-12T00:00:00"/>
    <x v="3"/>
    <x v="0"/>
    <x v="0"/>
    <n v="-200000"/>
    <n v="0"/>
    <n v="200000"/>
    <x v="260"/>
    <s v="Cali"/>
  </r>
  <r>
    <m/>
    <x v="1"/>
    <x v="23"/>
    <x v="23"/>
    <m/>
    <m/>
    <m/>
    <x v="1"/>
    <m/>
  </r>
  <r>
    <d v="2021-03-15T00:00:00"/>
    <x v="3"/>
    <x v="0"/>
    <x v="0"/>
    <n v="7000"/>
    <n v="7000"/>
    <n v="0"/>
    <x v="261"/>
    <s v="Cali"/>
  </r>
  <r>
    <d v="2021-03-15T00:00:00"/>
    <x v="3"/>
    <x v="25"/>
    <x v="25"/>
    <n v="-7000"/>
    <n v="0"/>
    <n v="7000"/>
    <x v="261"/>
    <s v="Cali"/>
  </r>
  <r>
    <m/>
    <x v="1"/>
    <x v="23"/>
    <x v="23"/>
    <m/>
    <m/>
    <m/>
    <x v="1"/>
    <m/>
  </r>
  <r>
    <d v="2021-03-15T00:00:00"/>
    <x v="3"/>
    <x v="0"/>
    <x v="0"/>
    <n v="200000"/>
    <n v="200000"/>
    <n v="0"/>
    <x v="262"/>
    <s v="Cali"/>
  </r>
  <r>
    <d v="2021-03-15T00:00:00"/>
    <x v="3"/>
    <x v="26"/>
    <x v="26"/>
    <n v="-200000"/>
    <n v="0"/>
    <n v="200000"/>
    <x v="262"/>
    <s v="Cali"/>
  </r>
  <r>
    <m/>
    <x v="1"/>
    <x v="23"/>
    <x v="23"/>
    <m/>
    <m/>
    <m/>
    <x v="1"/>
    <m/>
  </r>
  <r>
    <d v="2021-03-15T00:00:00"/>
    <x v="3"/>
    <x v="0"/>
    <x v="0"/>
    <n v="30000"/>
    <n v="30000"/>
    <n v="0"/>
    <x v="139"/>
    <s v="Cali"/>
  </r>
  <r>
    <d v="2021-03-15T00:00:00"/>
    <x v="3"/>
    <x v="25"/>
    <x v="25"/>
    <n v="-30000"/>
    <n v="0"/>
    <n v="30000"/>
    <x v="139"/>
    <s v="Cali"/>
  </r>
  <r>
    <m/>
    <x v="1"/>
    <x v="23"/>
    <x v="23"/>
    <m/>
    <m/>
    <m/>
    <x v="1"/>
    <m/>
  </r>
  <r>
    <d v="2021-03-15T00:00:00"/>
    <x v="3"/>
    <x v="0"/>
    <x v="0"/>
    <n v="10000"/>
    <n v="10000"/>
    <n v="0"/>
    <x v="140"/>
    <s v="Cali"/>
  </r>
  <r>
    <d v="2021-03-15T00:00:00"/>
    <x v="3"/>
    <x v="19"/>
    <x v="19"/>
    <n v="-10000"/>
    <n v="0"/>
    <n v="10000"/>
    <x v="140"/>
    <s v="Cali"/>
  </r>
  <r>
    <m/>
    <x v="1"/>
    <x v="23"/>
    <x v="23"/>
    <m/>
    <m/>
    <m/>
    <x v="1"/>
    <m/>
  </r>
  <r>
    <d v="2021-03-15T00:00:00"/>
    <x v="3"/>
    <x v="0"/>
    <x v="0"/>
    <n v="350000"/>
    <n v="350000"/>
    <n v="0"/>
    <x v="263"/>
    <s v="Cali"/>
  </r>
  <r>
    <d v="2021-03-15T00:00:00"/>
    <x v="3"/>
    <x v="26"/>
    <x v="26"/>
    <n v="-350000"/>
    <n v="0"/>
    <n v="350000"/>
    <x v="263"/>
    <s v="Cali"/>
  </r>
  <r>
    <m/>
    <x v="1"/>
    <x v="23"/>
    <x v="23"/>
    <m/>
    <m/>
    <m/>
    <x v="1"/>
    <m/>
  </r>
  <r>
    <d v="2021-03-15T00:00:00"/>
    <x v="3"/>
    <x v="0"/>
    <x v="0"/>
    <n v="20000"/>
    <n v="20000"/>
    <n v="0"/>
    <x v="193"/>
    <s v="Cali"/>
  </r>
  <r>
    <d v="2021-03-15T00:00:00"/>
    <x v="3"/>
    <x v="26"/>
    <x v="26"/>
    <n v="-20000"/>
    <n v="0"/>
    <n v="20000"/>
    <x v="193"/>
    <s v="Cali"/>
  </r>
  <r>
    <m/>
    <x v="1"/>
    <x v="23"/>
    <x v="23"/>
    <m/>
    <m/>
    <m/>
    <x v="1"/>
    <m/>
  </r>
  <r>
    <d v="2021-03-15T00:00:00"/>
    <x v="3"/>
    <x v="0"/>
    <x v="0"/>
    <n v="25000"/>
    <n v="25000"/>
    <n v="0"/>
    <x v="194"/>
    <s v="Cali"/>
  </r>
  <r>
    <d v="2021-03-15T00:00:00"/>
    <x v="3"/>
    <x v="25"/>
    <x v="25"/>
    <n v="-25000"/>
    <n v="0"/>
    <n v="25000"/>
    <x v="194"/>
    <s v="Cali"/>
  </r>
  <r>
    <m/>
    <x v="1"/>
    <x v="23"/>
    <x v="23"/>
    <m/>
    <m/>
    <m/>
    <x v="1"/>
    <m/>
  </r>
  <r>
    <d v="2021-03-15T00:00:00"/>
    <x v="3"/>
    <x v="0"/>
    <x v="0"/>
    <n v="5000"/>
    <n v="5000"/>
    <n v="0"/>
    <x v="264"/>
    <s v="Cali"/>
  </r>
  <r>
    <d v="2021-03-15T00:00:00"/>
    <x v="3"/>
    <x v="19"/>
    <x v="19"/>
    <n v="-5000"/>
    <n v="0"/>
    <n v="5000"/>
    <x v="264"/>
    <s v="Cali"/>
  </r>
  <r>
    <m/>
    <x v="1"/>
    <x v="23"/>
    <x v="23"/>
    <m/>
    <m/>
    <m/>
    <x v="1"/>
    <m/>
  </r>
  <r>
    <d v="2021-03-15T00:00:00"/>
    <x v="3"/>
    <x v="0"/>
    <x v="0"/>
    <n v="50000"/>
    <n v="50000"/>
    <n v="0"/>
    <x v="195"/>
    <s v="Cali"/>
  </r>
  <r>
    <d v="2021-03-15T00:00:00"/>
    <x v="3"/>
    <x v="25"/>
    <x v="25"/>
    <n v="-50000"/>
    <n v="0"/>
    <n v="50000"/>
    <x v="195"/>
    <s v="Cali"/>
  </r>
  <r>
    <m/>
    <x v="1"/>
    <x v="23"/>
    <x v="23"/>
    <m/>
    <m/>
    <m/>
    <x v="1"/>
    <m/>
  </r>
  <r>
    <d v="2021-03-15T00:00:00"/>
    <x v="3"/>
    <x v="0"/>
    <x v="0"/>
    <n v="20000"/>
    <n v="20000"/>
    <n v="0"/>
    <x v="196"/>
    <s v="Cali"/>
  </r>
  <r>
    <d v="2021-03-15T00:00:00"/>
    <x v="3"/>
    <x v="25"/>
    <x v="25"/>
    <n v="-20000"/>
    <n v="0"/>
    <n v="20000"/>
    <x v="196"/>
    <s v="Cali"/>
  </r>
  <r>
    <m/>
    <x v="1"/>
    <x v="23"/>
    <x v="23"/>
    <m/>
    <m/>
    <m/>
    <x v="1"/>
    <m/>
  </r>
  <r>
    <d v="2021-03-15T00:00:00"/>
    <x v="3"/>
    <x v="0"/>
    <x v="0"/>
    <n v="290000"/>
    <n v="290000"/>
    <n v="0"/>
    <x v="65"/>
    <s v="Cali"/>
  </r>
  <r>
    <d v="2021-03-15T00:00:00"/>
    <x v="3"/>
    <x v="29"/>
    <x v="29"/>
    <n v="-290000"/>
    <n v="0"/>
    <n v="290000"/>
    <x v="65"/>
    <s v="Cali"/>
  </r>
  <r>
    <m/>
    <x v="1"/>
    <x v="23"/>
    <x v="23"/>
    <m/>
    <m/>
    <m/>
    <x v="1"/>
    <m/>
  </r>
  <r>
    <d v="2021-03-15T00:00:00"/>
    <x v="3"/>
    <x v="0"/>
    <x v="0"/>
    <n v="42000"/>
    <n v="42000"/>
    <n v="0"/>
    <x v="65"/>
    <s v="Cali"/>
  </r>
  <r>
    <d v="2021-03-15T00:00:00"/>
    <x v="3"/>
    <x v="29"/>
    <x v="29"/>
    <n v="-42000"/>
    <n v="0"/>
    <n v="42000"/>
    <x v="65"/>
    <s v="Cali"/>
  </r>
  <r>
    <m/>
    <x v="1"/>
    <x v="23"/>
    <x v="23"/>
    <m/>
    <m/>
    <m/>
    <x v="1"/>
    <m/>
  </r>
  <r>
    <d v="2021-03-15T00:00:00"/>
    <x v="3"/>
    <x v="0"/>
    <x v="0"/>
    <n v="115000"/>
    <n v="115000"/>
    <n v="0"/>
    <x v="65"/>
    <s v="Cali"/>
  </r>
  <r>
    <d v="2021-03-15T00:00:00"/>
    <x v="3"/>
    <x v="29"/>
    <x v="29"/>
    <n v="-115000"/>
    <n v="0"/>
    <n v="115000"/>
    <x v="65"/>
    <s v="Cali"/>
  </r>
  <r>
    <m/>
    <x v="1"/>
    <x v="23"/>
    <x v="23"/>
    <m/>
    <m/>
    <m/>
    <x v="1"/>
    <m/>
  </r>
  <r>
    <d v="2021-03-15T00:00:00"/>
    <x v="3"/>
    <x v="3"/>
    <x v="3"/>
    <n v="60045000"/>
    <n v="60045000"/>
    <n v="0"/>
    <x v="265"/>
    <s v="Cali"/>
  </r>
  <r>
    <d v="2021-03-15T00:00:00"/>
    <x v="3"/>
    <x v="2"/>
    <x v="2"/>
    <n v="-60045000"/>
    <n v="0"/>
    <n v="60045000"/>
    <x v="265"/>
    <s v="Cali"/>
  </r>
  <r>
    <m/>
    <x v="1"/>
    <x v="23"/>
    <x v="23"/>
    <m/>
    <m/>
    <m/>
    <x v="1"/>
    <m/>
  </r>
  <r>
    <d v="2021-03-15T00:00:00"/>
    <x v="3"/>
    <x v="3"/>
    <x v="3"/>
    <n v="74051800"/>
    <n v="74051800"/>
    <n v="0"/>
    <x v="265"/>
    <s v="Cali"/>
  </r>
  <r>
    <d v="2021-03-15T00:00:00"/>
    <x v="3"/>
    <x v="2"/>
    <x v="2"/>
    <n v="-74051800"/>
    <n v="0"/>
    <n v="74051800"/>
    <x v="265"/>
    <s v="Cali"/>
  </r>
  <r>
    <m/>
    <x v="1"/>
    <x v="23"/>
    <x v="23"/>
    <m/>
    <m/>
    <m/>
    <x v="1"/>
    <m/>
  </r>
  <r>
    <d v="2021-03-16T00:00:00"/>
    <x v="3"/>
    <x v="0"/>
    <x v="0"/>
    <n v="20000"/>
    <n v="20000"/>
    <n v="0"/>
    <x v="156"/>
    <s v="Cali"/>
  </r>
  <r>
    <d v="2021-03-16T00:00:00"/>
    <x v="3"/>
    <x v="25"/>
    <x v="25"/>
    <n v="-20000"/>
    <n v="0"/>
    <n v="20000"/>
    <x v="156"/>
    <s v="Cali"/>
  </r>
  <r>
    <m/>
    <x v="1"/>
    <x v="23"/>
    <x v="23"/>
    <m/>
    <m/>
    <m/>
    <x v="1"/>
    <m/>
  </r>
  <r>
    <d v="2021-03-16T00:00:00"/>
    <x v="3"/>
    <x v="0"/>
    <x v="0"/>
    <n v="1150000"/>
    <n v="1150000"/>
    <n v="0"/>
    <x v="263"/>
    <s v="Cali"/>
  </r>
  <r>
    <d v="2021-03-16T00:00:00"/>
    <x v="3"/>
    <x v="26"/>
    <x v="26"/>
    <n v="-1150000"/>
    <n v="0"/>
    <n v="1150000"/>
    <x v="263"/>
    <s v="Cali"/>
  </r>
  <r>
    <m/>
    <x v="1"/>
    <x v="23"/>
    <x v="23"/>
    <m/>
    <m/>
    <m/>
    <x v="1"/>
    <m/>
  </r>
  <r>
    <d v="2021-03-16T00:00:00"/>
    <x v="3"/>
    <x v="0"/>
    <x v="0"/>
    <n v="15000"/>
    <n v="15000"/>
    <n v="0"/>
    <x v="216"/>
    <s v="Cali"/>
  </r>
  <r>
    <d v="2021-03-16T00:00:00"/>
    <x v="3"/>
    <x v="29"/>
    <x v="29"/>
    <n v="-15000"/>
    <n v="0"/>
    <n v="15000"/>
    <x v="216"/>
    <s v="Cali"/>
  </r>
  <r>
    <m/>
    <x v="1"/>
    <x v="23"/>
    <x v="23"/>
    <m/>
    <m/>
    <m/>
    <x v="1"/>
    <m/>
  </r>
  <r>
    <d v="2021-03-16T00:00:00"/>
    <x v="3"/>
    <x v="0"/>
    <x v="0"/>
    <n v="20000"/>
    <n v="20000"/>
    <n v="0"/>
    <x v="174"/>
    <s v="Cali"/>
  </r>
  <r>
    <d v="2021-03-16T00:00:00"/>
    <x v="3"/>
    <x v="25"/>
    <x v="25"/>
    <n v="-20000"/>
    <n v="0"/>
    <n v="20000"/>
    <x v="174"/>
    <s v="Cali"/>
  </r>
  <r>
    <m/>
    <x v="1"/>
    <x v="23"/>
    <x v="23"/>
    <m/>
    <m/>
    <m/>
    <x v="1"/>
    <m/>
  </r>
  <r>
    <d v="2021-03-18T00:00:00"/>
    <x v="3"/>
    <x v="0"/>
    <x v="0"/>
    <n v="10000"/>
    <n v="10000"/>
    <n v="0"/>
    <x v="199"/>
    <s v="Cali"/>
  </r>
  <r>
    <d v="2021-03-18T00:00:00"/>
    <x v="3"/>
    <x v="27"/>
    <x v="27"/>
    <n v="-10000"/>
    <n v="0"/>
    <n v="10000"/>
    <x v="199"/>
    <s v="Cali"/>
  </r>
  <r>
    <m/>
    <x v="1"/>
    <x v="23"/>
    <x v="23"/>
    <m/>
    <m/>
    <m/>
    <x v="1"/>
    <m/>
  </r>
  <r>
    <d v="2021-03-22T00:00:00"/>
    <x v="3"/>
    <x v="0"/>
    <x v="0"/>
    <n v="50000"/>
    <n v="50000"/>
    <n v="0"/>
    <x v="65"/>
    <s v="Cali"/>
  </r>
  <r>
    <d v="2021-03-22T00:00:00"/>
    <x v="3"/>
    <x v="29"/>
    <x v="29"/>
    <n v="-50000"/>
    <n v="0"/>
    <n v="50000"/>
    <x v="65"/>
    <s v="Cali"/>
  </r>
  <r>
    <m/>
    <x v="1"/>
    <x v="23"/>
    <x v="23"/>
    <m/>
    <m/>
    <m/>
    <x v="1"/>
    <m/>
  </r>
  <r>
    <d v="2021-03-22T00:00:00"/>
    <x v="3"/>
    <x v="0"/>
    <x v="0"/>
    <n v="60000"/>
    <n v="60000"/>
    <n v="0"/>
    <x v="65"/>
    <s v="Cali"/>
  </r>
  <r>
    <d v="2021-03-22T00:00:00"/>
    <x v="3"/>
    <x v="29"/>
    <x v="29"/>
    <n v="-60000"/>
    <n v="0"/>
    <n v="60000"/>
    <x v="65"/>
    <s v="Cali"/>
  </r>
  <r>
    <m/>
    <x v="1"/>
    <x v="23"/>
    <x v="23"/>
    <m/>
    <m/>
    <m/>
    <x v="1"/>
    <m/>
  </r>
  <r>
    <d v="2021-03-22T00:00:00"/>
    <x v="3"/>
    <x v="0"/>
    <x v="0"/>
    <n v="18000"/>
    <n v="18000"/>
    <n v="0"/>
    <x v="201"/>
    <s v="Cali"/>
  </r>
  <r>
    <d v="2021-03-22T00:00:00"/>
    <x v="3"/>
    <x v="25"/>
    <x v="25"/>
    <n v="-18000"/>
    <n v="0"/>
    <n v="18000"/>
    <x v="201"/>
    <s v="Cali"/>
  </r>
  <r>
    <m/>
    <x v="1"/>
    <x v="23"/>
    <x v="23"/>
    <m/>
    <m/>
    <m/>
    <x v="1"/>
    <m/>
  </r>
  <r>
    <d v="2021-03-22T00:00:00"/>
    <x v="3"/>
    <x v="0"/>
    <x v="0"/>
    <n v="2000"/>
    <n v="2000"/>
    <n v="0"/>
    <x v="177"/>
    <s v="Cali"/>
  </r>
  <r>
    <d v="2021-03-22T00:00:00"/>
    <x v="3"/>
    <x v="19"/>
    <x v="19"/>
    <n v="-2000"/>
    <n v="0"/>
    <n v="2000"/>
    <x v="177"/>
    <s v="Cali"/>
  </r>
  <r>
    <m/>
    <x v="1"/>
    <x v="23"/>
    <x v="23"/>
    <m/>
    <m/>
    <m/>
    <x v="1"/>
    <m/>
  </r>
  <r>
    <d v="2021-03-22T00:00:00"/>
    <x v="3"/>
    <x v="0"/>
    <x v="0"/>
    <n v="8000"/>
    <n v="8000"/>
    <n v="0"/>
    <x v="140"/>
    <s v="Cali"/>
  </r>
  <r>
    <d v="2021-03-22T00:00:00"/>
    <x v="3"/>
    <x v="19"/>
    <x v="19"/>
    <n v="-8000"/>
    <n v="0"/>
    <n v="8000"/>
    <x v="140"/>
    <s v="Cali"/>
  </r>
  <r>
    <m/>
    <x v="1"/>
    <x v="23"/>
    <x v="23"/>
    <m/>
    <m/>
    <m/>
    <x v="1"/>
    <m/>
  </r>
  <r>
    <d v="2021-03-22T00:00:00"/>
    <x v="3"/>
    <x v="0"/>
    <x v="0"/>
    <n v="30000"/>
    <n v="30000"/>
    <n v="0"/>
    <x v="266"/>
    <s v="Cali"/>
  </r>
  <r>
    <d v="2021-03-22T00:00:00"/>
    <x v="3"/>
    <x v="25"/>
    <x v="25"/>
    <n v="-30000"/>
    <n v="0"/>
    <n v="30000"/>
    <x v="266"/>
    <s v="Cali"/>
  </r>
  <r>
    <m/>
    <x v="1"/>
    <x v="23"/>
    <x v="23"/>
    <m/>
    <m/>
    <m/>
    <x v="1"/>
    <m/>
  </r>
  <r>
    <d v="2021-03-22T00:00:00"/>
    <x v="3"/>
    <x v="0"/>
    <x v="0"/>
    <n v="100000"/>
    <n v="100000"/>
    <n v="0"/>
    <x v="192"/>
    <s v="Cali"/>
  </r>
  <r>
    <d v="2021-03-22T00:00:00"/>
    <x v="3"/>
    <x v="26"/>
    <x v="26"/>
    <n v="-100000"/>
    <n v="0"/>
    <n v="100000"/>
    <x v="192"/>
    <s v="Cali"/>
  </r>
  <r>
    <m/>
    <x v="1"/>
    <x v="23"/>
    <x v="23"/>
    <m/>
    <m/>
    <m/>
    <x v="1"/>
    <m/>
  </r>
  <r>
    <d v="2021-03-22T00:00:00"/>
    <x v="3"/>
    <x v="0"/>
    <x v="0"/>
    <n v="20000"/>
    <n v="20000"/>
    <n v="0"/>
    <x v="267"/>
    <s v="Cali"/>
  </r>
  <r>
    <d v="2021-03-22T00:00:00"/>
    <x v="3"/>
    <x v="25"/>
    <x v="25"/>
    <n v="-20000"/>
    <n v="0"/>
    <n v="20000"/>
    <x v="267"/>
    <s v="Cali"/>
  </r>
  <r>
    <m/>
    <x v="1"/>
    <x v="23"/>
    <x v="23"/>
    <m/>
    <m/>
    <m/>
    <x v="1"/>
    <m/>
  </r>
  <r>
    <d v="2021-03-23T00:00:00"/>
    <x v="3"/>
    <x v="0"/>
    <x v="0"/>
    <n v="120000"/>
    <n v="120000"/>
    <n v="0"/>
    <x v="268"/>
    <s v="Cali"/>
  </r>
  <r>
    <d v="2021-03-23T00:00:00"/>
    <x v="3"/>
    <x v="25"/>
    <x v="25"/>
    <n v="-120000"/>
    <n v="0"/>
    <n v="120000"/>
    <x v="268"/>
    <s v="Cali"/>
  </r>
  <r>
    <m/>
    <x v="1"/>
    <x v="23"/>
    <x v="23"/>
    <m/>
    <m/>
    <m/>
    <x v="1"/>
    <m/>
  </r>
  <r>
    <d v="2021-03-23T00:00:00"/>
    <x v="3"/>
    <x v="0"/>
    <x v="0"/>
    <n v="30000"/>
    <n v="30000"/>
    <n v="0"/>
    <x v="203"/>
    <s v="Cali"/>
  </r>
  <r>
    <d v="2021-03-23T00:00:00"/>
    <x v="3"/>
    <x v="27"/>
    <x v="27"/>
    <n v="-30000"/>
    <n v="0"/>
    <n v="30000"/>
    <x v="203"/>
    <s v="Cali"/>
  </r>
  <r>
    <m/>
    <x v="1"/>
    <x v="23"/>
    <x v="23"/>
    <m/>
    <m/>
    <m/>
    <x v="1"/>
    <m/>
  </r>
  <r>
    <d v="2021-03-23T00:00:00"/>
    <x v="3"/>
    <x v="0"/>
    <x v="0"/>
    <n v="20000"/>
    <n v="20000"/>
    <n v="0"/>
    <x v="85"/>
    <s v="Cali"/>
  </r>
  <r>
    <d v="2021-03-23T00:00:00"/>
    <x v="3"/>
    <x v="25"/>
    <x v="25"/>
    <n v="-20000"/>
    <n v="0"/>
    <n v="20000"/>
    <x v="85"/>
    <s v="Cali"/>
  </r>
  <r>
    <m/>
    <x v="1"/>
    <x v="23"/>
    <x v="23"/>
    <m/>
    <m/>
    <m/>
    <x v="1"/>
    <m/>
  </r>
  <r>
    <d v="2021-03-23T00:00:00"/>
    <x v="3"/>
    <x v="0"/>
    <x v="0"/>
    <n v="100000"/>
    <n v="100000"/>
    <n v="0"/>
    <x v="269"/>
    <s v="Cali"/>
  </r>
  <r>
    <d v="2021-03-23T00:00:00"/>
    <x v="3"/>
    <x v="26"/>
    <x v="26"/>
    <n v="-100000"/>
    <n v="0"/>
    <n v="100000"/>
    <x v="269"/>
    <s v="Cali"/>
  </r>
  <r>
    <m/>
    <x v="1"/>
    <x v="23"/>
    <x v="23"/>
    <m/>
    <m/>
    <m/>
    <x v="1"/>
    <m/>
  </r>
  <r>
    <d v="2021-03-23T00:00:00"/>
    <x v="3"/>
    <x v="0"/>
    <x v="0"/>
    <n v="9800"/>
    <n v="9800"/>
    <n v="0"/>
    <x v="270"/>
    <s v="Cali"/>
  </r>
  <r>
    <d v="2021-03-23T00:00:00"/>
    <x v="3"/>
    <x v="26"/>
    <x v="26"/>
    <n v="-9800"/>
    <n v="0"/>
    <n v="9800"/>
    <x v="270"/>
    <s v="Cali"/>
  </r>
  <r>
    <m/>
    <x v="1"/>
    <x v="23"/>
    <x v="23"/>
    <m/>
    <m/>
    <m/>
    <x v="1"/>
    <m/>
  </r>
  <r>
    <d v="2021-03-24T00:00:00"/>
    <x v="3"/>
    <x v="0"/>
    <x v="0"/>
    <n v="50000"/>
    <n v="50000"/>
    <n v="0"/>
    <x v="271"/>
    <s v="Cali"/>
  </r>
  <r>
    <d v="2021-03-24T00:00:00"/>
    <x v="3"/>
    <x v="13"/>
    <x v="13"/>
    <n v="-50000"/>
    <n v="0"/>
    <n v="50000"/>
    <x v="271"/>
    <s v="Cali"/>
  </r>
  <r>
    <m/>
    <x v="1"/>
    <x v="23"/>
    <x v="23"/>
    <m/>
    <m/>
    <m/>
    <x v="1"/>
    <m/>
  </r>
  <r>
    <d v="2021-03-24T00:00:00"/>
    <x v="3"/>
    <x v="0"/>
    <x v="0"/>
    <n v="5000000"/>
    <n v="5000000"/>
    <n v="0"/>
    <x v="272"/>
    <s v="Cali"/>
  </r>
  <r>
    <d v="2021-03-24T00:00:00"/>
    <x v="3"/>
    <x v="26"/>
    <x v="26"/>
    <n v="-5000000"/>
    <n v="0"/>
    <n v="5000000"/>
    <x v="272"/>
    <s v="Cali"/>
  </r>
  <r>
    <m/>
    <x v="1"/>
    <x v="23"/>
    <x v="23"/>
    <m/>
    <m/>
    <m/>
    <x v="1"/>
    <m/>
  </r>
  <r>
    <d v="2021-03-25T00:00:00"/>
    <x v="3"/>
    <x v="0"/>
    <x v="0"/>
    <n v="10000"/>
    <n v="10000"/>
    <n v="0"/>
    <x v="206"/>
    <s v="Cali"/>
  </r>
  <r>
    <d v="2021-03-25T00:00:00"/>
    <x v="3"/>
    <x v="26"/>
    <x v="26"/>
    <n v="-10000"/>
    <n v="0"/>
    <n v="10000"/>
    <x v="206"/>
    <s v="Cali"/>
  </r>
  <r>
    <m/>
    <x v="1"/>
    <x v="23"/>
    <x v="23"/>
    <m/>
    <m/>
    <m/>
    <x v="1"/>
    <m/>
  </r>
  <r>
    <d v="2021-03-25T00:00:00"/>
    <x v="3"/>
    <x v="0"/>
    <x v="0"/>
    <n v="100000"/>
    <n v="100000"/>
    <n v="0"/>
    <x v="273"/>
    <s v="Cali"/>
  </r>
  <r>
    <d v="2021-03-25T00:00:00"/>
    <x v="3"/>
    <x v="26"/>
    <x v="26"/>
    <n v="-100000"/>
    <n v="0"/>
    <n v="100000"/>
    <x v="273"/>
    <s v="Cali"/>
  </r>
  <r>
    <m/>
    <x v="1"/>
    <x v="23"/>
    <x v="23"/>
    <m/>
    <m/>
    <m/>
    <x v="1"/>
    <m/>
  </r>
  <r>
    <d v="2021-03-26T00:00:00"/>
    <x v="3"/>
    <x v="0"/>
    <x v="0"/>
    <n v="1813252"/>
    <n v="1813252"/>
    <n v="0"/>
    <x v="274"/>
    <s v="Cali"/>
  </r>
  <r>
    <d v="2021-03-26T00:00:00"/>
    <x v="3"/>
    <x v="44"/>
    <x v="44"/>
    <n v="-1813252"/>
    <n v="0"/>
    <n v="1813252"/>
    <x v="274"/>
    <s v="Cali"/>
  </r>
  <r>
    <m/>
    <x v="1"/>
    <x v="23"/>
    <x v="23"/>
    <m/>
    <m/>
    <m/>
    <x v="1"/>
    <m/>
  </r>
  <r>
    <d v="2021-03-26T00:00:00"/>
    <x v="3"/>
    <x v="0"/>
    <x v="0"/>
    <n v="2038563"/>
    <n v="2038563"/>
    <n v="0"/>
    <x v="275"/>
    <s v="Cali"/>
  </r>
  <r>
    <d v="2021-03-26T00:00:00"/>
    <x v="3"/>
    <x v="45"/>
    <x v="45"/>
    <n v="-2038563"/>
    <n v="0"/>
    <n v="2038563"/>
    <x v="275"/>
    <s v="Cali"/>
  </r>
  <r>
    <m/>
    <x v="1"/>
    <x v="23"/>
    <x v="23"/>
    <m/>
    <m/>
    <m/>
    <x v="1"/>
    <m/>
  </r>
  <r>
    <d v="2021-03-26T00:00:00"/>
    <x v="3"/>
    <x v="0"/>
    <x v="0"/>
    <n v="400000"/>
    <n v="400000"/>
    <n v="0"/>
    <x v="212"/>
    <s v="Cali"/>
  </r>
  <r>
    <d v="2021-03-26T00:00:00"/>
    <x v="3"/>
    <x v="26"/>
    <x v="26"/>
    <n v="-400000"/>
    <n v="0"/>
    <n v="400000"/>
    <x v="212"/>
    <s v="Cali"/>
  </r>
  <r>
    <m/>
    <x v="1"/>
    <x v="23"/>
    <x v="23"/>
    <m/>
    <m/>
    <m/>
    <x v="1"/>
    <m/>
  </r>
  <r>
    <d v="2021-03-26T00:00:00"/>
    <x v="3"/>
    <x v="0"/>
    <x v="0"/>
    <n v="1472635"/>
    <n v="1472635"/>
    <n v="0"/>
    <x v="276"/>
    <s v="Cali"/>
  </r>
  <r>
    <d v="2021-03-26T00:00:00"/>
    <x v="3"/>
    <x v="26"/>
    <x v="26"/>
    <n v="-1472635"/>
    <n v="0"/>
    <n v="1472635"/>
    <x v="276"/>
    <s v="Cali"/>
  </r>
  <r>
    <m/>
    <x v="1"/>
    <x v="23"/>
    <x v="23"/>
    <m/>
    <m/>
    <m/>
    <x v="1"/>
    <m/>
  </r>
  <r>
    <d v="2021-03-26T00:00:00"/>
    <x v="3"/>
    <x v="0"/>
    <x v="0"/>
    <n v="30000"/>
    <n v="30000"/>
    <n v="0"/>
    <x v="239"/>
    <s v="Cali"/>
  </r>
  <r>
    <d v="2021-03-26T00:00:00"/>
    <x v="3"/>
    <x v="27"/>
    <x v="27"/>
    <n v="-30000"/>
    <n v="0"/>
    <n v="30000"/>
    <x v="239"/>
    <s v="Cali"/>
  </r>
  <r>
    <m/>
    <x v="1"/>
    <x v="23"/>
    <x v="23"/>
    <m/>
    <m/>
    <m/>
    <x v="1"/>
    <m/>
  </r>
  <r>
    <d v="2021-03-26T00:00:00"/>
    <x v="3"/>
    <x v="0"/>
    <x v="0"/>
    <n v="10000"/>
    <n v="10000"/>
    <n v="0"/>
    <x v="277"/>
    <s v="Cali"/>
  </r>
  <r>
    <d v="2021-03-26T00:00:00"/>
    <x v="3"/>
    <x v="25"/>
    <x v="25"/>
    <n v="-10000"/>
    <n v="0"/>
    <n v="10000"/>
    <x v="277"/>
    <s v="Cali"/>
  </r>
  <r>
    <m/>
    <x v="1"/>
    <x v="23"/>
    <x v="23"/>
    <m/>
    <m/>
    <m/>
    <x v="1"/>
    <m/>
  </r>
  <r>
    <d v="2021-03-29T00:00:00"/>
    <x v="3"/>
    <x v="0"/>
    <x v="0"/>
    <n v="1500000"/>
    <n v="1500000"/>
    <n v="0"/>
    <x v="278"/>
    <s v="Cali"/>
  </r>
  <r>
    <d v="2021-03-29T00:00:00"/>
    <x v="3"/>
    <x v="25"/>
    <x v="25"/>
    <n v="-1500000"/>
    <n v="0"/>
    <n v="1500000"/>
    <x v="278"/>
    <s v="Cali"/>
  </r>
  <r>
    <m/>
    <x v="1"/>
    <x v="23"/>
    <x v="23"/>
    <m/>
    <m/>
    <m/>
    <x v="1"/>
    <m/>
  </r>
  <r>
    <d v="2021-03-29T00:00:00"/>
    <x v="3"/>
    <x v="0"/>
    <x v="0"/>
    <n v="2000"/>
    <n v="2000"/>
    <n v="0"/>
    <x v="177"/>
    <s v="Cali"/>
  </r>
  <r>
    <d v="2021-03-29T00:00:00"/>
    <x v="3"/>
    <x v="19"/>
    <x v="19"/>
    <n v="-2000"/>
    <n v="0"/>
    <n v="2000"/>
    <x v="177"/>
    <s v="Cali"/>
  </r>
  <r>
    <m/>
    <x v="1"/>
    <x v="23"/>
    <x v="23"/>
    <m/>
    <m/>
    <m/>
    <x v="1"/>
    <m/>
  </r>
  <r>
    <d v="2021-03-29T00:00:00"/>
    <x v="3"/>
    <x v="0"/>
    <x v="0"/>
    <n v="20000"/>
    <n v="20000"/>
    <n v="0"/>
    <x v="237"/>
    <s v="Cali"/>
  </r>
  <r>
    <d v="2021-03-29T00:00:00"/>
    <x v="3"/>
    <x v="19"/>
    <x v="19"/>
    <n v="-20000"/>
    <n v="0"/>
    <n v="20000"/>
    <x v="237"/>
    <s v="Cali"/>
  </r>
  <r>
    <m/>
    <x v="1"/>
    <x v="23"/>
    <x v="23"/>
    <m/>
    <m/>
    <m/>
    <x v="1"/>
    <m/>
  </r>
  <r>
    <d v="2021-03-29T00:00:00"/>
    <x v="3"/>
    <x v="0"/>
    <x v="0"/>
    <n v="10000"/>
    <n v="10000"/>
    <n v="0"/>
    <x v="236"/>
    <s v="Cali"/>
  </r>
  <r>
    <d v="2021-03-29T00:00:00"/>
    <x v="3"/>
    <x v="25"/>
    <x v="25"/>
    <n v="-10000"/>
    <n v="0"/>
    <n v="10000"/>
    <x v="236"/>
    <s v="Cali"/>
  </r>
  <r>
    <m/>
    <x v="1"/>
    <x v="23"/>
    <x v="23"/>
    <m/>
    <m/>
    <m/>
    <x v="1"/>
    <m/>
  </r>
  <r>
    <d v="2021-03-29T00:00:00"/>
    <x v="3"/>
    <x v="0"/>
    <x v="0"/>
    <n v="125000"/>
    <n v="125000"/>
    <n v="0"/>
    <x v="136"/>
    <s v="Cali"/>
  </r>
  <r>
    <d v="2021-03-29T00:00:00"/>
    <x v="3"/>
    <x v="26"/>
    <x v="26"/>
    <n v="-125000"/>
    <n v="0"/>
    <n v="125000"/>
    <x v="136"/>
    <s v="Cali"/>
  </r>
  <r>
    <m/>
    <x v="1"/>
    <x v="23"/>
    <x v="23"/>
    <m/>
    <m/>
    <m/>
    <x v="1"/>
    <m/>
  </r>
  <r>
    <d v="2021-03-29T00:00:00"/>
    <x v="3"/>
    <x v="0"/>
    <x v="0"/>
    <n v="10000"/>
    <n v="10000"/>
    <n v="0"/>
    <x v="140"/>
    <s v="Cali"/>
  </r>
  <r>
    <d v="2021-03-29T00:00:00"/>
    <x v="3"/>
    <x v="19"/>
    <x v="19"/>
    <n v="-10000"/>
    <n v="0"/>
    <n v="10000"/>
    <x v="140"/>
    <s v="Cali"/>
  </r>
  <r>
    <m/>
    <x v="1"/>
    <x v="23"/>
    <x v="23"/>
    <m/>
    <m/>
    <m/>
    <x v="1"/>
    <m/>
  </r>
  <r>
    <d v="2021-03-29T00:00:00"/>
    <x v="3"/>
    <x v="0"/>
    <x v="0"/>
    <n v="5000"/>
    <n v="5000"/>
    <n v="0"/>
    <x v="200"/>
    <s v="Cali"/>
  </r>
  <r>
    <d v="2021-03-29T00:00:00"/>
    <x v="3"/>
    <x v="19"/>
    <x v="19"/>
    <n v="-5000"/>
    <n v="0"/>
    <n v="5000"/>
    <x v="200"/>
    <s v="Cali"/>
  </r>
  <r>
    <m/>
    <x v="1"/>
    <x v="23"/>
    <x v="23"/>
    <m/>
    <m/>
    <m/>
    <x v="1"/>
    <m/>
  </r>
  <r>
    <d v="2021-03-29T00:00:00"/>
    <x v="3"/>
    <x v="0"/>
    <x v="0"/>
    <n v="350000"/>
    <n v="350000"/>
    <n v="0"/>
    <x v="279"/>
    <s v="Cali"/>
  </r>
  <r>
    <d v="2021-03-29T00:00:00"/>
    <x v="3"/>
    <x v="26"/>
    <x v="26"/>
    <n v="-350000"/>
    <n v="0"/>
    <n v="350000"/>
    <x v="279"/>
    <s v="Cali"/>
  </r>
  <r>
    <m/>
    <x v="1"/>
    <x v="23"/>
    <x v="23"/>
    <m/>
    <m/>
    <m/>
    <x v="1"/>
    <m/>
  </r>
  <r>
    <d v="2021-03-29T00:00:00"/>
    <x v="3"/>
    <x v="0"/>
    <x v="0"/>
    <n v="73000"/>
    <n v="73000"/>
    <n v="0"/>
    <x v="240"/>
    <s v="Cali"/>
  </r>
  <r>
    <d v="2021-03-29T00:00:00"/>
    <x v="3"/>
    <x v="26"/>
    <x v="26"/>
    <n v="-73000"/>
    <n v="0"/>
    <n v="73000"/>
    <x v="240"/>
    <s v="Cali"/>
  </r>
  <r>
    <m/>
    <x v="1"/>
    <x v="23"/>
    <x v="23"/>
    <m/>
    <m/>
    <m/>
    <x v="1"/>
    <m/>
  </r>
  <r>
    <d v="2021-03-29T00:00:00"/>
    <x v="3"/>
    <x v="0"/>
    <x v="0"/>
    <n v="40000"/>
    <n v="40000"/>
    <n v="0"/>
    <x v="241"/>
    <s v="Cali"/>
  </r>
  <r>
    <d v="2021-03-29T00:00:00"/>
    <x v="3"/>
    <x v="26"/>
    <x v="26"/>
    <n v="-40000"/>
    <n v="0"/>
    <n v="40000"/>
    <x v="241"/>
    <s v="Cali"/>
  </r>
  <r>
    <m/>
    <x v="1"/>
    <x v="23"/>
    <x v="23"/>
    <m/>
    <m/>
    <m/>
    <x v="1"/>
    <m/>
  </r>
  <r>
    <d v="2021-03-29T00:00:00"/>
    <x v="3"/>
    <x v="0"/>
    <x v="0"/>
    <n v="60000"/>
    <n v="60000"/>
    <n v="0"/>
    <x v="238"/>
    <s v="Cali"/>
  </r>
  <r>
    <d v="2021-03-29T00:00:00"/>
    <x v="3"/>
    <x v="25"/>
    <x v="25"/>
    <n v="-60000"/>
    <n v="0"/>
    <n v="60000"/>
    <x v="238"/>
    <s v="Cali"/>
  </r>
  <r>
    <m/>
    <x v="1"/>
    <x v="23"/>
    <x v="23"/>
    <m/>
    <m/>
    <m/>
    <x v="1"/>
    <m/>
  </r>
  <r>
    <d v="2021-03-29T00:00:00"/>
    <x v="3"/>
    <x v="0"/>
    <x v="0"/>
    <n v="49405"/>
    <n v="49405"/>
    <n v="0"/>
    <x v="280"/>
    <s v="Cali"/>
  </r>
  <r>
    <d v="2021-03-29T00:00:00"/>
    <x v="3"/>
    <x v="26"/>
    <x v="26"/>
    <n v="-49405"/>
    <n v="0"/>
    <n v="49405"/>
    <x v="280"/>
    <s v="Cali"/>
  </r>
  <r>
    <m/>
    <x v="1"/>
    <x v="23"/>
    <x v="23"/>
    <m/>
    <m/>
    <m/>
    <x v="1"/>
    <m/>
  </r>
  <r>
    <d v="2021-03-29T00:00:00"/>
    <x v="3"/>
    <x v="0"/>
    <x v="0"/>
    <n v="25000"/>
    <n v="25000"/>
    <n v="0"/>
    <x v="138"/>
    <s v="Cali"/>
  </r>
  <r>
    <d v="2021-03-29T00:00:00"/>
    <x v="3"/>
    <x v="27"/>
    <x v="27"/>
    <n v="-25000"/>
    <n v="0"/>
    <n v="25000"/>
    <x v="138"/>
    <s v="Cali"/>
  </r>
  <r>
    <m/>
    <x v="1"/>
    <x v="23"/>
    <x v="23"/>
    <m/>
    <m/>
    <m/>
    <x v="1"/>
    <m/>
  </r>
  <r>
    <d v="2021-03-30T00:00:00"/>
    <x v="3"/>
    <x v="0"/>
    <x v="0"/>
    <n v="100000"/>
    <n v="100000"/>
    <n v="0"/>
    <x v="281"/>
    <s v="Cali"/>
  </r>
  <r>
    <d v="2021-03-30T00:00:00"/>
    <x v="3"/>
    <x v="26"/>
    <x v="26"/>
    <n v="-100000"/>
    <n v="0"/>
    <n v="100000"/>
    <x v="281"/>
    <s v="Cali"/>
  </r>
  <r>
    <m/>
    <x v="1"/>
    <x v="23"/>
    <x v="23"/>
    <m/>
    <m/>
    <m/>
    <x v="1"/>
    <m/>
  </r>
  <r>
    <d v="2021-03-30T00:00:00"/>
    <x v="3"/>
    <x v="0"/>
    <x v="0"/>
    <n v="15000"/>
    <n v="15000"/>
    <n v="0"/>
    <x v="137"/>
    <s v="Cali"/>
  </r>
  <r>
    <d v="2021-03-30T00:00:00"/>
    <x v="3"/>
    <x v="26"/>
    <x v="26"/>
    <n v="-15000"/>
    <n v="0"/>
    <n v="15000"/>
    <x v="137"/>
    <s v="Cali"/>
  </r>
  <r>
    <m/>
    <x v="1"/>
    <x v="23"/>
    <x v="23"/>
    <m/>
    <m/>
    <m/>
    <x v="1"/>
    <m/>
  </r>
  <r>
    <d v="2021-03-30T00:00:00"/>
    <x v="3"/>
    <x v="0"/>
    <x v="0"/>
    <n v="15000"/>
    <n v="15000"/>
    <n v="0"/>
    <x v="282"/>
    <s v="Cali"/>
  </r>
  <r>
    <d v="2021-03-30T00:00:00"/>
    <x v="3"/>
    <x v="25"/>
    <x v="25"/>
    <n v="-15000"/>
    <n v="0"/>
    <n v="15000"/>
    <x v="282"/>
    <s v="Cali"/>
  </r>
  <r>
    <m/>
    <x v="1"/>
    <x v="23"/>
    <x v="23"/>
    <m/>
    <m/>
    <m/>
    <x v="1"/>
    <m/>
  </r>
  <r>
    <d v="2021-03-30T00:00:00"/>
    <x v="3"/>
    <x v="14"/>
    <x v="14"/>
    <n v="119399"/>
    <n v="119399"/>
    <n v="0"/>
    <x v="283"/>
    <s v="Cali"/>
  </r>
  <r>
    <d v="2021-03-30T00:00:00"/>
    <x v="3"/>
    <x v="15"/>
    <x v="15"/>
    <n v="2817251"/>
    <n v="2817251"/>
    <n v="0"/>
    <x v="283"/>
    <s v="Cali"/>
  </r>
  <r>
    <d v="2021-03-30T00:00:00"/>
    <x v="3"/>
    <x v="0"/>
    <x v="0"/>
    <n v="-2936650"/>
    <n v="0"/>
    <n v="2936650"/>
    <x v="283"/>
    <s v="Cali"/>
  </r>
  <r>
    <m/>
    <x v="1"/>
    <x v="23"/>
    <x v="23"/>
    <m/>
    <m/>
    <m/>
    <x v="1"/>
    <m/>
  </r>
  <r>
    <d v="2021-03-30T00:00:00"/>
    <x v="3"/>
    <x v="31"/>
    <x v="31"/>
    <n v="677966"/>
    <n v="677966"/>
    <n v="0"/>
    <x v="284"/>
    <s v="Cali"/>
  </r>
  <r>
    <d v="2021-03-30T00:00:00"/>
    <x v="3"/>
    <x v="17"/>
    <x v="17"/>
    <n v="-77966"/>
    <n v="0"/>
    <n v="77966"/>
    <x v="284"/>
    <s v="Cali"/>
  </r>
  <r>
    <d v="2021-03-30T00:00:00"/>
    <x v="3"/>
    <x v="52"/>
    <x v="52"/>
    <n v="-600000"/>
    <n v="0"/>
    <n v="600000"/>
    <x v="284"/>
    <s v="Cali"/>
  </r>
  <r>
    <m/>
    <x v="1"/>
    <x v="23"/>
    <x v="23"/>
    <m/>
    <m/>
    <m/>
    <x v="1"/>
    <m/>
  </r>
  <r>
    <d v="2021-03-30T00:00:00"/>
    <x v="3"/>
    <x v="31"/>
    <x v="31"/>
    <n v="169492"/>
    <n v="169492"/>
    <n v="0"/>
    <x v="285"/>
    <s v="Cali"/>
  </r>
  <r>
    <d v="2021-03-30T00:00:00"/>
    <x v="3"/>
    <x v="17"/>
    <x v="17"/>
    <n v="-19492"/>
    <n v="0"/>
    <n v="19492"/>
    <x v="285"/>
    <s v="Cali"/>
  </r>
  <r>
    <d v="2021-03-30T00:00:00"/>
    <x v="3"/>
    <x v="0"/>
    <x v="0"/>
    <n v="-150000"/>
    <n v="0"/>
    <n v="150000"/>
    <x v="285"/>
    <s v="Cali"/>
  </r>
  <r>
    <m/>
    <x v="1"/>
    <x v="23"/>
    <x v="23"/>
    <m/>
    <m/>
    <m/>
    <x v="1"/>
    <m/>
  </r>
  <r>
    <d v="2021-03-30T00:00:00"/>
    <x v="3"/>
    <x v="31"/>
    <x v="31"/>
    <n v="112994"/>
    <n v="112994"/>
    <n v="0"/>
    <x v="286"/>
    <s v="Cali"/>
  </r>
  <r>
    <d v="2021-03-30T00:00:00"/>
    <x v="3"/>
    <x v="17"/>
    <x v="17"/>
    <n v="-12994"/>
    <n v="0"/>
    <n v="12994"/>
    <x v="286"/>
    <s v="Cali"/>
  </r>
  <r>
    <d v="2021-03-30T00:00:00"/>
    <x v="3"/>
    <x v="0"/>
    <x v="0"/>
    <n v="-100000"/>
    <n v="0"/>
    <n v="100000"/>
    <x v="286"/>
    <s v="Cali"/>
  </r>
  <r>
    <m/>
    <x v="1"/>
    <x v="23"/>
    <x v="23"/>
    <m/>
    <m/>
    <m/>
    <x v="1"/>
    <m/>
  </r>
  <r>
    <d v="2021-03-30T00:00:00"/>
    <x v="3"/>
    <x v="0"/>
    <x v="0"/>
    <n v="50000"/>
    <n v="50000"/>
    <n v="0"/>
    <x v="135"/>
    <s v="Cali"/>
  </r>
  <r>
    <d v="2021-03-30T00:00:00"/>
    <x v="3"/>
    <x v="26"/>
    <x v="26"/>
    <n v="-50000"/>
    <n v="0"/>
    <n v="50000"/>
    <x v="135"/>
    <s v="Cali"/>
  </r>
  <r>
    <m/>
    <x v="1"/>
    <x v="23"/>
    <x v="23"/>
    <m/>
    <m/>
    <m/>
    <x v="1"/>
    <m/>
  </r>
  <r>
    <d v="2021-03-30T00:00:00"/>
    <x v="3"/>
    <x v="0"/>
    <x v="0"/>
    <n v="36000"/>
    <n v="36000"/>
    <n v="0"/>
    <x v="133"/>
    <s v="Cali"/>
  </r>
  <r>
    <d v="2021-03-30T00:00:00"/>
    <x v="3"/>
    <x v="25"/>
    <x v="25"/>
    <n v="-36000"/>
    <n v="0"/>
    <n v="36000"/>
    <x v="133"/>
    <s v="Cali"/>
  </r>
  <r>
    <m/>
    <x v="1"/>
    <x v="23"/>
    <x v="23"/>
    <m/>
    <m/>
    <m/>
    <x v="1"/>
    <m/>
  </r>
  <r>
    <d v="2021-03-30T00:00:00"/>
    <x v="3"/>
    <x v="0"/>
    <x v="0"/>
    <n v="100000"/>
    <n v="100000"/>
    <n v="0"/>
    <x v="134"/>
    <s v="Cali"/>
  </r>
  <r>
    <d v="2021-03-30T00:00:00"/>
    <x v="3"/>
    <x v="26"/>
    <x v="26"/>
    <n v="-100000"/>
    <n v="0"/>
    <n v="100000"/>
    <x v="134"/>
    <s v="Cali"/>
  </r>
  <r>
    <m/>
    <x v="1"/>
    <x v="23"/>
    <x v="23"/>
    <m/>
    <m/>
    <m/>
    <x v="1"/>
    <m/>
  </r>
  <r>
    <d v="2021-03-30T00:00:00"/>
    <x v="3"/>
    <x v="0"/>
    <x v="0"/>
    <n v="9537988"/>
    <n v="9537988"/>
    <n v="0"/>
    <x v="287"/>
    <s v="Cali"/>
  </r>
  <r>
    <d v="2021-03-30T00:00:00"/>
    <x v="3"/>
    <x v="5"/>
    <x v="5"/>
    <n v="-9537988"/>
    <n v="0"/>
    <n v="9537988"/>
    <x v="287"/>
    <s v="Cali"/>
  </r>
  <r>
    <m/>
    <x v="1"/>
    <x v="23"/>
    <x v="23"/>
    <m/>
    <m/>
    <m/>
    <x v="1"/>
    <m/>
  </r>
  <r>
    <d v="2021-03-30T00:00:00"/>
    <x v="3"/>
    <x v="0"/>
    <x v="0"/>
    <n v="150000"/>
    <n v="150000"/>
    <n v="0"/>
    <x v="281"/>
    <s v="Cali"/>
  </r>
  <r>
    <d v="2021-03-30T00:00:00"/>
    <x v="3"/>
    <x v="26"/>
    <x v="26"/>
    <n v="-150000"/>
    <n v="0"/>
    <n v="150000"/>
    <x v="281"/>
    <s v="Cali"/>
  </r>
  <r>
    <m/>
    <x v="1"/>
    <x v="23"/>
    <x v="23"/>
    <m/>
    <m/>
    <m/>
    <x v="1"/>
    <m/>
  </r>
  <r>
    <d v="2021-03-30T00:00:00"/>
    <x v="3"/>
    <x v="0"/>
    <x v="0"/>
    <n v="1200000"/>
    <n v="1200000"/>
    <n v="0"/>
    <x v="288"/>
    <s v="Cali"/>
  </r>
  <r>
    <d v="2021-03-30T00:00:00"/>
    <x v="3"/>
    <x v="26"/>
    <x v="26"/>
    <n v="-1200000"/>
    <n v="0"/>
    <n v="1200000"/>
    <x v="288"/>
    <s v="Cali"/>
  </r>
  <r>
    <m/>
    <x v="1"/>
    <x v="23"/>
    <x v="23"/>
    <m/>
    <m/>
    <m/>
    <x v="1"/>
    <m/>
  </r>
  <r>
    <d v="2021-03-30T00:00:00"/>
    <x v="3"/>
    <x v="0"/>
    <x v="0"/>
    <n v="15000"/>
    <n v="15000"/>
    <n v="0"/>
    <x v="205"/>
    <s v="Cali"/>
  </r>
  <r>
    <d v="2021-03-30T00:00:00"/>
    <x v="3"/>
    <x v="27"/>
    <x v="27"/>
    <n v="-15000"/>
    <n v="0"/>
    <n v="15000"/>
    <x v="205"/>
    <s v="Cali"/>
  </r>
  <r>
    <m/>
    <x v="1"/>
    <x v="23"/>
    <x v="23"/>
    <m/>
    <m/>
    <m/>
    <x v="1"/>
    <m/>
  </r>
  <r>
    <d v="2021-03-31T00:00:00"/>
    <x v="3"/>
    <x v="0"/>
    <x v="0"/>
    <n v="2150000"/>
    <n v="2150000"/>
    <n v="0"/>
    <x v="279"/>
    <s v="Cali"/>
  </r>
  <r>
    <d v="2021-03-31T00:00:00"/>
    <x v="3"/>
    <x v="26"/>
    <x v="26"/>
    <n v="-2150000"/>
    <n v="0"/>
    <n v="2150000"/>
    <x v="279"/>
    <s v="Cali"/>
  </r>
  <r>
    <m/>
    <x v="1"/>
    <x v="23"/>
    <x v="23"/>
    <m/>
    <m/>
    <m/>
    <x v="1"/>
    <m/>
  </r>
  <r>
    <d v="2021-03-31T00:00:00"/>
    <x v="3"/>
    <x v="0"/>
    <x v="0"/>
    <n v="14000"/>
    <n v="14000"/>
    <n v="0"/>
    <x v="289"/>
    <s v="Cali"/>
  </r>
  <r>
    <d v="2021-03-31T00:00:00"/>
    <x v="3"/>
    <x v="26"/>
    <x v="26"/>
    <n v="-14000"/>
    <n v="0"/>
    <n v="14000"/>
    <x v="289"/>
    <s v="Cali"/>
  </r>
  <r>
    <m/>
    <x v="1"/>
    <x v="23"/>
    <x v="23"/>
    <m/>
    <m/>
    <m/>
    <x v="1"/>
    <m/>
  </r>
  <r>
    <d v="2021-03-31T00:00:00"/>
    <x v="3"/>
    <x v="0"/>
    <x v="0"/>
    <n v="494050"/>
    <n v="494050"/>
    <n v="0"/>
    <x v="290"/>
    <s v="Cali"/>
  </r>
  <r>
    <d v="2021-03-31T00:00:00"/>
    <x v="3"/>
    <x v="26"/>
    <x v="26"/>
    <n v="-494050"/>
    <n v="0"/>
    <n v="494050"/>
    <x v="290"/>
    <s v="Cali"/>
  </r>
  <r>
    <m/>
    <x v="1"/>
    <x v="23"/>
    <x v="23"/>
    <m/>
    <m/>
    <m/>
    <x v="1"/>
    <m/>
  </r>
  <r>
    <d v="2021-03-31T00:00:00"/>
    <x v="3"/>
    <x v="0"/>
    <x v="0"/>
    <n v="20000"/>
    <n v="20000"/>
    <n v="0"/>
    <x v="246"/>
    <s v="Cali"/>
  </r>
  <r>
    <d v="2021-03-31T00:00:00"/>
    <x v="3"/>
    <x v="25"/>
    <x v="25"/>
    <n v="-20000"/>
    <n v="0"/>
    <n v="20000"/>
    <x v="246"/>
    <s v="Cali"/>
  </r>
  <r>
    <m/>
    <x v="1"/>
    <x v="23"/>
    <x v="23"/>
    <m/>
    <m/>
    <m/>
    <x v="1"/>
    <m/>
  </r>
  <r>
    <d v="2021-03-31T00:00:00"/>
    <x v="3"/>
    <x v="0"/>
    <x v="0"/>
    <n v="20000"/>
    <n v="20000"/>
    <n v="0"/>
    <x v="132"/>
    <s v="Cali"/>
  </r>
  <r>
    <d v="2021-03-31T00:00:00"/>
    <x v="3"/>
    <x v="25"/>
    <x v="25"/>
    <n v="-20000"/>
    <n v="0"/>
    <n v="20000"/>
    <x v="132"/>
    <s v="Cali"/>
  </r>
  <r>
    <m/>
    <x v="1"/>
    <x v="23"/>
    <x v="23"/>
    <m/>
    <m/>
    <m/>
    <x v="1"/>
    <m/>
  </r>
  <r>
    <d v="2021-03-12T00:00:00"/>
    <x v="3"/>
    <x v="51"/>
    <x v="51"/>
    <n v="29400000"/>
    <n v="29400000"/>
    <n v="0"/>
    <x v="291"/>
    <s v="Cali"/>
  </r>
  <r>
    <d v="2021-03-12T00:00:00"/>
    <x v="3"/>
    <x v="26"/>
    <x v="26"/>
    <n v="-29400000"/>
    <n v="0"/>
    <n v="29400000"/>
    <x v="291"/>
    <s v="Cali"/>
  </r>
  <r>
    <m/>
    <x v="1"/>
    <x v="23"/>
    <x v="23"/>
    <m/>
    <m/>
    <m/>
    <x v="1"/>
    <m/>
  </r>
  <r>
    <d v="2021-03-15T00:00:00"/>
    <x v="3"/>
    <x v="53"/>
    <x v="53"/>
    <n v="30000000"/>
    <n v="30000000"/>
    <n v="0"/>
    <x v="292"/>
    <s v="Cali"/>
  </r>
  <r>
    <d v="2021-03-15T00:00:00"/>
    <x v="3"/>
    <x v="51"/>
    <x v="51"/>
    <n v="-30000000"/>
    <n v="0"/>
    <n v="30000000"/>
    <x v="292"/>
    <s v="Cali"/>
  </r>
  <r>
    <m/>
    <x v="1"/>
    <x v="23"/>
    <x v="23"/>
    <m/>
    <m/>
    <m/>
    <x v="1"/>
    <m/>
  </r>
  <r>
    <d v="2021-03-08T00:00:00"/>
    <x v="3"/>
    <x v="31"/>
    <x v="31"/>
    <n v="527"/>
    <n v="527"/>
    <n v="0"/>
    <x v="215"/>
    <s v="Cali"/>
  </r>
  <r>
    <d v="2021-03-08T00:00:00"/>
    <x v="3"/>
    <x v="1"/>
    <x v="1"/>
    <n v="-527"/>
    <n v="0"/>
    <n v="527"/>
    <x v="215"/>
    <s v="Cali"/>
  </r>
  <r>
    <m/>
    <x v="1"/>
    <x v="23"/>
    <x v="23"/>
    <m/>
    <m/>
    <m/>
    <x v="1"/>
    <m/>
  </r>
  <r>
    <d v="2021-03-08T00:00:00"/>
    <x v="3"/>
    <x v="31"/>
    <x v="31"/>
    <n v="100"/>
    <n v="100"/>
    <n v="0"/>
    <x v="215"/>
    <s v="Cali"/>
  </r>
  <r>
    <d v="2021-03-08T00:00:00"/>
    <x v="3"/>
    <x v="1"/>
    <x v="1"/>
    <n v="-100"/>
    <n v="0"/>
    <n v="100"/>
    <x v="215"/>
    <s v="Cali"/>
  </r>
  <r>
    <m/>
    <x v="1"/>
    <x v="23"/>
    <x v="23"/>
    <m/>
    <m/>
    <m/>
    <x v="1"/>
    <m/>
  </r>
  <r>
    <d v="2021-03-12T00:00:00"/>
    <x v="3"/>
    <x v="1"/>
    <x v="1"/>
    <n v="80000000"/>
    <n v="80000000"/>
    <n v="0"/>
    <x v="225"/>
    <s v="Cali"/>
  </r>
  <r>
    <d v="2021-03-12T00:00:00"/>
    <x v="3"/>
    <x v="3"/>
    <x v="3"/>
    <n v="-80000000"/>
    <n v="0"/>
    <n v="80000000"/>
    <x v="225"/>
    <s v="Cali"/>
  </r>
  <r>
    <m/>
    <x v="1"/>
    <x v="23"/>
    <x v="23"/>
    <m/>
    <m/>
    <m/>
    <x v="1"/>
    <m/>
  </r>
  <r>
    <d v="2021-03-15T00:00:00"/>
    <x v="3"/>
    <x v="11"/>
    <x v="11"/>
    <n v="-9621480"/>
    <n v="0"/>
    <n v="9621480"/>
    <x v="293"/>
    <s v="Cali"/>
  </r>
  <r>
    <d v="2021-03-15T00:00:00"/>
    <x v="3"/>
    <x v="8"/>
    <x v="8"/>
    <n v="111750674"/>
    <n v="111750674"/>
    <n v="0"/>
    <x v="294"/>
    <s v="Cali"/>
  </r>
  <r>
    <d v="2021-03-15T00:00:00"/>
    <x v="3"/>
    <x v="18"/>
    <x v="18"/>
    <n v="-4810745"/>
    <n v="0"/>
    <n v="4810745"/>
    <x v="295"/>
    <s v="Cali"/>
  </r>
  <r>
    <d v="2021-03-15T00:00:00"/>
    <x v="3"/>
    <x v="48"/>
    <x v="48"/>
    <n v="-97318449"/>
    <n v="0"/>
    <n v="97318449"/>
    <x v="129"/>
    <s v="Cali"/>
  </r>
  <r>
    <m/>
    <x v="1"/>
    <x v="23"/>
    <x v="23"/>
    <m/>
    <m/>
    <m/>
    <x v="1"/>
    <m/>
  </r>
  <r>
    <d v="2021-03-15T00:00:00"/>
    <x v="3"/>
    <x v="48"/>
    <x v="48"/>
    <n v="97318449"/>
    <n v="97318449"/>
    <n v="0"/>
    <x v="229"/>
    <s v="Cali"/>
  </r>
  <r>
    <d v="2021-03-15T00:00:00"/>
    <x v="3"/>
    <x v="1"/>
    <x v="1"/>
    <n v="-97318449"/>
    <n v="0"/>
    <n v="97318449"/>
    <x v="229"/>
    <s v="Cali"/>
  </r>
  <r>
    <m/>
    <x v="1"/>
    <x v="23"/>
    <x v="23"/>
    <m/>
    <m/>
    <m/>
    <x v="1"/>
    <m/>
  </r>
  <r>
    <d v="2021-03-15T00:00:00"/>
    <x v="3"/>
    <x v="48"/>
    <x v="48"/>
    <n v="4222126"/>
    <n v="4222126"/>
    <n v="0"/>
    <x v="296"/>
    <s v="Cali"/>
  </r>
  <r>
    <d v="2021-03-15T00:00:00"/>
    <x v="3"/>
    <x v="1"/>
    <x v="1"/>
    <n v="-4222126"/>
    <n v="0"/>
    <n v="4222126"/>
    <x v="230"/>
    <s v="Cali"/>
  </r>
  <r>
    <m/>
    <x v="1"/>
    <x v="23"/>
    <x v="23"/>
    <m/>
    <m/>
    <m/>
    <x v="1"/>
    <m/>
  </r>
  <r>
    <d v="2021-03-15T00:00:00"/>
    <x v="3"/>
    <x v="12"/>
    <x v="12"/>
    <n v="4243498"/>
    <n v="4243498"/>
    <n v="0"/>
    <x v="297"/>
    <s v="Cali"/>
  </r>
  <r>
    <d v="2021-03-15T00:00:00"/>
    <x v="3"/>
    <x v="48"/>
    <x v="48"/>
    <n v="-4243498"/>
    <n v="0"/>
    <n v="4243498"/>
    <x v="297"/>
    <s v="Cali"/>
  </r>
  <r>
    <m/>
    <x v="1"/>
    <x v="23"/>
    <x v="23"/>
    <m/>
    <m/>
    <m/>
    <x v="1"/>
    <m/>
  </r>
  <r>
    <d v="2021-03-15T00:00:00"/>
    <x v="3"/>
    <x v="48"/>
    <x v="48"/>
    <n v="4243498"/>
    <n v="4243498"/>
    <n v="0"/>
    <x v="297"/>
    <s v="Cali"/>
  </r>
  <r>
    <d v="2021-03-15T00:00:00"/>
    <x v="3"/>
    <x v="1"/>
    <x v="1"/>
    <n v="-4243498"/>
    <n v="0"/>
    <n v="4243498"/>
    <x v="297"/>
    <s v="Cali"/>
  </r>
  <r>
    <m/>
    <x v="1"/>
    <x v="23"/>
    <x v="23"/>
    <m/>
    <m/>
    <m/>
    <x v="1"/>
    <m/>
  </r>
  <r>
    <d v="2021-03-31T00:00:00"/>
    <x v="3"/>
    <x v="32"/>
    <x v="32"/>
    <n v="-582000"/>
    <n v="0"/>
    <n v="582000"/>
    <x v="298"/>
    <s v="Cali"/>
  </r>
  <r>
    <d v="2021-03-31T00:00:00"/>
    <x v="3"/>
    <x v="33"/>
    <x v="33"/>
    <n v="0"/>
    <n v="0"/>
    <n v="0"/>
    <x v="298"/>
    <s v="Cali"/>
  </r>
  <r>
    <d v="2021-03-31T00:00:00"/>
    <x v="3"/>
    <x v="34"/>
    <x v="34"/>
    <n v="-752000"/>
    <n v="0"/>
    <n v="752000"/>
    <x v="298"/>
    <s v="Cali"/>
  </r>
  <r>
    <d v="2021-03-31T00:00:00"/>
    <x v="3"/>
    <x v="35"/>
    <x v="35"/>
    <n v="-3656000"/>
    <n v="0"/>
    <n v="3656000"/>
    <x v="298"/>
    <s v="Cali"/>
  </r>
  <r>
    <d v="2021-03-31T00:00:00"/>
    <x v="3"/>
    <x v="36"/>
    <x v="36"/>
    <n v="-4374600"/>
    <n v="0"/>
    <n v="4374600"/>
    <x v="298"/>
    <s v="Cali"/>
  </r>
  <r>
    <d v="2021-03-31T00:00:00"/>
    <x v="3"/>
    <x v="37"/>
    <x v="37"/>
    <n v="-5408258"/>
    <n v="0"/>
    <n v="5408258"/>
    <x v="298"/>
    <s v="Cali"/>
  </r>
  <r>
    <d v="2021-03-31T00:00:00"/>
    <x v="3"/>
    <x v="29"/>
    <x v="29"/>
    <n v="582000"/>
    <n v="582000"/>
    <n v="0"/>
    <x v="298"/>
    <s v="Cali"/>
  </r>
  <r>
    <d v="2021-03-31T00:00:00"/>
    <x v="3"/>
    <x v="27"/>
    <x v="27"/>
    <n v="752000"/>
    <n v="752000"/>
    <n v="0"/>
    <x v="298"/>
    <s v="Cali"/>
  </r>
  <r>
    <d v="2021-03-31T00:00:00"/>
    <x v="3"/>
    <x v="25"/>
    <x v="25"/>
    <n v="3656000"/>
    <n v="3656000"/>
    <n v="0"/>
    <x v="298"/>
    <s v="Cali"/>
  </r>
  <r>
    <d v="2021-03-31T00:00:00"/>
    <x v="3"/>
    <x v="5"/>
    <x v="5"/>
    <n v="9782858"/>
    <n v="9782858"/>
    <n v="0"/>
    <x v="298"/>
    <s v="Cali"/>
  </r>
  <r>
    <d v="2021-03-31T00:00:00"/>
    <x v="3"/>
    <x v="15"/>
    <x v="15"/>
    <n v="-2983999"/>
    <n v="0"/>
    <n v="2983999"/>
    <x v="298"/>
    <s v="Cali"/>
  </r>
  <r>
    <d v="2021-03-31T00:00:00"/>
    <x v="3"/>
    <x v="38"/>
    <x v="38"/>
    <n v="2983999"/>
    <n v="2983999"/>
    <n v="0"/>
    <x v="298"/>
    <s v="Cali"/>
  </r>
  <r>
    <d v="2021-03-31T00:00:00"/>
    <x v="3"/>
    <x v="16"/>
    <x v="16"/>
    <n v="-69840"/>
    <n v="0"/>
    <n v="69840"/>
    <x v="298"/>
    <s v="Cali"/>
  </r>
  <r>
    <d v="2021-03-31T00:00:00"/>
    <x v="3"/>
    <x v="14"/>
    <x v="14"/>
    <n v="-147729"/>
    <n v="0"/>
    <n v="147729"/>
    <x v="298"/>
    <s v="Cali"/>
  </r>
  <r>
    <d v="2021-03-31T00:00:00"/>
    <x v="3"/>
    <x v="39"/>
    <x v="39"/>
    <n v="69840"/>
    <n v="69840"/>
    <n v="0"/>
    <x v="298"/>
    <s v="Cali"/>
  </r>
  <r>
    <d v="2021-03-31T00:00:00"/>
    <x v="3"/>
    <x v="40"/>
    <x v="40"/>
    <n v="147729"/>
    <n v="147729"/>
    <n v="0"/>
    <x v="298"/>
    <s v="Cali"/>
  </r>
  <r>
    <d v="2021-03-31T00:00:00"/>
    <x v="3"/>
    <x v="41"/>
    <x v="41"/>
    <n v="-4900254"/>
    <n v="0"/>
    <n v="4900254"/>
    <x v="298"/>
    <s v="Cali"/>
  </r>
  <r>
    <d v="2021-03-31T00:00:00"/>
    <x v="3"/>
    <x v="42"/>
    <x v="42"/>
    <n v="-2112500"/>
    <n v="0"/>
    <n v="2112500"/>
    <x v="298"/>
    <s v="Cali"/>
  </r>
  <r>
    <d v="2021-03-31T00:00:00"/>
    <x v="3"/>
    <x v="43"/>
    <x v="43"/>
    <n v="318122"/>
    <n v="318122"/>
    <n v="0"/>
    <x v="298"/>
    <s v="Cali"/>
  </r>
  <r>
    <d v="2021-03-31T00:00:00"/>
    <x v="3"/>
    <x v="43"/>
    <x v="43"/>
    <n v="52813"/>
    <n v="52813"/>
    <n v="0"/>
    <x v="298"/>
    <s v="Cali"/>
  </r>
  <r>
    <d v="2021-03-31T00:00:00"/>
    <x v="3"/>
    <x v="38"/>
    <x v="38"/>
    <n v="2719877"/>
    <n v="2719877"/>
    <n v="0"/>
    <x v="298"/>
    <s v="Cali"/>
  </r>
  <r>
    <d v="2021-03-31T00:00:00"/>
    <x v="3"/>
    <x v="40"/>
    <x v="40"/>
    <n v="49003"/>
    <n v="49003"/>
    <n v="0"/>
    <x v="298"/>
    <s v="Cali"/>
  </r>
  <r>
    <d v="2021-03-31T00:00:00"/>
    <x v="3"/>
    <x v="40"/>
    <x v="40"/>
    <n v="21125"/>
    <n v="21125"/>
    <n v="0"/>
    <x v="298"/>
    <s v="Cali"/>
  </r>
  <r>
    <d v="2021-03-31T00:00:00"/>
    <x v="3"/>
    <x v="44"/>
    <x v="44"/>
    <n v="1813252"/>
    <n v="1813252"/>
    <n v="0"/>
    <x v="298"/>
    <s v="Cali"/>
  </r>
  <r>
    <d v="2021-03-31T00:00:00"/>
    <x v="3"/>
    <x v="45"/>
    <x v="45"/>
    <n v="2038562"/>
    <n v="2038562"/>
    <n v="0"/>
    <x v="298"/>
    <s v="Cali"/>
  </r>
  <r>
    <d v="2021-03-31T00:00:00"/>
    <x v="3"/>
    <x v="5"/>
    <x v="5"/>
    <n v="-244870"/>
    <n v="0"/>
    <n v="244870"/>
    <x v="298"/>
    <s v="Cali"/>
  </r>
  <r>
    <d v="2021-03-31T00:00:00"/>
    <x v="3"/>
    <x v="30"/>
    <x v="30"/>
    <n v="244870"/>
    <n v="244870"/>
    <n v="0"/>
    <x v="298"/>
    <s v="Cali"/>
  </r>
  <r>
    <m/>
    <x v="1"/>
    <x v="23"/>
    <x v="23"/>
    <m/>
    <m/>
    <m/>
    <x v="1"/>
    <m/>
  </r>
  <r>
    <d v="2021-03-31T00:00:00"/>
    <x v="3"/>
    <x v="13"/>
    <x v="13"/>
    <n v="20000"/>
    <n v="20000"/>
    <n v="0"/>
    <x v="223"/>
    <s v="Cali"/>
  </r>
  <r>
    <d v="2021-03-31T00:00:00"/>
    <x v="3"/>
    <x v="13"/>
    <x v="13"/>
    <n v="60000"/>
    <n v="60000"/>
    <n v="0"/>
    <x v="299"/>
    <s v="Cali"/>
  </r>
  <r>
    <d v="2021-03-31T00:00:00"/>
    <x v="3"/>
    <x v="13"/>
    <x v="13"/>
    <n v="30000"/>
    <n v="30000"/>
    <n v="0"/>
    <x v="221"/>
    <s v="Cali"/>
  </r>
  <r>
    <d v="2021-03-31T00:00:00"/>
    <x v="3"/>
    <x v="13"/>
    <x v="13"/>
    <n v="20000"/>
    <n v="20000"/>
    <n v="0"/>
    <x v="300"/>
    <s v="Cali"/>
  </r>
  <r>
    <d v="2021-03-31T00:00:00"/>
    <x v="3"/>
    <x v="13"/>
    <x v="13"/>
    <n v="15000"/>
    <n v="15000"/>
    <n v="0"/>
    <x v="301"/>
    <s v="Cali"/>
  </r>
  <r>
    <d v="2021-03-31T00:00:00"/>
    <x v="3"/>
    <x v="13"/>
    <x v="13"/>
    <n v="100000"/>
    <n v="100000"/>
    <n v="0"/>
    <x v="302"/>
    <s v="Cali"/>
  </r>
  <r>
    <d v="2021-03-31T00:00:00"/>
    <x v="3"/>
    <x v="13"/>
    <x v="13"/>
    <n v="250000"/>
    <n v="250000"/>
    <n v="0"/>
    <x v="303"/>
    <s v="Cali"/>
  </r>
  <r>
    <d v="2021-03-31T00:00:00"/>
    <x v="3"/>
    <x v="13"/>
    <x v="13"/>
    <n v="120000"/>
    <n v="120000"/>
    <n v="0"/>
    <x v="304"/>
    <s v="Cali"/>
  </r>
  <r>
    <d v="2021-03-31T00:00:00"/>
    <x v="3"/>
    <x v="26"/>
    <x v="26"/>
    <n v="-20000"/>
    <n v="0"/>
    <n v="20000"/>
    <x v="223"/>
    <s v="Cali"/>
  </r>
  <r>
    <d v="2021-03-31T00:00:00"/>
    <x v="3"/>
    <x v="26"/>
    <x v="26"/>
    <n v="-60000"/>
    <n v="0"/>
    <n v="60000"/>
    <x v="299"/>
    <s v="Cali"/>
  </r>
  <r>
    <d v="2021-03-31T00:00:00"/>
    <x v="3"/>
    <x v="25"/>
    <x v="25"/>
    <n v="-30000"/>
    <n v="0"/>
    <n v="30000"/>
    <x v="221"/>
    <s v="Cali"/>
  </r>
  <r>
    <d v="2021-03-31T00:00:00"/>
    <x v="3"/>
    <x v="26"/>
    <x v="26"/>
    <n v="-20000"/>
    <n v="0"/>
    <n v="20000"/>
    <x v="300"/>
    <s v="Cali"/>
  </r>
  <r>
    <d v="2021-03-31T00:00:00"/>
    <x v="3"/>
    <x v="25"/>
    <x v="25"/>
    <n v="-15000"/>
    <n v="0"/>
    <n v="15000"/>
    <x v="301"/>
    <s v="Cali"/>
  </r>
  <r>
    <d v="2021-03-31T00:00:00"/>
    <x v="3"/>
    <x v="26"/>
    <x v="26"/>
    <n v="-100000"/>
    <n v="0"/>
    <n v="100000"/>
    <x v="302"/>
    <s v="Cali"/>
  </r>
  <r>
    <d v="2021-03-31T00:00:00"/>
    <x v="3"/>
    <x v="26"/>
    <x v="26"/>
    <n v="-250000"/>
    <n v="0"/>
    <n v="250000"/>
    <x v="303"/>
    <s v="Cali"/>
  </r>
  <r>
    <d v="2021-03-31T00:00:00"/>
    <x v="3"/>
    <x v="25"/>
    <x v="25"/>
    <n v="-120000"/>
    <n v="0"/>
    <n v="120000"/>
    <x v="304"/>
    <s v="Cali"/>
  </r>
  <r>
    <d v="2021-03-31T00:00:00"/>
    <x v="3"/>
    <x v="13"/>
    <x v="13"/>
    <n v="100000"/>
    <n v="100000"/>
    <n v="0"/>
    <x v="220"/>
    <s v="Cali"/>
  </r>
  <r>
    <d v="2021-03-31T00:00:00"/>
    <x v="3"/>
    <x v="25"/>
    <x v="25"/>
    <n v="-100000"/>
    <n v="0"/>
    <n v="100000"/>
    <x v="220"/>
    <s v="Cali"/>
  </r>
  <r>
    <m/>
    <x v="1"/>
    <x v="23"/>
    <x v="23"/>
    <m/>
    <m/>
    <m/>
    <x v="1"/>
    <m/>
  </r>
  <r>
    <d v="2021-03-31T00:00:00"/>
    <x v="3"/>
    <x v="46"/>
    <x v="46"/>
    <n v="0"/>
    <n v="0"/>
    <n v="0"/>
    <x v="110"/>
    <s v="Cali"/>
  </r>
  <r>
    <d v="2021-03-31T00:00:00"/>
    <x v="3"/>
    <x v="47"/>
    <x v="47"/>
    <n v="0"/>
    <n v="0"/>
    <n v="0"/>
    <x v="110"/>
    <s v="Cali"/>
  </r>
  <r>
    <m/>
    <x v="1"/>
    <x v="23"/>
    <x v="23"/>
    <m/>
    <m/>
    <m/>
    <x v="1"/>
    <m/>
  </r>
  <r>
    <d v="2021-03-31T00:00:00"/>
    <x v="3"/>
    <x v="2"/>
    <x v="2"/>
    <n v="651519"/>
    <n v="651519"/>
    <n v="0"/>
    <x v="111"/>
    <s v="Cali"/>
  </r>
  <r>
    <d v="2021-03-31T00:00:00"/>
    <x v="3"/>
    <x v="47"/>
    <x v="47"/>
    <n v="-651519"/>
    <n v="0"/>
    <n v="651519"/>
    <x v="111"/>
    <s v="Cali"/>
  </r>
  <r>
    <m/>
    <x v="1"/>
    <x v="23"/>
    <x v="23"/>
    <m/>
    <m/>
    <m/>
    <x v="1"/>
    <m/>
  </r>
  <r>
    <d v="2021-03-31T00:00:00"/>
    <x v="3"/>
    <x v="3"/>
    <x v="3"/>
    <n v="4793"/>
    <n v="4793"/>
    <n v="0"/>
    <x v="112"/>
    <s v="Cali"/>
  </r>
  <r>
    <d v="2021-03-31T00:00:00"/>
    <x v="3"/>
    <x v="47"/>
    <x v="47"/>
    <n v="-4793"/>
    <n v="0"/>
    <n v="4793"/>
    <x v="112"/>
    <s v="Cali"/>
  </r>
  <r>
    <m/>
    <x v="1"/>
    <x v="23"/>
    <x v="23"/>
    <m/>
    <m/>
    <m/>
    <x v="1"/>
    <m/>
  </r>
  <r>
    <d v="2021-03-31T00:00:00"/>
    <x v="3"/>
    <x v="53"/>
    <x v="53"/>
    <n v="0"/>
    <n v="0"/>
    <n v="0"/>
    <x v="305"/>
    <s v="Cali"/>
  </r>
  <r>
    <d v="2021-03-31T00:00:00"/>
    <x v="3"/>
    <x v="47"/>
    <x v="47"/>
    <n v="0"/>
    <n v="0"/>
    <n v="0"/>
    <x v="305"/>
    <s v="Cali"/>
  </r>
  <r>
    <m/>
    <x v="1"/>
    <x v="23"/>
    <x v="23"/>
    <m/>
    <m/>
    <m/>
    <x v="1"/>
    <m/>
  </r>
  <r>
    <d v="2021-04-01T00:00:00"/>
    <x v="4"/>
    <x v="0"/>
    <x v="0"/>
    <n v="40000"/>
    <n v="40000"/>
    <n v="0"/>
    <x v="11"/>
    <s v="Cali"/>
  </r>
  <r>
    <d v="2021-04-01T00:00:00"/>
    <x v="4"/>
    <x v="27"/>
    <x v="27"/>
    <n v="-40000"/>
    <n v="0"/>
    <n v="40000"/>
    <x v="11"/>
    <s v="Cali"/>
  </r>
  <r>
    <m/>
    <x v="1"/>
    <x v="23"/>
    <x v="23"/>
    <m/>
    <m/>
    <m/>
    <x v="1"/>
    <m/>
  </r>
  <r>
    <d v="2021-04-01T00:00:00"/>
    <x v="4"/>
    <x v="0"/>
    <x v="0"/>
    <n v="37000"/>
    <n v="37000"/>
    <n v="0"/>
    <x v="10"/>
    <s v="Cali"/>
  </r>
  <r>
    <d v="2021-04-01T00:00:00"/>
    <x v="4"/>
    <x v="25"/>
    <x v="25"/>
    <n v="-37000"/>
    <n v="0"/>
    <n v="37000"/>
    <x v="10"/>
    <s v="Cali"/>
  </r>
  <r>
    <m/>
    <x v="1"/>
    <x v="23"/>
    <x v="23"/>
    <m/>
    <m/>
    <m/>
    <x v="1"/>
    <m/>
  </r>
  <r>
    <d v="2021-04-01T00:00:00"/>
    <x v="4"/>
    <x v="0"/>
    <x v="0"/>
    <n v="10000"/>
    <n v="10000"/>
    <n v="0"/>
    <x v="142"/>
    <s v="Cali"/>
  </r>
  <r>
    <d v="2021-04-01T00:00:00"/>
    <x v="4"/>
    <x v="25"/>
    <x v="25"/>
    <n v="-10000"/>
    <n v="0"/>
    <n v="10000"/>
    <x v="142"/>
    <s v="Cali"/>
  </r>
  <r>
    <m/>
    <x v="1"/>
    <x v="23"/>
    <x v="23"/>
    <m/>
    <m/>
    <m/>
    <x v="1"/>
    <m/>
  </r>
  <r>
    <d v="2021-04-01T00:00:00"/>
    <x v="4"/>
    <x v="0"/>
    <x v="0"/>
    <n v="50000"/>
    <n v="50000"/>
    <n v="0"/>
    <x v="143"/>
    <s v="Cali"/>
  </r>
  <r>
    <d v="2021-04-01T00:00:00"/>
    <x v="4"/>
    <x v="25"/>
    <x v="25"/>
    <n v="-50000"/>
    <n v="0"/>
    <n v="50000"/>
    <x v="143"/>
    <s v="Cali"/>
  </r>
  <r>
    <m/>
    <x v="1"/>
    <x v="23"/>
    <x v="23"/>
    <m/>
    <m/>
    <m/>
    <x v="1"/>
    <m/>
  </r>
  <r>
    <d v="2021-04-01T00:00:00"/>
    <x v="4"/>
    <x v="0"/>
    <x v="0"/>
    <n v="48000"/>
    <n v="48000"/>
    <n v="0"/>
    <x v="144"/>
    <s v="Cali"/>
  </r>
  <r>
    <d v="2021-04-01T00:00:00"/>
    <x v="4"/>
    <x v="27"/>
    <x v="27"/>
    <n v="-48000"/>
    <n v="0"/>
    <n v="48000"/>
    <x v="144"/>
    <s v="Cali"/>
  </r>
  <r>
    <m/>
    <x v="1"/>
    <x v="23"/>
    <x v="23"/>
    <m/>
    <m/>
    <m/>
    <x v="1"/>
    <m/>
  </r>
  <r>
    <d v="2021-04-01T00:00:00"/>
    <x v="4"/>
    <x v="0"/>
    <x v="0"/>
    <n v="40000"/>
    <n v="40000"/>
    <n v="0"/>
    <x v="145"/>
    <s v="Cali"/>
  </r>
  <r>
    <d v="2021-04-01T00:00:00"/>
    <x v="4"/>
    <x v="25"/>
    <x v="25"/>
    <n v="-40000"/>
    <n v="0"/>
    <n v="40000"/>
    <x v="145"/>
    <s v="Cali"/>
  </r>
  <r>
    <m/>
    <x v="1"/>
    <x v="23"/>
    <x v="23"/>
    <m/>
    <m/>
    <m/>
    <x v="1"/>
    <m/>
  </r>
  <r>
    <d v="2021-04-01T00:00:00"/>
    <x v="4"/>
    <x v="0"/>
    <x v="0"/>
    <n v="20000"/>
    <n v="20000"/>
    <n v="0"/>
    <x v="146"/>
    <s v="Cali"/>
  </r>
  <r>
    <d v="2021-04-01T00:00:00"/>
    <x v="4"/>
    <x v="26"/>
    <x v="26"/>
    <n v="-20000"/>
    <n v="0"/>
    <n v="20000"/>
    <x v="146"/>
    <s v="Cali"/>
  </r>
  <r>
    <m/>
    <x v="1"/>
    <x v="23"/>
    <x v="23"/>
    <m/>
    <m/>
    <m/>
    <x v="1"/>
    <m/>
  </r>
  <r>
    <d v="2021-04-01T00:00:00"/>
    <x v="4"/>
    <x v="0"/>
    <x v="0"/>
    <n v="20000"/>
    <n v="20000"/>
    <n v="0"/>
    <x v="17"/>
    <s v="Cali"/>
  </r>
  <r>
    <d v="2021-04-01T00:00:00"/>
    <x v="4"/>
    <x v="25"/>
    <x v="25"/>
    <n v="-20000"/>
    <n v="0"/>
    <n v="20000"/>
    <x v="17"/>
    <s v="Cali"/>
  </r>
  <r>
    <m/>
    <x v="1"/>
    <x v="23"/>
    <x v="23"/>
    <m/>
    <m/>
    <m/>
    <x v="1"/>
    <m/>
  </r>
  <r>
    <d v="2021-04-01T00:00:00"/>
    <x v="4"/>
    <x v="0"/>
    <x v="0"/>
    <n v="50000"/>
    <n v="50000"/>
    <n v="0"/>
    <x v="19"/>
    <s v="Cali"/>
  </r>
  <r>
    <d v="2021-04-01T00:00:00"/>
    <x v="4"/>
    <x v="25"/>
    <x v="25"/>
    <n v="-50000"/>
    <n v="0"/>
    <n v="50000"/>
    <x v="19"/>
    <s v="Cali"/>
  </r>
  <r>
    <m/>
    <x v="1"/>
    <x v="23"/>
    <x v="23"/>
    <m/>
    <m/>
    <m/>
    <x v="1"/>
    <m/>
  </r>
  <r>
    <d v="2021-04-01T00:00:00"/>
    <x v="4"/>
    <x v="0"/>
    <x v="0"/>
    <n v="30000"/>
    <n v="30000"/>
    <n v="0"/>
    <x v="147"/>
    <s v="Cali"/>
  </r>
  <r>
    <d v="2021-04-01T00:00:00"/>
    <x v="4"/>
    <x v="26"/>
    <x v="26"/>
    <n v="-30000"/>
    <n v="0"/>
    <n v="30000"/>
    <x v="147"/>
    <s v="Cali"/>
  </r>
  <r>
    <m/>
    <x v="1"/>
    <x v="23"/>
    <x v="23"/>
    <m/>
    <m/>
    <m/>
    <x v="1"/>
    <m/>
  </r>
  <r>
    <d v="2021-04-01T00:00:00"/>
    <x v="4"/>
    <x v="0"/>
    <x v="0"/>
    <n v="15000"/>
    <n v="15000"/>
    <n v="0"/>
    <x v="148"/>
    <s v="Cali"/>
  </r>
  <r>
    <d v="2021-04-01T00:00:00"/>
    <x v="4"/>
    <x v="25"/>
    <x v="25"/>
    <n v="-15000"/>
    <n v="0"/>
    <n v="15000"/>
    <x v="148"/>
    <s v="Cali"/>
  </r>
  <r>
    <m/>
    <x v="1"/>
    <x v="23"/>
    <x v="23"/>
    <m/>
    <m/>
    <m/>
    <x v="1"/>
    <m/>
  </r>
  <r>
    <d v="2021-04-01T00:00:00"/>
    <x v="4"/>
    <x v="0"/>
    <x v="0"/>
    <n v="3000000"/>
    <n v="3000000"/>
    <n v="0"/>
    <x v="306"/>
    <s v="Cali"/>
  </r>
  <r>
    <d v="2021-04-01T00:00:00"/>
    <x v="4"/>
    <x v="26"/>
    <x v="26"/>
    <n v="-3000000"/>
    <n v="0"/>
    <n v="3000000"/>
    <x v="306"/>
    <s v="Cali"/>
  </r>
  <r>
    <m/>
    <x v="1"/>
    <x v="23"/>
    <x v="23"/>
    <m/>
    <m/>
    <m/>
    <x v="1"/>
    <m/>
  </r>
  <r>
    <d v="2021-04-01T00:00:00"/>
    <x v="4"/>
    <x v="0"/>
    <x v="0"/>
    <n v="30000"/>
    <n v="30000"/>
    <n v="0"/>
    <x v="307"/>
    <s v="Cali"/>
  </r>
  <r>
    <d v="2021-04-01T00:00:00"/>
    <x v="4"/>
    <x v="25"/>
    <x v="25"/>
    <n v="-30000"/>
    <n v="0"/>
    <n v="30000"/>
    <x v="307"/>
    <s v="Cali"/>
  </r>
  <r>
    <m/>
    <x v="1"/>
    <x v="23"/>
    <x v="23"/>
    <m/>
    <m/>
    <m/>
    <x v="1"/>
    <m/>
  </r>
  <r>
    <d v="2021-04-01T00:00:00"/>
    <x v="4"/>
    <x v="0"/>
    <x v="0"/>
    <n v="100000"/>
    <n v="100000"/>
    <n v="0"/>
    <x v="155"/>
    <s v="Cali"/>
  </r>
  <r>
    <d v="2021-04-01T00:00:00"/>
    <x v="4"/>
    <x v="27"/>
    <x v="27"/>
    <n v="-100000"/>
    <n v="0"/>
    <n v="100000"/>
    <x v="155"/>
    <s v="Cali"/>
  </r>
  <r>
    <m/>
    <x v="1"/>
    <x v="23"/>
    <x v="23"/>
    <m/>
    <m/>
    <m/>
    <x v="1"/>
    <m/>
  </r>
  <r>
    <d v="2021-04-01T00:00:00"/>
    <x v="4"/>
    <x v="0"/>
    <x v="0"/>
    <n v="10000"/>
    <n v="10000"/>
    <n v="0"/>
    <x v="308"/>
    <s v="Cali"/>
  </r>
  <r>
    <d v="2021-04-01T00:00:00"/>
    <x v="4"/>
    <x v="25"/>
    <x v="25"/>
    <n v="-10000"/>
    <n v="0"/>
    <n v="10000"/>
    <x v="308"/>
    <s v="Cali"/>
  </r>
  <r>
    <m/>
    <x v="1"/>
    <x v="23"/>
    <x v="23"/>
    <m/>
    <m/>
    <m/>
    <x v="1"/>
    <m/>
  </r>
  <r>
    <d v="2021-04-01T00:00:00"/>
    <x v="4"/>
    <x v="0"/>
    <x v="0"/>
    <n v="80000"/>
    <n v="80000"/>
    <n v="0"/>
    <x v="22"/>
    <s v="Cali"/>
  </r>
  <r>
    <d v="2021-04-01T00:00:00"/>
    <x v="4"/>
    <x v="27"/>
    <x v="27"/>
    <n v="-80000"/>
    <n v="0"/>
    <n v="80000"/>
    <x v="22"/>
    <s v="Cali"/>
  </r>
  <r>
    <m/>
    <x v="1"/>
    <x v="23"/>
    <x v="23"/>
    <m/>
    <m/>
    <m/>
    <x v="1"/>
    <m/>
  </r>
  <r>
    <d v="2021-04-01T00:00:00"/>
    <x v="4"/>
    <x v="0"/>
    <x v="0"/>
    <n v="20000"/>
    <n v="20000"/>
    <n v="0"/>
    <x v="174"/>
    <s v="Cali"/>
  </r>
  <r>
    <d v="2021-04-01T00:00:00"/>
    <x v="4"/>
    <x v="25"/>
    <x v="25"/>
    <n v="-20000"/>
    <n v="0"/>
    <n v="20000"/>
    <x v="174"/>
    <s v="Cali"/>
  </r>
  <r>
    <m/>
    <x v="1"/>
    <x v="23"/>
    <x v="23"/>
    <m/>
    <m/>
    <m/>
    <x v="1"/>
    <m/>
  </r>
  <r>
    <d v="2021-04-05T00:00:00"/>
    <x v="4"/>
    <x v="0"/>
    <x v="0"/>
    <n v="45000"/>
    <n v="45000"/>
    <n v="0"/>
    <x v="161"/>
    <s v="Cali"/>
  </r>
  <r>
    <d v="2021-04-05T00:00:00"/>
    <x v="4"/>
    <x v="26"/>
    <x v="26"/>
    <n v="-45000"/>
    <n v="0"/>
    <n v="45000"/>
    <x v="161"/>
    <s v="Cali"/>
  </r>
  <r>
    <m/>
    <x v="1"/>
    <x v="23"/>
    <x v="23"/>
    <m/>
    <m/>
    <m/>
    <x v="1"/>
    <m/>
  </r>
  <r>
    <d v="2021-04-05T00:00:00"/>
    <x v="4"/>
    <x v="0"/>
    <x v="0"/>
    <n v="50000"/>
    <n v="50000"/>
    <n v="0"/>
    <x v="163"/>
    <s v="Cali"/>
  </r>
  <r>
    <d v="2021-04-05T00:00:00"/>
    <x v="4"/>
    <x v="25"/>
    <x v="25"/>
    <n v="-50000"/>
    <n v="0"/>
    <n v="50000"/>
    <x v="163"/>
    <s v="Cali"/>
  </r>
  <r>
    <m/>
    <x v="1"/>
    <x v="23"/>
    <x v="23"/>
    <m/>
    <m/>
    <m/>
    <x v="1"/>
    <m/>
  </r>
  <r>
    <d v="2021-04-05T00:00:00"/>
    <x v="4"/>
    <x v="0"/>
    <x v="0"/>
    <n v="25000"/>
    <n v="25000"/>
    <n v="0"/>
    <x v="158"/>
    <s v="Cali"/>
  </r>
  <r>
    <d v="2021-04-05T00:00:00"/>
    <x v="4"/>
    <x v="25"/>
    <x v="25"/>
    <n v="-25000"/>
    <n v="0"/>
    <n v="25000"/>
    <x v="158"/>
    <s v="Cali"/>
  </r>
  <r>
    <m/>
    <x v="1"/>
    <x v="23"/>
    <x v="23"/>
    <m/>
    <m/>
    <m/>
    <x v="1"/>
    <m/>
  </r>
  <r>
    <d v="2021-04-05T00:00:00"/>
    <x v="4"/>
    <x v="0"/>
    <x v="0"/>
    <n v="65000"/>
    <n v="65000"/>
    <n v="0"/>
    <x v="160"/>
    <s v="Cali"/>
  </r>
  <r>
    <d v="2021-04-05T00:00:00"/>
    <x v="4"/>
    <x v="25"/>
    <x v="25"/>
    <n v="-65000"/>
    <n v="0"/>
    <n v="65000"/>
    <x v="160"/>
    <s v="Cali"/>
  </r>
  <r>
    <m/>
    <x v="1"/>
    <x v="23"/>
    <x v="23"/>
    <m/>
    <m/>
    <m/>
    <x v="1"/>
    <m/>
  </r>
  <r>
    <d v="2021-04-05T00:00:00"/>
    <x v="4"/>
    <x v="0"/>
    <x v="0"/>
    <n v="30000"/>
    <n v="30000"/>
    <n v="0"/>
    <x v="309"/>
    <s v="Cali"/>
  </r>
  <r>
    <d v="2021-04-05T00:00:00"/>
    <x v="4"/>
    <x v="26"/>
    <x v="26"/>
    <n v="-30000"/>
    <n v="0"/>
    <n v="30000"/>
    <x v="309"/>
    <s v="Cali"/>
  </r>
  <r>
    <m/>
    <x v="1"/>
    <x v="23"/>
    <x v="23"/>
    <m/>
    <m/>
    <m/>
    <x v="1"/>
    <m/>
  </r>
  <r>
    <d v="2021-04-05T00:00:00"/>
    <x v="4"/>
    <x v="0"/>
    <x v="0"/>
    <n v="100000"/>
    <n v="100000"/>
    <n v="0"/>
    <x v="192"/>
    <s v="Cali"/>
  </r>
  <r>
    <d v="2021-04-05T00:00:00"/>
    <x v="4"/>
    <x v="26"/>
    <x v="26"/>
    <n v="-100000"/>
    <n v="0"/>
    <n v="100000"/>
    <x v="192"/>
    <s v="Cali"/>
  </r>
  <r>
    <m/>
    <x v="1"/>
    <x v="23"/>
    <x v="23"/>
    <m/>
    <m/>
    <m/>
    <x v="1"/>
    <m/>
  </r>
  <r>
    <d v="2021-04-05T00:00:00"/>
    <x v="4"/>
    <x v="0"/>
    <x v="0"/>
    <n v="25000"/>
    <n v="25000"/>
    <n v="0"/>
    <x v="38"/>
    <s v="Cali"/>
  </r>
  <r>
    <d v="2021-04-05T00:00:00"/>
    <x v="4"/>
    <x v="25"/>
    <x v="25"/>
    <n v="-25000"/>
    <n v="0"/>
    <n v="25000"/>
    <x v="38"/>
    <s v="Cali"/>
  </r>
  <r>
    <m/>
    <x v="1"/>
    <x v="23"/>
    <x v="23"/>
    <m/>
    <m/>
    <m/>
    <x v="1"/>
    <m/>
  </r>
  <r>
    <d v="2021-04-05T00:00:00"/>
    <x v="4"/>
    <x v="0"/>
    <x v="0"/>
    <n v="12000"/>
    <n v="12000"/>
    <n v="0"/>
    <x v="150"/>
    <s v="Cali"/>
  </r>
  <r>
    <d v="2021-04-05T00:00:00"/>
    <x v="4"/>
    <x v="19"/>
    <x v="19"/>
    <n v="-12000"/>
    <n v="0"/>
    <n v="12000"/>
    <x v="150"/>
    <s v="Cali"/>
  </r>
  <r>
    <m/>
    <x v="1"/>
    <x v="23"/>
    <x v="23"/>
    <m/>
    <m/>
    <m/>
    <x v="1"/>
    <m/>
  </r>
  <r>
    <d v="2021-04-05T00:00:00"/>
    <x v="4"/>
    <x v="0"/>
    <x v="0"/>
    <n v="20000"/>
    <n v="20000"/>
    <n v="0"/>
    <x v="175"/>
    <s v="Cali"/>
  </r>
  <r>
    <d v="2021-04-05T00:00:00"/>
    <x v="4"/>
    <x v="25"/>
    <x v="25"/>
    <n v="-20000"/>
    <n v="0"/>
    <n v="20000"/>
    <x v="175"/>
    <s v="Cali"/>
  </r>
  <r>
    <m/>
    <x v="1"/>
    <x v="23"/>
    <x v="23"/>
    <m/>
    <m/>
    <m/>
    <x v="1"/>
    <m/>
  </r>
  <r>
    <d v="2021-04-05T00:00:00"/>
    <x v="4"/>
    <x v="0"/>
    <x v="0"/>
    <n v="30000"/>
    <n v="30000"/>
    <n v="0"/>
    <x v="164"/>
    <s v="Cali"/>
  </r>
  <r>
    <d v="2021-04-05T00:00:00"/>
    <x v="4"/>
    <x v="26"/>
    <x v="26"/>
    <n v="-30000"/>
    <n v="0"/>
    <n v="30000"/>
    <x v="164"/>
    <s v="Cali"/>
  </r>
  <r>
    <m/>
    <x v="1"/>
    <x v="23"/>
    <x v="23"/>
    <m/>
    <m/>
    <m/>
    <x v="1"/>
    <m/>
  </r>
  <r>
    <d v="2021-04-05T00:00:00"/>
    <x v="4"/>
    <x v="0"/>
    <x v="0"/>
    <n v="70000"/>
    <n v="70000"/>
    <n v="0"/>
    <x v="37"/>
    <s v="Cali"/>
  </r>
  <r>
    <d v="2021-04-05T00:00:00"/>
    <x v="4"/>
    <x v="25"/>
    <x v="25"/>
    <n v="-70000"/>
    <n v="0"/>
    <n v="70000"/>
    <x v="37"/>
    <s v="Cali"/>
  </r>
  <r>
    <m/>
    <x v="1"/>
    <x v="23"/>
    <x v="23"/>
    <m/>
    <m/>
    <m/>
    <x v="1"/>
    <m/>
  </r>
  <r>
    <d v="2021-04-05T00:00:00"/>
    <x v="4"/>
    <x v="0"/>
    <x v="0"/>
    <n v="200000"/>
    <n v="200000"/>
    <n v="0"/>
    <x v="242"/>
    <s v="Cali"/>
  </r>
  <r>
    <d v="2021-04-05T00:00:00"/>
    <x v="4"/>
    <x v="26"/>
    <x v="26"/>
    <n v="-200000"/>
    <n v="0"/>
    <n v="200000"/>
    <x v="242"/>
    <s v="Cali"/>
  </r>
  <r>
    <m/>
    <x v="1"/>
    <x v="23"/>
    <x v="23"/>
    <m/>
    <m/>
    <m/>
    <x v="1"/>
    <m/>
  </r>
  <r>
    <d v="2021-04-05T00:00:00"/>
    <x v="4"/>
    <x v="0"/>
    <x v="0"/>
    <n v="20000"/>
    <n v="20000"/>
    <n v="0"/>
    <x v="168"/>
    <s v="Cali"/>
  </r>
  <r>
    <d v="2021-04-05T00:00:00"/>
    <x v="4"/>
    <x v="26"/>
    <x v="26"/>
    <n v="-20000"/>
    <n v="0"/>
    <n v="20000"/>
    <x v="168"/>
    <s v="Cali"/>
  </r>
  <r>
    <m/>
    <x v="1"/>
    <x v="23"/>
    <x v="23"/>
    <m/>
    <m/>
    <m/>
    <x v="1"/>
    <m/>
  </r>
  <r>
    <d v="2021-04-05T00:00:00"/>
    <x v="4"/>
    <x v="0"/>
    <x v="0"/>
    <n v="150000"/>
    <n v="150000"/>
    <n v="0"/>
    <x v="169"/>
    <s v="Cali"/>
  </r>
  <r>
    <d v="2021-04-05T00:00:00"/>
    <x v="4"/>
    <x v="25"/>
    <x v="25"/>
    <n v="-150000"/>
    <n v="0"/>
    <n v="150000"/>
    <x v="169"/>
    <s v="Cali"/>
  </r>
  <r>
    <m/>
    <x v="1"/>
    <x v="23"/>
    <x v="23"/>
    <m/>
    <m/>
    <m/>
    <x v="1"/>
    <m/>
  </r>
  <r>
    <d v="2021-04-05T00:00:00"/>
    <x v="4"/>
    <x v="0"/>
    <x v="0"/>
    <n v="10000"/>
    <n v="10000"/>
    <n v="0"/>
    <x v="191"/>
    <s v="Cali"/>
  </r>
  <r>
    <d v="2021-04-05T00:00:00"/>
    <x v="4"/>
    <x v="27"/>
    <x v="27"/>
    <n v="-10000"/>
    <n v="0"/>
    <n v="10000"/>
    <x v="191"/>
    <s v="Cali"/>
  </r>
  <r>
    <m/>
    <x v="1"/>
    <x v="23"/>
    <x v="23"/>
    <m/>
    <m/>
    <m/>
    <x v="1"/>
    <m/>
  </r>
  <r>
    <d v="2021-04-05T00:00:00"/>
    <x v="4"/>
    <x v="0"/>
    <x v="0"/>
    <n v="12000"/>
    <n v="12000"/>
    <n v="0"/>
    <x v="310"/>
    <s v="Cali"/>
  </r>
  <r>
    <d v="2021-04-05T00:00:00"/>
    <x v="4"/>
    <x v="25"/>
    <x v="25"/>
    <n v="-12000"/>
    <n v="0"/>
    <n v="12000"/>
    <x v="310"/>
    <s v="Cali"/>
  </r>
  <r>
    <m/>
    <x v="1"/>
    <x v="23"/>
    <x v="23"/>
    <m/>
    <m/>
    <m/>
    <x v="1"/>
    <m/>
  </r>
  <r>
    <d v="2021-04-05T00:00:00"/>
    <x v="4"/>
    <x v="0"/>
    <x v="0"/>
    <n v="50000"/>
    <n v="50000"/>
    <n v="0"/>
    <x v="173"/>
    <s v="Cali"/>
  </r>
  <r>
    <d v="2021-04-05T00:00:00"/>
    <x v="4"/>
    <x v="26"/>
    <x v="26"/>
    <n v="-50000"/>
    <n v="0"/>
    <n v="50000"/>
    <x v="173"/>
    <s v="Cali"/>
  </r>
  <r>
    <m/>
    <x v="1"/>
    <x v="23"/>
    <x v="23"/>
    <m/>
    <m/>
    <m/>
    <x v="1"/>
    <m/>
  </r>
  <r>
    <d v="2021-04-05T00:00:00"/>
    <x v="4"/>
    <x v="0"/>
    <x v="0"/>
    <n v="10000"/>
    <n v="10000"/>
    <n v="0"/>
    <x v="199"/>
    <s v="Cali"/>
  </r>
  <r>
    <d v="2021-04-05T00:00:00"/>
    <x v="4"/>
    <x v="27"/>
    <x v="27"/>
    <n v="-10000"/>
    <n v="0"/>
    <n v="10000"/>
    <x v="199"/>
    <s v="Cali"/>
  </r>
  <r>
    <m/>
    <x v="1"/>
    <x v="23"/>
    <x v="23"/>
    <m/>
    <m/>
    <m/>
    <x v="1"/>
    <m/>
  </r>
  <r>
    <d v="2021-04-05T00:00:00"/>
    <x v="4"/>
    <x v="0"/>
    <x v="0"/>
    <n v="128453"/>
    <n v="128453"/>
    <n v="0"/>
    <x v="311"/>
    <s v="Cali"/>
  </r>
  <r>
    <d v="2021-04-05T00:00:00"/>
    <x v="4"/>
    <x v="26"/>
    <x v="26"/>
    <n v="-128453"/>
    <n v="0"/>
    <n v="128453"/>
    <x v="311"/>
    <s v="Cali"/>
  </r>
  <r>
    <m/>
    <x v="1"/>
    <x v="23"/>
    <x v="23"/>
    <m/>
    <m/>
    <m/>
    <x v="1"/>
    <m/>
  </r>
  <r>
    <d v="2021-04-05T00:00:00"/>
    <x v="4"/>
    <x v="0"/>
    <x v="0"/>
    <n v="20000"/>
    <n v="20000"/>
    <n v="0"/>
    <x v="151"/>
    <s v="Cali"/>
  </r>
  <r>
    <d v="2021-04-05T00:00:00"/>
    <x v="4"/>
    <x v="25"/>
    <x v="25"/>
    <n v="-20000"/>
    <n v="0"/>
    <n v="20000"/>
    <x v="151"/>
    <s v="Cali"/>
  </r>
  <r>
    <m/>
    <x v="1"/>
    <x v="23"/>
    <x v="23"/>
    <m/>
    <m/>
    <m/>
    <x v="1"/>
    <m/>
  </r>
  <r>
    <d v="2021-04-06T00:00:00"/>
    <x v="4"/>
    <x v="0"/>
    <x v="0"/>
    <n v="350000"/>
    <n v="350000"/>
    <n v="0"/>
    <x v="312"/>
    <s v="Cali"/>
  </r>
  <r>
    <d v="2021-04-06T00:00:00"/>
    <x v="4"/>
    <x v="26"/>
    <x v="26"/>
    <n v="-350000"/>
    <n v="0"/>
    <n v="350000"/>
    <x v="312"/>
    <s v="Cali"/>
  </r>
  <r>
    <m/>
    <x v="1"/>
    <x v="23"/>
    <x v="23"/>
    <m/>
    <m/>
    <m/>
    <x v="1"/>
    <m/>
  </r>
  <r>
    <d v="2021-04-06T00:00:00"/>
    <x v="4"/>
    <x v="0"/>
    <x v="0"/>
    <n v="300000"/>
    <n v="300000"/>
    <n v="0"/>
    <x v="313"/>
    <s v="Cali"/>
  </r>
  <r>
    <d v="2021-04-06T00:00:00"/>
    <x v="4"/>
    <x v="26"/>
    <x v="26"/>
    <n v="-300000"/>
    <n v="0"/>
    <n v="300000"/>
    <x v="313"/>
    <s v="Cali"/>
  </r>
  <r>
    <m/>
    <x v="1"/>
    <x v="23"/>
    <x v="23"/>
    <m/>
    <m/>
    <m/>
    <x v="1"/>
    <m/>
  </r>
  <r>
    <d v="2021-04-06T00:00:00"/>
    <x v="4"/>
    <x v="0"/>
    <x v="0"/>
    <n v="250000"/>
    <n v="250000"/>
    <n v="0"/>
    <x v="314"/>
    <s v="Cali"/>
  </r>
  <r>
    <d v="2021-04-06T00:00:00"/>
    <x v="4"/>
    <x v="26"/>
    <x v="26"/>
    <n v="-250000"/>
    <n v="0"/>
    <n v="250000"/>
    <x v="314"/>
    <s v="Cali"/>
  </r>
  <r>
    <m/>
    <x v="1"/>
    <x v="23"/>
    <x v="23"/>
    <m/>
    <m/>
    <m/>
    <x v="1"/>
    <m/>
  </r>
  <r>
    <d v="2021-04-06T00:00:00"/>
    <x v="4"/>
    <x v="0"/>
    <x v="0"/>
    <n v="105000"/>
    <n v="105000"/>
    <n v="0"/>
    <x v="315"/>
    <s v="Cali"/>
  </r>
  <r>
    <d v="2021-04-06T00:00:00"/>
    <x v="4"/>
    <x v="25"/>
    <x v="25"/>
    <n v="-105000"/>
    <n v="0"/>
    <n v="105000"/>
    <x v="315"/>
    <s v="Cali"/>
  </r>
  <r>
    <m/>
    <x v="1"/>
    <x v="23"/>
    <x v="23"/>
    <m/>
    <m/>
    <m/>
    <x v="1"/>
    <m/>
  </r>
  <r>
    <d v="2021-04-06T00:00:00"/>
    <x v="4"/>
    <x v="0"/>
    <x v="0"/>
    <n v="20000"/>
    <n v="20000"/>
    <n v="0"/>
    <x v="165"/>
    <s v="Cali"/>
  </r>
  <r>
    <d v="2021-04-06T00:00:00"/>
    <x v="4"/>
    <x v="25"/>
    <x v="25"/>
    <n v="-20000"/>
    <n v="0"/>
    <n v="20000"/>
    <x v="165"/>
    <s v="Cali"/>
  </r>
  <r>
    <m/>
    <x v="1"/>
    <x v="23"/>
    <x v="23"/>
    <m/>
    <m/>
    <m/>
    <x v="1"/>
    <m/>
  </r>
  <r>
    <d v="2021-04-06T00:00:00"/>
    <x v="4"/>
    <x v="0"/>
    <x v="0"/>
    <n v="18000"/>
    <n v="18000"/>
    <n v="0"/>
    <x v="66"/>
    <s v="Cali"/>
  </r>
  <r>
    <d v="2021-04-06T00:00:00"/>
    <x v="4"/>
    <x v="27"/>
    <x v="27"/>
    <n v="-18000"/>
    <n v="0"/>
    <n v="18000"/>
    <x v="66"/>
    <s v="Cali"/>
  </r>
  <r>
    <m/>
    <x v="1"/>
    <x v="23"/>
    <x v="23"/>
    <m/>
    <m/>
    <m/>
    <x v="1"/>
    <m/>
  </r>
  <r>
    <d v="2021-04-06T00:00:00"/>
    <x v="4"/>
    <x v="0"/>
    <x v="0"/>
    <n v="40000"/>
    <n v="40000"/>
    <n v="0"/>
    <x v="176"/>
    <s v="Cali"/>
  </r>
  <r>
    <d v="2021-04-06T00:00:00"/>
    <x v="4"/>
    <x v="25"/>
    <x v="25"/>
    <n v="-40000"/>
    <n v="0"/>
    <n v="40000"/>
    <x v="176"/>
    <s v="Cali"/>
  </r>
  <r>
    <m/>
    <x v="1"/>
    <x v="23"/>
    <x v="23"/>
    <m/>
    <m/>
    <m/>
    <x v="1"/>
    <m/>
  </r>
  <r>
    <d v="2021-04-06T00:00:00"/>
    <x v="4"/>
    <x v="0"/>
    <x v="0"/>
    <n v="15000"/>
    <n v="15000"/>
    <n v="0"/>
    <x v="252"/>
    <s v="Cali"/>
  </r>
  <r>
    <d v="2021-04-06T00:00:00"/>
    <x v="4"/>
    <x v="26"/>
    <x v="26"/>
    <n v="-15000"/>
    <n v="0"/>
    <n v="15000"/>
    <x v="252"/>
    <s v="Cali"/>
  </r>
  <r>
    <m/>
    <x v="1"/>
    <x v="23"/>
    <x v="23"/>
    <m/>
    <m/>
    <m/>
    <x v="1"/>
    <m/>
  </r>
  <r>
    <d v="2021-04-06T00:00:00"/>
    <x v="4"/>
    <x v="0"/>
    <x v="0"/>
    <n v="10000"/>
    <n v="10000"/>
    <n v="0"/>
    <x v="166"/>
    <s v="Cali"/>
  </r>
  <r>
    <d v="2021-04-06T00:00:00"/>
    <x v="4"/>
    <x v="25"/>
    <x v="25"/>
    <n v="-10000"/>
    <n v="0"/>
    <n v="10000"/>
    <x v="166"/>
    <s v="Cali"/>
  </r>
  <r>
    <m/>
    <x v="1"/>
    <x v="23"/>
    <x v="23"/>
    <m/>
    <m/>
    <m/>
    <x v="1"/>
    <m/>
  </r>
  <r>
    <d v="2021-04-06T00:00:00"/>
    <x v="4"/>
    <x v="0"/>
    <x v="0"/>
    <n v="10000"/>
    <n v="10000"/>
    <n v="0"/>
    <x v="167"/>
    <s v="Cali"/>
  </r>
  <r>
    <d v="2021-04-06T00:00:00"/>
    <x v="4"/>
    <x v="26"/>
    <x v="26"/>
    <n v="-10000"/>
    <n v="0"/>
    <n v="10000"/>
    <x v="167"/>
    <s v="Cali"/>
  </r>
  <r>
    <m/>
    <x v="1"/>
    <x v="23"/>
    <x v="23"/>
    <m/>
    <m/>
    <m/>
    <x v="1"/>
    <m/>
  </r>
  <r>
    <d v="2021-04-06T00:00:00"/>
    <x v="4"/>
    <x v="0"/>
    <x v="0"/>
    <n v="2200000"/>
    <n v="2200000"/>
    <n v="0"/>
    <x v="313"/>
    <s v="Cali"/>
  </r>
  <r>
    <d v="2021-04-06T00:00:00"/>
    <x v="4"/>
    <x v="26"/>
    <x v="26"/>
    <n v="-2200000"/>
    <n v="0"/>
    <n v="2200000"/>
    <x v="313"/>
    <s v="Cali"/>
  </r>
  <r>
    <m/>
    <x v="1"/>
    <x v="23"/>
    <x v="23"/>
    <m/>
    <m/>
    <m/>
    <x v="1"/>
    <m/>
  </r>
  <r>
    <d v="2021-04-07T00:00:00"/>
    <x v="4"/>
    <x v="0"/>
    <x v="0"/>
    <n v="15000"/>
    <n v="15000"/>
    <n v="0"/>
    <x v="216"/>
    <s v="Cali"/>
  </r>
  <r>
    <d v="2021-04-07T00:00:00"/>
    <x v="4"/>
    <x v="29"/>
    <x v="29"/>
    <n v="-15000"/>
    <n v="0"/>
    <n v="15000"/>
    <x v="216"/>
    <s v="Cali"/>
  </r>
  <r>
    <m/>
    <x v="1"/>
    <x v="23"/>
    <x v="23"/>
    <m/>
    <m/>
    <m/>
    <x v="1"/>
    <m/>
  </r>
  <r>
    <d v="2021-04-07T00:00:00"/>
    <x v="4"/>
    <x v="0"/>
    <x v="0"/>
    <n v="850000"/>
    <n v="850000"/>
    <n v="0"/>
    <x v="312"/>
    <s v="Cali"/>
  </r>
  <r>
    <d v="2021-04-07T00:00:00"/>
    <x v="4"/>
    <x v="26"/>
    <x v="26"/>
    <n v="-850000"/>
    <n v="0"/>
    <n v="850000"/>
    <x v="312"/>
    <s v="Cali"/>
  </r>
  <r>
    <m/>
    <x v="1"/>
    <x v="23"/>
    <x v="23"/>
    <m/>
    <m/>
    <m/>
    <x v="1"/>
    <m/>
  </r>
  <r>
    <d v="2021-04-07T00:00:00"/>
    <x v="4"/>
    <x v="0"/>
    <x v="0"/>
    <n v="75000"/>
    <n v="75000"/>
    <n v="0"/>
    <x v="316"/>
    <s v="Cali"/>
  </r>
  <r>
    <d v="2021-04-07T00:00:00"/>
    <x v="4"/>
    <x v="25"/>
    <x v="25"/>
    <n v="-75000"/>
    <n v="0"/>
    <n v="75000"/>
    <x v="316"/>
    <s v="Cali"/>
  </r>
  <r>
    <m/>
    <x v="1"/>
    <x v="23"/>
    <x v="23"/>
    <m/>
    <m/>
    <m/>
    <x v="1"/>
    <m/>
  </r>
  <r>
    <d v="2021-04-07T00:00:00"/>
    <x v="4"/>
    <x v="0"/>
    <x v="0"/>
    <n v="3750000"/>
    <n v="3750000"/>
    <n v="0"/>
    <x v="314"/>
    <s v="Cali"/>
  </r>
  <r>
    <d v="2021-04-07T00:00:00"/>
    <x v="4"/>
    <x v="26"/>
    <x v="26"/>
    <n v="-3750000"/>
    <n v="0"/>
    <n v="3750000"/>
    <x v="314"/>
    <s v="Cali"/>
  </r>
  <r>
    <m/>
    <x v="1"/>
    <x v="23"/>
    <x v="23"/>
    <m/>
    <m/>
    <m/>
    <x v="1"/>
    <m/>
  </r>
  <r>
    <d v="2021-04-07T00:00:00"/>
    <x v="4"/>
    <x v="0"/>
    <x v="0"/>
    <n v="29461"/>
    <n v="29461"/>
    <n v="0"/>
    <x v="159"/>
    <s v="Cali"/>
  </r>
  <r>
    <d v="2021-04-07T00:00:00"/>
    <x v="4"/>
    <x v="49"/>
    <x v="49"/>
    <n v="539"/>
    <n v="539"/>
    <n v="0"/>
    <x v="159"/>
    <s v="Cali"/>
  </r>
  <r>
    <d v="2021-04-07T00:00:00"/>
    <x v="4"/>
    <x v="25"/>
    <x v="25"/>
    <n v="-30000"/>
    <n v="0"/>
    <n v="30000"/>
    <x v="159"/>
    <s v="Cali"/>
  </r>
  <r>
    <m/>
    <x v="1"/>
    <x v="23"/>
    <x v="23"/>
    <m/>
    <m/>
    <m/>
    <x v="1"/>
    <m/>
  </r>
  <r>
    <d v="2021-04-07T00:00:00"/>
    <x v="4"/>
    <x v="0"/>
    <x v="0"/>
    <n v="9820"/>
    <n v="9820"/>
    <n v="0"/>
    <x v="317"/>
    <s v="Cali"/>
  </r>
  <r>
    <d v="2021-04-07T00:00:00"/>
    <x v="4"/>
    <x v="26"/>
    <x v="26"/>
    <n v="-9820"/>
    <n v="0"/>
    <n v="9820"/>
    <x v="317"/>
    <s v="Cali"/>
  </r>
  <r>
    <m/>
    <x v="1"/>
    <x v="23"/>
    <x v="23"/>
    <m/>
    <m/>
    <m/>
    <x v="1"/>
    <m/>
  </r>
  <r>
    <d v="2021-04-07T00:00:00"/>
    <x v="4"/>
    <x v="0"/>
    <x v="0"/>
    <n v="64000"/>
    <n v="64000"/>
    <n v="0"/>
    <x v="64"/>
    <s v="Cali"/>
  </r>
  <r>
    <d v="2021-04-07T00:00:00"/>
    <x v="4"/>
    <x v="27"/>
    <x v="27"/>
    <n v="-64000"/>
    <n v="0"/>
    <n v="64000"/>
    <x v="64"/>
    <s v="Cali"/>
  </r>
  <r>
    <m/>
    <x v="1"/>
    <x v="23"/>
    <x v="23"/>
    <m/>
    <m/>
    <m/>
    <x v="1"/>
    <m/>
  </r>
  <r>
    <d v="2021-04-08T00:00:00"/>
    <x v="4"/>
    <x v="0"/>
    <x v="0"/>
    <n v="30000"/>
    <n v="30000"/>
    <n v="0"/>
    <x v="179"/>
    <s v="Cali"/>
  </r>
  <r>
    <d v="2021-04-08T00:00:00"/>
    <x v="4"/>
    <x v="25"/>
    <x v="25"/>
    <n v="-30000"/>
    <n v="0"/>
    <n v="30000"/>
    <x v="179"/>
    <s v="Cali"/>
  </r>
  <r>
    <m/>
    <x v="1"/>
    <x v="23"/>
    <x v="23"/>
    <m/>
    <m/>
    <m/>
    <x v="1"/>
    <m/>
  </r>
  <r>
    <d v="2021-04-09T00:00:00"/>
    <x v="4"/>
    <x v="0"/>
    <x v="0"/>
    <n v="150000"/>
    <n v="150000"/>
    <n v="0"/>
    <x v="251"/>
    <s v="Cali"/>
  </r>
  <r>
    <d v="2021-04-09T00:00:00"/>
    <x v="4"/>
    <x v="27"/>
    <x v="27"/>
    <n v="-150000"/>
    <n v="0"/>
    <n v="150000"/>
    <x v="251"/>
    <s v="Cali"/>
  </r>
  <r>
    <m/>
    <x v="1"/>
    <x v="23"/>
    <x v="23"/>
    <m/>
    <m/>
    <m/>
    <x v="1"/>
    <m/>
  </r>
  <r>
    <d v="2021-04-09T00:00:00"/>
    <x v="4"/>
    <x v="0"/>
    <x v="0"/>
    <n v="60000"/>
    <n v="60000"/>
    <n v="0"/>
    <x v="202"/>
    <s v="Cali"/>
  </r>
  <r>
    <d v="2021-04-09T00:00:00"/>
    <x v="4"/>
    <x v="27"/>
    <x v="27"/>
    <n v="-60000"/>
    <n v="0"/>
    <n v="60000"/>
    <x v="202"/>
    <s v="Cali"/>
  </r>
  <r>
    <m/>
    <x v="1"/>
    <x v="23"/>
    <x v="23"/>
    <m/>
    <m/>
    <m/>
    <x v="1"/>
    <m/>
  </r>
  <r>
    <d v="2021-04-09T00:00:00"/>
    <x v="4"/>
    <x v="0"/>
    <x v="0"/>
    <n v="30000"/>
    <n v="30000"/>
    <n v="0"/>
    <x v="256"/>
    <s v="Cali"/>
  </r>
  <r>
    <d v="2021-04-09T00:00:00"/>
    <x v="4"/>
    <x v="25"/>
    <x v="25"/>
    <n v="-30000"/>
    <n v="0"/>
    <n v="30000"/>
    <x v="256"/>
    <s v="Cali"/>
  </r>
  <r>
    <m/>
    <x v="1"/>
    <x v="23"/>
    <x v="23"/>
    <m/>
    <m/>
    <m/>
    <x v="1"/>
    <m/>
  </r>
  <r>
    <d v="2021-04-09T00:00:00"/>
    <x v="4"/>
    <x v="0"/>
    <x v="0"/>
    <n v="20000"/>
    <n v="20000"/>
    <n v="0"/>
    <x v="318"/>
    <s v="Cali"/>
  </r>
  <r>
    <d v="2021-04-09T00:00:00"/>
    <x v="4"/>
    <x v="25"/>
    <x v="25"/>
    <n v="-20000"/>
    <n v="0"/>
    <n v="20000"/>
    <x v="318"/>
    <s v="Cali"/>
  </r>
  <r>
    <m/>
    <x v="1"/>
    <x v="23"/>
    <x v="23"/>
    <m/>
    <m/>
    <m/>
    <x v="1"/>
    <m/>
  </r>
  <r>
    <d v="2021-04-12T00:00:00"/>
    <x v="4"/>
    <x v="0"/>
    <x v="0"/>
    <n v="30000"/>
    <n v="30000"/>
    <n v="0"/>
    <x v="170"/>
    <s v="Cali"/>
  </r>
  <r>
    <d v="2021-04-12T00:00:00"/>
    <x v="4"/>
    <x v="26"/>
    <x v="26"/>
    <n v="-30000"/>
    <n v="0"/>
    <n v="30000"/>
    <x v="170"/>
    <s v="Cali"/>
  </r>
  <r>
    <m/>
    <x v="1"/>
    <x v="23"/>
    <x v="23"/>
    <m/>
    <m/>
    <m/>
    <x v="1"/>
    <m/>
  </r>
  <r>
    <d v="2021-04-12T00:00:00"/>
    <x v="4"/>
    <x v="0"/>
    <x v="0"/>
    <n v="2500"/>
    <n v="2500"/>
    <n v="0"/>
    <x v="177"/>
    <s v="Cali"/>
  </r>
  <r>
    <d v="2021-04-12T00:00:00"/>
    <x v="4"/>
    <x v="19"/>
    <x v="19"/>
    <n v="-2500"/>
    <n v="0"/>
    <n v="2500"/>
    <x v="177"/>
    <s v="Cali"/>
  </r>
  <r>
    <m/>
    <x v="1"/>
    <x v="23"/>
    <x v="23"/>
    <m/>
    <m/>
    <m/>
    <x v="1"/>
    <m/>
  </r>
  <r>
    <d v="2021-04-12T00:00:00"/>
    <x v="4"/>
    <x v="0"/>
    <x v="0"/>
    <n v="10000"/>
    <n v="10000"/>
    <n v="0"/>
    <x v="140"/>
    <s v="Cali"/>
  </r>
  <r>
    <d v="2021-04-12T00:00:00"/>
    <x v="4"/>
    <x v="19"/>
    <x v="19"/>
    <n v="-10000"/>
    <n v="0"/>
    <n v="10000"/>
    <x v="140"/>
    <s v="Cali"/>
  </r>
  <r>
    <m/>
    <x v="1"/>
    <x v="23"/>
    <x v="23"/>
    <m/>
    <m/>
    <m/>
    <x v="1"/>
    <m/>
  </r>
  <r>
    <d v="2021-04-12T00:00:00"/>
    <x v="4"/>
    <x v="0"/>
    <x v="0"/>
    <n v="30000"/>
    <n v="30000"/>
    <n v="0"/>
    <x v="319"/>
    <s v="Cali"/>
  </r>
  <r>
    <d v="2021-04-12T00:00:00"/>
    <x v="4"/>
    <x v="19"/>
    <x v="19"/>
    <n v="-30000"/>
    <n v="0"/>
    <n v="30000"/>
    <x v="319"/>
    <s v="Cali"/>
  </r>
  <r>
    <m/>
    <x v="1"/>
    <x v="23"/>
    <x v="23"/>
    <m/>
    <m/>
    <m/>
    <x v="1"/>
    <m/>
  </r>
  <r>
    <d v="2021-04-12T00:00:00"/>
    <x v="4"/>
    <x v="0"/>
    <x v="0"/>
    <n v="20000"/>
    <n v="20000"/>
    <n v="0"/>
    <x v="188"/>
    <s v="Cali"/>
  </r>
  <r>
    <d v="2021-04-12T00:00:00"/>
    <x v="4"/>
    <x v="29"/>
    <x v="29"/>
    <n v="-20000"/>
    <n v="0"/>
    <n v="20000"/>
    <x v="188"/>
    <s v="Cali"/>
  </r>
  <r>
    <m/>
    <x v="1"/>
    <x v="23"/>
    <x v="23"/>
    <m/>
    <m/>
    <m/>
    <x v="1"/>
    <m/>
  </r>
  <r>
    <d v="2021-04-12T00:00:00"/>
    <x v="4"/>
    <x v="0"/>
    <x v="0"/>
    <n v="30000"/>
    <n v="30000"/>
    <n v="0"/>
    <x v="185"/>
    <s v="Cali"/>
  </r>
  <r>
    <d v="2021-04-12T00:00:00"/>
    <x v="4"/>
    <x v="25"/>
    <x v="25"/>
    <n v="-30000"/>
    <n v="0"/>
    <n v="30000"/>
    <x v="185"/>
    <s v="Cali"/>
  </r>
  <r>
    <m/>
    <x v="1"/>
    <x v="23"/>
    <x v="23"/>
    <m/>
    <m/>
    <m/>
    <x v="1"/>
    <m/>
  </r>
  <r>
    <d v="2021-04-12T00:00:00"/>
    <x v="4"/>
    <x v="0"/>
    <x v="0"/>
    <n v="17000"/>
    <n v="17000"/>
    <n v="0"/>
    <x v="186"/>
    <s v="Cali"/>
  </r>
  <r>
    <d v="2021-04-12T00:00:00"/>
    <x v="4"/>
    <x v="25"/>
    <x v="25"/>
    <n v="-17000"/>
    <n v="0"/>
    <n v="17000"/>
    <x v="186"/>
    <s v="Cali"/>
  </r>
  <r>
    <m/>
    <x v="1"/>
    <x v="23"/>
    <x v="23"/>
    <m/>
    <m/>
    <m/>
    <x v="1"/>
    <m/>
  </r>
  <r>
    <d v="2021-04-12T00:00:00"/>
    <x v="4"/>
    <x v="0"/>
    <x v="0"/>
    <n v="25000"/>
    <n v="25000"/>
    <n v="0"/>
    <x v="156"/>
    <s v="Cali"/>
  </r>
  <r>
    <d v="2021-04-12T00:00:00"/>
    <x v="4"/>
    <x v="25"/>
    <x v="25"/>
    <n v="-25000"/>
    <n v="0"/>
    <n v="25000"/>
    <x v="156"/>
    <s v="Cali"/>
  </r>
  <r>
    <m/>
    <x v="1"/>
    <x v="23"/>
    <x v="23"/>
    <m/>
    <m/>
    <m/>
    <x v="1"/>
    <m/>
  </r>
  <r>
    <d v="2021-04-13T00:00:00"/>
    <x v="4"/>
    <x v="0"/>
    <x v="0"/>
    <n v="25000"/>
    <n v="25000"/>
    <n v="0"/>
    <x v="149"/>
    <s v="Cali"/>
  </r>
  <r>
    <d v="2021-04-13T00:00:00"/>
    <x v="4"/>
    <x v="27"/>
    <x v="27"/>
    <n v="-25000"/>
    <n v="0"/>
    <n v="25000"/>
    <x v="149"/>
    <s v="Cali"/>
  </r>
  <r>
    <m/>
    <x v="1"/>
    <x v="23"/>
    <x v="23"/>
    <m/>
    <m/>
    <m/>
    <x v="1"/>
    <m/>
  </r>
  <r>
    <d v="2021-04-13T00:00:00"/>
    <x v="4"/>
    <x v="0"/>
    <x v="0"/>
    <n v="36000"/>
    <n v="36000"/>
    <n v="0"/>
    <x v="320"/>
    <s v="Cali"/>
  </r>
  <r>
    <d v="2021-04-13T00:00:00"/>
    <x v="4"/>
    <x v="27"/>
    <x v="27"/>
    <n v="-36000"/>
    <n v="0"/>
    <n v="36000"/>
    <x v="320"/>
    <s v="Cali"/>
  </r>
  <r>
    <m/>
    <x v="1"/>
    <x v="23"/>
    <x v="23"/>
    <m/>
    <m/>
    <m/>
    <x v="1"/>
    <m/>
  </r>
  <r>
    <d v="2021-04-13T00:00:00"/>
    <x v="4"/>
    <x v="0"/>
    <x v="0"/>
    <n v="80000"/>
    <n v="80000"/>
    <n v="0"/>
    <x v="321"/>
    <s v="Cali"/>
  </r>
  <r>
    <d v="2021-04-13T00:00:00"/>
    <x v="4"/>
    <x v="27"/>
    <x v="27"/>
    <n v="-80000"/>
    <n v="0"/>
    <n v="80000"/>
    <x v="321"/>
    <s v="Cali"/>
  </r>
  <r>
    <m/>
    <x v="1"/>
    <x v="23"/>
    <x v="23"/>
    <m/>
    <m/>
    <m/>
    <x v="1"/>
    <m/>
  </r>
  <r>
    <d v="2021-04-13T00:00:00"/>
    <x v="4"/>
    <x v="0"/>
    <x v="0"/>
    <n v="50000"/>
    <n v="50000"/>
    <n v="0"/>
    <x v="322"/>
    <s v="Cali"/>
  </r>
  <r>
    <d v="2021-04-13T00:00:00"/>
    <x v="4"/>
    <x v="27"/>
    <x v="27"/>
    <n v="-50000"/>
    <n v="0"/>
    <n v="50000"/>
    <x v="322"/>
    <s v="Cali"/>
  </r>
  <r>
    <m/>
    <x v="1"/>
    <x v="23"/>
    <x v="23"/>
    <m/>
    <m/>
    <m/>
    <x v="1"/>
    <m/>
  </r>
  <r>
    <d v="2021-04-13T00:00:00"/>
    <x v="4"/>
    <x v="0"/>
    <x v="0"/>
    <n v="20000"/>
    <n v="20000"/>
    <n v="0"/>
    <x v="323"/>
    <s v="Cali"/>
  </r>
  <r>
    <d v="2021-04-13T00:00:00"/>
    <x v="4"/>
    <x v="20"/>
    <x v="20"/>
    <n v="-20000"/>
    <n v="0"/>
    <n v="20000"/>
    <x v="323"/>
    <s v="Cali"/>
  </r>
  <r>
    <m/>
    <x v="1"/>
    <x v="23"/>
    <x v="23"/>
    <m/>
    <m/>
    <m/>
    <x v="1"/>
    <m/>
  </r>
  <r>
    <d v="2021-04-13T00:00:00"/>
    <x v="4"/>
    <x v="0"/>
    <x v="0"/>
    <n v="20000"/>
    <n v="20000"/>
    <n v="0"/>
    <x v="193"/>
    <s v="Cali"/>
  </r>
  <r>
    <d v="2021-04-13T00:00:00"/>
    <x v="4"/>
    <x v="26"/>
    <x v="26"/>
    <n v="-20000"/>
    <n v="0"/>
    <n v="20000"/>
    <x v="193"/>
    <s v="Cali"/>
  </r>
  <r>
    <m/>
    <x v="1"/>
    <x v="23"/>
    <x v="23"/>
    <m/>
    <m/>
    <m/>
    <x v="1"/>
    <m/>
  </r>
  <r>
    <d v="2021-04-13T00:00:00"/>
    <x v="4"/>
    <x v="0"/>
    <x v="0"/>
    <n v="25000"/>
    <n v="25000"/>
    <n v="0"/>
    <x v="194"/>
    <s v="Cali"/>
  </r>
  <r>
    <d v="2021-04-13T00:00:00"/>
    <x v="4"/>
    <x v="25"/>
    <x v="25"/>
    <n v="-25000"/>
    <n v="0"/>
    <n v="25000"/>
    <x v="194"/>
    <s v="Cali"/>
  </r>
  <r>
    <m/>
    <x v="1"/>
    <x v="23"/>
    <x v="23"/>
    <m/>
    <m/>
    <m/>
    <x v="1"/>
    <m/>
  </r>
  <r>
    <d v="2021-04-13T00:00:00"/>
    <x v="4"/>
    <x v="0"/>
    <x v="0"/>
    <n v="7000"/>
    <n v="7000"/>
    <n v="0"/>
    <x v="261"/>
    <s v="Cali"/>
  </r>
  <r>
    <d v="2021-04-13T00:00:00"/>
    <x v="4"/>
    <x v="25"/>
    <x v="25"/>
    <n v="-7000"/>
    <n v="0"/>
    <n v="7000"/>
    <x v="261"/>
    <s v="Cali"/>
  </r>
  <r>
    <m/>
    <x v="1"/>
    <x v="23"/>
    <x v="23"/>
    <m/>
    <m/>
    <m/>
    <x v="1"/>
    <m/>
  </r>
  <r>
    <d v="2021-04-13T00:00:00"/>
    <x v="4"/>
    <x v="0"/>
    <x v="0"/>
    <n v="40000"/>
    <n v="40000"/>
    <n v="0"/>
    <x v="178"/>
    <s v="Cali"/>
  </r>
  <r>
    <d v="2021-04-13T00:00:00"/>
    <x v="4"/>
    <x v="25"/>
    <x v="25"/>
    <n v="-40000"/>
    <n v="0"/>
    <n v="40000"/>
    <x v="178"/>
    <s v="Cali"/>
  </r>
  <r>
    <m/>
    <x v="1"/>
    <x v="23"/>
    <x v="23"/>
    <m/>
    <m/>
    <m/>
    <x v="1"/>
    <m/>
  </r>
  <r>
    <d v="2021-04-14T00:00:00"/>
    <x v="4"/>
    <x v="0"/>
    <x v="0"/>
    <n v="227000"/>
    <n v="227000"/>
    <n v="0"/>
    <x v="65"/>
    <s v="Cali"/>
  </r>
  <r>
    <d v="2021-04-14T00:00:00"/>
    <x v="4"/>
    <x v="29"/>
    <x v="29"/>
    <n v="-227000"/>
    <n v="0"/>
    <n v="227000"/>
    <x v="65"/>
    <s v="Cali"/>
  </r>
  <r>
    <m/>
    <x v="1"/>
    <x v="23"/>
    <x v="23"/>
    <m/>
    <m/>
    <m/>
    <x v="1"/>
    <m/>
  </r>
  <r>
    <d v="2021-04-14T00:00:00"/>
    <x v="4"/>
    <x v="0"/>
    <x v="0"/>
    <n v="65000"/>
    <n v="65000"/>
    <n v="0"/>
    <x v="65"/>
    <s v="Cali"/>
  </r>
  <r>
    <d v="2021-04-14T00:00:00"/>
    <x v="4"/>
    <x v="29"/>
    <x v="29"/>
    <n v="-65000"/>
    <n v="0"/>
    <n v="65000"/>
    <x v="65"/>
    <s v="Cali"/>
  </r>
  <r>
    <m/>
    <x v="1"/>
    <x v="23"/>
    <x v="23"/>
    <m/>
    <m/>
    <m/>
    <x v="1"/>
    <m/>
  </r>
  <r>
    <d v="2021-04-14T00:00:00"/>
    <x v="4"/>
    <x v="0"/>
    <x v="0"/>
    <n v="115000"/>
    <n v="115000"/>
    <n v="0"/>
    <x v="65"/>
    <s v="Cali"/>
  </r>
  <r>
    <d v="2021-04-14T00:00:00"/>
    <x v="4"/>
    <x v="29"/>
    <x v="29"/>
    <n v="-115000"/>
    <n v="0"/>
    <n v="115000"/>
    <x v="65"/>
    <s v="Cali"/>
  </r>
  <r>
    <m/>
    <x v="1"/>
    <x v="23"/>
    <x v="23"/>
    <m/>
    <m/>
    <m/>
    <x v="1"/>
    <m/>
  </r>
  <r>
    <d v="2021-04-15T00:00:00"/>
    <x v="4"/>
    <x v="0"/>
    <x v="0"/>
    <n v="50000"/>
    <n v="50000"/>
    <n v="0"/>
    <x v="195"/>
    <s v="Cali"/>
  </r>
  <r>
    <d v="2021-04-15T00:00:00"/>
    <x v="4"/>
    <x v="25"/>
    <x v="25"/>
    <n v="-50000"/>
    <n v="0"/>
    <n v="50000"/>
    <x v="195"/>
    <s v="Cali"/>
  </r>
  <r>
    <m/>
    <x v="1"/>
    <x v="23"/>
    <x v="23"/>
    <m/>
    <m/>
    <m/>
    <x v="1"/>
    <m/>
  </r>
  <r>
    <d v="2021-04-15T00:00:00"/>
    <x v="4"/>
    <x v="0"/>
    <x v="0"/>
    <n v="20000"/>
    <n v="20000"/>
    <n v="0"/>
    <x v="196"/>
    <s v="Cali"/>
  </r>
  <r>
    <d v="2021-04-15T00:00:00"/>
    <x v="4"/>
    <x v="25"/>
    <x v="25"/>
    <n v="-20000"/>
    <n v="0"/>
    <n v="20000"/>
    <x v="196"/>
    <s v="Cali"/>
  </r>
  <r>
    <m/>
    <x v="1"/>
    <x v="23"/>
    <x v="23"/>
    <m/>
    <m/>
    <m/>
    <x v="1"/>
    <m/>
  </r>
  <r>
    <d v="2021-04-15T00:00:00"/>
    <x v="4"/>
    <x v="0"/>
    <x v="0"/>
    <n v="500000"/>
    <n v="500000"/>
    <n v="0"/>
    <x v="324"/>
    <s v="Cali"/>
  </r>
  <r>
    <d v="2021-04-15T00:00:00"/>
    <x v="4"/>
    <x v="27"/>
    <x v="27"/>
    <n v="-500000"/>
    <n v="0"/>
    <n v="500000"/>
    <x v="324"/>
    <s v="Cali"/>
  </r>
  <r>
    <m/>
    <x v="1"/>
    <x v="23"/>
    <x v="23"/>
    <m/>
    <m/>
    <m/>
    <x v="1"/>
    <m/>
  </r>
  <r>
    <d v="2021-04-15T00:00:00"/>
    <x v="4"/>
    <x v="0"/>
    <x v="0"/>
    <n v="5000"/>
    <n v="5000"/>
    <n v="0"/>
    <x v="264"/>
    <s v="Cali"/>
  </r>
  <r>
    <d v="2021-04-15T00:00:00"/>
    <x v="4"/>
    <x v="19"/>
    <x v="19"/>
    <n v="-5000"/>
    <n v="0"/>
    <n v="5000"/>
    <x v="264"/>
    <s v="Cali"/>
  </r>
  <r>
    <m/>
    <x v="1"/>
    <x v="23"/>
    <x v="23"/>
    <m/>
    <m/>
    <m/>
    <x v="1"/>
    <m/>
  </r>
  <r>
    <d v="2021-04-16T00:00:00"/>
    <x v="4"/>
    <x v="15"/>
    <x v="15"/>
    <n v="2983999"/>
    <n v="2983999"/>
    <n v="0"/>
    <x v="325"/>
    <s v="Cali"/>
  </r>
  <r>
    <d v="2021-04-16T00:00:00"/>
    <x v="4"/>
    <x v="14"/>
    <x v="14"/>
    <n v="147729"/>
    <n v="147729"/>
    <n v="0"/>
    <x v="325"/>
    <s v="Cali"/>
  </r>
  <r>
    <d v="2021-04-16T00:00:00"/>
    <x v="4"/>
    <x v="0"/>
    <x v="0"/>
    <n v="-3131728"/>
    <n v="0"/>
    <n v="3131728"/>
    <x v="325"/>
    <s v="Cali"/>
  </r>
  <r>
    <m/>
    <x v="1"/>
    <x v="23"/>
    <x v="23"/>
    <m/>
    <m/>
    <m/>
    <x v="1"/>
    <m/>
  </r>
  <r>
    <d v="2021-04-16T00:00:00"/>
    <x v="4"/>
    <x v="52"/>
    <x v="52"/>
    <n v="600000"/>
    <n v="600000"/>
    <n v="0"/>
    <x v="326"/>
    <s v="Cali"/>
  </r>
  <r>
    <d v="2021-04-16T00:00:00"/>
    <x v="4"/>
    <x v="0"/>
    <x v="0"/>
    <n v="-600000"/>
    <n v="0"/>
    <n v="600000"/>
    <x v="326"/>
    <s v="Cali"/>
  </r>
  <r>
    <m/>
    <x v="1"/>
    <x v="23"/>
    <x v="23"/>
    <m/>
    <m/>
    <m/>
    <x v="1"/>
    <m/>
  </r>
  <r>
    <d v="2021-04-16T00:00:00"/>
    <x v="4"/>
    <x v="16"/>
    <x v="16"/>
    <n v="69840"/>
    <n v="69840"/>
    <n v="0"/>
    <x v="327"/>
    <s v="Cali"/>
  </r>
  <r>
    <d v="2021-04-16T00:00:00"/>
    <x v="4"/>
    <x v="17"/>
    <x v="17"/>
    <n v="-8032"/>
    <n v="0"/>
    <n v="8032"/>
    <x v="327"/>
    <s v="Cali"/>
  </r>
  <r>
    <d v="2021-04-16T00:00:00"/>
    <x v="4"/>
    <x v="0"/>
    <x v="0"/>
    <n v="-61808"/>
    <n v="0"/>
    <n v="61808"/>
    <x v="327"/>
    <s v="Cali"/>
  </r>
  <r>
    <m/>
    <x v="1"/>
    <x v="23"/>
    <x v="23"/>
    <m/>
    <m/>
    <m/>
    <x v="1"/>
    <m/>
  </r>
  <r>
    <d v="2021-04-16T00:00:00"/>
    <x v="4"/>
    <x v="1"/>
    <x v="1"/>
    <n v="35000000"/>
    <n v="35000000"/>
    <n v="0"/>
    <x v="328"/>
    <s v="Cali"/>
  </r>
  <r>
    <d v="2021-04-16T00:00:00"/>
    <x v="4"/>
    <x v="0"/>
    <x v="0"/>
    <n v="-35000000"/>
    <n v="0"/>
    <n v="35000000"/>
    <x v="328"/>
    <s v="Cali"/>
  </r>
  <r>
    <m/>
    <x v="1"/>
    <x v="23"/>
    <x v="23"/>
    <m/>
    <m/>
    <m/>
    <x v="1"/>
    <m/>
  </r>
  <r>
    <d v="2021-04-19T00:00:00"/>
    <x v="4"/>
    <x v="0"/>
    <x v="0"/>
    <n v="40000"/>
    <n v="40000"/>
    <n v="0"/>
    <x v="65"/>
    <s v="Cali"/>
  </r>
  <r>
    <d v="2021-04-19T00:00:00"/>
    <x v="4"/>
    <x v="29"/>
    <x v="29"/>
    <n v="-40000"/>
    <n v="0"/>
    <n v="40000"/>
    <x v="65"/>
    <s v="Cali"/>
  </r>
  <r>
    <m/>
    <x v="1"/>
    <x v="23"/>
    <x v="23"/>
    <m/>
    <m/>
    <m/>
    <x v="1"/>
    <m/>
  </r>
  <r>
    <d v="2021-04-19T00:00:00"/>
    <x v="4"/>
    <x v="0"/>
    <x v="0"/>
    <n v="500000"/>
    <n v="500000"/>
    <n v="0"/>
    <x v="329"/>
    <s v="Cali"/>
  </r>
  <r>
    <d v="2021-04-19T00:00:00"/>
    <x v="4"/>
    <x v="25"/>
    <x v="25"/>
    <n v="-500000"/>
    <n v="0"/>
    <n v="500000"/>
    <x v="329"/>
    <s v="Cali"/>
  </r>
  <r>
    <m/>
    <x v="1"/>
    <x v="23"/>
    <x v="23"/>
    <m/>
    <m/>
    <m/>
    <x v="1"/>
    <m/>
  </r>
  <r>
    <d v="2021-04-19T00:00:00"/>
    <x v="4"/>
    <x v="0"/>
    <x v="0"/>
    <n v="10000"/>
    <n v="10000"/>
    <n v="0"/>
    <x v="198"/>
    <s v="Cali"/>
  </r>
  <r>
    <d v="2021-04-19T00:00:00"/>
    <x v="4"/>
    <x v="27"/>
    <x v="27"/>
    <n v="-10000"/>
    <n v="0"/>
    <n v="10000"/>
    <x v="198"/>
    <s v="Cali"/>
  </r>
  <r>
    <m/>
    <x v="1"/>
    <x v="23"/>
    <x v="23"/>
    <m/>
    <m/>
    <m/>
    <x v="1"/>
    <m/>
  </r>
  <r>
    <d v="2021-04-19T00:00:00"/>
    <x v="4"/>
    <x v="0"/>
    <x v="0"/>
    <n v="2500"/>
    <n v="2500"/>
    <n v="0"/>
    <x v="177"/>
    <s v="Cali"/>
  </r>
  <r>
    <d v="2021-04-19T00:00:00"/>
    <x v="4"/>
    <x v="19"/>
    <x v="19"/>
    <n v="-2500"/>
    <n v="0"/>
    <n v="2500"/>
    <x v="177"/>
    <s v="Cali"/>
  </r>
  <r>
    <m/>
    <x v="1"/>
    <x v="23"/>
    <x v="23"/>
    <m/>
    <m/>
    <m/>
    <x v="1"/>
    <m/>
  </r>
  <r>
    <d v="2021-04-19T00:00:00"/>
    <x v="4"/>
    <x v="0"/>
    <x v="0"/>
    <n v="100000"/>
    <n v="100000"/>
    <n v="0"/>
    <x v="192"/>
    <s v="Cali"/>
  </r>
  <r>
    <d v="2021-04-19T00:00:00"/>
    <x v="4"/>
    <x v="26"/>
    <x v="26"/>
    <n v="-100000"/>
    <n v="0"/>
    <n v="100000"/>
    <x v="192"/>
    <s v="Cali"/>
  </r>
  <r>
    <m/>
    <x v="1"/>
    <x v="23"/>
    <x v="23"/>
    <m/>
    <m/>
    <m/>
    <x v="1"/>
    <m/>
  </r>
  <r>
    <d v="2021-04-19T00:00:00"/>
    <x v="4"/>
    <x v="0"/>
    <x v="0"/>
    <n v="46"/>
    <n v="46"/>
    <n v="0"/>
    <x v="330"/>
    <s v="Cali"/>
  </r>
  <r>
    <d v="2021-04-19T00:00:00"/>
    <x v="4"/>
    <x v="19"/>
    <x v="19"/>
    <n v="-46"/>
    <n v="0"/>
    <n v="46"/>
    <x v="330"/>
    <s v="Cali"/>
  </r>
  <r>
    <m/>
    <x v="1"/>
    <x v="23"/>
    <x v="23"/>
    <m/>
    <m/>
    <m/>
    <x v="1"/>
    <m/>
  </r>
  <r>
    <d v="2021-04-20T00:00:00"/>
    <x v="4"/>
    <x v="0"/>
    <x v="0"/>
    <n v="20000"/>
    <n v="20000"/>
    <n v="0"/>
    <x v="201"/>
    <s v="Cali"/>
  </r>
  <r>
    <d v="2021-04-20T00:00:00"/>
    <x v="4"/>
    <x v="25"/>
    <x v="25"/>
    <n v="-20000"/>
    <n v="0"/>
    <n v="20000"/>
    <x v="201"/>
    <s v="Cali"/>
  </r>
  <r>
    <m/>
    <x v="1"/>
    <x v="23"/>
    <x v="23"/>
    <m/>
    <m/>
    <m/>
    <x v="1"/>
    <m/>
  </r>
  <r>
    <d v="2021-04-20T00:00:00"/>
    <x v="4"/>
    <x v="49"/>
    <x v="49"/>
    <n v="1749"/>
    <n v="1749"/>
    <n v="0"/>
    <x v="331"/>
    <s v="Cali"/>
  </r>
  <r>
    <d v="2021-04-20T00:00:00"/>
    <x v="4"/>
    <x v="0"/>
    <x v="0"/>
    <n v="-1749"/>
    <n v="0"/>
    <n v="1749"/>
    <x v="331"/>
    <s v="Cali"/>
  </r>
  <r>
    <m/>
    <x v="1"/>
    <x v="23"/>
    <x v="23"/>
    <m/>
    <m/>
    <m/>
    <x v="1"/>
    <m/>
  </r>
  <r>
    <d v="2021-04-21T00:00:00"/>
    <x v="4"/>
    <x v="0"/>
    <x v="0"/>
    <n v="40000"/>
    <n v="40000"/>
    <n v="0"/>
    <x v="332"/>
    <s v="Cali"/>
  </r>
  <r>
    <d v="2021-04-21T00:00:00"/>
    <x v="4"/>
    <x v="19"/>
    <x v="19"/>
    <n v="-40000"/>
    <n v="0"/>
    <n v="40000"/>
    <x v="332"/>
    <s v="Cali"/>
  </r>
  <r>
    <m/>
    <x v="1"/>
    <x v="23"/>
    <x v="23"/>
    <m/>
    <m/>
    <m/>
    <x v="1"/>
    <m/>
  </r>
  <r>
    <d v="2021-04-23T00:00:00"/>
    <x v="4"/>
    <x v="0"/>
    <x v="0"/>
    <n v="100000"/>
    <n v="100000"/>
    <n v="0"/>
    <x v="273"/>
    <s v="Cali"/>
  </r>
  <r>
    <d v="2021-04-23T00:00:00"/>
    <x v="4"/>
    <x v="26"/>
    <x v="26"/>
    <n v="-100000"/>
    <n v="0"/>
    <n v="100000"/>
    <x v="273"/>
    <s v="Cali"/>
  </r>
  <r>
    <m/>
    <x v="1"/>
    <x v="23"/>
    <x v="23"/>
    <m/>
    <m/>
    <m/>
    <x v="1"/>
    <m/>
  </r>
  <r>
    <d v="2021-04-23T00:00:00"/>
    <x v="4"/>
    <x v="0"/>
    <x v="0"/>
    <n v="30000"/>
    <n v="30000"/>
    <n v="0"/>
    <x v="203"/>
    <s v="Cali"/>
  </r>
  <r>
    <d v="2021-04-23T00:00:00"/>
    <x v="4"/>
    <x v="27"/>
    <x v="27"/>
    <n v="-30000"/>
    <n v="0"/>
    <n v="30000"/>
    <x v="203"/>
    <s v="Cali"/>
  </r>
  <r>
    <m/>
    <x v="1"/>
    <x v="23"/>
    <x v="23"/>
    <m/>
    <m/>
    <m/>
    <x v="1"/>
    <m/>
  </r>
  <r>
    <d v="2021-04-23T00:00:00"/>
    <x v="4"/>
    <x v="0"/>
    <x v="0"/>
    <n v="100000"/>
    <n v="100000"/>
    <n v="0"/>
    <x v="333"/>
    <s v="Cali"/>
  </r>
  <r>
    <d v="2021-04-23T00:00:00"/>
    <x v="4"/>
    <x v="26"/>
    <x v="26"/>
    <n v="-100000"/>
    <n v="0"/>
    <n v="100000"/>
    <x v="333"/>
    <s v="Cali"/>
  </r>
  <r>
    <m/>
    <x v="1"/>
    <x v="23"/>
    <x v="23"/>
    <m/>
    <m/>
    <m/>
    <x v="1"/>
    <m/>
  </r>
  <r>
    <d v="2021-04-23T00:00:00"/>
    <x v="4"/>
    <x v="0"/>
    <x v="0"/>
    <n v="20000"/>
    <n v="20000"/>
    <n v="0"/>
    <x v="85"/>
    <s v="Cali"/>
  </r>
  <r>
    <d v="2021-04-23T00:00:00"/>
    <x v="4"/>
    <x v="25"/>
    <x v="25"/>
    <n v="-20000"/>
    <n v="0"/>
    <n v="20000"/>
    <x v="85"/>
    <s v="Cali"/>
  </r>
  <r>
    <m/>
    <x v="1"/>
    <x v="23"/>
    <x v="23"/>
    <m/>
    <m/>
    <m/>
    <x v="1"/>
    <m/>
  </r>
  <r>
    <d v="2021-04-26T00:00:00"/>
    <x v="4"/>
    <x v="0"/>
    <x v="0"/>
    <n v="30000"/>
    <n v="30000"/>
    <n v="0"/>
    <x v="266"/>
    <s v="Cali"/>
  </r>
  <r>
    <d v="2021-04-26T00:00:00"/>
    <x v="4"/>
    <x v="25"/>
    <x v="25"/>
    <n v="-30000"/>
    <n v="0"/>
    <n v="30000"/>
    <x v="266"/>
    <s v="Cali"/>
  </r>
  <r>
    <m/>
    <x v="1"/>
    <x v="23"/>
    <x v="23"/>
    <m/>
    <m/>
    <m/>
    <x v="1"/>
    <m/>
  </r>
  <r>
    <d v="2021-04-26T00:00:00"/>
    <x v="4"/>
    <x v="0"/>
    <x v="0"/>
    <n v="200000"/>
    <n v="200000"/>
    <n v="0"/>
    <x v="334"/>
    <s v="Cali"/>
  </r>
  <r>
    <d v="2021-04-26T00:00:00"/>
    <x v="4"/>
    <x v="25"/>
    <x v="25"/>
    <n v="-200000"/>
    <n v="0"/>
    <n v="200000"/>
    <x v="334"/>
    <s v="Cali"/>
  </r>
  <r>
    <m/>
    <x v="1"/>
    <x v="23"/>
    <x v="23"/>
    <m/>
    <m/>
    <m/>
    <x v="1"/>
    <m/>
  </r>
  <r>
    <d v="2021-04-26T00:00:00"/>
    <x v="4"/>
    <x v="0"/>
    <x v="0"/>
    <n v="50000"/>
    <n v="50000"/>
    <n v="0"/>
    <x v="335"/>
    <s v="Cali"/>
  </r>
  <r>
    <d v="2021-04-26T00:00:00"/>
    <x v="4"/>
    <x v="26"/>
    <x v="26"/>
    <n v="-50000"/>
    <n v="0"/>
    <n v="50000"/>
    <x v="335"/>
    <s v="Cali"/>
  </r>
  <r>
    <m/>
    <x v="1"/>
    <x v="23"/>
    <x v="23"/>
    <m/>
    <m/>
    <m/>
    <x v="1"/>
    <m/>
  </r>
  <r>
    <d v="2021-04-26T00:00:00"/>
    <x v="4"/>
    <x v="0"/>
    <x v="0"/>
    <n v="10000"/>
    <n v="10000"/>
    <n v="0"/>
    <x v="140"/>
    <s v="Cali"/>
  </r>
  <r>
    <d v="2021-04-26T00:00:00"/>
    <x v="4"/>
    <x v="19"/>
    <x v="19"/>
    <n v="-10000"/>
    <n v="0"/>
    <n v="10000"/>
    <x v="140"/>
    <s v="Cali"/>
  </r>
  <r>
    <m/>
    <x v="1"/>
    <x v="23"/>
    <x v="23"/>
    <m/>
    <m/>
    <m/>
    <x v="1"/>
    <m/>
  </r>
  <r>
    <d v="2021-04-26T00:00:00"/>
    <x v="4"/>
    <x v="0"/>
    <x v="0"/>
    <n v="10000"/>
    <n v="10000"/>
    <n v="0"/>
    <x v="206"/>
    <s v="Cali"/>
  </r>
  <r>
    <d v="2021-04-26T00:00:00"/>
    <x v="4"/>
    <x v="26"/>
    <x v="26"/>
    <n v="-10000"/>
    <n v="0"/>
    <n v="10000"/>
    <x v="206"/>
    <s v="Cali"/>
  </r>
  <r>
    <m/>
    <x v="1"/>
    <x v="23"/>
    <x v="23"/>
    <m/>
    <m/>
    <m/>
    <x v="1"/>
    <m/>
  </r>
  <r>
    <d v="2021-04-26T00:00:00"/>
    <x v="4"/>
    <x v="0"/>
    <x v="0"/>
    <n v="400000"/>
    <n v="400000"/>
    <n v="0"/>
    <x v="212"/>
    <s v="Cali"/>
  </r>
  <r>
    <d v="2021-04-26T00:00:00"/>
    <x v="4"/>
    <x v="26"/>
    <x v="26"/>
    <n v="-400000"/>
    <n v="0"/>
    <n v="400000"/>
    <x v="212"/>
    <s v="Cali"/>
  </r>
  <r>
    <m/>
    <x v="1"/>
    <x v="23"/>
    <x v="23"/>
    <m/>
    <m/>
    <m/>
    <x v="1"/>
    <m/>
  </r>
  <r>
    <d v="2021-04-26T00:00:00"/>
    <x v="4"/>
    <x v="0"/>
    <x v="0"/>
    <n v="2000"/>
    <n v="2000"/>
    <n v="0"/>
    <x v="177"/>
    <s v="Cali"/>
  </r>
  <r>
    <d v="2021-04-26T00:00:00"/>
    <x v="4"/>
    <x v="19"/>
    <x v="19"/>
    <n v="-2000"/>
    <n v="0"/>
    <n v="2000"/>
    <x v="177"/>
    <s v="Cali"/>
  </r>
  <r>
    <m/>
    <x v="1"/>
    <x v="23"/>
    <x v="23"/>
    <m/>
    <m/>
    <m/>
    <x v="1"/>
    <m/>
  </r>
  <r>
    <d v="2021-04-26T00:00:00"/>
    <x v="4"/>
    <x v="0"/>
    <x v="0"/>
    <n v="2208207"/>
    <n v="2208207"/>
    <n v="0"/>
    <x v="336"/>
    <s v="Cali"/>
  </r>
  <r>
    <d v="2021-04-26T00:00:00"/>
    <x v="4"/>
    <x v="44"/>
    <x v="44"/>
    <n v="-2208207"/>
    <n v="0"/>
    <n v="2208207"/>
    <x v="336"/>
    <s v="Cali"/>
  </r>
  <r>
    <m/>
    <x v="1"/>
    <x v="23"/>
    <x v="23"/>
    <m/>
    <m/>
    <m/>
    <x v="1"/>
    <m/>
  </r>
  <r>
    <d v="2021-04-26T00:00:00"/>
    <x v="4"/>
    <x v="0"/>
    <x v="0"/>
    <n v="1949783"/>
    <n v="1949783"/>
    <n v="0"/>
    <x v="337"/>
    <s v="Cali"/>
  </r>
  <r>
    <d v="2021-04-26T00:00:00"/>
    <x v="4"/>
    <x v="45"/>
    <x v="45"/>
    <n v="-1949783"/>
    <n v="0"/>
    <n v="1949783"/>
    <x v="337"/>
    <s v="Cali"/>
  </r>
  <r>
    <m/>
    <x v="1"/>
    <x v="23"/>
    <x v="23"/>
    <m/>
    <m/>
    <m/>
    <x v="1"/>
    <m/>
  </r>
  <r>
    <d v="2021-04-27T00:00:00"/>
    <x v="4"/>
    <x v="0"/>
    <x v="0"/>
    <n v="100000"/>
    <n v="100000"/>
    <n v="0"/>
    <x v="281"/>
    <s v="Cali"/>
  </r>
  <r>
    <d v="2021-04-27T00:00:00"/>
    <x v="4"/>
    <x v="26"/>
    <x v="26"/>
    <n v="-100000"/>
    <n v="0"/>
    <n v="100000"/>
    <x v="281"/>
    <s v="Cali"/>
  </r>
  <r>
    <m/>
    <x v="1"/>
    <x v="23"/>
    <x v="23"/>
    <m/>
    <m/>
    <m/>
    <x v="1"/>
    <m/>
  </r>
  <r>
    <d v="2021-04-27T00:00:00"/>
    <x v="4"/>
    <x v="0"/>
    <x v="0"/>
    <n v="10000"/>
    <n v="10000"/>
    <n v="0"/>
    <x v="277"/>
    <s v="Cali"/>
  </r>
  <r>
    <d v="2021-04-27T00:00:00"/>
    <x v="4"/>
    <x v="25"/>
    <x v="25"/>
    <n v="-10000"/>
    <n v="0"/>
    <n v="10000"/>
    <x v="277"/>
    <s v="Cali"/>
  </r>
  <r>
    <m/>
    <x v="1"/>
    <x v="23"/>
    <x v="23"/>
    <m/>
    <m/>
    <m/>
    <x v="1"/>
    <m/>
  </r>
  <r>
    <d v="2021-04-28T00:00:00"/>
    <x v="4"/>
    <x v="0"/>
    <x v="0"/>
    <n v="200000"/>
    <n v="200000"/>
    <n v="0"/>
    <x v="338"/>
    <s v="Cali"/>
  </r>
  <r>
    <d v="2021-04-28T00:00:00"/>
    <x v="4"/>
    <x v="27"/>
    <x v="27"/>
    <n v="-200000"/>
    <n v="0"/>
    <n v="200000"/>
    <x v="338"/>
    <s v="Cali"/>
  </r>
  <r>
    <m/>
    <x v="1"/>
    <x v="23"/>
    <x v="23"/>
    <m/>
    <m/>
    <m/>
    <x v="1"/>
    <m/>
  </r>
  <r>
    <d v="2021-04-28T00:00:00"/>
    <x v="4"/>
    <x v="13"/>
    <x v="13"/>
    <n v="4000000"/>
    <n v="4000000"/>
    <n v="0"/>
    <x v="339"/>
    <s v="Cali"/>
  </r>
  <r>
    <d v="2021-04-28T00:00:00"/>
    <x v="4"/>
    <x v="0"/>
    <x v="0"/>
    <n v="-4000000"/>
    <n v="0"/>
    <n v="4000000"/>
    <x v="339"/>
    <s v="Cali"/>
  </r>
  <r>
    <m/>
    <x v="1"/>
    <x v="23"/>
    <x v="23"/>
    <m/>
    <m/>
    <m/>
    <x v="1"/>
    <m/>
  </r>
  <r>
    <d v="2021-04-28T00:00:00"/>
    <x v="4"/>
    <x v="0"/>
    <x v="0"/>
    <n v="60000"/>
    <n v="60000"/>
    <n v="0"/>
    <x v="213"/>
    <s v="Cali"/>
  </r>
  <r>
    <d v="2021-04-28T00:00:00"/>
    <x v="4"/>
    <x v="29"/>
    <x v="29"/>
    <n v="-60000"/>
    <n v="0"/>
    <n v="60000"/>
    <x v="213"/>
    <s v="Cali"/>
  </r>
  <r>
    <m/>
    <x v="1"/>
    <x v="23"/>
    <x v="23"/>
    <m/>
    <m/>
    <m/>
    <x v="1"/>
    <m/>
  </r>
  <r>
    <d v="2021-04-28T00:00:00"/>
    <x v="4"/>
    <x v="0"/>
    <x v="0"/>
    <n v="73000"/>
    <n v="73000"/>
    <n v="0"/>
    <x v="240"/>
    <s v="Cali"/>
  </r>
  <r>
    <d v="2021-04-28T00:00:00"/>
    <x v="4"/>
    <x v="26"/>
    <x v="26"/>
    <n v="-73000"/>
    <n v="0"/>
    <n v="73000"/>
    <x v="240"/>
    <s v="Cali"/>
  </r>
  <r>
    <m/>
    <x v="1"/>
    <x v="23"/>
    <x v="23"/>
    <m/>
    <m/>
    <m/>
    <x v="1"/>
    <m/>
  </r>
  <r>
    <d v="2021-04-28T00:00:00"/>
    <x v="4"/>
    <x v="0"/>
    <x v="0"/>
    <n v="20000"/>
    <n v="20000"/>
    <n v="0"/>
    <x v="237"/>
    <s v="Cali"/>
  </r>
  <r>
    <d v="2021-04-28T00:00:00"/>
    <x v="4"/>
    <x v="19"/>
    <x v="19"/>
    <n v="-20000"/>
    <n v="0"/>
    <n v="20000"/>
    <x v="237"/>
    <s v="Cali"/>
  </r>
  <r>
    <m/>
    <x v="1"/>
    <x v="23"/>
    <x v="23"/>
    <m/>
    <m/>
    <m/>
    <x v="1"/>
    <m/>
  </r>
  <r>
    <d v="2021-04-28T00:00:00"/>
    <x v="4"/>
    <x v="0"/>
    <x v="0"/>
    <n v="10000"/>
    <n v="10000"/>
    <n v="0"/>
    <x v="236"/>
    <s v="Cali"/>
  </r>
  <r>
    <d v="2021-04-28T00:00:00"/>
    <x v="4"/>
    <x v="25"/>
    <x v="25"/>
    <n v="-10000"/>
    <n v="0"/>
    <n v="10000"/>
    <x v="236"/>
    <s v="Cali"/>
  </r>
  <r>
    <m/>
    <x v="1"/>
    <x v="23"/>
    <x v="23"/>
    <m/>
    <m/>
    <m/>
    <x v="1"/>
    <m/>
  </r>
  <r>
    <d v="2021-04-28T00:00:00"/>
    <x v="4"/>
    <x v="0"/>
    <x v="0"/>
    <n v="125000"/>
    <n v="125000"/>
    <n v="0"/>
    <x v="136"/>
    <s v="Cali"/>
  </r>
  <r>
    <d v="2021-04-28T00:00:00"/>
    <x v="4"/>
    <x v="26"/>
    <x v="26"/>
    <n v="-125000"/>
    <n v="0"/>
    <n v="125000"/>
    <x v="136"/>
    <s v="Cali"/>
  </r>
  <r>
    <m/>
    <x v="1"/>
    <x v="23"/>
    <x v="23"/>
    <m/>
    <m/>
    <m/>
    <x v="1"/>
    <m/>
  </r>
  <r>
    <d v="2021-04-28T00:00:00"/>
    <x v="4"/>
    <x v="0"/>
    <x v="0"/>
    <n v="40000"/>
    <n v="40000"/>
    <n v="0"/>
    <x v="10"/>
    <s v="Cali"/>
  </r>
  <r>
    <d v="2021-04-28T00:00:00"/>
    <x v="4"/>
    <x v="25"/>
    <x v="25"/>
    <n v="-40000"/>
    <n v="0"/>
    <n v="40000"/>
    <x v="10"/>
    <s v="Cali"/>
  </r>
  <r>
    <m/>
    <x v="1"/>
    <x v="23"/>
    <x v="23"/>
    <m/>
    <m/>
    <m/>
    <x v="1"/>
    <m/>
  </r>
  <r>
    <d v="2021-04-28T00:00:00"/>
    <x v="4"/>
    <x v="0"/>
    <x v="0"/>
    <n v="30000"/>
    <n v="30000"/>
    <n v="0"/>
    <x v="139"/>
    <s v="Cali"/>
  </r>
  <r>
    <d v="2021-04-28T00:00:00"/>
    <x v="4"/>
    <x v="25"/>
    <x v="25"/>
    <n v="-30000"/>
    <n v="0"/>
    <n v="30000"/>
    <x v="139"/>
    <s v="Cali"/>
  </r>
  <r>
    <m/>
    <x v="1"/>
    <x v="23"/>
    <x v="23"/>
    <m/>
    <m/>
    <m/>
    <x v="1"/>
    <m/>
  </r>
  <r>
    <d v="2021-04-28T00:00:00"/>
    <x v="4"/>
    <x v="0"/>
    <x v="0"/>
    <n v="100000"/>
    <n v="100000"/>
    <n v="0"/>
    <x v="340"/>
    <s v="Cali"/>
  </r>
  <r>
    <d v="2021-04-28T00:00:00"/>
    <x v="4"/>
    <x v="26"/>
    <x v="26"/>
    <n v="-100000"/>
    <n v="0"/>
    <n v="100000"/>
    <x v="340"/>
    <s v="Cali"/>
  </r>
  <r>
    <m/>
    <x v="1"/>
    <x v="23"/>
    <x v="23"/>
    <m/>
    <m/>
    <m/>
    <x v="1"/>
    <m/>
  </r>
  <r>
    <d v="2021-04-28T00:00:00"/>
    <x v="4"/>
    <x v="0"/>
    <x v="0"/>
    <n v="25000"/>
    <n v="25000"/>
    <n v="0"/>
    <x v="138"/>
    <s v="Cali"/>
  </r>
  <r>
    <d v="2021-04-28T00:00:00"/>
    <x v="4"/>
    <x v="27"/>
    <x v="27"/>
    <n v="-25000"/>
    <n v="0"/>
    <n v="25000"/>
    <x v="138"/>
    <s v="Cali"/>
  </r>
  <r>
    <m/>
    <x v="1"/>
    <x v="23"/>
    <x v="23"/>
    <m/>
    <m/>
    <m/>
    <x v="1"/>
    <m/>
  </r>
  <r>
    <d v="2021-04-28T00:00:00"/>
    <x v="4"/>
    <x v="0"/>
    <x v="0"/>
    <n v="14000"/>
    <n v="14000"/>
    <n v="0"/>
    <x v="65"/>
    <s v="Cali"/>
  </r>
  <r>
    <d v="2021-04-28T00:00:00"/>
    <x v="4"/>
    <x v="29"/>
    <x v="29"/>
    <n v="-14000"/>
    <n v="0"/>
    <n v="14000"/>
    <x v="65"/>
    <s v="Cali"/>
  </r>
  <r>
    <m/>
    <x v="1"/>
    <x v="23"/>
    <x v="23"/>
    <m/>
    <m/>
    <m/>
    <x v="1"/>
    <m/>
  </r>
  <r>
    <d v="2021-04-28T00:00:00"/>
    <x v="4"/>
    <x v="0"/>
    <x v="0"/>
    <n v="9490559"/>
    <n v="9490559"/>
    <n v="0"/>
    <x v="341"/>
    <s v="Cali"/>
  </r>
  <r>
    <d v="2021-04-28T00:00:00"/>
    <x v="4"/>
    <x v="5"/>
    <x v="5"/>
    <n v="-9490559"/>
    <n v="0"/>
    <n v="9490559"/>
    <x v="341"/>
    <s v="Cali"/>
  </r>
  <r>
    <m/>
    <x v="1"/>
    <x v="23"/>
    <x v="23"/>
    <m/>
    <m/>
    <m/>
    <x v="1"/>
    <m/>
  </r>
  <r>
    <d v="2021-04-28T00:00:00"/>
    <x v="4"/>
    <x v="0"/>
    <x v="0"/>
    <n v="462431"/>
    <n v="462431"/>
    <n v="0"/>
    <x v="341"/>
    <s v="Cali"/>
  </r>
  <r>
    <d v="2021-04-28T00:00:00"/>
    <x v="4"/>
    <x v="5"/>
    <x v="5"/>
    <n v="-462431"/>
    <n v="0"/>
    <n v="462431"/>
    <x v="341"/>
    <s v="Cali"/>
  </r>
  <r>
    <m/>
    <x v="1"/>
    <x v="23"/>
    <x v="23"/>
    <m/>
    <m/>
    <m/>
    <x v="1"/>
    <m/>
  </r>
  <r>
    <d v="2021-04-29T00:00:00"/>
    <x v="4"/>
    <x v="0"/>
    <x v="0"/>
    <n v="40000"/>
    <n v="40000"/>
    <n v="0"/>
    <x v="241"/>
    <s v="Cali"/>
  </r>
  <r>
    <d v="2021-04-29T00:00:00"/>
    <x v="4"/>
    <x v="26"/>
    <x v="26"/>
    <n v="-40000"/>
    <n v="0"/>
    <n v="40000"/>
    <x v="241"/>
    <s v="Cali"/>
  </r>
  <r>
    <m/>
    <x v="1"/>
    <x v="23"/>
    <x v="23"/>
    <m/>
    <m/>
    <m/>
    <x v="1"/>
    <m/>
  </r>
  <r>
    <d v="2021-04-29T00:00:00"/>
    <x v="4"/>
    <x v="0"/>
    <x v="0"/>
    <n v="60000"/>
    <n v="60000"/>
    <n v="0"/>
    <x v="238"/>
    <s v="Cali"/>
  </r>
  <r>
    <d v="2021-04-29T00:00:00"/>
    <x v="4"/>
    <x v="25"/>
    <x v="25"/>
    <n v="-60000"/>
    <n v="0"/>
    <n v="60000"/>
    <x v="238"/>
    <s v="Cali"/>
  </r>
  <r>
    <m/>
    <x v="1"/>
    <x v="23"/>
    <x v="23"/>
    <m/>
    <m/>
    <m/>
    <x v="1"/>
    <m/>
  </r>
  <r>
    <d v="2021-04-29T00:00:00"/>
    <x v="4"/>
    <x v="0"/>
    <x v="0"/>
    <n v="22000"/>
    <n v="22000"/>
    <n v="0"/>
    <x v="342"/>
    <s v="Cali"/>
  </r>
  <r>
    <d v="2021-04-29T00:00:00"/>
    <x v="4"/>
    <x v="25"/>
    <x v="25"/>
    <n v="-22000"/>
    <n v="0"/>
    <n v="22000"/>
    <x v="342"/>
    <s v="Cali"/>
  </r>
  <r>
    <m/>
    <x v="1"/>
    <x v="23"/>
    <x v="23"/>
    <m/>
    <m/>
    <m/>
    <x v="1"/>
    <m/>
  </r>
  <r>
    <d v="2021-04-29T00:00:00"/>
    <x v="4"/>
    <x v="0"/>
    <x v="0"/>
    <n v="50000"/>
    <n v="50000"/>
    <n v="0"/>
    <x v="343"/>
    <s v="Cali"/>
  </r>
  <r>
    <d v="2021-04-29T00:00:00"/>
    <x v="4"/>
    <x v="19"/>
    <x v="19"/>
    <n v="-50000"/>
    <n v="0"/>
    <n v="50000"/>
    <x v="343"/>
    <s v="Cali"/>
  </r>
  <r>
    <m/>
    <x v="1"/>
    <x v="23"/>
    <x v="23"/>
    <m/>
    <m/>
    <m/>
    <x v="1"/>
    <m/>
  </r>
  <r>
    <d v="2021-04-30T00:00:00"/>
    <x v="4"/>
    <x v="0"/>
    <x v="0"/>
    <n v="100000"/>
    <n v="100000"/>
    <n v="0"/>
    <x v="192"/>
    <s v="Cali"/>
  </r>
  <r>
    <d v="2021-04-30T00:00:00"/>
    <x v="4"/>
    <x v="26"/>
    <x v="26"/>
    <n v="-100000"/>
    <n v="0"/>
    <n v="100000"/>
    <x v="192"/>
    <s v="Cali"/>
  </r>
  <r>
    <m/>
    <x v="1"/>
    <x v="23"/>
    <x v="23"/>
    <m/>
    <m/>
    <m/>
    <x v="1"/>
    <m/>
  </r>
  <r>
    <d v="2021-04-30T00:00:00"/>
    <x v="4"/>
    <x v="0"/>
    <x v="0"/>
    <n v="50000"/>
    <n v="50000"/>
    <n v="0"/>
    <x v="135"/>
    <s v="Cali"/>
  </r>
  <r>
    <d v="2021-04-30T00:00:00"/>
    <x v="4"/>
    <x v="26"/>
    <x v="26"/>
    <n v="-50000"/>
    <n v="0"/>
    <n v="50000"/>
    <x v="135"/>
    <s v="Cali"/>
  </r>
  <r>
    <m/>
    <x v="1"/>
    <x v="23"/>
    <x v="23"/>
    <m/>
    <m/>
    <m/>
    <x v="1"/>
    <m/>
  </r>
  <r>
    <d v="2021-04-30T00:00:00"/>
    <x v="4"/>
    <x v="0"/>
    <x v="0"/>
    <n v="36000"/>
    <n v="36000"/>
    <n v="0"/>
    <x v="133"/>
    <s v="Cali"/>
  </r>
  <r>
    <d v="2021-04-30T00:00:00"/>
    <x v="4"/>
    <x v="25"/>
    <x v="25"/>
    <n v="-36000"/>
    <n v="0"/>
    <n v="36000"/>
    <x v="133"/>
    <s v="Cali"/>
  </r>
  <r>
    <m/>
    <x v="1"/>
    <x v="23"/>
    <x v="23"/>
    <m/>
    <m/>
    <m/>
    <x v="1"/>
    <m/>
  </r>
  <r>
    <d v="2021-04-30T00:00:00"/>
    <x v="4"/>
    <x v="0"/>
    <x v="0"/>
    <n v="100000"/>
    <n v="100000"/>
    <n v="0"/>
    <x v="134"/>
    <s v="Cali"/>
  </r>
  <r>
    <d v="2021-04-30T00:00:00"/>
    <x v="4"/>
    <x v="26"/>
    <x v="26"/>
    <n v="-100000"/>
    <n v="0"/>
    <n v="100000"/>
    <x v="134"/>
    <s v="Cali"/>
  </r>
  <r>
    <m/>
    <x v="1"/>
    <x v="23"/>
    <x v="23"/>
    <m/>
    <m/>
    <m/>
    <x v="1"/>
    <m/>
  </r>
  <r>
    <d v="2021-04-30T00:00:00"/>
    <x v="4"/>
    <x v="0"/>
    <x v="0"/>
    <n v="1857994"/>
    <n v="1857994"/>
    <n v="0"/>
    <x v="344"/>
    <s v="Cali"/>
  </r>
  <r>
    <d v="2021-04-30T00:00:00"/>
    <x v="4"/>
    <x v="26"/>
    <x v="26"/>
    <n v="-1857994"/>
    <n v="0"/>
    <n v="1857994"/>
    <x v="344"/>
    <s v="Cali"/>
  </r>
  <r>
    <m/>
    <x v="1"/>
    <x v="23"/>
    <x v="23"/>
    <m/>
    <m/>
    <m/>
    <x v="1"/>
    <m/>
  </r>
  <r>
    <d v="2021-04-30T00:00:00"/>
    <x v="4"/>
    <x v="0"/>
    <x v="0"/>
    <n v="10000"/>
    <n v="10000"/>
    <n v="0"/>
    <x v="308"/>
    <s v="Cali"/>
  </r>
  <r>
    <d v="2021-04-30T00:00:00"/>
    <x v="4"/>
    <x v="25"/>
    <x v="25"/>
    <n v="-10000"/>
    <n v="0"/>
    <n v="10000"/>
    <x v="308"/>
    <s v="Cali"/>
  </r>
  <r>
    <m/>
    <x v="1"/>
    <x v="23"/>
    <x v="23"/>
    <m/>
    <m/>
    <m/>
    <x v="1"/>
    <m/>
  </r>
  <r>
    <d v="2021-04-07T00:00:00"/>
    <x v="4"/>
    <x v="49"/>
    <x v="49"/>
    <n v="1058"/>
    <n v="1058"/>
    <n v="0"/>
    <x v="331"/>
    <s v="Cali"/>
  </r>
  <r>
    <d v="2021-04-07T00:00:00"/>
    <x v="4"/>
    <x v="1"/>
    <x v="1"/>
    <n v="-1058"/>
    <n v="0"/>
    <n v="1058"/>
    <x v="331"/>
    <s v="Cali"/>
  </r>
  <r>
    <m/>
    <x v="1"/>
    <x v="23"/>
    <x v="23"/>
    <m/>
    <m/>
    <m/>
    <x v="1"/>
    <m/>
  </r>
  <r>
    <d v="2021-04-07T00:00:00"/>
    <x v="4"/>
    <x v="49"/>
    <x v="49"/>
    <n v="201"/>
    <n v="201"/>
    <n v="0"/>
    <x v="331"/>
    <s v="Cali"/>
  </r>
  <r>
    <d v="2021-04-07T00:00:00"/>
    <x v="4"/>
    <x v="1"/>
    <x v="1"/>
    <n v="-201"/>
    <n v="0"/>
    <n v="201"/>
    <x v="331"/>
    <s v="Cali"/>
  </r>
  <r>
    <m/>
    <x v="1"/>
    <x v="23"/>
    <x v="23"/>
    <m/>
    <m/>
    <m/>
    <x v="1"/>
    <m/>
  </r>
  <r>
    <d v="2021-04-14T00:00:00"/>
    <x v="4"/>
    <x v="1"/>
    <x v="1"/>
    <n v="150000000"/>
    <n v="150000000"/>
    <n v="0"/>
    <x v="345"/>
    <s v="Cali"/>
  </r>
  <r>
    <d v="2021-04-14T00:00:00"/>
    <x v="4"/>
    <x v="3"/>
    <x v="3"/>
    <n v="-150000000"/>
    <n v="0"/>
    <n v="150000000"/>
    <x v="345"/>
    <s v="Cali"/>
  </r>
  <r>
    <m/>
    <x v="1"/>
    <x v="23"/>
    <x v="23"/>
    <m/>
    <m/>
    <m/>
    <x v="1"/>
    <m/>
  </r>
  <r>
    <d v="2021-04-16T00:00:00"/>
    <x v="4"/>
    <x v="11"/>
    <x v="11"/>
    <n v="-14567745"/>
    <n v="0"/>
    <n v="14567745"/>
    <x v="346"/>
    <s v="Cali"/>
  </r>
  <r>
    <d v="2021-04-16T00:00:00"/>
    <x v="4"/>
    <x v="8"/>
    <x v="8"/>
    <n v="169203783"/>
    <n v="169203783"/>
    <n v="0"/>
    <x v="347"/>
    <s v="Cali"/>
  </r>
  <r>
    <d v="2021-04-16T00:00:00"/>
    <x v="4"/>
    <x v="18"/>
    <x v="18"/>
    <n v="-7283730"/>
    <n v="0"/>
    <n v="7283730"/>
    <x v="348"/>
    <s v="Cali"/>
  </r>
  <r>
    <d v="2021-04-16T00:00:00"/>
    <x v="4"/>
    <x v="48"/>
    <x v="48"/>
    <n v="-147352308"/>
    <n v="0"/>
    <n v="147352308"/>
    <x v="129"/>
    <s v="Cali"/>
  </r>
  <r>
    <m/>
    <x v="1"/>
    <x v="23"/>
    <x v="23"/>
    <m/>
    <m/>
    <m/>
    <x v="1"/>
    <m/>
  </r>
  <r>
    <d v="2021-04-16T00:00:00"/>
    <x v="4"/>
    <x v="48"/>
    <x v="48"/>
    <n v="147352308"/>
    <n v="147352308"/>
    <n v="0"/>
    <x v="349"/>
    <s v="Cali"/>
  </r>
  <r>
    <d v="2021-04-16T00:00:00"/>
    <x v="4"/>
    <x v="1"/>
    <x v="1"/>
    <n v="-147352308"/>
    <n v="0"/>
    <n v="147352308"/>
    <x v="349"/>
    <s v="Cali"/>
  </r>
  <r>
    <m/>
    <x v="1"/>
    <x v="23"/>
    <x v="23"/>
    <m/>
    <m/>
    <m/>
    <x v="1"/>
    <m/>
  </r>
  <r>
    <d v="2021-04-16T00:00:00"/>
    <x v="4"/>
    <x v="12"/>
    <x v="12"/>
    <n v="4261968"/>
    <n v="4261968"/>
    <n v="0"/>
    <x v="350"/>
    <s v="Cali"/>
  </r>
  <r>
    <d v="2021-04-16T00:00:00"/>
    <x v="4"/>
    <x v="1"/>
    <x v="1"/>
    <n v="-4261968"/>
    <n v="0"/>
    <n v="4261968"/>
    <x v="350"/>
    <s v="Cali"/>
  </r>
  <r>
    <m/>
    <x v="1"/>
    <x v="23"/>
    <x v="23"/>
    <m/>
    <m/>
    <m/>
    <x v="1"/>
    <m/>
  </r>
  <r>
    <d v="2021-04-16T00:00:00"/>
    <x v="4"/>
    <x v="12"/>
    <x v="12"/>
    <n v="559037"/>
    <n v="559037"/>
    <n v="0"/>
    <x v="351"/>
    <s v="Cali"/>
  </r>
  <r>
    <d v="2021-04-16T00:00:00"/>
    <x v="4"/>
    <x v="17"/>
    <x v="17"/>
    <n v="-64289"/>
    <n v="0"/>
    <n v="64289"/>
    <x v="351"/>
    <s v="Cali"/>
  </r>
  <r>
    <d v="2021-04-16T00:00:00"/>
    <x v="4"/>
    <x v="1"/>
    <x v="1"/>
    <n v="-494748"/>
    <n v="0"/>
    <n v="494748"/>
    <x v="351"/>
    <s v="Cali"/>
  </r>
  <r>
    <m/>
    <x v="1"/>
    <x v="23"/>
    <x v="23"/>
    <m/>
    <m/>
    <m/>
    <x v="1"/>
    <m/>
  </r>
  <r>
    <d v="2021-04-19T00:00:00"/>
    <x v="4"/>
    <x v="31"/>
    <x v="31"/>
    <n v="730390"/>
    <n v="730390"/>
    <n v="0"/>
    <x v="352"/>
    <s v="Cali"/>
  </r>
  <r>
    <d v="2021-04-19T00:00:00"/>
    <x v="4"/>
    <x v="51"/>
    <x v="51"/>
    <n v="-730390"/>
    <n v="0"/>
    <n v="730390"/>
    <x v="352"/>
    <s v="Cali"/>
  </r>
  <r>
    <m/>
    <x v="1"/>
    <x v="23"/>
    <x v="23"/>
    <m/>
    <m/>
    <m/>
    <x v="1"/>
    <m/>
  </r>
  <r>
    <d v="2021-04-30T00:00:00"/>
    <x v="4"/>
    <x v="32"/>
    <x v="32"/>
    <n v="-556000"/>
    <n v="0"/>
    <n v="556000"/>
    <x v="353"/>
    <s v="Cali"/>
  </r>
  <r>
    <d v="2021-04-30T00:00:00"/>
    <x v="4"/>
    <x v="33"/>
    <x v="33"/>
    <n v="0"/>
    <n v="0"/>
    <n v="0"/>
    <x v="353"/>
    <s v="Cali"/>
  </r>
  <r>
    <d v="2021-04-30T00:00:00"/>
    <x v="4"/>
    <x v="34"/>
    <x v="34"/>
    <n v="-1556020"/>
    <n v="0"/>
    <n v="1556020"/>
    <x v="353"/>
    <s v="Cali"/>
  </r>
  <r>
    <d v="2021-04-30T00:00:00"/>
    <x v="4"/>
    <x v="35"/>
    <x v="35"/>
    <n v="-2496000"/>
    <n v="0"/>
    <n v="2496000"/>
    <x v="353"/>
    <s v="Cali"/>
  </r>
  <r>
    <d v="2021-04-30T00:00:00"/>
    <x v="4"/>
    <x v="36"/>
    <x v="36"/>
    <n v="-4190600"/>
    <n v="0"/>
    <n v="4190600"/>
    <x v="353"/>
    <s v="Cali"/>
  </r>
  <r>
    <d v="2021-04-30T00:00:00"/>
    <x v="4"/>
    <x v="37"/>
    <x v="37"/>
    <n v="-5882258"/>
    <n v="0"/>
    <n v="5882258"/>
    <x v="353"/>
    <s v="Cali"/>
  </r>
  <r>
    <d v="2021-04-30T00:00:00"/>
    <x v="4"/>
    <x v="29"/>
    <x v="29"/>
    <n v="556000"/>
    <n v="556000"/>
    <n v="0"/>
    <x v="353"/>
    <s v="Cali"/>
  </r>
  <r>
    <d v="2021-04-30T00:00:00"/>
    <x v="4"/>
    <x v="27"/>
    <x v="27"/>
    <n v="1556020"/>
    <n v="1556020"/>
    <n v="0"/>
    <x v="353"/>
    <s v="Cali"/>
  </r>
  <r>
    <d v="2021-04-30T00:00:00"/>
    <x v="4"/>
    <x v="25"/>
    <x v="25"/>
    <n v="2496000"/>
    <n v="2496000"/>
    <n v="0"/>
    <x v="353"/>
    <s v="Cali"/>
  </r>
  <r>
    <d v="2021-04-30T00:00:00"/>
    <x v="4"/>
    <x v="5"/>
    <x v="5"/>
    <n v="10072858"/>
    <n v="10072858"/>
    <n v="0"/>
    <x v="353"/>
    <s v="Cali"/>
  </r>
  <r>
    <d v="2021-04-30T00:00:00"/>
    <x v="4"/>
    <x v="15"/>
    <x v="15"/>
    <n v="-3294506"/>
    <n v="0"/>
    <n v="3294506"/>
    <x v="353"/>
    <s v="Cali"/>
  </r>
  <r>
    <d v="2021-04-30T00:00:00"/>
    <x v="4"/>
    <x v="38"/>
    <x v="38"/>
    <n v="3294506"/>
    <n v="3294506"/>
    <n v="0"/>
    <x v="353"/>
    <s v="Cali"/>
  </r>
  <r>
    <d v="2021-04-30T00:00:00"/>
    <x v="4"/>
    <x v="16"/>
    <x v="16"/>
    <n v="-66720"/>
    <n v="0"/>
    <n v="66720"/>
    <x v="353"/>
    <s v="Cali"/>
  </r>
  <r>
    <d v="2021-04-30T00:00:00"/>
    <x v="4"/>
    <x v="14"/>
    <x v="14"/>
    <n v="-146809"/>
    <n v="0"/>
    <n v="146809"/>
    <x v="353"/>
    <s v="Cali"/>
  </r>
  <r>
    <d v="2021-04-30T00:00:00"/>
    <x v="4"/>
    <x v="39"/>
    <x v="39"/>
    <n v="66720"/>
    <n v="66720"/>
    <n v="0"/>
    <x v="353"/>
    <s v="Cali"/>
  </r>
  <r>
    <d v="2021-04-30T00:00:00"/>
    <x v="4"/>
    <x v="40"/>
    <x v="40"/>
    <n v="146809"/>
    <n v="146809"/>
    <n v="0"/>
    <x v="353"/>
    <s v="Cali"/>
  </r>
  <r>
    <d v="2021-04-30T00:00:00"/>
    <x v="4"/>
    <x v="41"/>
    <x v="41"/>
    <n v="-5991290"/>
    <n v="0"/>
    <n v="5991290"/>
    <x v="353"/>
    <s v="Cali"/>
  </r>
  <r>
    <d v="2021-04-30T00:00:00"/>
    <x v="4"/>
    <x v="42"/>
    <x v="42"/>
    <n v="-2020500"/>
    <n v="0"/>
    <n v="2020500"/>
    <x v="353"/>
    <s v="Cali"/>
  </r>
  <r>
    <d v="2021-04-30T00:00:00"/>
    <x v="4"/>
    <x v="43"/>
    <x v="43"/>
    <n v="410830"/>
    <n v="410830"/>
    <n v="0"/>
    <x v="353"/>
    <s v="Cali"/>
  </r>
  <r>
    <d v="2021-04-30T00:00:00"/>
    <x v="4"/>
    <x v="43"/>
    <x v="43"/>
    <n v="50513"/>
    <n v="50513"/>
    <n v="0"/>
    <x v="353"/>
    <s v="Cali"/>
  </r>
  <r>
    <d v="2021-04-30T00:00:00"/>
    <x v="4"/>
    <x v="38"/>
    <x v="38"/>
    <n v="3312328"/>
    <n v="3312328"/>
    <n v="0"/>
    <x v="353"/>
    <s v="Cali"/>
  </r>
  <r>
    <d v="2021-04-30T00:00:00"/>
    <x v="4"/>
    <x v="40"/>
    <x v="40"/>
    <n v="59913"/>
    <n v="59913"/>
    <n v="0"/>
    <x v="353"/>
    <s v="Cali"/>
  </r>
  <r>
    <d v="2021-04-30T00:00:00"/>
    <x v="4"/>
    <x v="40"/>
    <x v="40"/>
    <n v="20205"/>
    <n v="20205"/>
    <n v="0"/>
    <x v="353"/>
    <s v="Cali"/>
  </r>
  <r>
    <d v="2021-04-30T00:00:00"/>
    <x v="4"/>
    <x v="44"/>
    <x v="44"/>
    <n v="2208219"/>
    <n v="2208219"/>
    <n v="0"/>
    <x v="353"/>
    <s v="Cali"/>
  </r>
  <r>
    <d v="2021-04-30T00:00:00"/>
    <x v="4"/>
    <x v="45"/>
    <x v="45"/>
    <n v="1949782"/>
    <n v="1949782"/>
    <n v="0"/>
    <x v="353"/>
    <s v="Cali"/>
  </r>
  <r>
    <d v="2021-04-30T00:00:00"/>
    <x v="4"/>
    <x v="5"/>
    <x v="5"/>
    <n v="-119867"/>
    <n v="0"/>
    <n v="119867"/>
    <x v="353"/>
    <s v="Cali"/>
  </r>
  <r>
    <d v="2021-04-30T00:00:00"/>
    <x v="4"/>
    <x v="30"/>
    <x v="30"/>
    <n v="119867"/>
    <n v="119867"/>
    <n v="0"/>
    <x v="353"/>
    <s v="Cali"/>
  </r>
  <r>
    <m/>
    <x v="1"/>
    <x v="23"/>
    <x v="23"/>
    <m/>
    <m/>
    <m/>
    <x v="1"/>
    <m/>
  </r>
  <r>
    <d v="2021-04-30T00:00:00"/>
    <x v="4"/>
    <x v="13"/>
    <x v="13"/>
    <n v="200000"/>
    <n v="200000"/>
    <m/>
    <x v="354"/>
    <s v="Cali"/>
  </r>
  <r>
    <d v="2021-04-30T00:00:00"/>
    <x v="4"/>
    <x v="13"/>
    <x v="13"/>
    <n v="15000"/>
    <n v="15000"/>
    <m/>
    <x v="222"/>
    <s v="Cali"/>
  </r>
  <r>
    <d v="2021-04-30T00:00:00"/>
    <x v="4"/>
    <x v="13"/>
    <x v="13"/>
    <n v="20000"/>
    <n v="20000"/>
    <m/>
    <x v="355"/>
    <s v="Cali"/>
  </r>
  <r>
    <d v="2021-04-30T00:00:00"/>
    <x v="4"/>
    <x v="13"/>
    <x v="13"/>
    <n v="40000"/>
    <n v="40000"/>
    <m/>
    <x v="356"/>
    <s v="Cali"/>
  </r>
  <r>
    <d v="2021-04-30T00:00:00"/>
    <x v="4"/>
    <x v="13"/>
    <x v="13"/>
    <n v="50000"/>
    <n v="50000"/>
    <m/>
    <x v="357"/>
    <s v="Cali"/>
  </r>
  <r>
    <d v="2021-04-30T00:00:00"/>
    <x v="4"/>
    <x v="13"/>
    <x v="13"/>
    <n v="100000"/>
    <n v="100000"/>
    <m/>
    <x v="220"/>
    <s v="Cali"/>
  </r>
  <r>
    <d v="2021-04-30T00:00:00"/>
    <x v="4"/>
    <x v="13"/>
    <x v="13"/>
    <n v="20000"/>
    <n v="20000"/>
    <m/>
    <x v="358"/>
    <s v="Cali"/>
  </r>
  <r>
    <d v="2021-04-30T00:00:00"/>
    <x v="4"/>
    <x v="13"/>
    <x v="13"/>
    <n v="30000"/>
    <n v="30000"/>
    <m/>
    <x v="359"/>
    <s v="Cali"/>
  </r>
  <r>
    <d v="2021-04-30T00:00:00"/>
    <x v="4"/>
    <x v="13"/>
    <x v="13"/>
    <n v="20000"/>
    <n v="20000"/>
    <m/>
    <x v="360"/>
    <s v="Cali"/>
  </r>
  <r>
    <d v="2021-04-30T00:00:00"/>
    <x v="4"/>
    <x v="13"/>
    <x v="13"/>
    <n v="20020"/>
    <n v="20020"/>
    <m/>
    <x v="321"/>
    <s v="Cali"/>
  </r>
  <r>
    <d v="2021-04-30T00:00:00"/>
    <x v="4"/>
    <x v="13"/>
    <x v="13"/>
    <n v="15000"/>
    <n v="15000"/>
    <m/>
    <x v="361"/>
    <s v="Cali"/>
  </r>
  <r>
    <d v="2021-04-30T00:00:00"/>
    <x v="4"/>
    <x v="13"/>
    <x v="13"/>
    <n v="30000"/>
    <n v="30000"/>
    <m/>
    <x v="304"/>
    <s v="Cali"/>
  </r>
  <r>
    <d v="2021-04-30T00:00:00"/>
    <x v="4"/>
    <x v="26"/>
    <x v="26"/>
    <n v="-200000"/>
    <n v="0"/>
    <n v="200000"/>
    <x v="354"/>
    <s v="Cali"/>
  </r>
  <r>
    <d v="2021-04-30T00:00:00"/>
    <x v="4"/>
    <x v="25"/>
    <x v="25"/>
    <n v="-15000"/>
    <n v="0"/>
    <n v="15000"/>
    <x v="222"/>
    <s v="Cali"/>
  </r>
  <r>
    <d v="2021-04-30T00:00:00"/>
    <x v="4"/>
    <x v="26"/>
    <x v="26"/>
    <n v="-20000"/>
    <n v="0"/>
    <n v="20000"/>
    <x v="355"/>
    <s v="Cali"/>
  </r>
  <r>
    <d v="2021-04-30T00:00:00"/>
    <x v="4"/>
    <x v="25"/>
    <x v="25"/>
    <n v="-40000"/>
    <n v="0"/>
    <n v="40000"/>
    <x v="356"/>
    <s v="Cali"/>
  </r>
  <r>
    <d v="2021-04-30T00:00:00"/>
    <x v="4"/>
    <x v="26"/>
    <x v="26"/>
    <n v="-50000"/>
    <n v="0"/>
    <n v="50000"/>
    <x v="357"/>
    <s v="Cali"/>
  </r>
  <r>
    <d v="2021-04-30T00:00:00"/>
    <x v="4"/>
    <x v="25"/>
    <x v="25"/>
    <n v="-100000"/>
    <n v="0"/>
    <n v="100000"/>
    <x v="220"/>
    <s v="Cali"/>
  </r>
  <r>
    <d v="2021-04-30T00:00:00"/>
    <x v="4"/>
    <x v="26"/>
    <x v="26"/>
    <n v="-20000"/>
    <n v="0"/>
    <n v="20000"/>
    <x v="358"/>
    <s v="Cali"/>
  </r>
  <r>
    <d v="2021-04-30T00:00:00"/>
    <x v="4"/>
    <x v="25"/>
    <x v="25"/>
    <n v="-30000"/>
    <n v="0"/>
    <n v="30000"/>
    <x v="359"/>
    <s v="Cali"/>
  </r>
  <r>
    <d v="2021-04-30T00:00:00"/>
    <x v="4"/>
    <x v="26"/>
    <x v="26"/>
    <n v="-20000"/>
    <n v="0"/>
    <n v="20000"/>
    <x v="360"/>
    <s v="Cali"/>
  </r>
  <r>
    <d v="2021-04-30T00:00:00"/>
    <x v="4"/>
    <x v="27"/>
    <x v="27"/>
    <n v="-20020"/>
    <n v="0"/>
    <n v="20020"/>
    <x v="321"/>
    <s v="Cali"/>
  </r>
  <r>
    <d v="2021-04-30T00:00:00"/>
    <x v="4"/>
    <x v="26"/>
    <x v="26"/>
    <n v="-15000"/>
    <n v="0"/>
    <n v="15000"/>
    <x v="361"/>
    <s v="Cali"/>
  </r>
  <r>
    <d v="2021-04-30T00:00:00"/>
    <x v="4"/>
    <x v="25"/>
    <x v="25"/>
    <n v="-30000"/>
    <n v="0"/>
    <n v="30000"/>
    <x v="304"/>
    <s v="Cali"/>
  </r>
  <r>
    <m/>
    <x v="1"/>
    <x v="23"/>
    <x v="23"/>
    <m/>
    <m/>
    <m/>
    <x v="1"/>
    <m/>
  </r>
  <r>
    <d v="2021-04-30T00:00:00"/>
    <x v="4"/>
    <x v="46"/>
    <x v="46"/>
    <n v="0"/>
    <n v="0"/>
    <n v="0"/>
    <x v="110"/>
    <s v="Cali"/>
  </r>
  <r>
    <d v="2021-04-30T00:00:00"/>
    <x v="4"/>
    <x v="47"/>
    <x v="47"/>
    <n v="0"/>
    <n v="0"/>
    <n v="0"/>
    <x v="110"/>
    <s v="Cali"/>
  </r>
  <r>
    <m/>
    <x v="1"/>
    <x v="23"/>
    <x v="23"/>
    <m/>
    <m/>
    <m/>
    <x v="1"/>
    <m/>
  </r>
  <r>
    <d v="2021-04-30T00:00:00"/>
    <x v="4"/>
    <x v="2"/>
    <x v="2"/>
    <n v="520326"/>
    <n v="520326"/>
    <n v="0"/>
    <x v="111"/>
    <s v="Cali"/>
  </r>
  <r>
    <d v="2021-04-30T00:00:00"/>
    <x v="4"/>
    <x v="47"/>
    <x v="47"/>
    <n v="-520326"/>
    <n v="0"/>
    <n v="520326"/>
    <x v="111"/>
    <s v="Cali"/>
  </r>
  <r>
    <m/>
    <x v="1"/>
    <x v="23"/>
    <x v="23"/>
    <m/>
    <m/>
    <m/>
    <x v="1"/>
    <m/>
  </r>
  <r>
    <d v="2021-04-30T00:00:00"/>
    <x v="4"/>
    <x v="3"/>
    <x v="3"/>
    <n v="3233"/>
    <n v="3233"/>
    <n v="0"/>
    <x v="112"/>
    <s v="Cali"/>
  </r>
  <r>
    <d v="2021-04-30T00:00:00"/>
    <x v="4"/>
    <x v="47"/>
    <x v="47"/>
    <n v="-3233"/>
    <n v="0"/>
    <n v="3233"/>
    <x v="112"/>
    <s v="Cali"/>
  </r>
  <r>
    <m/>
    <x v="1"/>
    <x v="23"/>
    <x v="23"/>
    <m/>
    <m/>
    <m/>
    <x v="1"/>
    <m/>
  </r>
  <r>
    <d v="2021-04-30T00:00:00"/>
    <x v="4"/>
    <x v="53"/>
    <x v="53"/>
    <n v="12000"/>
    <n v="12000"/>
    <n v="0"/>
    <x v="305"/>
    <s v="Cali"/>
  </r>
  <r>
    <d v="2021-04-30T00:00:00"/>
    <x v="4"/>
    <x v="47"/>
    <x v="47"/>
    <n v="-12000"/>
    <n v="0"/>
    <n v="12000"/>
    <x v="305"/>
    <s v="Cali"/>
  </r>
  <r>
    <m/>
    <x v="1"/>
    <x v="23"/>
    <x v="23"/>
    <m/>
    <m/>
    <m/>
    <x v="1"/>
    <m/>
  </r>
  <r>
    <d v="2021-05-03T00:00:00"/>
    <x v="5"/>
    <x v="0"/>
    <x v="0"/>
    <n v="15000"/>
    <n v="15000"/>
    <n v="0"/>
    <x v="137"/>
    <s v="Cali"/>
  </r>
  <r>
    <d v="2021-05-03T00:00:00"/>
    <x v="5"/>
    <x v="26"/>
    <x v="26"/>
    <n v="-15000"/>
    <n v="0"/>
    <n v="15000"/>
    <x v="137"/>
    <s v="Cali"/>
  </r>
  <r>
    <m/>
    <x v="1"/>
    <x v="23"/>
    <x v="23"/>
    <m/>
    <m/>
    <m/>
    <x v="1"/>
    <m/>
  </r>
  <r>
    <d v="2021-05-03T00:00:00"/>
    <x v="5"/>
    <x v="0"/>
    <x v="0"/>
    <n v="30000"/>
    <n v="30000"/>
    <n v="0"/>
    <x v="362"/>
    <s v="Cali"/>
  </r>
  <r>
    <d v="2021-05-03T00:00:00"/>
    <x v="5"/>
    <x v="29"/>
    <x v="29"/>
    <n v="-30000"/>
    <n v="0"/>
    <n v="30000"/>
    <x v="362"/>
    <s v="Cali"/>
  </r>
  <r>
    <m/>
    <x v="1"/>
    <x v="23"/>
    <x v="23"/>
    <m/>
    <m/>
    <m/>
    <x v="1"/>
    <m/>
  </r>
  <r>
    <d v="2021-05-03T00:00:00"/>
    <x v="5"/>
    <x v="0"/>
    <x v="0"/>
    <n v="100000"/>
    <n v="100000"/>
    <n v="0"/>
    <x v="363"/>
    <s v="Cali"/>
  </r>
  <r>
    <d v="2021-05-03T00:00:00"/>
    <x v="5"/>
    <x v="25"/>
    <x v="25"/>
    <n v="-100000"/>
    <n v="0"/>
    <n v="100000"/>
    <x v="363"/>
    <s v="Cali"/>
  </r>
  <r>
    <m/>
    <x v="1"/>
    <x v="23"/>
    <x v="23"/>
    <m/>
    <m/>
    <m/>
    <x v="1"/>
    <m/>
  </r>
  <r>
    <d v="2021-05-03T00:00:00"/>
    <x v="5"/>
    <x v="0"/>
    <x v="0"/>
    <n v="20000"/>
    <n v="20000"/>
    <n v="0"/>
    <x v="132"/>
    <s v="Cali"/>
  </r>
  <r>
    <d v="2021-05-03T00:00:00"/>
    <x v="5"/>
    <x v="25"/>
    <x v="25"/>
    <n v="-20000"/>
    <n v="0"/>
    <n v="20000"/>
    <x v="132"/>
    <s v="Cali"/>
  </r>
  <r>
    <m/>
    <x v="1"/>
    <x v="23"/>
    <x v="23"/>
    <m/>
    <m/>
    <m/>
    <x v="1"/>
    <m/>
  </r>
  <r>
    <d v="2021-05-03T00:00:00"/>
    <x v="5"/>
    <x v="0"/>
    <x v="0"/>
    <n v="48000"/>
    <n v="48000"/>
    <n v="0"/>
    <x v="144"/>
    <s v="Cali"/>
  </r>
  <r>
    <d v="2021-05-03T00:00:00"/>
    <x v="5"/>
    <x v="27"/>
    <x v="27"/>
    <n v="-48000"/>
    <n v="0"/>
    <n v="48000"/>
    <x v="144"/>
    <s v="Cali"/>
  </r>
  <r>
    <m/>
    <x v="1"/>
    <x v="23"/>
    <x v="23"/>
    <m/>
    <m/>
    <m/>
    <x v="1"/>
    <m/>
  </r>
  <r>
    <d v="2021-05-03T00:00:00"/>
    <x v="5"/>
    <x v="0"/>
    <x v="0"/>
    <n v="40000"/>
    <n v="40000"/>
    <n v="0"/>
    <x v="145"/>
    <s v="Cali"/>
  </r>
  <r>
    <d v="2021-05-03T00:00:00"/>
    <x v="5"/>
    <x v="25"/>
    <x v="25"/>
    <n v="-40000"/>
    <n v="0"/>
    <n v="40000"/>
    <x v="145"/>
    <s v="Cali"/>
  </r>
  <r>
    <m/>
    <x v="1"/>
    <x v="23"/>
    <x v="23"/>
    <m/>
    <m/>
    <m/>
    <x v="1"/>
    <m/>
  </r>
  <r>
    <d v="2021-05-03T00:00:00"/>
    <x v="5"/>
    <x v="0"/>
    <x v="0"/>
    <n v="20000"/>
    <n v="20000"/>
    <n v="0"/>
    <x v="17"/>
    <s v="Cali"/>
  </r>
  <r>
    <d v="2021-05-03T00:00:00"/>
    <x v="5"/>
    <x v="25"/>
    <x v="25"/>
    <n v="-20000"/>
    <n v="0"/>
    <n v="20000"/>
    <x v="17"/>
    <s v="Cali"/>
  </r>
  <r>
    <m/>
    <x v="1"/>
    <x v="23"/>
    <x v="23"/>
    <m/>
    <m/>
    <m/>
    <x v="1"/>
    <m/>
  </r>
  <r>
    <d v="2021-05-03T00:00:00"/>
    <x v="5"/>
    <x v="0"/>
    <x v="0"/>
    <n v="50000"/>
    <n v="50000"/>
    <n v="0"/>
    <x v="19"/>
    <s v="Cali"/>
  </r>
  <r>
    <d v="2021-05-03T00:00:00"/>
    <x v="5"/>
    <x v="25"/>
    <x v="25"/>
    <n v="-50000"/>
    <n v="0"/>
    <n v="50000"/>
    <x v="19"/>
    <s v="Cali"/>
  </r>
  <r>
    <m/>
    <x v="1"/>
    <x v="23"/>
    <x v="23"/>
    <m/>
    <m/>
    <m/>
    <x v="1"/>
    <m/>
  </r>
  <r>
    <d v="2021-05-03T00:00:00"/>
    <x v="5"/>
    <x v="0"/>
    <x v="0"/>
    <n v="15000"/>
    <n v="15000"/>
    <n v="0"/>
    <x v="364"/>
    <s v="Cali"/>
  </r>
  <r>
    <d v="2021-05-03T00:00:00"/>
    <x v="5"/>
    <x v="25"/>
    <x v="25"/>
    <n v="-15000"/>
    <n v="0"/>
    <n v="15000"/>
    <x v="364"/>
    <s v="Cali"/>
  </r>
  <r>
    <m/>
    <x v="1"/>
    <x v="23"/>
    <x v="23"/>
    <m/>
    <m/>
    <m/>
    <x v="1"/>
    <m/>
  </r>
  <r>
    <d v="2021-05-03T00:00:00"/>
    <x v="5"/>
    <x v="0"/>
    <x v="0"/>
    <n v="20000"/>
    <n v="20000"/>
    <n v="0"/>
    <x v="146"/>
    <s v="Cali"/>
  </r>
  <r>
    <d v="2021-05-03T00:00:00"/>
    <x v="5"/>
    <x v="26"/>
    <x v="26"/>
    <n v="-20000"/>
    <n v="0"/>
    <n v="20000"/>
    <x v="146"/>
    <s v="Cali"/>
  </r>
  <r>
    <m/>
    <x v="1"/>
    <x v="23"/>
    <x v="23"/>
    <m/>
    <m/>
    <m/>
    <x v="1"/>
    <m/>
  </r>
  <r>
    <d v="2021-05-03T00:00:00"/>
    <x v="5"/>
    <x v="0"/>
    <x v="0"/>
    <n v="30000"/>
    <n v="30000"/>
    <n v="0"/>
    <x v="147"/>
    <s v="Cali"/>
  </r>
  <r>
    <d v="2021-05-03T00:00:00"/>
    <x v="5"/>
    <x v="26"/>
    <x v="26"/>
    <n v="-30000"/>
    <n v="0"/>
    <n v="30000"/>
    <x v="147"/>
    <s v="Cali"/>
  </r>
  <r>
    <m/>
    <x v="1"/>
    <x v="23"/>
    <x v="23"/>
    <m/>
    <m/>
    <m/>
    <x v="1"/>
    <m/>
  </r>
  <r>
    <d v="2021-05-03T00:00:00"/>
    <x v="5"/>
    <x v="0"/>
    <x v="0"/>
    <n v="15000"/>
    <n v="15000"/>
    <n v="0"/>
    <x v="148"/>
    <s v="Cali"/>
  </r>
  <r>
    <d v="2021-05-03T00:00:00"/>
    <x v="5"/>
    <x v="25"/>
    <x v="25"/>
    <n v="-15000"/>
    <n v="0"/>
    <n v="15000"/>
    <x v="148"/>
    <s v="Cali"/>
  </r>
  <r>
    <m/>
    <x v="1"/>
    <x v="23"/>
    <x v="23"/>
    <m/>
    <m/>
    <m/>
    <x v="1"/>
    <m/>
  </r>
  <r>
    <d v="2021-05-03T00:00:00"/>
    <x v="5"/>
    <x v="0"/>
    <x v="0"/>
    <n v="25000"/>
    <n v="25000"/>
    <n v="0"/>
    <x v="38"/>
    <s v="Cali"/>
  </r>
  <r>
    <d v="2021-05-03T00:00:00"/>
    <x v="5"/>
    <x v="25"/>
    <x v="25"/>
    <n v="-25000"/>
    <n v="0"/>
    <n v="25000"/>
    <x v="38"/>
    <s v="Cali"/>
  </r>
  <r>
    <m/>
    <x v="1"/>
    <x v="23"/>
    <x v="23"/>
    <m/>
    <m/>
    <m/>
    <x v="1"/>
    <m/>
  </r>
  <r>
    <d v="2021-05-03T00:00:00"/>
    <x v="5"/>
    <x v="0"/>
    <x v="0"/>
    <n v="12000"/>
    <n v="12000"/>
    <n v="0"/>
    <x v="150"/>
    <s v="Cali"/>
  </r>
  <r>
    <d v="2021-05-03T00:00:00"/>
    <x v="5"/>
    <x v="19"/>
    <x v="19"/>
    <n v="-12000"/>
    <n v="0"/>
    <n v="12000"/>
    <x v="150"/>
    <s v="Cali"/>
  </r>
  <r>
    <m/>
    <x v="1"/>
    <x v="23"/>
    <x v="23"/>
    <m/>
    <m/>
    <m/>
    <x v="1"/>
    <m/>
  </r>
  <r>
    <d v="2021-05-03T00:00:00"/>
    <x v="5"/>
    <x v="0"/>
    <x v="0"/>
    <n v="20000"/>
    <n v="20000"/>
    <n v="0"/>
    <x v="365"/>
    <s v="Cali"/>
  </r>
  <r>
    <d v="2021-05-03T00:00:00"/>
    <x v="5"/>
    <x v="20"/>
    <x v="20"/>
    <n v="-20000"/>
    <n v="0"/>
    <n v="20000"/>
    <x v="365"/>
    <s v="Cali"/>
  </r>
  <r>
    <m/>
    <x v="1"/>
    <x v="23"/>
    <x v="23"/>
    <m/>
    <m/>
    <m/>
    <x v="1"/>
    <m/>
  </r>
  <r>
    <d v="2021-05-03T00:00:00"/>
    <x v="5"/>
    <x v="0"/>
    <x v="0"/>
    <n v="10000"/>
    <n v="10000"/>
    <n v="0"/>
    <x v="166"/>
    <s v="Cali"/>
  </r>
  <r>
    <d v="2021-05-03T00:00:00"/>
    <x v="5"/>
    <x v="25"/>
    <x v="25"/>
    <n v="-10000"/>
    <n v="0"/>
    <n v="10000"/>
    <x v="166"/>
    <s v="Cali"/>
  </r>
  <r>
    <m/>
    <x v="1"/>
    <x v="23"/>
    <x v="23"/>
    <m/>
    <m/>
    <m/>
    <x v="1"/>
    <m/>
  </r>
  <r>
    <d v="2021-05-03T00:00:00"/>
    <x v="5"/>
    <x v="0"/>
    <x v="0"/>
    <n v="10000"/>
    <n v="10000"/>
    <n v="0"/>
    <x v="366"/>
    <s v="Cali"/>
  </r>
  <r>
    <d v="2021-05-03T00:00:00"/>
    <x v="5"/>
    <x v="19"/>
    <x v="19"/>
    <n v="-10000"/>
    <n v="0"/>
    <n v="10000"/>
    <x v="366"/>
    <s v="Cali"/>
  </r>
  <r>
    <m/>
    <x v="1"/>
    <x v="23"/>
    <x v="23"/>
    <m/>
    <m/>
    <m/>
    <x v="1"/>
    <m/>
  </r>
  <r>
    <d v="2021-05-03T00:00:00"/>
    <x v="5"/>
    <x v="0"/>
    <x v="0"/>
    <n v="25000"/>
    <n v="25000"/>
    <n v="0"/>
    <x v="158"/>
    <s v="Cali"/>
  </r>
  <r>
    <d v="2021-05-03T00:00:00"/>
    <x v="5"/>
    <x v="25"/>
    <x v="25"/>
    <n v="-25000"/>
    <n v="0"/>
    <n v="25000"/>
    <x v="158"/>
    <s v="Cali"/>
  </r>
  <r>
    <m/>
    <x v="1"/>
    <x v="23"/>
    <x v="23"/>
    <m/>
    <m/>
    <m/>
    <x v="1"/>
    <m/>
  </r>
  <r>
    <d v="2021-05-03T00:00:00"/>
    <x v="5"/>
    <x v="0"/>
    <x v="0"/>
    <n v="10000"/>
    <n v="10000"/>
    <n v="0"/>
    <x v="199"/>
    <s v="Cali"/>
  </r>
  <r>
    <d v="2021-05-03T00:00:00"/>
    <x v="5"/>
    <x v="27"/>
    <x v="27"/>
    <n v="-10000"/>
    <n v="0"/>
    <n v="10000"/>
    <x v="199"/>
    <s v="Cali"/>
  </r>
  <r>
    <m/>
    <x v="1"/>
    <x v="23"/>
    <x v="23"/>
    <m/>
    <m/>
    <m/>
    <x v="1"/>
    <m/>
  </r>
  <r>
    <d v="2021-05-03T00:00:00"/>
    <x v="5"/>
    <x v="0"/>
    <x v="0"/>
    <n v="2000"/>
    <n v="2000"/>
    <n v="0"/>
    <x v="177"/>
    <s v="Cali"/>
  </r>
  <r>
    <d v="2021-05-03T00:00:00"/>
    <x v="5"/>
    <x v="19"/>
    <x v="19"/>
    <n v="-2000"/>
    <n v="0"/>
    <n v="2000"/>
    <x v="177"/>
    <s v="Cali"/>
  </r>
  <r>
    <m/>
    <x v="1"/>
    <x v="23"/>
    <x v="23"/>
    <m/>
    <m/>
    <m/>
    <x v="1"/>
    <m/>
  </r>
  <r>
    <d v="2021-05-03T00:00:00"/>
    <x v="5"/>
    <x v="0"/>
    <x v="0"/>
    <n v="5000"/>
    <n v="5000"/>
    <n v="0"/>
    <x v="367"/>
    <s v="Cali"/>
  </r>
  <r>
    <d v="2021-05-03T00:00:00"/>
    <x v="5"/>
    <x v="25"/>
    <x v="25"/>
    <n v="-5000"/>
    <n v="0"/>
    <n v="5000"/>
    <x v="367"/>
    <s v="Cali"/>
  </r>
  <r>
    <m/>
    <x v="1"/>
    <x v="23"/>
    <x v="23"/>
    <m/>
    <m/>
    <m/>
    <x v="1"/>
    <m/>
  </r>
  <r>
    <d v="2021-05-03T00:00:00"/>
    <x v="5"/>
    <x v="0"/>
    <x v="0"/>
    <n v="30000"/>
    <n v="30000"/>
    <n v="0"/>
    <x v="319"/>
    <s v="Cali"/>
  </r>
  <r>
    <d v="2021-05-03T00:00:00"/>
    <x v="5"/>
    <x v="19"/>
    <x v="19"/>
    <n v="-30000"/>
    <n v="0"/>
    <n v="30000"/>
    <x v="319"/>
    <s v="Cali"/>
  </r>
  <r>
    <m/>
    <x v="1"/>
    <x v="23"/>
    <x v="23"/>
    <m/>
    <m/>
    <m/>
    <x v="1"/>
    <m/>
  </r>
  <r>
    <d v="2021-05-03T00:00:00"/>
    <x v="5"/>
    <x v="0"/>
    <x v="0"/>
    <n v="60000"/>
    <n v="60000"/>
    <n v="0"/>
    <x v="160"/>
    <s v="Cali"/>
  </r>
  <r>
    <d v="2021-05-03T00:00:00"/>
    <x v="5"/>
    <x v="25"/>
    <x v="25"/>
    <n v="-60000"/>
    <n v="0"/>
    <n v="60000"/>
    <x v="160"/>
    <s v="Cali"/>
  </r>
  <r>
    <m/>
    <x v="1"/>
    <x v="23"/>
    <x v="23"/>
    <m/>
    <m/>
    <m/>
    <x v="1"/>
    <m/>
  </r>
  <r>
    <d v="2021-05-03T00:00:00"/>
    <x v="5"/>
    <x v="0"/>
    <x v="0"/>
    <n v="10000"/>
    <n v="10000"/>
    <n v="0"/>
    <x v="191"/>
    <s v="Cali"/>
  </r>
  <r>
    <d v="2021-05-03T00:00:00"/>
    <x v="5"/>
    <x v="27"/>
    <x v="27"/>
    <n v="-10000"/>
    <n v="0"/>
    <n v="10000"/>
    <x v="191"/>
    <s v="Cali"/>
  </r>
  <r>
    <m/>
    <x v="1"/>
    <x v="23"/>
    <x v="23"/>
    <m/>
    <m/>
    <m/>
    <x v="1"/>
    <m/>
  </r>
  <r>
    <d v="2021-05-03T00:00:00"/>
    <x v="5"/>
    <x v="0"/>
    <x v="0"/>
    <n v="120000"/>
    <n v="120000"/>
    <n v="0"/>
    <x v="155"/>
    <s v="Cali"/>
  </r>
  <r>
    <d v="2021-05-03T00:00:00"/>
    <x v="5"/>
    <x v="27"/>
    <x v="27"/>
    <n v="-120000"/>
    <n v="0"/>
    <n v="120000"/>
    <x v="155"/>
    <s v="Cali"/>
  </r>
  <r>
    <m/>
    <x v="1"/>
    <x v="23"/>
    <x v="23"/>
    <m/>
    <m/>
    <m/>
    <x v="1"/>
    <m/>
  </r>
  <r>
    <d v="2021-05-03T00:00:00"/>
    <x v="5"/>
    <x v="0"/>
    <x v="0"/>
    <n v="10000"/>
    <n v="10000"/>
    <n v="0"/>
    <x v="140"/>
    <s v="Cali"/>
  </r>
  <r>
    <d v="2021-05-03T00:00:00"/>
    <x v="5"/>
    <x v="19"/>
    <x v="19"/>
    <n v="-10000"/>
    <n v="0"/>
    <n v="10000"/>
    <x v="140"/>
    <s v="Cali"/>
  </r>
  <r>
    <m/>
    <x v="1"/>
    <x v="23"/>
    <x v="23"/>
    <m/>
    <m/>
    <m/>
    <x v="1"/>
    <m/>
  </r>
  <r>
    <d v="2021-05-03T00:00:00"/>
    <x v="5"/>
    <x v="0"/>
    <x v="0"/>
    <n v="50000"/>
    <n v="50000"/>
    <n v="0"/>
    <x v="163"/>
    <s v="Cali"/>
  </r>
  <r>
    <d v="2021-05-03T00:00:00"/>
    <x v="5"/>
    <x v="25"/>
    <x v="25"/>
    <n v="-50000"/>
    <n v="0"/>
    <n v="50000"/>
    <x v="163"/>
    <s v="Cali"/>
  </r>
  <r>
    <m/>
    <x v="1"/>
    <x v="23"/>
    <x v="23"/>
    <m/>
    <m/>
    <m/>
    <x v="1"/>
    <m/>
  </r>
  <r>
    <d v="2021-05-03T00:00:00"/>
    <x v="5"/>
    <x v="0"/>
    <x v="0"/>
    <n v="45000"/>
    <n v="45000"/>
    <n v="0"/>
    <x v="161"/>
    <s v="Cali"/>
  </r>
  <r>
    <d v="2021-05-03T00:00:00"/>
    <x v="5"/>
    <x v="26"/>
    <x v="26"/>
    <n v="-45000"/>
    <n v="0"/>
    <n v="45000"/>
    <x v="161"/>
    <s v="Cali"/>
  </r>
  <r>
    <m/>
    <x v="1"/>
    <x v="23"/>
    <x v="23"/>
    <m/>
    <m/>
    <m/>
    <x v="1"/>
    <m/>
  </r>
  <r>
    <d v="2021-05-03T00:00:00"/>
    <x v="5"/>
    <x v="0"/>
    <x v="0"/>
    <n v="10000"/>
    <n v="10000"/>
    <n v="0"/>
    <x v="142"/>
    <s v="Cali"/>
  </r>
  <r>
    <d v="2021-05-03T00:00:00"/>
    <x v="5"/>
    <x v="25"/>
    <x v="25"/>
    <n v="-10000"/>
    <n v="0"/>
    <n v="10000"/>
    <x v="142"/>
    <s v="Cali"/>
  </r>
  <r>
    <m/>
    <x v="1"/>
    <x v="23"/>
    <x v="23"/>
    <m/>
    <m/>
    <m/>
    <x v="1"/>
    <m/>
  </r>
  <r>
    <d v="2021-05-03T00:00:00"/>
    <x v="5"/>
    <x v="0"/>
    <x v="0"/>
    <n v="50000"/>
    <n v="50000"/>
    <n v="0"/>
    <x v="143"/>
    <s v="Cali"/>
  </r>
  <r>
    <d v="2021-05-03T00:00:00"/>
    <x v="5"/>
    <x v="25"/>
    <x v="25"/>
    <n v="-50000"/>
    <n v="0"/>
    <n v="50000"/>
    <x v="143"/>
    <s v="Cali"/>
  </r>
  <r>
    <m/>
    <x v="1"/>
    <x v="23"/>
    <x v="23"/>
    <m/>
    <m/>
    <m/>
    <x v="1"/>
    <m/>
  </r>
  <r>
    <d v="2021-05-03T00:00:00"/>
    <x v="5"/>
    <x v="0"/>
    <x v="0"/>
    <n v="14000"/>
    <n v="14000"/>
    <n v="0"/>
    <x v="289"/>
    <s v="Cali"/>
  </r>
  <r>
    <d v="2021-05-03T00:00:00"/>
    <x v="5"/>
    <x v="26"/>
    <x v="26"/>
    <n v="-14000"/>
    <n v="0"/>
    <n v="14000"/>
    <x v="289"/>
    <s v="Cali"/>
  </r>
  <r>
    <m/>
    <x v="1"/>
    <x v="23"/>
    <x v="23"/>
    <m/>
    <m/>
    <m/>
    <x v="1"/>
    <m/>
  </r>
  <r>
    <d v="2021-05-03T00:00:00"/>
    <x v="5"/>
    <x v="0"/>
    <x v="0"/>
    <n v="12000"/>
    <n v="12000"/>
    <n v="0"/>
    <x v="310"/>
    <s v="Cali"/>
  </r>
  <r>
    <d v="2021-05-03T00:00:00"/>
    <x v="5"/>
    <x v="25"/>
    <x v="25"/>
    <n v="-12000"/>
    <n v="0"/>
    <n v="12000"/>
    <x v="310"/>
    <s v="Cali"/>
  </r>
  <r>
    <m/>
    <x v="1"/>
    <x v="23"/>
    <x v="23"/>
    <m/>
    <m/>
    <m/>
    <x v="1"/>
    <m/>
  </r>
  <r>
    <d v="2021-05-03T00:00:00"/>
    <x v="5"/>
    <x v="0"/>
    <x v="0"/>
    <n v="30000"/>
    <n v="30000"/>
    <n v="0"/>
    <x v="164"/>
    <s v="Cali"/>
  </r>
  <r>
    <d v="2021-05-03T00:00:00"/>
    <x v="5"/>
    <x v="26"/>
    <x v="26"/>
    <n v="-30000"/>
    <n v="0"/>
    <n v="30000"/>
    <x v="164"/>
    <s v="Cali"/>
  </r>
  <r>
    <m/>
    <x v="1"/>
    <x v="23"/>
    <x v="23"/>
    <m/>
    <m/>
    <m/>
    <x v="1"/>
    <m/>
  </r>
  <r>
    <d v="2021-05-03T00:00:00"/>
    <x v="5"/>
    <x v="0"/>
    <x v="0"/>
    <n v="15000"/>
    <n v="15000"/>
    <n v="0"/>
    <x v="282"/>
    <s v="Cali"/>
  </r>
  <r>
    <d v="2021-05-03T00:00:00"/>
    <x v="5"/>
    <x v="25"/>
    <x v="25"/>
    <n v="-15000"/>
    <n v="0"/>
    <n v="15000"/>
    <x v="282"/>
    <s v="Cali"/>
  </r>
  <r>
    <m/>
    <x v="1"/>
    <x v="23"/>
    <x v="23"/>
    <m/>
    <m/>
    <m/>
    <x v="1"/>
    <m/>
  </r>
  <r>
    <d v="2021-05-03T00:00:00"/>
    <x v="5"/>
    <x v="0"/>
    <x v="0"/>
    <n v="80000"/>
    <n v="80000"/>
    <n v="0"/>
    <x v="22"/>
    <s v="Cali"/>
  </r>
  <r>
    <d v="2021-05-03T00:00:00"/>
    <x v="5"/>
    <x v="27"/>
    <x v="27"/>
    <n v="-80000"/>
    <n v="0"/>
    <n v="80000"/>
    <x v="22"/>
    <s v="Cali"/>
  </r>
  <r>
    <m/>
    <x v="1"/>
    <x v="23"/>
    <x v="23"/>
    <m/>
    <m/>
    <m/>
    <x v="1"/>
    <m/>
  </r>
  <r>
    <d v="2021-05-03T00:00:00"/>
    <x v="5"/>
    <x v="0"/>
    <x v="0"/>
    <n v="20000"/>
    <n v="20000"/>
    <n v="0"/>
    <x v="151"/>
    <s v="Cali"/>
  </r>
  <r>
    <d v="2021-05-03T00:00:00"/>
    <x v="5"/>
    <x v="25"/>
    <x v="25"/>
    <n v="-20000"/>
    <n v="0"/>
    <n v="20000"/>
    <x v="151"/>
    <s v="Cali"/>
  </r>
  <r>
    <m/>
    <x v="1"/>
    <x v="23"/>
    <x v="23"/>
    <m/>
    <m/>
    <m/>
    <x v="1"/>
    <m/>
  </r>
  <r>
    <d v="2021-05-03T00:00:00"/>
    <x v="5"/>
    <x v="0"/>
    <x v="0"/>
    <n v="2421330"/>
    <n v="2421330"/>
    <n v="0"/>
    <x v="368"/>
    <s v="Cali"/>
  </r>
  <r>
    <d v="2021-05-03T00:00:00"/>
    <x v="5"/>
    <x v="27"/>
    <x v="27"/>
    <n v="-2421330"/>
    <n v="0"/>
    <n v="2421330"/>
    <x v="368"/>
    <s v="Cali"/>
  </r>
  <r>
    <m/>
    <x v="1"/>
    <x v="23"/>
    <x v="23"/>
    <m/>
    <m/>
    <m/>
    <x v="1"/>
    <m/>
  </r>
  <r>
    <d v="2021-05-03T00:00:00"/>
    <x v="5"/>
    <x v="0"/>
    <x v="0"/>
    <n v="30000"/>
    <n v="30000"/>
    <n v="0"/>
    <x v="307"/>
    <s v="Cali"/>
  </r>
  <r>
    <d v="2021-05-03T00:00:00"/>
    <x v="5"/>
    <x v="25"/>
    <x v="25"/>
    <n v="-30000"/>
    <n v="0"/>
    <n v="30000"/>
    <x v="307"/>
    <s v="Cali"/>
  </r>
  <r>
    <m/>
    <x v="1"/>
    <x v="23"/>
    <x v="23"/>
    <m/>
    <m/>
    <m/>
    <x v="1"/>
    <m/>
  </r>
  <r>
    <d v="2021-05-03T00:00:00"/>
    <x v="5"/>
    <x v="0"/>
    <x v="0"/>
    <n v="40000"/>
    <n v="40000"/>
    <n v="0"/>
    <x v="157"/>
    <s v="Cali"/>
  </r>
  <r>
    <d v="2021-05-03T00:00:00"/>
    <x v="5"/>
    <x v="27"/>
    <x v="27"/>
    <n v="-40000"/>
    <n v="0"/>
    <n v="40000"/>
    <x v="157"/>
    <s v="Cali"/>
  </r>
  <r>
    <m/>
    <x v="1"/>
    <x v="23"/>
    <x v="23"/>
    <m/>
    <m/>
    <m/>
    <x v="1"/>
    <m/>
  </r>
  <r>
    <d v="2021-05-04T00:00:00"/>
    <x v="5"/>
    <x v="0"/>
    <x v="0"/>
    <n v="200000"/>
    <n v="200000"/>
    <n v="0"/>
    <x v="242"/>
    <s v="Cali"/>
  </r>
  <r>
    <d v="2021-05-04T00:00:00"/>
    <x v="5"/>
    <x v="26"/>
    <x v="26"/>
    <n v="-200000"/>
    <n v="0"/>
    <n v="200000"/>
    <x v="242"/>
    <s v="Cali"/>
  </r>
  <r>
    <m/>
    <x v="1"/>
    <x v="23"/>
    <x v="23"/>
    <m/>
    <m/>
    <m/>
    <x v="1"/>
    <m/>
  </r>
  <r>
    <d v="2021-05-04T00:00:00"/>
    <x v="5"/>
    <x v="0"/>
    <x v="0"/>
    <n v="60000"/>
    <n v="60000"/>
    <n v="0"/>
    <x v="369"/>
    <s v="Cali"/>
  </r>
  <r>
    <d v="2021-05-04T00:00:00"/>
    <x v="5"/>
    <x v="26"/>
    <x v="26"/>
    <n v="-60000"/>
    <n v="0"/>
    <n v="60000"/>
    <x v="369"/>
    <s v="Cali"/>
  </r>
  <r>
    <m/>
    <x v="1"/>
    <x v="23"/>
    <x v="23"/>
    <m/>
    <m/>
    <m/>
    <x v="1"/>
    <m/>
  </r>
  <r>
    <d v="2021-05-04T00:00:00"/>
    <x v="5"/>
    <x v="0"/>
    <x v="0"/>
    <n v="40000"/>
    <n v="40000"/>
    <n v="0"/>
    <x v="370"/>
    <s v="Cali"/>
  </r>
  <r>
    <d v="2021-05-04T00:00:00"/>
    <x v="5"/>
    <x v="25"/>
    <x v="25"/>
    <n v="-40000"/>
    <n v="0"/>
    <n v="40000"/>
    <x v="370"/>
    <s v="Cali"/>
  </r>
  <r>
    <m/>
    <x v="1"/>
    <x v="23"/>
    <x v="23"/>
    <m/>
    <m/>
    <m/>
    <x v="1"/>
    <m/>
  </r>
  <r>
    <d v="2021-05-04T00:00:00"/>
    <x v="5"/>
    <x v="0"/>
    <x v="0"/>
    <n v="150000"/>
    <n v="150000"/>
    <n v="0"/>
    <x v="169"/>
    <s v="Cali"/>
  </r>
  <r>
    <d v="2021-05-04T00:00:00"/>
    <x v="5"/>
    <x v="25"/>
    <x v="25"/>
    <n v="-150000"/>
    <n v="0"/>
    <n v="150000"/>
    <x v="169"/>
    <s v="Cali"/>
  </r>
  <r>
    <m/>
    <x v="1"/>
    <x v="23"/>
    <x v="23"/>
    <m/>
    <m/>
    <m/>
    <x v="1"/>
    <m/>
  </r>
  <r>
    <d v="2021-05-04T00:00:00"/>
    <x v="5"/>
    <x v="0"/>
    <x v="0"/>
    <n v="9806"/>
    <n v="9806"/>
    <n v="0"/>
    <x v="371"/>
    <s v="Cali"/>
  </r>
  <r>
    <d v="2021-05-04T00:00:00"/>
    <x v="5"/>
    <x v="49"/>
    <x v="49"/>
    <n v="194"/>
    <n v="194"/>
    <n v="0"/>
    <x v="371"/>
    <s v="Cali"/>
  </r>
  <r>
    <d v="2021-05-04T00:00:00"/>
    <x v="5"/>
    <x v="25"/>
    <x v="25"/>
    <n v="-10000"/>
    <n v="0"/>
    <n v="10000"/>
    <x v="371"/>
    <s v="Cali"/>
  </r>
  <r>
    <m/>
    <x v="1"/>
    <x v="23"/>
    <x v="23"/>
    <m/>
    <m/>
    <m/>
    <x v="1"/>
    <m/>
  </r>
  <r>
    <d v="2021-05-04T00:00:00"/>
    <x v="5"/>
    <x v="0"/>
    <x v="0"/>
    <n v="70000"/>
    <n v="70000"/>
    <n v="0"/>
    <x v="37"/>
    <s v="Cali"/>
  </r>
  <r>
    <d v="2021-05-04T00:00:00"/>
    <x v="5"/>
    <x v="25"/>
    <x v="25"/>
    <n v="-70000"/>
    <n v="0"/>
    <n v="70000"/>
    <x v="37"/>
    <s v="Cali"/>
  </r>
  <r>
    <m/>
    <x v="1"/>
    <x v="23"/>
    <x v="23"/>
    <m/>
    <m/>
    <m/>
    <x v="1"/>
    <m/>
  </r>
  <r>
    <d v="2021-05-04T00:00:00"/>
    <x v="5"/>
    <x v="0"/>
    <x v="0"/>
    <n v="500000"/>
    <n v="500000"/>
    <n v="0"/>
    <x v="288"/>
    <s v="Cali"/>
  </r>
  <r>
    <d v="2021-05-04T00:00:00"/>
    <x v="5"/>
    <x v="26"/>
    <x v="26"/>
    <n v="-500000"/>
    <n v="0"/>
    <n v="500000"/>
    <x v="288"/>
    <s v="Cali"/>
  </r>
  <r>
    <m/>
    <x v="1"/>
    <x v="23"/>
    <x v="23"/>
    <m/>
    <m/>
    <m/>
    <x v="1"/>
    <m/>
  </r>
  <r>
    <d v="2021-05-05T00:00:00"/>
    <x v="5"/>
    <x v="0"/>
    <x v="0"/>
    <n v="20000"/>
    <n v="20000"/>
    <n v="0"/>
    <x v="165"/>
    <s v="Cali"/>
  </r>
  <r>
    <d v="2021-05-05T00:00:00"/>
    <x v="5"/>
    <x v="25"/>
    <x v="25"/>
    <n v="-20000"/>
    <n v="0"/>
    <n v="20000"/>
    <x v="165"/>
    <s v="Cali"/>
  </r>
  <r>
    <m/>
    <x v="1"/>
    <x v="23"/>
    <x v="23"/>
    <m/>
    <m/>
    <m/>
    <x v="1"/>
    <m/>
  </r>
  <r>
    <d v="2021-05-05T00:00:00"/>
    <x v="5"/>
    <x v="0"/>
    <x v="0"/>
    <n v="75000"/>
    <n v="75000"/>
    <n v="0"/>
    <x v="316"/>
    <s v="Cali"/>
  </r>
  <r>
    <d v="2021-05-05T00:00:00"/>
    <x v="5"/>
    <x v="25"/>
    <x v="25"/>
    <n v="-75000"/>
    <n v="0"/>
    <n v="75000"/>
    <x v="316"/>
    <s v="Cali"/>
  </r>
  <r>
    <m/>
    <x v="1"/>
    <x v="23"/>
    <x v="23"/>
    <m/>
    <m/>
    <m/>
    <x v="1"/>
    <m/>
  </r>
  <r>
    <d v="2021-05-05T00:00:00"/>
    <x v="5"/>
    <x v="0"/>
    <x v="0"/>
    <n v="60000"/>
    <n v="60000"/>
    <n v="0"/>
    <x v="372"/>
    <s v="Cali"/>
  </r>
  <r>
    <d v="2021-05-05T00:00:00"/>
    <x v="5"/>
    <x v="25"/>
    <x v="25"/>
    <n v="-60000"/>
    <n v="0"/>
    <n v="60000"/>
    <x v="372"/>
    <s v="Cali"/>
  </r>
  <r>
    <m/>
    <x v="1"/>
    <x v="23"/>
    <x v="23"/>
    <m/>
    <m/>
    <m/>
    <x v="1"/>
    <m/>
  </r>
  <r>
    <d v="2021-05-05T00:00:00"/>
    <x v="5"/>
    <x v="0"/>
    <x v="0"/>
    <n v="50000"/>
    <n v="50000"/>
    <n v="0"/>
    <x v="173"/>
    <s v="Cali"/>
  </r>
  <r>
    <d v="2021-05-05T00:00:00"/>
    <x v="5"/>
    <x v="26"/>
    <x v="26"/>
    <n v="-50000"/>
    <n v="0"/>
    <n v="50000"/>
    <x v="173"/>
    <s v="Cali"/>
  </r>
  <r>
    <m/>
    <x v="1"/>
    <x v="23"/>
    <x v="23"/>
    <m/>
    <m/>
    <m/>
    <x v="1"/>
    <m/>
  </r>
  <r>
    <d v="2021-05-05T00:00:00"/>
    <x v="5"/>
    <x v="0"/>
    <x v="0"/>
    <n v="40000"/>
    <n v="40000"/>
    <n v="0"/>
    <x v="178"/>
    <s v="Cali"/>
  </r>
  <r>
    <d v="2021-05-05T00:00:00"/>
    <x v="5"/>
    <x v="25"/>
    <x v="25"/>
    <n v="-40000"/>
    <n v="0"/>
    <n v="40000"/>
    <x v="178"/>
    <s v="Cali"/>
  </r>
  <r>
    <m/>
    <x v="1"/>
    <x v="23"/>
    <x v="23"/>
    <m/>
    <m/>
    <m/>
    <x v="1"/>
    <m/>
  </r>
  <r>
    <d v="2021-05-05T00:00:00"/>
    <x v="5"/>
    <x v="0"/>
    <x v="0"/>
    <n v="1000000"/>
    <n v="1000000"/>
    <n v="0"/>
    <x v="253"/>
    <s v="Cali"/>
  </r>
  <r>
    <d v="2021-05-05T00:00:00"/>
    <x v="5"/>
    <x v="26"/>
    <x v="26"/>
    <n v="-1000000"/>
    <n v="0"/>
    <n v="1000000"/>
    <x v="253"/>
    <s v="Cali"/>
  </r>
  <r>
    <m/>
    <x v="1"/>
    <x v="23"/>
    <x v="23"/>
    <m/>
    <m/>
    <m/>
    <x v="1"/>
    <m/>
  </r>
  <r>
    <d v="2021-05-05T00:00:00"/>
    <x v="5"/>
    <x v="0"/>
    <x v="0"/>
    <n v="5000000"/>
    <n v="5000000"/>
    <n v="0"/>
    <x v="373"/>
    <s v="Cali"/>
  </r>
  <r>
    <d v="2021-05-05T00:00:00"/>
    <x v="5"/>
    <x v="26"/>
    <x v="26"/>
    <n v="-5000000"/>
    <n v="0"/>
    <n v="5000000"/>
    <x v="373"/>
    <s v="Cali"/>
  </r>
  <r>
    <m/>
    <x v="1"/>
    <x v="23"/>
    <x v="23"/>
    <m/>
    <m/>
    <m/>
    <x v="1"/>
    <m/>
  </r>
  <r>
    <d v="2021-05-06T00:00:00"/>
    <x v="5"/>
    <x v="0"/>
    <x v="0"/>
    <n v="100000"/>
    <n v="100000"/>
    <n v="0"/>
    <x v="374"/>
    <s v="Cali"/>
  </r>
  <r>
    <d v="2021-05-06T00:00:00"/>
    <x v="5"/>
    <x v="26"/>
    <x v="26"/>
    <n v="-100000"/>
    <n v="0"/>
    <n v="100000"/>
    <x v="374"/>
    <s v="Cali"/>
  </r>
  <r>
    <m/>
    <x v="1"/>
    <x v="23"/>
    <x v="23"/>
    <m/>
    <m/>
    <m/>
    <x v="1"/>
    <m/>
  </r>
  <r>
    <d v="2021-05-06T00:00:00"/>
    <x v="5"/>
    <x v="0"/>
    <x v="0"/>
    <n v="150000"/>
    <n v="150000"/>
    <n v="0"/>
    <x v="251"/>
    <s v="Cali"/>
  </r>
  <r>
    <d v="2021-05-06T00:00:00"/>
    <x v="5"/>
    <x v="27"/>
    <x v="27"/>
    <n v="-150000"/>
    <n v="0"/>
    <n v="150000"/>
    <x v="251"/>
    <s v="Cali"/>
  </r>
  <r>
    <m/>
    <x v="1"/>
    <x v="23"/>
    <x v="23"/>
    <m/>
    <m/>
    <m/>
    <x v="1"/>
    <m/>
  </r>
  <r>
    <d v="2021-05-06T00:00:00"/>
    <x v="5"/>
    <x v="0"/>
    <x v="0"/>
    <n v="40000"/>
    <n v="40000"/>
    <n v="0"/>
    <x v="176"/>
    <s v="Cali"/>
  </r>
  <r>
    <d v="2021-05-06T00:00:00"/>
    <x v="5"/>
    <x v="25"/>
    <x v="25"/>
    <n v="-40000"/>
    <n v="0"/>
    <n v="40000"/>
    <x v="176"/>
    <s v="Cali"/>
  </r>
  <r>
    <m/>
    <x v="1"/>
    <x v="23"/>
    <x v="23"/>
    <m/>
    <m/>
    <m/>
    <x v="1"/>
    <m/>
  </r>
  <r>
    <d v="2021-05-06T00:00:00"/>
    <x v="5"/>
    <x v="0"/>
    <x v="0"/>
    <n v="15000"/>
    <n v="15000"/>
    <n v="0"/>
    <x v="252"/>
    <s v="Cali"/>
  </r>
  <r>
    <d v="2021-05-06T00:00:00"/>
    <x v="5"/>
    <x v="26"/>
    <x v="26"/>
    <n v="-15000"/>
    <n v="0"/>
    <n v="15000"/>
    <x v="252"/>
    <s v="Cali"/>
  </r>
  <r>
    <m/>
    <x v="1"/>
    <x v="23"/>
    <x v="23"/>
    <m/>
    <m/>
    <m/>
    <x v="1"/>
    <m/>
  </r>
  <r>
    <d v="2021-05-06T00:00:00"/>
    <x v="5"/>
    <x v="0"/>
    <x v="0"/>
    <n v="64000"/>
    <n v="64000"/>
    <n v="0"/>
    <x v="64"/>
    <s v="Cali"/>
  </r>
  <r>
    <d v="2021-05-06T00:00:00"/>
    <x v="5"/>
    <x v="27"/>
    <x v="27"/>
    <n v="-64000"/>
    <n v="0"/>
    <n v="64000"/>
    <x v="64"/>
    <s v="Cali"/>
  </r>
  <r>
    <m/>
    <x v="1"/>
    <x v="23"/>
    <x v="23"/>
    <m/>
    <m/>
    <m/>
    <x v="1"/>
    <m/>
  </r>
  <r>
    <d v="2021-05-07T00:00:00"/>
    <x v="5"/>
    <x v="0"/>
    <x v="0"/>
    <n v="30000"/>
    <n v="30000"/>
    <n v="0"/>
    <x v="179"/>
    <s v="Cali"/>
  </r>
  <r>
    <d v="2021-05-07T00:00:00"/>
    <x v="5"/>
    <x v="25"/>
    <x v="25"/>
    <n v="-30000"/>
    <n v="0"/>
    <n v="30000"/>
    <x v="179"/>
    <s v="Cali"/>
  </r>
  <r>
    <m/>
    <x v="1"/>
    <x v="23"/>
    <x v="23"/>
    <m/>
    <m/>
    <m/>
    <x v="1"/>
    <m/>
  </r>
  <r>
    <d v="2021-05-07T00:00:00"/>
    <x v="5"/>
    <x v="0"/>
    <x v="0"/>
    <n v="15000"/>
    <n v="15000"/>
    <n v="0"/>
    <x v="66"/>
    <s v="Cali"/>
  </r>
  <r>
    <d v="2021-05-07T00:00:00"/>
    <x v="5"/>
    <x v="27"/>
    <x v="27"/>
    <n v="-15000"/>
    <n v="0"/>
    <n v="15000"/>
    <x v="66"/>
    <s v="Cali"/>
  </r>
  <r>
    <m/>
    <x v="1"/>
    <x v="23"/>
    <x v="23"/>
    <m/>
    <m/>
    <m/>
    <x v="1"/>
    <m/>
  </r>
  <r>
    <d v="2021-05-07T00:00:00"/>
    <x v="5"/>
    <x v="0"/>
    <x v="0"/>
    <n v="60000"/>
    <n v="60000"/>
    <n v="0"/>
    <x v="202"/>
    <s v="Cali"/>
  </r>
  <r>
    <d v="2021-05-07T00:00:00"/>
    <x v="5"/>
    <x v="27"/>
    <x v="27"/>
    <n v="-60000"/>
    <n v="0"/>
    <n v="60000"/>
    <x v="202"/>
    <s v="Cali"/>
  </r>
  <r>
    <m/>
    <x v="1"/>
    <x v="23"/>
    <x v="23"/>
    <m/>
    <m/>
    <m/>
    <x v="1"/>
    <m/>
  </r>
  <r>
    <d v="2021-05-07T00:00:00"/>
    <x v="5"/>
    <x v="0"/>
    <x v="0"/>
    <n v="25000"/>
    <n v="25000"/>
    <n v="0"/>
    <x v="149"/>
    <s v="Cali"/>
  </r>
  <r>
    <d v="2021-05-07T00:00:00"/>
    <x v="5"/>
    <x v="27"/>
    <x v="27"/>
    <n v="-25000"/>
    <n v="0"/>
    <n v="25000"/>
    <x v="149"/>
    <s v="Cali"/>
  </r>
  <r>
    <m/>
    <x v="1"/>
    <x v="23"/>
    <x v="23"/>
    <m/>
    <m/>
    <m/>
    <x v="1"/>
    <m/>
  </r>
  <r>
    <d v="2021-05-10T00:00:00"/>
    <x v="5"/>
    <x v="0"/>
    <x v="0"/>
    <n v="4000"/>
    <n v="4000"/>
    <n v="0"/>
    <x v="177"/>
    <s v="Cali"/>
  </r>
  <r>
    <d v="2021-05-10T00:00:00"/>
    <x v="5"/>
    <x v="19"/>
    <x v="19"/>
    <n v="-4000"/>
    <n v="0"/>
    <n v="4000"/>
    <x v="177"/>
    <s v="Cali"/>
  </r>
  <r>
    <m/>
    <x v="1"/>
    <x v="23"/>
    <x v="23"/>
    <m/>
    <m/>
    <m/>
    <x v="1"/>
    <m/>
  </r>
  <r>
    <d v="2021-05-10T00:00:00"/>
    <x v="5"/>
    <x v="0"/>
    <x v="0"/>
    <n v="15000"/>
    <n v="15000"/>
    <n v="0"/>
    <x v="375"/>
    <s v="Cali"/>
  </r>
  <r>
    <d v="2021-05-10T00:00:00"/>
    <x v="5"/>
    <x v="19"/>
    <x v="19"/>
    <n v="-15000"/>
    <n v="0"/>
    <n v="15000"/>
    <x v="375"/>
    <s v="Cali"/>
  </r>
  <r>
    <m/>
    <x v="1"/>
    <x v="23"/>
    <x v="23"/>
    <m/>
    <m/>
    <m/>
    <x v="1"/>
    <m/>
  </r>
  <r>
    <d v="2021-05-10T00:00:00"/>
    <x v="5"/>
    <x v="0"/>
    <x v="0"/>
    <n v="1"/>
    <n v="1"/>
    <n v="0"/>
    <x v="376"/>
    <s v="Cali"/>
  </r>
  <r>
    <d v="2021-05-10T00:00:00"/>
    <x v="5"/>
    <x v="19"/>
    <x v="19"/>
    <n v="-1"/>
    <n v="0"/>
    <n v="1"/>
    <x v="376"/>
    <s v="Cali"/>
  </r>
  <r>
    <m/>
    <x v="1"/>
    <x v="23"/>
    <x v="23"/>
    <m/>
    <m/>
    <m/>
    <x v="1"/>
    <m/>
  </r>
  <r>
    <d v="2021-05-10T00:00:00"/>
    <x v="5"/>
    <x v="0"/>
    <x v="0"/>
    <n v="8000"/>
    <n v="8000"/>
    <n v="0"/>
    <x v="140"/>
    <s v="Cali"/>
  </r>
  <r>
    <d v="2021-05-10T00:00:00"/>
    <x v="5"/>
    <x v="19"/>
    <x v="19"/>
    <n v="-8000"/>
    <n v="0"/>
    <n v="8000"/>
    <x v="140"/>
    <s v="Cali"/>
  </r>
  <r>
    <m/>
    <x v="1"/>
    <x v="23"/>
    <x v="23"/>
    <m/>
    <m/>
    <m/>
    <x v="1"/>
    <m/>
  </r>
  <r>
    <d v="2021-05-10T00:00:00"/>
    <x v="5"/>
    <x v="0"/>
    <x v="0"/>
    <n v="40000"/>
    <n v="40000"/>
    <n v="0"/>
    <x v="319"/>
    <s v="Cali"/>
  </r>
  <r>
    <d v="2021-05-10T00:00:00"/>
    <x v="5"/>
    <x v="19"/>
    <x v="19"/>
    <n v="-40000"/>
    <n v="0"/>
    <n v="40000"/>
    <x v="319"/>
    <s v="Cali"/>
  </r>
  <r>
    <m/>
    <x v="1"/>
    <x v="23"/>
    <x v="23"/>
    <m/>
    <m/>
    <m/>
    <x v="1"/>
    <m/>
  </r>
  <r>
    <d v="2021-05-10T00:00:00"/>
    <x v="5"/>
    <x v="0"/>
    <x v="0"/>
    <n v="30000"/>
    <n v="30000"/>
    <n v="0"/>
    <x v="185"/>
    <s v="Cali"/>
  </r>
  <r>
    <d v="2021-05-10T00:00:00"/>
    <x v="5"/>
    <x v="25"/>
    <x v="25"/>
    <n v="-30000"/>
    <n v="0"/>
    <n v="30000"/>
    <x v="185"/>
    <s v="Cali"/>
  </r>
  <r>
    <m/>
    <x v="1"/>
    <x v="23"/>
    <x v="23"/>
    <m/>
    <m/>
    <m/>
    <x v="1"/>
    <m/>
  </r>
  <r>
    <d v="2021-05-10T00:00:00"/>
    <x v="5"/>
    <x v="0"/>
    <x v="0"/>
    <n v="17000"/>
    <n v="17000"/>
    <n v="0"/>
    <x v="186"/>
    <s v="Cali"/>
  </r>
  <r>
    <d v="2021-05-10T00:00:00"/>
    <x v="5"/>
    <x v="25"/>
    <x v="25"/>
    <n v="-17000"/>
    <n v="0"/>
    <n v="17000"/>
    <x v="186"/>
    <s v="Cali"/>
  </r>
  <r>
    <m/>
    <x v="1"/>
    <x v="23"/>
    <x v="23"/>
    <m/>
    <m/>
    <m/>
    <x v="1"/>
    <m/>
  </r>
  <r>
    <d v="2021-05-10T00:00:00"/>
    <x v="5"/>
    <x v="49"/>
    <x v="49"/>
    <n v="1404"/>
    <n v="1404"/>
    <n v="0"/>
    <x v="172"/>
    <s v="Cali"/>
  </r>
  <r>
    <d v="2021-05-10T00:00:00"/>
    <x v="5"/>
    <x v="0"/>
    <x v="0"/>
    <n v="-1404"/>
    <n v="0"/>
    <n v="1404"/>
    <x v="172"/>
    <s v="Cali"/>
  </r>
  <r>
    <m/>
    <x v="1"/>
    <x v="23"/>
    <x v="23"/>
    <m/>
    <m/>
    <m/>
    <x v="1"/>
    <m/>
  </r>
  <r>
    <d v="2021-05-12T00:00:00"/>
    <x v="5"/>
    <x v="0"/>
    <x v="0"/>
    <n v="49405"/>
    <n v="49405"/>
    <n v="0"/>
    <x v="377"/>
    <s v="Cali"/>
  </r>
  <r>
    <d v="2021-05-12T00:00:00"/>
    <x v="5"/>
    <x v="49"/>
    <x v="49"/>
    <n v="595"/>
    <n v="595"/>
    <n v="0"/>
    <x v="377"/>
    <s v="Cali"/>
  </r>
  <r>
    <d v="2021-05-12T00:00:00"/>
    <x v="5"/>
    <x v="25"/>
    <x v="25"/>
    <n v="-50000"/>
    <n v="0"/>
    <n v="50000"/>
    <x v="377"/>
    <s v="Cali"/>
  </r>
  <r>
    <m/>
    <x v="1"/>
    <x v="23"/>
    <x v="23"/>
    <m/>
    <m/>
    <m/>
    <x v="1"/>
    <m/>
  </r>
  <r>
    <d v="2021-05-12T00:00:00"/>
    <x v="5"/>
    <x v="0"/>
    <x v="0"/>
    <n v="1800000"/>
    <n v="1800000"/>
    <n v="0"/>
    <x v="378"/>
    <s v="Cali"/>
  </r>
  <r>
    <d v="2021-05-12T00:00:00"/>
    <x v="5"/>
    <x v="26"/>
    <x v="26"/>
    <n v="-1800000"/>
    <n v="0"/>
    <n v="1800000"/>
    <x v="378"/>
    <s v="Cali"/>
  </r>
  <r>
    <m/>
    <x v="1"/>
    <x v="23"/>
    <x v="23"/>
    <m/>
    <m/>
    <m/>
    <x v="1"/>
    <m/>
  </r>
  <r>
    <d v="2021-05-12T00:00:00"/>
    <x v="5"/>
    <x v="28"/>
    <x v="28"/>
    <n v="100000"/>
    <n v="100000"/>
    <n v="0"/>
    <x v="379"/>
    <s v="Cali"/>
  </r>
  <r>
    <d v="2021-05-12T00:00:00"/>
    <x v="5"/>
    <x v="0"/>
    <x v="0"/>
    <n v="-100000"/>
    <n v="0"/>
    <n v="100000"/>
    <x v="379"/>
    <s v="Cali"/>
  </r>
  <r>
    <m/>
    <x v="1"/>
    <x v="23"/>
    <x v="23"/>
    <m/>
    <m/>
    <m/>
    <x v="1"/>
    <m/>
  </r>
  <r>
    <d v="2021-05-12T00:00:00"/>
    <x v="5"/>
    <x v="0"/>
    <x v="0"/>
    <n v="138000"/>
    <n v="138000"/>
    <n v="0"/>
    <x v="65"/>
    <s v="Cali"/>
  </r>
  <r>
    <d v="2021-05-12T00:00:00"/>
    <x v="5"/>
    <x v="29"/>
    <x v="29"/>
    <n v="-138000"/>
    <n v="0"/>
    <n v="138000"/>
    <x v="65"/>
    <s v="Cali"/>
  </r>
  <r>
    <m/>
    <x v="1"/>
    <x v="23"/>
    <x v="23"/>
    <m/>
    <m/>
    <m/>
    <x v="1"/>
    <m/>
  </r>
  <r>
    <d v="2021-05-12T00:00:00"/>
    <x v="5"/>
    <x v="0"/>
    <x v="0"/>
    <n v="65000"/>
    <n v="65000"/>
    <n v="0"/>
    <x v="65"/>
    <s v="Cali"/>
  </r>
  <r>
    <d v="2021-05-12T00:00:00"/>
    <x v="5"/>
    <x v="29"/>
    <x v="29"/>
    <n v="-65000"/>
    <n v="0"/>
    <n v="65000"/>
    <x v="65"/>
    <s v="Cali"/>
  </r>
  <r>
    <m/>
    <x v="1"/>
    <x v="23"/>
    <x v="23"/>
    <m/>
    <m/>
    <m/>
    <x v="1"/>
    <m/>
  </r>
  <r>
    <d v="2021-05-12T00:00:00"/>
    <x v="5"/>
    <x v="0"/>
    <x v="0"/>
    <n v="115000"/>
    <n v="115000"/>
    <n v="0"/>
    <x v="65"/>
    <s v="Cali"/>
  </r>
  <r>
    <d v="2021-05-12T00:00:00"/>
    <x v="5"/>
    <x v="29"/>
    <x v="29"/>
    <n v="-115000"/>
    <n v="0"/>
    <n v="115000"/>
    <x v="65"/>
    <s v="Cali"/>
  </r>
  <r>
    <m/>
    <x v="1"/>
    <x v="23"/>
    <x v="23"/>
    <m/>
    <m/>
    <m/>
    <x v="1"/>
    <m/>
  </r>
  <r>
    <d v="2021-05-13T00:00:00"/>
    <x v="5"/>
    <x v="0"/>
    <x v="0"/>
    <n v="30000"/>
    <n v="30000"/>
    <n v="0"/>
    <x v="170"/>
    <s v="Cali"/>
  </r>
  <r>
    <d v="2021-05-13T00:00:00"/>
    <x v="5"/>
    <x v="26"/>
    <x v="26"/>
    <n v="-30000"/>
    <n v="0"/>
    <n v="30000"/>
    <x v="170"/>
    <s v="Cali"/>
  </r>
  <r>
    <m/>
    <x v="1"/>
    <x v="23"/>
    <x v="23"/>
    <m/>
    <m/>
    <m/>
    <x v="1"/>
    <m/>
  </r>
  <r>
    <d v="2021-05-13T00:00:00"/>
    <x v="5"/>
    <x v="0"/>
    <x v="0"/>
    <n v="20000"/>
    <n v="20000"/>
    <n v="0"/>
    <x v="193"/>
    <s v="Cali"/>
  </r>
  <r>
    <d v="2021-05-13T00:00:00"/>
    <x v="5"/>
    <x v="26"/>
    <x v="26"/>
    <n v="-20000"/>
    <n v="0"/>
    <n v="20000"/>
    <x v="193"/>
    <s v="Cali"/>
  </r>
  <r>
    <m/>
    <x v="1"/>
    <x v="23"/>
    <x v="23"/>
    <m/>
    <m/>
    <m/>
    <x v="1"/>
    <m/>
  </r>
  <r>
    <d v="2021-05-13T00:00:00"/>
    <x v="5"/>
    <x v="0"/>
    <x v="0"/>
    <n v="25000"/>
    <n v="25000"/>
    <n v="0"/>
    <x v="194"/>
    <s v="Cali"/>
  </r>
  <r>
    <d v="2021-05-13T00:00:00"/>
    <x v="5"/>
    <x v="25"/>
    <x v="25"/>
    <n v="-25000"/>
    <n v="0"/>
    <n v="25000"/>
    <x v="194"/>
    <s v="Cali"/>
  </r>
  <r>
    <m/>
    <x v="1"/>
    <x v="23"/>
    <x v="23"/>
    <m/>
    <m/>
    <m/>
    <x v="1"/>
    <m/>
  </r>
  <r>
    <d v="2021-05-13T00:00:00"/>
    <x v="5"/>
    <x v="0"/>
    <x v="0"/>
    <n v="7000"/>
    <n v="7000"/>
    <n v="0"/>
    <x v="261"/>
    <s v="Cali"/>
  </r>
  <r>
    <d v="2021-05-13T00:00:00"/>
    <x v="5"/>
    <x v="25"/>
    <x v="25"/>
    <n v="-7000"/>
    <n v="0"/>
    <n v="7000"/>
    <x v="261"/>
    <s v="Cali"/>
  </r>
  <r>
    <m/>
    <x v="1"/>
    <x v="23"/>
    <x v="23"/>
    <m/>
    <m/>
    <m/>
    <x v="1"/>
    <m/>
  </r>
  <r>
    <d v="2021-05-14T00:00:00"/>
    <x v="5"/>
    <x v="15"/>
    <x v="15"/>
    <n v="3294505"/>
    <n v="3294505"/>
    <n v="0"/>
    <x v="380"/>
    <s v="Cali"/>
  </r>
  <r>
    <d v="2021-05-14T00:00:00"/>
    <x v="5"/>
    <x v="14"/>
    <x v="14"/>
    <n v="146809"/>
    <n v="146809"/>
    <n v="0"/>
    <x v="380"/>
    <s v="Cali"/>
  </r>
  <r>
    <d v="2021-05-14T00:00:00"/>
    <x v="5"/>
    <x v="0"/>
    <x v="0"/>
    <n v="-3441314"/>
    <n v="0"/>
    <n v="3441314"/>
    <x v="380"/>
    <s v="Cali"/>
  </r>
  <r>
    <m/>
    <x v="1"/>
    <x v="23"/>
    <x v="23"/>
    <m/>
    <m/>
    <m/>
    <x v="1"/>
    <m/>
  </r>
  <r>
    <d v="2021-05-14T00:00:00"/>
    <x v="5"/>
    <x v="28"/>
    <x v="28"/>
    <n v="315350"/>
    <n v="315350"/>
    <n v="0"/>
    <x v="381"/>
    <s v="Cali"/>
  </r>
  <r>
    <d v="2021-05-14T00:00:00"/>
    <x v="5"/>
    <x v="0"/>
    <x v="0"/>
    <n v="-315350"/>
    <n v="0"/>
    <n v="315350"/>
    <x v="381"/>
    <s v="Cali"/>
  </r>
  <r>
    <m/>
    <x v="1"/>
    <x v="23"/>
    <x v="23"/>
    <m/>
    <m/>
    <m/>
    <x v="1"/>
    <m/>
  </r>
  <r>
    <d v="2021-05-14T00:00:00"/>
    <x v="5"/>
    <x v="16"/>
    <x v="16"/>
    <n v="66720"/>
    <n v="66720"/>
    <n v="0"/>
    <x v="382"/>
    <s v="Cali"/>
  </r>
  <r>
    <d v="2021-05-14T00:00:00"/>
    <x v="5"/>
    <x v="17"/>
    <x v="17"/>
    <n v="-7673"/>
    <n v="0"/>
    <n v="7673"/>
    <x v="382"/>
    <s v="Cali"/>
  </r>
  <r>
    <d v="2021-05-14T00:00:00"/>
    <x v="5"/>
    <x v="0"/>
    <x v="0"/>
    <n v="-59047"/>
    <n v="0"/>
    <n v="59047"/>
    <x v="382"/>
    <s v="Cali"/>
  </r>
  <r>
    <m/>
    <x v="1"/>
    <x v="23"/>
    <x v="23"/>
    <m/>
    <m/>
    <m/>
    <x v="1"/>
    <m/>
  </r>
  <r>
    <d v="2021-05-14T00:00:00"/>
    <x v="5"/>
    <x v="1"/>
    <x v="1"/>
    <n v="25000000"/>
    <n v="25000000"/>
    <n v="0"/>
    <x v="383"/>
    <s v="Cali"/>
  </r>
  <r>
    <d v="2021-05-14T00:00:00"/>
    <x v="5"/>
    <x v="0"/>
    <x v="0"/>
    <n v="-25000000"/>
    <n v="0"/>
    <n v="25000000"/>
    <x v="383"/>
    <s v="Cali"/>
  </r>
  <r>
    <m/>
    <x v="1"/>
    <x v="23"/>
    <x v="23"/>
    <m/>
    <m/>
    <m/>
    <x v="1"/>
    <m/>
  </r>
  <r>
    <d v="2021-05-17T00:00:00"/>
    <x v="5"/>
    <x v="0"/>
    <x v="0"/>
    <n v="50000"/>
    <n v="50000"/>
    <n v="0"/>
    <x v="195"/>
    <s v="Cali"/>
  </r>
  <r>
    <d v="2021-05-17T00:00:00"/>
    <x v="5"/>
    <x v="25"/>
    <x v="25"/>
    <n v="-50000"/>
    <n v="0"/>
    <n v="50000"/>
    <x v="195"/>
    <s v="Cali"/>
  </r>
  <r>
    <m/>
    <x v="1"/>
    <x v="23"/>
    <x v="23"/>
    <m/>
    <m/>
    <m/>
    <x v="1"/>
    <m/>
  </r>
  <r>
    <d v="2021-05-17T00:00:00"/>
    <x v="5"/>
    <x v="0"/>
    <x v="0"/>
    <n v="5000"/>
    <n v="5000"/>
    <n v="0"/>
    <x v="384"/>
    <s v="Cali"/>
  </r>
  <r>
    <d v="2021-05-17T00:00:00"/>
    <x v="5"/>
    <x v="19"/>
    <x v="19"/>
    <n v="-5000"/>
    <n v="0"/>
    <n v="5000"/>
    <x v="384"/>
    <s v="Cali"/>
  </r>
  <r>
    <m/>
    <x v="1"/>
    <x v="23"/>
    <x v="23"/>
    <m/>
    <m/>
    <m/>
    <x v="1"/>
    <m/>
  </r>
  <r>
    <d v="2021-05-17T00:00:00"/>
    <x v="5"/>
    <x v="0"/>
    <x v="0"/>
    <n v="20000"/>
    <n v="20000"/>
    <n v="0"/>
    <x v="196"/>
    <s v="Cali"/>
  </r>
  <r>
    <d v="2021-05-17T00:00:00"/>
    <x v="5"/>
    <x v="25"/>
    <x v="25"/>
    <n v="-20000"/>
    <n v="0"/>
    <n v="20000"/>
    <x v="196"/>
    <s v="Cali"/>
  </r>
  <r>
    <m/>
    <x v="1"/>
    <x v="23"/>
    <x v="23"/>
    <m/>
    <m/>
    <m/>
    <x v="1"/>
    <m/>
  </r>
  <r>
    <d v="2021-05-17T00:00:00"/>
    <x v="5"/>
    <x v="0"/>
    <x v="0"/>
    <n v="50000"/>
    <n v="50000"/>
    <n v="0"/>
    <x v="385"/>
    <s v="Cali"/>
  </r>
  <r>
    <d v="2021-05-17T00:00:00"/>
    <x v="5"/>
    <x v="20"/>
    <x v="20"/>
    <n v="-50000"/>
    <n v="0"/>
    <n v="50000"/>
    <x v="385"/>
    <s v="Cali"/>
  </r>
  <r>
    <m/>
    <x v="1"/>
    <x v="23"/>
    <x v="23"/>
    <m/>
    <m/>
    <m/>
    <x v="1"/>
    <m/>
  </r>
  <r>
    <d v="2021-05-17T00:00:00"/>
    <x v="5"/>
    <x v="0"/>
    <x v="0"/>
    <n v="50000"/>
    <n v="50000"/>
    <n v="0"/>
    <x v="386"/>
    <s v="Cali"/>
  </r>
  <r>
    <d v="2021-05-17T00:00:00"/>
    <x v="5"/>
    <x v="27"/>
    <x v="27"/>
    <n v="-50000"/>
    <n v="0"/>
    <n v="50000"/>
    <x v="386"/>
    <s v="Cali"/>
  </r>
  <r>
    <m/>
    <x v="1"/>
    <x v="23"/>
    <x v="23"/>
    <m/>
    <m/>
    <m/>
    <x v="1"/>
    <m/>
  </r>
  <r>
    <d v="2021-05-17T00:00:00"/>
    <x v="5"/>
    <x v="0"/>
    <x v="0"/>
    <n v="10000"/>
    <n v="10000"/>
    <n v="0"/>
    <x v="140"/>
    <s v="Cali"/>
  </r>
  <r>
    <d v="2021-05-17T00:00:00"/>
    <x v="5"/>
    <x v="19"/>
    <x v="19"/>
    <n v="-10000"/>
    <n v="0"/>
    <n v="10000"/>
    <x v="140"/>
    <s v="Cali"/>
  </r>
  <r>
    <m/>
    <x v="1"/>
    <x v="23"/>
    <x v="23"/>
    <m/>
    <m/>
    <m/>
    <x v="1"/>
    <m/>
  </r>
  <r>
    <d v="2021-05-17T00:00:00"/>
    <x v="5"/>
    <x v="0"/>
    <x v="0"/>
    <n v="21"/>
    <n v="21"/>
    <n v="0"/>
    <x v="330"/>
    <s v="Cali"/>
  </r>
  <r>
    <d v="2021-05-17T00:00:00"/>
    <x v="5"/>
    <x v="19"/>
    <x v="19"/>
    <n v="-21"/>
    <n v="0"/>
    <n v="21"/>
    <x v="330"/>
    <s v="Cali"/>
  </r>
  <r>
    <m/>
    <x v="1"/>
    <x v="23"/>
    <x v="23"/>
    <m/>
    <m/>
    <m/>
    <x v="1"/>
    <m/>
  </r>
  <r>
    <d v="2021-05-17T00:00:00"/>
    <x v="5"/>
    <x v="0"/>
    <x v="0"/>
    <n v="30000"/>
    <n v="30000"/>
    <n v="0"/>
    <x v="139"/>
    <s v="Cali"/>
  </r>
  <r>
    <d v="2021-05-17T00:00:00"/>
    <x v="5"/>
    <x v="25"/>
    <x v="25"/>
    <n v="-30000"/>
    <n v="0"/>
    <n v="30000"/>
    <x v="139"/>
    <s v="Cali"/>
  </r>
  <r>
    <m/>
    <x v="1"/>
    <x v="23"/>
    <x v="23"/>
    <m/>
    <m/>
    <m/>
    <x v="1"/>
    <m/>
  </r>
  <r>
    <d v="2021-05-17T00:00:00"/>
    <x v="5"/>
    <x v="0"/>
    <x v="0"/>
    <n v="20000"/>
    <n v="20000"/>
    <n v="0"/>
    <x v="201"/>
    <s v="Cali"/>
  </r>
  <r>
    <d v="2021-05-17T00:00:00"/>
    <x v="5"/>
    <x v="25"/>
    <x v="25"/>
    <n v="-20000"/>
    <n v="0"/>
    <n v="20000"/>
    <x v="201"/>
    <s v="Cali"/>
  </r>
  <r>
    <m/>
    <x v="1"/>
    <x v="23"/>
    <x v="23"/>
    <m/>
    <m/>
    <m/>
    <x v="1"/>
    <m/>
  </r>
  <r>
    <d v="2021-05-19T00:00:00"/>
    <x v="5"/>
    <x v="28"/>
    <x v="28"/>
    <n v="150000"/>
    <n v="150000"/>
    <n v="0"/>
    <x v="387"/>
    <s v="Cali"/>
  </r>
  <r>
    <d v="2021-05-19T00:00:00"/>
    <x v="5"/>
    <x v="0"/>
    <x v="0"/>
    <n v="-150000"/>
    <n v="0"/>
    <n v="150000"/>
    <x v="387"/>
    <s v="Cali"/>
  </r>
  <r>
    <m/>
    <x v="1"/>
    <x v="23"/>
    <x v="23"/>
    <m/>
    <m/>
    <m/>
    <x v="1"/>
    <m/>
  </r>
  <r>
    <d v="2021-05-19T00:00:00"/>
    <x v="5"/>
    <x v="0"/>
    <x v="0"/>
    <n v="40000"/>
    <n v="40000"/>
    <n v="0"/>
    <x v="334"/>
    <s v="Cali"/>
  </r>
  <r>
    <d v="2021-05-19T00:00:00"/>
    <x v="5"/>
    <x v="25"/>
    <x v="25"/>
    <n v="-40000"/>
    <n v="0"/>
    <n v="40000"/>
    <x v="334"/>
    <s v="Cali"/>
  </r>
  <r>
    <m/>
    <x v="1"/>
    <x v="23"/>
    <x v="23"/>
    <m/>
    <m/>
    <m/>
    <x v="1"/>
    <m/>
  </r>
  <r>
    <d v="2021-05-19T00:00:00"/>
    <x v="5"/>
    <x v="0"/>
    <x v="0"/>
    <n v="117174"/>
    <n v="117174"/>
    <n v="0"/>
    <x v="388"/>
    <s v="Cali"/>
  </r>
  <r>
    <d v="2021-05-19T00:00:00"/>
    <x v="5"/>
    <x v="27"/>
    <x v="27"/>
    <n v="-117174"/>
    <n v="0"/>
    <n v="117174"/>
    <x v="388"/>
    <s v="Cali"/>
  </r>
  <r>
    <m/>
    <x v="1"/>
    <x v="23"/>
    <x v="23"/>
    <m/>
    <m/>
    <m/>
    <x v="1"/>
    <m/>
  </r>
  <r>
    <d v="2021-05-20T00:00:00"/>
    <x v="5"/>
    <x v="0"/>
    <x v="0"/>
    <n v="100000"/>
    <n v="100000"/>
    <n v="0"/>
    <x v="65"/>
    <s v="Cali"/>
  </r>
  <r>
    <d v="2021-05-20T00:00:00"/>
    <x v="5"/>
    <x v="29"/>
    <x v="29"/>
    <n v="-100000"/>
    <n v="0"/>
    <n v="100000"/>
    <x v="65"/>
    <s v="Cali"/>
  </r>
  <r>
    <m/>
    <x v="1"/>
    <x v="23"/>
    <x v="23"/>
    <m/>
    <m/>
    <m/>
    <x v="1"/>
    <m/>
  </r>
  <r>
    <d v="2021-05-24T00:00:00"/>
    <x v="5"/>
    <x v="0"/>
    <x v="0"/>
    <n v="30000"/>
    <n v="30000"/>
    <n v="0"/>
    <x v="188"/>
    <s v="Cali"/>
  </r>
  <r>
    <d v="2021-05-24T00:00:00"/>
    <x v="5"/>
    <x v="29"/>
    <x v="29"/>
    <n v="-30000"/>
    <n v="0"/>
    <n v="30000"/>
    <x v="188"/>
    <s v="Cali"/>
  </r>
  <r>
    <m/>
    <x v="1"/>
    <x v="23"/>
    <x v="23"/>
    <m/>
    <m/>
    <m/>
    <x v="1"/>
    <m/>
  </r>
  <r>
    <d v="2021-05-24T00:00:00"/>
    <x v="5"/>
    <x v="0"/>
    <x v="0"/>
    <n v="8000"/>
    <n v="8000"/>
    <n v="0"/>
    <x v="140"/>
    <s v="Cali"/>
  </r>
  <r>
    <d v="2021-05-24T00:00:00"/>
    <x v="5"/>
    <x v="19"/>
    <x v="19"/>
    <n v="-8000"/>
    <n v="0"/>
    <n v="8000"/>
    <x v="140"/>
    <s v="Cali"/>
  </r>
  <r>
    <m/>
    <x v="1"/>
    <x v="23"/>
    <x v="23"/>
    <m/>
    <m/>
    <m/>
    <x v="1"/>
    <m/>
  </r>
  <r>
    <d v="2021-05-24T00:00:00"/>
    <x v="5"/>
    <x v="0"/>
    <x v="0"/>
    <n v="30000"/>
    <n v="30000"/>
    <n v="0"/>
    <x v="203"/>
    <s v="Cali"/>
  </r>
  <r>
    <d v="2021-05-24T00:00:00"/>
    <x v="5"/>
    <x v="27"/>
    <x v="27"/>
    <n v="-30000"/>
    <n v="0"/>
    <n v="30000"/>
    <x v="203"/>
    <s v="Cali"/>
  </r>
  <r>
    <m/>
    <x v="1"/>
    <x v="23"/>
    <x v="23"/>
    <m/>
    <m/>
    <m/>
    <x v="1"/>
    <m/>
  </r>
  <r>
    <d v="2021-05-24T00:00:00"/>
    <x v="5"/>
    <x v="0"/>
    <x v="0"/>
    <n v="100000"/>
    <n v="100000"/>
    <n v="0"/>
    <x v="333"/>
    <s v="Cali"/>
  </r>
  <r>
    <d v="2021-05-24T00:00:00"/>
    <x v="5"/>
    <x v="26"/>
    <x v="26"/>
    <n v="-100000"/>
    <n v="0"/>
    <n v="100000"/>
    <x v="333"/>
    <s v="Cali"/>
  </r>
  <r>
    <m/>
    <x v="1"/>
    <x v="23"/>
    <x v="23"/>
    <m/>
    <m/>
    <m/>
    <x v="1"/>
    <m/>
  </r>
  <r>
    <d v="2021-05-24T00:00:00"/>
    <x v="5"/>
    <x v="0"/>
    <x v="0"/>
    <n v="20000"/>
    <n v="20000"/>
    <n v="0"/>
    <x v="85"/>
    <s v="Cali"/>
  </r>
  <r>
    <d v="2021-05-24T00:00:00"/>
    <x v="5"/>
    <x v="25"/>
    <x v="25"/>
    <n v="-20000"/>
    <n v="0"/>
    <n v="20000"/>
    <x v="85"/>
    <s v="Cali"/>
  </r>
  <r>
    <m/>
    <x v="1"/>
    <x v="23"/>
    <x v="23"/>
    <m/>
    <m/>
    <m/>
    <x v="1"/>
    <m/>
  </r>
  <r>
    <d v="2021-05-24T00:00:00"/>
    <x v="5"/>
    <x v="0"/>
    <x v="0"/>
    <n v="20000"/>
    <n v="20000"/>
    <n v="0"/>
    <x v="174"/>
    <s v="Cali"/>
  </r>
  <r>
    <d v="2021-05-24T00:00:00"/>
    <x v="5"/>
    <x v="25"/>
    <x v="25"/>
    <n v="-20000"/>
    <n v="0"/>
    <n v="20000"/>
    <x v="174"/>
    <s v="Cali"/>
  </r>
  <r>
    <m/>
    <x v="1"/>
    <x v="23"/>
    <x v="23"/>
    <m/>
    <m/>
    <m/>
    <x v="1"/>
    <m/>
  </r>
  <r>
    <d v="2021-05-24T00:00:00"/>
    <x v="5"/>
    <x v="0"/>
    <x v="0"/>
    <n v="1500"/>
    <n v="1500"/>
    <n v="0"/>
    <x v="177"/>
    <s v="Cali"/>
  </r>
  <r>
    <d v="2021-05-24T00:00:00"/>
    <x v="5"/>
    <x v="19"/>
    <x v="19"/>
    <n v="-1500"/>
    <n v="0"/>
    <n v="1500"/>
    <x v="177"/>
    <s v="Cali"/>
  </r>
  <r>
    <m/>
    <x v="1"/>
    <x v="23"/>
    <x v="23"/>
    <m/>
    <m/>
    <m/>
    <x v="1"/>
    <m/>
  </r>
  <r>
    <d v="2021-05-24T00:00:00"/>
    <x v="5"/>
    <x v="0"/>
    <x v="0"/>
    <n v="200000"/>
    <n v="200000"/>
    <n v="0"/>
    <x v="192"/>
    <s v="Cali"/>
  </r>
  <r>
    <d v="2021-05-24T00:00:00"/>
    <x v="5"/>
    <x v="26"/>
    <x v="26"/>
    <n v="-200000"/>
    <n v="0"/>
    <n v="200000"/>
    <x v="192"/>
    <s v="Cali"/>
  </r>
  <r>
    <m/>
    <x v="1"/>
    <x v="23"/>
    <x v="23"/>
    <m/>
    <m/>
    <m/>
    <x v="1"/>
    <m/>
  </r>
  <r>
    <d v="2021-05-24T00:00:00"/>
    <x v="5"/>
    <x v="0"/>
    <x v="0"/>
    <n v="10730580"/>
    <n v="10730580"/>
    <n v="0"/>
    <x v="389"/>
    <s v="Cali"/>
  </r>
  <r>
    <d v="2021-05-24T00:00:00"/>
    <x v="5"/>
    <x v="5"/>
    <x v="5"/>
    <n v="-10730580"/>
    <n v="0"/>
    <n v="10730580"/>
    <x v="389"/>
    <s v="Cali"/>
  </r>
  <r>
    <m/>
    <x v="1"/>
    <x v="23"/>
    <x v="23"/>
    <m/>
    <m/>
    <m/>
    <x v="1"/>
    <m/>
  </r>
  <r>
    <d v="2021-05-24T00:00:00"/>
    <x v="5"/>
    <x v="0"/>
    <x v="0"/>
    <n v="5000"/>
    <n v="5000"/>
    <n v="0"/>
    <x v="367"/>
    <s v="Cali"/>
  </r>
  <r>
    <d v="2021-05-24T00:00:00"/>
    <x v="5"/>
    <x v="25"/>
    <x v="25"/>
    <n v="-5000"/>
    <n v="0"/>
    <n v="5000"/>
    <x v="367"/>
    <s v="Cali"/>
  </r>
  <r>
    <m/>
    <x v="1"/>
    <x v="23"/>
    <x v="23"/>
    <m/>
    <m/>
    <m/>
    <x v="1"/>
    <m/>
  </r>
  <r>
    <d v="2021-05-25T00:00:00"/>
    <x v="5"/>
    <x v="0"/>
    <x v="0"/>
    <n v="10000"/>
    <n v="10000"/>
    <n v="0"/>
    <x v="206"/>
    <s v="Cali"/>
  </r>
  <r>
    <d v="2021-05-25T00:00:00"/>
    <x v="5"/>
    <x v="26"/>
    <x v="26"/>
    <n v="-10000"/>
    <n v="0"/>
    <n v="10000"/>
    <x v="206"/>
    <s v="Cali"/>
  </r>
  <r>
    <m/>
    <x v="1"/>
    <x v="23"/>
    <x v="23"/>
    <m/>
    <m/>
    <m/>
    <x v="1"/>
    <m/>
  </r>
  <r>
    <d v="2021-05-25T00:00:00"/>
    <x v="5"/>
    <x v="0"/>
    <x v="0"/>
    <n v="10000"/>
    <n v="10000"/>
    <n v="0"/>
    <x v="277"/>
    <s v="Cali"/>
  </r>
  <r>
    <d v="2021-05-25T00:00:00"/>
    <x v="5"/>
    <x v="25"/>
    <x v="25"/>
    <n v="-10000"/>
    <n v="0"/>
    <n v="10000"/>
    <x v="277"/>
    <s v="Cali"/>
  </r>
  <r>
    <m/>
    <x v="1"/>
    <x v="23"/>
    <x v="23"/>
    <m/>
    <m/>
    <m/>
    <x v="1"/>
    <m/>
  </r>
  <r>
    <d v="2021-05-25T00:00:00"/>
    <x v="5"/>
    <x v="0"/>
    <x v="0"/>
    <n v="24000"/>
    <n v="24000"/>
    <n v="0"/>
    <x v="243"/>
    <s v="Cali"/>
  </r>
  <r>
    <d v="2021-05-25T00:00:00"/>
    <x v="5"/>
    <x v="4"/>
    <x v="4"/>
    <n v="-24000"/>
    <n v="0"/>
    <n v="24000"/>
    <x v="243"/>
    <s v="Cali"/>
  </r>
  <r>
    <m/>
    <x v="1"/>
    <x v="23"/>
    <x v="23"/>
    <m/>
    <m/>
    <m/>
    <x v="1"/>
    <m/>
  </r>
  <r>
    <d v="2021-05-26T00:00:00"/>
    <x v="5"/>
    <x v="0"/>
    <x v="0"/>
    <n v="400000"/>
    <n v="400000"/>
    <n v="0"/>
    <x v="212"/>
    <s v="Cali"/>
  </r>
  <r>
    <d v="2021-05-26T00:00:00"/>
    <x v="5"/>
    <x v="26"/>
    <x v="26"/>
    <n v="-400000"/>
    <n v="0"/>
    <n v="400000"/>
    <x v="212"/>
    <s v="Cali"/>
  </r>
  <r>
    <m/>
    <x v="1"/>
    <x v="23"/>
    <x v="23"/>
    <m/>
    <m/>
    <m/>
    <x v="1"/>
    <m/>
  </r>
  <r>
    <d v="2021-05-26T00:00:00"/>
    <x v="5"/>
    <x v="0"/>
    <x v="0"/>
    <n v="30000"/>
    <n v="30000"/>
    <n v="0"/>
    <x v="266"/>
    <s v="Cali"/>
  </r>
  <r>
    <d v="2021-05-26T00:00:00"/>
    <x v="5"/>
    <x v="25"/>
    <x v="25"/>
    <n v="-30000"/>
    <n v="0"/>
    <n v="30000"/>
    <x v="266"/>
    <s v="Cali"/>
  </r>
  <r>
    <m/>
    <x v="1"/>
    <x v="23"/>
    <x v="23"/>
    <m/>
    <m/>
    <m/>
    <x v="1"/>
    <m/>
  </r>
  <r>
    <d v="2021-05-27T00:00:00"/>
    <x v="5"/>
    <x v="0"/>
    <x v="0"/>
    <n v="2212959"/>
    <n v="2212959"/>
    <n v="0"/>
    <x v="390"/>
    <s v="Cali"/>
  </r>
  <r>
    <d v="2021-05-27T00:00:00"/>
    <x v="5"/>
    <x v="44"/>
    <x v="44"/>
    <n v="-2212959"/>
    <n v="0"/>
    <n v="2212959"/>
    <x v="390"/>
    <s v="Cali"/>
  </r>
  <r>
    <m/>
    <x v="1"/>
    <x v="23"/>
    <x v="23"/>
    <m/>
    <m/>
    <m/>
    <x v="1"/>
    <m/>
  </r>
  <r>
    <d v="2021-05-27T00:00:00"/>
    <x v="5"/>
    <x v="0"/>
    <x v="0"/>
    <n v="1940133"/>
    <n v="1940133"/>
    <n v="0"/>
    <x v="391"/>
    <s v="Cali"/>
  </r>
  <r>
    <d v="2021-05-27T00:00:00"/>
    <x v="5"/>
    <x v="45"/>
    <x v="45"/>
    <n v="-1940133"/>
    <n v="0"/>
    <n v="1940133"/>
    <x v="391"/>
    <s v="Cali"/>
  </r>
  <r>
    <m/>
    <x v="1"/>
    <x v="23"/>
    <x v="23"/>
    <m/>
    <m/>
    <m/>
    <x v="1"/>
    <m/>
  </r>
  <r>
    <d v="2021-05-28T00:00:00"/>
    <x v="5"/>
    <x v="31"/>
    <x v="31"/>
    <n v="169492"/>
    <n v="169492"/>
    <n v="0"/>
    <x v="392"/>
    <s v="Cali"/>
  </r>
  <r>
    <d v="2021-05-28T00:00:00"/>
    <x v="5"/>
    <x v="17"/>
    <x v="17"/>
    <n v="-19492"/>
    <n v="0"/>
    <n v="19492"/>
    <x v="392"/>
    <s v="Cali"/>
  </r>
  <r>
    <d v="2021-05-28T00:00:00"/>
    <x v="5"/>
    <x v="0"/>
    <x v="0"/>
    <n v="-150000"/>
    <n v="0"/>
    <n v="150000"/>
    <x v="392"/>
    <s v="Cali"/>
  </r>
  <r>
    <m/>
    <x v="1"/>
    <x v="23"/>
    <x v="23"/>
    <m/>
    <m/>
    <m/>
    <x v="1"/>
    <m/>
  </r>
  <r>
    <d v="2021-05-28T00:00:00"/>
    <x v="5"/>
    <x v="28"/>
    <x v="28"/>
    <n v="297500"/>
    <n v="297500"/>
    <n v="0"/>
    <x v="393"/>
    <s v="Cali"/>
  </r>
  <r>
    <d v="2021-05-28T00:00:00"/>
    <x v="5"/>
    <x v="0"/>
    <x v="0"/>
    <n v="-297500"/>
    <n v="0"/>
    <n v="297500"/>
    <x v="393"/>
    <s v="Cali"/>
  </r>
  <r>
    <m/>
    <x v="1"/>
    <x v="23"/>
    <x v="23"/>
    <m/>
    <m/>
    <m/>
    <x v="1"/>
    <m/>
  </r>
  <r>
    <d v="2021-05-28T00:00:00"/>
    <x v="5"/>
    <x v="0"/>
    <x v="0"/>
    <n v="73000"/>
    <n v="73000"/>
    <n v="0"/>
    <x v="240"/>
    <s v="Cali"/>
  </r>
  <r>
    <d v="2021-05-28T00:00:00"/>
    <x v="5"/>
    <x v="26"/>
    <x v="26"/>
    <n v="-73000"/>
    <n v="0"/>
    <n v="73000"/>
    <x v="240"/>
    <s v="Cali"/>
  </r>
  <r>
    <m/>
    <x v="1"/>
    <x v="23"/>
    <x v="23"/>
    <m/>
    <m/>
    <m/>
    <x v="1"/>
    <m/>
  </r>
  <r>
    <d v="2021-05-28T00:00:00"/>
    <x v="5"/>
    <x v="0"/>
    <x v="0"/>
    <n v="10000"/>
    <n v="10000"/>
    <n v="0"/>
    <x v="236"/>
    <s v="Cali"/>
  </r>
  <r>
    <d v="2021-05-28T00:00:00"/>
    <x v="5"/>
    <x v="25"/>
    <x v="25"/>
    <n v="-10000"/>
    <n v="0"/>
    <n v="10000"/>
    <x v="236"/>
    <s v="Cali"/>
  </r>
  <r>
    <m/>
    <x v="1"/>
    <x v="23"/>
    <x v="23"/>
    <m/>
    <m/>
    <m/>
    <x v="1"/>
    <m/>
  </r>
  <r>
    <d v="2021-05-28T00:00:00"/>
    <x v="5"/>
    <x v="0"/>
    <x v="0"/>
    <n v="20000"/>
    <n v="20000"/>
    <n v="0"/>
    <x v="237"/>
    <s v="Cali"/>
  </r>
  <r>
    <d v="2021-05-28T00:00:00"/>
    <x v="5"/>
    <x v="19"/>
    <x v="19"/>
    <n v="-20000"/>
    <n v="0"/>
    <n v="20000"/>
    <x v="237"/>
    <s v="Cali"/>
  </r>
  <r>
    <m/>
    <x v="1"/>
    <x v="23"/>
    <x v="23"/>
    <m/>
    <m/>
    <m/>
    <x v="1"/>
    <m/>
  </r>
  <r>
    <d v="2021-05-28T00:00:00"/>
    <x v="5"/>
    <x v="0"/>
    <x v="0"/>
    <n v="125000"/>
    <n v="125000"/>
    <n v="0"/>
    <x v="136"/>
    <s v="Cali"/>
  </r>
  <r>
    <d v="2021-05-28T00:00:00"/>
    <x v="5"/>
    <x v="26"/>
    <x v="26"/>
    <n v="-125000"/>
    <n v="0"/>
    <n v="125000"/>
    <x v="136"/>
    <s v="Cali"/>
  </r>
  <r>
    <m/>
    <x v="1"/>
    <x v="23"/>
    <x v="23"/>
    <m/>
    <m/>
    <m/>
    <x v="1"/>
    <m/>
  </r>
  <r>
    <d v="2021-05-28T00:00:00"/>
    <x v="5"/>
    <x v="0"/>
    <x v="0"/>
    <n v="25000"/>
    <n v="25000"/>
    <n v="0"/>
    <x v="138"/>
    <s v="Cali"/>
  </r>
  <r>
    <d v="2021-05-28T00:00:00"/>
    <x v="5"/>
    <x v="27"/>
    <x v="27"/>
    <n v="-25000"/>
    <n v="0"/>
    <n v="25000"/>
    <x v="138"/>
    <s v="Cali"/>
  </r>
  <r>
    <m/>
    <x v="1"/>
    <x v="23"/>
    <x v="23"/>
    <m/>
    <m/>
    <m/>
    <x v="1"/>
    <m/>
  </r>
  <r>
    <d v="2021-05-31T00:00:00"/>
    <x v="5"/>
    <x v="0"/>
    <x v="0"/>
    <n v="60000"/>
    <n v="60000"/>
    <n v="0"/>
    <x v="238"/>
    <s v="Cali"/>
  </r>
  <r>
    <d v="2021-05-31T00:00:00"/>
    <x v="5"/>
    <x v="25"/>
    <x v="25"/>
    <n v="-60000"/>
    <n v="0"/>
    <n v="60000"/>
    <x v="238"/>
    <s v="Cali"/>
  </r>
  <r>
    <m/>
    <x v="1"/>
    <x v="23"/>
    <x v="23"/>
    <m/>
    <m/>
    <m/>
    <x v="1"/>
    <m/>
  </r>
  <r>
    <d v="2021-05-31T00:00:00"/>
    <x v="5"/>
    <x v="0"/>
    <x v="0"/>
    <n v="10000"/>
    <n v="10000"/>
    <n v="0"/>
    <x v="198"/>
    <s v="Cali"/>
  </r>
  <r>
    <d v="2021-05-31T00:00:00"/>
    <x v="5"/>
    <x v="27"/>
    <x v="27"/>
    <n v="-10000"/>
    <n v="0"/>
    <n v="10000"/>
    <x v="198"/>
    <s v="Cali"/>
  </r>
  <r>
    <m/>
    <x v="1"/>
    <x v="23"/>
    <x v="23"/>
    <m/>
    <m/>
    <m/>
    <x v="1"/>
    <m/>
  </r>
  <r>
    <d v="2021-05-31T00:00:00"/>
    <x v="5"/>
    <x v="0"/>
    <x v="0"/>
    <n v="8000"/>
    <n v="8000"/>
    <n v="0"/>
    <x v="140"/>
    <s v="Cali"/>
  </r>
  <r>
    <d v="2021-05-31T00:00:00"/>
    <x v="5"/>
    <x v="19"/>
    <x v="19"/>
    <n v="-8000"/>
    <n v="0"/>
    <n v="8000"/>
    <x v="140"/>
    <s v="Cali"/>
  </r>
  <r>
    <m/>
    <x v="1"/>
    <x v="23"/>
    <x v="23"/>
    <m/>
    <m/>
    <m/>
    <x v="1"/>
    <m/>
  </r>
  <r>
    <d v="2021-05-31T00:00:00"/>
    <x v="5"/>
    <x v="0"/>
    <x v="0"/>
    <n v="100000"/>
    <n v="100000"/>
    <n v="0"/>
    <x v="134"/>
    <s v="Cali"/>
  </r>
  <r>
    <d v="2021-05-31T00:00:00"/>
    <x v="5"/>
    <x v="26"/>
    <x v="26"/>
    <n v="-100000"/>
    <n v="0"/>
    <n v="100000"/>
    <x v="134"/>
    <s v="Cali"/>
  </r>
  <r>
    <m/>
    <x v="1"/>
    <x v="23"/>
    <x v="23"/>
    <m/>
    <m/>
    <m/>
    <x v="1"/>
    <m/>
  </r>
  <r>
    <d v="2021-05-31T00:00:00"/>
    <x v="5"/>
    <x v="0"/>
    <x v="0"/>
    <n v="36000"/>
    <n v="36000"/>
    <n v="0"/>
    <x v="133"/>
    <s v="Cali"/>
  </r>
  <r>
    <d v="2021-05-31T00:00:00"/>
    <x v="5"/>
    <x v="25"/>
    <x v="25"/>
    <n v="-36000"/>
    <n v="0"/>
    <n v="36000"/>
    <x v="133"/>
    <s v="Cali"/>
  </r>
  <r>
    <m/>
    <x v="1"/>
    <x v="23"/>
    <x v="23"/>
    <m/>
    <m/>
    <m/>
    <x v="1"/>
    <m/>
  </r>
  <r>
    <d v="2021-05-31T00:00:00"/>
    <x v="5"/>
    <x v="0"/>
    <x v="0"/>
    <n v="50000"/>
    <n v="50000"/>
    <n v="0"/>
    <x v="135"/>
    <s v="Cali"/>
  </r>
  <r>
    <d v="2021-05-31T00:00:00"/>
    <x v="5"/>
    <x v="26"/>
    <x v="26"/>
    <n v="-50000"/>
    <n v="0"/>
    <n v="50000"/>
    <x v="135"/>
    <s v="Cali"/>
  </r>
  <r>
    <m/>
    <x v="1"/>
    <x v="23"/>
    <x v="23"/>
    <m/>
    <m/>
    <m/>
    <x v="1"/>
    <m/>
  </r>
  <r>
    <d v="2021-05-31T00:00:00"/>
    <x v="5"/>
    <x v="0"/>
    <x v="0"/>
    <n v="30000"/>
    <n v="30000"/>
    <n v="0"/>
    <x v="319"/>
    <s v="Cali"/>
  </r>
  <r>
    <d v="2021-05-31T00:00:00"/>
    <x v="5"/>
    <x v="19"/>
    <x v="19"/>
    <n v="-30000"/>
    <n v="0"/>
    <n v="30000"/>
    <x v="319"/>
    <s v="Cali"/>
  </r>
  <r>
    <m/>
    <x v="1"/>
    <x v="23"/>
    <x v="23"/>
    <m/>
    <m/>
    <m/>
    <x v="1"/>
    <m/>
  </r>
  <r>
    <d v="2021-05-31T00:00:00"/>
    <x v="5"/>
    <x v="0"/>
    <x v="0"/>
    <n v="20000"/>
    <n v="20000"/>
    <n v="0"/>
    <x v="151"/>
    <s v="Cali"/>
  </r>
  <r>
    <d v="2021-05-31T00:00:00"/>
    <x v="5"/>
    <x v="25"/>
    <x v="25"/>
    <n v="-20000"/>
    <n v="0"/>
    <n v="20000"/>
    <x v="151"/>
    <s v="Cali"/>
  </r>
  <r>
    <m/>
    <x v="1"/>
    <x v="23"/>
    <x v="23"/>
    <m/>
    <m/>
    <m/>
    <x v="1"/>
    <m/>
  </r>
  <r>
    <d v="2021-05-31T00:00:00"/>
    <x v="5"/>
    <x v="0"/>
    <x v="0"/>
    <n v="40000"/>
    <n v="40000"/>
    <n v="0"/>
    <x v="241"/>
    <s v="Cali"/>
  </r>
  <r>
    <d v="2021-05-31T00:00:00"/>
    <x v="5"/>
    <x v="26"/>
    <x v="26"/>
    <n v="-40000"/>
    <n v="0"/>
    <n v="40000"/>
    <x v="241"/>
    <s v="Cali"/>
  </r>
  <r>
    <m/>
    <x v="1"/>
    <x v="23"/>
    <x v="23"/>
    <m/>
    <m/>
    <m/>
    <x v="1"/>
    <m/>
  </r>
  <r>
    <d v="2021-05-31T00:00:00"/>
    <x v="5"/>
    <x v="0"/>
    <x v="0"/>
    <n v="14000"/>
    <n v="14000"/>
    <n v="0"/>
    <x v="289"/>
    <s v="Cali"/>
  </r>
  <r>
    <d v="2021-05-31T00:00:00"/>
    <x v="5"/>
    <x v="26"/>
    <x v="26"/>
    <n v="-14000"/>
    <n v="0"/>
    <n v="14000"/>
    <x v="289"/>
    <s v="Cali"/>
  </r>
  <r>
    <m/>
    <x v="1"/>
    <x v="23"/>
    <x v="23"/>
    <m/>
    <m/>
    <m/>
    <x v="1"/>
    <m/>
  </r>
  <r>
    <d v="2021-05-31T00:00:00"/>
    <x v="5"/>
    <x v="0"/>
    <x v="0"/>
    <n v="20000"/>
    <n v="20000"/>
    <n v="0"/>
    <x v="332"/>
    <s v="Cali"/>
  </r>
  <r>
    <d v="2021-05-31T00:00:00"/>
    <x v="5"/>
    <x v="19"/>
    <x v="19"/>
    <n v="-20000"/>
    <n v="0"/>
    <n v="20000"/>
    <x v="332"/>
    <s v="Cali"/>
  </r>
  <r>
    <m/>
    <x v="1"/>
    <x v="23"/>
    <x v="23"/>
    <m/>
    <m/>
    <m/>
    <x v="1"/>
    <m/>
  </r>
  <r>
    <d v="2021-05-31T00:00:00"/>
    <x v="5"/>
    <x v="0"/>
    <x v="0"/>
    <n v="1454550"/>
    <n v="1454550"/>
    <n v="0"/>
    <x v="394"/>
    <s v="Cali"/>
  </r>
  <r>
    <d v="2021-05-31T00:00:00"/>
    <x v="5"/>
    <x v="26"/>
    <x v="26"/>
    <n v="-1454550"/>
    <n v="0"/>
    <n v="1454550"/>
    <x v="394"/>
    <s v="Cali"/>
  </r>
  <r>
    <m/>
    <x v="1"/>
    <x v="23"/>
    <x v="23"/>
    <m/>
    <m/>
    <m/>
    <x v="1"/>
    <m/>
  </r>
  <r>
    <d v="2021-05-31T00:00:00"/>
    <x v="5"/>
    <x v="0"/>
    <x v="0"/>
    <n v="20000"/>
    <n v="20000"/>
    <n v="0"/>
    <x v="132"/>
    <s v="Cali"/>
  </r>
  <r>
    <d v="2021-05-31T00:00:00"/>
    <x v="5"/>
    <x v="25"/>
    <x v="25"/>
    <n v="-20000"/>
    <n v="0"/>
    <n v="20000"/>
    <x v="132"/>
    <s v="Cali"/>
  </r>
  <r>
    <m/>
    <x v="1"/>
    <x v="23"/>
    <x v="23"/>
    <m/>
    <m/>
    <m/>
    <x v="1"/>
    <m/>
  </r>
  <r>
    <d v="2021-05-31T00:00:00"/>
    <x v="5"/>
    <x v="0"/>
    <x v="0"/>
    <n v="200000"/>
    <n v="200000"/>
    <n v="0"/>
    <x v="242"/>
    <s v="Cali"/>
  </r>
  <r>
    <d v="2021-05-31T00:00:00"/>
    <x v="5"/>
    <x v="26"/>
    <x v="26"/>
    <n v="-200000"/>
    <n v="0"/>
    <n v="200000"/>
    <x v="242"/>
    <s v="Cali"/>
  </r>
  <r>
    <m/>
    <x v="1"/>
    <x v="23"/>
    <x v="23"/>
    <m/>
    <m/>
    <m/>
    <x v="1"/>
    <m/>
  </r>
  <r>
    <d v="2021-05-31T00:00:00"/>
    <x v="5"/>
    <x v="0"/>
    <x v="0"/>
    <n v="2000000"/>
    <n v="2000000"/>
    <n v="0"/>
    <x v="395"/>
    <s v="Cali"/>
  </r>
  <r>
    <d v="2021-05-31T00:00:00"/>
    <x v="5"/>
    <x v="26"/>
    <x v="26"/>
    <n v="-2000000"/>
    <n v="0"/>
    <n v="2000000"/>
    <x v="395"/>
    <s v="Cali"/>
  </r>
  <r>
    <m/>
    <x v="1"/>
    <x v="23"/>
    <x v="23"/>
    <m/>
    <m/>
    <m/>
    <x v="1"/>
    <m/>
  </r>
  <r>
    <d v="2021-05-07T00:00:00"/>
    <x v="5"/>
    <x v="49"/>
    <x v="49"/>
    <n v="1947"/>
    <n v="1947"/>
    <n v="0"/>
    <x v="331"/>
    <s v="Cali"/>
  </r>
  <r>
    <d v="2021-05-07T00:00:00"/>
    <x v="5"/>
    <x v="1"/>
    <x v="1"/>
    <n v="-1947"/>
    <n v="0"/>
    <n v="1947"/>
    <x v="331"/>
    <s v="Cali"/>
  </r>
  <r>
    <m/>
    <x v="1"/>
    <x v="23"/>
    <x v="23"/>
    <m/>
    <m/>
    <m/>
    <x v="1"/>
    <m/>
  </r>
  <r>
    <d v="2021-05-07T00:00:00"/>
    <x v="5"/>
    <x v="49"/>
    <x v="49"/>
    <n v="370"/>
    <n v="370"/>
    <n v="0"/>
    <x v="331"/>
    <s v="Cali"/>
  </r>
  <r>
    <d v="2021-05-07T00:00:00"/>
    <x v="5"/>
    <x v="1"/>
    <x v="1"/>
    <n v="-370"/>
    <n v="0"/>
    <n v="370"/>
    <x v="331"/>
    <s v="Cali"/>
  </r>
  <r>
    <m/>
    <x v="1"/>
    <x v="23"/>
    <x v="23"/>
    <m/>
    <m/>
    <m/>
    <x v="1"/>
    <m/>
  </r>
  <r>
    <d v="2021-05-14T00:00:00"/>
    <x v="5"/>
    <x v="1"/>
    <x v="1"/>
    <n v="517961570"/>
    <n v="517961570"/>
    <n v="0"/>
    <x v="345"/>
    <s v="Cali"/>
  </r>
  <r>
    <d v="2021-05-14T00:00:00"/>
    <x v="5"/>
    <x v="2"/>
    <x v="2"/>
    <n v="-517961570"/>
    <n v="0"/>
    <n v="517961570"/>
    <x v="345"/>
    <s v="Cali"/>
  </r>
  <r>
    <m/>
    <x v="1"/>
    <x v="23"/>
    <x v="23"/>
    <m/>
    <m/>
    <m/>
    <x v="1"/>
    <m/>
  </r>
  <r>
    <d v="2021-05-17T00:00:00"/>
    <x v="5"/>
    <x v="1"/>
    <x v="1"/>
    <n v="37122427"/>
    <n v="37122427"/>
    <n v="0"/>
    <x v="396"/>
    <s v="Cali"/>
  </r>
  <r>
    <d v="2021-05-17T00:00:00"/>
    <x v="5"/>
    <x v="3"/>
    <x v="3"/>
    <n v="-37122427"/>
    <n v="0"/>
    <n v="37122427"/>
    <x v="396"/>
    <s v="Cali"/>
  </r>
  <r>
    <m/>
    <x v="1"/>
    <x v="23"/>
    <x v="23"/>
    <m/>
    <m/>
    <m/>
    <x v="1"/>
    <m/>
  </r>
  <r>
    <d v="2021-05-17T00:00:00"/>
    <x v="5"/>
    <x v="51"/>
    <x v="51"/>
    <n v="430000000"/>
    <n v="430000000"/>
    <n v="0"/>
    <x v="397"/>
    <s v="Cali"/>
  </r>
  <r>
    <d v="2021-05-17T00:00:00"/>
    <x v="5"/>
    <x v="1"/>
    <x v="1"/>
    <n v="-430000000"/>
    <n v="0"/>
    <n v="430000000"/>
    <x v="397"/>
    <s v="Cali"/>
  </r>
  <r>
    <m/>
    <x v="1"/>
    <x v="23"/>
    <x v="23"/>
    <m/>
    <m/>
    <m/>
    <x v="1"/>
    <m/>
  </r>
  <r>
    <d v="2021-05-17T00:00:00"/>
    <x v="5"/>
    <x v="53"/>
    <x v="53"/>
    <n v="430000000"/>
    <n v="430000000"/>
    <n v="0"/>
    <x v="398"/>
    <s v="Cali"/>
  </r>
  <r>
    <d v="2021-05-17T00:00:00"/>
    <x v="5"/>
    <x v="51"/>
    <x v="51"/>
    <n v="-430000000"/>
    <n v="0"/>
    <n v="430000000"/>
    <x v="398"/>
    <s v="Cali"/>
  </r>
  <r>
    <m/>
    <x v="1"/>
    <x v="23"/>
    <x v="23"/>
    <m/>
    <m/>
    <m/>
    <x v="1"/>
    <m/>
  </r>
  <r>
    <d v="2021-05-17T00:00:00"/>
    <x v="5"/>
    <x v="11"/>
    <x v="11"/>
    <n v="-25066747"/>
    <n v="0"/>
    <n v="25066747"/>
    <x v="399"/>
    <s v="Cali"/>
  </r>
  <r>
    <d v="2021-05-17T00:00:00"/>
    <x v="5"/>
    <x v="8"/>
    <x v="8"/>
    <n v="213140814"/>
    <n v="213140814"/>
    <n v="0"/>
    <x v="400"/>
    <s v="Cali"/>
  </r>
  <r>
    <d v="2021-05-17T00:00:00"/>
    <x v="5"/>
    <x v="18"/>
    <x v="18"/>
    <n v="-9229303"/>
    <n v="0"/>
    <n v="9229303"/>
    <x v="401"/>
    <s v="Cali"/>
  </r>
  <r>
    <d v="2021-05-17T00:00:00"/>
    <x v="5"/>
    <x v="48"/>
    <x v="48"/>
    <n v="-178844764"/>
    <n v="0"/>
    <n v="178844764"/>
    <x v="129"/>
    <s v="Cali"/>
  </r>
  <r>
    <m/>
    <x v="1"/>
    <x v="23"/>
    <x v="23"/>
    <m/>
    <m/>
    <m/>
    <x v="1"/>
    <m/>
  </r>
  <r>
    <d v="2021-05-17T00:00:00"/>
    <x v="5"/>
    <x v="48"/>
    <x v="48"/>
    <n v="178844764"/>
    <n v="178844764"/>
    <n v="0"/>
    <x v="402"/>
    <s v="Cali"/>
  </r>
  <r>
    <d v="2021-05-17T00:00:00"/>
    <x v="5"/>
    <x v="1"/>
    <x v="1"/>
    <n v="-178844764"/>
    <n v="0"/>
    <n v="178844764"/>
    <x v="402"/>
    <s v="Cali"/>
  </r>
  <r>
    <m/>
    <x v="1"/>
    <x v="23"/>
    <x v="23"/>
    <m/>
    <m/>
    <m/>
    <x v="1"/>
    <m/>
  </r>
  <r>
    <d v="2021-05-17T00:00:00"/>
    <x v="5"/>
    <x v="12"/>
    <x v="12"/>
    <n v="4276080"/>
    <n v="4276080"/>
    <n v="0"/>
    <x v="403"/>
    <s v="Cali"/>
  </r>
  <r>
    <d v="2021-05-17T00:00:00"/>
    <x v="5"/>
    <x v="48"/>
    <x v="48"/>
    <n v="-4276080"/>
    <n v="0"/>
    <n v="4276080"/>
    <x v="403"/>
    <s v="Cali"/>
  </r>
  <r>
    <m/>
    <x v="1"/>
    <x v="23"/>
    <x v="23"/>
    <m/>
    <m/>
    <m/>
    <x v="1"/>
    <m/>
  </r>
  <r>
    <d v="2021-05-17T00:00:00"/>
    <x v="5"/>
    <x v="48"/>
    <x v="48"/>
    <n v="4276080"/>
    <n v="4276080"/>
    <n v="0"/>
    <x v="403"/>
    <s v="Cali"/>
  </r>
  <r>
    <d v="2021-05-17T00:00:00"/>
    <x v="5"/>
    <x v="1"/>
    <x v="1"/>
    <n v="-4276080"/>
    <n v="0"/>
    <n v="4276080"/>
    <x v="403"/>
    <s v="Cali"/>
  </r>
  <r>
    <m/>
    <x v="1"/>
    <x v="23"/>
    <x v="23"/>
    <m/>
    <m/>
    <m/>
    <x v="1"/>
    <m/>
  </r>
  <r>
    <d v="2021-05-31T00:00:00"/>
    <x v="5"/>
    <x v="32"/>
    <x v="32"/>
    <n v="-478000"/>
    <n v="0"/>
    <n v="478000"/>
    <x v="404"/>
    <s v="Cali"/>
  </r>
  <r>
    <d v="2021-05-31T00:00:00"/>
    <x v="5"/>
    <x v="33"/>
    <x v="33"/>
    <n v="0"/>
    <n v="0"/>
    <n v="0"/>
    <x v="404"/>
    <s v="Cali"/>
  </r>
  <r>
    <d v="2021-05-31T00:00:00"/>
    <x v="5"/>
    <x v="34"/>
    <x v="34"/>
    <n v="-3445504"/>
    <n v="0"/>
    <n v="3445504"/>
    <x v="404"/>
    <s v="Cali"/>
  </r>
  <r>
    <d v="2021-05-31T00:00:00"/>
    <x v="5"/>
    <x v="35"/>
    <x v="35"/>
    <n v="-2175000"/>
    <n v="0"/>
    <n v="2175000"/>
    <x v="404"/>
    <s v="Cali"/>
  </r>
  <r>
    <d v="2021-05-31T00:00:00"/>
    <x v="5"/>
    <x v="36"/>
    <x v="36"/>
    <n v="-4190600"/>
    <n v="0"/>
    <n v="4190600"/>
    <x v="404"/>
    <s v="Cali"/>
  </r>
  <r>
    <d v="2021-05-31T00:00:00"/>
    <x v="5"/>
    <x v="37"/>
    <x v="37"/>
    <n v="-6669213"/>
    <n v="0"/>
    <n v="6669213"/>
    <x v="404"/>
    <s v="Cali"/>
  </r>
  <r>
    <d v="2021-05-31T00:00:00"/>
    <x v="5"/>
    <x v="29"/>
    <x v="29"/>
    <n v="478000"/>
    <n v="478000"/>
    <n v="0"/>
    <x v="404"/>
    <s v="Cali"/>
  </r>
  <r>
    <d v="2021-05-31T00:00:00"/>
    <x v="5"/>
    <x v="27"/>
    <x v="27"/>
    <n v="3445504"/>
    <n v="3445504"/>
    <n v="0"/>
    <x v="404"/>
    <s v="Cali"/>
  </r>
  <r>
    <d v="2021-05-31T00:00:00"/>
    <x v="5"/>
    <x v="25"/>
    <x v="25"/>
    <n v="2175000"/>
    <n v="2175000"/>
    <n v="0"/>
    <x v="404"/>
    <s v="Cali"/>
  </r>
  <r>
    <d v="2021-05-31T00:00:00"/>
    <x v="5"/>
    <x v="5"/>
    <x v="5"/>
    <n v="10859813"/>
    <n v="10859813"/>
    <n v="0"/>
    <x v="404"/>
    <s v="Cali"/>
  </r>
  <r>
    <d v="2021-05-31T00:00:00"/>
    <x v="5"/>
    <x v="15"/>
    <x v="15"/>
    <n v="-4241404"/>
    <n v="0"/>
    <n v="4241404"/>
    <x v="404"/>
    <s v="Cali"/>
  </r>
  <r>
    <d v="2021-05-31T00:00:00"/>
    <x v="5"/>
    <x v="38"/>
    <x v="38"/>
    <n v="4241404"/>
    <n v="4241404"/>
    <n v="0"/>
    <x v="404"/>
    <s v="Cali"/>
  </r>
  <r>
    <d v="2021-05-31T00:00:00"/>
    <x v="5"/>
    <x v="16"/>
    <x v="16"/>
    <n v="-57360"/>
    <n v="0"/>
    <n v="57360"/>
    <x v="404"/>
    <s v="Cali"/>
  </r>
  <r>
    <d v="2021-05-31T00:00:00"/>
    <x v="5"/>
    <x v="14"/>
    <x v="14"/>
    <n v="-169583"/>
    <n v="0"/>
    <n v="169583"/>
    <x v="404"/>
    <s v="Cali"/>
  </r>
  <r>
    <d v="2021-05-31T00:00:00"/>
    <x v="5"/>
    <x v="39"/>
    <x v="39"/>
    <n v="57360"/>
    <n v="57360"/>
    <n v="0"/>
    <x v="404"/>
    <s v="Cali"/>
  </r>
  <r>
    <d v="2021-05-31T00:00:00"/>
    <x v="5"/>
    <x v="40"/>
    <x v="40"/>
    <n v="169583"/>
    <n v="169583"/>
    <n v="0"/>
    <x v="404"/>
    <s v="Cali"/>
  </r>
  <r>
    <d v="2021-05-31T00:00:00"/>
    <x v="5"/>
    <x v="41"/>
    <x v="41"/>
    <n v="-6088671"/>
    <n v="0"/>
    <n v="6088671"/>
    <x v="404"/>
    <s v="Cali"/>
  </r>
  <r>
    <d v="2021-05-31T00:00:00"/>
    <x v="5"/>
    <x v="42"/>
    <x v="42"/>
    <n v="-2010500"/>
    <n v="0"/>
    <n v="2010500"/>
    <x v="404"/>
    <s v="Cali"/>
  </r>
  <r>
    <d v="2021-05-31T00:00:00"/>
    <x v="5"/>
    <x v="43"/>
    <x v="43"/>
    <n v="416188"/>
    <n v="416188"/>
    <n v="0"/>
    <x v="404"/>
    <s v="Cali"/>
  </r>
  <r>
    <d v="2021-05-31T00:00:00"/>
    <x v="5"/>
    <x v="43"/>
    <x v="43"/>
    <n v="50263"/>
    <n v="50263"/>
    <n v="0"/>
    <x v="404"/>
    <s v="Cali"/>
  </r>
  <r>
    <d v="2021-05-31T00:00:00"/>
    <x v="5"/>
    <x v="38"/>
    <x v="38"/>
    <n v="3398637"/>
    <n v="3398637"/>
    <n v="0"/>
    <x v="404"/>
    <s v="Cali"/>
  </r>
  <r>
    <d v="2021-05-31T00:00:00"/>
    <x v="5"/>
    <x v="40"/>
    <x v="40"/>
    <n v="60887"/>
    <n v="60887"/>
    <n v="0"/>
    <x v="404"/>
    <s v="Cali"/>
  </r>
  <r>
    <d v="2021-05-31T00:00:00"/>
    <x v="5"/>
    <x v="40"/>
    <x v="40"/>
    <n v="20105"/>
    <n v="20105"/>
    <n v="0"/>
    <x v="404"/>
    <s v="Cali"/>
  </r>
  <r>
    <d v="2021-05-31T00:00:00"/>
    <x v="5"/>
    <x v="44"/>
    <x v="44"/>
    <n v="2212959"/>
    <n v="2212959"/>
    <n v="0"/>
    <x v="404"/>
    <s v="Cali"/>
  </r>
  <r>
    <d v="2021-05-31T00:00:00"/>
    <x v="5"/>
    <x v="45"/>
    <x v="45"/>
    <n v="1940132"/>
    <n v="1940132"/>
    <n v="0"/>
    <x v="404"/>
    <s v="Cali"/>
  </r>
  <r>
    <d v="2021-05-31T00:00:00"/>
    <x v="5"/>
    <x v="5"/>
    <x v="5"/>
    <n v="-129232"/>
    <n v="0"/>
    <n v="129232"/>
    <x v="404"/>
    <s v="Cali"/>
  </r>
  <r>
    <d v="2021-05-31T00:00:00"/>
    <x v="5"/>
    <x v="30"/>
    <x v="30"/>
    <n v="129232"/>
    <n v="129232"/>
    <n v="0"/>
    <x v="404"/>
    <s v="Cali"/>
  </r>
  <r>
    <m/>
    <x v="1"/>
    <x v="23"/>
    <x v="23"/>
    <m/>
    <m/>
    <m/>
    <x v="1"/>
    <m/>
  </r>
  <r>
    <d v="2021-05-31T00:00:00"/>
    <x v="5"/>
    <x v="13"/>
    <x v="13"/>
    <n v="30000"/>
    <n v="30000"/>
    <n v="0"/>
    <x v="405"/>
    <m/>
  </r>
  <r>
    <d v="2021-05-31T00:00:00"/>
    <x v="5"/>
    <x v="13"/>
    <x v="13"/>
    <n v="20000"/>
    <n v="20000"/>
    <n v="0"/>
    <x v="299"/>
    <m/>
  </r>
  <r>
    <d v="2021-05-31T00:00:00"/>
    <x v="5"/>
    <x v="13"/>
    <x v="13"/>
    <n v="40000"/>
    <n v="40000"/>
    <n v="0"/>
    <x v="356"/>
    <m/>
  </r>
  <r>
    <d v="2021-05-31T00:00:00"/>
    <x v="5"/>
    <x v="13"/>
    <x v="13"/>
    <n v="50000"/>
    <n v="50000"/>
    <n v="0"/>
    <x v="357"/>
    <m/>
  </r>
  <r>
    <d v="2021-05-31T00:00:00"/>
    <x v="5"/>
    <x v="13"/>
    <x v="13"/>
    <n v="100000"/>
    <n v="100000"/>
    <n v="0"/>
    <x v="220"/>
    <m/>
  </r>
  <r>
    <d v="2021-05-31T00:00:00"/>
    <x v="5"/>
    <x v="13"/>
    <x v="13"/>
    <n v="53000"/>
    <n v="53000"/>
    <n v="0"/>
    <x v="221"/>
    <m/>
  </r>
  <r>
    <d v="2021-05-31T00:00:00"/>
    <x v="5"/>
    <x v="13"/>
    <x v="13"/>
    <n v="15000"/>
    <n v="15000"/>
    <n v="0"/>
    <x v="301"/>
    <m/>
  </r>
  <r>
    <d v="2021-05-31T00:00:00"/>
    <x v="5"/>
    <x v="13"/>
    <x v="13"/>
    <n v="30000"/>
    <n v="30000"/>
    <n v="0"/>
    <x v="360"/>
    <m/>
  </r>
  <r>
    <d v="2021-05-31T00:00:00"/>
    <x v="5"/>
    <x v="13"/>
    <x v="13"/>
    <n v="250000"/>
    <n v="250000"/>
    <n v="0"/>
    <x v="303"/>
    <m/>
  </r>
  <r>
    <d v="2021-05-31T00:00:00"/>
    <x v="5"/>
    <x v="13"/>
    <x v="13"/>
    <n v="30000"/>
    <n v="30000"/>
    <n v="0"/>
    <x v="304"/>
    <m/>
  </r>
  <r>
    <d v="2021-05-31T00:00:00"/>
    <x v="5"/>
    <x v="13"/>
    <x v="13"/>
    <n v="20000"/>
    <n v="20000"/>
    <n v="0"/>
    <x v="406"/>
    <m/>
  </r>
  <r>
    <d v="2021-05-31T00:00:00"/>
    <x v="5"/>
    <x v="13"/>
    <x v="13"/>
    <n v="50000"/>
    <n v="50000"/>
    <n v="0"/>
    <x v="407"/>
    <m/>
  </r>
  <r>
    <d v="2021-05-31T00:00:00"/>
    <x v="5"/>
    <x v="13"/>
    <x v="13"/>
    <n v="200000"/>
    <n v="200000"/>
    <n v="0"/>
    <x v="408"/>
    <m/>
  </r>
  <r>
    <d v="2021-05-31T00:00:00"/>
    <x v="5"/>
    <x v="13"/>
    <x v="13"/>
    <n v="10000"/>
    <n v="10000"/>
    <n v="0"/>
    <x v="409"/>
    <m/>
  </r>
  <r>
    <d v="2021-05-31T00:00:00"/>
    <x v="5"/>
    <x v="13"/>
    <x v="13"/>
    <n v="250000"/>
    <n v="250000"/>
    <n v="0"/>
    <x v="410"/>
    <m/>
  </r>
  <r>
    <d v="2021-05-31T00:00:00"/>
    <x v="5"/>
    <x v="13"/>
    <x v="13"/>
    <n v="20000"/>
    <n v="20000"/>
    <n v="0"/>
    <x v="411"/>
    <m/>
  </r>
  <r>
    <d v="2021-05-31T00:00:00"/>
    <x v="5"/>
    <x v="26"/>
    <x v="26"/>
    <n v="-30000"/>
    <n v="0"/>
    <n v="30000"/>
    <x v="405"/>
    <m/>
  </r>
  <r>
    <d v="2021-05-31T00:00:00"/>
    <x v="5"/>
    <x v="26"/>
    <x v="26"/>
    <n v="-20000"/>
    <n v="0"/>
    <n v="20000"/>
    <x v="299"/>
    <m/>
  </r>
  <r>
    <d v="2021-05-31T00:00:00"/>
    <x v="5"/>
    <x v="25"/>
    <x v="25"/>
    <n v="-40000"/>
    <n v="0"/>
    <n v="40000"/>
    <x v="356"/>
    <m/>
  </r>
  <r>
    <d v="2021-05-31T00:00:00"/>
    <x v="5"/>
    <x v="26"/>
    <x v="26"/>
    <n v="-50000"/>
    <n v="0"/>
    <n v="50000"/>
    <x v="357"/>
    <m/>
  </r>
  <r>
    <d v="2021-05-31T00:00:00"/>
    <x v="5"/>
    <x v="25"/>
    <x v="25"/>
    <n v="-100000"/>
    <n v="0"/>
    <n v="100000"/>
    <x v="220"/>
    <m/>
  </r>
  <r>
    <d v="2021-05-31T00:00:00"/>
    <x v="5"/>
    <x v="25"/>
    <x v="25"/>
    <n v="-53000"/>
    <n v="0"/>
    <n v="53000"/>
    <x v="221"/>
    <m/>
  </r>
  <r>
    <d v="2021-05-31T00:00:00"/>
    <x v="5"/>
    <x v="25"/>
    <x v="25"/>
    <n v="-15000"/>
    <n v="0"/>
    <n v="15000"/>
    <x v="301"/>
    <m/>
  </r>
  <r>
    <d v="2021-05-31T00:00:00"/>
    <x v="5"/>
    <x v="26"/>
    <x v="26"/>
    <n v="-30000"/>
    <n v="0"/>
    <n v="30000"/>
    <x v="360"/>
    <m/>
  </r>
  <r>
    <d v="2021-05-31T00:00:00"/>
    <x v="5"/>
    <x v="26"/>
    <x v="26"/>
    <n v="-250000"/>
    <n v="0"/>
    <n v="250000"/>
    <x v="303"/>
    <m/>
  </r>
  <r>
    <d v="2021-05-31T00:00:00"/>
    <x v="5"/>
    <x v="25"/>
    <x v="25"/>
    <n v="-30000"/>
    <n v="0"/>
    <n v="30000"/>
    <x v="304"/>
    <m/>
  </r>
  <r>
    <d v="2021-05-31T00:00:00"/>
    <x v="5"/>
    <x v="26"/>
    <x v="26"/>
    <n v="-20000"/>
    <n v="0"/>
    <n v="20000"/>
    <x v="406"/>
    <m/>
  </r>
  <r>
    <d v="2021-05-31T00:00:00"/>
    <x v="5"/>
    <x v="25"/>
    <x v="25"/>
    <n v="-50000"/>
    <n v="0"/>
    <n v="50000"/>
    <x v="407"/>
    <m/>
  </r>
  <r>
    <d v="2021-05-31T00:00:00"/>
    <x v="5"/>
    <x v="27"/>
    <x v="27"/>
    <n v="-200000"/>
    <n v="0"/>
    <n v="200000"/>
    <x v="408"/>
    <m/>
  </r>
  <r>
    <d v="2021-05-31T00:00:00"/>
    <x v="5"/>
    <x v="25"/>
    <x v="25"/>
    <n v="-10000"/>
    <n v="0"/>
    <n v="10000"/>
    <x v="409"/>
    <m/>
  </r>
  <r>
    <d v="2021-05-31T00:00:00"/>
    <x v="5"/>
    <x v="25"/>
    <x v="25"/>
    <n v="-250000"/>
    <n v="0"/>
    <n v="250000"/>
    <x v="410"/>
    <m/>
  </r>
  <r>
    <d v="2021-05-31T00:00:00"/>
    <x v="5"/>
    <x v="27"/>
    <x v="27"/>
    <n v="-20000"/>
    <n v="0"/>
    <n v="20000"/>
    <x v="411"/>
    <m/>
  </r>
  <r>
    <m/>
    <x v="1"/>
    <x v="23"/>
    <x v="23"/>
    <m/>
    <m/>
    <m/>
    <x v="1"/>
    <m/>
  </r>
  <r>
    <d v="2021-05-31T00:00:00"/>
    <x v="5"/>
    <x v="46"/>
    <x v="46"/>
    <n v="0"/>
    <n v="0"/>
    <n v="0"/>
    <x v="110"/>
    <s v="Cali"/>
  </r>
  <r>
    <d v="2021-05-31T00:00:00"/>
    <x v="5"/>
    <x v="47"/>
    <x v="47"/>
    <n v="0"/>
    <n v="0"/>
    <n v="0"/>
    <x v="110"/>
    <s v="Cali"/>
  </r>
  <r>
    <m/>
    <x v="1"/>
    <x v="23"/>
    <x v="23"/>
    <m/>
    <m/>
    <m/>
    <x v="1"/>
    <m/>
  </r>
  <r>
    <d v="2021-05-31T00:00:00"/>
    <x v="5"/>
    <x v="2"/>
    <x v="2"/>
    <n v="520586"/>
    <n v="520586"/>
    <n v="0"/>
    <x v="111"/>
    <s v="Cali"/>
  </r>
  <r>
    <d v="2021-05-31T00:00:00"/>
    <x v="5"/>
    <x v="47"/>
    <x v="47"/>
    <n v="-520586"/>
    <n v="0"/>
    <n v="520586"/>
    <x v="111"/>
    <s v="Cali"/>
  </r>
  <r>
    <m/>
    <x v="1"/>
    <x v="23"/>
    <x v="23"/>
    <m/>
    <m/>
    <m/>
    <x v="1"/>
    <m/>
  </r>
  <r>
    <d v="2021-05-31T00:00:00"/>
    <x v="5"/>
    <x v="3"/>
    <x v="3"/>
    <n v="555"/>
    <n v="555"/>
    <n v="0"/>
    <x v="112"/>
    <s v="Cali"/>
  </r>
  <r>
    <d v="2021-05-31T00:00:00"/>
    <x v="5"/>
    <x v="47"/>
    <x v="47"/>
    <n v="-555"/>
    <n v="0"/>
    <n v="555"/>
    <x v="112"/>
    <s v="Cali"/>
  </r>
  <r>
    <m/>
    <x v="1"/>
    <x v="23"/>
    <x v="23"/>
    <m/>
    <m/>
    <m/>
    <x v="1"/>
    <m/>
  </r>
  <r>
    <d v="2021-05-31T00:00:00"/>
    <x v="5"/>
    <x v="53"/>
    <x v="53"/>
    <n v="12005"/>
    <n v="12005"/>
    <n v="0"/>
    <x v="305"/>
    <s v="Cali"/>
  </r>
  <r>
    <d v="2021-05-31T00:00:00"/>
    <x v="5"/>
    <x v="47"/>
    <x v="47"/>
    <n v="-12005"/>
    <n v="0"/>
    <n v="12005"/>
    <x v="305"/>
    <s v="Cali"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d v="2021-06-01T00:00:00"/>
    <x v="6"/>
    <x v="0"/>
    <x v="0"/>
    <n v="60000"/>
    <n v="60000"/>
    <n v="0"/>
    <x v="160"/>
    <s v="Cali"/>
  </r>
  <r>
    <d v="2021-06-01T00:00:00"/>
    <x v="6"/>
    <x v="25"/>
    <x v="25"/>
    <n v="-60000"/>
    <n v="0"/>
    <n v="60000"/>
    <x v="160"/>
    <s v="Cali"/>
  </r>
  <r>
    <m/>
    <x v="1"/>
    <x v="23"/>
    <x v="23"/>
    <m/>
    <m/>
    <m/>
    <x v="1"/>
    <m/>
  </r>
  <r>
    <d v="2021-06-01T00:00:00"/>
    <x v="6"/>
    <x v="0"/>
    <x v="0"/>
    <n v="15000"/>
    <n v="15000"/>
    <n v="0"/>
    <x v="137"/>
    <s v="Cali"/>
  </r>
  <r>
    <d v="2021-06-01T00:00:00"/>
    <x v="6"/>
    <x v="26"/>
    <x v="26"/>
    <n v="-15000"/>
    <n v="0"/>
    <n v="15000"/>
    <x v="137"/>
    <s v="Cali"/>
  </r>
  <r>
    <m/>
    <x v="1"/>
    <x v="23"/>
    <x v="23"/>
    <m/>
    <m/>
    <m/>
    <x v="1"/>
    <m/>
  </r>
  <r>
    <d v="2021-06-01T00:00:00"/>
    <x v="6"/>
    <x v="0"/>
    <x v="0"/>
    <n v="10000"/>
    <n v="10000"/>
    <n v="0"/>
    <x v="142"/>
    <s v="Cali"/>
  </r>
  <r>
    <d v="2021-06-01T00:00:00"/>
    <x v="6"/>
    <x v="25"/>
    <x v="25"/>
    <n v="-10000"/>
    <n v="0"/>
    <n v="10000"/>
    <x v="142"/>
    <s v="Cali"/>
  </r>
  <r>
    <m/>
    <x v="1"/>
    <x v="23"/>
    <x v="23"/>
    <m/>
    <m/>
    <m/>
    <x v="1"/>
    <m/>
  </r>
  <r>
    <d v="2021-06-01T00:00:00"/>
    <x v="6"/>
    <x v="0"/>
    <x v="0"/>
    <n v="50000"/>
    <n v="50000"/>
    <n v="0"/>
    <x v="143"/>
    <s v="Cali"/>
  </r>
  <r>
    <d v="2021-06-01T00:00:00"/>
    <x v="6"/>
    <x v="25"/>
    <x v="25"/>
    <n v="-50000"/>
    <n v="0"/>
    <n v="50000"/>
    <x v="143"/>
    <s v="Cali"/>
  </r>
  <r>
    <m/>
    <x v="1"/>
    <x v="23"/>
    <x v="23"/>
    <m/>
    <m/>
    <m/>
    <x v="1"/>
    <m/>
  </r>
  <r>
    <d v="2021-06-01T00:00:00"/>
    <x v="6"/>
    <x v="0"/>
    <x v="0"/>
    <n v="48000"/>
    <n v="48000"/>
    <n v="0"/>
    <x v="144"/>
    <s v="Cali"/>
  </r>
  <r>
    <d v="2021-06-01T00:00:00"/>
    <x v="6"/>
    <x v="27"/>
    <x v="27"/>
    <n v="-48000"/>
    <n v="0"/>
    <n v="48000"/>
    <x v="144"/>
    <s v="Cali"/>
  </r>
  <r>
    <m/>
    <x v="1"/>
    <x v="23"/>
    <x v="23"/>
    <m/>
    <m/>
    <m/>
    <x v="1"/>
    <m/>
  </r>
  <r>
    <d v="2021-06-01T00:00:00"/>
    <x v="6"/>
    <x v="0"/>
    <x v="0"/>
    <n v="40000"/>
    <n v="40000"/>
    <n v="0"/>
    <x v="145"/>
    <s v="Cali"/>
  </r>
  <r>
    <d v="2021-06-01T00:00:00"/>
    <x v="6"/>
    <x v="25"/>
    <x v="25"/>
    <n v="-40000"/>
    <n v="0"/>
    <n v="40000"/>
    <x v="145"/>
    <s v="Cali"/>
  </r>
  <r>
    <m/>
    <x v="1"/>
    <x v="23"/>
    <x v="23"/>
    <m/>
    <m/>
    <m/>
    <x v="1"/>
    <m/>
  </r>
  <r>
    <d v="2021-06-01T00:00:00"/>
    <x v="6"/>
    <x v="0"/>
    <x v="0"/>
    <n v="30000"/>
    <n v="30000"/>
    <n v="0"/>
    <x v="147"/>
    <s v="Cali"/>
  </r>
  <r>
    <d v="2021-06-01T00:00:00"/>
    <x v="6"/>
    <x v="26"/>
    <x v="26"/>
    <n v="-30000"/>
    <n v="0"/>
    <n v="30000"/>
    <x v="147"/>
    <s v="Cali"/>
  </r>
  <r>
    <m/>
    <x v="1"/>
    <x v="23"/>
    <x v="23"/>
    <m/>
    <m/>
    <m/>
    <x v="1"/>
    <m/>
  </r>
  <r>
    <d v="2021-06-01T00:00:00"/>
    <x v="6"/>
    <x v="0"/>
    <x v="0"/>
    <n v="20000"/>
    <n v="20000"/>
    <n v="0"/>
    <x v="146"/>
    <s v="Cali"/>
  </r>
  <r>
    <d v="2021-06-01T00:00:00"/>
    <x v="6"/>
    <x v="26"/>
    <x v="26"/>
    <n v="-20000"/>
    <n v="0"/>
    <n v="20000"/>
    <x v="146"/>
    <s v="Cali"/>
  </r>
  <r>
    <m/>
    <x v="1"/>
    <x v="23"/>
    <x v="23"/>
    <m/>
    <m/>
    <m/>
    <x v="1"/>
    <m/>
  </r>
  <r>
    <d v="2021-06-01T00:00:00"/>
    <x v="6"/>
    <x v="0"/>
    <x v="0"/>
    <n v="50000"/>
    <n v="50000"/>
    <n v="0"/>
    <x v="19"/>
    <s v="Cali"/>
  </r>
  <r>
    <d v="2021-06-01T00:00:00"/>
    <x v="6"/>
    <x v="25"/>
    <x v="25"/>
    <n v="-50000"/>
    <n v="0"/>
    <n v="50000"/>
    <x v="19"/>
    <s v="Cali"/>
  </r>
  <r>
    <m/>
    <x v="1"/>
    <x v="23"/>
    <x v="23"/>
    <m/>
    <m/>
    <m/>
    <x v="1"/>
    <m/>
  </r>
  <r>
    <d v="2021-06-01T00:00:00"/>
    <x v="6"/>
    <x v="0"/>
    <x v="0"/>
    <n v="40000"/>
    <n v="40000"/>
    <n v="0"/>
    <x v="168"/>
    <s v="Cali"/>
  </r>
  <r>
    <d v="2021-06-01T00:00:00"/>
    <x v="6"/>
    <x v="26"/>
    <x v="26"/>
    <n v="-40000"/>
    <n v="0"/>
    <n v="40000"/>
    <x v="168"/>
    <s v="Cali"/>
  </r>
  <r>
    <m/>
    <x v="1"/>
    <x v="23"/>
    <x v="23"/>
    <m/>
    <m/>
    <m/>
    <x v="1"/>
    <m/>
  </r>
  <r>
    <d v="2021-06-01T00:00:00"/>
    <x v="6"/>
    <x v="0"/>
    <x v="0"/>
    <n v="15000"/>
    <n v="15000"/>
    <n v="0"/>
    <x v="364"/>
    <s v="Cali"/>
  </r>
  <r>
    <d v="2021-06-01T00:00:00"/>
    <x v="6"/>
    <x v="25"/>
    <x v="25"/>
    <n v="-15000"/>
    <n v="0"/>
    <n v="15000"/>
    <x v="364"/>
    <s v="Cali"/>
  </r>
  <r>
    <m/>
    <x v="1"/>
    <x v="23"/>
    <x v="23"/>
    <m/>
    <m/>
    <m/>
    <x v="1"/>
    <m/>
  </r>
  <r>
    <d v="2021-06-01T00:00:00"/>
    <x v="6"/>
    <x v="0"/>
    <x v="0"/>
    <n v="20000"/>
    <n v="20000"/>
    <n v="0"/>
    <x v="17"/>
    <s v="Cali"/>
  </r>
  <r>
    <d v="2021-06-01T00:00:00"/>
    <x v="6"/>
    <x v="25"/>
    <x v="25"/>
    <n v="-20000"/>
    <n v="0"/>
    <n v="20000"/>
    <x v="17"/>
    <s v="Cali"/>
  </r>
  <r>
    <m/>
    <x v="1"/>
    <x v="23"/>
    <x v="23"/>
    <m/>
    <m/>
    <m/>
    <x v="1"/>
    <m/>
  </r>
  <r>
    <d v="2021-06-01T00:00:00"/>
    <x v="6"/>
    <x v="0"/>
    <x v="0"/>
    <n v="15000"/>
    <n v="15000"/>
    <n v="0"/>
    <x v="148"/>
    <s v="Cali"/>
  </r>
  <r>
    <d v="2021-06-01T00:00:00"/>
    <x v="6"/>
    <x v="25"/>
    <x v="25"/>
    <n v="-15000"/>
    <n v="0"/>
    <n v="15000"/>
    <x v="148"/>
    <s v="Cali"/>
  </r>
  <r>
    <m/>
    <x v="1"/>
    <x v="23"/>
    <x v="23"/>
    <m/>
    <m/>
    <m/>
    <x v="1"/>
    <m/>
  </r>
  <r>
    <d v="2021-06-01T00:00:00"/>
    <x v="6"/>
    <x v="0"/>
    <x v="0"/>
    <n v="30000"/>
    <n v="30000"/>
    <n v="0"/>
    <x v="239"/>
    <s v="Cali"/>
  </r>
  <r>
    <d v="2021-06-01T00:00:00"/>
    <x v="6"/>
    <x v="27"/>
    <x v="27"/>
    <n v="-30000"/>
    <n v="0"/>
    <n v="30000"/>
    <x v="239"/>
    <s v="Cali"/>
  </r>
  <r>
    <m/>
    <x v="1"/>
    <x v="23"/>
    <x v="23"/>
    <m/>
    <m/>
    <m/>
    <x v="1"/>
    <m/>
  </r>
  <r>
    <d v="2021-06-01T00:00:00"/>
    <x v="6"/>
    <x v="0"/>
    <x v="0"/>
    <n v="80000"/>
    <n v="80000"/>
    <n v="0"/>
    <x v="22"/>
    <s v="Cali"/>
  </r>
  <r>
    <d v="2021-06-01T00:00:00"/>
    <x v="6"/>
    <x v="27"/>
    <x v="27"/>
    <n v="-80000"/>
    <n v="0"/>
    <n v="80000"/>
    <x v="22"/>
    <s v="Cali"/>
  </r>
  <r>
    <m/>
    <x v="1"/>
    <x v="23"/>
    <x v="23"/>
    <m/>
    <m/>
    <m/>
    <x v="1"/>
    <m/>
  </r>
  <r>
    <d v="2021-06-01T00:00:00"/>
    <x v="6"/>
    <x v="0"/>
    <x v="0"/>
    <n v="30000"/>
    <n v="30000"/>
    <n v="0"/>
    <x v="307"/>
    <s v="Cali"/>
  </r>
  <r>
    <d v="2021-06-01T00:00:00"/>
    <x v="6"/>
    <x v="25"/>
    <x v="25"/>
    <n v="-30000"/>
    <n v="0"/>
    <n v="30000"/>
    <x v="307"/>
    <s v="Cali"/>
  </r>
  <r>
    <m/>
    <x v="1"/>
    <x v="23"/>
    <x v="23"/>
    <m/>
    <m/>
    <m/>
    <x v="1"/>
    <m/>
  </r>
  <r>
    <d v="2021-06-02T00:00:00"/>
    <x v="6"/>
    <x v="0"/>
    <x v="0"/>
    <n v="60000"/>
    <n v="60000"/>
    <n v="0"/>
    <x v="213"/>
    <s v="Cali"/>
  </r>
  <r>
    <d v="2021-06-02T00:00:00"/>
    <x v="6"/>
    <x v="29"/>
    <x v="29"/>
    <n v="-60000"/>
    <n v="0"/>
    <n v="60000"/>
    <x v="213"/>
    <s v="Cali"/>
  </r>
  <r>
    <m/>
    <x v="1"/>
    <x v="23"/>
    <x v="23"/>
    <m/>
    <m/>
    <m/>
    <x v="1"/>
    <m/>
  </r>
  <r>
    <d v="2021-06-02T00:00:00"/>
    <x v="6"/>
    <x v="0"/>
    <x v="0"/>
    <n v="10000"/>
    <n v="10000"/>
    <n v="0"/>
    <x v="199"/>
    <s v="Cali"/>
  </r>
  <r>
    <d v="2021-06-02T00:00:00"/>
    <x v="6"/>
    <x v="27"/>
    <x v="27"/>
    <n v="-10000"/>
    <n v="0"/>
    <n v="10000"/>
    <x v="199"/>
    <s v="Cali"/>
  </r>
  <r>
    <m/>
    <x v="1"/>
    <x v="23"/>
    <x v="23"/>
    <m/>
    <m/>
    <m/>
    <x v="1"/>
    <m/>
  </r>
  <r>
    <d v="2021-06-02T00:00:00"/>
    <x v="6"/>
    <x v="0"/>
    <x v="0"/>
    <n v="20000"/>
    <n v="20000"/>
    <n v="0"/>
    <x v="165"/>
    <s v="Cali"/>
  </r>
  <r>
    <d v="2021-06-02T00:00:00"/>
    <x v="6"/>
    <x v="25"/>
    <x v="25"/>
    <n v="-20000"/>
    <n v="0"/>
    <n v="20000"/>
    <x v="165"/>
    <s v="Cali"/>
  </r>
  <r>
    <m/>
    <x v="1"/>
    <x v="23"/>
    <x v="23"/>
    <m/>
    <m/>
    <m/>
    <x v="1"/>
    <m/>
  </r>
  <r>
    <d v="2021-06-02T00:00:00"/>
    <x v="6"/>
    <x v="0"/>
    <x v="0"/>
    <n v="20000"/>
    <n v="20000"/>
    <n v="0"/>
    <x v="174"/>
    <s v="Cali"/>
  </r>
  <r>
    <d v="2021-06-02T00:00:00"/>
    <x v="6"/>
    <x v="25"/>
    <x v="25"/>
    <n v="-20000"/>
    <n v="0"/>
    <n v="20000"/>
    <x v="174"/>
    <s v="Cali"/>
  </r>
  <r>
    <m/>
    <x v="1"/>
    <x v="23"/>
    <x v="23"/>
    <m/>
    <m/>
    <m/>
    <x v="1"/>
    <m/>
  </r>
  <r>
    <d v="2021-06-02T00:00:00"/>
    <x v="6"/>
    <x v="0"/>
    <x v="0"/>
    <n v="10000"/>
    <n v="10000"/>
    <n v="0"/>
    <x v="308"/>
    <s v="Cali"/>
  </r>
  <r>
    <d v="2021-06-02T00:00:00"/>
    <x v="6"/>
    <x v="25"/>
    <x v="25"/>
    <n v="-10000"/>
    <n v="0"/>
    <n v="10000"/>
    <x v="308"/>
    <s v="Cali"/>
  </r>
  <r>
    <m/>
    <x v="1"/>
    <x v="23"/>
    <x v="23"/>
    <m/>
    <m/>
    <m/>
    <x v="1"/>
    <m/>
  </r>
  <r>
    <d v="2021-06-02T00:00:00"/>
    <x v="6"/>
    <x v="0"/>
    <x v="0"/>
    <n v="40000"/>
    <n v="40000"/>
    <n v="0"/>
    <x v="157"/>
    <s v="Cali"/>
  </r>
  <r>
    <d v="2021-06-02T00:00:00"/>
    <x v="6"/>
    <x v="27"/>
    <x v="27"/>
    <n v="-40000"/>
    <n v="0"/>
    <n v="40000"/>
    <x v="157"/>
    <s v="Cali"/>
  </r>
  <r>
    <m/>
    <x v="1"/>
    <x v="23"/>
    <x v="23"/>
    <m/>
    <m/>
    <m/>
    <x v="1"/>
    <m/>
  </r>
  <r>
    <d v="2021-06-02T00:00:00"/>
    <x v="6"/>
    <x v="0"/>
    <x v="0"/>
    <n v="10000"/>
    <n v="10000"/>
    <n v="0"/>
    <x v="412"/>
    <s v="Cali"/>
  </r>
  <r>
    <d v="2021-06-02T00:00:00"/>
    <x v="6"/>
    <x v="25"/>
    <x v="25"/>
    <n v="-10000"/>
    <n v="0"/>
    <n v="10000"/>
    <x v="412"/>
    <s v="Cali"/>
  </r>
  <r>
    <m/>
    <x v="1"/>
    <x v="23"/>
    <x v="23"/>
    <m/>
    <m/>
    <m/>
    <x v="1"/>
    <m/>
  </r>
  <r>
    <d v="2021-06-02T00:00:00"/>
    <x v="6"/>
    <x v="0"/>
    <x v="0"/>
    <n v="100000"/>
    <n v="100000"/>
    <n v="0"/>
    <x v="273"/>
    <s v="Cali"/>
  </r>
  <r>
    <d v="2021-06-02T00:00:00"/>
    <x v="6"/>
    <x v="26"/>
    <x v="26"/>
    <n v="-100000"/>
    <n v="0"/>
    <n v="100000"/>
    <x v="273"/>
    <s v="Cali"/>
  </r>
  <r>
    <m/>
    <x v="1"/>
    <x v="23"/>
    <x v="23"/>
    <m/>
    <m/>
    <m/>
    <x v="1"/>
    <m/>
  </r>
  <r>
    <d v="2021-06-02T00:00:00"/>
    <x v="6"/>
    <x v="0"/>
    <x v="0"/>
    <n v="45000"/>
    <n v="45000"/>
    <n v="0"/>
    <x v="161"/>
    <s v="Cali"/>
  </r>
  <r>
    <d v="2021-06-02T00:00:00"/>
    <x v="6"/>
    <x v="26"/>
    <x v="26"/>
    <n v="-45000"/>
    <n v="0"/>
    <n v="45000"/>
    <x v="161"/>
    <s v="Cali"/>
  </r>
  <r>
    <m/>
    <x v="1"/>
    <x v="23"/>
    <x v="23"/>
    <m/>
    <m/>
    <m/>
    <x v="1"/>
    <m/>
  </r>
  <r>
    <d v="2021-06-02T00:00:00"/>
    <x v="6"/>
    <x v="0"/>
    <x v="0"/>
    <n v="25000"/>
    <n v="25000"/>
    <n v="0"/>
    <x v="158"/>
    <s v="Cali"/>
  </r>
  <r>
    <d v="2021-06-02T00:00:00"/>
    <x v="6"/>
    <x v="25"/>
    <x v="25"/>
    <n v="-25000"/>
    <n v="0"/>
    <n v="25000"/>
    <x v="158"/>
    <s v="Cali"/>
  </r>
  <r>
    <m/>
    <x v="1"/>
    <x v="23"/>
    <x v="23"/>
    <m/>
    <m/>
    <m/>
    <x v="1"/>
    <m/>
  </r>
  <r>
    <d v="2021-06-02T00:00:00"/>
    <x v="6"/>
    <x v="0"/>
    <x v="0"/>
    <n v="20000"/>
    <n v="20000"/>
    <n v="0"/>
    <x v="246"/>
    <s v="Cali"/>
  </r>
  <r>
    <d v="2021-06-02T00:00:00"/>
    <x v="6"/>
    <x v="25"/>
    <x v="25"/>
    <n v="-20000"/>
    <n v="0"/>
    <n v="20000"/>
    <x v="246"/>
    <s v="Cali"/>
  </r>
  <r>
    <m/>
    <x v="1"/>
    <x v="23"/>
    <x v="23"/>
    <m/>
    <m/>
    <m/>
    <x v="1"/>
    <m/>
  </r>
  <r>
    <d v="2021-06-02T00:00:00"/>
    <x v="6"/>
    <x v="0"/>
    <x v="0"/>
    <n v="100000"/>
    <n v="100000"/>
    <n v="0"/>
    <x v="257"/>
    <s v="Cali"/>
  </r>
  <r>
    <d v="2021-06-02T00:00:00"/>
    <x v="6"/>
    <x v="26"/>
    <x v="26"/>
    <n v="-100000"/>
    <n v="0"/>
    <n v="100000"/>
    <x v="257"/>
    <s v="Cali"/>
  </r>
  <r>
    <m/>
    <x v="1"/>
    <x v="23"/>
    <x v="23"/>
    <m/>
    <m/>
    <m/>
    <x v="1"/>
    <m/>
  </r>
  <r>
    <d v="2021-06-02T00:00:00"/>
    <x v="6"/>
    <x v="0"/>
    <x v="0"/>
    <n v="10000"/>
    <n v="10000"/>
    <n v="0"/>
    <x v="166"/>
    <s v="Cali"/>
  </r>
  <r>
    <d v="2021-06-02T00:00:00"/>
    <x v="6"/>
    <x v="25"/>
    <x v="25"/>
    <n v="-10000"/>
    <n v="0"/>
    <n v="10000"/>
    <x v="166"/>
    <s v="Cali"/>
  </r>
  <r>
    <m/>
    <x v="1"/>
    <x v="23"/>
    <x v="23"/>
    <m/>
    <m/>
    <m/>
    <x v="1"/>
    <m/>
  </r>
  <r>
    <d v="2021-06-03T00:00:00"/>
    <x v="6"/>
    <x v="0"/>
    <x v="0"/>
    <n v="100000"/>
    <n v="100000"/>
    <n v="0"/>
    <x v="374"/>
    <s v="Cali"/>
  </r>
  <r>
    <d v="2021-06-03T00:00:00"/>
    <x v="6"/>
    <x v="26"/>
    <x v="26"/>
    <n v="-100000"/>
    <n v="0"/>
    <n v="100000"/>
    <x v="374"/>
    <s v="Cali"/>
  </r>
  <r>
    <m/>
    <x v="1"/>
    <x v="23"/>
    <x v="23"/>
    <m/>
    <m/>
    <m/>
    <x v="1"/>
    <m/>
  </r>
  <r>
    <d v="2021-06-03T00:00:00"/>
    <x v="6"/>
    <x v="0"/>
    <x v="0"/>
    <n v="3000000"/>
    <n v="3000000"/>
    <n v="0"/>
    <x v="413"/>
    <s v="Cali"/>
  </r>
  <r>
    <d v="2021-06-03T00:00:00"/>
    <x v="6"/>
    <x v="6"/>
    <x v="6"/>
    <n v="-3000000"/>
    <n v="0"/>
    <n v="3000000"/>
    <x v="413"/>
    <s v="Cali"/>
  </r>
  <r>
    <m/>
    <x v="1"/>
    <x v="23"/>
    <x v="23"/>
    <m/>
    <m/>
    <m/>
    <x v="1"/>
    <m/>
  </r>
  <r>
    <d v="2021-06-03T00:00:00"/>
    <x v="6"/>
    <x v="0"/>
    <x v="0"/>
    <n v="12000"/>
    <n v="12000"/>
    <n v="0"/>
    <x v="175"/>
    <s v="Cali"/>
  </r>
  <r>
    <d v="2021-06-03T00:00:00"/>
    <x v="6"/>
    <x v="25"/>
    <x v="25"/>
    <n v="-12000"/>
    <n v="0"/>
    <n v="12000"/>
    <x v="175"/>
    <s v="Cali"/>
  </r>
  <r>
    <m/>
    <x v="1"/>
    <x v="23"/>
    <x v="23"/>
    <m/>
    <m/>
    <m/>
    <x v="1"/>
    <m/>
  </r>
  <r>
    <d v="2021-06-03T00:00:00"/>
    <x v="6"/>
    <x v="0"/>
    <x v="0"/>
    <n v="60000"/>
    <n v="60000"/>
    <n v="0"/>
    <x v="372"/>
    <s v="Cali"/>
  </r>
  <r>
    <d v="2021-06-03T00:00:00"/>
    <x v="6"/>
    <x v="25"/>
    <x v="25"/>
    <n v="-60000"/>
    <n v="0"/>
    <n v="60000"/>
    <x v="372"/>
    <s v="Cali"/>
  </r>
  <r>
    <m/>
    <x v="1"/>
    <x v="23"/>
    <x v="23"/>
    <m/>
    <m/>
    <m/>
    <x v="1"/>
    <m/>
  </r>
  <r>
    <d v="2021-06-03T00:00:00"/>
    <x v="6"/>
    <x v="0"/>
    <x v="0"/>
    <n v="12000"/>
    <n v="12000"/>
    <n v="0"/>
    <x v="310"/>
    <s v="Cali"/>
  </r>
  <r>
    <d v="2021-06-03T00:00:00"/>
    <x v="6"/>
    <x v="25"/>
    <x v="25"/>
    <n v="-12000"/>
    <n v="0"/>
    <n v="12000"/>
    <x v="310"/>
    <s v="Cali"/>
  </r>
  <r>
    <m/>
    <x v="1"/>
    <x v="23"/>
    <x v="23"/>
    <m/>
    <m/>
    <m/>
    <x v="1"/>
    <m/>
  </r>
  <r>
    <d v="2021-06-03T00:00:00"/>
    <x v="6"/>
    <x v="0"/>
    <x v="0"/>
    <n v="30000"/>
    <n v="30000"/>
    <n v="0"/>
    <x v="164"/>
    <s v="Cali"/>
  </r>
  <r>
    <d v="2021-06-03T00:00:00"/>
    <x v="6"/>
    <x v="26"/>
    <x v="26"/>
    <n v="-30000"/>
    <n v="0"/>
    <n v="30000"/>
    <x v="164"/>
    <s v="Cali"/>
  </r>
  <r>
    <m/>
    <x v="1"/>
    <x v="23"/>
    <x v="23"/>
    <m/>
    <m/>
    <m/>
    <x v="1"/>
    <m/>
  </r>
  <r>
    <d v="2021-06-03T00:00:00"/>
    <x v="6"/>
    <x v="0"/>
    <x v="0"/>
    <n v="39229"/>
    <n v="39229"/>
    <n v="0"/>
    <x v="414"/>
    <s v="Cali"/>
  </r>
  <r>
    <d v="2021-06-03T00:00:00"/>
    <x v="6"/>
    <x v="49"/>
    <x v="49"/>
    <n v="771"/>
    <n v="771"/>
    <n v="0"/>
    <x v="414"/>
    <s v="Cali"/>
  </r>
  <r>
    <d v="2021-06-03T00:00:00"/>
    <x v="6"/>
    <x v="25"/>
    <x v="25"/>
    <n v="-40000"/>
    <n v="0"/>
    <n v="40000"/>
    <x v="414"/>
    <s v="Cali"/>
  </r>
  <r>
    <m/>
    <x v="1"/>
    <x v="23"/>
    <x v="23"/>
    <m/>
    <m/>
    <m/>
    <x v="1"/>
    <m/>
  </r>
  <r>
    <d v="2021-06-03T00:00:00"/>
    <x v="6"/>
    <x v="0"/>
    <x v="0"/>
    <n v="70000"/>
    <n v="70000"/>
    <n v="0"/>
    <x v="37"/>
    <s v="Cali"/>
  </r>
  <r>
    <d v="2021-06-03T00:00:00"/>
    <x v="6"/>
    <x v="25"/>
    <x v="25"/>
    <n v="-70000"/>
    <n v="0"/>
    <n v="70000"/>
    <x v="37"/>
    <s v="Cali"/>
  </r>
  <r>
    <m/>
    <x v="1"/>
    <x v="23"/>
    <x v="23"/>
    <m/>
    <m/>
    <m/>
    <x v="1"/>
    <m/>
  </r>
  <r>
    <d v="2021-06-04T00:00:00"/>
    <x v="6"/>
    <x v="0"/>
    <x v="0"/>
    <n v="50000"/>
    <n v="50000"/>
    <n v="0"/>
    <x v="163"/>
    <s v="Cali"/>
  </r>
  <r>
    <d v="2021-06-04T00:00:00"/>
    <x v="6"/>
    <x v="25"/>
    <x v="25"/>
    <n v="-50000"/>
    <n v="0"/>
    <n v="50000"/>
    <x v="163"/>
    <s v="Cali"/>
  </r>
  <r>
    <m/>
    <x v="1"/>
    <x v="23"/>
    <x v="23"/>
    <m/>
    <m/>
    <m/>
    <x v="1"/>
    <m/>
  </r>
  <r>
    <d v="2021-06-04T00:00:00"/>
    <x v="6"/>
    <x v="0"/>
    <x v="0"/>
    <n v="15000"/>
    <n v="15000"/>
    <n v="0"/>
    <x v="415"/>
    <s v="Cali"/>
  </r>
  <r>
    <d v="2021-06-04T00:00:00"/>
    <x v="6"/>
    <x v="25"/>
    <x v="25"/>
    <n v="-15000"/>
    <n v="0"/>
    <n v="15000"/>
    <x v="415"/>
    <s v="Cali"/>
  </r>
  <r>
    <m/>
    <x v="1"/>
    <x v="23"/>
    <x v="23"/>
    <m/>
    <m/>
    <m/>
    <x v="1"/>
    <m/>
  </r>
  <r>
    <d v="2021-06-04T00:00:00"/>
    <x v="6"/>
    <x v="0"/>
    <x v="0"/>
    <n v="120000"/>
    <n v="120000"/>
    <n v="0"/>
    <x v="155"/>
    <s v="Cali"/>
  </r>
  <r>
    <d v="2021-06-04T00:00:00"/>
    <x v="6"/>
    <x v="27"/>
    <x v="27"/>
    <n v="-120000"/>
    <n v="0"/>
    <n v="120000"/>
    <x v="155"/>
    <s v="Cali"/>
  </r>
  <r>
    <m/>
    <x v="1"/>
    <x v="23"/>
    <x v="23"/>
    <m/>
    <m/>
    <m/>
    <x v="1"/>
    <m/>
  </r>
  <r>
    <d v="2021-06-04T00:00:00"/>
    <x v="6"/>
    <x v="0"/>
    <x v="0"/>
    <n v="150000"/>
    <n v="150000"/>
    <n v="0"/>
    <x v="169"/>
    <s v="Cali"/>
  </r>
  <r>
    <d v="2021-06-04T00:00:00"/>
    <x v="6"/>
    <x v="25"/>
    <x v="25"/>
    <n v="-150000"/>
    <n v="0"/>
    <n v="150000"/>
    <x v="169"/>
    <s v="Cali"/>
  </r>
  <r>
    <m/>
    <x v="1"/>
    <x v="23"/>
    <x v="23"/>
    <m/>
    <m/>
    <m/>
    <x v="1"/>
    <m/>
  </r>
  <r>
    <d v="2021-06-04T00:00:00"/>
    <x v="6"/>
    <x v="0"/>
    <x v="0"/>
    <n v="150000"/>
    <n v="150000"/>
    <n v="0"/>
    <x v="282"/>
    <s v="Cali"/>
  </r>
  <r>
    <d v="2021-06-04T00:00:00"/>
    <x v="6"/>
    <x v="25"/>
    <x v="25"/>
    <n v="-150000"/>
    <n v="0"/>
    <n v="150000"/>
    <x v="282"/>
    <s v="Cali"/>
  </r>
  <r>
    <m/>
    <x v="1"/>
    <x v="23"/>
    <x v="23"/>
    <m/>
    <m/>
    <m/>
    <x v="1"/>
    <m/>
  </r>
  <r>
    <d v="2021-06-04T00:00:00"/>
    <x v="6"/>
    <x v="25"/>
    <x v="25"/>
    <n v="135000"/>
    <n v="135000"/>
    <n v="0"/>
    <x v="282"/>
    <s v="Cali"/>
  </r>
  <r>
    <d v="2021-06-04T00:00:00"/>
    <x v="6"/>
    <x v="0"/>
    <x v="0"/>
    <n v="-135000"/>
    <n v="0"/>
    <n v="135000"/>
    <x v="282"/>
    <s v="Cali"/>
  </r>
  <r>
    <m/>
    <x v="1"/>
    <x v="23"/>
    <x v="23"/>
    <m/>
    <m/>
    <m/>
    <x v="1"/>
    <m/>
  </r>
  <r>
    <d v="2021-06-04T00:00:00"/>
    <x v="6"/>
    <x v="0"/>
    <x v="0"/>
    <n v="350000"/>
    <n v="350000"/>
    <n v="0"/>
    <x v="416"/>
    <s v="Cali"/>
  </r>
  <r>
    <d v="2021-06-04T00:00:00"/>
    <x v="6"/>
    <x v="26"/>
    <x v="26"/>
    <n v="-350000"/>
    <n v="0"/>
    <n v="350000"/>
    <x v="416"/>
    <s v="Cali"/>
  </r>
  <r>
    <m/>
    <x v="1"/>
    <x v="23"/>
    <x v="23"/>
    <m/>
    <m/>
    <m/>
    <x v="1"/>
    <m/>
  </r>
  <r>
    <d v="2021-06-04T00:00:00"/>
    <x v="6"/>
    <x v="49"/>
    <x v="49"/>
    <n v="1762"/>
    <n v="1762"/>
    <n v="0"/>
    <x v="172"/>
    <s v="Cali"/>
  </r>
  <r>
    <d v="2021-06-04T00:00:00"/>
    <x v="6"/>
    <x v="0"/>
    <x v="0"/>
    <n v="-1762"/>
    <n v="0"/>
    <n v="1762"/>
    <x v="172"/>
    <s v="Cali"/>
  </r>
  <r>
    <m/>
    <x v="1"/>
    <x v="23"/>
    <x v="23"/>
    <m/>
    <m/>
    <m/>
    <x v="1"/>
    <m/>
  </r>
  <r>
    <d v="2021-06-07T00:00:00"/>
    <x v="6"/>
    <x v="0"/>
    <x v="0"/>
    <n v="650000"/>
    <n v="650000"/>
    <n v="0"/>
    <x v="416"/>
    <s v="Cali"/>
  </r>
  <r>
    <d v="2021-06-07T00:00:00"/>
    <x v="6"/>
    <x v="26"/>
    <x v="26"/>
    <n v="-650000"/>
    <n v="0"/>
    <n v="650000"/>
    <x v="416"/>
    <s v="Cali"/>
  </r>
  <r>
    <m/>
    <x v="1"/>
    <x v="23"/>
    <x v="23"/>
    <m/>
    <m/>
    <m/>
    <x v="1"/>
    <m/>
  </r>
  <r>
    <d v="2021-06-07T00:00:00"/>
    <x v="6"/>
    <x v="0"/>
    <x v="0"/>
    <n v="50000"/>
    <n v="50000"/>
    <n v="0"/>
    <x v="173"/>
    <s v="Cali"/>
  </r>
  <r>
    <d v="2021-06-07T00:00:00"/>
    <x v="6"/>
    <x v="26"/>
    <x v="26"/>
    <n v="-50000"/>
    <n v="0"/>
    <n v="50000"/>
    <x v="173"/>
    <s v="Cali"/>
  </r>
  <r>
    <m/>
    <x v="1"/>
    <x v="23"/>
    <x v="23"/>
    <m/>
    <m/>
    <m/>
    <x v="1"/>
    <m/>
  </r>
  <r>
    <d v="2021-06-07T00:00:00"/>
    <x v="6"/>
    <x v="0"/>
    <x v="0"/>
    <n v="2000"/>
    <n v="2000"/>
    <n v="0"/>
    <x v="177"/>
    <s v="Cali"/>
  </r>
  <r>
    <d v="2021-06-07T00:00:00"/>
    <x v="6"/>
    <x v="19"/>
    <x v="19"/>
    <n v="-2000"/>
    <n v="0"/>
    <n v="2000"/>
    <x v="177"/>
    <s v="Cali"/>
  </r>
  <r>
    <m/>
    <x v="1"/>
    <x v="23"/>
    <x v="23"/>
    <m/>
    <m/>
    <m/>
    <x v="1"/>
    <m/>
  </r>
  <r>
    <d v="2021-06-07T00:00:00"/>
    <x v="6"/>
    <x v="0"/>
    <x v="0"/>
    <n v="40000"/>
    <n v="40000"/>
    <n v="0"/>
    <x v="176"/>
    <s v="Cali"/>
  </r>
  <r>
    <d v="2021-06-07T00:00:00"/>
    <x v="6"/>
    <x v="25"/>
    <x v="25"/>
    <n v="-40000"/>
    <n v="0"/>
    <n v="40000"/>
    <x v="176"/>
    <s v="Cali"/>
  </r>
  <r>
    <m/>
    <x v="1"/>
    <x v="23"/>
    <x v="23"/>
    <m/>
    <m/>
    <m/>
    <x v="1"/>
    <m/>
  </r>
  <r>
    <d v="2021-06-07T00:00:00"/>
    <x v="6"/>
    <x v="0"/>
    <x v="0"/>
    <n v="25000"/>
    <n v="25000"/>
    <n v="0"/>
    <x v="38"/>
    <s v="Cali"/>
  </r>
  <r>
    <d v="2021-06-07T00:00:00"/>
    <x v="6"/>
    <x v="25"/>
    <x v="25"/>
    <n v="-25000"/>
    <n v="0"/>
    <n v="25000"/>
    <x v="38"/>
    <s v="Cali"/>
  </r>
  <r>
    <m/>
    <x v="1"/>
    <x v="23"/>
    <x v="23"/>
    <m/>
    <m/>
    <m/>
    <x v="1"/>
    <m/>
  </r>
  <r>
    <d v="2021-06-07T00:00:00"/>
    <x v="6"/>
    <x v="0"/>
    <x v="0"/>
    <n v="12000"/>
    <n v="12000"/>
    <n v="0"/>
    <x v="150"/>
    <s v="Cali"/>
  </r>
  <r>
    <d v="2021-06-07T00:00:00"/>
    <x v="6"/>
    <x v="19"/>
    <x v="19"/>
    <n v="-12000"/>
    <n v="0"/>
    <n v="12000"/>
    <x v="150"/>
    <s v="Cali"/>
  </r>
  <r>
    <m/>
    <x v="1"/>
    <x v="23"/>
    <x v="23"/>
    <m/>
    <m/>
    <m/>
    <x v="1"/>
    <m/>
  </r>
  <r>
    <d v="2021-06-07T00:00:00"/>
    <x v="6"/>
    <x v="0"/>
    <x v="0"/>
    <n v="20000"/>
    <n v="20000"/>
    <n v="0"/>
    <x v="323"/>
    <s v="Cali"/>
  </r>
  <r>
    <d v="2021-06-07T00:00:00"/>
    <x v="6"/>
    <x v="20"/>
    <x v="20"/>
    <n v="-20000"/>
    <n v="0"/>
    <n v="20000"/>
    <x v="323"/>
    <s v="Cali"/>
  </r>
  <r>
    <m/>
    <x v="1"/>
    <x v="23"/>
    <x v="23"/>
    <m/>
    <m/>
    <m/>
    <x v="1"/>
    <m/>
  </r>
  <r>
    <d v="2021-06-07T00:00:00"/>
    <x v="6"/>
    <x v="0"/>
    <x v="0"/>
    <n v="36000"/>
    <n v="36000"/>
    <n v="0"/>
    <x v="417"/>
    <s v="Cali"/>
  </r>
  <r>
    <d v="2021-06-07T00:00:00"/>
    <x v="6"/>
    <x v="27"/>
    <x v="27"/>
    <n v="-36000"/>
    <n v="0"/>
    <n v="36000"/>
    <x v="417"/>
    <s v="Cali"/>
  </r>
  <r>
    <m/>
    <x v="1"/>
    <x v="23"/>
    <x v="23"/>
    <m/>
    <m/>
    <m/>
    <x v="1"/>
    <m/>
  </r>
  <r>
    <d v="2021-06-07T00:00:00"/>
    <x v="6"/>
    <x v="0"/>
    <x v="0"/>
    <n v="11000"/>
    <n v="11000"/>
    <n v="0"/>
    <x v="191"/>
    <s v="Cali"/>
  </r>
  <r>
    <d v="2021-06-07T00:00:00"/>
    <x v="6"/>
    <x v="27"/>
    <x v="27"/>
    <n v="-11000"/>
    <n v="0"/>
    <n v="11000"/>
    <x v="191"/>
    <s v="Cali"/>
  </r>
  <r>
    <m/>
    <x v="1"/>
    <x v="23"/>
    <x v="23"/>
    <m/>
    <m/>
    <m/>
    <x v="1"/>
    <m/>
  </r>
  <r>
    <d v="2021-06-08T00:00:00"/>
    <x v="6"/>
    <x v="0"/>
    <x v="0"/>
    <n v="75000"/>
    <n v="75000"/>
    <n v="0"/>
    <x v="316"/>
    <s v="Cali"/>
  </r>
  <r>
    <d v="2021-06-08T00:00:00"/>
    <x v="6"/>
    <x v="25"/>
    <x v="25"/>
    <n v="-75000"/>
    <n v="0"/>
    <n v="75000"/>
    <x v="316"/>
    <s v="Cali"/>
  </r>
  <r>
    <m/>
    <x v="1"/>
    <x v="23"/>
    <x v="23"/>
    <m/>
    <m/>
    <m/>
    <x v="1"/>
    <m/>
  </r>
  <r>
    <d v="2021-06-08T00:00:00"/>
    <x v="6"/>
    <x v="0"/>
    <x v="0"/>
    <n v="24518"/>
    <n v="24518"/>
    <n v="0"/>
    <x v="418"/>
    <s v="Cali"/>
  </r>
  <r>
    <d v="2021-06-08T00:00:00"/>
    <x v="6"/>
    <x v="26"/>
    <x v="26"/>
    <n v="-24518"/>
    <n v="0"/>
    <n v="24518"/>
    <x v="418"/>
    <s v="Cali"/>
  </r>
  <r>
    <m/>
    <x v="1"/>
    <x v="23"/>
    <x v="23"/>
    <m/>
    <m/>
    <m/>
    <x v="1"/>
    <m/>
  </r>
  <r>
    <d v="2021-06-08T00:00:00"/>
    <x v="6"/>
    <x v="0"/>
    <x v="0"/>
    <n v="33500"/>
    <n v="33500"/>
    <n v="0"/>
    <x v="419"/>
    <s v="Cali"/>
  </r>
  <r>
    <d v="2021-06-08T00:00:00"/>
    <x v="6"/>
    <x v="27"/>
    <x v="27"/>
    <n v="-33500"/>
    <n v="0"/>
    <n v="33500"/>
    <x v="419"/>
    <s v="Cali"/>
  </r>
  <r>
    <m/>
    <x v="1"/>
    <x v="23"/>
    <x v="23"/>
    <m/>
    <m/>
    <m/>
    <x v="1"/>
    <m/>
  </r>
  <r>
    <d v="2021-06-08T00:00:00"/>
    <x v="6"/>
    <x v="0"/>
    <x v="0"/>
    <n v="30000"/>
    <n v="30000"/>
    <n v="0"/>
    <x v="188"/>
    <s v="Cali"/>
  </r>
  <r>
    <d v="2021-06-08T00:00:00"/>
    <x v="6"/>
    <x v="29"/>
    <x v="29"/>
    <n v="-30000"/>
    <n v="0"/>
    <n v="30000"/>
    <x v="188"/>
    <s v="Cali"/>
  </r>
  <r>
    <m/>
    <x v="1"/>
    <x v="23"/>
    <x v="23"/>
    <m/>
    <m/>
    <m/>
    <x v="1"/>
    <m/>
  </r>
  <r>
    <d v="2021-06-08T00:00:00"/>
    <x v="6"/>
    <x v="0"/>
    <x v="0"/>
    <n v="110000"/>
    <n v="110000"/>
    <n v="0"/>
    <x v="202"/>
    <s v="Cali"/>
  </r>
  <r>
    <d v="2021-06-08T00:00:00"/>
    <x v="6"/>
    <x v="27"/>
    <x v="27"/>
    <n v="-110000"/>
    <n v="0"/>
    <n v="110000"/>
    <x v="202"/>
    <s v="Cali"/>
  </r>
  <r>
    <m/>
    <x v="1"/>
    <x v="23"/>
    <x v="23"/>
    <m/>
    <m/>
    <m/>
    <x v="1"/>
    <m/>
  </r>
  <r>
    <d v="2021-06-09T00:00:00"/>
    <x v="6"/>
    <x v="0"/>
    <x v="0"/>
    <n v="15000"/>
    <n v="15000"/>
    <n v="0"/>
    <x v="420"/>
    <s v="Cali"/>
  </r>
  <r>
    <d v="2021-06-09T00:00:00"/>
    <x v="6"/>
    <x v="26"/>
    <x v="26"/>
    <n v="-15000"/>
    <n v="0"/>
    <n v="15000"/>
    <x v="420"/>
    <s v="Cali"/>
  </r>
  <r>
    <m/>
    <x v="1"/>
    <x v="23"/>
    <x v="23"/>
    <m/>
    <m/>
    <m/>
    <x v="1"/>
    <m/>
  </r>
  <r>
    <d v="2021-06-09T00:00:00"/>
    <x v="6"/>
    <x v="0"/>
    <x v="0"/>
    <n v="40000"/>
    <n v="40000"/>
    <n v="0"/>
    <x v="10"/>
    <s v="Cali"/>
  </r>
  <r>
    <d v="2021-06-09T00:00:00"/>
    <x v="6"/>
    <x v="25"/>
    <x v="25"/>
    <n v="-40000"/>
    <n v="0"/>
    <n v="40000"/>
    <x v="10"/>
    <s v="Cali"/>
  </r>
  <r>
    <m/>
    <x v="1"/>
    <x v="23"/>
    <x v="23"/>
    <m/>
    <m/>
    <m/>
    <x v="1"/>
    <m/>
  </r>
  <r>
    <d v="2021-06-09T00:00:00"/>
    <x v="6"/>
    <x v="0"/>
    <x v="0"/>
    <n v="1184000"/>
    <n v="1184000"/>
    <n v="0"/>
    <x v="421"/>
    <s v="Cali"/>
  </r>
  <r>
    <d v="2021-06-09T00:00:00"/>
    <x v="6"/>
    <x v="27"/>
    <x v="27"/>
    <n v="-1184000"/>
    <n v="0"/>
    <n v="1184000"/>
    <x v="421"/>
    <s v="Cali"/>
  </r>
  <r>
    <m/>
    <x v="1"/>
    <x v="23"/>
    <x v="23"/>
    <m/>
    <m/>
    <m/>
    <x v="1"/>
    <m/>
  </r>
  <r>
    <d v="2021-06-10T00:00:00"/>
    <x v="6"/>
    <x v="0"/>
    <x v="0"/>
    <n v="150000"/>
    <n v="150000"/>
    <n v="0"/>
    <x v="251"/>
    <s v="Cali"/>
  </r>
  <r>
    <d v="2021-06-10T00:00:00"/>
    <x v="6"/>
    <x v="27"/>
    <x v="27"/>
    <n v="-150000"/>
    <n v="0"/>
    <n v="150000"/>
    <x v="251"/>
    <s v="Cali"/>
  </r>
  <r>
    <m/>
    <x v="1"/>
    <x v="23"/>
    <x v="23"/>
    <m/>
    <m/>
    <m/>
    <x v="1"/>
    <m/>
  </r>
  <r>
    <d v="2021-06-10T00:00:00"/>
    <x v="6"/>
    <x v="0"/>
    <x v="0"/>
    <n v="30000"/>
    <n v="30000"/>
    <n v="0"/>
    <x v="170"/>
    <s v="Cali"/>
  </r>
  <r>
    <d v="2021-06-10T00:00:00"/>
    <x v="6"/>
    <x v="26"/>
    <x v="26"/>
    <n v="-30000"/>
    <n v="0"/>
    <n v="30000"/>
    <x v="170"/>
    <s v="Cali"/>
  </r>
  <r>
    <m/>
    <x v="1"/>
    <x v="23"/>
    <x v="23"/>
    <m/>
    <m/>
    <m/>
    <x v="1"/>
    <m/>
  </r>
  <r>
    <d v="2021-06-10T00:00:00"/>
    <x v="6"/>
    <x v="0"/>
    <x v="0"/>
    <n v="30000"/>
    <n v="30000"/>
    <n v="0"/>
    <x v="185"/>
    <s v="Cali"/>
  </r>
  <r>
    <d v="2021-06-10T00:00:00"/>
    <x v="6"/>
    <x v="25"/>
    <x v="25"/>
    <n v="-30000"/>
    <n v="0"/>
    <n v="30000"/>
    <x v="185"/>
    <s v="Cali"/>
  </r>
  <r>
    <m/>
    <x v="1"/>
    <x v="23"/>
    <x v="23"/>
    <m/>
    <m/>
    <m/>
    <x v="1"/>
    <m/>
  </r>
  <r>
    <d v="2021-06-10T00:00:00"/>
    <x v="6"/>
    <x v="0"/>
    <x v="0"/>
    <n v="17000"/>
    <n v="17000"/>
    <n v="0"/>
    <x v="186"/>
    <s v="Cali"/>
  </r>
  <r>
    <d v="2021-06-10T00:00:00"/>
    <x v="6"/>
    <x v="25"/>
    <x v="25"/>
    <n v="-17000"/>
    <n v="0"/>
    <n v="17000"/>
    <x v="186"/>
    <s v="Cali"/>
  </r>
  <r>
    <m/>
    <x v="1"/>
    <x v="23"/>
    <x v="23"/>
    <m/>
    <m/>
    <m/>
    <x v="1"/>
    <m/>
  </r>
  <r>
    <d v="2021-06-10T00:00:00"/>
    <x v="6"/>
    <x v="0"/>
    <x v="0"/>
    <n v="30000"/>
    <n v="30000"/>
    <n v="0"/>
    <x v="179"/>
    <s v="Cali"/>
  </r>
  <r>
    <d v="2021-06-10T00:00:00"/>
    <x v="6"/>
    <x v="25"/>
    <x v="25"/>
    <n v="-30000"/>
    <n v="0"/>
    <n v="30000"/>
    <x v="179"/>
    <s v="Cali"/>
  </r>
  <r>
    <m/>
    <x v="1"/>
    <x v="23"/>
    <x v="23"/>
    <m/>
    <m/>
    <m/>
    <x v="1"/>
    <m/>
  </r>
  <r>
    <d v="2021-06-11T00:00:00"/>
    <x v="6"/>
    <x v="0"/>
    <x v="0"/>
    <n v="30000"/>
    <n v="30000"/>
    <n v="0"/>
    <x v="139"/>
    <s v="Cali"/>
  </r>
  <r>
    <d v="2021-06-11T00:00:00"/>
    <x v="6"/>
    <x v="25"/>
    <x v="25"/>
    <n v="-30000"/>
    <n v="0"/>
    <n v="30000"/>
    <x v="139"/>
    <s v="Cali"/>
  </r>
  <r>
    <m/>
    <x v="1"/>
    <x v="23"/>
    <x v="23"/>
    <m/>
    <m/>
    <m/>
    <x v="1"/>
    <m/>
  </r>
  <r>
    <d v="2021-06-11T00:00:00"/>
    <x v="6"/>
    <x v="0"/>
    <x v="0"/>
    <n v="64000"/>
    <n v="64000"/>
    <n v="0"/>
    <x v="64"/>
    <s v="Cali"/>
  </r>
  <r>
    <d v="2021-06-11T00:00:00"/>
    <x v="6"/>
    <x v="27"/>
    <x v="27"/>
    <n v="-64000"/>
    <n v="0"/>
    <n v="64000"/>
    <x v="64"/>
    <s v="Cali"/>
  </r>
  <r>
    <m/>
    <x v="1"/>
    <x v="23"/>
    <x v="23"/>
    <m/>
    <m/>
    <m/>
    <x v="1"/>
    <m/>
  </r>
  <r>
    <d v="2021-06-11T00:00:00"/>
    <x v="6"/>
    <x v="0"/>
    <x v="0"/>
    <n v="50000"/>
    <n v="50000"/>
    <n v="0"/>
    <x v="422"/>
    <s v="Cali"/>
  </r>
  <r>
    <d v="2021-06-11T00:00:00"/>
    <x v="6"/>
    <x v="26"/>
    <x v="26"/>
    <n v="-50000"/>
    <n v="0"/>
    <n v="50000"/>
    <x v="422"/>
    <s v="Cali"/>
  </r>
  <r>
    <m/>
    <x v="1"/>
    <x v="23"/>
    <x v="23"/>
    <m/>
    <m/>
    <m/>
    <x v="1"/>
    <m/>
  </r>
  <r>
    <d v="2021-06-14T00:00:00"/>
    <x v="6"/>
    <x v="0"/>
    <x v="0"/>
    <n v="100000"/>
    <n v="100000"/>
    <n v="0"/>
    <x v="192"/>
    <s v="Cali"/>
  </r>
  <r>
    <d v="2021-06-14T00:00:00"/>
    <x v="6"/>
    <x v="26"/>
    <x v="26"/>
    <n v="-100000"/>
    <n v="0"/>
    <n v="100000"/>
    <x v="192"/>
    <s v="Cali"/>
  </r>
  <r>
    <m/>
    <x v="1"/>
    <x v="23"/>
    <x v="23"/>
    <m/>
    <m/>
    <m/>
    <x v="1"/>
    <m/>
  </r>
  <r>
    <d v="2021-06-14T00:00:00"/>
    <x v="6"/>
    <x v="0"/>
    <x v="0"/>
    <n v="50000"/>
    <n v="50000"/>
    <n v="0"/>
    <x v="386"/>
    <s v="Cali"/>
  </r>
  <r>
    <d v="2021-06-14T00:00:00"/>
    <x v="6"/>
    <x v="27"/>
    <x v="27"/>
    <n v="-50000"/>
    <n v="0"/>
    <n v="50000"/>
    <x v="386"/>
    <s v="Cali"/>
  </r>
  <r>
    <m/>
    <x v="1"/>
    <x v="23"/>
    <x v="23"/>
    <m/>
    <m/>
    <m/>
    <x v="1"/>
    <m/>
  </r>
  <r>
    <d v="2021-06-14T00:00:00"/>
    <x v="6"/>
    <x v="0"/>
    <x v="0"/>
    <n v="30000"/>
    <n v="30000"/>
    <n v="0"/>
    <x v="256"/>
    <s v="Cali"/>
  </r>
  <r>
    <d v="2021-06-14T00:00:00"/>
    <x v="6"/>
    <x v="25"/>
    <x v="25"/>
    <n v="-30000"/>
    <n v="0"/>
    <n v="30000"/>
    <x v="256"/>
    <s v="Cali"/>
  </r>
  <r>
    <m/>
    <x v="1"/>
    <x v="23"/>
    <x v="23"/>
    <m/>
    <m/>
    <m/>
    <x v="1"/>
    <m/>
  </r>
  <r>
    <d v="2021-06-14T00:00:00"/>
    <x v="6"/>
    <x v="0"/>
    <x v="0"/>
    <n v="7000"/>
    <n v="7000"/>
    <n v="0"/>
    <x v="261"/>
    <s v="Cali"/>
  </r>
  <r>
    <d v="2021-06-14T00:00:00"/>
    <x v="6"/>
    <x v="25"/>
    <x v="25"/>
    <n v="-7000"/>
    <n v="0"/>
    <n v="7000"/>
    <x v="261"/>
    <s v="Cali"/>
  </r>
  <r>
    <m/>
    <x v="1"/>
    <x v="23"/>
    <x v="23"/>
    <m/>
    <m/>
    <m/>
    <x v="1"/>
    <m/>
  </r>
  <r>
    <d v="2021-06-14T00:00:00"/>
    <x v="6"/>
    <x v="0"/>
    <x v="0"/>
    <n v="20000"/>
    <n v="20000"/>
    <n v="0"/>
    <x v="193"/>
    <s v="Cali"/>
  </r>
  <r>
    <d v="2021-06-14T00:00:00"/>
    <x v="6"/>
    <x v="26"/>
    <x v="26"/>
    <n v="-20000"/>
    <n v="0"/>
    <n v="20000"/>
    <x v="193"/>
    <s v="Cali"/>
  </r>
  <r>
    <m/>
    <x v="1"/>
    <x v="23"/>
    <x v="23"/>
    <m/>
    <m/>
    <m/>
    <x v="1"/>
    <m/>
  </r>
  <r>
    <d v="2021-06-14T00:00:00"/>
    <x v="6"/>
    <x v="0"/>
    <x v="0"/>
    <n v="25000"/>
    <n v="25000"/>
    <n v="0"/>
    <x v="194"/>
    <s v="Cali"/>
  </r>
  <r>
    <d v="2021-06-14T00:00:00"/>
    <x v="6"/>
    <x v="25"/>
    <x v="25"/>
    <n v="-25000"/>
    <n v="0"/>
    <n v="25000"/>
    <x v="194"/>
    <s v="Cali"/>
  </r>
  <r>
    <m/>
    <x v="1"/>
    <x v="23"/>
    <x v="23"/>
    <m/>
    <m/>
    <m/>
    <x v="1"/>
    <m/>
  </r>
  <r>
    <d v="2021-06-14T00:00:00"/>
    <x v="6"/>
    <x v="0"/>
    <x v="0"/>
    <n v="2000"/>
    <n v="2000"/>
    <n v="0"/>
    <x v="177"/>
    <s v="Cali"/>
  </r>
  <r>
    <d v="2021-06-14T00:00:00"/>
    <x v="6"/>
    <x v="19"/>
    <x v="19"/>
    <n v="-2000"/>
    <n v="0"/>
    <n v="2000"/>
    <x v="177"/>
    <s v="Cali"/>
  </r>
  <r>
    <m/>
    <x v="1"/>
    <x v="23"/>
    <x v="23"/>
    <m/>
    <m/>
    <m/>
    <x v="1"/>
    <m/>
  </r>
  <r>
    <d v="2021-06-14T00:00:00"/>
    <x v="6"/>
    <x v="0"/>
    <x v="0"/>
    <n v="35353"/>
    <n v="35353"/>
    <n v="0"/>
    <x v="388"/>
    <s v="Cali"/>
  </r>
  <r>
    <d v="2021-06-14T00:00:00"/>
    <x v="6"/>
    <x v="27"/>
    <x v="27"/>
    <n v="-35353"/>
    <n v="0"/>
    <n v="35353"/>
    <x v="388"/>
    <s v="Cali"/>
  </r>
  <r>
    <m/>
    <x v="1"/>
    <x v="23"/>
    <x v="23"/>
    <m/>
    <m/>
    <m/>
    <x v="1"/>
    <m/>
  </r>
  <r>
    <d v="2021-06-14T00:00:00"/>
    <x v="6"/>
    <x v="0"/>
    <x v="0"/>
    <n v="25000"/>
    <n v="25000"/>
    <n v="0"/>
    <x v="149"/>
    <s v="Cali"/>
  </r>
  <r>
    <d v="2021-06-14T00:00:00"/>
    <x v="6"/>
    <x v="27"/>
    <x v="27"/>
    <n v="-25000"/>
    <n v="0"/>
    <n v="25000"/>
    <x v="149"/>
    <s v="Cali"/>
  </r>
  <r>
    <m/>
    <x v="1"/>
    <x v="23"/>
    <x v="23"/>
    <m/>
    <m/>
    <m/>
    <x v="1"/>
    <m/>
  </r>
  <r>
    <d v="2021-06-14T00:00:00"/>
    <x v="6"/>
    <x v="0"/>
    <x v="0"/>
    <n v="40000"/>
    <n v="40000"/>
    <n v="0"/>
    <x v="178"/>
    <s v="Cali"/>
  </r>
  <r>
    <d v="2021-06-14T00:00:00"/>
    <x v="6"/>
    <x v="25"/>
    <x v="25"/>
    <n v="-40000"/>
    <n v="0"/>
    <n v="40000"/>
    <x v="178"/>
    <s v="Cali"/>
  </r>
  <r>
    <m/>
    <x v="1"/>
    <x v="23"/>
    <x v="23"/>
    <m/>
    <m/>
    <m/>
    <x v="1"/>
    <m/>
  </r>
  <r>
    <d v="2021-06-15T00:00:00"/>
    <x v="6"/>
    <x v="0"/>
    <x v="0"/>
    <n v="50000"/>
    <n v="50000"/>
    <n v="0"/>
    <x v="195"/>
    <s v="Cali"/>
  </r>
  <r>
    <d v="2021-06-15T00:00:00"/>
    <x v="6"/>
    <x v="25"/>
    <x v="25"/>
    <n v="-50000"/>
    <n v="0"/>
    <n v="50000"/>
    <x v="195"/>
    <s v="Cali"/>
  </r>
  <r>
    <m/>
    <x v="1"/>
    <x v="23"/>
    <x v="23"/>
    <m/>
    <m/>
    <m/>
    <x v="1"/>
    <m/>
  </r>
  <r>
    <d v="2021-06-15T00:00:00"/>
    <x v="6"/>
    <x v="0"/>
    <x v="0"/>
    <n v="5000"/>
    <n v="5000"/>
    <n v="0"/>
    <x v="384"/>
    <s v="Cali"/>
  </r>
  <r>
    <d v="2021-06-15T00:00:00"/>
    <x v="6"/>
    <x v="19"/>
    <x v="19"/>
    <n v="-5000"/>
    <n v="0"/>
    <n v="5000"/>
    <x v="384"/>
    <s v="Cali"/>
  </r>
  <r>
    <m/>
    <x v="1"/>
    <x v="23"/>
    <x v="23"/>
    <m/>
    <m/>
    <m/>
    <x v="1"/>
    <m/>
  </r>
  <r>
    <d v="2021-06-15T00:00:00"/>
    <x v="6"/>
    <x v="0"/>
    <x v="0"/>
    <n v="20000"/>
    <n v="20000"/>
    <n v="0"/>
    <x v="196"/>
    <s v="Cali"/>
  </r>
  <r>
    <d v="2021-06-15T00:00:00"/>
    <x v="6"/>
    <x v="25"/>
    <x v="25"/>
    <n v="-20000"/>
    <n v="0"/>
    <n v="20000"/>
    <x v="196"/>
    <s v="Cali"/>
  </r>
  <r>
    <m/>
    <x v="1"/>
    <x v="23"/>
    <x v="23"/>
    <m/>
    <m/>
    <m/>
    <x v="1"/>
    <m/>
  </r>
  <r>
    <d v="2021-06-15T00:00:00"/>
    <x v="6"/>
    <x v="0"/>
    <x v="0"/>
    <n v="6866"/>
    <n v="6866"/>
    <n v="0"/>
    <x v="423"/>
    <s v="Cali"/>
  </r>
  <r>
    <d v="2021-06-15T00:00:00"/>
    <x v="6"/>
    <x v="49"/>
    <x v="49"/>
    <n v="134"/>
    <n v="134"/>
    <n v="0"/>
    <x v="423"/>
    <s v="Cali"/>
  </r>
  <r>
    <d v="2021-06-15T00:00:00"/>
    <x v="6"/>
    <x v="25"/>
    <x v="25"/>
    <n v="-7000"/>
    <n v="0"/>
    <n v="7000"/>
    <x v="423"/>
    <s v="Cali"/>
  </r>
  <r>
    <m/>
    <x v="1"/>
    <x v="23"/>
    <x v="23"/>
    <m/>
    <m/>
    <m/>
    <x v="1"/>
    <m/>
  </r>
  <r>
    <d v="2021-06-15T00:00:00"/>
    <x v="6"/>
    <x v="0"/>
    <x v="0"/>
    <n v="980722"/>
    <n v="980722"/>
    <n v="0"/>
    <x v="424"/>
    <s v="Cali"/>
  </r>
  <r>
    <d v="2021-06-15T00:00:00"/>
    <x v="6"/>
    <x v="26"/>
    <x v="26"/>
    <n v="-980722"/>
    <n v="0"/>
    <n v="980722"/>
    <x v="424"/>
    <s v="Cali"/>
  </r>
  <r>
    <m/>
    <x v="1"/>
    <x v="23"/>
    <x v="23"/>
    <m/>
    <m/>
    <m/>
    <x v="1"/>
    <m/>
  </r>
  <r>
    <d v="2021-06-15T00:00:00"/>
    <x v="6"/>
    <x v="0"/>
    <x v="0"/>
    <n v="18000"/>
    <n v="18000"/>
    <n v="0"/>
    <x v="66"/>
    <s v="Cali"/>
  </r>
  <r>
    <d v="2021-06-15T00:00:00"/>
    <x v="6"/>
    <x v="27"/>
    <x v="27"/>
    <n v="-18000"/>
    <n v="0"/>
    <n v="18000"/>
    <x v="66"/>
    <s v="Cali"/>
  </r>
  <r>
    <m/>
    <x v="1"/>
    <x v="23"/>
    <x v="23"/>
    <m/>
    <m/>
    <m/>
    <x v="1"/>
    <m/>
  </r>
  <r>
    <d v="2021-06-15T00:00:00"/>
    <x v="6"/>
    <x v="0"/>
    <x v="0"/>
    <n v="20000"/>
    <n v="20000"/>
    <n v="0"/>
    <x v="425"/>
    <s v="Cali"/>
  </r>
  <r>
    <d v="2021-06-15T00:00:00"/>
    <x v="6"/>
    <x v="25"/>
    <x v="25"/>
    <n v="-20000"/>
    <n v="0"/>
    <n v="20000"/>
    <x v="425"/>
    <s v="Cali"/>
  </r>
  <r>
    <m/>
    <x v="1"/>
    <x v="23"/>
    <x v="23"/>
    <m/>
    <m/>
    <m/>
    <x v="1"/>
    <m/>
  </r>
  <r>
    <d v="2021-06-16T00:00:00"/>
    <x v="6"/>
    <x v="14"/>
    <x v="14"/>
    <n v="169583"/>
    <n v="169583"/>
    <n v="0"/>
    <x v="426"/>
    <s v="Cali"/>
  </r>
  <r>
    <d v="2021-06-16T00:00:00"/>
    <x v="6"/>
    <x v="15"/>
    <x v="15"/>
    <n v="4241405"/>
    <n v="4241405"/>
    <n v="0"/>
    <x v="426"/>
    <s v="Cali"/>
  </r>
  <r>
    <d v="2021-06-16T00:00:00"/>
    <x v="6"/>
    <x v="0"/>
    <x v="0"/>
    <n v="-4410988"/>
    <n v="0"/>
    <n v="4410988"/>
    <x v="426"/>
    <s v="Cali"/>
  </r>
  <r>
    <m/>
    <x v="1"/>
    <x v="23"/>
    <x v="23"/>
    <m/>
    <m/>
    <m/>
    <x v="1"/>
    <m/>
  </r>
  <r>
    <d v="2021-05-25T00:00:00"/>
    <x v="5"/>
    <x v="31"/>
    <x v="31"/>
    <n v="338983"/>
    <n v="338983"/>
    <n v="0"/>
    <x v="427"/>
    <s v="Cali"/>
  </r>
  <r>
    <d v="2021-05-25T00:00:00"/>
    <x v="5"/>
    <x v="0"/>
    <x v="0"/>
    <n v="-300000"/>
    <n v="0"/>
    <n v="300000"/>
    <x v="427"/>
    <s v="Cali"/>
  </r>
  <r>
    <d v="2021-05-25T00:00:00"/>
    <x v="5"/>
    <x v="17"/>
    <x v="17"/>
    <n v="-38983"/>
    <n v="0"/>
    <n v="38983"/>
    <x v="427"/>
    <s v="Cali"/>
  </r>
  <r>
    <m/>
    <x v="1"/>
    <x v="23"/>
    <x v="23"/>
    <m/>
    <m/>
    <m/>
    <x v="1"/>
    <m/>
  </r>
  <r>
    <d v="2021-06-16T00:00:00"/>
    <x v="6"/>
    <x v="16"/>
    <x v="16"/>
    <n v="57360"/>
    <n v="57360"/>
    <n v="0"/>
    <x v="428"/>
    <s v="Cali"/>
  </r>
  <r>
    <d v="2021-06-16T00:00:00"/>
    <x v="6"/>
    <x v="0"/>
    <x v="0"/>
    <n v="-50764"/>
    <n v="0"/>
    <n v="50764"/>
    <x v="428"/>
    <s v="Cali"/>
  </r>
  <r>
    <d v="2021-06-16T00:00:00"/>
    <x v="6"/>
    <x v="17"/>
    <x v="17"/>
    <n v="-6596"/>
    <n v="0"/>
    <n v="6596"/>
    <x v="428"/>
    <s v="Cali"/>
  </r>
  <r>
    <m/>
    <x v="1"/>
    <x v="23"/>
    <x v="23"/>
    <m/>
    <m/>
    <m/>
    <x v="1"/>
    <m/>
  </r>
  <r>
    <d v="2021-06-16T00:00:00"/>
    <x v="6"/>
    <x v="1"/>
    <x v="1"/>
    <n v="25000000"/>
    <n v="25000000"/>
    <n v="0"/>
    <x v="429"/>
    <s v="Cali"/>
  </r>
  <r>
    <d v="2021-06-16T00:00:00"/>
    <x v="6"/>
    <x v="0"/>
    <x v="0"/>
    <n v="-25000000"/>
    <n v="0"/>
    <n v="25000000"/>
    <x v="429"/>
    <s v="Cali"/>
  </r>
  <r>
    <m/>
    <x v="1"/>
    <x v="23"/>
    <x v="23"/>
    <m/>
    <m/>
    <m/>
    <x v="1"/>
    <m/>
  </r>
  <r>
    <d v="2021-06-16T00:00:00"/>
    <x v="6"/>
    <x v="0"/>
    <x v="0"/>
    <n v="250000"/>
    <n v="250000"/>
    <n v="0"/>
    <x v="430"/>
    <s v="Cali"/>
  </r>
  <r>
    <d v="2021-06-16T00:00:00"/>
    <x v="6"/>
    <x v="26"/>
    <x v="26"/>
    <n v="-250000"/>
    <n v="0"/>
    <n v="250000"/>
    <x v="430"/>
    <s v="Cali"/>
  </r>
  <r>
    <m/>
    <x v="1"/>
    <x v="23"/>
    <x v="23"/>
    <m/>
    <m/>
    <m/>
    <x v="1"/>
    <m/>
  </r>
  <r>
    <d v="2021-06-18T00:00:00"/>
    <x v="6"/>
    <x v="0"/>
    <x v="0"/>
    <n v="20000"/>
    <n v="20000"/>
    <n v="0"/>
    <x v="318"/>
    <s v="Cali"/>
  </r>
  <r>
    <d v="2021-06-18T00:00:00"/>
    <x v="6"/>
    <x v="25"/>
    <x v="25"/>
    <n v="-20000"/>
    <n v="0"/>
    <n v="20000"/>
    <x v="318"/>
    <s v="Cali"/>
  </r>
  <r>
    <m/>
    <x v="1"/>
    <x v="23"/>
    <x v="23"/>
    <m/>
    <m/>
    <m/>
    <x v="1"/>
    <m/>
  </r>
  <r>
    <d v="2021-06-18T00:00:00"/>
    <x v="6"/>
    <x v="0"/>
    <x v="0"/>
    <n v="30000"/>
    <n v="30000"/>
    <n v="0"/>
    <x v="156"/>
    <s v="Cali"/>
  </r>
  <r>
    <d v="2021-06-18T00:00:00"/>
    <x v="6"/>
    <x v="25"/>
    <x v="25"/>
    <n v="-30000"/>
    <n v="0"/>
    <n v="30000"/>
    <x v="156"/>
    <s v="Cali"/>
  </r>
  <r>
    <m/>
    <x v="1"/>
    <x v="23"/>
    <x v="23"/>
    <m/>
    <m/>
    <m/>
    <x v="1"/>
    <m/>
  </r>
  <r>
    <d v="2021-06-18T00:00:00"/>
    <x v="6"/>
    <x v="0"/>
    <x v="0"/>
    <n v="40000"/>
    <n v="40000"/>
    <n v="0"/>
    <x v="65"/>
    <s v="Cali"/>
  </r>
  <r>
    <d v="2021-06-18T00:00:00"/>
    <x v="6"/>
    <x v="29"/>
    <x v="29"/>
    <n v="-40000"/>
    <n v="0"/>
    <n v="40000"/>
    <x v="65"/>
    <s v="Cali"/>
  </r>
  <r>
    <m/>
    <x v="1"/>
    <x v="23"/>
    <x v="23"/>
    <m/>
    <m/>
    <m/>
    <x v="1"/>
    <m/>
  </r>
  <r>
    <d v="2021-06-18T00:00:00"/>
    <x v="6"/>
    <x v="0"/>
    <x v="0"/>
    <n v="223000"/>
    <n v="223000"/>
    <n v="0"/>
    <x v="65"/>
    <s v="Cali"/>
  </r>
  <r>
    <d v="2021-06-18T00:00:00"/>
    <x v="6"/>
    <x v="29"/>
    <x v="29"/>
    <n v="-223000"/>
    <n v="0"/>
    <n v="223000"/>
    <x v="65"/>
    <s v="Cali"/>
  </r>
  <r>
    <m/>
    <x v="1"/>
    <x v="23"/>
    <x v="23"/>
    <m/>
    <m/>
    <m/>
    <x v="1"/>
    <m/>
  </r>
  <r>
    <d v="2021-06-18T00:00:00"/>
    <x v="6"/>
    <x v="0"/>
    <x v="0"/>
    <n v="115000"/>
    <n v="115000"/>
    <n v="0"/>
    <x v="65"/>
    <s v="Cali"/>
  </r>
  <r>
    <d v="2021-06-18T00:00:00"/>
    <x v="6"/>
    <x v="29"/>
    <x v="29"/>
    <n v="-115000"/>
    <n v="0"/>
    <n v="115000"/>
    <x v="65"/>
    <s v="Cali"/>
  </r>
  <r>
    <m/>
    <x v="1"/>
    <x v="23"/>
    <x v="23"/>
    <m/>
    <m/>
    <m/>
    <x v="1"/>
    <m/>
  </r>
  <r>
    <d v="2021-06-18T00:00:00"/>
    <x v="6"/>
    <x v="0"/>
    <x v="0"/>
    <n v="65000"/>
    <n v="65000"/>
    <n v="0"/>
    <x v="65"/>
    <s v="Cali"/>
  </r>
  <r>
    <d v="2021-06-18T00:00:00"/>
    <x v="6"/>
    <x v="29"/>
    <x v="29"/>
    <n v="-65000"/>
    <n v="0"/>
    <n v="65000"/>
    <x v="65"/>
    <s v="Cali"/>
  </r>
  <r>
    <m/>
    <x v="1"/>
    <x v="23"/>
    <x v="23"/>
    <m/>
    <m/>
    <m/>
    <x v="1"/>
    <m/>
  </r>
  <r>
    <d v="2021-06-22T00:00:00"/>
    <x v="6"/>
    <x v="0"/>
    <x v="0"/>
    <n v="5000"/>
    <n v="5000"/>
    <n v="0"/>
    <x v="367"/>
    <s v="Cali"/>
  </r>
  <r>
    <d v="2021-06-22T00:00:00"/>
    <x v="6"/>
    <x v="25"/>
    <x v="25"/>
    <n v="-5000"/>
    <n v="0"/>
    <n v="5000"/>
    <x v="367"/>
    <s v="Cali"/>
  </r>
  <r>
    <m/>
    <x v="1"/>
    <x v="23"/>
    <x v="23"/>
    <m/>
    <m/>
    <m/>
    <x v="1"/>
    <m/>
  </r>
  <r>
    <d v="2021-06-22T00:00:00"/>
    <x v="6"/>
    <x v="0"/>
    <x v="0"/>
    <n v="20000"/>
    <n v="20000"/>
    <n v="0"/>
    <x v="201"/>
    <s v="Cali"/>
  </r>
  <r>
    <d v="2021-06-22T00:00:00"/>
    <x v="6"/>
    <x v="25"/>
    <x v="25"/>
    <n v="-20000"/>
    <n v="0"/>
    <n v="20000"/>
    <x v="201"/>
    <s v="Cali"/>
  </r>
  <r>
    <m/>
    <x v="1"/>
    <x v="23"/>
    <x v="23"/>
    <m/>
    <m/>
    <m/>
    <x v="1"/>
    <m/>
  </r>
  <r>
    <d v="2021-06-22T00:00:00"/>
    <x v="6"/>
    <x v="0"/>
    <x v="0"/>
    <n v="150000"/>
    <n v="150000"/>
    <n v="0"/>
    <x v="431"/>
    <s v="Cali"/>
  </r>
  <r>
    <d v="2021-06-22T00:00:00"/>
    <x v="6"/>
    <x v="25"/>
    <x v="25"/>
    <n v="-150000"/>
    <n v="0"/>
    <n v="150000"/>
    <x v="431"/>
    <s v="Cali"/>
  </r>
  <r>
    <m/>
    <x v="1"/>
    <x v="23"/>
    <x v="23"/>
    <m/>
    <m/>
    <m/>
    <x v="1"/>
    <m/>
  </r>
  <r>
    <d v="2021-06-22T00:00:00"/>
    <x v="6"/>
    <x v="0"/>
    <x v="0"/>
    <n v="2000"/>
    <n v="2000"/>
    <n v="0"/>
    <x v="177"/>
    <s v="Cali"/>
  </r>
  <r>
    <d v="2021-06-22T00:00:00"/>
    <x v="6"/>
    <x v="19"/>
    <x v="19"/>
    <n v="-2000"/>
    <n v="0"/>
    <n v="2000"/>
    <x v="177"/>
    <s v="Cali"/>
  </r>
  <r>
    <m/>
    <x v="1"/>
    <x v="23"/>
    <x v="23"/>
    <m/>
    <m/>
    <m/>
    <x v="1"/>
    <m/>
  </r>
  <r>
    <d v="2021-06-22T00:00:00"/>
    <x v="6"/>
    <x v="0"/>
    <x v="0"/>
    <n v="3000000"/>
    <n v="3000000"/>
    <n v="0"/>
    <x v="306"/>
    <s v="Cali"/>
  </r>
  <r>
    <d v="2021-06-22T00:00:00"/>
    <x v="6"/>
    <x v="26"/>
    <x v="26"/>
    <n v="-3000000"/>
    <n v="0"/>
    <n v="3000000"/>
    <x v="306"/>
    <s v="Cali"/>
  </r>
  <r>
    <m/>
    <x v="1"/>
    <x v="23"/>
    <x v="23"/>
    <m/>
    <m/>
    <m/>
    <x v="1"/>
    <m/>
  </r>
  <r>
    <d v="2021-06-22T00:00:00"/>
    <x v="6"/>
    <x v="0"/>
    <x v="0"/>
    <n v="10000"/>
    <n v="10000"/>
    <n v="0"/>
    <x v="409"/>
    <s v="Cali"/>
  </r>
  <r>
    <d v="2021-06-22T00:00:00"/>
    <x v="6"/>
    <x v="25"/>
    <x v="25"/>
    <n v="-10000"/>
    <n v="0"/>
    <n v="10000"/>
    <x v="409"/>
    <s v="Cali"/>
  </r>
  <r>
    <m/>
    <x v="1"/>
    <x v="23"/>
    <x v="23"/>
    <m/>
    <m/>
    <m/>
    <x v="1"/>
    <m/>
  </r>
  <r>
    <d v="2021-06-22T00:00:00"/>
    <x v="6"/>
    <x v="0"/>
    <x v="0"/>
    <n v="9807"/>
    <n v="9807"/>
    <n v="0"/>
    <x v="432"/>
    <s v="Cali"/>
  </r>
  <r>
    <d v="2021-06-22T00:00:00"/>
    <x v="6"/>
    <x v="49"/>
    <x v="49"/>
    <n v="193"/>
    <n v="193"/>
    <n v="0"/>
    <x v="432"/>
    <s v="Cali"/>
  </r>
  <r>
    <d v="2021-06-22T00:00:00"/>
    <x v="6"/>
    <x v="25"/>
    <x v="25"/>
    <n v="-10000"/>
    <n v="0"/>
    <n v="10000"/>
    <x v="432"/>
    <s v="Cali"/>
  </r>
  <r>
    <m/>
    <x v="1"/>
    <x v="23"/>
    <x v="23"/>
    <m/>
    <m/>
    <m/>
    <x v="1"/>
    <m/>
  </r>
  <r>
    <d v="2021-06-23T00:00:00"/>
    <x v="6"/>
    <x v="0"/>
    <x v="0"/>
    <n v="20000"/>
    <n v="20000"/>
    <n v="0"/>
    <x v="198"/>
    <s v="Cali"/>
  </r>
  <r>
    <d v="2021-06-23T00:00:00"/>
    <x v="6"/>
    <x v="27"/>
    <x v="27"/>
    <n v="-20000"/>
    <n v="0"/>
    <n v="20000"/>
    <x v="198"/>
    <s v="Cali"/>
  </r>
  <r>
    <m/>
    <x v="1"/>
    <x v="23"/>
    <x v="23"/>
    <m/>
    <m/>
    <m/>
    <x v="1"/>
    <m/>
  </r>
  <r>
    <d v="2021-06-23T00:00:00"/>
    <x v="6"/>
    <x v="0"/>
    <x v="0"/>
    <n v="30000"/>
    <n v="30000"/>
    <n v="0"/>
    <x v="203"/>
    <s v="Cali"/>
  </r>
  <r>
    <d v="2021-06-23T00:00:00"/>
    <x v="6"/>
    <x v="27"/>
    <x v="27"/>
    <n v="-30000"/>
    <n v="0"/>
    <n v="30000"/>
    <x v="203"/>
    <s v="Cali"/>
  </r>
  <r>
    <m/>
    <x v="1"/>
    <x v="23"/>
    <x v="23"/>
    <m/>
    <m/>
    <m/>
    <x v="1"/>
    <m/>
  </r>
  <r>
    <d v="2021-06-23T00:00:00"/>
    <x v="6"/>
    <x v="0"/>
    <x v="0"/>
    <n v="100000"/>
    <n v="100000"/>
    <n v="0"/>
    <x v="333"/>
    <s v="Cali"/>
  </r>
  <r>
    <d v="2021-06-23T00:00:00"/>
    <x v="6"/>
    <x v="26"/>
    <x v="26"/>
    <n v="-100000"/>
    <n v="0"/>
    <n v="100000"/>
    <x v="333"/>
    <s v="Cali"/>
  </r>
  <r>
    <m/>
    <x v="1"/>
    <x v="23"/>
    <x v="23"/>
    <m/>
    <m/>
    <m/>
    <x v="1"/>
    <m/>
  </r>
  <r>
    <d v="2021-06-23T00:00:00"/>
    <x v="6"/>
    <x v="0"/>
    <x v="0"/>
    <n v="20000"/>
    <n v="20000"/>
    <n v="0"/>
    <x v="85"/>
    <s v="Cali"/>
  </r>
  <r>
    <d v="2021-06-23T00:00:00"/>
    <x v="6"/>
    <x v="25"/>
    <x v="25"/>
    <n v="-20000"/>
    <n v="0"/>
    <n v="20000"/>
    <x v="85"/>
    <s v="Cali"/>
  </r>
  <r>
    <m/>
    <x v="1"/>
    <x v="23"/>
    <x v="23"/>
    <m/>
    <m/>
    <m/>
    <x v="1"/>
    <m/>
  </r>
  <r>
    <d v="2021-06-23T00:00:00"/>
    <x v="6"/>
    <x v="0"/>
    <x v="0"/>
    <n v="19614"/>
    <n v="19614"/>
    <n v="0"/>
    <x v="248"/>
    <s v="Cali"/>
  </r>
  <r>
    <d v="2021-06-23T00:00:00"/>
    <x v="6"/>
    <x v="26"/>
    <x v="26"/>
    <n v="-19614"/>
    <n v="0"/>
    <n v="19614"/>
    <x v="248"/>
    <s v="Cali"/>
  </r>
  <r>
    <m/>
    <x v="1"/>
    <x v="23"/>
    <x v="23"/>
    <m/>
    <m/>
    <m/>
    <x v="1"/>
    <m/>
  </r>
  <r>
    <d v="2021-06-23T00:00:00"/>
    <x v="6"/>
    <x v="0"/>
    <x v="0"/>
    <n v="5000"/>
    <n v="5000"/>
    <n v="0"/>
    <x v="433"/>
    <s v="Cali"/>
  </r>
  <r>
    <d v="2021-06-23T00:00:00"/>
    <x v="6"/>
    <x v="25"/>
    <x v="25"/>
    <n v="-5000"/>
    <n v="0"/>
    <n v="5000"/>
    <x v="433"/>
    <s v="Cali"/>
  </r>
  <r>
    <m/>
    <x v="1"/>
    <x v="23"/>
    <x v="23"/>
    <m/>
    <m/>
    <m/>
    <x v="1"/>
    <m/>
  </r>
  <r>
    <d v="2021-06-24T00:00:00"/>
    <x v="6"/>
    <x v="0"/>
    <x v="0"/>
    <n v="1000000"/>
    <n v="1000000"/>
    <n v="0"/>
    <x v="253"/>
    <s v="Cali"/>
  </r>
  <r>
    <d v="2021-06-24T00:00:00"/>
    <x v="6"/>
    <x v="26"/>
    <x v="26"/>
    <n v="-1000000"/>
    <n v="0"/>
    <n v="1000000"/>
    <x v="253"/>
    <s v="Cali"/>
  </r>
  <r>
    <m/>
    <x v="1"/>
    <x v="23"/>
    <x v="23"/>
    <m/>
    <m/>
    <m/>
    <x v="1"/>
    <m/>
  </r>
  <r>
    <d v="2021-06-25T00:00:00"/>
    <x v="6"/>
    <x v="0"/>
    <x v="0"/>
    <n v="10000"/>
    <n v="10000"/>
    <n v="0"/>
    <x v="308"/>
    <s v="Cali"/>
  </r>
  <r>
    <d v="2021-06-25T00:00:00"/>
    <x v="6"/>
    <x v="25"/>
    <x v="25"/>
    <n v="-10000"/>
    <n v="0"/>
    <n v="10000"/>
    <x v="308"/>
    <s v="Cali"/>
  </r>
  <r>
    <m/>
    <x v="1"/>
    <x v="23"/>
    <x v="23"/>
    <m/>
    <m/>
    <m/>
    <x v="1"/>
    <m/>
  </r>
  <r>
    <d v="2021-06-25T00:00:00"/>
    <x v="6"/>
    <x v="0"/>
    <x v="0"/>
    <n v="20000"/>
    <n v="20000"/>
    <n v="0"/>
    <x v="434"/>
    <s v="Cali"/>
  </r>
  <r>
    <d v="2021-06-25T00:00:00"/>
    <x v="6"/>
    <x v="20"/>
    <x v="20"/>
    <n v="-20000"/>
    <n v="0"/>
    <n v="20000"/>
    <x v="434"/>
    <s v="Cali"/>
  </r>
  <r>
    <m/>
    <x v="1"/>
    <x v="23"/>
    <x v="23"/>
    <m/>
    <m/>
    <m/>
    <x v="1"/>
    <m/>
  </r>
  <r>
    <d v="2021-06-25T00:00:00"/>
    <x v="6"/>
    <x v="0"/>
    <x v="0"/>
    <n v="10000"/>
    <n v="10000"/>
    <n v="0"/>
    <x v="206"/>
    <s v="Cali"/>
  </r>
  <r>
    <d v="2021-06-25T00:00:00"/>
    <x v="6"/>
    <x v="26"/>
    <x v="26"/>
    <n v="-10000"/>
    <n v="0"/>
    <n v="10000"/>
    <x v="206"/>
    <s v="Cali"/>
  </r>
  <r>
    <m/>
    <x v="1"/>
    <x v="23"/>
    <x v="23"/>
    <m/>
    <m/>
    <m/>
    <x v="1"/>
    <m/>
  </r>
  <r>
    <d v="2021-06-25T00:00:00"/>
    <x v="6"/>
    <x v="0"/>
    <x v="0"/>
    <n v="1474790"/>
    <n v="1474790"/>
    <n v="0"/>
    <x v="435"/>
    <s v="Cali"/>
  </r>
  <r>
    <d v="2021-06-25T00:00:00"/>
    <x v="6"/>
    <x v="26"/>
    <x v="26"/>
    <n v="-1474790"/>
    <n v="0"/>
    <n v="1474790"/>
    <x v="435"/>
    <s v="Cali"/>
  </r>
  <r>
    <m/>
    <x v="1"/>
    <x v="23"/>
    <x v="23"/>
    <m/>
    <m/>
    <m/>
    <x v="1"/>
    <m/>
  </r>
  <r>
    <d v="2021-06-25T00:00:00"/>
    <x v="6"/>
    <x v="0"/>
    <x v="0"/>
    <n v="2171504"/>
    <n v="2171504"/>
    <n v="0"/>
    <x v="436"/>
    <s v="Cali"/>
  </r>
  <r>
    <d v="2021-06-25T00:00:00"/>
    <x v="6"/>
    <x v="44"/>
    <x v="44"/>
    <n v="-2171504"/>
    <n v="0"/>
    <n v="2171504"/>
    <x v="436"/>
    <s v="Cali"/>
  </r>
  <r>
    <m/>
    <x v="1"/>
    <x v="23"/>
    <x v="23"/>
    <m/>
    <m/>
    <m/>
    <x v="1"/>
    <m/>
  </r>
  <r>
    <d v="2021-06-25T00:00:00"/>
    <x v="6"/>
    <x v="0"/>
    <x v="0"/>
    <n v="1471625"/>
    <n v="1471625"/>
    <n v="0"/>
    <x v="437"/>
    <s v="Cali"/>
  </r>
  <r>
    <d v="2021-06-25T00:00:00"/>
    <x v="6"/>
    <x v="45"/>
    <x v="45"/>
    <n v="-1471625"/>
    <n v="0"/>
    <n v="1471625"/>
    <x v="437"/>
    <s v="Cali"/>
  </r>
  <r>
    <m/>
    <x v="1"/>
    <x v="23"/>
    <x v="23"/>
    <m/>
    <m/>
    <m/>
    <x v="1"/>
    <m/>
  </r>
  <r>
    <d v="2021-06-29T00:00:00"/>
    <x v="6"/>
    <x v="0"/>
    <x v="0"/>
    <n v="10000"/>
    <n v="10000"/>
    <n v="0"/>
    <x v="277"/>
    <s v="Cali"/>
  </r>
  <r>
    <d v="2021-06-29T00:00:00"/>
    <x v="6"/>
    <x v="25"/>
    <x v="25"/>
    <n v="-10000"/>
    <n v="0"/>
    <n v="10000"/>
    <x v="277"/>
    <s v="Cali"/>
  </r>
  <r>
    <m/>
    <x v="1"/>
    <x v="23"/>
    <x v="23"/>
    <m/>
    <m/>
    <m/>
    <x v="1"/>
    <m/>
  </r>
  <r>
    <d v="2021-06-29T00:00:00"/>
    <x v="6"/>
    <x v="0"/>
    <x v="0"/>
    <n v="400000"/>
    <n v="400000"/>
    <n v="0"/>
    <x v="212"/>
    <s v="Cali"/>
  </r>
  <r>
    <d v="2021-06-29T00:00:00"/>
    <x v="6"/>
    <x v="26"/>
    <x v="26"/>
    <n v="-400000"/>
    <n v="0"/>
    <n v="400000"/>
    <x v="212"/>
    <s v="Cali"/>
  </r>
  <r>
    <m/>
    <x v="1"/>
    <x v="23"/>
    <x v="23"/>
    <m/>
    <m/>
    <m/>
    <x v="1"/>
    <m/>
  </r>
  <r>
    <d v="2021-06-29T00:00:00"/>
    <x v="6"/>
    <x v="0"/>
    <x v="0"/>
    <n v="2000"/>
    <n v="2000"/>
    <n v="0"/>
    <x v="177"/>
    <s v="Cali"/>
  </r>
  <r>
    <d v="2021-06-29T00:00:00"/>
    <x v="6"/>
    <x v="19"/>
    <x v="19"/>
    <n v="-2000"/>
    <n v="0"/>
    <n v="2000"/>
    <x v="177"/>
    <s v="Cali"/>
  </r>
  <r>
    <m/>
    <x v="1"/>
    <x v="23"/>
    <x v="23"/>
    <m/>
    <m/>
    <m/>
    <x v="1"/>
    <m/>
  </r>
  <r>
    <d v="2021-06-29T00:00:00"/>
    <x v="6"/>
    <x v="0"/>
    <x v="0"/>
    <n v="20000"/>
    <n v="20000"/>
    <n v="0"/>
    <x v="132"/>
    <s v="Cali"/>
  </r>
  <r>
    <d v="2021-06-29T00:00:00"/>
    <x v="6"/>
    <x v="25"/>
    <x v="25"/>
    <n v="-20000"/>
    <n v="0"/>
    <n v="20000"/>
    <x v="132"/>
    <s v="Cali"/>
  </r>
  <r>
    <m/>
    <x v="1"/>
    <x v="23"/>
    <x v="23"/>
    <m/>
    <m/>
    <m/>
    <x v="1"/>
    <m/>
  </r>
  <r>
    <d v="2021-06-29T00:00:00"/>
    <x v="6"/>
    <x v="0"/>
    <x v="0"/>
    <n v="15000"/>
    <n v="15000"/>
    <n v="0"/>
    <x v="137"/>
    <s v="Cali"/>
  </r>
  <r>
    <d v="2021-06-29T00:00:00"/>
    <x v="6"/>
    <x v="26"/>
    <x v="26"/>
    <n v="-15000"/>
    <n v="0"/>
    <n v="15000"/>
    <x v="137"/>
    <s v="Cali"/>
  </r>
  <r>
    <m/>
    <x v="1"/>
    <x v="23"/>
    <x v="23"/>
    <m/>
    <m/>
    <m/>
    <x v="1"/>
    <m/>
  </r>
  <r>
    <d v="2021-06-29T00:00:00"/>
    <x v="6"/>
    <x v="0"/>
    <x v="0"/>
    <n v="20000"/>
    <n v="20000"/>
    <n v="0"/>
    <x v="237"/>
    <s v="Cali"/>
  </r>
  <r>
    <d v="2021-06-29T00:00:00"/>
    <x v="6"/>
    <x v="19"/>
    <x v="19"/>
    <n v="-20000"/>
    <n v="0"/>
    <n v="20000"/>
    <x v="237"/>
    <s v="Cali"/>
  </r>
  <r>
    <m/>
    <x v="1"/>
    <x v="23"/>
    <x v="23"/>
    <m/>
    <m/>
    <m/>
    <x v="1"/>
    <m/>
  </r>
  <r>
    <d v="2021-06-29T00:00:00"/>
    <x v="6"/>
    <x v="0"/>
    <x v="0"/>
    <n v="10000"/>
    <n v="10000"/>
    <n v="0"/>
    <x v="236"/>
    <s v="Cali"/>
  </r>
  <r>
    <d v="2021-06-29T00:00:00"/>
    <x v="6"/>
    <x v="25"/>
    <x v="25"/>
    <n v="-10000"/>
    <n v="0"/>
    <n v="10000"/>
    <x v="236"/>
    <s v="Cali"/>
  </r>
  <r>
    <m/>
    <x v="1"/>
    <x v="23"/>
    <x v="23"/>
    <m/>
    <m/>
    <m/>
    <x v="1"/>
    <m/>
  </r>
  <r>
    <d v="2021-06-29T00:00:00"/>
    <x v="6"/>
    <x v="0"/>
    <x v="0"/>
    <n v="125000"/>
    <n v="125000"/>
    <n v="0"/>
    <x v="136"/>
    <s v="Cali"/>
  </r>
  <r>
    <d v="2021-06-29T00:00:00"/>
    <x v="6"/>
    <x v="26"/>
    <x v="26"/>
    <n v="-125000"/>
    <n v="0"/>
    <n v="125000"/>
    <x v="136"/>
    <s v="Cali"/>
  </r>
  <r>
    <m/>
    <x v="1"/>
    <x v="23"/>
    <x v="23"/>
    <m/>
    <m/>
    <m/>
    <x v="1"/>
    <m/>
  </r>
  <r>
    <d v="2021-06-29T00:00:00"/>
    <x v="6"/>
    <x v="0"/>
    <x v="0"/>
    <n v="100000"/>
    <n v="100000"/>
    <n v="0"/>
    <x v="281"/>
    <s v="Cali"/>
  </r>
  <r>
    <d v="2021-06-29T00:00:00"/>
    <x v="6"/>
    <x v="26"/>
    <x v="26"/>
    <n v="-100000"/>
    <n v="0"/>
    <n v="100000"/>
    <x v="281"/>
    <s v="Cali"/>
  </r>
  <r>
    <m/>
    <x v="1"/>
    <x v="23"/>
    <x v="23"/>
    <m/>
    <m/>
    <m/>
    <x v="1"/>
    <m/>
  </r>
  <r>
    <d v="2021-06-29T00:00:00"/>
    <x v="6"/>
    <x v="0"/>
    <x v="0"/>
    <n v="20000"/>
    <n v="20000"/>
    <n v="0"/>
    <x v="438"/>
    <s v="Cali"/>
  </r>
  <r>
    <d v="2021-06-29T00:00:00"/>
    <x v="6"/>
    <x v="20"/>
    <x v="20"/>
    <n v="-20000"/>
    <n v="0"/>
    <n v="20000"/>
    <x v="438"/>
    <s v="Cali"/>
  </r>
  <r>
    <m/>
    <x v="1"/>
    <x v="23"/>
    <x v="23"/>
    <m/>
    <m/>
    <m/>
    <x v="1"/>
    <m/>
  </r>
  <r>
    <d v="2021-06-29T00:00:00"/>
    <x v="6"/>
    <x v="0"/>
    <x v="0"/>
    <n v="73000"/>
    <n v="73000"/>
    <n v="0"/>
    <x v="240"/>
    <s v="Cali"/>
  </r>
  <r>
    <d v="2021-06-29T00:00:00"/>
    <x v="6"/>
    <x v="26"/>
    <x v="26"/>
    <n v="-73000"/>
    <n v="0"/>
    <n v="73000"/>
    <x v="240"/>
    <s v="Cali"/>
  </r>
  <r>
    <m/>
    <x v="1"/>
    <x v="23"/>
    <x v="23"/>
    <m/>
    <m/>
    <m/>
    <x v="1"/>
    <m/>
  </r>
  <r>
    <d v="2021-06-29T00:00:00"/>
    <x v="6"/>
    <x v="0"/>
    <x v="0"/>
    <n v="40000"/>
    <n v="40000"/>
    <n v="0"/>
    <x v="241"/>
    <s v="Cali"/>
  </r>
  <r>
    <d v="2021-06-29T00:00:00"/>
    <x v="6"/>
    <x v="26"/>
    <x v="26"/>
    <n v="-40000"/>
    <n v="0"/>
    <n v="40000"/>
    <x v="241"/>
    <s v="Cali"/>
  </r>
  <r>
    <m/>
    <x v="1"/>
    <x v="23"/>
    <x v="23"/>
    <m/>
    <m/>
    <m/>
    <x v="1"/>
    <m/>
  </r>
  <r>
    <d v="2021-06-29T00:00:00"/>
    <x v="6"/>
    <x v="0"/>
    <x v="0"/>
    <n v="60000"/>
    <n v="60000"/>
    <n v="0"/>
    <x v="238"/>
    <s v="Cali"/>
  </r>
  <r>
    <d v="2021-06-29T00:00:00"/>
    <x v="6"/>
    <x v="25"/>
    <x v="25"/>
    <n v="-60000"/>
    <n v="0"/>
    <n v="60000"/>
    <x v="238"/>
    <s v="Cali"/>
  </r>
  <r>
    <m/>
    <x v="1"/>
    <x v="23"/>
    <x v="23"/>
    <m/>
    <m/>
    <m/>
    <x v="1"/>
    <m/>
  </r>
  <r>
    <d v="2021-06-29T00:00:00"/>
    <x v="6"/>
    <x v="0"/>
    <x v="0"/>
    <n v="9841290"/>
    <n v="9841290"/>
    <n v="0"/>
    <x v="439"/>
    <s v="Cali"/>
  </r>
  <r>
    <d v="2021-06-29T00:00:00"/>
    <x v="6"/>
    <x v="5"/>
    <x v="5"/>
    <n v="-9841290"/>
    <n v="0"/>
    <n v="9841290"/>
    <x v="439"/>
    <s v="Cali"/>
  </r>
  <r>
    <m/>
    <x v="1"/>
    <x v="23"/>
    <x v="23"/>
    <m/>
    <m/>
    <m/>
    <x v="1"/>
    <m/>
  </r>
  <r>
    <d v="2021-06-29T00:00:00"/>
    <x v="6"/>
    <x v="0"/>
    <x v="0"/>
    <n v="30000"/>
    <n v="30000"/>
    <n v="0"/>
    <x v="266"/>
    <s v="Cali"/>
  </r>
  <r>
    <d v="2021-06-29T00:00:00"/>
    <x v="6"/>
    <x v="25"/>
    <x v="25"/>
    <n v="-30000"/>
    <n v="0"/>
    <n v="30000"/>
    <x v="266"/>
    <s v="Cali"/>
  </r>
  <r>
    <m/>
    <x v="1"/>
    <x v="23"/>
    <x v="23"/>
    <m/>
    <m/>
    <m/>
    <x v="1"/>
    <m/>
  </r>
  <r>
    <d v="2021-06-29T00:00:00"/>
    <x v="6"/>
    <x v="0"/>
    <x v="0"/>
    <n v="25000"/>
    <n v="25000"/>
    <n v="0"/>
    <x v="138"/>
    <s v="Cali"/>
  </r>
  <r>
    <d v="2021-06-29T00:00:00"/>
    <x v="6"/>
    <x v="27"/>
    <x v="27"/>
    <n v="-25000"/>
    <n v="0"/>
    <n v="25000"/>
    <x v="138"/>
    <s v="Cali"/>
  </r>
  <r>
    <m/>
    <x v="1"/>
    <x v="23"/>
    <x v="23"/>
    <m/>
    <m/>
    <m/>
    <x v="1"/>
    <m/>
  </r>
  <r>
    <d v="2021-06-30T00:00:00"/>
    <x v="6"/>
    <x v="0"/>
    <x v="0"/>
    <n v="25000"/>
    <n v="25000"/>
    <n v="0"/>
    <x v="321"/>
    <s v="Cali"/>
  </r>
  <r>
    <d v="2021-06-30T00:00:00"/>
    <x v="6"/>
    <x v="27"/>
    <x v="27"/>
    <n v="-25000"/>
    <n v="0"/>
    <n v="25000"/>
    <x v="321"/>
    <s v="Cali"/>
  </r>
  <r>
    <m/>
    <x v="1"/>
    <x v="23"/>
    <x v="23"/>
    <m/>
    <m/>
    <m/>
    <x v="1"/>
    <m/>
  </r>
  <r>
    <d v="2021-06-30T00:00:00"/>
    <x v="6"/>
    <x v="0"/>
    <x v="0"/>
    <n v="50000"/>
    <n v="50000"/>
    <n v="0"/>
    <x v="135"/>
    <s v="Cali"/>
  </r>
  <r>
    <d v="2021-06-30T00:00:00"/>
    <x v="6"/>
    <x v="26"/>
    <x v="26"/>
    <n v="-50000"/>
    <n v="0"/>
    <n v="50000"/>
    <x v="135"/>
    <s v="Cali"/>
  </r>
  <r>
    <m/>
    <x v="1"/>
    <x v="23"/>
    <x v="23"/>
    <m/>
    <m/>
    <m/>
    <x v="1"/>
    <m/>
  </r>
  <r>
    <d v="2021-06-30T00:00:00"/>
    <x v="6"/>
    <x v="0"/>
    <x v="0"/>
    <n v="100000"/>
    <n v="100000"/>
    <n v="0"/>
    <x v="134"/>
    <s v="Cali"/>
  </r>
  <r>
    <d v="2021-06-30T00:00:00"/>
    <x v="6"/>
    <x v="26"/>
    <x v="26"/>
    <n v="-100000"/>
    <n v="0"/>
    <n v="100000"/>
    <x v="134"/>
    <s v="Cali"/>
  </r>
  <r>
    <m/>
    <x v="1"/>
    <x v="23"/>
    <x v="23"/>
    <m/>
    <m/>
    <m/>
    <x v="1"/>
    <m/>
  </r>
  <r>
    <d v="2021-06-30T00:00:00"/>
    <x v="6"/>
    <x v="0"/>
    <x v="0"/>
    <n v="36000"/>
    <n v="36000"/>
    <n v="0"/>
    <x v="133"/>
    <s v="Cali"/>
  </r>
  <r>
    <d v="2021-06-30T00:00:00"/>
    <x v="6"/>
    <x v="25"/>
    <x v="25"/>
    <n v="-36000"/>
    <n v="0"/>
    <n v="36000"/>
    <x v="133"/>
    <s v="Cali"/>
  </r>
  <r>
    <m/>
    <x v="1"/>
    <x v="23"/>
    <x v="23"/>
    <m/>
    <m/>
    <m/>
    <x v="1"/>
    <m/>
  </r>
  <r>
    <d v="2021-06-30T00:00:00"/>
    <x v="6"/>
    <x v="0"/>
    <x v="0"/>
    <n v="464407"/>
    <n v="464407"/>
    <n v="0"/>
    <x v="439"/>
    <s v="Cali"/>
  </r>
  <r>
    <d v="2021-06-30T00:00:00"/>
    <x v="6"/>
    <x v="5"/>
    <x v="5"/>
    <n v="-464407"/>
    <n v="0"/>
    <n v="464407"/>
    <x v="439"/>
    <s v="Cali"/>
  </r>
  <r>
    <m/>
    <x v="1"/>
    <x v="23"/>
    <x v="23"/>
    <m/>
    <m/>
    <m/>
    <x v="1"/>
    <m/>
  </r>
  <r>
    <d v="2021-06-08T00:00:00"/>
    <x v="6"/>
    <x v="49"/>
    <x v="49"/>
    <n v="1066"/>
    <n v="1066"/>
    <n v="0"/>
    <x v="331"/>
    <s v="Cali"/>
  </r>
  <r>
    <d v="2021-06-08T00:00:00"/>
    <x v="6"/>
    <x v="1"/>
    <x v="1"/>
    <n v="-1066"/>
    <n v="0"/>
    <n v="1066"/>
    <x v="331"/>
    <s v="Cali"/>
  </r>
  <r>
    <m/>
    <x v="1"/>
    <x v="23"/>
    <x v="23"/>
    <m/>
    <m/>
    <m/>
    <x v="1"/>
    <m/>
  </r>
  <r>
    <d v="2021-06-08T00:00:00"/>
    <x v="6"/>
    <x v="49"/>
    <x v="49"/>
    <n v="203"/>
    <n v="203"/>
    <n v="0"/>
    <x v="331"/>
    <s v="Cali"/>
  </r>
  <r>
    <d v="2021-06-08T00:00:00"/>
    <x v="6"/>
    <x v="1"/>
    <x v="1"/>
    <n v="-203"/>
    <n v="0"/>
    <n v="203"/>
    <x v="331"/>
    <s v="Cali"/>
  </r>
  <r>
    <m/>
    <x v="1"/>
    <x v="23"/>
    <x v="23"/>
    <m/>
    <m/>
    <m/>
    <x v="1"/>
    <m/>
  </r>
  <r>
    <d v="2021-06-14T00:00:00"/>
    <x v="6"/>
    <x v="1"/>
    <x v="1"/>
    <n v="524002043"/>
    <n v="524002043"/>
    <n v="0"/>
    <x v="440"/>
    <s v="Cali"/>
  </r>
  <r>
    <d v="2021-06-14T00:00:00"/>
    <x v="6"/>
    <x v="2"/>
    <x v="2"/>
    <n v="-524002043"/>
    <n v="0"/>
    <n v="524002043"/>
    <x v="440"/>
    <s v="Cali"/>
  </r>
  <r>
    <m/>
    <x v="1"/>
    <x v="23"/>
    <x v="23"/>
    <m/>
    <m/>
    <m/>
    <x v="1"/>
    <m/>
  </r>
  <r>
    <m/>
    <x v="1"/>
    <x v="23"/>
    <x v="23"/>
    <m/>
    <m/>
    <m/>
    <x v="1"/>
    <m/>
  </r>
  <r>
    <d v="2021-06-14T00:00:00"/>
    <x v="6"/>
    <x v="3"/>
    <x v="3"/>
    <n v="345000000"/>
    <n v="345000000"/>
    <n v="0"/>
    <x v="441"/>
    <s v="Cali"/>
  </r>
  <r>
    <d v="2021-06-14T00:00:00"/>
    <x v="6"/>
    <x v="1"/>
    <x v="1"/>
    <n v="-345000000"/>
    <n v="0"/>
    <n v="345000000"/>
    <x v="441"/>
    <s v="Cali"/>
  </r>
  <r>
    <m/>
    <x v="1"/>
    <x v="23"/>
    <x v="23"/>
    <m/>
    <m/>
    <m/>
    <x v="1"/>
    <m/>
  </r>
  <r>
    <d v="2021-06-18T00:00:00"/>
    <x v="6"/>
    <x v="11"/>
    <x v="11"/>
    <n v="-27938577"/>
    <n v="0"/>
    <n v="27938577"/>
    <x v="442"/>
    <s v="Cali"/>
  </r>
  <r>
    <d v="2021-06-18T00:00:00"/>
    <x v="6"/>
    <x v="8"/>
    <x v="8"/>
    <n v="237559678"/>
    <n v="237559678"/>
    <n v="0"/>
    <x v="443"/>
    <s v="Cali"/>
  </r>
  <r>
    <d v="2021-06-18T00:00:00"/>
    <x v="6"/>
    <x v="18"/>
    <x v="18"/>
    <n v="-10286758"/>
    <n v="0"/>
    <n v="10286758"/>
    <x v="444"/>
    <s v="Cali"/>
  </r>
  <r>
    <d v="2021-06-18T00:00:00"/>
    <x v="6"/>
    <x v="48"/>
    <x v="48"/>
    <n v="-199334343"/>
    <n v="0"/>
    <n v="199334343"/>
    <x v="129"/>
    <s v="Cali"/>
  </r>
  <r>
    <m/>
    <x v="1"/>
    <x v="23"/>
    <x v="23"/>
    <m/>
    <m/>
    <m/>
    <x v="1"/>
    <m/>
  </r>
  <r>
    <d v="2021-06-18T00:00:00"/>
    <x v="6"/>
    <x v="48"/>
    <x v="48"/>
    <n v="199334119"/>
    <n v="199334119"/>
    <n v="0"/>
    <x v="445"/>
    <s v="Cali"/>
  </r>
  <r>
    <d v="2021-06-18T00:00:00"/>
    <x v="6"/>
    <x v="1"/>
    <x v="1"/>
    <n v="-199334119"/>
    <n v="0"/>
    <n v="199334119"/>
    <x v="445"/>
    <s v="Cali"/>
  </r>
  <r>
    <m/>
    <x v="1"/>
    <x v="23"/>
    <x v="23"/>
    <m/>
    <m/>
    <m/>
    <x v="1"/>
    <m/>
  </r>
  <r>
    <d v="2021-06-18T00:00:00"/>
    <x v="6"/>
    <x v="12"/>
    <x v="12"/>
    <n v="4291711"/>
    <n v="4291711"/>
    <n v="0"/>
    <x v="446"/>
    <s v="Cali"/>
  </r>
  <r>
    <d v="2021-06-18T00:00:00"/>
    <x v="6"/>
    <x v="48"/>
    <x v="48"/>
    <n v="-4291711"/>
    <n v="0"/>
    <n v="4291711"/>
    <x v="446"/>
    <s v="Cali"/>
  </r>
  <r>
    <m/>
    <x v="1"/>
    <x v="23"/>
    <x v="23"/>
    <m/>
    <m/>
    <m/>
    <x v="1"/>
    <m/>
  </r>
  <r>
    <d v="2021-06-18T00:00:00"/>
    <x v="6"/>
    <x v="48"/>
    <x v="48"/>
    <n v="4291711"/>
    <n v="4291711"/>
    <n v="0"/>
    <x v="446"/>
    <s v="Cali"/>
  </r>
  <r>
    <d v="2021-06-18T00:00:00"/>
    <x v="6"/>
    <x v="1"/>
    <x v="1"/>
    <n v="-4291711"/>
    <n v="0"/>
    <n v="4291711"/>
    <x v="446"/>
    <s v="Cali"/>
  </r>
  <r>
    <m/>
    <x v="1"/>
    <x v="23"/>
    <x v="23"/>
    <m/>
    <m/>
    <m/>
    <x v="1"/>
    <m/>
  </r>
  <r>
    <d v="2021-06-01T00:00:00"/>
    <x v="6"/>
    <x v="51"/>
    <x v="51"/>
    <n v="30029107"/>
    <n v="30029107"/>
    <n v="0"/>
    <x v="447"/>
    <s v="Cali"/>
  </r>
  <r>
    <d v="2021-06-01T00:00:00"/>
    <x v="6"/>
    <x v="53"/>
    <x v="53"/>
    <n v="-30029107"/>
    <n v="0"/>
    <n v="30029107"/>
    <x v="447"/>
    <s v="Cali"/>
  </r>
  <r>
    <m/>
    <x v="1"/>
    <x v="23"/>
    <x v="23"/>
    <m/>
    <m/>
    <m/>
    <x v="1"/>
    <m/>
  </r>
  <r>
    <d v="2021-06-03T00:00:00"/>
    <x v="6"/>
    <x v="12"/>
    <x v="12"/>
    <n v="30000000"/>
    <n v="30000000"/>
    <n v="0"/>
    <x v="448"/>
    <s v="Cali"/>
  </r>
  <r>
    <d v="2021-06-03T00:00:00"/>
    <x v="6"/>
    <x v="51"/>
    <x v="51"/>
    <n v="-30000000"/>
    <n v="0"/>
    <n v="30000000"/>
    <x v="448"/>
    <s v="Cali"/>
  </r>
  <r>
    <m/>
    <x v="1"/>
    <x v="23"/>
    <x v="23"/>
    <m/>
    <m/>
    <m/>
    <x v="1"/>
    <m/>
  </r>
  <r>
    <d v="2021-06-07T00:00:00"/>
    <x v="6"/>
    <x v="51"/>
    <x v="51"/>
    <n v="145000"/>
    <n v="145000"/>
    <n v="0"/>
    <x v="449"/>
    <s v="Cali"/>
  </r>
  <r>
    <d v="2021-06-07T00:00:00"/>
    <x v="6"/>
    <x v="25"/>
    <x v="25"/>
    <n v="-145000"/>
    <n v="0"/>
    <n v="145000"/>
    <x v="449"/>
    <s v="Cali"/>
  </r>
  <r>
    <m/>
    <x v="1"/>
    <x v="23"/>
    <x v="23"/>
    <m/>
    <m/>
    <m/>
    <x v="1"/>
    <m/>
  </r>
  <r>
    <d v="2021-06-29T00:00:00"/>
    <x v="6"/>
    <x v="51"/>
    <x v="51"/>
    <n v="55000"/>
    <n v="55000"/>
    <n v="0"/>
    <x v="449"/>
    <s v="Cali"/>
  </r>
  <r>
    <d v="2021-06-29T00:00:00"/>
    <x v="6"/>
    <x v="25"/>
    <x v="25"/>
    <n v="-55000"/>
    <n v="0"/>
    <n v="55000"/>
    <x v="449"/>
    <s v="Cali"/>
  </r>
  <r>
    <m/>
    <x v="1"/>
    <x v="23"/>
    <x v="23"/>
    <m/>
    <m/>
    <m/>
    <x v="1"/>
    <m/>
  </r>
  <r>
    <d v="2021-06-29T00:00:00"/>
    <x v="6"/>
    <x v="51"/>
    <x v="51"/>
    <n v="10000"/>
    <n v="10000"/>
    <n v="0"/>
    <x v="449"/>
    <s v="Cali"/>
  </r>
  <r>
    <d v="2021-06-29T00:00:00"/>
    <x v="6"/>
    <x v="26"/>
    <x v="26"/>
    <n v="-10000"/>
    <n v="0"/>
    <n v="10000"/>
    <x v="449"/>
    <s v="Cali"/>
  </r>
  <r>
    <m/>
    <x v="1"/>
    <x v="23"/>
    <x v="23"/>
    <m/>
    <m/>
    <m/>
    <x v="1"/>
    <m/>
  </r>
  <r>
    <d v="2021-06-30T00:00:00"/>
    <x v="6"/>
    <x v="32"/>
    <x v="32"/>
    <n v="-573000"/>
    <n v="0"/>
    <n v="573000"/>
    <x v="450"/>
    <s v="Cali"/>
  </r>
  <r>
    <d v="2021-06-30T00:00:00"/>
    <x v="6"/>
    <x v="33"/>
    <x v="33"/>
    <n v="0"/>
    <n v="0"/>
    <n v="0"/>
    <x v="450"/>
    <s v="Cali"/>
  </r>
  <r>
    <d v="2021-06-30T00:00:00"/>
    <x v="6"/>
    <x v="34"/>
    <x v="34"/>
    <n v="-2165853"/>
    <n v="0"/>
    <n v="2165853"/>
    <x v="450"/>
    <s v="Cali"/>
  </r>
  <r>
    <d v="2021-06-30T00:00:00"/>
    <x v="6"/>
    <x v="35"/>
    <x v="35"/>
    <n v="-2286000"/>
    <n v="0"/>
    <n v="2286000"/>
    <x v="450"/>
    <s v="Cali"/>
  </r>
  <r>
    <d v="2021-06-30T00:00:00"/>
    <x v="6"/>
    <x v="36"/>
    <x v="36"/>
    <n v="-4065600"/>
    <n v="0"/>
    <n v="4065600"/>
    <x v="450"/>
    <s v="Cali"/>
  </r>
  <r>
    <d v="2021-06-30T00:00:00"/>
    <x v="6"/>
    <x v="37"/>
    <x v="37"/>
    <n v="-6364213"/>
    <n v="0"/>
    <n v="6364213"/>
    <x v="450"/>
    <s v="Cali"/>
  </r>
  <r>
    <d v="2021-06-30T00:00:00"/>
    <x v="6"/>
    <x v="29"/>
    <x v="29"/>
    <n v="573000"/>
    <n v="573000"/>
    <n v="0"/>
    <x v="450"/>
    <s v="Cali"/>
  </r>
  <r>
    <d v="2021-06-30T00:00:00"/>
    <x v="6"/>
    <x v="27"/>
    <x v="27"/>
    <n v="2165853"/>
    <n v="2165853"/>
    <n v="0"/>
    <x v="450"/>
    <s v="Cali"/>
  </r>
  <r>
    <d v="2021-06-30T00:00:00"/>
    <x v="6"/>
    <x v="25"/>
    <x v="25"/>
    <n v="2286000"/>
    <n v="2286000"/>
    <n v="0"/>
    <x v="450"/>
    <s v="Cali"/>
  </r>
  <r>
    <d v="2021-06-30T00:00:00"/>
    <x v="6"/>
    <x v="5"/>
    <x v="5"/>
    <n v="10429813"/>
    <n v="10429813"/>
    <n v="0"/>
    <x v="450"/>
    <s v="Cali"/>
  </r>
  <r>
    <d v="2021-06-30T00:00:00"/>
    <x v="6"/>
    <x v="15"/>
    <x v="15"/>
    <n v="-3556824"/>
    <n v="0"/>
    <n v="3556824"/>
    <x v="450"/>
    <s v="Cali"/>
  </r>
  <r>
    <d v="2021-06-30T00:00:00"/>
    <x v="6"/>
    <x v="38"/>
    <x v="38"/>
    <n v="3556824"/>
    <n v="3556824"/>
    <n v="0"/>
    <x v="450"/>
    <s v="Cali"/>
  </r>
  <r>
    <d v="2021-06-30T00:00:00"/>
    <x v="6"/>
    <x v="16"/>
    <x v="16"/>
    <n v="-68760"/>
    <n v="0"/>
    <n v="68760"/>
    <x v="450"/>
    <s v="Cali"/>
  </r>
  <r>
    <d v="2021-06-30T00:00:00"/>
    <x v="6"/>
    <x v="14"/>
    <x v="14"/>
    <n v="-154547"/>
    <n v="0"/>
    <n v="154547"/>
    <x v="450"/>
    <s v="Cali"/>
  </r>
  <r>
    <d v="2021-06-30T00:00:00"/>
    <x v="6"/>
    <x v="39"/>
    <x v="39"/>
    <n v="68760"/>
    <n v="68760"/>
    <n v="0"/>
    <x v="450"/>
    <s v="Cali"/>
  </r>
  <r>
    <d v="2021-06-30T00:00:00"/>
    <x v="6"/>
    <x v="40"/>
    <x v="40"/>
    <n v="154547"/>
    <n v="154547"/>
    <n v="0"/>
    <x v="450"/>
    <s v="Cali"/>
  </r>
  <r>
    <d v="2021-06-30T00:00:00"/>
    <x v="6"/>
    <x v="41"/>
    <x v="41"/>
    <n v="-5898265"/>
    <n v="0"/>
    <n v="5898265"/>
    <x v="450"/>
    <s v="Cali"/>
  </r>
  <r>
    <d v="2021-06-30T00:00:00"/>
    <x v="6"/>
    <x v="42"/>
    <x v="42"/>
    <n v="-1525000"/>
    <n v="0"/>
    <n v="1525000"/>
    <x v="450"/>
    <s v="Cali"/>
  </r>
  <r>
    <d v="2021-06-30T00:00:00"/>
    <x v="6"/>
    <x v="43"/>
    <x v="43"/>
    <n v="410524"/>
    <n v="410524"/>
    <n v="0"/>
    <x v="450"/>
    <s v="Cali"/>
  </r>
  <r>
    <d v="2021-06-30T00:00:00"/>
    <x v="6"/>
    <x v="43"/>
    <x v="43"/>
    <n v="38125"/>
    <n v="38125"/>
    <n v="0"/>
    <x v="450"/>
    <s v="Cali"/>
  </r>
  <r>
    <d v="2021-06-30T00:00:00"/>
    <x v="6"/>
    <x v="38"/>
    <x v="38"/>
    <n v="3257255"/>
    <n v="3257255"/>
    <n v="0"/>
    <x v="450"/>
    <s v="Cali"/>
  </r>
  <r>
    <d v="2021-06-30T00:00:00"/>
    <x v="6"/>
    <x v="40"/>
    <x v="40"/>
    <n v="58983"/>
    <n v="58983"/>
    <n v="0"/>
    <x v="450"/>
    <s v="Cali"/>
  </r>
  <r>
    <d v="2021-06-30T00:00:00"/>
    <x v="6"/>
    <x v="40"/>
    <x v="40"/>
    <n v="15250"/>
    <n v="15250"/>
    <n v="0"/>
    <x v="450"/>
    <s v="Cali"/>
  </r>
  <r>
    <d v="2021-06-30T00:00:00"/>
    <x v="6"/>
    <x v="44"/>
    <x v="44"/>
    <n v="2171503"/>
    <n v="2171503"/>
    <n v="0"/>
    <x v="450"/>
    <s v="Cali"/>
  </r>
  <r>
    <d v="2021-06-30T00:00:00"/>
    <x v="6"/>
    <x v="45"/>
    <x v="45"/>
    <n v="1471625"/>
    <n v="1471625"/>
    <n v="0"/>
    <x v="450"/>
    <s v="Cali"/>
  </r>
  <r>
    <d v="2021-06-30T00:00:00"/>
    <x v="6"/>
    <x v="5"/>
    <x v="5"/>
    <n v="-124115"/>
    <n v="0"/>
    <n v="124115"/>
    <x v="450"/>
    <s v="Cali"/>
  </r>
  <r>
    <d v="2021-06-30T00:00:00"/>
    <x v="6"/>
    <x v="30"/>
    <x v="30"/>
    <n v="124115"/>
    <n v="124115"/>
    <n v="0"/>
    <x v="450"/>
    <s v="Cali"/>
  </r>
  <r>
    <m/>
    <x v="1"/>
    <x v="23"/>
    <x v="23"/>
    <m/>
    <m/>
    <m/>
    <x v="1"/>
    <m/>
  </r>
  <r>
    <m/>
    <x v="1"/>
    <x v="23"/>
    <x v="23"/>
    <m/>
    <m/>
    <m/>
    <x v="1"/>
    <m/>
  </r>
  <r>
    <d v="2021-04-07T00:00:00"/>
    <x v="4"/>
    <x v="17"/>
    <x v="17"/>
    <n v="117035"/>
    <n v="117035"/>
    <n v="0"/>
    <x v="451"/>
    <s v="Cali"/>
  </r>
  <r>
    <d v="2021-04-07T00:00:00"/>
    <x v="4"/>
    <x v="13"/>
    <x v="13"/>
    <n v="-117035"/>
    <n v="0"/>
    <n v="117035"/>
    <x v="451"/>
    <s v="Cali"/>
  </r>
  <r>
    <m/>
    <x v="1"/>
    <x v="23"/>
    <x v="23"/>
    <m/>
    <m/>
    <m/>
    <x v="1"/>
    <m/>
  </r>
  <r>
    <d v="2021-05-07T00:00:00"/>
    <x v="5"/>
    <x v="17"/>
    <x v="17"/>
    <n v="72321"/>
    <n v="72321"/>
    <n v="0"/>
    <x v="452"/>
    <s v="Cali"/>
  </r>
  <r>
    <d v="2021-05-07T00:00:00"/>
    <x v="5"/>
    <x v="13"/>
    <x v="13"/>
    <n v="-72321"/>
    <n v="0"/>
    <n v="72321"/>
    <x v="452"/>
    <s v="Cali"/>
  </r>
  <r>
    <m/>
    <x v="1"/>
    <x v="23"/>
    <x v="23"/>
    <m/>
    <m/>
    <m/>
    <x v="1"/>
    <m/>
  </r>
  <r>
    <d v="2021-06-07T00:00:00"/>
    <x v="6"/>
    <x v="17"/>
    <x v="17"/>
    <n v="66148"/>
    <n v="66148"/>
    <n v="0"/>
    <x v="453"/>
    <s v="Cali"/>
  </r>
  <r>
    <d v="2021-06-07T00:00:00"/>
    <x v="6"/>
    <x v="13"/>
    <x v="13"/>
    <n v="-66148"/>
    <n v="0"/>
    <n v="66148"/>
    <x v="453"/>
    <s v="Cali"/>
  </r>
  <r>
    <m/>
    <x v="1"/>
    <x v="23"/>
    <x v="23"/>
    <m/>
    <m/>
    <m/>
    <x v="1"/>
    <m/>
  </r>
  <r>
    <d v="2021-06-30T00:00:00"/>
    <x v="6"/>
    <x v="13"/>
    <x v="13"/>
    <n v="30000"/>
    <n v="30000"/>
    <n v="0"/>
    <x v="304"/>
    <s v="Cali"/>
  </r>
  <r>
    <d v="2021-06-30T00:00:00"/>
    <x v="6"/>
    <x v="13"/>
    <x v="13"/>
    <n v="30000"/>
    <n v="30000"/>
    <n v="0"/>
    <x v="454"/>
    <s v="Cali"/>
  </r>
  <r>
    <d v="2021-06-30T00:00:00"/>
    <x v="6"/>
    <x v="13"/>
    <x v="13"/>
    <n v="15000"/>
    <n v="15000"/>
    <n v="0"/>
    <x v="455"/>
    <s v="Cali"/>
  </r>
  <r>
    <d v="2021-06-30T00:00:00"/>
    <x v="6"/>
    <x v="13"/>
    <x v="13"/>
    <n v="100000"/>
    <n v="100000"/>
    <n v="0"/>
    <x v="456"/>
    <s v="Cali"/>
  </r>
  <r>
    <d v="2021-06-30T00:00:00"/>
    <x v="6"/>
    <x v="13"/>
    <x v="13"/>
    <n v="21000"/>
    <n v="21000"/>
    <n v="0"/>
    <x v="457"/>
    <s v="Cali"/>
  </r>
  <r>
    <d v="2021-06-30T00:00:00"/>
    <x v="6"/>
    <x v="13"/>
    <x v="13"/>
    <n v="15000"/>
    <n v="15000"/>
    <n v="0"/>
    <x v="458"/>
    <s v="Cali"/>
  </r>
  <r>
    <d v="2021-06-30T00:00:00"/>
    <x v="6"/>
    <x v="13"/>
    <x v="13"/>
    <n v="20000"/>
    <n v="20000"/>
    <n v="0"/>
    <x v="459"/>
    <s v="Cali"/>
  </r>
  <r>
    <d v="2021-06-30T00:00:00"/>
    <x v="6"/>
    <x v="13"/>
    <x v="13"/>
    <n v="100000"/>
    <n v="100000"/>
    <n v="0"/>
    <x v="460"/>
    <s v="Cali"/>
  </r>
  <r>
    <d v="2021-06-30T00:00:00"/>
    <x v="6"/>
    <x v="13"/>
    <x v="13"/>
    <n v="100000"/>
    <n v="100000"/>
    <n v="0"/>
    <x v="461"/>
    <s v="Cali"/>
  </r>
  <r>
    <d v="2021-06-30T00:00:00"/>
    <x v="6"/>
    <x v="13"/>
    <x v="13"/>
    <n v="10000"/>
    <n v="10000"/>
    <n v="0"/>
    <x v="462"/>
    <s v="Cali"/>
  </r>
  <r>
    <d v="2021-06-30T00:00:00"/>
    <x v="6"/>
    <x v="13"/>
    <x v="13"/>
    <n v="40000"/>
    <n v="40000"/>
    <n v="0"/>
    <x v="463"/>
    <s v="Cali"/>
  </r>
  <r>
    <d v="2021-06-30T00:00:00"/>
    <x v="6"/>
    <x v="13"/>
    <x v="13"/>
    <n v="30000"/>
    <n v="30000"/>
    <n v="0"/>
    <x v="464"/>
    <s v="Cali"/>
  </r>
  <r>
    <d v="2021-06-30T00:00:00"/>
    <x v="6"/>
    <x v="25"/>
    <x v="25"/>
    <n v="-30000"/>
    <n v="0"/>
    <n v="30000"/>
    <x v="304"/>
    <s v="Cali"/>
  </r>
  <r>
    <d v="2021-06-30T00:00:00"/>
    <x v="6"/>
    <x v="26"/>
    <x v="26"/>
    <n v="-30000"/>
    <n v="0"/>
    <n v="30000"/>
    <x v="454"/>
    <s v="Cali"/>
  </r>
  <r>
    <d v="2021-06-30T00:00:00"/>
    <x v="6"/>
    <x v="26"/>
    <x v="26"/>
    <n v="-15000"/>
    <n v="0"/>
    <n v="15000"/>
    <x v="455"/>
    <s v="Cali"/>
  </r>
  <r>
    <d v="2021-06-30T00:00:00"/>
    <x v="6"/>
    <x v="26"/>
    <x v="26"/>
    <n v="-100000"/>
    <n v="0"/>
    <n v="100000"/>
    <x v="456"/>
    <s v="Cali"/>
  </r>
  <r>
    <d v="2021-06-30T00:00:00"/>
    <x v="6"/>
    <x v="27"/>
    <x v="27"/>
    <n v="-21000"/>
    <n v="0"/>
    <n v="21000"/>
    <x v="457"/>
    <s v="Cali"/>
  </r>
  <r>
    <d v="2021-06-30T00:00:00"/>
    <x v="6"/>
    <x v="25"/>
    <x v="25"/>
    <n v="-15000"/>
    <n v="0"/>
    <n v="15000"/>
    <x v="458"/>
    <s v="Cali"/>
  </r>
  <r>
    <d v="2021-06-30T00:00:00"/>
    <x v="6"/>
    <x v="26"/>
    <x v="26"/>
    <n v="-20000"/>
    <n v="0"/>
    <n v="20000"/>
    <x v="459"/>
    <s v="Cali"/>
  </r>
  <r>
    <d v="2021-06-30T00:00:00"/>
    <x v="6"/>
    <x v="25"/>
    <x v="25"/>
    <n v="-100000"/>
    <n v="0"/>
    <n v="100000"/>
    <x v="460"/>
    <s v="Cali"/>
  </r>
  <r>
    <d v="2021-06-30T00:00:00"/>
    <x v="6"/>
    <x v="25"/>
    <x v="25"/>
    <n v="-100000"/>
    <n v="0"/>
    <n v="100000"/>
    <x v="461"/>
    <s v="Cali"/>
  </r>
  <r>
    <d v="2021-06-30T00:00:00"/>
    <x v="6"/>
    <x v="25"/>
    <x v="25"/>
    <n v="-10000"/>
    <n v="0"/>
    <n v="10000"/>
    <x v="462"/>
    <s v="Cali"/>
  </r>
  <r>
    <d v="2021-06-30T00:00:00"/>
    <x v="6"/>
    <x v="25"/>
    <x v="25"/>
    <n v="-40000"/>
    <n v="0"/>
    <n v="40000"/>
    <x v="463"/>
    <s v="Cali"/>
  </r>
  <r>
    <d v="2021-06-30T00:00:00"/>
    <x v="6"/>
    <x v="25"/>
    <x v="25"/>
    <n v="-30000"/>
    <n v="0"/>
    <n v="30000"/>
    <x v="464"/>
    <s v="Cali"/>
  </r>
  <r>
    <d v="2021-06-30T00:00:00"/>
    <x v="6"/>
    <x v="13"/>
    <x v="13"/>
    <n v="30000"/>
    <n v="30000"/>
    <n v="0"/>
    <x v="465"/>
    <s v="Cali"/>
  </r>
  <r>
    <d v="2021-06-30T00:00:00"/>
    <x v="6"/>
    <x v="29"/>
    <x v="29"/>
    <n v="-30000"/>
    <n v="0"/>
    <n v="30000"/>
    <x v="465"/>
    <s v="Cali"/>
  </r>
  <r>
    <m/>
    <x v="1"/>
    <x v="23"/>
    <x v="23"/>
    <m/>
    <m/>
    <m/>
    <x v="1"/>
    <m/>
  </r>
  <r>
    <d v="2021-06-30T00:00:00"/>
    <x v="6"/>
    <x v="46"/>
    <x v="46"/>
    <n v="0"/>
    <n v="0"/>
    <n v="0"/>
    <x v="110"/>
    <s v="Cali"/>
  </r>
  <r>
    <d v="2021-06-30T00:00:00"/>
    <x v="6"/>
    <x v="47"/>
    <x v="47"/>
    <n v="0"/>
    <n v="0"/>
    <n v="0"/>
    <x v="110"/>
    <s v="Cali"/>
  </r>
  <r>
    <m/>
    <x v="1"/>
    <x v="23"/>
    <x v="23"/>
    <m/>
    <m/>
    <m/>
    <x v="1"/>
    <m/>
  </r>
  <r>
    <d v="2021-06-30T00:00:00"/>
    <x v="6"/>
    <x v="2"/>
    <x v="2"/>
    <n v="270594"/>
    <n v="270594"/>
    <n v="0"/>
    <x v="111"/>
    <s v="Cali"/>
  </r>
  <r>
    <d v="2021-06-30T00:00:00"/>
    <x v="6"/>
    <x v="47"/>
    <x v="47"/>
    <n v="-270594"/>
    <n v="0"/>
    <n v="270594"/>
    <x v="111"/>
    <s v="Cali"/>
  </r>
  <r>
    <m/>
    <x v="1"/>
    <x v="23"/>
    <x v="23"/>
    <m/>
    <m/>
    <m/>
    <x v="1"/>
    <m/>
  </r>
  <r>
    <d v="2021-06-30T00:00:00"/>
    <x v="6"/>
    <x v="3"/>
    <x v="3"/>
    <n v="9997"/>
    <n v="9997"/>
    <n v="0"/>
    <x v="112"/>
    <s v="Cali"/>
  </r>
  <r>
    <d v="2021-06-30T00:00:00"/>
    <x v="6"/>
    <x v="47"/>
    <x v="47"/>
    <n v="-9997"/>
    <n v="0"/>
    <n v="9997"/>
    <x v="112"/>
    <s v="Cali"/>
  </r>
  <r>
    <m/>
    <x v="1"/>
    <x v="23"/>
    <x v="23"/>
    <m/>
    <m/>
    <m/>
    <x v="1"/>
    <m/>
  </r>
  <r>
    <d v="2021-06-30T00:00:00"/>
    <x v="6"/>
    <x v="53"/>
    <x v="53"/>
    <n v="205769"/>
    <n v="205769"/>
    <n v="0"/>
    <x v="305"/>
    <s v="Cali"/>
  </r>
  <r>
    <d v="2021-06-30T00:00:00"/>
    <x v="6"/>
    <x v="47"/>
    <x v="47"/>
    <n v="-205769"/>
    <n v="0"/>
    <n v="205769"/>
    <x v="305"/>
    <s v="Cali"/>
  </r>
  <r>
    <m/>
    <x v="1"/>
    <x v="23"/>
    <x v="23"/>
    <m/>
    <m/>
    <m/>
    <x v="1"/>
    <m/>
  </r>
  <r>
    <d v="2021-06-30T00:00:00"/>
    <x v="6"/>
    <x v="31"/>
    <x v="31"/>
    <n v="338983"/>
    <n v="338983"/>
    <n v="0"/>
    <x v="466"/>
    <s v="Cali"/>
  </r>
  <r>
    <d v="2021-06-30T00:00:00"/>
    <x v="6"/>
    <x v="50"/>
    <x v="50"/>
    <n v="-338983"/>
    <n v="0"/>
    <n v="338983"/>
    <x v="466"/>
    <s v="Cali"/>
  </r>
  <r>
    <m/>
    <x v="1"/>
    <x v="23"/>
    <x v="23"/>
    <m/>
    <m/>
    <m/>
    <x v="1"/>
    <m/>
  </r>
  <r>
    <d v="2021-07-01T00:00:00"/>
    <x v="7"/>
    <x v="4"/>
    <x v="4"/>
    <n v="10000"/>
    <n v="10000"/>
    <n v="0"/>
    <x v="467"/>
    <s v="Cali"/>
  </r>
  <r>
    <d v="2021-07-01T00:00:00"/>
    <x v="7"/>
    <x v="29"/>
    <x v="29"/>
    <n v="-10000"/>
    <n v="0"/>
    <n v="10000"/>
    <x v="467"/>
    <s v="Cali"/>
  </r>
  <r>
    <m/>
    <x v="1"/>
    <x v="23"/>
    <x v="23"/>
    <m/>
    <m/>
    <m/>
    <x v="1"/>
    <m/>
  </r>
  <r>
    <d v="2021-07-01T00:00:00"/>
    <x v="7"/>
    <x v="0"/>
    <x v="0"/>
    <n v="20000"/>
    <n v="20000"/>
    <n v="0"/>
    <x v="165"/>
    <s v="Cali"/>
  </r>
  <r>
    <d v="2021-07-01T00:00:00"/>
    <x v="7"/>
    <x v="25"/>
    <x v="25"/>
    <n v="-20000"/>
    <n v="0"/>
    <n v="20000"/>
    <x v="165"/>
    <s v="Cali"/>
  </r>
  <r>
    <m/>
    <x v="1"/>
    <x v="23"/>
    <x v="23"/>
    <m/>
    <m/>
    <m/>
    <x v="1"/>
    <m/>
  </r>
  <r>
    <d v="2021-07-01T00:00:00"/>
    <x v="7"/>
    <x v="0"/>
    <x v="0"/>
    <n v="33500"/>
    <n v="33500"/>
    <n v="0"/>
    <x v="419"/>
    <s v="Cali"/>
  </r>
  <r>
    <d v="2021-07-01T00:00:00"/>
    <x v="7"/>
    <x v="27"/>
    <x v="27"/>
    <n v="-33500"/>
    <n v="0"/>
    <n v="33500"/>
    <x v="419"/>
    <s v="Cali"/>
  </r>
  <r>
    <m/>
    <x v="1"/>
    <x v="23"/>
    <x v="23"/>
    <m/>
    <m/>
    <m/>
    <x v="1"/>
    <m/>
  </r>
  <r>
    <d v="2021-07-01T00:00:00"/>
    <x v="7"/>
    <x v="0"/>
    <x v="0"/>
    <n v="50000"/>
    <n v="50000"/>
    <n v="0"/>
    <x v="163"/>
    <s v="Cali"/>
  </r>
  <r>
    <d v="2021-07-01T00:00:00"/>
    <x v="7"/>
    <x v="25"/>
    <x v="25"/>
    <n v="-50000"/>
    <n v="0"/>
    <n v="50000"/>
    <x v="163"/>
    <s v="Cali"/>
  </r>
  <r>
    <m/>
    <x v="1"/>
    <x v="23"/>
    <x v="23"/>
    <m/>
    <m/>
    <m/>
    <x v="1"/>
    <m/>
  </r>
  <r>
    <d v="2021-07-01T00:00:00"/>
    <x v="7"/>
    <x v="0"/>
    <x v="0"/>
    <n v="20000"/>
    <n v="20000"/>
    <n v="0"/>
    <x v="370"/>
    <s v="Cali"/>
  </r>
  <r>
    <d v="2021-07-01T00:00:00"/>
    <x v="7"/>
    <x v="25"/>
    <x v="25"/>
    <n v="-20000"/>
    <n v="0"/>
    <n v="20000"/>
    <x v="370"/>
    <s v="Cali"/>
  </r>
  <r>
    <m/>
    <x v="1"/>
    <x v="23"/>
    <x v="23"/>
    <m/>
    <m/>
    <m/>
    <x v="1"/>
    <m/>
  </r>
  <r>
    <d v="2021-07-01T00:00:00"/>
    <x v="7"/>
    <x v="0"/>
    <x v="0"/>
    <n v="10000"/>
    <n v="10000"/>
    <n v="0"/>
    <x v="142"/>
    <s v="Cali"/>
  </r>
  <r>
    <d v="2021-07-01T00:00:00"/>
    <x v="7"/>
    <x v="25"/>
    <x v="25"/>
    <n v="-10000"/>
    <n v="0"/>
    <n v="10000"/>
    <x v="142"/>
    <s v="Cali"/>
  </r>
  <r>
    <m/>
    <x v="1"/>
    <x v="23"/>
    <x v="23"/>
    <m/>
    <m/>
    <m/>
    <x v="1"/>
    <m/>
  </r>
  <r>
    <d v="2021-07-01T00:00:00"/>
    <x v="7"/>
    <x v="0"/>
    <x v="0"/>
    <n v="50000"/>
    <n v="50000"/>
    <n v="0"/>
    <x v="143"/>
    <s v="Cali"/>
  </r>
  <r>
    <d v="2021-07-01T00:00:00"/>
    <x v="7"/>
    <x v="25"/>
    <x v="25"/>
    <n v="-50000"/>
    <n v="0"/>
    <n v="50000"/>
    <x v="143"/>
    <s v="Cali"/>
  </r>
  <r>
    <m/>
    <x v="1"/>
    <x v="23"/>
    <x v="23"/>
    <m/>
    <m/>
    <m/>
    <x v="1"/>
    <m/>
  </r>
  <r>
    <d v="2021-07-01T00:00:00"/>
    <x v="7"/>
    <x v="0"/>
    <x v="0"/>
    <n v="14000"/>
    <n v="14000"/>
    <n v="0"/>
    <x v="289"/>
    <s v="Cali"/>
  </r>
  <r>
    <d v="2021-07-01T00:00:00"/>
    <x v="7"/>
    <x v="26"/>
    <x v="26"/>
    <n v="-14000"/>
    <n v="0"/>
    <n v="14000"/>
    <x v="289"/>
    <s v="Cali"/>
  </r>
  <r>
    <m/>
    <x v="1"/>
    <x v="23"/>
    <x v="23"/>
    <m/>
    <m/>
    <m/>
    <x v="1"/>
    <m/>
  </r>
  <r>
    <d v="2021-07-01T00:00:00"/>
    <x v="7"/>
    <x v="0"/>
    <x v="0"/>
    <n v="48000"/>
    <n v="48000"/>
    <n v="0"/>
    <x v="144"/>
    <s v="Cali"/>
  </r>
  <r>
    <d v="2021-07-01T00:00:00"/>
    <x v="7"/>
    <x v="27"/>
    <x v="27"/>
    <n v="-48000"/>
    <n v="0"/>
    <n v="48000"/>
    <x v="144"/>
    <s v="Cali"/>
  </r>
  <r>
    <m/>
    <x v="1"/>
    <x v="23"/>
    <x v="23"/>
    <m/>
    <m/>
    <m/>
    <x v="1"/>
    <m/>
  </r>
  <r>
    <d v="2021-07-01T00:00:00"/>
    <x v="7"/>
    <x v="0"/>
    <x v="0"/>
    <n v="40000"/>
    <n v="40000"/>
    <n v="0"/>
    <x v="145"/>
    <s v="Cali"/>
  </r>
  <r>
    <d v="2021-07-01T00:00:00"/>
    <x v="7"/>
    <x v="25"/>
    <x v="25"/>
    <n v="-40000"/>
    <n v="0"/>
    <n v="40000"/>
    <x v="145"/>
    <s v="Cali"/>
  </r>
  <r>
    <m/>
    <x v="1"/>
    <x v="23"/>
    <x v="23"/>
    <m/>
    <m/>
    <m/>
    <x v="1"/>
    <m/>
  </r>
  <r>
    <d v="2021-07-01T00:00:00"/>
    <x v="7"/>
    <x v="0"/>
    <x v="0"/>
    <n v="50000"/>
    <n v="50000"/>
    <n v="0"/>
    <x v="19"/>
    <s v="Cali"/>
  </r>
  <r>
    <d v="2021-07-01T00:00:00"/>
    <x v="7"/>
    <x v="25"/>
    <x v="25"/>
    <n v="-50000"/>
    <n v="0"/>
    <n v="50000"/>
    <x v="19"/>
    <s v="Cali"/>
  </r>
  <r>
    <m/>
    <x v="1"/>
    <x v="23"/>
    <x v="23"/>
    <m/>
    <m/>
    <m/>
    <x v="1"/>
    <m/>
  </r>
  <r>
    <d v="2021-07-01T00:00:00"/>
    <x v="7"/>
    <x v="0"/>
    <x v="0"/>
    <n v="20000"/>
    <n v="20000"/>
    <n v="0"/>
    <x v="17"/>
    <s v="Cali"/>
  </r>
  <r>
    <d v="2021-07-01T00:00:00"/>
    <x v="7"/>
    <x v="25"/>
    <x v="25"/>
    <n v="-20000"/>
    <n v="0"/>
    <n v="20000"/>
    <x v="17"/>
    <s v="Cali"/>
  </r>
  <r>
    <m/>
    <x v="1"/>
    <x v="23"/>
    <x v="23"/>
    <m/>
    <m/>
    <m/>
    <x v="1"/>
    <m/>
  </r>
  <r>
    <d v="2021-07-01T00:00:00"/>
    <x v="7"/>
    <x v="0"/>
    <x v="0"/>
    <n v="30000"/>
    <n v="30000"/>
    <n v="0"/>
    <x v="147"/>
    <s v="Cali"/>
  </r>
  <r>
    <d v="2021-07-01T00:00:00"/>
    <x v="7"/>
    <x v="26"/>
    <x v="26"/>
    <n v="-30000"/>
    <n v="0"/>
    <n v="30000"/>
    <x v="147"/>
    <s v="Cali"/>
  </r>
  <r>
    <m/>
    <x v="1"/>
    <x v="23"/>
    <x v="23"/>
    <m/>
    <m/>
    <m/>
    <x v="1"/>
    <m/>
  </r>
  <r>
    <d v="2021-07-01T00:00:00"/>
    <x v="7"/>
    <x v="0"/>
    <x v="0"/>
    <n v="40000"/>
    <n v="40000"/>
    <n v="0"/>
    <x v="168"/>
    <s v="Cali"/>
  </r>
  <r>
    <d v="2021-07-01T00:00:00"/>
    <x v="7"/>
    <x v="26"/>
    <x v="26"/>
    <n v="-40000"/>
    <n v="0"/>
    <n v="40000"/>
    <x v="168"/>
    <s v="Cali"/>
  </r>
  <r>
    <m/>
    <x v="1"/>
    <x v="23"/>
    <x v="23"/>
    <m/>
    <m/>
    <m/>
    <x v="1"/>
    <m/>
  </r>
  <r>
    <d v="2021-07-01T00:00:00"/>
    <x v="7"/>
    <x v="0"/>
    <x v="0"/>
    <n v="15000"/>
    <n v="15000"/>
    <n v="0"/>
    <x v="415"/>
    <s v="Cali"/>
  </r>
  <r>
    <d v="2021-07-01T00:00:00"/>
    <x v="7"/>
    <x v="25"/>
    <x v="25"/>
    <n v="-15000"/>
    <n v="0"/>
    <n v="15000"/>
    <x v="415"/>
    <s v="Cali"/>
  </r>
  <r>
    <m/>
    <x v="1"/>
    <x v="23"/>
    <x v="23"/>
    <m/>
    <m/>
    <m/>
    <x v="1"/>
    <m/>
  </r>
  <r>
    <d v="2021-07-01T00:00:00"/>
    <x v="7"/>
    <x v="0"/>
    <x v="0"/>
    <n v="15000"/>
    <n v="15000"/>
    <n v="0"/>
    <x v="364"/>
    <s v="Cali"/>
  </r>
  <r>
    <d v="2021-07-01T00:00:00"/>
    <x v="7"/>
    <x v="25"/>
    <x v="25"/>
    <n v="-15000"/>
    <n v="0"/>
    <n v="15000"/>
    <x v="364"/>
    <s v="Cali"/>
  </r>
  <r>
    <m/>
    <x v="1"/>
    <x v="23"/>
    <x v="23"/>
    <m/>
    <m/>
    <m/>
    <x v="1"/>
    <m/>
  </r>
  <r>
    <d v="2021-07-01T00:00:00"/>
    <x v="7"/>
    <x v="0"/>
    <x v="0"/>
    <n v="20000"/>
    <n v="20000"/>
    <n v="0"/>
    <x v="146"/>
    <s v="Cali"/>
  </r>
  <r>
    <d v="2021-07-01T00:00:00"/>
    <x v="7"/>
    <x v="26"/>
    <x v="26"/>
    <n v="-20000"/>
    <n v="0"/>
    <n v="20000"/>
    <x v="146"/>
    <s v="Cali"/>
  </r>
  <r>
    <m/>
    <x v="1"/>
    <x v="23"/>
    <x v="23"/>
    <m/>
    <m/>
    <m/>
    <x v="1"/>
    <m/>
  </r>
  <r>
    <d v="2021-07-01T00:00:00"/>
    <x v="7"/>
    <x v="0"/>
    <x v="0"/>
    <n v="15000"/>
    <n v="15000"/>
    <n v="0"/>
    <x v="148"/>
    <s v="Cali"/>
  </r>
  <r>
    <d v="2021-07-01T00:00:00"/>
    <x v="7"/>
    <x v="25"/>
    <x v="25"/>
    <n v="-15000"/>
    <n v="0"/>
    <n v="15000"/>
    <x v="148"/>
    <s v="Cali"/>
  </r>
  <r>
    <m/>
    <x v="1"/>
    <x v="23"/>
    <x v="23"/>
    <m/>
    <m/>
    <m/>
    <x v="1"/>
    <m/>
  </r>
  <r>
    <d v="2021-07-01T00:00:00"/>
    <x v="7"/>
    <x v="0"/>
    <x v="0"/>
    <n v="14821"/>
    <n v="14821"/>
    <n v="0"/>
    <x v="468"/>
    <s v="Cali"/>
  </r>
  <r>
    <d v="2021-07-01T00:00:00"/>
    <x v="7"/>
    <x v="49"/>
    <x v="49"/>
    <n v="179"/>
    <n v="179"/>
    <n v="0"/>
    <x v="468"/>
    <s v="Cali"/>
  </r>
  <r>
    <d v="2021-07-01T00:00:00"/>
    <x v="7"/>
    <x v="25"/>
    <x v="25"/>
    <n v="-15000"/>
    <n v="0"/>
    <n v="15000"/>
    <x v="468"/>
    <s v="Cali"/>
  </r>
  <r>
    <m/>
    <x v="1"/>
    <x v="23"/>
    <x v="23"/>
    <m/>
    <m/>
    <m/>
    <x v="1"/>
    <m/>
  </r>
  <r>
    <d v="2021-07-01T00:00:00"/>
    <x v="7"/>
    <x v="0"/>
    <x v="0"/>
    <n v="160000"/>
    <n v="160000"/>
    <n v="0"/>
    <x v="22"/>
    <s v="Cali"/>
  </r>
  <r>
    <d v="2021-07-01T00:00:00"/>
    <x v="7"/>
    <x v="27"/>
    <x v="27"/>
    <n v="-160000"/>
    <n v="0"/>
    <n v="160000"/>
    <x v="22"/>
    <s v="Cali"/>
  </r>
  <r>
    <m/>
    <x v="1"/>
    <x v="23"/>
    <x v="23"/>
    <m/>
    <m/>
    <m/>
    <x v="1"/>
    <m/>
  </r>
  <r>
    <d v="2021-07-01T00:00:00"/>
    <x v="7"/>
    <x v="0"/>
    <x v="0"/>
    <n v="45000"/>
    <n v="45000"/>
    <n v="0"/>
    <x v="161"/>
    <s v="Cali"/>
  </r>
  <r>
    <d v="2021-07-01T00:00:00"/>
    <x v="7"/>
    <x v="26"/>
    <x v="26"/>
    <n v="-45000"/>
    <n v="0"/>
    <n v="45000"/>
    <x v="161"/>
    <s v="Cali"/>
  </r>
  <r>
    <m/>
    <x v="1"/>
    <x v="23"/>
    <x v="23"/>
    <m/>
    <m/>
    <m/>
    <x v="1"/>
    <m/>
  </r>
  <r>
    <d v="2021-07-01T00:00:00"/>
    <x v="7"/>
    <x v="0"/>
    <x v="0"/>
    <n v="30000"/>
    <n v="30000"/>
    <n v="0"/>
    <x v="307"/>
    <s v="Cali"/>
  </r>
  <r>
    <d v="2021-07-01T00:00:00"/>
    <x v="7"/>
    <x v="25"/>
    <x v="25"/>
    <n v="-30000"/>
    <n v="0"/>
    <n v="30000"/>
    <x v="307"/>
    <s v="Cali"/>
  </r>
  <r>
    <m/>
    <x v="1"/>
    <x v="23"/>
    <x v="23"/>
    <m/>
    <m/>
    <m/>
    <x v="1"/>
    <m/>
  </r>
  <r>
    <d v="2021-07-01T00:00:00"/>
    <x v="7"/>
    <x v="0"/>
    <x v="0"/>
    <n v="100000"/>
    <n v="100000"/>
    <n v="0"/>
    <x v="469"/>
    <s v="Cali"/>
  </r>
  <r>
    <d v="2021-07-01T00:00:00"/>
    <x v="7"/>
    <x v="26"/>
    <x v="26"/>
    <n v="-100000"/>
    <n v="0"/>
    <n v="100000"/>
    <x v="469"/>
    <s v="Cali"/>
  </r>
  <r>
    <m/>
    <x v="1"/>
    <x v="23"/>
    <x v="23"/>
    <m/>
    <m/>
    <m/>
    <x v="1"/>
    <m/>
  </r>
  <r>
    <d v="2021-07-01T00:00:00"/>
    <x v="7"/>
    <x v="0"/>
    <x v="0"/>
    <n v="15000"/>
    <n v="15000"/>
    <n v="0"/>
    <x v="205"/>
    <s v="Cali"/>
  </r>
  <r>
    <d v="2021-07-01T00:00:00"/>
    <x v="7"/>
    <x v="27"/>
    <x v="27"/>
    <n v="-15000"/>
    <n v="0"/>
    <n v="15000"/>
    <x v="205"/>
    <s v="Cali"/>
  </r>
  <r>
    <m/>
    <x v="1"/>
    <x v="23"/>
    <x v="23"/>
    <m/>
    <m/>
    <m/>
    <x v="1"/>
    <m/>
  </r>
  <r>
    <d v="2021-07-02T00:00:00"/>
    <x v="7"/>
    <x v="0"/>
    <x v="0"/>
    <n v="40000"/>
    <n v="40000"/>
    <n v="0"/>
    <x v="157"/>
    <s v="Cali"/>
  </r>
  <r>
    <d v="2021-07-02T00:00:00"/>
    <x v="7"/>
    <x v="27"/>
    <x v="27"/>
    <n v="-40000"/>
    <n v="0"/>
    <n v="40000"/>
    <x v="157"/>
    <s v="Cali"/>
  </r>
  <r>
    <m/>
    <x v="1"/>
    <x v="23"/>
    <x v="23"/>
    <m/>
    <m/>
    <m/>
    <x v="1"/>
    <m/>
  </r>
  <r>
    <d v="2021-07-02T00:00:00"/>
    <x v="7"/>
    <x v="0"/>
    <x v="0"/>
    <n v="60000"/>
    <n v="60000"/>
    <n v="0"/>
    <x v="160"/>
    <s v="Cali"/>
  </r>
  <r>
    <d v="2021-07-02T00:00:00"/>
    <x v="7"/>
    <x v="25"/>
    <x v="25"/>
    <n v="-60000"/>
    <n v="0"/>
    <n v="60000"/>
    <x v="160"/>
    <s v="Cali"/>
  </r>
  <r>
    <m/>
    <x v="1"/>
    <x v="23"/>
    <x v="23"/>
    <m/>
    <m/>
    <m/>
    <x v="1"/>
    <m/>
  </r>
  <r>
    <d v="2021-07-02T00:00:00"/>
    <x v="7"/>
    <x v="0"/>
    <x v="0"/>
    <n v="20000"/>
    <n v="20000"/>
    <n v="0"/>
    <x v="174"/>
    <s v="Cali"/>
  </r>
  <r>
    <d v="2021-07-02T00:00:00"/>
    <x v="7"/>
    <x v="25"/>
    <x v="25"/>
    <n v="-20000"/>
    <n v="0"/>
    <n v="20000"/>
    <x v="174"/>
    <s v="Cali"/>
  </r>
  <r>
    <m/>
    <x v="1"/>
    <x v="23"/>
    <x v="23"/>
    <m/>
    <m/>
    <m/>
    <x v="1"/>
    <m/>
  </r>
  <r>
    <d v="2021-07-02T00:00:00"/>
    <x v="7"/>
    <x v="0"/>
    <x v="0"/>
    <n v="200000"/>
    <n v="200000"/>
    <n v="0"/>
    <x v="242"/>
    <s v="Cali"/>
  </r>
  <r>
    <d v="2021-07-02T00:00:00"/>
    <x v="7"/>
    <x v="26"/>
    <x v="26"/>
    <n v="-200000"/>
    <n v="0"/>
    <n v="200000"/>
    <x v="242"/>
    <s v="Cali"/>
  </r>
  <r>
    <m/>
    <x v="1"/>
    <x v="23"/>
    <x v="23"/>
    <m/>
    <m/>
    <m/>
    <x v="1"/>
    <m/>
  </r>
  <r>
    <d v="2021-07-02T00:00:00"/>
    <x v="7"/>
    <x v="0"/>
    <x v="0"/>
    <n v="50000"/>
    <n v="50000"/>
    <n v="0"/>
    <x v="197"/>
    <s v="Cali"/>
  </r>
  <r>
    <d v="2021-07-02T00:00:00"/>
    <x v="7"/>
    <x v="26"/>
    <x v="26"/>
    <n v="-50000"/>
    <n v="0"/>
    <n v="50000"/>
    <x v="197"/>
    <s v="Cali"/>
  </r>
  <r>
    <m/>
    <x v="1"/>
    <x v="23"/>
    <x v="23"/>
    <m/>
    <m/>
    <m/>
    <x v="1"/>
    <m/>
  </r>
  <r>
    <d v="2021-07-02T00:00:00"/>
    <x v="7"/>
    <x v="0"/>
    <x v="0"/>
    <n v="70000"/>
    <n v="70000"/>
    <n v="0"/>
    <x v="257"/>
    <s v="Cali"/>
  </r>
  <r>
    <d v="2021-07-02T00:00:00"/>
    <x v="7"/>
    <x v="26"/>
    <x v="26"/>
    <n v="-70000"/>
    <n v="0"/>
    <n v="70000"/>
    <x v="257"/>
    <s v="Cali"/>
  </r>
  <r>
    <m/>
    <x v="1"/>
    <x v="23"/>
    <x v="23"/>
    <m/>
    <m/>
    <m/>
    <x v="1"/>
    <m/>
  </r>
  <r>
    <d v="2021-07-02T00:00:00"/>
    <x v="7"/>
    <x v="0"/>
    <x v="0"/>
    <n v="350000"/>
    <n v="350000"/>
    <n v="0"/>
    <x v="470"/>
    <s v="Cali"/>
  </r>
  <r>
    <d v="2021-07-02T00:00:00"/>
    <x v="7"/>
    <x v="26"/>
    <x v="26"/>
    <n v="-350000"/>
    <n v="0"/>
    <n v="350000"/>
    <x v="470"/>
    <s v="Cali"/>
  </r>
  <r>
    <m/>
    <x v="1"/>
    <x v="23"/>
    <x v="23"/>
    <m/>
    <m/>
    <m/>
    <x v="1"/>
    <m/>
  </r>
  <r>
    <d v="2021-07-05T00:00:00"/>
    <x v="7"/>
    <x v="0"/>
    <x v="0"/>
    <n v="650000"/>
    <n v="650000"/>
    <n v="0"/>
    <x v="470"/>
    <s v="Cali"/>
  </r>
  <r>
    <d v="2021-07-05T00:00:00"/>
    <x v="7"/>
    <x v="26"/>
    <x v="26"/>
    <n v="-650000"/>
    <n v="0"/>
    <n v="650000"/>
    <x v="470"/>
    <s v="Cali"/>
  </r>
  <r>
    <m/>
    <x v="1"/>
    <x v="23"/>
    <x v="23"/>
    <m/>
    <m/>
    <m/>
    <x v="1"/>
    <m/>
  </r>
  <r>
    <d v="2021-07-05T00:00:00"/>
    <x v="7"/>
    <x v="0"/>
    <x v="0"/>
    <n v="70000"/>
    <n v="70000"/>
    <n v="0"/>
    <x v="37"/>
    <s v="Cali"/>
  </r>
  <r>
    <d v="2021-07-05T00:00:00"/>
    <x v="7"/>
    <x v="25"/>
    <x v="25"/>
    <n v="-70000"/>
    <n v="0"/>
    <n v="70000"/>
    <x v="37"/>
    <s v="Cali"/>
  </r>
  <r>
    <m/>
    <x v="1"/>
    <x v="23"/>
    <x v="23"/>
    <m/>
    <m/>
    <m/>
    <x v="1"/>
    <m/>
  </r>
  <r>
    <d v="2021-07-05T00:00:00"/>
    <x v="7"/>
    <x v="0"/>
    <x v="0"/>
    <n v="30000"/>
    <n v="30000"/>
    <n v="0"/>
    <x v="164"/>
    <s v="Cali"/>
  </r>
  <r>
    <d v="2021-07-05T00:00:00"/>
    <x v="7"/>
    <x v="26"/>
    <x v="26"/>
    <n v="-30000"/>
    <n v="0"/>
    <n v="30000"/>
    <x v="164"/>
    <s v="Cali"/>
  </r>
  <r>
    <m/>
    <x v="1"/>
    <x v="23"/>
    <x v="23"/>
    <m/>
    <m/>
    <m/>
    <x v="1"/>
    <m/>
  </r>
  <r>
    <d v="2021-07-05T00:00:00"/>
    <x v="7"/>
    <x v="0"/>
    <x v="0"/>
    <n v="40000"/>
    <n v="40000"/>
    <n v="0"/>
    <x v="334"/>
    <s v="Cali"/>
  </r>
  <r>
    <d v="2021-07-05T00:00:00"/>
    <x v="7"/>
    <x v="25"/>
    <x v="25"/>
    <n v="-40000"/>
    <n v="0"/>
    <n v="40000"/>
    <x v="334"/>
    <s v="Cali"/>
  </r>
  <r>
    <m/>
    <x v="1"/>
    <x v="23"/>
    <x v="23"/>
    <m/>
    <m/>
    <m/>
    <x v="1"/>
    <m/>
  </r>
  <r>
    <d v="2021-07-05T00:00:00"/>
    <x v="7"/>
    <x v="0"/>
    <x v="0"/>
    <n v="100000"/>
    <n v="100000"/>
    <n v="0"/>
    <x v="471"/>
    <s v="Cali"/>
  </r>
  <r>
    <d v="2021-07-05T00:00:00"/>
    <x v="7"/>
    <x v="26"/>
    <x v="26"/>
    <n v="-100000"/>
    <n v="0"/>
    <n v="100000"/>
    <x v="471"/>
    <s v="Cali"/>
  </r>
  <r>
    <m/>
    <x v="1"/>
    <x v="23"/>
    <x v="23"/>
    <m/>
    <m/>
    <m/>
    <x v="1"/>
    <m/>
  </r>
  <r>
    <d v="2021-07-05T00:00:00"/>
    <x v="7"/>
    <x v="0"/>
    <x v="0"/>
    <n v="150000"/>
    <n v="150000"/>
    <n v="0"/>
    <x v="192"/>
    <s v="Cali"/>
  </r>
  <r>
    <d v="2021-07-05T00:00:00"/>
    <x v="7"/>
    <x v="26"/>
    <x v="26"/>
    <n v="-150000"/>
    <n v="0"/>
    <n v="150000"/>
    <x v="192"/>
    <s v="Cali"/>
  </r>
  <r>
    <m/>
    <x v="1"/>
    <x v="23"/>
    <x v="23"/>
    <m/>
    <m/>
    <m/>
    <x v="1"/>
    <m/>
  </r>
  <r>
    <d v="2021-07-05T00:00:00"/>
    <x v="7"/>
    <x v="0"/>
    <x v="0"/>
    <n v="150000"/>
    <n v="150000"/>
    <n v="0"/>
    <x v="169"/>
    <s v="Cali"/>
  </r>
  <r>
    <d v="2021-07-05T00:00:00"/>
    <x v="7"/>
    <x v="25"/>
    <x v="25"/>
    <n v="-150000"/>
    <n v="0"/>
    <n v="150000"/>
    <x v="169"/>
    <s v="Cali"/>
  </r>
  <r>
    <m/>
    <x v="1"/>
    <x v="23"/>
    <x v="23"/>
    <m/>
    <m/>
    <m/>
    <x v="1"/>
    <m/>
  </r>
  <r>
    <d v="2021-07-05T00:00:00"/>
    <x v="7"/>
    <x v="0"/>
    <x v="0"/>
    <n v="20000"/>
    <n v="20000"/>
    <n v="0"/>
    <x v="166"/>
    <s v="Cali"/>
  </r>
  <r>
    <d v="2021-07-05T00:00:00"/>
    <x v="7"/>
    <x v="25"/>
    <x v="25"/>
    <n v="-20000"/>
    <n v="0"/>
    <n v="20000"/>
    <x v="166"/>
    <s v="Cali"/>
  </r>
  <r>
    <m/>
    <x v="1"/>
    <x v="23"/>
    <x v="23"/>
    <m/>
    <m/>
    <m/>
    <x v="1"/>
    <m/>
  </r>
  <r>
    <d v="2021-07-05T00:00:00"/>
    <x v="7"/>
    <x v="0"/>
    <x v="0"/>
    <n v="2000"/>
    <n v="2000"/>
    <n v="0"/>
    <x v="177"/>
    <s v="Cali"/>
  </r>
  <r>
    <d v="2021-07-05T00:00:00"/>
    <x v="7"/>
    <x v="19"/>
    <x v="19"/>
    <n v="-2000"/>
    <n v="0"/>
    <n v="2000"/>
    <x v="177"/>
    <s v="Cali"/>
  </r>
  <r>
    <m/>
    <x v="1"/>
    <x v="23"/>
    <x v="23"/>
    <m/>
    <m/>
    <m/>
    <x v="1"/>
    <m/>
  </r>
  <r>
    <d v="2021-07-05T00:00:00"/>
    <x v="7"/>
    <x v="0"/>
    <x v="0"/>
    <n v="11000"/>
    <n v="11000"/>
    <n v="0"/>
    <x v="191"/>
    <s v="Cali"/>
  </r>
  <r>
    <d v="2021-07-05T00:00:00"/>
    <x v="7"/>
    <x v="27"/>
    <x v="27"/>
    <n v="-11000"/>
    <n v="0"/>
    <n v="11000"/>
    <x v="191"/>
    <s v="Cali"/>
  </r>
  <r>
    <m/>
    <x v="1"/>
    <x v="23"/>
    <x v="23"/>
    <m/>
    <m/>
    <m/>
    <x v="1"/>
    <m/>
  </r>
  <r>
    <d v="2021-07-05T00:00:00"/>
    <x v="7"/>
    <x v="0"/>
    <x v="0"/>
    <n v="60000"/>
    <n v="60000"/>
    <n v="0"/>
    <x v="372"/>
    <s v="Cali"/>
  </r>
  <r>
    <d v="2021-07-05T00:00:00"/>
    <x v="7"/>
    <x v="25"/>
    <x v="25"/>
    <n v="-60000"/>
    <n v="0"/>
    <n v="60000"/>
    <x v="372"/>
    <s v="Cali"/>
  </r>
  <r>
    <m/>
    <x v="1"/>
    <x v="23"/>
    <x v="23"/>
    <m/>
    <m/>
    <m/>
    <x v="1"/>
    <m/>
  </r>
  <r>
    <d v="2021-07-05T00:00:00"/>
    <x v="7"/>
    <x v="0"/>
    <x v="0"/>
    <n v="12000"/>
    <n v="12000"/>
    <n v="0"/>
    <x v="310"/>
    <s v="Cali"/>
  </r>
  <r>
    <d v="2021-07-05T00:00:00"/>
    <x v="7"/>
    <x v="25"/>
    <x v="25"/>
    <n v="-12000"/>
    <n v="0"/>
    <n v="12000"/>
    <x v="310"/>
    <s v="Cali"/>
  </r>
  <r>
    <m/>
    <x v="1"/>
    <x v="23"/>
    <x v="23"/>
    <m/>
    <m/>
    <m/>
    <x v="1"/>
    <m/>
  </r>
  <r>
    <d v="2021-07-05T00:00:00"/>
    <x v="7"/>
    <x v="0"/>
    <x v="0"/>
    <n v="15000"/>
    <n v="15000"/>
    <n v="0"/>
    <x v="282"/>
    <s v="Cali"/>
  </r>
  <r>
    <d v="2021-07-05T00:00:00"/>
    <x v="7"/>
    <x v="25"/>
    <x v="25"/>
    <n v="-15000"/>
    <n v="0"/>
    <n v="15000"/>
    <x v="282"/>
    <s v="Cali"/>
  </r>
  <r>
    <m/>
    <x v="1"/>
    <x v="23"/>
    <x v="23"/>
    <m/>
    <m/>
    <m/>
    <x v="1"/>
    <m/>
  </r>
  <r>
    <d v="2021-07-05T00:00:00"/>
    <x v="7"/>
    <x v="0"/>
    <x v="0"/>
    <n v="60000"/>
    <n v="60000"/>
    <n v="0"/>
    <x v="202"/>
    <s v="Cali"/>
  </r>
  <r>
    <d v="2021-07-05T00:00:00"/>
    <x v="7"/>
    <x v="27"/>
    <x v="27"/>
    <n v="-60000"/>
    <n v="0"/>
    <n v="60000"/>
    <x v="202"/>
    <s v="Cali"/>
  </r>
  <r>
    <m/>
    <x v="1"/>
    <x v="23"/>
    <x v="23"/>
    <m/>
    <m/>
    <m/>
    <x v="1"/>
    <m/>
  </r>
  <r>
    <d v="2021-07-05T00:00:00"/>
    <x v="7"/>
    <x v="0"/>
    <x v="0"/>
    <n v="10000"/>
    <n v="10000"/>
    <n v="0"/>
    <x v="472"/>
    <s v="Cali"/>
  </r>
  <r>
    <d v="2021-07-05T00:00:00"/>
    <x v="7"/>
    <x v="4"/>
    <x v="4"/>
    <n v="-10000"/>
    <n v="0"/>
    <n v="10000"/>
    <x v="472"/>
    <s v="Cali"/>
  </r>
  <r>
    <m/>
    <x v="1"/>
    <x v="23"/>
    <x v="23"/>
    <m/>
    <m/>
    <m/>
    <x v="1"/>
    <m/>
  </r>
  <r>
    <d v="2021-07-05T00:00:00"/>
    <x v="7"/>
    <x v="31"/>
    <x v="31"/>
    <n v="1414"/>
    <n v="1414"/>
    <n v="0"/>
    <x v="172"/>
    <s v="Cali"/>
  </r>
  <r>
    <d v="2021-07-05T00:00:00"/>
    <x v="7"/>
    <x v="0"/>
    <x v="0"/>
    <n v="-1414"/>
    <n v="0"/>
    <n v="1414"/>
    <x v="172"/>
    <s v="Cali"/>
  </r>
  <r>
    <m/>
    <x v="1"/>
    <x v="23"/>
    <x v="23"/>
    <m/>
    <m/>
    <m/>
    <x v="1"/>
    <m/>
  </r>
  <r>
    <d v="2021-07-06T00:00:00"/>
    <x v="7"/>
    <x v="0"/>
    <x v="0"/>
    <n v="80000"/>
    <n v="80000"/>
    <n v="0"/>
    <x v="316"/>
    <s v="Cali"/>
  </r>
  <r>
    <d v="2021-07-06T00:00:00"/>
    <x v="7"/>
    <x v="25"/>
    <x v="25"/>
    <n v="-80000"/>
    <n v="0"/>
    <n v="80000"/>
    <x v="316"/>
    <s v="Cali"/>
  </r>
  <r>
    <m/>
    <x v="1"/>
    <x v="23"/>
    <x v="23"/>
    <m/>
    <m/>
    <m/>
    <x v="1"/>
    <m/>
  </r>
  <r>
    <d v="2021-07-06T00:00:00"/>
    <x v="7"/>
    <x v="0"/>
    <x v="0"/>
    <n v="40000"/>
    <n v="40000"/>
    <n v="0"/>
    <x v="176"/>
    <s v="Cali"/>
  </r>
  <r>
    <d v="2021-07-06T00:00:00"/>
    <x v="7"/>
    <x v="25"/>
    <x v="25"/>
    <n v="-40000"/>
    <n v="0"/>
    <n v="40000"/>
    <x v="176"/>
    <s v="Cali"/>
  </r>
  <r>
    <m/>
    <x v="1"/>
    <x v="23"/>
    <x v="23"/>
    <m/>
    <m/>
    <m/>
    <x v="1"/>
    <m/>
  </r>
  <r>
    <d v="2021-07-07T00:00:00"/>
    <x v="7"/>
    <x v="28"/>
    <x v="28"/>
    <n v="132983"/>
    <n v="132983"/>
    <n v="0"/>
    <x v="473"/>
    <s v="Cali"/>
  </r>
  <r>
    <d v="2021-07-07T00:00:00"/>
    <x v="7"/>
    <x v="0"/>
    <x v="0"/>
    <n v="-132983"/>
    <n v="0"/>
    <n v="132983"/>
    <x v="473"/>
    <s v="Cali"/>
  </r>
  <r>
    <m/>
    <x v="1"/>
    <x v="23"/>
    <x v="23"/>
    <m/>
    <m/>
    <m/>
    <x v="1"/>
    <m/>
  </r>
  <r>
    <d v="2021-07-07T00:00:00"/>
    <x v="7"/>
    <x v="0"/>
    <x v="0"/>
    <n v="30000"/>
    <n v="30000"/>
    <n v="0"/>
    <x v="170"/>
    <s v="Cali"/>
  </r>
  <r>
    <d v="2021-07-07T00:00:00"/>
    <x v="7"/>
    <x v="26"/>
    <x v="26"/>
    <n v="-30000"/>
    <n v="0"/>
    <n v="30000"/>
    <x v="170"/>
    <s v="Cali"/>
  </r>
  <r>
    <m/>
    <x v="1"/>
    <x v="23"/>
    <x v="23"/>
    <m/>
    <m/>
    <m/>
    <x v="1"/>
    <m/>
  </r>
  <r>
    <d v="2021-07-07T00:00:00"/>
    <x v="7"/>
    <x v="0"/>
    <x v="0"/>
    <n v="30000"/>
    <n v="30000"/>
    <n v="0"/>
    <x v="170"/>
    <s v="Cali"/>
  </r>
  <r>
    <d v="2021-07-07T00:00:00"/>
    <x v="7"/>
    <x v="26"/>
    <x v="26"/>
    <n v="-30000"/>
    <n v="0"/>
    <n v="30000"/>
    <x v="170"/>
    <s v="Cali"/>
  </r>
  <r>
    <m/>
    <x v="1"/>
    <x v="23"/>
    <x v="23"/>
    <m/>
    <m/>
    <m/>
    <x v="1"/>
    <m/>
  </r>
  <r>
    <d v="2021-07-07T00:00:00"/>
    <x v="7"/>
    <x v="0"/>
    <x v="0"/>
    <n v="150000"/>
    <n v="150000"/>
    <n v="0"/>
    <x v="251"/>
    <s v="Cali"/>
  </r>
  <r>
    <d v="2021-07-07T00:00:00"/>
    <x v="7"/>
    <x v="27"/>
    <x v="27"/>
    <n v="-150000"/>
    <n v="0"/>
    <n v="150000"/>
    <x v="251"/>
    <s v="Cali"/>
  </r>
  <r>
    <m/>
    <x v="1"/>
    <x v="23"/>
    <x v="23"/>
    <m/>
    <m/>
    <m/>
    <x v="1"/>
    <m/>
  </r>
  <r>
    <d v="2021-07-07T00:00:00"/>
    <x v="7"/>
    <x v="0"/>
    <x v="0"/>
    <n v="100000"/>
    <n v="100000"/>
    <n v="0"/>
    <x v="474"/>
    <s v="Cali"/>
  </r>
  <r>
    <d v="2021-07-07T00:00:00"/>
    <x v="7"/>
    <x v="26"/>
    <x v="26"/>
    <n v="-100000"/>
    <n v="0"/>
    <n v="100000"/>
    <x v="474"/>
    <s v="Cali"/>
  </r>
  <r>
    <m/>
    <x v="1"/>
    <x v="23"/>
    <x v="23"/>
    <m/>
    <m/>
    <m/>
    <x v="1"/>
    <m/>
  </r>
  <r>
    <d v="2021-07-07T00:00:00"/>
    <x v="7"/>
    <x v="0"/>
    <x v="0"/>
    <n v="30000"/>
    <n v="30000"/>
    <n v="0"/>
    <x v="179"/>
    <s v="Cali"/>
  </r>
  <r>
    <d v="2021-07-07T00:00:00"/>
    <x v="7"/>
    <x v="25"/>
    <x v="25"/>
    <n v="-30000"/>
    <n v="0"/>
    <n v="30000"/>
    <x v="179"/>
    <s v="Cali"/>
  </r>
  <r>
    <m/>
    <x v="1"/>
    <x v="23"/>
    <x v="23"/>
    <m/>
    <m/>
    <m/>
    <x v="1"/>
    <m/>
  </r>
  <r>
    <d v="2021-07-08T00:00:00"/>
    <x v="7"/>
    <x v="0"/>
    <x v="0"/>
    <n v="30000"/>
    <n v="30000"/>
    <n v="0"/>
    <x v="362"/>
    <s v="Cali"/>
  </r>
  <r>
    <d v="2021-07-08T00:00:00"/>
    <x v="7"/>
    <x v="29"/>
    <x v="29"/>
    <n v="-30000"/>
    <n v="0"/>
    <n v="30000"/>
    <x v="362"/>
    <s v="Cali"/>
  </r>
  <r>
    <m/>
    <x v="1"/>
    <x v="23"/>
    <x v="23"/>
    <m/>
    <m/>
    <m/>
    <x v="1"/>
    <m/>
  </r>
  <r>
    <d v="2021-07-08T00:00:00"/>
    <x v="7"/>
    <x v="0"/>
    <x v="0"/>
    <n v="40000"/>
    <n v="40000"/>
    <n v="0"/>
    <x v="10"/>
    <s v="Cali"/>
  </r>
  <r>
    <d v="2021-07-08T00:00:00"/>
    <x v="7"/>
    <x v="25"/>
    <x v="25"/>
    <n v="-40000"/>
    <n v="0"/>
    <n v="40000"/>
    <x v="10"/>
    <s v="Cali"/>
  </r>
  <r>
    <m/>
    <x v="1"/>
    <x v="23"/>
    <x v="23"/>
    <m/>
    <m/>
    <m/>
    <x v="1"/>
    <m/>
  </r>
  <r>
    <d v="2021-07-09T00:00:00"/>
    <x v="7"/>
    <x v="0"/>
    <x v="0"/>
    <n v="40000"/>
    <n v="40000"/>
    <n v="0"/>
    <x v="178"/>
    <s v="Cali"/>
  </r>
  <r>
    <d v="2021-07-09T00:00:00"/>
    <x v="7"/>
    <x v="25"/>
    <x v="25"/>
    <n v="-40000"/>
    <n v="0"/>
    <n v="40000"/>
    <x v="178"/>
    <s v="Cali"/>
  </r>
  <r>
    <m/>
    <x v="1"/>
    <x v="23"/>
    <x v="23"/>
    <m/>
    <m/>
    <m/>
    <x v="1"/>
    <m/>
  </r>
  <r>
    <d v="2021-07-09T00:00:00"/>
    <x v="7"/>
    <x v="0"/>
    <x v="0"/>
    <n v="17000"/>
    <n v="17000"/>
    <n v="0"/>
    <x v="66"/>
    <s v="Cali"/>
  </r>
  <r>
    <d v="2021-07-09T00:00:00"/>
    <x v="7"/>
    <x v="27"/>
    <x v="27"/>
    <n v="-17000"/>
    <n v="0"/>
    <n v="17000"/>
    <x v="66"/>
    <s v="Cali"/>
  </r>
  <r>
    <m/>
    <x v="1"/>
    <x v="23"/>
    <x v="23"/>
    <m/>
    <m/>
    <m/>
    <x v="1"/>
    <m/>
  </r>
  <r>
    <d v="2021-07-09T00:00:00"/>
    <x v="7"/>
    <x v="0"/>
    <x v="0"/>
    <n v="15000"/>
    <n v="15000"/>
    <n v="0"/>
    <x v="420"/>
    <s v="Cali"/>
  </r>
  <r>
    <d v="2021-07-09T00:00:00"/>
    <x v="7"/>
    <x v="26"/>
    <x v="26"/>
    <n v="-15000"/>
    <n v="0"/>
    <n v="15000"/>
    <x v="420"/>
    <s v="Cali"/>
  </r>
  <r>
    <m/>
    <x v="1"/>
    <x v="23"/>
    <x v="23"/>
    <m/>
    <m/>
    <m/>
    <x v="1"/>
    <m/>
  </r>
  <r>
    <d v="2021-07-09T00:00:00"/>
    <x v="7"/>
    <x v="0"/>
    <x v="0"/>
    <n v="10000"/>
    <n v="10000"/>
    <n v="0"/>
    <x v="199"/>
    <s v="Cali"/>
  </r>
  <r>
    <d v="2021-07-09T00:00:00"/>
    <x v="7"/>
    <x v="27"/>
    <x v="27"/>
    <n v="-10000"/>
    <n v="0"/>
    <n v="10000"/>
    <x v="199"/>
    <s v="Cali"/>
  </r>
  <r>
    <m/>
    <x v="1"/>
    <x v="23"/>
    <x v="23"/>
    <m/>
    <m/>
    <m/>
    <x v="1"/>
    <m/>
  </r>
  <r>
    <d v="2021-07-09T00:00:00"/>
    <x v="7"/>
    <x v="0"/>
    <x v="0"/>
    <n v="64000"/>
    <n v="64000"/>
    <n v="0"/>
    <x v="64"/>
    <s v="Cali"/>
  </r>
  <r>
    <d v="2021-07-09T00:00:00"/>
    <x v="7"/>
    <x v="27"/>
    <x v="27"/>
    <n v="-64000"/>
    <n v="0"/>
    <n v="64000"/>
    <x v="64"/>
    <s v="Cali"/>
  </r>
  <r>
    <m/>
    <x v="1"/>
    <x v="23"/>
    <x v="23"/>
    <m/>
    <m/>
    <m/>
    <x v="1"/>
    <m/>
  </r>
  <r>
    <d v="2021-07-09T00:00:00"/>
    <x v="7"/>
    <x v="0"/>
    <x v="0"/>
    <n v="1000000"/>
    <n v="1000000"/>
    <n v="0"/>
    <x v="475"/>
    <s v="Cali"/>
  </r>
  <r>
    <d v="2021-07-09T00:00:00"/>
    <x v="7"/>
    <x v="26"/>
    <x v="26"/>
    <n v="-1000000"/>
    <n v="0"/>
    <n v="1000000"/>
    <x v="475"/>
    <s v="Cali"/>
  </r>
  <r>
    <m/>
    <x v="1"/>
    <x v="23"/>
    <x v="23"/>
    <m/>
    <m/>
    <m/>
    <x v="1"/>
    <m/>
  </r>
  <r>
    <d v="2021-07-12T00:00:00"/>
    <x v="7"/>
    <x v="0"/>
    <x v="0"/>
    <n v="30000"/>
    <n v="30000"/>
    <n v="0"/>
    <x v="239"/>
    <s v="Cali"/>
  </r>
  <r>
    <d v="2021-07-12T00:00:00"/>
    <x v="7"/>
    <x v="27"/>
    <x v="27"/>
    <n v="-30000"/>
    <n v="0"/>
    <n v="30000"/>
    <x v="239"/>
    <s v="Cali"/>
  </r>
  <r>
    <m/>
    <x v="1"/>
    <x v="23"/>
    <x v="23"/>
    <m/>
    <m/>
    <m/>
    <x v="1"/>
    <m/>
  </r>
  <r>
    <d v="2021-07-12T00:00:00"/>
    <x v="7"/>
    <x v="0"/>
    <x v="0"/>
    <n v="25000"/>
    <n v="25000"/>
    <n v="0"/>
    <x v="149"/>
    <s v="Cali"/>
  </r>
  <r>
    <d v="2021-07-12T00:00:00"/>
    <x v="7"/>
    <x v="27"/>
    <x v="27"/>
    <n v="-25000"/>
    <n v="0"/>
    <n v="25000"/>
    <x v="149"/>
    <s v="Cali"/>
  </r>
  <r>
    <m/>
    <x v="1"/>
    <x v="23"/>
    <x v="23"/>
    <m/>
    <m/>
    <m/>
    <x v="1"/>
    <m/>
  </r>
  <r>
    <d v="2021-07-12T00:00:00"/>
    <x v="7"/>
    <x v="0"/>
    <x v="0"/>
    <n v="30000"/>
    <n v="30000"/>
    <n v="0"/>
    <x v="256"/>
    <s v="Cali"/>
  </r>
  <r>
    <d v="2021-07-12T00:00:00"/>
    <x v="7"/>
    <x v="25"/>
    <x v="25"/>
    <n v="-30000"/>
    <n v="0"/>
    <n v="30000"/>
    <x v="256"/>
    <s v="Cali"/>
  </r>
  <r>
    <m/>
    <x v="1"/>
    <x v="23"/>
    <x v="23"/>
    <m/>
    <m/>
    <m/>
    <x v="1"/>
    <m/>
  </r>
  <r>
    <d v="2021-07-12T00:00:00"/>
    <x v="7"/>
    <x v="0"/>
    <x v="0"/>
    <n v="20000"/>
    <n v="20000"/>
    <n v="0"/>
    <x v="198"/>
    <s v="Cali"/>
  </r>
  <r>
    <d v="2021-07-12T00:00:00"/>
    <x v="7"/>
    <x v="27"/>
    <x v="27"/>
    <n v="-20000"/>
    <n v="0"/>
    <n v="20000"/>
    <x v="198"/>
    <s v="Cali"/>
  </r>
  <r>
    <m/>
    <x v="1"/>
    <x v="23"/>
    <x v="23"/>
    <m/>
    <m/>
    <m/>
    <x v="1"/>
    <m/>
  </r>
  <r>
    <d v="2021-07-12T00:00:00"/>
    <x v="7"/>
    <x v="0"/>
    <x v="0"/>
    <n v="1500"/>
    <n v="1500"/>
    <n v="0"/>
    <x v="177"/>
    <s v="Cali"/>
  </r>
  <r>
    <d v="2021-07-12T00:00:00"/>
    <x v="7"/>
    <x v="19"/>
    <x v="19"/>
    <n v="-1500"/>
    <n v="0"/>
    <n v="1500"/>
    <x v="177"/>
    <s v="Cali"/>
  </r>
  <r>
    <m/>
    <x v="1"/>
    <x v="23"/>
    <x v="23"/>
    <m/>
    <m/>
    <m/>
    <x v="1"/>
    <m/>
  </r>
  <r>
    <d v="2021-07-12T00:00:00"/>
    <x v="7"/>
    <x v="0"/>
    <x v="0"/>
    <n v="30000"/>
    <n v="30000"/>
    <n v="0"/>
    <x v="185"/>
    <s v="Cali"/>
  </r>
  <r>
    <d v="2021-07-12T00:00:00"/>
    <x v="7"/>
    <x v="25"/>
    <x v="25"/>
    <n v="-30000"/>
    <n v="0"/>
    <n v="30000"/>
    <x v="185"/>
    <s v="Cali"/>
  </r>
  <r>
    <m/>
    <x v="1"/>
    <x v="23"/>
    <x v="23"/>
    <m/>
    <m/>
    <m/>
    <x v="1"/>
    <m/>
  </r>
  <r>
    <d v="2021-07-12T00:00:00"/>
    <x v="7"/>
    <x v="0"/>
    <x v="0"/>
    <n v="17000"/>
    <n v="17000"/>
    <n v="0"/>
    <x v="186"/>
    <s v="Cali"/>
  </r>
  <r>
    <d v="2021-07-12T00:00:00"/>
    <x v="7"/>
    <x v="25"/>
    <x v="25"/>
    <n v="-17000"/>
    <n v="0"/>
    <n v="17000"/>
    <x v="186"/>
    <s v="Cali"/>
  </r>
  <r>
    <m/>
    <x v="1"/>
    <x v="23"/>
    <x v="23"/>
    <m/>
    <m/>
    <m/>
    <x v="1"/>
    <m/>
  </r>
  <r>
    <d v="2021-07-12T00:00:00"/>
    <x v="7"/>
    <x v="0"/>
    <x v="0"/>
    <n v="25000"/>
    <n v="25000"/>
    <n v="0"/>
    <x v="38"/>
    <s v="Cali"/>
  </r>
  <r>
    <d v="2021-07-12T00:00:00"/>
    <x v="7"/>
    <x v="25"/>
    <x v="25"/>
    <n v="-25000"/>
    <n v="0"/>
    <n v="25000"/>
    <x v="38"/>
    <s v="Cali"/>
  </r>
  <r>
    <m/>
    <x v="1"/>
    <x v="23"/>
    <x v="23"/>
    <m/>
    <m/>
    <m/>
    <x v="1"/>
    <m/>
  </r>
  <r>
    <d v="2021-07-12T00:00:00"/>
    <x v="7"/>
    <x v="0"/>
    <x v="0"/>
    <n v="12000"/>
    <n v="12000"/>
    <n v="0"/>
    <x v="150"/>
    <s v="Cali"/>
  </r>
  <r>
    <d v="2021-07-12T00:00:00"/>
    <x v="7"/>
    <x v="19"/>
    <x v="19"/>
    <n v="-12000"/>
    <n v="0"/>
    <n v="12000"/>
    <x v="150"/>
    <s v="Cali"/>
  </r>
  <r>
    <m/>
    <x v="1"/>
    <x v="23"/>
    <x v="23"/>
    <m/>
    <m/>
    <m/>
    <x v="1"/>
    <m/>
  </r>
  <r>
    <d v="2021-07-12T00:00:00"/>
    <x v="7"/>
    <x v="0"/>
    <x v="0"/>
    <n v="20000"/>
    <n v="20000"/>
    <n v="0"/>
    <x v="476"/>
    <s v="Cali"/>
  </r>
  <r>
    <d v="2021-07-12T00:00:00"/>
    <x v="7"/>
    <x v="20"/>
    <x v="20"/>
    <n v="-20000"/>
    <n v="0"/>
    <n v="20000"/>
    <x v="476"/>
    <s v="Cali"/>
  </r>
  <r>
    <m/>
    <x v="1"/>
    <x v="23"/>
    <x v="23"/>
    <m/>
    <m/>
    <m/>
    <x v="1"/>
    <m/>
  </r>
  <r>
    <d v="2021-07-12T00:00:00"/>
    <x v="7"/>
    <x v="0"/>
    <x v="0"/>
    <n v="30000"/>
    <n v="30000"/>
    <n v="0"/>
    <x v="156"/>
    <s v="Cali"/>
  </r>
  <r>
    <d v="2021-07-12T00:00:00"/>
    <x v="7"/>
    <x v="25"/>
    <x v="25"/>
    <n v="-30000"/>
    <n v="0"/>
    <n v="30000"/>
    <x v="156"/>
    <s v="Cali"/>
  </r>
  <r>
    <m/>
    <x v="1"/>
    <x v="23"/>
    <x v="23"/>
    <m/>
    <m/>
    <m/>
    <x v="1"/>
    <m/>
  </r>
  <r>
    <d v="2021-07-13T00:00:00"/>
    <x v="7"/>
    <x v="0"/>
    <x v="0"/>
    <n v="20000"/>
    <n v="20000"/>
    <n v="0"/>
    <x v="193"/>
    <s v="Cali"/>
  </r>
  <r>
    <d v="2021-07-13T00:00:00"/>
    <x v="7"/>
    <x v="26"/>
    <x v="26"/>
    <n v="-20000"/>
    <n v="0"/>
    <n v="20000"/>
    <x v="193"/>
    <s v="Cali"/>
  </r>
  <r>
    <m/>
    <x v="1"/>
    <x v="23"/>
    <x v="23"/>
    <m/>
    <m/>
    <m/>
    <x v="1"/>
    <m/>
  </r>
  <r>
    <d v="2021-07-13T00:00:00"/>
    <x v="7"/>
    <x v="0"/>
    <x v="0"/>
    <n v="25000"/>
    <n v="25000"/>
    <n v="0"/>
    <x v="194"/>
    <s v="Cali"/>
  </r>
  <r>
    <d v="2021-07-13T00:00:00"/>
    <x v="7"/>
    <x v="25"/>
    <x v="25"/>
    <n v="-25000"/>
    <n v="0"/>
    <n v="25000"/>
    <x v="194"/>
    <s v="Cali"/>
  </r>
  <r>
    <m/>
    <x v="1"/>
    <x v="23"/>
    <x v="23"/>
    <m/>
    <m/>
    <m/>
    <x v="1"/>
    <m/>
  </r>
  <r>
    <d v="2021-07-13T00:00:00"/>
    <x v="7"/>
    <x v="0"/>
    <x v="0"/>
    <n v="7000"/>
    <n v="7000"/>
    <n v="0"/>
    <x v="261"/>
    <s v="Cali"/>
  </r>
  <r>
    <d v="2021-07-13T00:00:00"/>
    <x v="7"/>
    <x v="25"/>
    <x v="25"/>
    <n v="-7000"/>
    <n v="0"/>
    <n v="7000"/>
    <x v="261"/>
    <s v="Cali"/>
  </r>
  <r>
    <m/>
    <x v="1"/>
    <x v="23"/>
    <x v="23"/>
    <m/>
    <m/>
    <m/>
    <x v="1"/>
    <m/>
  </r>
  <r>
    <d v="2021-07-13T00:00:00"/>
    <x v="7"/>
    <x v="0"/>
    <x v="0"/>
    <n v="35000"/>
    <n v="35000"/>
    <n v="0"/>
    <x v="65"/>
    <s v="Cali"/>
  </r>
  <r>
    <d v="2021-07-13T00:00:00"/>
    <x v="7"/>
    <x v="29"/>
    <x v="29"/>
    <n v="-35000"/>
    <n v="0"/>
    <n v="35000"/>
    <x v="65"/>
    <s v="Cali"/>
  </r>
  <r>
    <m/>
    <x v="1"/>
    <x v="23"/>
    <x v="23"/>
    <m/>
    <m/>
    <m/>
    <x v="1"/>
    <m/>
  </r>
  <r>
    <d v="2021-07-13T00:00:00"/>
    <x v="7"/>
    <x v="0"/>
    <x v="0"/>
    <n v="95000"/>
    <n v="95000"/>
    <n v="0"/>
    <x v="65"/>
    <s v="Cali"/>
  </r>
  <r>
    <d v="2021-07-13T00:00:00"/>
    <x v="7"/>
    <x v="29"/>
    <x v="29"/>
    <n v="-95000"/>
    <n v="0"/>
    <n v="95000"/>
    <x v="65"/>
    <s v="Cali"/>
  </r>
  <r>
    <m/>
    <x v="1"/>
    <x v="23"/>
    <x v="23"/>
    <m/>
    <m/>
    <m/>
    <x v="1"/>
    <m/>
  </r>
  <r>
    <d v="2021-07-13T00:00:00"/>
    <x v="7"/>
    <x v="0"/>
    <x v="0"/>
    <n v="210000"/>
    <n v="210000"/>
    <n v="0"/>
    <x v="65"/>
    <s v="Cali"/>
  </r>
  <r>
    <d v="2021-07-13T00:00:00"/>
    <x v="7"/>
    <x v="29"/>
    <x v="29"/>
    <n v="-210000"/>
    <n v="0"/>
    <n v="210000"/>
    <x v="65"/>
    <s v="Cali"/>
  </r>
  <r>
    <m/>
    <x v="1"/>
    <x v="23"/>
    <x v="23"/>
    <m/>
    <m/>
    <m/>
    <x v="1"/>
    <m/>
  </r>
  <r>
    <d v="2021-07-13T00:00:00"/>
    <x v="7"/>
    <x v="0"/>
    <x v="0"/>
    <n v="20000"/>
    <n v="20000"/>
    <n v="0"/>
    <x v="65"/>
    <s v="Cali"/>
  </r>
  <r>
    <d v="2021-07-13T00:00:00"/>
    <x v="7"/>
    <x v="29"/>
    <x v="29"/>
    <n v="-20000"/>
    <n v="0"/>
    <n v="20000"/>
    <x v="65"/>
    <s v="Cali"/>
  </r>
  <r>
    <m/>
    <x v="1"/>
    <x v="23"/>
    <x v="23"/>
    <m/>
    <m/>
    <m/>
    <x v="1"/>
    <m/>
  </r>
  <r>
    <d v="2021-07-13T00:00:00"/>
    <x v="7"/>
    <x v="0"/>
    <x v="0"/>
    <n v="14000"/>
    <n v="14000"/>
    <n v="0"/>
    <x v="65"/>
    <s v="Cali"/>
  </r>
  <r>
    <d v="2021-07-13T00:00:00"/>
    <x v="7"/>
    <x v="29"/>
    <x v="29"/>
    <n v="-14000"/>
    <n v="0"/>
    <n v="14000"/>
    <x v="65"/>
    <s v="Cali"/>
  </r>
  <r>
    <m/>
    <x v="1"/>
    <x v="23"/>
    <x v="23"/>
    <m/>
    <m/>
    <m/>
    <x v="1"/>
    <m/>
  </r>
  <r>
    <d v="2021-07-14T00:00:00"/>
    <x v="7"/>
    <x v="0"/>
    <x v="0"/>
    <n v="30000"/>
    <n v="30000"/>
    <n v="0"/>
    <x v="188"/>
    <s v="Cali"/>
  </r>
  <r>
    <d v="2021-07-14T00:00:00"/>
    <x v="7"/>
    <x v="29"/>
    <x v="29"/>
    <n v="-30000"/>
    <n v="0"/>
    <n v="30000"/>
    <x v="188"/>
    <s v="Cali"/>
  </r>
  <r>
    <m/>
    <x v="1"/>
    <x v="23"/>
    <x v="23"/>
    <m/>
    <m/>
    <m/>
    <x v="1"/>
    <m/>
  </r>
  <r>
    <d v="2021-07-14T00:00:00"/>
    <x v="7"/>
    <x v="28"/>
    <x v="28"/>
    <n v="50000"/>
    <n v="50000"/>
    <n v="0"/>
    <x v="477"/>
    <s v="Cali"/>
  </r>
  <r>
    <d v="2021-07-14T00:00:00"/>
    <x v="7"/>
    <x v="0"/>
    <x v="0"/>
    <n v="-50000"/>
    <n v="0"/>
    <n v="50000"/>
    <x v="477"/>
    <s v="Cali"/>
  </r>
  <r>
    <m/>
    <x v="1"/>
    <x v="23"/>
    <x v="23"/>
    <m/>
    <m/>
    <m/>
    <x v="1"/>
    <m/>
  </r>
  <r>
    <d v="2021-07-14T00:00:00"/>
    <x v="7"/>
    <x v="28"/>
    <x v="28"/>
    <n v="255750"/>
    <n v="255750"/>
    <n v="0"/>
    <x v="478"/>
    <s v="Cali"/>
  </r>
  <r>
    <d v="2021-07-14T00:00:00"/>
    <x v="7"/>
    <x v="0"/>
    <x v="0"/>
    <n v="-255750"/>
    <n v="0"/>
    <n v="255750"/>
    <x v="478"/>
    <s v="Cali"/>
  </r>
  <r>
    <m/>
    <x v="1"/>
    <x v="23"/>
    <x v="23"/>
    <m/>
    <m/>
    <m/>
    <x v="1"/>
    <m/>
  </r>
  <r>
    <d v="2021-07-14T00:00:00"/>
    <x v="7"/>
    <x v="0"/>
    <x v="0"/>
    <n v="30000"/>
    <n v="30000"/>
    <n v="0"/>
    <x v="139"/>
    <s v="Cali"/>
  </r>
  <r>
    <d v="2021-07-14T00:00:00"/>
    <x v="7"/>
    <x v="25"/>
    <x v="25"/>
    <n v="-30000"/>
    <n v="0"/>
    <n v="30000"/>
    <x v="139"/>
    <s v="Cali"/>
  </r>
  <r>
    <m/>
    <x v="1"/>
    <x v="23"/>
    <x v="23"/>
    <m/>
    <m/>
    <m/>
    <x v="1"/>
    <m/>
  </r>
  <r>
    <d v="2021-07-14T00:00:00"/>
    <x v="7"/>
    <x v="0"/>
    <x v="0"/>
    <n v="19605"/>
    <n v="19605"/>
    <n v="0"/>
    <x v="479"/>
    <s v="Cali"/>
  </r>
  <r>
    <d v="2021-07-14T00:00:00"/>
    <x v="7"/>
    <x v="25"/>
    <x v="25"/>
    <n v="-20000"/>
    <n v="0"/>
    <n v="20000"/>
    <x v="479"/>
    <s v="Cali"/>
  </r>
  <r>
    <d v="2021-07-14T00:00:00"/>
    <x v="7"/>
    <x v="49"/>
    <x v="49"/>
    <n v="395"/>
    <n v="395"/>
    <n v="0"/>
    <x v="479"/>
    <s v="Cali"/>
  </r>
  <r>
    <m/>
    <x v="1"/>
    <x v="23"/>
    <x v="23"/>
    <m/>
    <m/>
    <m/>
    <x v="1"/>
    <m/>
  </r>
  <r>
    <d v="2021-07-15T00:00:00"/>
    <x v="7"/>
    <x v="15"/>
    <x v="15"/>
    <n v="3556823.4699999997"/>
    <n v="3556823.4699999997"/>
    <n v="0"/>
    <x v="480"/>
    <s v="Cali"/>
  </r>
  <r>
    <d v="2021-07-15T00:00:00"/>
    <x v="7"/>
    <x v="14"/>
    <x v="14"/>
    <n v="154547"/>
    <n v="154547"/>
    <n v="0"/>
    <x v="480"/>
    <s v="Cali"/>
  </r>
  <r>
    <d v="2021-07-15T00:00:00"/>
    <x v="7"/>
    <x v="0"/>
    <x v="0"/>
    <n v="-3711370"/>
    <n v="0"/>
    <n v="3711370"/>
    <x v="480"/>
    <s v="Cali"/>
  </r>
  <r>
    <m/>
    <x v="1"/>
    <x v="23"/>
    <x v="23"/>
    <m/>
    <m/>
    <m/>
    <x v="1"/>
    <m/>
  </r>
  <r>
    <d v="2021-07-15T00:00:00"/>
    <x v="7"/>
    <x v="16"/>
    <x v="16"/>
    <n v="68760"/>
    <n v="68760"/>
    <n v="0"/>
    <x v="481"/>
    <s v="Cali"/>
  </r>
  <r>
    <d v="2021-07-15T00:00:00"/>
    <x v="7"/>
    <x v="0"/>
    <x v="0"/>
    <n v="-60853"/>
    <n v="0"/>
    <n v="60853"/>
    <x v="481"/>
    <s v="Cali"/>
  </r>
  <r>
    <d v="2021-07-15T00:00:00"/>
    <x v="7"/>
    <x v="17"/>
    <x v="17"/>
    <n v="-7907"/>
    <n v="0"/>
    <n v="7907"/>
    <x v="481"/>
    <s v="Cali"/>
  </r>
  <r>
    <m/>
    <x v="1"/>
    <x v="23"/>
    <x v="23"/>
    <m/>
    <m/>
    <m/>
    <x v="1"/>
    <m/>
  </r>
  <r>
    <d v="2021-07-15T00:00:00"/>
    <x v="7"/>
    <x v="1"/>
    <x v="1"/>
    <n v="25000000"/>
    <n v="25000000"/>
    <n v="0"/>
    <x v="429"/>
    <s v="Cali"/>
  </r>
  <r>
    <d v="2021-07-15T00:00:00"/>
    <x v="7"/>
    <x v="0"/>
    <x v="0"/>
    <n v="-25000000"/>
    <n v="0"/>
    <n v="25000000"/>
    <x v="429"/>
    <s v="Cali"/>
  </r>
  <r>
    <m/>
    <x v="1"/>
    <x v="23"/>
    <x v="23"/>
    <m/>
    <m/>
    <m/>
    <x v="1"/>
    <m/>
  </r>
  <r>
    <d v="2021-07-15T00:00:00"/>
    <x v="7"/>
    <x v="0"/>
    <x v="0"/>
    <n v="5000"/>
    <n v="5000"/>
    <n v="0"/>
    <x v="482"/>
    <s v="Cali"/>
  </r>
  <r>
    <d v="2021-07-15T00:00:00"/>
    <x v="7"/>
    <x v="19"/>
    <x v="19"/>
    <n v="-5000"/>
    <n v="0"/>
    <n v="5000"/>
    <x v="482"/>
    <s v="Cali"/>
  </r>
  <r>
    <m/>
    <x v="1"/>
    <x v="23"/>
    <x v="23"/>
    <m/>
    <m/>
    <m/>
    <x v="1"/>
    <m/>
  </r>
  <r>
    <d v="2021-07-15T00:00:00"/>
    <x v="7"/>
    <x v="0"/>
    <x v="0"/>
    <n v="20000"/>
    <n v="20000"/>
    <n v="0"/>
    <x v="196"/>
    <s v="Cali"/>
  </r>
  <r>
    <d v="2021-07-15T00:00:00"/>
    <x v="7"/>
    <x v="25"/>
    <x v="25"/>
    <n v="-20000"/>
    <n v="0"/>
    <n v="20000"/>
    <x v="196"/>
    <s v="Cali"/>
  </r>
  <r>
    <m/>
    <x v="1"/>
    <x v="23"/>
    <x v="23"/>
    <m/>
    <m/>
    <m/>
    <x v="1"/>
    <m/>
  </r>
  <r>
    <d v="2021-07-15T00:00:00"/>
    <x v="7"/>
    <x v="0"/>
    <x v="0"/>
    <n v="250000"/>
    <n v="250000"/>
    <n v="0"/>
    <x v="430"/>
    <s v="Cali"/>
  </r>
  <r>
    <d v="2021-07-15T00:00:00"/>
    <x v="7"/>
    <x v="26"/>
    <x v="26"/>
    <n v="-250000"/>
    <n v="0"/>
    <n v="250000"/>
    <x v="430"/>
    <s v="Cali"/>
  </r>
  <r>
    <m/>
    <x v="1"/>
    <x v="23"/>
    <x v="23"/>
    <m/>
    <m/>
    <m/>
    <x v="1"/>
    <m/>
  </r>
  <r>
    <d v="2021-07-15T00:00:00"/>
    <x v="7"/>
    <x v="0"/>
    <x v="0"/>
    <n v="25000000"/>
    <n v="25000000"/>
    <n v="0"/>
    <x v="483"/>
    <s v="Cali"/>
  </r>
  <r>
    <d v="2021-07-15T00:00:00"/>
    <x v="7"/>
    <x v="1"/>
    <x v="1"/>
    <n v="-25000000"/>
    <n v="0"/>
    <n v="25000000"/>
    <x v="483"/>
    <s v="Cali"/>
  </r>
  <r>
    <m/>
    <x v="1"/>
    <x v="23"/>
    <x v="23"/>
    <m/>
    <m/>
    <m/>
    <x v="1"/>
    <m/>
  </r>
  <r>
    <d v="2021-07-19T00:00:00"/>
    <x v="7"/>
    <x v="1"/>
    <x v="1"/>
    <n v="25000000"/>
    <n v="25000000"/>
    <n v="0"/>
    <x v="429"/>
    <s v="Cali"/>
  </r>
  <r>
    <d v="2021-07-19T00:00:00"/>
    <x v="7"/>
    <x v="0"/>
    <x v="0"/>
    <n v="-25000000"/>
    <n v="0"/>
    <n v="25000000"/>
    <x v="429"/>
    <s v="Cali"/>
  </r>
  <r>
    <m/>
    <x v="1"/>
    <x v="23"/>
    <x v="23"/>
    <m/>
    <m/>
    <m/>
    <x v="1"/>
    <m/>
  </r>
  <r>
    <d v="2021-07-19T00:00:00"/>
    <x v="7"/>
    <x v="0"/>
    <x v="0"/>
    <n v="1500"/>
    <n v="1500"/>
    <n v="0"/>
    <x v="177"/>
    <s v="Cali"/>
  </r>
  <r>
    <d v="2021-07-19T00:00:00"/>
    <x v="7"/>
    <x v="19"/>
    <x v="19"/>
    <n v="-1500"/>
    <n v="0"/>
    <n v="1500"/>
    <x v="177"/>
    <s v="Cali"/>
  </r>
  <r>
    <m/>
    <x v="1"/>
    <x v="23"/>
    <x v="23"/>
    <m/>
    <m/>
    <m/>
    <x v="1"/>
    <m/>
  </r>
  <r>
    <d v="2021-07-19T00:00:00"/>
    <x v="7"/>
    <x v="0"/>
    <x v="0"/>
    <n v="500000"/>
    <n v="500000"/>
    <n v="0"/>
    <x v="484"/>
    <s v="Cali"/>
  </r>
  <r>
    <d v="2021-07-19T00:00:00"/>
    <x v="7"/>
    <x v="25"/>
    <x v="25"/>
    <n v="-500000"/>
    <n v="0"/>
    <n v="500000"/>
    <x v="484"/>
    <s v="Cali"/>
  </r>
  <r>
    <m/>
    <x v="1"/>
    <x v="23"/>
    <x v="23"/>
    <m/>
    <m/>
    <m/>
    <x v="1"/>
    <m/>
  </r>
  <r>
    <d v="2021-07-19T00:00:00"/>
    <x v="7"/>
    <x v="0"/>
    <x v="0"/>
    <n v="60000"/>
    <n v="60000"/>
    <n v="0"/>
    <x v="213"/>
    <s v="Cali"/>
  </r>
  <r>
    <d v="2021-07-19T00:00:00"/>
    <x v="7"/>
    <x v="29"/>
    <x v="29"/>
    <n v="-60000"/>
    <n v="0"/>
    <n v="60000"/>
    <x v="213"/>
    <s v="Cali"/>
  </r>
  <r>
    <m/>
    <x v="1"/>
    <x v="23"/>
    <x v="23"/>
    <m/>
    <m/>
    <m/>
    <x v="1"/>
    <m/>
  </r>
  <r>
    <d v="2021-07-19T00:00:00"/>
    <x v="7"/>
    <x v="0"/>
    <x v="0"/>
    <n v="20000"/>
    <n v="20000"/>
    <n v="0"/>
    <x v="267"/>
    <s v="Cali"/>
  </r>
  <r>
    <d v="2021-07-19T00:00:00"/>
    <x v="7"/>
    <x v="25"/>
    <x v="25"/>
    <n v="-20000"/>
    <n v="0"/>
    <n v="20000"/>
    <x v="267"/>
    <s v="Cali"/>
  </r>
  <r>
    <m/>
    <x v="1"/>
    <x v="23"/>
    <x v="23"/>
    <m/>
    <m/>
    <m/>
    <x v="1"/>
    <m/>
  </r>
  <r>
    <d v="2021-07-20T00:00:00"/>
    <x v="7"/>
    <x v="0"/>
    <x v="0"/>
    <n v="100000"/>
    <n v="100000"/>
    <n v="0"/>
    <x v="374"/>
    <s v="Cali"/>
  </r>
  <r>
    <d v="2021-07-20T00:00:00"/>
    <x v="7"/>
    <x v="26"/>
    <x v="26"/>
    <n v="-100000"/>
    <n v="0"/>
    <n v="100000"/>
    <x v="374"/>
    <s v="Cali"/>
  </r>
  <r>
    <m/>
    <x v="1"/>
    <x v="23"/>
    <x v="23"/>
    <m/>
    <m/>
    <m/>
    <x v="1"/>
    <m/>
  </r>
  <r>
    <d v="2021-07-20T00:00:00"/>
    <x v="7"/>
    <x v="0"/>
    <x v="0"/>
    <n v="20000"/>
    <n v="20000"/>
    <n v="0"/>
    <x v="201"/>
    <s v="Cali"/>
  </r>
  <r>
    <d v="2021-07-20T00:00:00"/>
    <x v="7"/>
    <x v="25"/>
    <x v="25"/>
    <n v="-20000"/>
    <n v="0"/>
    <n v="20000"/>
    <x v="201"/>
    <s v="Cali"/>
  </r>
  <r>
    <m/>
    <x v="1"/>
    <x v="23"/>
    <x v="23"/>
    <m/>
    <m/>
    <m/>
    <x v="1"/>
    <m/>
  </r>
  <r>
    <d v="2021-07-20T00:00:00"/>
    <x v="7"/>
    <x v="0"/>
    <x v="0"/>
    <n v="150000"/>
    <n v="150000"/>
    <n v="0"/>
    <x v="431"/>
    <s v="Cali"/>
  </r>
  <r>
    <d v="2021-07-20T00:00:00"/>
    <x v="7"/>
    <x v="25"/>
    <x v="25"/>
    <n v="-150000"/>
    <n v="0"/>
    <n v="150000"/>
    <x v="431"/>
    <s v="Cali"/>
  </r>
  <r>
    <m/>
    <x v="1"/>
    <x v="23"/>
    <x v="23"/>
    <m/>
    <m/>
    <m/>
    <x v="1"/>
    <m/>
  </r>
  <r>
    <d v="2021-07-21T00:00:00"/>
    <x v="7"/>
    <x v="0"/>
    <x v="0"/>
    <n v="7000"/>
    <n v="7000"/>
    <n v="0"/>
    <x v="485"/>
    <s v="Cali"/>
  </r>
  <r>
    <d v="2021-07-21T00:00:00"/>
    <x v="7"/>
    <x v="19"/>
    <x v="19"/>
    <n v="-7000"/>
    <n v="0"/>
    <n v="7000"/>
    <x v="485"/>
    <s v="Cali"/>
  </r>
  <r>
    <m/>
    <x v="1"/>
    <x v="23"/>
    <x v="23"/>
    <m/>
    <m/>
    <m/>
    <x v="1"/>
    <m/>
  </r>
  <r>
    <d v="2021-07-21T00:00:00"/>
    <x v="7"/>
    <x v="0"/>
    <x v="0"/>
    <n v="5000"/>
    <n v="5000"/>
    <n v="0"/>
    <x v="367"/>
    <s v="Cali"/>
  </r>
  <r>
    <d v="2021-07-21T00:00:00"/>
    <x v="7"/>
    <x v="25"/>
    <x v="25"/>
    <n v="-5000"/>
    <n v="0"/>
    <n v="5000"/>
    <x v="367"/>
    <s v="Cali"/>
  </r>
  <r>
    <m/>
    <x v="1"/>
    <x v="23"/>
    <x v="23"/>
    <m/>
    <m/>
    <m/>
    <x v="1"/>
    <m/>
  </r>
  <r>
    <d v="2021-07-22T00:00:00"/>
    <x v="7"/>
    <x v="0"/>
    <x v="0"/>
    <n v="150000"/>
    <n v="150000"/>
    <n v="0"/>
    <x v="192"/>
    <s v="Cali"/>
  </r>
  <r>
    <d v="2021-07-22T00:00:00"/>
    <x v="7"/>
    <x v="26"/>
    <x v="26"/>
    <n v="-150000"/>
    <n v="0"/>
    <n v="150000"/>
    <x v="192"/>
    <s v="Cali"/>
  </r>
  <r>
    <m/>
    <x v="1"/>
    <x v="23"/>
    <x v="23"/>
    <m/>
    <m/>
    <m/>
    <x v="1"/>
    <m/>
  </r>
  <r>
    <d v="2021-07-22T00:00:00"/>
    <x v="7"/>
    <x v="0"/>
    <x v="0"/>
    <n v="10000"/>
    <n v="10000"/>
    <n v="0"/>
    <x v="409"/>
    <s v="Cali"/>
  </r>
  <r>
    <d v="2021-07-22T00:00:00"/>
    <x v="7"/>
    <x v="25"/>
    <x v="25"/>
    <n v="-10000"/>
    <n v="0"/>
    <n v="10000"/>
    <x v="409"/>
    <s v="Cali"/>
  </r>
  <r>
    <m/>
    <x v="1"/>
    <x v="23"/>
    <x v="23"/>
    <m/>
    <m/>
    <m/>
    <x v="1"/>
    <m/>
  </r>
  <r>
    <d v="2021-07-22T00:00:00"/>
    <x v="7"/>
    <x v="0"/>
    <x v="0"/>
    <n v="350000"/>
    <n v="350000"/>
    <n v="0"/>
    <x v="486"/>
    <s v="Cali"/>
  </r>
  <r>
    <d v="2021-07-22T00:00:00"/>
    <x v="7"/>
    <x v="26"/>
    <x v="26"/>
    <n v="-350000"/>
    <n v="0"/>
    <n v="350000"/>
    <x v="486"/>
    <s v="Cali"/>
  </r>
  <r>
    <m/>
    <x v="1"/>
    <x v="23"/>
    <x v="23"/>
    <m/>
    <m/>
    <m/>
    <x v="1"/>
    <m/>
  </r>
  <r>
    <d v="2021-07-22T00:00:00"/>
    <x v="7"/>
    <x v="0"/>
    <x v="0"/>
    <n v="30000"/>
    <n v="30000"/>
    <n v="0"/>
    <x v="266"/>
    <s v="Cali"/>
  </r>
  <r>
    <d v="2021-07-22T00:00:00"/>
    <x v="7"/>
    <x v="25"/>
    <x v="25"/>
    <n v="-30000"/>
    <n v="0"/>
    <n v="30000"/>
    <x v="266"/>
    <s v="Cali"/>
  </r>
  <r>
    <m/>
    <x v="1"/>
    <x v="23"/>
    <x v="23"/>
    <m/>
    <m/>
    <m/>
    <x v="1"/>
    <m/>
  </r>
  <r>
    <d v="2021-07-23T00:00:00"/>
    <x v="7"/>
    <x v="0"/>
    <x v="0"/>
    <n v="30000"/>
    <n v="30000"/>
    <n v="0"/>
    <x v="203"/>
    <s v="Cali"/>
  </r>
  <r>
    <d v="2021-07-23T00:00:00"/>
    <x v="7"/>
    <x v="27"/>
    <x v="27"/>
    <n v="-30000"/>
    <n v="0"/>
    <n v="30000"/>
    <x v="203"/>
    <s v="Cali"/>
  </r>
  <r>
    <m/>
    <x v="1"/>
    <x v="23"/>
    <x v="23"/>
    <m/>
    <m/>
    <m/>
    <x v="1"/>
    <m/>
  </r>
  <r>
    <d v="2021-07-23T00:00:00"/>
    <x v="7"/>
    <x v="0"/>
    <x v="0"/>
    <n v="100000"/>
    <n v="100000"/>
    <n v="0"/>
    <x v="333"/>
    <s v="Cali"/>
  </r>
  <r>
    <d v="2021-07-23T00:00:00"/>
    <x v="7"/>
    <x v="26"/>
    <x v="26"/>
    <n v="-100000"/>
    <n v="0"/>
    <n v="100000"/>
    <x v="333"/>
    <s v="Cali"/>
  </r>
  <r>
    <m/>
    <x v="1"/>
    <x v="23"/>
    <x v="23"/>
    <m/>
    <m/>
    <m/>
    <x v="1"/>
    <m/>
  </r>
  <r>
    <d v="2021-07-23T00:00:00"/>
    <x v="7"/>
    <x v="0"/>
    <x v="0"/>
    <n v="20000"/>
    <n v="20000"/>
    <n v="0"/>
    <x v="85"/>
    <s v="Cali"/>
  </r>
  <r>
    <d v="2021-07-23T00:00:00"/>
    <x v="7"/>
    <x v="25"/>
    <x v="25"/>
    <n v="-20000"/>
    <n v="0"/>
    <n v="20000"/>
    <x v="85"/>
    <s v="Cali"/>
  </r>
  <r>
    <m/>
    <x v="1"/>
    <x v="23"/>
    <x v="23"/>
    <m/>
    <m/>
    <m/>
    <x v="1"/>
    <m/>
  </r>
  <r>
    <d v="2021-07-23T00:00:00"/>
    <x v="7"/>
    <x v="28"/>
    <x v="28"/>
    <n v="150000"/>
    <n v="150000"/>
    <n v="0"/>
    <x v="487"/>
    <s v="Cali"/>
  </r>
  <r>
    <d v="2021-07-23T00:00:00"/>
    <x v="7"/>
    <x v="0"/>
    <x v="0"/>
    <n v="-150000"/>
    <n v="0"/>
    <n v="150000"/>
    <x v="487"/>
    <s v="Cali"/>
  </r>
  <r>
    <m/>
    <x v="1"/>
    <x v="23"/>
    <x v="23"/>
    <m/>
    <m/>
    <m/>
    <x v="1"/>
    <m/>
  </r>
  <r>
    <d v="2021-07-23T00:00:00"/>
    <x v="7"/>
    <x v="28"/>
    <x v="28"/>
    <n v="176263"/>
    <n v="176263"/>
    <n v="0"/>
    <x v="488"/>
    <s v="Cali"/>
  </r>
  <r>
    <d v="2021-07-23T00:00:00"/>
    <x v="7"/>
    <x v="0"/>
    <x v="0"/>
    <n v="-176263"/>
    <n v="0"/>
    <n v="176263"/>
    <x v="488"/>
    <s v="Cali"/>
  </r>
  <r>
    <m/>
    <x v="1"/>
    <x v="23"/>
    <x v="23"/>
    <m/>
    <m/>
    <m/>
    <x v="1"/>
    <m/>
  </r>
  <r>
    <d v="2021-07-26T00:00:00"/>
    <x v="7"/>
    <x v="0"/>
    <x v="0"/>
    <n v="3000000"/>
    <n v="3000000"/>
    <n v="0"/>
    <x v="486"/>
    <s v="Cali"/>
  </r>
  <r>
    <d v="2021-07-26T00:00:00"/>
    <x v="7"/>
    <x v="26"/>
    <x v="26"/>
    <n v="-3000000"/>
    <n v="0"/>
    <n v="3000000"/>
    <x v="486"/>
    <s v="Cali"/>
  </r>
  <r>
    <m/>
    <x v="1"/>
    <x v="23"/>
    <x v="23"/>
    <m/>
    <m/>
    <m/>
    <x v="1"/>
    <m/>
  </r>
  <r>
    <d v="2021-07-26T00:00:00"/>
    <x v="7"/>
    <x v="0"/>
    <x v="0"/>
    <n v="10000"/>
    <n v="10000"/>
    <n v="0"/>
    <x v="206"/>
    <s v="Cali"/>
  </r>
  <r>
    <d v="2021-07-26T00:00:00"/>
    <x v="7"/>
    <x v="26"/>
    <x v="26"/>
    <n v="-10000"/>
    <n v="0"/>
    <n v="10000"/>
    <x v="206"/>
    <s v="Cali"/>
  </r>
  <r>
    <m/>
    <x v="1"/>
    <x v="23"/>
    <x v="23"/>
    <m/>
    <m/>
    <m/>
    <x v="1"/>
    <m/>
  </r>
  <r>
    <d v="2021-07-26T00:00:00"/>
    <x v="7"/>
    <x v="0"/>
    <x v="0"/>
    <n v="400000"/>
    <n v="400000"/>
    <n v="0"/>
    <x v="212"/>
    <s v="Cali"/>
  </r>
  <r>
    <d v="2021-07-26T00:00:00"/>
    <x v="7"/>
    <x v="26"/>
    <x v="26"/>
    <n v="-400000"/>
    <n v="0"/>
    <n v="400000"/>
    <x v="212"/>
    <s v="Cali"/>
  </r>
  <r>
    <m/>
    <x v="1"/>
    <x v="23"/>
    <x v="23"/>
    <m/>
    <m/>
    <m/>
    <x v="1"/>
    <m/>
  </r>
  <r>
    <d v="2021-07-26T00:00:00"/>
    <x v="7"/>
    <x v="0"/>
    <x v="0"/>
    <n v="30000"/>
    <n v="30000"/>
    <n v="0"/>
    <x v="65"/>
    <s v="Cali"/>
  </r>
  <r>
    <d v="2021-07-26T00:00:00"/>
    <x v="7"/>
    <x v="29"/>
    <x v="29"/>
    <n v="-30000"/>
    <n v="0"/>
    <n v="30000"/>
    <x v="65"/>
    <s v="Cali"/>
  </r>
  <r>
    <m/>
    <x v="1"/>
    <x v="23"/>
    <x v="23"/>
    <m/>
    <m/>
    <m/>
    <x v="1"/>
    <m/>
  </r>
  <r>
    <d v="2021-07-26T00:00:00"/>
    <x v="7"/>
    <x v="0"/>
    <x v="0"/>
    <n v="60000"/>
    <n v="60000"/>
    <n v="0"/>
    <x v="65"/>
    <s v="Cali"/>
  </r>
  <r>
    <d v="2021-07-26T00:00:00"/>
    <x v="7"/>
    <x v="29"/>
    <x v="29"/>
    <n v="-60000"/>
    <n v="0"/>
    <n v="60000"/>
    <x v="65"/>
    <s v="Cali"/>
  </r>
  <r>
    <m/>
    <x v="1"/>
    <x v="23"/>
    <x v="23"/>
    <m/>
    <m/>
    <m/>
    <x v="1"/>
    <m/>
  </r>
  <r>
    <d v="2021-07-27T00:00:00"/>
    <x v="7"/>
    <x v="0"/>
    <x v="0"/>
    <n v="11350968"/>
    <n v="11350968"/>
    <n v="0"/>
    <x v="489"/>
    <s v="Cali"/>
  </r>
  <r>
    <d v="2021-07-27T00:00:00"/>
    <x v="7"/>
    <x v="5"/>
    <x v="5"/>
    <n v="-11350968"/>
    <n v="0"/>
    <n v="11350968"/>
    <x v="489"/>
    <s v="Cali"/>
  </r>
  <r>
    <m/>
    <x v="1"/>
    <x v="23"/>
    <x v="23"/>
    <m/>
    <m/>
    <m/>
    <x v="1"/>
    <m/>
  </r>
  <r>
    <d v="2021-07-28T00:00:00"/>
    <x v="7"/>
    <x v="0"/>
    <x v="0"/>
    <n v="2194728"/>
    <n v="2194728"/>
    <n v="0"/>
    <x v="490"/>
    <s v="Cali"/>
  </r>
  <r>
    <d v="2021-07-28T00:00:00"/>
    <x v="7"/>
    <x v="44"/>
    <x v="44"/>
    <n v="-2194728"/>
    <n v="0"/>
    <n v="2194728"/>
    <x v="490"/>
    <s v="Cali"/>
  </r>
  <r>
    <m/>
    <x v="1"/>
    <x v="23"/>
    <x v="23"/>
    <m/>
    <m/>
    <m/>
    <x v="1"/>
    <m/>
  </r>
  <r>
    <d v="2021-07-28T00:00:00"/>
    <x v="7"/>
    <x v="0"/>
    <x v="0"/>
    <n v="1930483"/>
    <n v="1930483"/>
    <n v="0"/>
    <x v="491"/>
    <s v="Cali"/>
  </r>
  <r>
    <d v="2021-07-28T00:00:00"/>
    <x v="7"/>
    <x v="45"/>
    <x v="45"/>
    <n v="-1930483"/>
    <n v="0"/>
    <n v="1930483"/>
    <x v="491"/>
    <s v="Cali"/>
  </r>
  <r>
    <m/>
    <x v="1"/>
    <x v="23"/>
    <x v="23"/>
    <m/>
    <m/>
    <m/>
    <x v="1"/>
    <m/>
  </r>
  <r>
    <d v="2021-07-28T00:00:00"/>
    <x v="7"/>
    <x v="0"/>
    <x v="0"/>
    <n v="73000"/>
    <n v="73000"/>
    <n v="0"/>
    <x v="240"/>
    <s v="Cali"/>
  </r>
  <r>
    <d v="2021-07-28T00:00:00"/>
    <x v="7"/>
    <x v="26"/>
    <x v="26"/>
    <n v="-73000"/>
    <n v="0"/>
    <n v="73000"/>
    <x v="240"/>
    <s v="Cali"/>
  </r>
  <r>
    <m/>
    <x v="1"/>
    <x v="23"/>
    <x v="23"/>
    <m/>
    <m/>
    <m/>
    <x v="1"/>
    <m/>
  </r>
  <r>
    <d v="2021-07-28T00:00:00"/>
    <x v="7"/>
    <x v="0"/>
    <x v="0"/>
    <n v="10000"/>
    <n v="10000"/>
    <n v="0"/>
    <x v="236"/>
    <s v="Cali"/>
  </r>
  <r>
    <d v="2021-07-28T00:00:00"/>
    <x v="7"/>
    <x v="25"/>
    <x v="25"/>
    <n v="-10000"/>
    <n v="0"/>
    <n v="10000"/>
    <x v="236"/>
    <s v="Cali"/>
  </r>
  <r>
    <m/>
    <x v="1"/>
    <x v="23"/>
    <x v="23"/>
    <m/>
    <m/>
    <m/>
    <x v="1"/>
    <m/>
  </r>
  <r>
    <d v="2021-07-28T00:00:00"/>
    <x v="7"/>
    <x v="0"/>
    <x v="0"/>
    <n v="20000"/>
    <n v="20000"/>
    <n v="0"/>
    <x v="237"/>
    <s v="Cali"/>
  </r>
  <r>
    <d v="2021-07-28T00:00:00"/>
    <x v="7"/>
    <x v="19"/>
    <x v="19"/>
    <n v="-20000"/>
    <n v="0"/>
    <n v="20000"/>
    <x v="237"/>
    <s v="Cali"/>
  </r>
  <r>
    <m/>
    <x v="1"/>
    <x v="23"/>
    <x v="23"/>
    <m/>
    <m/>
    <m/>
    <x v="1"/>
    <m/>
  </r>
  <r>
    <d v="2021-07-28T00:00:00"/>
    <x v="7"/>
    <x v="0"/>
    <x v="0"/>
    <n v="125000"/>
    <n v="125000"/>
    <n v="0"/>
    <x v="136"/>
    <s v="Cali"/>
  </r>
  <r>
    <d v="2021-07-28T00:00:00"/>
    <x v="7"/>
    <x v="26"/>
    <x v="26"/>
    <n v="-125000"/>
    <n v="0"/>
    <n v="125000"/>
    <x v="136"/>
    <s v="Cali"/>
  </r>
  <r>
    <m/>
    <x v="1"/>
    <x v="23"/>
    <x v="23"/>
    <m/>
    <m/>
    <m/>
    <x v="1"/>
    <m/>
  </r>
  <r>
    <d v="2021-07-28T00:00:00"/>
    <x v="7"/>
    <x v="0"/>
    <x v="0"/>
    <n v="100000"/>
    <n v="100000"/>
    <n v="0"/>
    <x v="492"/>
    <s v="Cali"/>
  </r>
  <r>
    <d v="2021-07-28T00:00:00"/>
    <x v="7"/>
    <x v="26"/>
    <x v="26"/>
    <n v="-100000"/>
    <n v="0"/>
    <n v="100000"/>
    <x v="492"/>
    <s v="Cali"/>
  </r>
  <r>
    <m/>
    <x v="1"/>
    <x v="23"/>
    <x v="23"/>
    <m/>
    <m/>
    <m/>
    <x v="1"/>
    <m/>
  </r>
  <r>
    <d v="2021-07-28T00:00:00"/>
    <x v="7"/>
    <x v="0"/>
    <x v="0"/>
    <n v="30000"/>
    <n v="30000"/>
    <n v="0"/>
    <x v="493"/>
    <s v="Cali"/>
  </r>
  <r>
    <d v="2021-07-28T00:00:00"/>
    <x v="7"/>
    <x v="26"/>
    <x v="26"/>
    <n v="-30000"/>
    <n v="0"/>
    <n v="30000"/>
    <x v="493"/>
    <s v="Cali"/>
  </r>
  <r>
    <m/>
    <x v="1"/>
    <x v="23"/>
    <x v="23"/>
    <m/>
    <m/>
    <m/>
    <x v="1"/>
    <m/>
  </r>
  <r>
    <d v="2021-07-29T00:00:00"/>
    <x v="7"/>
    <x v="0"/>
    <x v="0"/>
    <n v="1675000"/>
    <n v="1675000"/>
    <n v="0"/>
    <x v="486"/>
    <s v="Cali"/>
  </r>
  <r>
    <d v="2021-07-29T00:00:00"/>
    <x v="7"/>
    <x v="26"/>
    <x v="26"/>
    <n v="-1675000"/>
    <n v="0"/>
    <n v="1675000"/>
    <x v="486"/>
    <s v="Cali"/>
  </r>
  <r>
    <m/>
    <x v="1"/>
    <x v="23"/>
    <x v="23"/>
    <m/>
    <m/>
    <m/>
    <x v="1"/>
    <m/>
  </r>
  <r>
    <d v="2021-07-29T00:00:00"/>
    <x v="7"/>
    <x v="0"/>
    <x v="0"/>
    <n v="15000"/>
    <n v="15000"/>
    <n v="0"/>
    <x v="137"/>
    <s v="Cali"/>
  </r>
  <r>
    <d v="2021-07-29T00:00:00"/>
    <x v="7"/>
    <x v="26"/>
    <x v="26"/>
    <n v="-15000"/>
    <n v="0"/>
    <n v="15000"/>
    <x v="137"/>
    <s v="Cali"/>
  </r>
  <r>
    <m/>
    <x v="1"/>
    <x v="23"/>
    <x v="23"/>
    <m/>
    <m/>
    <m/>
    <x v="1"/>
    <m/>
  </r>
  <r>
    <d v="2021-07-29T00:00:00"/>
    <x v="7"/>
    <x v="0"/>
    <x v="0"/>
    <n v="40000"/>
    <n v="40000"/>
    <n v="0"/>
    <x v="241"/>
    <s v="Cali"/>
  </r>
  <r>
    <d v="2021-07-29T00:00:00"/>
    <x v="7"/>
    <x v="26"/>
    <x v="26"/>
    <n v="-40000"/>
    <n v="0"/>
    <n v="40000"/>
    <x v="241"/>
    <s v="Cali"/>
  </r>
  <r>
    <m/>
    <x v="1"/>
    <x v="23"/>
    <x v="23"/>
    <m/>
    <m/>
    <m/>
    <x v="1"/>
    <m/>
  </r>
  <r>
    <d v="2021-07-29T00:00:00"/>
    <x v="7"/>
    <x v="0"/>
    <x v="0"/>
    <n v="60000"/>
    <n v="60000"/>
    <n v="0"/>
    <x v="238"/>
    <s v="Cali"/>
  </r>
  <r>
    <d v="2021-07-29T00:00:00"/>
    <x v="7"/>
    <x v="25"/>
    <x v="25"/>
    <n v="-60000"/>
    <n v="0"/>
    <n v="60000"/>
    <x v="238"/>
    <s v="Cali"/>
  </r>
  <r>
    <m/>
    <x v="1"/>
    <x v="23"/>
    <x v="23"/>
    <m/>
    <m/>
    <m/>
    <x v="1"/>
    <m/>
  </r>
  <r>
    <d v="2021-07-29T00:00:00"/>
    <x v="7"/>
    <x v="0"/>
    <x v="0"/>
    <n v="1460202"/>
    <n v="1460202"/>
    <n v="0"/>
    <x v="494"/>
    <s v="Cali"/>
  </r>
  <r>
    <d v="2021-07-29T00:00:00"/>
    <x v="7"/>
    <x v="26"/>
    <x v="26"/>
    <n v="-1460202"/>
    <n v="0"/>
    <n v="1460202"/>
    <x v="494"/>
    <s v="Cali"/>
  </r>
  <r>
    <m/>
    <x v="1"/>
    <x v="23"/>
    <x v="23"/>
    <m/>
    <m/>
    <m/>
    <x v="1"/>
    <m/>
  </r>
  <r>
    <d v="2021-07-29T00:00:00"/>
    <x v="7"/>
    <x v="0"/>
    <x v="0"/>
    <n v="10000"/>
    <n v="10000"/>
    <n v="0"/>
    <x v="277"/>
    <s v="Cali"/>
  </r>
  <r>
    <d v="2021-07-29T00:00:00"/>
    <x v="7"/>
    <x v="25"/>
    <x v="25"/>
    <n v="-10000"/>
    <n v="0"/>
    <n v="10000"/>
    <x v="277"/>
    <s v="Cali"/>
  </r>
  <r>
    <m/>
    <x v="1"/>
    <x v="23"/>
    <x v="23"/>
    <m/>
    <m/>
    <m/>
    <x v="1"/>
    <m/>
  </r>
  <r>
    <d v="2021-07-29T00:00:00"/>
    <x v="7"/>
    <x v="0"/>
    <x v="0"/>
    <n v="22000"/>
    <n v="22000"/>
    <n v="0"/>
    <x v="342"/>
    <s v="Cali"/>
  </r>
  <r>
    <d v="2021-07-29T00:00:00"/>
    <x v="7"/>
    <x v="25"/>
    <x v="25"/>
    <n v="-22000"/>
    <n v="0"/>
    <n v="22000"/>
    <x v="342"/>
    <s v="Cali"/>
  </r>
  <r>
    <m/>
    <x v="1"/>
    <x v="23"/>
    <x v="23"/>
    <m/>
    <m/>
    <m/>
    <x v="1"/>
    <m/>
  </r>
  <r>
    <d v="2021-07-30T00:00:00"/>
    <x v="7"/>
    <x v="50"/>
    <x v="50"/>
    <n v="338983"/>
    <n v="338983"/>
    <n v="0"/>
    <x v="495"/>
    <s v="Cali"/>
  </r>
  <r>
    <d v="2021-07-30T00:00:00"/>
    <x v="7"/>
    <x v="0"/>
    <x v="0"/>
    <n v="-300000"/>
    <n v="0"/>
    <n v="300000"/>
    <x v="495"/>
    <s v="Cali"/>
  </r>
  <r>
    <d v="2021-07-30T00:00:00"/>
    <x v="7"/>
    <x v="17"/>
    <x v="17"/>
    <n v="-38983"/>
    <n v="0"/>
    <n v="38983"/>
    <x v="495"/>
    <s v="Cali"/>
  </r>
  <r>
    <m/>
    <x v="1"/>
    <x v="23"/>
    <x v="23"/>
    <m/>
    <m/>
    <m/>
    <x v="1"/>
    <m/>
  </r>
  <r>
    <d v="2021-07-30T00:00:00"/>
    <x v="7"/>
    <x v="31"/>
    <x v="31"/>
    <n v="450000"/>
    <n v="450000"/>
    <n v="0"/>
    <x v="496"/>
    <s v="Cali"/>
  </r>
  <r>
    <d v="2021-07-30T00:00:00"/>
    <x v="7"/>
    <x v="0"/>
    <x v="0"/>
    <n v="-450000"/>
    <n v="0"/>
    <n v="450000"/>
    <x v="496"/>
    <s v="Cali"/>
  </r>
  <r>
    <m/>
    <x v="1"/>
    <x v="23"/>
    <x v="23"/>
    <m/>
    <m/>
    <m/>
    <x v="1"/>
    <m/>
  </r>
  <r>
    <d v="2021-07-30T00:00:00"/>
    <x v="7"/>
    <x v="0"/>
    <x v="0"/>
    <n v="30000"/>
    <n v="30000"/>
    <n v="0"/>
    <x v="497"/>
    <s v="Cali"/>
  </r>
  <r>
    <d v="2021-07-30T00:00:00"/>
    <x v="7"/>
    <x v="25"/>
    <x v="25"/>
    <n v="-30000"/>
    <n v="0"/>
    <n v="30000"/>
    <x v="497"/>
    <s v="Cali"/>
  </r>
  <r>
    <m/>
    <x v="1"/>
    <x v="23"/>
    <x v="23"/>
    <m/>
    <m/>
    <m/>
    <x v="1"/>
    <m/>
  </r>
  <r>
    <d v="2021-07-30T00:00:00"/>
    <x v="7"/>
    <x v="0"/>
    <x v="0"/>
    <n v="36000"/>
    <n v="36000"/>
    <n v="0"/>
    <x v="133"/>
    <s v="Cali"/>
  </r>
  <r>
    <d v="2021-07-30T00:00:00"/>
    <x v="7"/>
    <x v="25"/>
    <x v="25"/>
    <n v="-36000"/>
    <n v="0"/>
    <n v="36000"/>
    <x v="133"/>
    <s v="Cali"/>
  </r>
  <r>
    <m/>
    <x v="1"/>
    <x v="23"/>
    <x v="23"/>
    <m/>
    <m/>
    <m/>
    <x v="1"/>
    <m/>
  </r>
  <r>
    <d v="2021-07-30T00:00:00"/>
    <x v="7"/>
    <x v="0"/>
    <x v="0"/>
    <n v="100000"/>
    <n v="100000"/>
    <n v="0"/>
    <x v="134"/>
    <s v="Cali"/>
  </r>
  <r>
    <d v="2021-07-30T00:00:00"/>
    <x v="7"/>
    <x v="26"/>
    <x v="26"/>
    <n v="-100000"/>
    <n v="0"/>
    <n v="100000"/>
    <x v="134"/>
    <s v="Cali"/>
  </r>
  <r>
    <m/>
    <x v="1"/>
    <x v="23"/>
    <x v="23"/>
    <m/>
    <m/>
    <m/>
    <x v="1"/>
    <m/>
  </r>
  <r>
    <d v="2021-07-30T00:00:00"/>
    <x v="7"/>
    <x v="0"/>
    <x v="0"/>
    <n v="20000"/>
    <n v="20000"/>
    <n v="0"/>
    <x v="174"/>
    <s v="Cali"/>
  </r>
  <r>
    <d v="2021-07-30T00:00:00"/>
    <x v="7"/>
    <x v="25"/>
    <x v="25"/>
    <n v="-20000"/>
    <n v="0"/>
    <n v="20000"/>
    <x v="174"/>
    <s v="Cali"/>
  </r>
  <r>
    <m/>
    <x v="1"/>
    <x v="23"/>
    <x v="23"/>
    <m/>
    <m/>
    <m/>
    <x v="1"/>
    <m/>
  </r>
  <r>
    <d v="2021-07-30T00:00:00"/>
    <x v="7"/>
    <x v="0"/>
    <x v="0"/>
    <n v="50000"/>
    <n v="50000"/>
    <n v="0"/>
    <x v="135"/>
    <s v="Cali"/>
  </r>
  <r>
    <d v="2021-07-30T00:00:00"/>
    <x v="7"/>
    <x v="26"/>
    <x v="26"/>
    <n v="-50000"/>
    <n v="0"/>
    <n v="50000"/>
    <x v="135"/>
    <s v="Cali"/>
  </r>
  <r>
    <m/>
    <x v="1"/>
    <x v="23"/>
    <x v="23"/>
    <m/>
    <m/>
    <m/>
    <x v="1"/>
    <m/>
  </r>
  <r>
    <d v="2021-07-30T00:00:00"/>
    <x v="7"/>
    <x v="0"/>
    <x v="0"/>
    <n v="25000"/>
    <n v="25000"/>
    <n v="0"/>
    <x v="138"/>
    <s v="Cali"/>
  </r>
  <r>
    <d v="2021-07-30T00:00:00"/>
    <x v="7"/>
    <x v="27"/>
    <x v="27"/>
    <n v="-25000"/>
    <n v="0"/>
    <n v="25000"/>
    <x v="138"/>
    <s v="Cali"/>
  </r>
  <r>
    <m/>
    <x v="1"/>
    <x v="23"/>
    <x v="23"/>
    <m/>
    <m/>
    <m/>
    <x v="1"/>
    <m/>
  </r>
  <r>
    <d v="2021-07-06T00:00:00"/>
    <x v="7"/>
    <x v="31"/>
    <x v="31"/>
    <n v="1070"/>
    <n v="1070"/>
    <n v="0"/>
    <x v="215"/>
    <s v="Cali"/>
  </r>
  <r>
    <d v="2021-07-06T00:00:00"/>
    <x v="7"/>
    <x v="1"/>
    <x v="1"/>
    <n v="-1070"/>
    <n v="0"/>
    <n v="1070"/>
    <x v="215"/>
    <s v="Cali"/>
  </r>
  <r>
    <m/>
    <x v="1"/>
    <x v="23"/>
    <x v="23"/>
    <m/>
    <m/>
    <m/>
    <x v="1"/>
    <m/>
  </r>
  <r>
    <d v="2021-07-06T00:00:00"/>
    <x v="7"/>
    <x v="31"/>
    <x v="31"/>
    <n v="203"/>
    <n v="203"/>
    <n v="0"/>
    <x v="498"/>
    <s v="Cali"/>
  </r>
  <r>
    <d v="2021-07-06T00:00:00"/>
    <x v="7"/>
    <x v="1"/>
    <x v="1"/>
    <n v="-203"/>
    <n v="0"/>
    <n v="203"/>
    <x v="498"/>
    <s v="Cali"/>
  </r>
  <r>
    <m/>
    <x v="1"/>
    <x v="23"/>
    <x v="23"/>
    <m/>
    <m/>
    <m/>
    <x v="1"/>
    <m/>
  </r>
  <r>
    <d v="2021-07-15T00:00:00"/>
    <x v="7"/>
    <x v="1"/>
    <x v="1"/>
    <n v="105000000"/>
    <n v="105000000"/>
    <n v="0"/>
    <x v="499"/>
    <s v="Cali"/>
  </r>
  <r>
    <d v="2021-07-15T00:00:00"/>
    <x v="7"/>
    <x v="3"/>
    <x v="3"/>
    <n v="-105000000"/>
    <n v="0"/>
    <n v="105000000"/>
    <x v="499"/>
    <s v="Cali"/>
  </r>
  <r>
    <m/>
    <x v="1"/>
    <x v="23"/>
    <x v="23"/>
    <m/>
    <m/>
    <m/>
    <x v="1"/>
    <m/>
  </r>
  <r>
    <d v="2021-07-19T00:00:00"/>
    <x v="7"/>
    <x v="11"/>
    <x v="11"/>
    <n v="-17200982"/>
    <n v="0"/>
    <n v="17200982"/>
    <x v="500"/>
    <s v="Cali"/>
  </r>
  <r>
    <d v="2021-07-19T00:00:00"/>
    <x v="7"/>
    <x v="8"/>
    <x v="8"/>
    <n v="146258668"/>
    <n v="146258668"/>
    <n v="0"/>
    <x v="501"/>
    <s v="Cali"/>
  </r>
  <r>
    <d v="2021-07-19T00:00:00"/>
    <x v="7"/>
    <x v="18"/>
    <x v="18"/>
    <n v="-6333244"/>
    <n v="0"/>
    <n v="6333244"/>
    <x v="502"/>
    <s v="Cali"/>
  </r>
  <r>
    <d v="2021-07-19T00:00:00"/>
    <x v="7"/>
    <x v="48"/>
    <x v="48"/>
    <n v="-122724442"/>
    <n v="0"/>
    <n v="122724442"/>
    <x v="129"/>
    <s v="Cali"/>
  </r>
  <r>
    <m/>
    <x v="1"/>
    <x v="23"/>
    <x v="23"/>
    <m/>
    <m/>
    <m/>
    <x v="1"/>
    <m/>
  </r>
  <r>
    <d v="2021-07-20T00:00:00"/>
    <x v="7"/>
    <x v="48"/>
    <x v="48"/>
    <n v="122724442"/>
    <n v="122724442"/>
    <n v="0"/>
    <x v="445"/>
    <s v="Cali"/>
  </r>
  <r>
    <d v="2021-07-20T00:00:00"/>
    <x v="7"/>
    <x v="1"/>
    <x v="1"/>
    <n v="-122724442"/>
    <n v="0"/>
    <n v="122724442"/>
    <x v="445"/>
    <s v="Cali"/>
  </r>
  <r>
    <m/>
    <x v="1"/>
    <x v="23"/>
    <x v="23"/>
    <m/>
    <m/>
    <m/>
    <x v="1"/>
    <m/>
  </r>
  <r>
    <d v="2021-07-20T00:00:00"/>
    <x v="7"/>
    <x v="12"/>
    <x v="12"/>
    <n v="4307925"/>
    <n v="4307925"/>
    <n v="0"/>
    <x v="446"/>
    <s v="Cali"/>
  </r>
  <r>
    <d v="2021-07-20T00:00:00"/>
    <x v="7"/>
    <x v="1"/>
    <x v="1"/>
    <n v="-4307925"/>
    <n v="0"/>
    <n v="4307925"/>
    <x v="446"/>
    <s v="Cali"/>
  </r>
  <r>
    <m/>
    <x v="1"/>
    <x v="23"/>
    <x v="23"/>
    <m/>
    <m/>
    <m/>
    <x v="1"/>
    <m/>
  </r>
  <r>
    <d v="2021-07-20T00:00:00"/>
    <x v="7"/>
    <x v="7"/>
    <x v="7"/>
    <n v="3118185"/>
    <n v="3118185"/>
    <n v="0"/>
    <x v="503"/>
    <s v="Cali"/>
  </r>
  <r>
    <d v="2021-07-20T00:00:00"/>
    <x v="7"/>
    <x v="1"/>
    <x v="1"/>
    <n v="-3118185"/>
    <n v="0"/>
    <n v="3118185"/>
    <x v="503"/>
    <s v="Cali"/>
  </r>
  <r>
    <m/>
    <x v="1"/>
    <x v="23"/>
    <x v="23"/>
    <m/>
    <m/>
    <m/>
    <x v="1"/>
    <m/>
  </r>
  <r>
    <d v="2021-07-12T00:00:00"/>
    <x v="7"/>
    <x v="31"/>
    <x v="31"/>
    <n v="4942"/>
    <n v="4942"/>
    <n v="0"/>
    <x v="504"/>
    <s v="Cali"/>
  </r>
  <r>
    <d v="2021-07-12T00:00:00"/>
    <x v="7"/>
    <x v="51"/>
    <x v="51"/>
    <n v="-4942"/>
    <n v="0"/>
    <n v="4942"/>
    <x v="504"/>
    <s v="Cali"/>
  </r>
  <r>
    <m/>
    <x v="1"/>
    <x v="23"/>
    <x v="23"/>
    <m/>
    <m/>
    <m/>
    <x v="1"/>
    <m/>
  </r>
  <r>
    <d v="2021-07-15T00:00:00"/>
    <x v="7"/>
    <x v="51"/>
    <x v="51"/>
    <n v="255000"/>
    <n v="255000"/>
    <n v="0"/>
    <x v="449"/>
    <s v="Cali"/>
  </r>
  <r>
    <d v="2021-07-15T00:00:00"/>
    <x v="7"/>
    <x v="25"/>
    <x v="25"/>
    <n v="-255000"/>
    <n v="0"/>
    <n v="255000"/>
    <x v="449"/>
    <s v="Cali"/>
  </r>
  <r>
    <m/>
    <x v="1"/>
    <x v="23"/>
    <x v="23"/>
    <m/>
    <m/>
    <m/>
    <x v="1"/>
    <m/>
  </r>
  <r>
    <d v="2021-07-23T00:00:00"/>
    <x v="7"/>
    <x v="51"/>
    <x v="51"/>
    <n v="25000"/>
    <n v="25000"/>
    <n v="0"/>
    <x v="449"/>
    <s v="Cali"/>
  </r>
  <r>
    <d v="2021-07-23T00:00:00"/>
    <x v="7"/>
    <x v="25"/>
    <x v="25"/>
    <n v="-25000"/>
    <n v="0"/>
    <n v="25000"/>
    <x v="449"/>
    <s v="Cali"/>
  </r>
  <r>
    <m/>
    <x v="1"/>
    <x v="23"/>
    <x v="23"/>
    <m/>
    <m/>
    <m/>
    <x v="1"/>
    <m/>
  </r>
  <r>
    <d v="2021-07-29T00:00:00"/>
    <x v="7"/>
    <x v="51"/>
    <x v="51"/>
    <n v="100000"/>
    <n v="100000"/>
    <n v="0"/>
    <x v="449"/>
    <s v="Cali"/>
  </r>
  <r>
    <d v="2021-07-29T00:00:00"/>
    <x v="7"/>
    <x v="25"/>
    <x v="25"/>
    <n v="-100000"/>
    <n v="0"/>
    <n v="100000"/>
    <x v="449"/>
    <s v="Cali"/>
  </r>
  <r>
    <m/>
    <x v="1"/>
    <x v="23"/>
    <x v="23"/>
    <m/>
    <m/>
    <m/>
    <x v="1"/>
    <m/>
  </r>
  <r>
    <d v="2021-07-31T00:00:00"/>
    <x v="7"/>
    <x v="13"/>
    <x v="13"/>
    <n v="30000"/>
    <n v="30000"/>
    <n v="0"/>
    <x v="465"/>
    <s v="Cali"/>
  </r>
  <r>
    <d v="2021-07-31T00:00:00"/>
    <x v="7"/>
    <x v="13"/>
    <x v="13"/>
    <n v="30000"/>
    <n v="30000"/>
    <n v="0"/>
    <x v="505"/>
    <s v="Cali"/>
  </r>
  <r>
    <d v="2021-07-31T00:00:00"/>
    <x v="7"/>
    <x v="13"/>
    <x v="13"/>
    <n v="30000"/>
    <n v="30000"/>
    <n v="0"/>
    <x v="405"/>
    <s v="Cali"/>
  </r>
  <r>
    <d v="2021-07-31T00:00:00"/>
    <x v="7"/>
    <x v="13"/>
    <x v="13"/>
    <n v="20000"/>
    <n v="20000"/>
    <n v="0"/>
    <x v="299"/>
    <s v="Cali"/>
  </r>
  <r>
    <d v="2021-07-31T00:00:00"/>
    <x v="7"/>
    <x v="13"/>
    <x v="13"/>
    <n v="40000"/>
    <n v="40000"/>
    <n v="0"/>
    <x v="463"/>
    <s v="Cali"/>
  </r>
  <r>
    <d v="2021-07-31T00:00:00"/>
    <x v="7"/>
    <x v="13"/>
    <x v="13"/>
    <n v="1000000"/>
    <n v="1000000"/>
    <n v="0"/>
    <x v="506"/>
    <s v="Cali"/>
  </r>
  <r>
    <d v="2021-07-31T00:00:00"/>
    <x v="7"/>
    <x v="13"/>
    <x v="13"/>
    <n v="100000"/>
    <n v="100000"/>
    <n v="0"/>
    <x v="460"/>
    <s v="Cali"/>
  </r>
  <r>
    <d v="2021-07-31T00:00:00"/>
    <x v="7"/>
    <x v="13"/>
    <x v="13"/>
    <n v="120000"/>
    <n v="120000"/>
    <n v="0"/>
    <x v="155"/>
    <s v="Cali"/>
  </r>
  <r>
    <d v="2021-07-31T00:00:00"/>
    <x v="7"/>
    <x v="13"/>
    <x v="13"/>
    <n v="-6596"/>
    <n v="0"/>
    <n v="6596"/>
    <x v="507"/>
    <s v="Cali"/>
  </r>
  <r>
    <d v="2021-07-31T00:00:00"/>
    <x v="7"/>
    <x v="13"/>
    <x v="13"/>
    <n v="10000"/>
    <n v="10000"/>
    <n v="0"/>
    <x v="406"/>
    <s v="Cali"/>
  </r>
  <r>
    <d v="2021-07-31T00:00:00"/>
    <x v="7"/>
    <x v="13"/>
    <x v="13"/>
    <n v="30000"/>
    <n v="30000"/>
    <n v="0"/>
    <x v="359"/>
    <s v="Cali"/>
  </r>
  <r>
    <d v="2021-07-31T00:00:00"/>
    <x v="7"/>
    <x v="13"/>
    <x v="13"/>
    <n v="21000"/>
    <n v="21000"/>
    <n v="0"/>
    <x v="508"/>
    <s v="Cali"/>
  </r>
  <r>
    <d v="2021-07-31T00:00:00"/>
    <x v="7"/>
    <x v="13"/>
    <x v="13"/>
    <n v="15000"/>
    <n v="15000"/>
    <n v="0"/>
    <x v="301"/>
    <s v="Cali"/>
  </r>
  <r>
    <d v="2021-07-31T00:00:00"/>
    <x v="7"/>
    <x v="13"/>
    <x v="13"/>
    <n v="50000"/>
    <n v="50000"/>
    <n v="0"/>
    <x v="509"/>
    <s v="Cali"/>
  </r>
  <r>
    <d v="2021-07-31T00:00:00"/>
    <x v="7"/>
    <x v="13"/>
    <x v="13"/>
    <n v="15000"/>
    <n v="15000"/>
    <n v="0"/>
    <x v="510"/>
    <s v="Cali"/>
  </r>
  <r>
    <d v="2021-07-31T00:00:00"/>
    <x v="7"/>
    <x v="13"/>
    <x v="13"/>
    <n v="30000"/>
    <n v="30000"/>
    <n v="0"/>
    <x v="304"/>
    <s v="Cali"/>
  </r>
  <r>
    <d v="2021-07-31T00:00:00"/>
    <x v="7"/>
    <x v="29"/>
    <x v="29"/>
    <n v="-30000"/>
    <n v="0"/>
    <n v="30000"/>
    <x v="465"/>
    <s v="Cali"/>
  </r>
  <r>
    <d v="2021-07-31T00:00:00"/>
    <x v="7"/>
    <x v="29"/>
    <x v="29"/>
    <n v="-30000"/>
    <n v="0"/>
    <n v="30000"/>
    <x v="505"/>
    <s v="Cali"/>
  </r>
  <r>
    <d v="2021-07-31T00:00:00"/>
    <x v="7"/>
    <x v="26"/>
    <x v="26"/>
    <n v="-30000"/>
    <n v="0"/>
    <n v="30000"/>
    <x v="405"/>
    <s v="Cali"/>
  </r>
  <r>
    <d v="2021-07-31T00:00:00"/>
    <x v="7"/>
    <x v="26"/>
    <x v="26"/>
    <n v="-20000"/>
    <n v="0"/>
    <n v="20000"/>
    <x v="299"/>
    <s v="Cali"/>
  </r>
  <r>
    <d v="2021-07-31T00:00:00"/>
    <x v="7"/>
    <x v="25"/>
    <x v="25"/>
    <n v="-40000"/>
    <n v="0"/>
    <n v="40000"/>
    <x v="463"/>
    <s v="Cali"/>
  </r>
  <r>
    <d v="2021-07-31T00:00:00"/>
    <x v="7"/>
    <x v="26"/>
    <x v="26"/>
    <n v="-1000000"/>
    <n v="0"/>
    <n v="1000000"/>
    <x v="506"/>
    <s v="Cali"/>
  </r>
  <r>
    <d v="2021-07-31T00:00:00"/>
    <x v="7"/>
    <x v="25"/>
    <x v="25"/>
    <n v="-100000"/>
    <n v="0"/>
    <n v="100000"/>
    <x v="460"/>
    <s v="Cali"/>
  </r>
  <r>
    <d v="2021-07-31T00:00:00"/>
    <x v="7"/>
    <x v="27"/>
    <x v="27"/>
    <n v="-120000"/>
    <n v="0"/>
    <n v="120000"/>
    <x v="155"/>
    <s v="Cali"/>
  </r>
  <r>
    <d v="2021-07-31T00:00:00"/>
    <x v="7"/>
    <x v="17"/>
    <x v="17"/>
    <n v="6596"/>
    <n v="6596"/>
    <n v="0"/>
    <x v="507"/>
    <s v="Cali"/>
  </r>
  <r>
    <d v="2021-07-31T00:00:00"/>
    <x v="7"/>
    <x v="26"/>
    <x v="26"/>
    <n v="-10000"/>
    <n v="0"/>
    <n v="10000"/>
    <x v="406"/>
    <s v="Cali"/>
  </r>
  <r>
    <d v="2021-07-31T00:00:00"/>
    <x v="7"/>
    <x v="25"/>
    <x v="25"/>
    <n v="-30000"/>
    <n v="0"/>
    <n v="30000"/>
    <x v="359"/>
    <s v="Cali"/>
  </r>
  <r>
    <d v="2021-07-31T00:00:00"/>
    <x v="7"/>
    <x v="27"/>
    <x v="27"/>
    <n v="-21000"/>
    <n v="0"/>
    <n v="21000"/>
    <x v="508"/>
    <s v="Cali"/>
  </r>
  <r>
    <d v="2021-07-31T00:00:00"/>
    <x v="7"/>
    <x v="25"/>
    <x v="25"/>
    <n v="-15000"/>
    <n v="0"/>
    <n v="15000"/>
    <x v="301"/>
    <s v="Cali"/>
  </r>
  <r>
    <d v="2021-07-31T00:00:00"/>
    <x v="7"/>
    <x v="25"/>
    <x v="25"/>
    <n v="-50000"/>
    <n v="0"/>
    <n v="50000"/>
    <x v="509"/>
    <s v="Cali"/>
  </r>
  <r>
    <d v="2021-07-31T00:00:00"/>
    <x v="7"/>
    <x v="26"/>
    <x v="26"/>
    <n v="-15000"/>
    <n v="0"/>
    <n v="15000"/>
    <x v="510"/>
    <s v="Cali"/>
  </r>
  <r>
    <d v="2021-07-31T00:00:00"/>
    <x v="7"/>
    <x v="25"/>
    <x v="25"/>
    <n v="-30000"/>
    <n v="0"/>
    <n v="30000"/>
    <x v="304"/>
    <s v="Cali"/>
  </r>
  <r>
    <m/>
    <x v="1"/>
    <x v="23"/>
    <x v="23"/>
    <m/>
    <m/>
    <m/>
    <x v="1"/>
    <m/>
  </r>
  <r>
    <d v="2021-07-31T00:00:00"/>
    <x v="7"/>
    <x v="32"/>
    <x v="32"/>
    <n v="-679000"/>
    <n v="0"/>
    <n v="679000"/>
    <x v="511"/>
    <s v="Cali"/>
  </r>
  <r>
    <d v="2021-07-31T00:00:00"/>
    <x v="7"/>
    <x v="33"/>
    <x v="33"/>
    <n v="0"/>
    <n v="0"/>
    <n v="0"/>
    <x v="511"/>
    <s v="Cali"/>
  </r>
  <r>
    <d v="2021-07-31T00:00:00"/>
    <x v="7"/>
    <x v="34"/>
    <x v="34"/>
    <n v="-879500"/>
    <n v="0"/>
    <n v="879500"/>
    <x v="511"/>
    <s v="Cali"/>
  </r>
  <r>
    <d v="2021-07-31T00:00:00"/>
    <x v="7"/>
    <x v="35"/>
    <x v="35"/>
    <n v="-2849000"/>
    <n v="0"/>
    <n v="2849000"/>
    <x v="511"/>
    <s v="Cali"/>
  </r>
  <r>
    <d v="2021-07-31T00:00:00"/>
    <x v="7"/>
    <x v="36"/>
    <x v="36"/>
    <n v="-4140600"/>
    <n v="0"/>
    <n v="4140600"/>
    <x v="511"/>
    <s v="Cali"/>
  </r>
  <r>
    <d v="2021-07-31T00:00:00"/>
    <x v="7"/>
    <x v="37"/>
    <x v="37"/>
    <n v="-7542213"/>
    <n v="0"/>
    <n v="7542213"/>
    <x v="511"/>
    <s v="Cali"/>
  </r>
  <r>
    <d v="2021-07-31T00:00:00"/>
    <x v="7"/>
    <x v="29"/>
    <x v="29"/>
    <n v="679000"/>
    <n v="679000"/>
    <n v="0"/>
    <x v="511"/>
    <s v="Cali"/>
  </r>
  <r>
    <d v="2021-07-31T00:00:00"/>
    <x v="7"/>
    <x v="27"/>
    <x v="27"/>
    <n v="879500"/>
    <n v="879500"/>
    <n v="0"/>
    <x v="511"/>
    <s v="Cali"/>
  </r>
  <r>
    <d v="2021-07-31T00:00:00"/>
    <x v="7"/>
    <x v="25"/>
    <x v="25"/>
    <n v="2849000"/>
    <n v="2849000"/>
    <n v="0"/>
    <x v="511"/>
    <s v="Cali"/>
  </r>
  <r>
    <d v="2021-07-31T00:00:00"/>
    <x v="7"/>
    <x v="5"/>
    <x v="5"/>
    <n v="11682813"/>
    <n v="11682813"/>
    <n v="0"/>
    <x v="511"/>
    <s v="Cali"/>
  </r>
  <r>
    <d v="2021-07-31T00:00:00"/>
    <x v="7"/>
    <x v="15"/>
    <x v="15"/>
    <n v="-2979034"/>
    <n v="0"/>
    <n v="2979034"/>
    <x v="511"/>
    <s v="Cali"/>
  </r>
  <r>
    <d v="2021-07-31T00:00:00"/>
    <x v="7"/>
    <x v="38"/>
    <x v="38"/>
    <n v="2979034"/>
    <n v="2979034"/>
    <n v="0"/>
    <x v="511"/>
    <s v="Cali"/>
  </r>
  <r>
    <d v="2021-07-31T00:00:00"/>
    <x v="7"/>
    <x v="16"/>
    <x v="16"/>
    <n v="-81480"/>
    <n v="0"/>
    <n v="81480"/>
    <x v="511"/>
    <s v="Cali"/>
  </r>
  <r>
    <d v="2021-07-31T00:00:00"/>
    <x v="7"/>
    <x v="14"/>
    <x v="14"/>
    <n v="-160903"/>
    <n v="0"/>
    <n v="160903"/>
    <x v="511"/>
    <s v="Cali"/>
  </r>
  <r>
    <d v="2021-07-31T00:00:00"/>
    <x v="7"/>
    <x v="39"/>
    <x v="39"/>
    <n v="81480"/>
    <n v="81480"/>
    <n v="0"/>
    <x v="511"/>
    <s v="Cali"/>
  </r>
  <r>
    <d v="2021-07-31T00:00:00"/>
    <x v="7"/>
    <x v="40"/>
    <x v="40"/>
    <n v="160903"/>
    <n v="160903"/>
    <n v="0"/>
    <x v="511"/>
    <s v="Cali"/>
  </r>
  <r>
    <d v="2021-07-31T00:00:00"/>
    <x v="7"/>
    <x v="41"/>
    <x v="41"/>
    <n v="-5958308"/>
    <n v="0"/>
    <n v="5958308"/>
    <x v="511"/>
    <s v="Cali"/>
  </r>
  <r>
    <d v="2021-07-31T00:00:00"/>
    <x v="7"/>
    <x v="42"/>
    <x v="42"/>
    <n v="-2000500"/>
    <n v="0"/>
    <n v="2000500"/>
    <x v="511"/>
    <s v="Cali"/>
  </r>
  <r>
    <d v="2021-07-31T00:00:00"/>
    <x v="7"/>
    <x v="43"/>
    <x v="43"/>
    <n v="411907"/>
    <n v="411907"/>
    <n v="0"/>
    <x v="511"/>
    <s v="Cali"/>
  </r>
  <r>
    <d v="2021-07-31T00:00:00"/>
    <x v="7"/>
    <x v="43"/>
    <x v="43"/>
    <n v="50013"/>
    <n v="50013"/>
    <n v="0"/>
    <x v="511"/>
    <s v="Cali"/>
  </r>
  <r>
    <d v="2021-07-31T00:00:00"/>
    <x v="7"/>
    <x v="38"/>
    <x v="38"/>
    <n v="3292091"/>
    <n v="3292091"/>
    <n v="0"/>
    <x v="511"/>
    <s v="Cali"/>
  </r>
  <r>
    <d v="2021-07-31T00:00:00"/>
    <x v="7"/>
    <x v="40"/>
    <x v="40"/>
    <n v="59583"/>
    <n v="59583"/>
    <n v="0"/>
    <x v="511"/>
    <s v="Cali"/>
  </r>
  <r>
    <d v="2021-07-31T00:00:00"/>
    <x v="7"/>
    <x v="40"/>
    <x v="40"/>
    <n v="20005"/>
    <n v="20005"/>
    <n v="0"/>
    <x v="511"/>
    <s v="Cali"/>
  </r>
  <r>
    <d v="2021-07-31T00:00:00"/>
    <x v="7"/>
    <x v="44"/>
    <x v="44"/>
    <n v="2194727"/>
    <n v="2194727"/>
    <n v="0"/>
    <x v="511"/>
    <s v="Cali"/>
  </r>
  <r>
    <d v="2021-07-31T00:00:00"/>
    <x v="7"/>
    <x v="45"/>
    <x v="45"/>
    <n v="1930482"/>
    <n v="1930482"/>
    <n v="0"/>
    <x v="511"/>
    <s v="Cali"/>
  </r>
  <r>
    <d v="2021-07-31T00:00:00"/>
    <x v="7"/>
    <x v="5"/>
    <x v="5"/>
    <n v="-139025"/>
    <n v="0"/>
    <n v="139025"/>
    <x v="511"/>
    <s v="Cali"/>
  </r>
  <r>
    <d v="2021-07-31T00:00:00"/>
    <x v="7"/>
    <x v="30"/>
    <x v="30"/>
    <n v="139025"/>
    <n v="139025"/>
    <n v="0"/>
    <x v="511"/>
    <s v="Cali"/>
  </r>
  <r>
    <m/>
    <x v="1"/>
    <x v="23"/>
    <x v="23"/>
    <m/>
    <m/>
    <m/>
    <x v="1"/>
    <m/>
  </r>
  <r>
    <d v="2021-07-31T00:00:00"/>
    <x v="7"/>
    <x v="46"/>
    <x v="46"/>
    <n v="0"/>
    <n v="0"/>
    <n v="0"/>
    <x v="110"/>
    <s v="Cali"/>
  </r>
  <r>
    <d v="2021-07-31T00:00:00"/>
    <x v="7"/>
    <x v="47"/>
    <x v="47"/>
    <n v="0"/>
    <n v="0"/>
    <n v="0"/>
    <x v="110"/>
    <s v="Cali"/>
  </r>
  <r>
    <m/>
    <x v="1"/>
    <x v="23"/>
    <x v="23"/>
    <m/>
    <m/>
    <m/>
    <x v="1"/>
    <m/>
  </r>
  <r>
    <d v="2021-07-31T00:00:00"/>
    <x v="7"/>
    <x v="2"/>
    <x v="2"/>
    <n v="0"/>
    <n v="0"/>
    <n v="0"/>
    <x v="111"/>
    <s v="Cali"/>
  </r>
  <r>
    <d v="2021-07-31T00:00:00"/>
    <x v="7"/>
    <x v="47"/>
    <x v="47"/>
    <n v="0"/>
    <n v="0"/>
    <n v="0"/>
    <x v="111"/>
    <s v="Cali"/>
  </r>
  <r>
    <m/>
    <x v="1"/>
    <x v="23"/>
    <x v="23"/>
    <m/>
    <m/>
    <m/>
    <x v="1"/>
    <m/>
  </r>
  <r>
    <d v="2021-07-31T00:00:00"/>
    <x v="7"/>
    <x v="3"/>
    <x v="3"/>
    <n v="15187"/>
    <n v="15187"/>
    <n v="0"/>
    <x v="112"/>
    <s v="Cali"/>
  </r>
  <r>
    <d v="2021-07-31T00:00:00"/>
    <x v="7"/>
    <x v="47"/>
    <x v="47"/>
    <n v="-15187"/>
    <n v="0"/>
    <n v="15187"/>
    <x v="112"/>
    <s v="Cali"/>
  </r>
  <r>
    <m/>
    <x v="1"/>
    <x v="23"/>
    <x v="23"/>
    <m/>
    <m/>
    <m/>
    <x v="1"/>
    <m/>
  </r>
  <r>
    <d v="2021-07-31T00:00:00"/>
    <x v="7"/>
    <x v="53"/>
    <x v="53"/>
    <n v="215100"/>
    <n v="215100"/>
    <n v="0"/>
    <x v="305"/>
    <s v="Cali"/>
  </r>
  <r>
    <d v="2021-07-31T00:00:00"/>
    <x v="7"/>
    <x v="47"/>
    <x v="47"/>
    <n v="-215100"/>
    <n v="0"/>
    <n v="215100"/>
    <x v="305"/>
    <s v="Cali"/>
  </r>
  <r>
    <m/>
    <x v="1"/>
    <x v="23"/>
    <x v="23"/>
    <m/>
    <m/>
    <m/>
    <x v="1"/>
    <m/>
  </r>
  <r>
    <d v="2021-07-31T00:00:00"/>
    <x v="7"/>
    <x v="4"/>
    <x v="4"/>
    <n v="35000"/>
    <n v="35000"/>
    <n v="0"/>
    <x v="512"/>
    <s v="Cali"/>
  </r>
  <r>
    <d v="2021-07-31T00:00:00"/>
    <x v="7"/>
    <x v="29"/>
    <x v="29"/>
    <n v="-35000"/>
    <n v="0"/>
    <n v="35000"/>
    <x v="512"/>
    <s v="Cali"/>
  </r>
  <r>
    <m/>
    <x v="1"/>
    <x v="23"/>
    <x v="23"/>
    <m/>
    <m/>
    <m/>
    <x v="1"/>
    <m/>
  </r>
  <r>
    <d v="2021-08-02T00:00:00"/>
    <x v="8"/>
    <x v="0"/>
    <x v="0"/>
    <n v="25000"/>
    <n v="25000"/>
    <n v="0"/>
    <x v="321"/>
    <s v="Cali"/>
  </r>
  <r>
    <d v="2021-08-02T00:00:00"/>
    <x v="8"/>
    <x v="27"/>
    <x v="27"/>
    <n v="-25000"/>
    <n v="0"/>
    <n v="25000"/>
    <x v="321"/>
    <s v="Cali"/>
  </r>
  <r>
    <m/>
    <x v="1"/>
    <x v="23"/>
    <x v="23"/>
    <m/>
    <m/>
    <m/>
    <x v="1"/>
    <m/>
  </r>
  <r>
    <d v="2021-08-02T00:00:00"/>
    <x v="8"/>
    <x v="0"/>
    <x v="0"/>
    <n v="20000"/>
    <n v="20000"/>
    <n v="0"/>
    <x v="132"/>
    <s v="Cali"/>
  </r>
  <r>
    <d v="2021-08-02T00:00:00"/>
    <x v="8"/>
    <x v="25"/>
    <x v="25"/>
    <n v="-20000"/>
    <n v="0"/>
    <n v="20000"/>
    <x v="132"/>
    <s v="Cali"/>
  </r>
  <r>
    <m/>
    <x v="1"/>
    <x v="23"/>
    <x v="23"/>
    <m/>
    <m/>
    <m/>
    <x v="1"/>
    <m/>
  </r>
  <r>
    <d v="2021-08-02T00:00:00"/>
    <x v="8"/>
    <x v="0"/>
    <x v="0"/>
    <n v="20000"/>
    <n v="20000"/>
    <n v="0"/>
    <x v="197"/>
    <s v="Cali"/>
  </r>
  <r>
    <d v="2021-08-02T00:00:00"/>
    <x v="8"/>
    <x v="26"/>
    <x v="26"/>
    <n v="-20000"/>
    <n v="0"/>
    <n v="20000"/>
    <x v="197"/>
    <s v="Cali"/>
  </r>
  <r>
    <m/>
    <x v="1"/>
    <x v="23"/>
    <x v="23"/>
    <m/>
    <m/>
    <m/>
    <x v="1"/>
    <m/>
  </r>
  <r>
    <d v="2021-08-02T00:00:00"/>
    <x v="8"/>
    <x v="0"/>
    <x v="0"/>
    <n v="120000"/>
    <n v="120000"/>
    <n v="0"/>
    <x v="338"/>
    <s v="Cali"/>
  </r>
  <r>
    <d v="2021-08-02T00:00:00"/>
    <x v="8"/>
    <x v="27"/>
    <x v="27"/>
    <n v="-120000"/>
    <n v="0"/>
    <n v="120000"/>
    <x v="338"/>
    <s v="Cali"/>
  </r>
  <r>
    <m/>
    <x v="1"/>
    <x v="23"/>
    <x v="23"/>
    <m/>
    <m/>
    <m/>
    <x v="1"/>
    <m/>
  </r>
  <r>
    <d v="2021-08-02T00:00:00"/>
    <x v="8"/>
    <x v="0"/>
    <x v="0"/>
    <n v="50000"/>
    <n v="50000"/>
    <n v="0"/>
    <x v="513"/>
    <s v="Cali"/>
  </r>
  <r>
    <d v="2021-08-02T00:00:00"/>
    <x v="8"/>
    <x v="27"/>
    <x v="27"/>
    <n v="-50000"/>
    <n v="0"/>
    <n v="50000"/>
    <x v="513"/>
    <s v="Cali"/>
  </r>
  <r>
    <m/>
    <x v="1"/>
    <x v="23"/>
    <x v="23"/>
    <m/>
    <m/>
    <m/>
    <x v="1"/>
    <m/>
  </r>
  <r>
    <d v="2021-08-02T00:00:00"/>
    <x v="8"/>
    <x v="0"/>
    <x v="0"/>
    <n v="48000"/>
    <n v="48000"/>
    <n v="0"/>
    <x v="144"/>
    <s v="Cali"/>
  </r>
  <r>
    <d v="2021-08-02T00:00:00"/>
    <x v="8"/>
    <x v="27"/>
    <x v="27"/>
    <n v="-48000"/>
    <n v="0"/>
    <n v="48000"/>
    <x v="144"/>
    <s v="Cali"/>
  </r>
  <r>
    <m/>
    <x v="1"/>
    <x v="23"/>
    <x v="23"/>
    <m/>
    <m/>
    <m/>
    <x v="1"/>
    <m/>
  </r>
  <r>
    <d v="2021-08-02T00:00:00"/>
    <x v="8"/>
    <x v="0"/>
    <x v="0"/>
    <n v="20000"/>
    <n v="20000"/>
    <n v="0"/>
    <x v="146"/>
    <s v="Cali"/>
  </r>
  <r>
    <d v="2021-08-02T00:00:00"/>
    <x v="8"/>
    <x v="26"/>
    <x v="26"/>
    <n v="-20000"/>
    <n v="0"/>
    <n v="20000"/>
    <x v="146"/>
    <s v="Cali"/>
  </r>
  <r>
    <m/>
    <x v="1"/>
    <x v="23"/>
    <x v="23"/>
    <m/>
    <m/>
    <m/>
    <x v="1"/>
    <m/>
  </r>
  <r>
    <d v="2021-08-02T00:00:00"/>
    <x v="8"/>
    <x v="0"/>
    <x v="0"/>
    <n v="15000"/>
    <n v="15000"/>
    <n v="0"/>
    <x v="415"/>
    <s v="Cali"/>
  </r>
  <r>
    <d v="2021-08-02T00:00:00"/>
    <x v="8"/>
    <x v="25"/>
    <x v="25"/>
    <n v="-15000"/>
    <n v="0"/>
    <n v="15000"/>
    <x v="415"/>
    <s v="Cali"/>
  </r>
  <r>
    <m/>
    <x v="1"/>
    <x v="23"/>
    <x v="23"/>
    <m/>
    <m/>
    <m/>
    <x v="1"/>
    <m/>
  </r>
  <r>
    <d v="2021-08-02T00:00:00"/>
    <x v="8"/>
    <x v="0"/>
    <x v="0"/>
    <n v="50000"/>
    <n v="50000"/>
    <n v="0"/>
    <x v="19"/>
    <s v="Cali"/>
  </r>
  <r>
    <d v="2021-08-02T00:00:00"/>
    <x v="8"/>
    <x v="25"/>
    <x v="25"/>
    <n v="-50000"/>
    <n v="0"/>
    <n v="50000"/>
    <x v="19"/>
    <s v="Cali"/>
  </r>
  <r>
    <m/>
    <x v="1"/>
    <x v="23"/>
    <x v="23"/>
    <m/>
    <m/>
    <m/>
    <x v="1"/>
    <m/>
  </r>
  <r>
    <d v="2021-08-02T00:00:00"/>
    <x v="8"/>
    <x v="0"/>
    <x v="0"/>
    <n v="20000"/>
    <n v="20000"/>
    <n v="0"/>
    <x v="17"/>
    <s v="Cali"/>
  </r>
  <r>
    <d v="2021-08-02T00:00:00"/>
    <x v="8"/>
    <x v="25"/>
    <x v="25"/>
    <n v="-20000"/>
    <n v="0"/>
    <n v="20000"/>
    <x v="17"/>
    <s v="Cali"/>
  </r>
  <r>
    <m/>
    <x v="1"/>
    <x v="23"/>
    <x v="23"/>
    <m/>
    <m/>
    <m/>
    <x v="1"/>
    <m/>
  </r>
  <r>
    <d v="2021-08-02T00:00:00"/>
    <x v="8"/>
    <x v="0"/>
    <x v="0"/>
    <n v="30000"/>
    <n v="30000"/>
    <n v="0"/>
    <x v="147"/>
    <s v="Cali"/>
  </r>
  <r>
    <d v="2021-08-02T00:00:00"/>
    <x v="8"/>
    <x v="26"/>
    <x v="26"/>
    <n v="-30000"/>
    <n v="0"/>
    <n v="30000"/>
    <x v="147"/>
    <s v="Cali"/>
  </r>
  <r>
    <m/>
    <x v="1"/>
    <x v="23"/>
    <x v="23"/>
    <m/>
    <m/>
    <m/>
    <x v="1"/>
    <m/>
  </r>
  <r>
    <d v="2021-08-02T00:00:00"/>
    <x v="8"/>
    <x v="0"/>
    <x v="0"/>
    <n v="15000"/>
    <n v="15000"/>
    <n v="0"/>
    <x v="364"/>
    <s v="Cali"/>
  </r>
  <r>
    <d v="2021-08-02T00:00:00"/>
    <x v="8"/>
    <x v="25"/>
    <x v="25"/>
    <n v="-15000"/>
    <n v="0"/>
    <n v="15000"/>
    <x v="364"/>
    <s v="Cali"/>
  </r>
  <r>
    <m/>
    <x v="1"/>
    <x v="23"/>
    <x v="23"/>
    <m/>
    <m/>
    <m/>
    <x v="1"/>
    <m/>
  </r>
  <r>
    <d v="2021-08-02T00:00:00"/>
    <x v="8"/>
    <x v="0"/>
    <x v="0"/>
    <n v="40000"/>
    <n v="40000"/>
    <n v="0"/>
    <x v="168"/>
    <s v="Cali"/>
  </r>
  <r>
    <d v="2021-08-02T00:00:00"/>
    <x v="8"/>
    <x v="26"/>
    <x v="26"/>
    <n v="-40000"/>
    <n v="0"/>
    <n v="40000"/>
    <x v="168"/>
    <s v="Cali"/>
  </r>
  <r>
    <m/>
    <x v="1"/>
    <x v="23"/>
    <x v="23"/>
    <m/>
    <m/>
    <m/>
    <x v="1"/>
    <m/>
  </r>
  <r>
    <d v="2021-08-02T00:00:00"/>
    <x v="8"/>
    <x v="0"/>
    <x v="0"/>
    <n v="40000"/>
    <n v="40000"/>
    <n v="0"/>
    <x v="145"/>
    <s v="Cali"/>
  </r>
  <r>
    <d v="2021-08-02T00:00:00"/>
    <x v="8"/>
    <x v="25"/>
    <x v="25"/>
    <n v="-40000"/>
    <n v="0"/>
    <n v="40000"/>
    <x v="145"/>
    <s v="Cali"/>
  </r>
  <r>
    <m/>
    <x v="1"/>
    <x v="23"/>
    <x v="23"/>
    <m/>
    <m/>
    <m/>
    <x v="1"/>
    <m/>
  </r>
  <r>
    <d v="2021-08-02T00:00:00"/>
    <x v="8"/>
    <x v="0"/>
    <x v="0"/>
    <n v="15000"/>
    <n v="15000"/>
    <n v="0"/>
    <x v="148"/>
    <s v="Cali"/>
  </r>
  <r>
    <d v="2021-08-02T00:00:00"/>
    <x v="8"/>
    <x v="25"/>
    <x v="25"/>
    <n v="-15000"/>
    <n v="0"/>
    <n v="15000"/>
    <x v="148"/>
    <s v="Cali"/>
  </r>
  <r>
    <m/>
    <x v="1"/>
    <x v="23"/>
    <x v="23"/>
    <m/>
    <m/>
    <m/>
    <x v="1"/>
    <m/>
  </r>
  <r>
    <d v="2021-08-02T00:00:00"/>
    <x v="8"/>
    <x v="0"/>
    <x v="0"/>
    <n v="30000"/>
    <n v="30000"/>
    <n v="0"/>
    <x v="514"/>
    <s v="Cali"/>
  </r>
  <r>
    <d v="2021-08-02T00:00:00"/>
    <x v="8"/>
    <x v="25"/>
    <x v="25"/>
    <n v="-30000"/>
    <n v="0"/>
    <n v="30000"/>
    <x v="514"/>
    <s v="Cali"/>
  </r>
  <r>
    <m/>
    <x v="1"/>
    <x v="23"/>
    <x v="23"/>
    <m/>
    <m/>
    <m/>
    <x v="1"/>
    <m/>
  </r>
  <r>
    <d v="2021-08-02T00:00:00"/>
    <x v="8"/>
    <x v="0"/>
    <x v="0"/>
    <n v="20000"/>
    <n v="20000"/>
    <n v="0"/>
    <x v="308"/>
    <s v="Cali"/>
  </r>
  <r>
    <d v="2021-08-02T00:00:00"/>
    <x v="8"/>
    <x v="25"/>
    <x v="25"/>
    <n v="-20000"/>
    <n v="0"/>
    <n v="20000"/>
    <x v="308"/>
    <s v="Cali"/>
  </r>
  <r>
    <m/>
    <x v="1"/>
    <x v="23"/>
    <x v="23"/>
    <m/>
    <m/>
    <m/>
    <x v="1"/>
    <m/>
  </r>
  <r>
    <d v="2021-08-02T00:00:00"/>
    <x v="8"/>
    <x v="0"/>
    <x v="0"/>
    <n v="160000"/>
    <n v="160000"/>
    <n v="0"/>
    <x v="22"/>
    <s v="Cali"/>
  </r>
  <r>
    <d v="2021-08-02T00:00:00"/>
    <x v="8"/>
    <x v="27"/>
    <x v="27"/>
    <n v="-160000"/>
    <n v="0"/>
    <n v="160000"/>
    <x v="22"/>
    <s v="Cali"/>
  </r>
  <r>
    <m/>
    <x v="1"/>
    <x v="23"/>
    <x v="23"/>
    <m/>
    <m/>
    <m/>
    <x v="1"/>
    <m/>
  </r>
  <r>
    <d v="2021-08-02T00:00:00"/>
    <x v="8"/>
    <x v="0"/>
    <x v="0"/>
    <n v="40000"/>
    <n v="40000"/>
    <n v="0"/>
    <x v="10"/>
    <s v="Cali"/>
  </r>
  <r>
    <d v="2021-08-02T00:00:00"/>
    <x v="8"/>
    <x v="25"/>
    <x v="25"/>
    <n v="-40000"/>
    <n v="0"/>
    <n v="40000"/>
    <x v="10"/>
    <s v="Cali"/>
  </r>
  <r>
    <m/>
    <x v="1"/>
    <x v="23"/>
    <x v="23"/>
    <m/>
    <m/>
    <m/>
    <x v="1"/>
    <m/>
  </r>
  <r>
    <d v="2021-08-02T00:00:00"/>
    <x v="8"/>
    <x v="0"/>
    <x v="0"/>
    <n v="60000"/>
    <n v="60000"/>
    <n v="0"/>
    <x v="515"/>
    <s v="Cali"/>
  </r>
  <r>
    <d v="2021-08-02T00:00:00"/>
    <x v="8"/>
    <x v="26"/>
    <x v="26"/>
    <n v="-60000"/>
    <n v="0"/>
    <n v="60000"/>
    <x v="515"/>
    <s v="Cali"/>
  </r>
  <r>
    <m/>
    <x v="1"/>
    <x v="23"/>
    <x v="23"/>
    <m/>
    <m/>
    <m/>
    <x v="1"/>
    <m/>
  </r>
  <r>
    <d v="2021-08-02T00:00:00"/>
    <x v="8"/>
    <x v="0"/>
    <x v="0"/>
    <n v="45000"/>
    <n v="45000"/>
    <n v="0"/>
    <x v="161"/>
    <s v="Cali"/>
  </r>
  <r>
    <d v="2021-08-02T00:00:00"/>
    <x v="8"/>
    <x v="26"/>
    <x v="26"/>
    <n v="-45000"/>
    <n v="0"/>
    <n v="45000"/>
    <x v="161"/>
    <s v="Cali"/>
  </r>
  <r>
    <m/>
    <x v="1"/>
    <x v="23"/>
    <x v="23"/>
    <m/>
    <m/>
    <m/>
    <x v="1"/>
    <m/>
  </r>
  <r>
    <d v="2021-08-02T00:00:00"/>
    <x v="8"/>
    <x v="0"/>
    <x v="0"/>
    <n v="1500"/>
    <n v="1500"/>
    <n v="0"/>
    <x v="177"/>
    <s v="Cali"/>
  </r>
  <r>
    <d v="2021-08-02T00:00:00"/>
    <x v="8"/>
    <x v="19"/>
    <x v="19"/>
    <n v="-1500"/>
    <n v="0"/>
    <n v="1500"/>
    <x v="177"/>
    <s v="Cali"/>
  </r>
  <r>
    <m/>
    <x v="1"/>
    <x v="23"/>
    <x v="23"/>
    <m/>
    <m/>
    <m/>
    <x v="1"/>
    <m/>
  </r>
  <r>
    <d v="2021-08-02T00:00:00"/>
    <x v="8"/>
    <x v="0"/>
    <x v="0"/>
    <n v="10000"/>
    <n v="10000"/>
    <n v="0"/>
    <x v="142"/>
    <s v="Cali"/>
  </r>
  <r>
    <d v="2021-08-02T00:00:00"/>
    <x v="8"/>
    <x v="25"/>
    <x v="25"/>
    <n v="-10000"/>
    <n v="0"/>
    <n v="10000"/>
    <x v="142"/>
    <s v="Cali"/>
  </r>
  <r>
    <m/>
    <x v="1"/>
    <x v="23"/>
    <x v="23"/>
    <m/>
    <m/>
    <m/>
    <x v="1"/>
    <m/>
  </r>
  <r>
    <d v="2021-08-02T00:00:00"/>
    <x v="8"/>
    <x v="0"/>
    <x v="0"/>
    <n v="50000"/>
    <n v="50000"/>
    <n v="0"/>
    <x v="143"/>
    <s v="Cali"/>
  </r>
  <r>
    <d v="2021-08-02T00:00:00"/>
    <x v="8"/>
    <x v="25"/>
    <x v="25"/>
    <n v="-50000"/>
    <n v="0"/>
    <n v="50000"/>
    <x v="143"/>
    <s v="Cali"/>
  </r>
  <r>
    <m/>
    <x v="1"/>
    <x v="23"/>
    <x v="23"/>
    <m/>
    <m/>
    <m/>
    <x v="1"/>
    <m/>
  </r>
  <r>
    <d v="2021-08-02T00:00:00"/>
    <x v="8"/>
    <x v="0"/>
    <x v="0"/>
    <n v="14000"/>
    <n v="14000"/>
    <n v="0"/>
    <x v="289"/>
    <s v="Cali"/>
  </r>
  <r>
    <d v="2021-08-02T00:00:00"/>
    <x v="8"/>
    <x v="26"/>
    <x v="26"/>
    <n v="-14000"/>
    <n v="0"/>
    <n v="14000"/>
    <x v="289"/>
    <s v="Cali"/>
  </r>
  <r>
    <m/>
    <x v="1"/>
    <x v="23"/>
    <x v="23"/>
    <m/>
    <m/>
    <m/>
    <x v="1"/>
    <m/>
  </r>
  <r>
    <d v="2021-08-02T00:00:00"/>
    <x v="8"/>
    <x v="0"/>
    <x v="0"/>
    <n v="133393"/>
    <n v="133393"/>
    <n v="0"/>
    <x v="516"/>
    <s v="Cali"/>
  </r>
  <r>
    <d v="2021-08-02T00:00:00"/>
    <x v="8"/>
    <x v="5"/>
    <x v="5"/>
    <n v="-133393"/>
    <n v="0"/>
    <n v="133393"/>
    <x v="516"/>
    <s v="Cali"/>
  </r>
  <r>
    <m/>
    <x v="1"/>
    <x v="23"/>
    <x v="23"/>
    <m/>
    <m/>
    <m/>
    <x v="1"/>
    <m/>
  </r>
  <r>
    <d v="2021-08-02T00:00:00"/>
    <x v="8"/>
    <x v="0"/>
    <x v="0"/>
    <n v="100000"/>
    <n v="100000"/>
    <n v="0"/>
    <x v="517"/>
    <s v="Cali"/>
  </r>
  <r>
    <d v="2021-08-02T00:00:00"/>
    <x v="8"/>
    <x v="19"/>
    <x v="19"/>
    <n v="-100000"/>
    <n v="0"/>
    <n v="100000"/>
    <x v="517"/>
    <s v="Cali"/>
  </r>
  <r>
    <m/>
    <x v="1"/>
    <x v="23"/>
    <x v="23"/>
    <m/>
    <m/>
    <m/>
    <x v="1"/>
    <m/>
  </r>
  <r>
    <d v="2021-08-02T00:00:00"/>
    <x v="8"/>
    <x v="0"/>
    <x v="0"/>
    <n v="30000"/>
    <n v="30000"/>
    <n v="0"/>
    <x v="307"/>
    <s v="Cali"/>
  </r>
  <r>
    <d v="2021-08-02T00:00:00"/>
    <x v="8"/>
    <x v="25"/>
    <x v="25"/>
    <n v="-30000"/>
    <n v="0"/>
    <n v="30000"/>
    <x v="307"/>
    <s v="Cali"/>
  </r>
  <r>
    <m/>
    <x v="1"/>
    <x v="23"/>
    <x v="23"/>
    <m/>
    <m/>
    <m/>
    <x v="1"/>
    <m/>
  </r>
  <r>
    <d v="2021-08-02T00:00:00"/>
    <x v="8"/>
    <x v="0"/>
    <x v="0"/>
    <n v="200000"/>
    <n v="200000"/>
    <n v="0"/>
    <x v="242"/>
    <s v="Cali"/>
  </r>
  <r>
    <d v="2021-08-02T00:00:00"/>
    <x v="8"/>
    <x v="26"/>
    <x v="26"/>
    <n v="-200000"/>
    <n v="0"/>
    <n v="200000"/>
    <x v="242"/>
    <s v="Cali"/>
  </r>
  <r>
    <m/>
    <x v="1"/>
    <x v="23"/>
    <x v="23"/>
    <m/>
    <m/>
    <m/>
    <x v="1"/>
    <m/>
  </r>
  <r>
    <d v="2021-08-03T00:00:00"/>
    <x v="8"/>
    <x v="0"/>
    <x v="0"/>
    <n v="15000"/>
    <n v="15000"/>
    <n v="0"/>
    <x v="205"/>
    <s v="Cali"/>
  </r>
  <r>
    <d v="2021-08-03T00:00:00"/>
    <x v="8"/>
    <x v="27"/>
    <x v="27"/>
    <n v="-15000"/>
    <n v="0"/>
    <n v="15000"/>
    <x v="205"/>
    <s v="Cali"/>
  </r>
  <r>
    <m/>
    <x v="1"/>
    <x v="23"/>
    <x v="23"/>
    <m/>
    <m/>
    <m/>
    <x v="1"/>
    <m/>
  </r>
  <r>
    <d v="2021-08-03T00:00:00"/>
    <x v="8"/>
    <x v="0"/>
    <x v="0"/>
    <n v="60000"/>
    <n v="60000"/>
    <n v="0"/>
    <x v="160"/>
    <s v="Cali"/>
  </r>
  <r>
    <d v="2021-08-03T00:00:00"/>
    <x v="8"/>
    <x v="25"/>
    <x v="25"/>
    <n v="-60000"/>
    <n v="0"/>
    <n v="60000"/>
    <x v="160"/>
    <s v="Cali"/>
  </r>
  <r>
    <m/>
    <x v="1"/>
    <x v="23"/>
    <x v="23"/>
    <m/>
    <m/>
    <m/>
    <x v="1"/>
    <m/>
  </r>
  <r>
    <d v="2021-08-03T00:00:00"/>
    <x v="8"/>
    <x v="0"/>
    <x v="0"/>
    <n v="40000"/>
    <n v="40000"/>
    <n v="0"/>
    <x v="157"/>
    <s v="Cali"/>
  </r>
  <r>
    <d v="2021-08-03T00:00:00"/>
    <x v="8"/>
    <x v="27"/>
    <x v="27"/>
    <n v="-40000"/>
    <n v="0"/>
    <n v="40000"/>
    <x v="157"/>
    <s v="Cali"/>
  </r>
  <r>
    <m/>
    <x v="1"/>
    <x v="23"/>
    <x v="23"/>
    <m/>
    <m/>
    <m/>
    <x v="1"/>
    <m/>
  </r>
  <r>
    <d v="2021-08-03T00:00:00"/>
    <x v="8"/>
    <x v="0"/>
    <x v="0"/>
    <n v="15000"/>
    <n v="15000"/>
    <n v="0"/>
    <x v="282"/>
    <s v="Cali"/>
  </r>
  <r>
    <d v="2021-08-03T00:00:00"/>
    <x v="8"/>
    <x v="25"/>
    <x v="25"/>
    <n v="-15000"/>
    <n v="0"/>
    <n v="15000"/>
    <x v="282"/>
    <s v="Cali"/>
  </r>
  <r>
    <m/>
    <x v="1"/>
    <x v="23"/>
    <x v="23"/>
    <m/>
    <m/>
    <m/>
    <x v="1"/>
    <m/>
  </r>
  <r>
    <d v="2021-08-03T00:00:00"/>
    <x v="8"/>
    <x v="0"/>
    <x v="0"/>
    <n v="10000"/>
    <n v="10000"/>
    <n v="0"/>
    <x v="191"/>
    <s v="Cali"/>
  </r>
  <r>
    <d v="2021-08-03T00:00:00"/>
    <x v="8"/>
    <x v="27"/>
    <x v="27"/>
    <n v="-10000"/>
    <n v="0"/>
    <n v="10000"/>
    <x v="191"/>
    <s v="Cali"/>
  </r>
  <r>
    <m/>
    <x v="1"/>
    <x v="23"/>
    <x v="23"/>
    <m/>
    <m/>
    <m/>
    <x v="1"/>
    <m/>
  </r>
  <r>
    <d v="2021-08-03T00:00:00"/>
    <x v="8"/>
    <x v="0"/>
    <x v="0"/>
    <n v="50000"/>
    <n v="50000"/>
    <n v="0"/>
    <x v="163"/>
    <s v="Cali"/>
  </r>
  <r>
    <d v="2021-08-03T00:00:00"/>
    <x v="8"/>
    <x v="25"/>
    <x v="25"/>
    <n v="-50000"/>
    <n v="0"/>
    <n v="50000"/>
    <x v="163"/>
    <s v="Cali"/>
  </r>
  <r>
    <m/>
    <x v="1"/>
    <x v="23"/>
    <x v="23"/>
    <m/>
    <m/>
    <m/>
    <x v="1"/>
    <m/>
  </r>
  <r>
    <d v="2021-08-03T00:00:00"/>
    <x v="8"/>
    <x v="0"/>
    <x v="0"/>
    <n v="120000"/>
    <n v="120000"/>
    <n v="0"/>
    <x v="155"/>
    <s v="Cali"/>
  </r>
  <r>
    <d v="2021-08-03T00:00:00"/>
    <x v="8"/>
    <x v="27"/>
    <x v="27"/>
    <n v="-120000"/>
    <n v="0"/>
    <n v="120000"/>
    <x v="155"/>
    <s v="Cali"/>
  </r>
  <r>
    <m/>
    <x v="1"/>
    <x v="23"/>
    <x v="23"/>
    <m/>
    <m/>
    <m/>
    <x v="1"/>
    <m/>
  </r>
  <r>
    <d v="2021-08-03T00:00:00"/>
    <x v="8"/>
    <x v="0"/>
    <x v="0"/>
    <n v="60000"/>
    <n v="60000"/>
    <n v="0"/>
    <x v="372"/>
    <s v="Cali"/>
  </r>
  <r>
    <d v="2021-08-03T00:00:00"/>
    <x v="8"/>
    <x v="25"/>
    <x v="25"/>
    <n v="-60000"/>
    <n v="0"/>
    <n v="60000"/>
    <x v="372"/>
    <s v="Cali"/>
  </r>
  <r>
    <m/>
    <x v="1"/>
    <x v="23"/>
    <x v="23"/>
    <m/>
    <m/>
    <m/>
    <x v="1"/>
    <m/>
  </r>
  <r>
    <d v="2021-08-03T00:00:00"/>
    <x v="8"/>
    <x v="0"/>
    <x v="0"/>
    <n v="12000"/>
    <n v="12000"/>
    <n v="0"/>
    <x v="310"/>
    <s v="Cali"/>
  </r>
  <r>
    <d v="2021-08-03T00:00:00"/>
    <x v="8"/>
    <x v="25"/>
    <x v="25"/>
    <n v="-12000"/>
    <n v="0"/>
    <n v="12000"/>
    <x v="310"/>
    <s v="Cali"/>
  </r>
  <r>
    <m/>
    <x v="1"/>
    <x v="23"/>
    <x v="23"/>
    <m/>
    <m/>
    <m/>
    <x v="1"/>
    <m/>
  </r>
  <r>
    <d v="2021-08-03T00:00:00"/>
    <x v="8"/>
    <x v="0"/>
    <x v="0"/>
    <n v="30000"/>
    <n v="30000"/>
    <n v="0"/>
    <x v="164"/>
    <s v="Cali"/>
  </r>
  <r>
    <d v="2021-08-03T00:00:00"/>
    <x v="8"/>
    <x v="26"/>
    <x v="26"/>
    <n v="-30000"/>
    <n v="0"/>
    <n v="30000"/>
    <x v="164"/>
    <s v="Cali"/>
  </r>
  <r>
    <m/>
    <x v="1"/>
    <x v="23"/>
    <x v="23"/>
    <m/>
    <m/>
    <m/>
    <x v="1"/>
    <m/>
  </r>
  <r>
    <d v="2021-08-03T00:00:00"/>
    <x v="8"/>
    <x v="0"/>
    <x v="0"/>
    <n v="59286"/>
    <n v="59286"/>
    <n v="0"/>
    <x v="516"/>
    <s v="Cali"/>
  </r>
  <r>
    <d v="2021-08-03T00:00:00"/>
    <x v="8"/>
    <x v="5"/>
    <x v="5"/>
    <n v="-59286"/>
    <n v="0"/>
    <n v="59286"/>
    <x v="516"/>
    <s v="Cali"/>
  </r>
  <r>
    <m/>
    <x v="1"/>
    <x v="23"/>
    <x v="23"/>
    <m/>
    <m/>
    <m/>
    <x v="1"/>
    <m/>
  </r>
  <r>
    <d v="2021-08-03T00:00:00"/>
    <x v="8"/>
    <x v="0"/>
    <x v="0"/>
    <n v="30000"/>
    <n v="30000"/>
    <n v="0"/>
    <x v="179"/>
    <s v="Cali"/>
  </r>
  <r>
    <d v="2021-08-03T00:00:00"/>
    <x v="8"/>
    <x v="25"/>
    <x v="25"/>
    <n v="-30000"/>
    <n v="0"/>
    <n v="30000"/>
    <x v="179"/>
    <s v="Cali"/>
  </r>
  <r>
    <m/>
    <x v="1"/>
    <x v="23"/>
    <x v="23"/>
    <m/>
    <m/>
    <m/>
    <x v="1"/>
    <m/>
  </r>
  <r>
    <d v="2021-08-03T00:00:00"/>
    <x v="8"/>
    <x v="0"/>
    <x v="0"/>
    <n v="3000000"/>
    <n v="3000000"/>
    <n v="0"/>
    <x v="306"/>
    <s v="Cali"/>
  </r>
  <r>
    <d v="2021-08-03T00:00:00"/>
    <x v="8"/>
    <x v="26"/>
    <x v="26"/>
    <n v="-3000000"/>
    <n v="0"/>
    <n v="3000000"/>
    <x v="306"/>
    <s v="Cali"/>
  </r>
  <r>
    <m/>
    <x v="1"/>
    <x v="23"/>
    <x v="23"/>
    <m/>
    <m/>
    <m/>
    <x v="1"/>
    <m/>
  </r>
  <r>
    <d v="2021-08-04T00:00:00"/>
    <x v="8"/>
    <x v="0"/>
    <x v="0"/>
    <n v="100000"/>
    <n v="100000"/>
    <n v="0"/>
    <x v="374"/>
    <s v="Cali"/>
  </r>
  <r>
    <d v="2021-08-04T00:00:00"/>
    <x v="8"/>
    <x v="26"/>
    <x v="26"/>
    <n v="-100000"/>
    <n v="0"/>
    <n v="100000"/>
    <x v="374"/>
    <s v="Cali"/>
  </r>
  <r>
    <m/>
    <x v="1"/>
    <x v="23"/>
    <x v="23"/>
    <m/>
    <m/>
    <m/>
    <x v="1"/>
    <m/>
  </r>
  <r>
    <d v="2021-08-04T00:00:00"/>
    <x v="8"/>
    <x v="0"/>
    <x v="0"/>
    <n v="20000"/>
    <n v="20000"/>
    <n v="0"/>
    <x v="151"/>
    <s v="Cali"/>
  </r>
  <r>
    <d v="2021-08-04T00:00:00"/>
    <x v="8"/>
    <x v="25"/>
    <x v="25"/>
    <n v="-20000"/>
    <n v="0"/>
    <n v="20000"/>
    <x v="151"/>
    <s v="Cali"/>
  </r>
  <r>
    <m/>
    <x v="1"/>
    <x v="23"/>
    <x v="23"/>
    <m/>
    <m/>
    <m/>
    <x v="1"/>
    <m/>
  </r>
  <r>
    <d v="2021-08-04T00:00:00"/>
    <x v="8"/>
    <x v="0"/>
    <x v="0"/>
    <n v="40000"/>
    <n v="40000"/>
    <n v="0"/>
    <x v="178"/>
    <s v="Cali"/>
  </r>
  <r>
    <d v="2021-08-04T00:00:00"/>
    <x v="8"/>
    <x v="25"/>
    <x v="25"/>
    <n v="-40000"/>
    <n v="0"/>
    <n v="40000"/>
    <x v="178"/>
    <s v="Cali"/>
  </r>
  <r>
    <m/>
    <x v="1"/>
    <x v="23"/>
    <x v="23"/>
    <m/>
    <m/>
    <m/>
    <x v="1"/>
    <m/>
  </r>
  <r>
    <d v="2021-08-04T00:00:00"/>
    <x v="8"/>
    <x v="0"/>
    <x v="0"/>
    <n v="70000"/>
    <n v="70000"/>
    <n v="0"/>
    <x v="37"/>
    <s v="Cali"/>
  </r>
  <r>
    <d v="2021-08-04T00:00:00"/>
    <x v="8"/>
    <x v="25"/>
    <x v="25"/>
    <n v="-70000"/>
    <n v="0"/>
    <n v="70000"/>
    <x v="37"/>
    <s v="Cali"/>
  </r>
  <r>
    <m/>
    <x v="1"/>
    <x v="23"/>
    <x v="23"/>
    <m/>
    <m/>
    <m/>
    <x v="1"/>
    <m/>
  </r>
  <r>
    <d v="2021-08-04T00:00:00"/>
    <x v="8"/>
    <x v="0"/>
    <x v="0"/>
    <n v="250000"/>
    <n v="250000"/>
    <n v="0"/>
    <x v="518"/>
    <s v="Cali"/>
  </r>
  <r>
    <d v="2021-08-04T00:00:00"/>
    <x v="8"/>
    <x v="26"/>
    <x v="26"/>
    <n v="-250000"/>
    <n v="0"/>
    <n v="250000"/>
    <x v="518"/>
    <s v="Cali"/>
  </r>
  <r>
    <m/>
    <x v="1"/>
    <x v="23"/>
    <x v="23"/>
    <m/>
    <m/>
    <m/>
    <x v="1"/>
    <m/>
  </r>
  <r>
    <d v="2021-08-04T00:00:00"/>
    <x v="8"/>
    <x v="0"/>
    <x v="0"/>
    <n v="150000"/>
    <n v="150000"/>
    <n v="0"/>
    <x v="169"/>
    <s v="Cali"/>
  </r>
  <r>
    <d v="2021-08-04T00:00:00"/>
    <x v="8"/>
    <x v="25"/>
    <x v="25"/>
    <n v="-150000"/>
    <n v="0"/>
    <n v="150000"/>
    <x v="169"/>
    <s v="Cali"/>
  </r>
  <r>
    <m/>
    <x v="1"/>
    <x v="23"/>
    <x v="23"/>
    <m/>
    <m/>
    <m/>
    <x v="1"/>
    <m/>
  </r>
  <r>
    <d v="2021-08-04T00:00:00"/>
    <x v="8"/>
    <x v="0"/>
    <x v="0"/>
    <n v="150000"/>
    <n v="150000"/>
    <n v="0"/>
    <x v="251"/>
    <s v="Cali"/>
  </r>
  <r>
    <d v="2021-08-04T00:00:00"/>
    <x v="8"/>
    <x v="27"/>
    <x v="27"/>
    <n v="-150000"/>
    <n v="0"/>
    <n v="150000"/>
    <x v="251"/>
    <s v="Cali"/>
  </r>
  <r>
    <m/>
    <x v="1"/>
    <x v="23"/>
    <x v="23"/>
    <m/>
    <m/>
    <m/>
    <x v="1"/>
    <m/>
  </r>
  <r>
    <d v="2021-08-04T00:00:00"/>
    <x v="8"/>
    <x v="0"/>
    <x v="0"/>
    <n v="15000"/>
    <n v="15000"/>
    <n v="0"/>
    <x v="216"/>
    <s v="Cali"/>
  </r>
  <r>
    <d v="2021-08-04T00:00:00"/>
    <x v="8"/>
    <x v="29"/>
    <x v="29"/>
    <n v="-15000"/>
    <n v="0"/>
    <n v="15000"/>
    <x v="216"/>
    <s v="Cali"/>
  </r>
  <r>
    <m/>
    <x v="1"/>
    <x v="23"/>
    <x v="23"/>
    <m/>
    <m/>
    <m/>
    <x v="1"/>
    <m/>
  </r>
  <r>
    <d v="2021-08-04T00:00:00"/>
    <x v="8"/>
    <x v="0"/>
    <x v="0"/>
    <n v="20000"/>
    <n v="20000"/>
    <n v="0"/>
    <x v="166"/>
    <s v="Cali"/>
  </r>
  <r>
    <d v="2021-08-04T00:00:00"/>
    <x v="8"/>
    <x v="25"/>
    <x v="25"/>
    <n v="-20000"/>
    <n v="0"/>
    <n v="20000"/>
    <x v="166"/>
    <s v="Cali"/>
  </r>
  <r>
    <m/>
    <x v="1"/>
    <x v="23"/>
    <x v="23"/>
    <m/>
    <m/>
    <m/>
    <x v="1"/>
    <m/>
  </r>
  <r>
    <d v="2021-08-05T00:00:00"/>
    <x v="8"/>
    <x v="28"/>
    <x v="28"/>
    <n v="352935"/>
    <n v="352935"/>
    <n v="0"/>
    <x v="519"/>
    <s v="Cali"/>
  </r>
  <r>
    <d v="2021-08-05T00:00:00"/>
    <x v="8"/>
    <x v="0"/>
    <x v="0"/>
    <n v="-352935"/>
    <n v="0"/>
    <n v="352935"/>
    <x v="519"/>
    <s v="Cali"/>
  </r>
  <r>
    <m/>
    <x v="1"/>
    <x v="23"/>
    <x v="23"/>
    <m/>
    <m/>
    <m/>
    <x v="1"/>
    <m/>
  </r>
  <r>
    <d v="2021-08-05T00:00:00"/>
    <x v="8"/>
    <x v="0"/>
    <x v="0"/>
    <n v="20000"/>
    <n v="20000"/>
    <n v="0"/>
    <x v="165"/>
    <s v="Cali"/>
  </r>
  <r>
    <d v="2021-08-05T00:00:00"/>
    <x v="8"/>
    <x v="25"/>
    <x v="25"/>
    <n v="-20000"/>
    <n v="0"/>
    <n v="20000"/>
    <x v="165"/>
    <s v="Cali"/>
  </r>
  <r>
    <m/>
    <x v="1"/>
    <x v="23"/>
    <x v="23"/>
    <m/>
    <m/>
    <m/>
    <x v="1"/>
    <m/>
  </r>
  <r>
    <d v="2021-08-05T00:00:00"/>
    <x v="8"/>
    <x v="0"/>
    <x v="0"/>
    <n v="75000"/>
    <n v="75000"/>
    <n v="0"/>
    <x v="316"/>
    <s v="Cali"/>
  </r>
  <r>
    <d v="2021-08-05T00:00:00"/>
    <x v="8"/>
    <x v="25"/>
    <x v="25"/>
    <n v="-75000"/>
    <n v="0"/>
    <n v="75000"/>
    <x v="316"/>
    <s v="Cali"/>
  </r>
  <r>
    <m/>
    <x v="1"/>
    <x v="23"/>
    <x v="23"/>
    <m/>
    <m/>
    <m/>
    <x v="1"/>
    <m/>
  </r>
  <r>
    <d v="2021-08-05T00:00:00"/>
    <x v="8"/>
    <x v="0"/>
    <x v="0"/>
    <n v="100000"/>
    <n v="100000"/>
    <n v="0"/>
    <x v="363"/>
    <s v="Cali"/>
  </r>
  <r>
    <d v="2021-08-05T00:00:00"/>
    <x v="8"/>
    <x v="25"/>
    <x v="25"/>
    <n v="-100000"/>
    <n v="0"/>
    <n v="100000"/>
    <x v="363"/>
    <s v="Cali"/>
  </r>
  <r>
    <m/>
    <x v="1"/>
    <x v="23"/>
    <x v="23"/>
    <m/>
    <m/>
    <m/>
    <x v="1"/>
    <m/>
  </r>
  <r>
    <d v="2021-08-05T00:00:00"/>
    <x v="8"/>
    <x v="0"/>
    <x v="0"/>
    <n v="19612"/>
    <n v="19612"/>
    <n v="0"/>
    <x v="479"/>
    <s v="Cali"/>
  </r>
  <r>
    <d v="2021-08-05T00:00:00"/>
    <x v="8"/>
    <x v="31"/>
    <x v="31"/>
    <n v="388"/>
    <n v="388"/>
    <n v="0"/>
    <x v="30"/>
    <s v="Cali"/>
  </r>
  <r>
    <d v="2021-08-05T00:00:00"/>
    <x v="8"/>
    <x v="25"/>
    <x v="25"/>
    <n v="-20000"/>
    <n v="0"/>
    <n v="20000"/>
    <x v="479"/>
    <s v="Cali"/>
  </r>
  <r>
    <m/>
    <x v="1"/>
    <x v="23"/>
    <x v="23"/>
    <m/>
    <m/>
    <m/>
    <x v="1"/>
    <m/>
  </r>
  <r>
    <d v="2021-08-05T00:00:00"/>
    <x v="8"/>
    <x v="0"/>
    <x v="0"/>
    <n v="20000"/>
    <n v="20000"/>
    <n v="0"/>
    <x v="520"/>
    <s v="Cali"/>
  </r>
  <r>
    <d v="2021-08-05T00:00:00"/>
    <x v="8"/>
    <x v="25"/>
    <x v="25"/>
    <n v="-20000"/>
    <n v="0"/>
    <n v="20000"/>
    <x v="520"/>
    <s v="Cali"/>
  </r>
  <r>
    <m/>
    <x v="1"/>
    <x v="23"/>
    <x v="23"/>
    <m/>
    <m/>
    <m/>
    <x v="1"/>
    <m/>
  </r>
  <r>
    <d v="2021-08-05T00:00:00"/>
    <x v="8"/>
    <x v="0"/>
    <x v="0"/>
    <n v="10000"/>
    <n v="10000"/>
    <n v="0"/>
    <x v="521"/>
    <s v="Cali"/>
  </r>
  <r>
    <d v="2021-08-05T00:00:00"/>
    <x v="8"/>
    <x v="25"/>
    <x v="25"/>
    <n v="-10000"/>
    <n v="0"/>
    <n v="10000"/>
    <x v="521"/>
    <s v="Cali"/>
  </r>
  <r>
    <m/>
    <x v="1"/>
    <x v="23"/>
    <x v="23"/>
    <m/>
    <m/>
    <m/>
    <x v="1"/>
    <m/>
  </r>
  <r>
    <d v="2021-08-05T00:00:00"/>
    <x v="8"/>
    <x v="0"/>
    <x v="0"/>
    <n v="20000"/>
    <n v="20000"/>
    <n v="0"/>
    <x v="522"/>
    <s v="Cali"/>
  </r>
  <r>
    <d v="2021-08-05T00:00:00"/>
    <x v="8"/>
    <x v="25"/>
    <x v="25"/>
    <n v="-20000"/>
    <n v="0"/>
    <n v="20000"/>
    <x v="522"/>
    <s v="Cali"/>
  </r>
  <r>
    <m/>
    <x v="1"/>
    <x v="23"/>
    <x v="23"/>
    <m/>
    <m/>
    <m/>
    <x v="1"/>
    <m/>
  </r>
  <r>
    <d v="2021-08-06T00:00:00"/>
    <x v="8"/>
    <x v="0"/>
    <x v="0"/>
    <n v="60000"/>
    <n v="60000"/>
    <n v="0"/>
    <x v="202"/>
    <s v="Cali"/>
  </r>
  <r>
    <d v="2021-08-06T00:00:00"/>
    <x v="8"/>
    <x v="27"/>
    <x v="27"/>
    <n v="-60000"/>
    <n v="0"/>
    <n v="60000"/>
    <x v="202"/>
    <s v="Cali"/>
  </r>
  <r>
    <m/>
    <x v="1"/>
    <x v="23"/>
    <x v="23"/>
    <m/>
    <m/>
    <m/>
    <x v="1"/>
    <m/>
  </r>
  <r>
    <d v="2021-08-06T00:00:00"/>
    <x v="8"/>
    <x v="0"/>
    <x v="0"/>
    <n v="40000"/>
    <n v="40000"/>
    <n v="0"/>
    <x v="176"/>
    <s v="Cali"/>
  </r>
  <r>
    <d v="2021-08-06T00:00:00"/>
    <x v="8"/>
    <x v="25"/>
    <x v="25"/>
    <n v="-40000"/>
    <n v="0"/>
    <n v="40000"/>
    <x v="176"/>
    <s v="Cali"/>
  </r>
  <r>
    <m/>
    <x v="1"/>
    <x v="23"/>
    <x v="23"/>
    <m/>
    <m/>
    <m/>
    <x v="1"/>
    <m/>
  </r>
  <r>
    <d v="2021-08-06T00:00:00"/>
    <x v="8"/>
    <x v="0"/>
    <x v="0"/>
    <n v="25000"/>
    <n v="25000"/>
    <n v="0"/>
    <x v="38"/>
    <s v="Cali"/>
  </r>
  <r>
    <d v="2021-08-06T00:00:00"/>
    <x v="8"/>
    <x v="25"/>
    <x v="25"/>
    <n v="-25000"/>
    <n v="0"/>
    <n v="25000"/>
    <x v="38"/>
    <s v="Cali"/>
  </r>
  <r>
    <m/>
    <x v="1"/>
    <x v="23"/>
    <x v="23"/>
    <m/>
    <m/>
    <m/>
    <x v="1"/>
    <m/>
  </r>
  <r>
    <d v="2021-08-06T00:00:00"/>
    <x v="8"/>
    <x v="31"/>
    <x v="31"/>
    <n v="1771"/>
    <n v="1771"/>
    <n v="0"/>
    <x v="172"/>
    <s v="Cali"/>
  </r>
  <r>
    <d v="2021-08-06T00:00:00"/>
    <x v="8"/>
    <x v="0"/>
    <x v="0"/>
    <n v="-1771"/>
    <n v="0"/>
    <n v="1771"/>
    <x v="172"/>
    <s v="Cali"/>
  </r>
  <r>
    <m/>
    <x v="1"/>
    <x v="23"/>
    <x v="23"/>
    <m/>
    <m/>
    <m/>
    <x v="1"/>
    <m/>
  </r>
  <r>
    <d v="2021-08-09T00:00:00"/>
    <x v="8"/>
    <x v="0"/>
    <x v="0"/>
    <n v="36000"/>
    <n v="36000"/>
    <n v="0"/>
    <x v="523"/>
    <s v="Cali"/>
  </r>
  <r>
    <d v="2021-08-09T00:00:00"/>
    <x v="8"/>
    <x v="27"/>
    <x v="27"/>
    <n v="-36000"/>
    <n v="0"/>
    <n v="36000"/>
    <x v="523"/>
    <s v="Cali"/>
  </r>
  <r>
    <m/>
    <x v="1"/>
    <x v="23"/>
    <x v="23"/>
    <m/>
    <m/>
    <m/>
    <x v="1"/>
    <m/>
  </r>
  <r>
    <d v="2021-08-09T00:00:00"/>
    <x v="8"/>
    <x v="0"/>
    <x v="0"/>
    <n v="15000"/>
    <n v="15000"/>
    <n v="0"/>
    <x v="150"/>
    <s v="Cali"/>
  </r>
  <r>
    <d v="2021-08-09T00:00:00"/>
    <x v="8"/>
    <x v="19"/>
    <x v="19"/>
    <n v="-15000"/>
    <n v="0"/>
    <n v="15000"/>
    <x v="150"/>
    <s v="Cali"/>
  </r>
  <r>
    <m/>
    <x v="1"/>
    <x v="23"/>
    <x v="23"/>
    <m/>
    <m/>
    <m/>
    <x v="1"/>
    <m/>
  </r>
  <r>
    <d v="2021-08-09T00:00:00"/>
    <x v="8"/>
    <x v="0"/>
    <x v="0"/>
    <n v="100000"/>
    <n v="100000"/>
    <n v="0"/>
    <x v="192"/>
    <s v="Cali"/>
  </r>
  <r>
    <d v="2021-08-09T00:00:00"/>
    <x v="8"/>
    <x v="26"/>
    <x v="26"/>
    <n v="-100000"/>
    <n v="0"/>
    <n v="100000"/>
    <x v="192"/>
    <s v="Cali"/>
  </r>
  <r>
    <m/>
    <x v="1"/>
    <x v="23"/>
    <x v="23"/>
    <m/>
    <m/>
    <m/>
    <x v="1"/>
    <m/>
  </r>
  <r>
    <d v="2021-08-09T00:00:00"/>
    <x v="8"/>
    <x v="0"/>
    <x v="0"/>
    <n v="30000"/>
    <n v="30000"/>
    <n v="0"/>
    <x v="425"/>
    <s v="Cali"/>
  </r>
  <r>
    <d v="2021-08-09T00:00:00"/>
    <x v="8"/>
    <x v="25"/>
    <x v="25"/>
    <n v="-30000"/>
    <n v="0"/>
    <n v="30000"/>
    <x v="425"/>
    <s v="Cali"/>
  </r>
  <r>
    <m/>
    <x v="1"/>
    <x v="23"/>
    <x v="23"/>
    <m/>
    <m/>
    <m/>
    <x v="1"/>
    <m/>
  </r>
  <r>
    <d v="2021-08-09T00:00:00"/>
    <x v="8"/>
    <x v="0"/>
    <x v="0"/>
    <n v="2000"/>
    <n v="2000"/>
    <n v="0"/>
    <x v="177"/>
    <s v="Cali"/>
  </r>
  <r>
    <d v="2021-08-09T00:00:00"/>
    <x v="8"/>
    <x v="19"/>
    <x v="19"/>
    <n v="-2000"/>
    <n v="0"/>
    <n v="2000"/>
    <x v="177"/>
    <s v="Cali"/>
  </r>
  <r>
    <m/>
    <x v="1"/>
    <x v="23"/>
    <x v="23"/>
    <m/>
    <m/>
    <m/>
    <x v="1"/>
    <m/>
  </r>
  <r>
    <d v="2021-08-09T00:00:00"/>
    <x v="8"/>
    <x v="0"/>
    <x v="0"/>
    <n v="14000"/>
    <n v="14000"/>
    <n v="0"/>
    <x v="66"/>
    <s v="Cali"/>
  </r>
  <r>
    <d v="2021-08-09T00:00:00"/>
    <x v="8"/>
    <x v="27"/>
    <x v="27"/>
    <n v="-14000"/>
    <n v="0"/>
    <n v="14000"/>
    <x v="66"/>
    <s v="Cali"/>
  </r>
  <r>
    <m/>
    <x v="1"/>
    <x v="23"/>
    <x v="23"/>
    <m/>
    <m/>
    <m/>
    <x v="1"/>
    <m/>
  </r>
  <r>
    <d v="2021-08-09T00:00:00"/>
    <x v="8"/>
    <x v="0"/>
    <x v="0"/>
    <n v="25000"/>
    <n v="25000"/>
    <n v="0"/>
    <x v="149"/>
    <s v="Cali"/>
  </r>
  <r>
    <d v="2021-08-09T00:00:00"/>
    <x v="8"/>
    <x v="27"/>
    <x v="27"/>
    <n v="-25000"/>
    <n v="0"/>
    <n v="25000"/>
    <x v="149"/>
    <s v="Cali"/>
  </r>
  <r>
    <m/>
    <x v="1"/>
    <x v="23"/>
    <x v="23"/>
    <m/>
    <m/>
    <m/>
    <x v="1"/>
    <m/>
  </r>
  <r>
    <d v="2021-08-09T00:00:00"/>
    <x v="8"/>
    <x v="0"/>
    <x v="0"/>
    <n v="15000"/>
    <n v="15000"/>
    <n v="0"/>
    <x v="420"/>
    <s v="Cali"/>
  </r>
  <r>
    <d v="2021-08-09T00:00:00"/>
    <x v="8"/>
    <x v="26"/>
    <x v="26"/>
    <n v="-15000"/>
    <n v="0"/>
    <n v="15000"/>
    <x v="420"/>
    <s v="Cali"/>
  </r>
  <r>
    <m/>
    <x v="1"/>
    <x v="23"/>
    <x v="23"/>
    <m/>
    <m/>
    <m/>
    <x v="1"/>
    <m/>
  </r>
  <r>
    <d v="2021-08-09T00:00:00"/>
    <x v="8"/>
    <x v="0"/>
    <x v="0"/>
    <n v="20000"/>
    <n v="20000"/>
    <n v="0"/>
    <x v="199"/>
    <s v="Cali"/>
  </r>
  <r>
    <d v="2021-08-09T00:00:00"/>
    <x v="8"/>
    <x v="27"/>
    <x v="27"/>
    <n v="-20000"/>
    <n v="0"/>
    <n v="20000"/>
    <x v="199"/>
    <s v="Cali"/>
  </r>
  <r>
    <m/>
    <x v="1"/>
    <x v="23"/>
    <x v="23"/>
    <m/>
    <m/>
    <m/>
    <x v="1"/>
    <m/>
  </r>
  <r>
    <d v="2021-08-10T00:00:00"/>
    <x v="8"/>
    <x v="0"/>
    <x v="0"/>
    <n v="30000"/>
    <n v="30000"/>
    <n v="0"/>
    <x v="185"/>
    <s v="Cali"/>
  </r>
  <r>
    <d v="2021-08-10T00:00:00"/>
    <x v="8"/>
    <x v="25"/>
    <x v="25"/>
    <n v="-30000"/>
    <n v="0"/>
    <n v="30000"/>
    <x v="185"/>
    <s v="Cali"/>
  </r>
  <r>
    <m/>
    <x v="1"/>
    <x v="23"/>
    <x v="23"/>
    <m/>
    <m/>
    <m/>
    <x v="1"/>
    <m/>
  </r>
  <r>
    <d v="2021-08-10T00:00:00"/>
    <x v="8"/>
    <x v="0"/>
    <x v="0"/>
    <n v="17000"/>
    <n v="17000"/>
    <n v="0"/>
    <x v="186"/>
    <s v="Cali"/>
  </r>
  <r>
    <d v="2021-08-10T00:00:00"/>
    <x v="8"/>
    <x v="25"/>
    <x v="25"/>
    <n v="-17000"/>
    <n v="0"/>
    <n v="17000"/>
    <x v="186"/>
    <s v="Cali"/>
  </r>
  <r>
    <m/>
    <x v="1"/>
    <x v="23"/>
    <x v="23"/>
    <m/>
    <m/>
    <m/>
    <x v="1"/>
    <m/>
  </r>
  <r>
    <d v="2021-08-10T00:00:00"/>
    <x v="8"/>
    <x v="0"/>
    <x v="0"/>
    <n v="30000"/>
    <n v="30000"/>
    <n v="0"/>
    <x v="170"/>
    <s v="Cali"/>
  </r>
  <r>
    <d v="2021-08-10T00:00:00"/>
    <x v="8"/>
    <x v="26"/>
    <x v="26"/>
    <n v="-30000"/>
    <n v="0"/>
    <n v="30000"/>
    <x v="170"/>
    <s v="Cali"/>
  </r>
  <r>
    <m/>
    <x v="1"/>
    <x v="23"/>
    <x v="23"/>
    <m/>
    <m/>
    <m/>
    <x v="1"/>
    <m/>
  </r>
  <r>
    <d v="2021-08-11T00:00:00"/>
    <x v="8"/>
    <x v="0"/>
    <x v="0"/>
    <n v="30000"/>
    <n v="30000"/>
    <n v="0"/>
    <x v="524"/>
    <s v="Cali"/>
  </r>
  <r>
    <d v="2021-08-11T00:00:00"/>
    <x v="8"/>
    <x v="19"/>
    <x v="19"/>
    <n v="-30000"/>
    <n v="0"/>
    <n v="30000"/>
    <x v="524"/>
    <s v="Cali"/>
  </r>
  <r>
    <m/>
    <x v="1"/>
    <x v="23"/>
    <x v="23"/>
    <m/>
    <m/>
    <m/>
    <x v="1"/>
    <m/>
  </r>
  <r>
    <d v="2021-08-11T00:00:00"/>
    <x v="8"/>
    <x v="0"/>
    <x v="0"/>
    <n v="30000"/>
    <n v="30000"/>
    <n v="0"/>
    <x v="188"/>
    <s v="Cali"/>
  </r>
  <r>
    <d v="2021-08-11T00:00:00"/>
    <x v="8"/>
    <x v="29"/>
    <x v="29"/>
    <n v="-30000"/>
    <n v="0"/>
    <n v="30000"/>
    <x v="188"/>
    <s v="Cali"/>
  </r>
  <r>
    <m/>
    <x v="1"/>
    <x v="23"/>
    <x v="23"/>
    <m/>
    <m/>
    <m/>
    <x v="1"/>
    <m/>
  </r>
  <r>
    <d v="2021-08-12T00:00:00"/>
    <x v="8"/>
    <x v="0"/>
    <x v="0"/>
    <n v="350000"/>
    <n v="350000"/>
    <n v="0"/>
    <x v="525"/>
    <s v="Cali"/>
  </r>
  <r>
    <d v="2021-08-12T00:00:00"/>
    <x v="8"/>
    <x v="26"/>
    <x v="26"/>
    <n v="-350000"/>
    <n v="0"/>
    <n v="350000"/>
    <x v="525"/>
    <s v="Cali"/>
  </r>
  <r>
    <m/>
    <x v="1"/>
    <x v="23"/>
    <x v="23"/>
    <m/>
    <m/>
    <m/>
    <x v="1"/>
    <m/>
  </r>
  <r>
    <d v="2021-08-12T00:00:00"/>
    <x v="8"/>
    <x v="0"/>
    <x v="0"/>
    <n v="1150000"/>
    <n v="1150000"/>
    <n v="0"/>
    <x v="525"/>
    <s v="Cali"/>
  </r>
  <r>
    <d v="2021-08-12T00:00:00"/>
    <x v="8"/>
    <x v="26"/>
    <x v="26"/>
    <n v="-1150000"/>
    <n v="0"/>
    <n v="1150000"/>
    <x v="525"/>
    <s v="Cali"/>
  </r>
  <r>
    <m/>
    <x v="1"/>
    <x v="23"/>
    <x v="23"/>
    <m/>
    <m/>
    <m/>
    <x v="1"/>
    <m/>
  </r>
  <r>
    <d v="2021-08-12T00:00:00"/>
    <x v="8"/>
    <x v="0"/>
    <x v="0"/>
    <n v="20000"/>
    <n v="20000"/>
    <n v="0"/>
    <x v="246"/>
    <s v="Cali"/>
  </r>
  <r>
    <d v="2021-08-12T00:00:00"/>
    <x v="8"/>
    <x v="25"/>
    <x v="25"/>
    <n v="-20000"/>
    <n v="0"/>
    <n v="20000"/>
    <x v="246"/>
    <s v="Cali"/>
  </r>
  <r>
    <m/>
    <x v="1"/>
    <x v="23"/>
    <x v="23"/>
    <m/>
    <m/>
    <m/>
    <x v="1"/>
    <m/>
  </r>
  <r>
    <d v="2021-08-13T00:00:00"/>
    <x v="8"/>
    <x v="0"/>
    <x v="0"/>
    <n v="20000"/>
    <n v="20000"/>
    <n v="0"/>
    <x v="193"/>
    <s v="Cali"/>
  </r>
  <r>
    <d v="2021-08-13T00:00:00"/>
    <x v="8"/>
    <x v="26"/>
    <x v="26"/>
    <n v="-20000"/>
    <n v="0"/>
    <n v="20000"/>
    <x v="193"/>
    <s v="Cali"/>
  </r>
  <r>
    <m/>
    <x v="1"/>
    <x v="23"/>
    <x v="23"/>
    <m/>
    <m/>
    <m/>
    <x v="1"/>
    <m/>
  </r>
  <r>
    <d v="2021-08-13T00:00:00"/>
    <x v="8"/>
    <x v="0"/>
    <x v="0"/>
    <n v="25000"/>
    <n v="25000"/>
    <n v="0"/>
    <x v="194"/>
    <s v="Cali"/>
  </r>
  <r>
    <d v="2021-08-13T00:00:00"/>
    <x v="8"/>
    <x v="25"/>
    <x v="25"/>
    <n v="-25000"/>
    <n v="0"/>
    <n v="25000"/>
    <x v="194"/>
    <s v="Cali"/>
  </r>
  <r>
    <m/>
    <x v="1"/>
    <x v="23"/>
    <x v="23"/>
    <m/>
    <m/>
    <m/>
    <x v="1"/>
    <m/>
  </r>
  <r>
    <d v="2021-08-13T00:00:00"/>
    <x v="8"/>
    <x v="0"/>
    <x v="0"/>
    <n v="7000"/>
    <n v="7000"/>
    <n v="0"/>
    <x v="261"/>
    <s v="Cali"/>
  </r>
  <r>
    <d v="2021-08-13T00:00:00"/>
    <x v="8"/>
    <x v="25"/>
    <x v="25"/>
    <n v="-7000"/>
    <n v="0"/>
    <n v="7000"/>
    <x v="261"/>
    <s v="Cali"/>
  </r>
  <r>
    <m/>
    <x v="1"/>
    <x v="23"/>
    <x v="23"/>
    <m/>
    <m/>
    <m/>
    <x v="1"/>
    <m/>
  </r>
  <r>
    <d v="2021-08-13T00:00:00"/>
    <x v="8"/>
    <x v="0"/>
    <x v="0"/>
    <n v="691669"/>
    <n v="691669"/>
    <n v="0"/>
    <x v="526"/>
    <s v="Cali"/>
  </r>
  <r>
    <d v="2021-08-13T00:00:00"/>
    <x v="8"/>
    <x v="31"/>
    <x v="31"/>
    <n v="8331"/>
    <n v="8331"/>
    <n v="0"/>
    <x v="526"/>
    <s v="Cali"/>
  </r>
  <r>
    <d v="2021-08-13T00:00:00"/>
    <x v="8"/>
    <x v="25"/>
    <x v="25"/>
    <n v="-700000"/>
    <n v="0"/>
    <n v="700000"/>
    <x v="526"/>
    <s v="Cali"/>
  </r>
  <r>
    <m/>
    <x v="1"/>
    <x v="23"/>
    <x v="23"/>
    <m/>
    <m/>
    <m/>
    <x v="1"/>
    <m/>
  </r>
  <r>
    <d v="2021-08-16T00:00:00"/>
    <x v="8"/>
    <x v="14"/>
    <x v="14"/>
    <n v="160903"/>
    <n v="160903"/>
    <n v="0"/>
    <x v="527"/>
    <s v="Cali"/>
  </r>
  <r>
    <d v="2021-08-16T00:00:00"/>
    <x v="8"/>
    <x v="15"/>
    <x v="15"/>
    <n v="2979034"/>
    <n v="2979034"/>
    <n v="0"/>
    <x v="527"/>
    <s v="Cali"/>
  </r>
  <r>
    <d v="2021-08-16T00:00:00"/>
    <x v="8"/>
    <x v="0"/>
    <x v="0"/>
    <n v="-3139937"/>
    <n v="0"/>
    <n v="3139937"/>
    <x v="527"/>
    <s v="Cali"/>
  </r>
  <r>
    <m/>
    <x v="1"/>
    <x v="23"/>
    <x v="23"/>
    <m/>
    <m/>
    <m/>
    <x v="1"/>
    <m/>
  </r>
  <r>
    <d v="2021-08-16T00:00:00"/>
    <x v="8"/>
    <x v="31"/>
    <x v="31"/>
    <n v="338983"/>
    <n v="338983"/>
    <n v="0"/>
    <x v="528"/>
    <s v="Cali"/>
  </r>
  <r>
    <d v="2021-08-16T00:00:00"/>
    <x v="8"/>
    <x v="0"/>
    <x v="0"/>
    <n v="-300000"/>
    <n v="0"/>
    <n v="300000"/>
    <x v="528"/>
    <s v="Cali"/>
  </r>
  <r>
    <d v="2021-08-16T00:00:00"/>
    <x v="8"/>
    <x v="17"/>
    <x v="17"/>
    <n v="-38983"/>
    <n v="0"/>
    <n v="38983"/>
    <x v="528"/>
    <s v="Cali"/>
  </r>
  <r>
    <m/>
    <x v="1"/>
    <x v="23"/>
    <x v="23"/>
    <m/>
    <m/>
    <m/>
    <x v="1"/>
    <m/>
  </r>
  <r>
    <d v="2021-08-16T00:00:00"/>
    <x v="8"/>
    <x v="16"/>
    <x v="16"/>
    <n v="81480"/>
    <n v="81480"/>
    <n v="0"/>
    <x v="529"/>
    <s v="Cali"/>
  </r>
  <r>
    <d v="2021-08-16T00:00:00"/>
    <x v="8"/>
    <x v="0"/>
    <x v="0"/>
    <n v="-72110"/>
    <n v="0"/>
    <n v="72110"/>
    <x v="529"/>
    <s v="Cali"/>
  </r>
  <r>
    <d v="2021-08-16T00:00:00"/>
    <x v="8"/>
    <x v="17"/>
    <x v="17"/>
    <n v="-9370"/>
    <n v="0"/>
    <n v="9370"/>
    <x v="529"/>
    <s v="Cali"/>
  </r>
  <r>
    <m/>
    <x v="1"/>
    <x v="23"/>
    <x v="23"/>
    <m/>
    <m/>
    <m/>
    <x v="1"/>
    <m/>
  </r>
  <r>
    <d v="2021-08-16T00:00:00"/>
    <x v="8"/>
    <x v="28"/>
    <x v="28"/>
    <n v="150000"/>
    <n v="150000"/>
    <n v="0"/>
    <x v="530"/>
    <s v="Cali"/>
  </r>
  <r>
    <d v="2021-08-16T00:00:00"/>
    <x v="8"/>
    <x v="0"/>
    <x v="0"/>
    <n v="-150000"/>
    <n v="0"/>
    <n v="150000"/>
    <x v="530"/>
    <s v="Cali"/>
  </r>
  <r>
    <m/>
    <x v="1"/>
    <x v="23"/>
    <x v="23"/>
    <m/>
    <m/>
    <m/>
    <x v="1"/>
    <m/>
  </r>
  <r>
    <d v="2021-08-16T00:00:00"/>
    <x v="8"/>
    <x v="1"/>
    <x v="1"/>
    <n v="27000000"/>
    <n v="27000000"/>
    <n v="0"/>
    <x v="429"/>
    <s v="Cali"/>
  </r>
  <r>
    <d v="2021-08-16T00:00:00"/>
    <x v="8"/>
    <x v="0"/>
    <x v="0"/>
    <n v="-27000000"/>
    <n v="0"/>
    <n v="27000000"/>
    <x v="429"/>
    <s v="Cali"/>
  </r>
  <r>
    <m/>
    <x v="1"/>
    <x v="23"/>
    <x v="23"/>
    <m/>
    <m/>
    <m/>
    <x v="1"/>
    <m/>
  </r>
  <r>
    <d v="2021-08-16T00:00:00"/>
    <x v="8"/>
    <x v="0"/>
    <x v="0"/>
    <n v="5000"/>
    <n v="5000"/>
    <n v="0"/>
    <x v="482"/>
    <s v="Cali"/>
  </r>
  <r>
    <d v="2021-08-16T00:00:00"/>
    <x v="8"/>
    <x v="19"/>
    <x v="19"/>
    <n v="-5000"/>
    <n v="0"/>
    <n v="5000"/>
    <x v="482"/>
    <s v="Cali"/>
  </r>
  <r>
    <m/>
    <x v="1"/>
    <x v="23"/>
    <x v="23"/>
    <m/>
    <m/>
    <m/>
    <x v="1"/>
    <m/>
  </r>
  <r>
    <d v="2021-08-16T00:00:00"/>
    <x v="8"/>
    <x v="0"/>
    <x v="0"/>
    <n v="20000"/>
    <n v="20000"/>
    <n v="0"/>
    <x v="196"/>
    <s v="Cali"/>
  </r>
  <r>
    <d v="2021-08-16T00:00:00"/>
    <x v="8"/>
    <x v="25"/>
    <x v="25"/>
    <n v="-20000"/>
    <n v="0"/>
    <n v="20000"/>
    <x v="196"/>
    <s v="Cali"/>
  </r>
  <r>
    <m/>
    <x v="1"/>
    <x v="23"/>
    <x v="23"/>
    <m/>
    <m/>
    <m/>
    <x v="1"/>
    <m/>
  </r>
  <r>
    <d v="2021-08-17T00:00:00"/>
    <x v="8"/>
    <x v="0"/>
    <x v="0"/>
    <n v="50000"/>
    <n v="50000"/>
    <n v="0"/>
    <x v="531"/>
    <s v="Cali"/>
  </r>
  <r>
    <d v="2021-08-17T00:00:00"/>
    <x v="8"/>
    <x v="26"/>
    <x v="26"/>
    <n v="-50000"/>
    <n v="0"/>
    <n v="50000"/>
    <x v="531"/>
    <s v="Cali"/>
  </r>
  <r>
    <m/>
    <x v="1"/>
    <x v="23"/>
    <x v="23"/>
    <m/>
    <m/>
    <m/>
    <x v="1"/>
    <m/>
  </r>
  <r>
    <d v="2021-08-17T00:00:00"/>
    <x v="8"/>
    <x v="0"/>
    <x v="0"/>
    <n v="1000000"/>
    <n v="1000000"/>
    <n v="0"/>
    <x v="312"/>
    <s v="Cali"/>
  </r>
  <r>
    <d v="2021-08-17T00:00:00"/>
    <x v="8"/>
    <x v="26"/>
    <x v="26"/>
    <n v="-1000000"/>
    <n v="0"/>
    <n v="1000000"/>
    <x v="312"/>
    <s v="Cali"/>
  </r>
  <r>
    <m/>
    <x v="1"/>
    <x v="23"/>
    <x v="23"/>
    <m/>
    <m/>
    <m/>
    <x v="1"/>
    <m/>
  </r>
  <r>
    <d v="2021-08-17T00:00:00"/>
    <x v="8"/>
    <x v="0"/>
    <x v="0"/>
    <n v="15000"/>
    <n v="15000"/>
    <n v="0"/>
    <x v="65"/>
    <s v="Cali"/>
  </r>
  <r>
    <d v="2021-08-17T00:00:00"/>
    <x v="8"/>
    <x v="29"/>
    <x v="29"/>
    <n v="-15000"/>
    <n v="0"/>
    <n v="15000"/>
    <x v="65"/>
    <s v="Cali"/>
  </r>
  <r>
    <m/>
    <x v="1"/>
    <x v="23"/>
    <x v="23"/>
    <m/>
    <m/>
    <m/>
    <x v="1"/>
    <m/>
  </r>
  <r>
    <d v="2021-08-17T00:00:00"/>
    <x v="8"/>
    <x v="0"/>
    <x v="0"/>
    <n v="80000"/>
    <n v="80000"/>
    <n v="0"/>
    <x v="65"/>
    <s v="Cali"/>
  </r>
  <r>
    <d v="2021-08-17T00:00:00"/>
    <x v="8"/>
    <x v="29"/>
    <x v="29"/>
    <n v="-80000"/>
    <n v="0"/>
    <n v="80000"/>
    <x v="65"/>
    <s v="Cali"/>
  </r>
  <r>
    <m/>
    <x v="1"/>
    <x v="23"/>
    <x v="23"/>
    <m/>
    <m/>
    <m/>
    <x v="1"/>
    <m/>
  </r>
  <r>
    <d v="2021-08-17T00:00:00"/>
    <x v="8"/>
    <x v="0"/>
    <x v="0"/>
    <n v="225000"/>
    <n v="225000"/>
    <n v="0"/>
    <x v="65"/>
    <s v="Cali"/>
  </r>
  <r>
    <d v="2021-08-17T00:00:00"/>
    <x v="8"/>
    <x v="29"/>
    <x v="29"/>
    <n v="-225000"/>
    <n v="0"/>
    <n v="225000"/>
    <x v="65"/>
    <s v="Cali"/>
  </r>
  <r>
    <m/>
    <x v="1"/>
    <x v="23"/>
    <x v="23"/>
    <m/>
    <m/>
    <m/>
    <x v="1"/>
    <m/>
  </r>
  <r>
    <d v="2021-08-18T00:00:00"/>
    <x v="8"/>
    <x v="0"/>
    <x v="0"/>
    <n v="40000"/>
    <n v="40000"/>
    <n v="0"/>
    <x v="10"/>
    <s v="Cali"/>
  </r>
  <r>
    <d v="2021-08-18T00:00:00"/>
    <x v="8"/>
    <x v="25"/>
    <x v="25"/>
    <n v="-40000"/>
    <n v="0"/>
    <n v="40000"/>
    <x v="10"/>
    <s v="Cali"/>
  </r>
  <r>
    <m/>
    <x v="1"/>
    <x v="23"/>
    <x v="23"/>
    <m/>
    <m/>
    <m/>
    <x v="1"/>
    <m/>
  </r>
  <r>
    <d v="2021-08-18T00:00:00"/>
    <x v="8"/>
    <x v="0"/>
    <x v="0"/>
    <n v="20000"/>
    <n v="20000"/>
    <n v="0"/>
    <x v="201"/>
    <s v="Cali"/>
  </r>
  <r>
    <d v="2021-08-18T00:00:00"/>
    <x v="8"/>
    <x v="25"/>
    <x v="25"/>
    <n v="-20000"/>
    <n v="0"/>
    <n v="20000"/>
    <x v="201"/>
    <s v="Cali"/>
  </r>
  <r>
    <m/>
    <x v="1"/>
    <x v="23"/>
    <x v="23"/>
    <m/>
    <m/>
    <m/>
    <x v="1"/>
    <m/>
  </r>
  <r>
    <d v="2021-08-19T00:00:00"/>
    <x v="8"/>
    <x v="0"/>
    <x v="0"/>
    <n v="37000"/>
    <n v="37000"/>
    <n v="0"/>
    <x v="65"/>
    <s v="Cali"/>
  </r>
  <r>
    <d v="2021-08-19T00:00:00"/>
    <x v="8"/>
    <x v="29"/>
    <x v="29"/>
    <n v="-37000"/>
    <n v="0"/>
    <n v="37000"/>
    <x v="65"/>
    <s v="Cali"/>
  </r>
  <r>
    <m/>
    <x v="1"/>
    <x v="23"/>
    <x v="23"/>
    <m/>
    <m/>
    <m/>
    <x v="1"/>
    <m/>
  </r>
  <r>
    <d v="2021-08-19T00:00:00"/>
    <x v="8"/>
    <x v="0"/>
    <x v="0"/>
    <n v="100000"/>
    <n v="100000"/>
    <n v="0"/>
    <x v="532"/>
    <s v="Cali"/>
  </r>
  <r>
    <d v="2021-08-19T00:00:00"/>
    <x v="8"/>
    <x v="26"/>
    <x v="26"/>
    <n v="-100000"/>
    <n v="0"/>
    <n v="100000"/>
    <x v="532"/>
    <s v="Cali"/>
  </r>
  <r>
    <m/>
    <x v="1"/>
    <x v="23"/>
    <x v="23"/>
    <m/>
    <m/>
    <m/>
    <x v="1"/>
    <m/>
  </r>
  <r>
    <d v="2021-08-20T00:00:00"/>
    <x v="8"/>
    <x v="0"/>
    <x v="0"/>
    <n v="150000"/>
    <n v="150000"/>
    <n v="0"/>
    <x v="431"/>
    <s v="Cali"/>
  </r>
  <r>
    <d v="2021-08-20T00:00:00"/>
    <x v="8"/>
    <x v="25"/>
    <x v="25"/>
    <n v="-150000"/>
    <n v="0"/>
    <n v="150000"/>
    <x v="431"/>
    <s v="Cali"/>
  </r>
  <r>
    <m/>
    <x v="1"/>
    <x v="23"/>
    <x v="23"/>
    <m/>
    <m/>
    <m/>
    <x v="1"/>
    <m/>
  </r>
  <r>
    <d v="2021-08-23T00:00:00"/>
    <x v="8"/>
    <x v="0"/>
    <x v="0"/>
    <n v="30000"/>
    <n v="30000"/>
    <n v="0"/>
    <x v="139"/>
    <s v="Cali"/>
  </r>
  <r>
    <d v="2021-08-23T00:00:00"/>
    <x v="8"/>
    <x v="25"/>
    <x v="25"/>
    <n v="-30000"/>
    <n v="0"/>
    <n v="30000"/>
    <x v="139"/>
    <s v="Cali"/>
  </r>
  <r>
    <m/>
    <x v="1"/>
    <x v="23"/>
    <x v="23"/>
    <m/>
    <m/>
    <m/>
    <x v="1"/>
    <m/>
  </r>
  <r>
    <d v="2021-08-23T00:00:00"/>
    <x v="8"/>
    <x v="0"/>
    <x v="0"/>
    <n v="10000"/>
    <n v="10000"/>
    <n v="0"/>
    <x v="409"/>
    <s v="Cali"/>
  </r>
  <r>
    <d v="2021-08-23T00:00:00"/>
    <x v="8"/>
    <x v="25"/>
    <x v="25"/>
    <n v="-10000"/>
    <n v="0"/>
    <n v="10000"/>
    <x v="409"/>
    <s v="Cali"/>
  </r>
  <r>
    <m/>
    <x v="1"/>
    <x v="23"/>
    <x v="23"/>
    <m/>
    <m/>
    <m/>
    <x v="1"/>
    <m/>
  </r>
  <r>
    <d v="2021-08-23T00:00:00"/>
    <x v="8"/>
    <x v="0"/>
    <x v="0"/>
    <n v="60000"/>
    <n v="60000"/>
    <n v="0"/>
    <x v="213"/>
    <s v="Cali"/>
  </r>
  <r>
    <d v="2021-08-23T00:00:00"/>
    <x v="8"/>
    <x v="29"/>
    <x v="29"/>
    <n v="-60000"/>
    <n v="0"/>
    <n v="60000"/>
    <x v="213"/>
    <s v="Cali"/>
  </r>
  <r>
    <m/>
    <x v="1"/>
    <x v="23"/>
    <x v="23"/>
    <m/>
    <m/>
    <m/>
    <x v="1"/>
    <m/>
  </r>
  <r>
    <d v="2021-08-23T00:00:00"/>
    <x v="8"/>
    <x v="0"/>
    <x v="0"/>
    <n v="5000"/>
    <n v="5000"/>
    <n v="0"/>
    <x v="533"/>
    <s v="Cali"/>
  </r>
  <r>
    <d v="2021-08-23T00:00:00"/>
    <x v="8"/>
    <x v="19"/>
    <x v="19"/>
    <n v="-5000"/>
    <n v="0"/>
    <n v="5000"/>
    <x v="533"/>
    <s v="Cali"/>
  </r>
  <r>
    <m/>
    <x v="1"/>
    <x v="23"/>
    <x v="23"/>
    <m/>
    <m/>
    <m/>
    <x v="1"/>
    <m/>
  </r>
  <r>
    <d v="2021-08-23T00:00:00"/>
    <x v="8"/>
    <x v="0"/>
    <x v="0"/>
    <n v="150000"/>
    <n v="150000"/>
    <n v="0"/>
    <x v="192"/>
    <s v="Cali"/>
  </r>
  <r>
    <d v="2021-08-23T00:00:00"/>
    <x v="8"/>
    <x v="26"/>
    <x v="26"/>
    <n v="-150000"/>
    <n v="0"/>
    <n v="150000"/>
    <x v="192"/>
    <s v="Cali"/>
  </r>
  <r>
    <m/>
    <x v="1"/>
    <x v="23"/>
    <x v="23"/>
    <m/>
    <m/>
    <m/>
    <x v="1"/>
    <m/>
  </r>
  <r>
    <d v="2021-08-23T00:00:00"/>
    <x v="8"/>
    <x v="0"/>
    <x v="0"/>
    <n v="30000"/>
    <n v="30000"/>
    <n v="0"/>
    <x v="203"/>
    <s v="Cali"/>
  </r>
  <r>
    <d v="2021-08-23T00:00:00"/>
    <x v="8"/>
    <x v="27"/>
    <x v="27"/>
    <n v="-30000"/>
    <n v="0"/>
    <n v="30000"/>
    <x v="203"/>
    <s v="Cali"/>
  </r>
  <r>
    <m/>
    <x v="1"/>
    <x v="23"/>
    <x v="23"/>
    <m/>
    <m/>
    <m/>
    <x v="1"/>
    <m/>
  </r>
  <r>
    <d v="2021-08-23T00:00:00"/>
    <x v="8"/>
    <x v="0"/>
    <x v="0"/>
    <n v="100000"/>
    <n v="100000"/>
    <n v="0"/>
    <x v="333"/>
    <s v="Cali"/>
  </r>
  <r>
    <d v="2021-08-23T00:00:00"/>
    <x v="8"/>
    <x v="26"/>
    <x v="26"/>
    <n v="-100000"/>
    <n v="0"/>
    <n v="100000"/>
    <x v="333"/>
    <s v="Cali"/>
  </r>
  <r>
    <m/>
    <x v="1"/>
    <x v="23"/>
    <x v="23"/>
    <m/>
    <m/>
    <m/>
    <x v="1"/>
    <m/>
  </r>
  <r>
    <d v="2021-08-23T00:00:00"/>
    <x v="8"/>
    <x v="0"/>
    <x v="0"/>
    <n v="20000"/>
    <n v="20000"/>
    <n v="0"/>
    <x v="85"/>
    <s v="Cali"/>
  </r>
  <r>
    <d v="2021-08-23T00:00:00"/>
    <x v="8"/>
    <x v="25"/>
    <x v="25"/>
    <n v="-20000"/>
    <n v="0"/>
    <n v="20000"/>
    <x v="85"/>
    <s v="Cali"/>
  </r>
  <r>
    <m/>
    <x v="1"/>
    <x v="23"/>
    <x v="23"/>
    <m/>
    <m/>
    <m/>
    <x v="1"/>
    <m/>
  </r>
  <r>
    <d v="2021-08-23T00:00:00"/>
    <x v="8"/>
    <x v="0"/>
    <x v="0"/>
    <n v="20000"/>
    <n v="20000"/>
    <n v="0"/>
    <x v="267"/>
    <s v="Cali"/>
  </r>
  <r>
    <d v="2021-08-23T00:00:00"/>
    <x v="8"/>
    <x v="25"/>
    <x v="25"/>
    <n v="-20000"/>
    <n v="0"/>
    <n v="20000"/>
    <x v="267"/>
    <s v="Cali"/>
  </r>
  <r>
    <m/>
    <x v="1"/>
    <x v="23"/>
    <x v="23"/>
    <m/>
    <m/>
    <m/>
    <x v="1"/>
    <m/>
  </r>
  <r>
    <d v="2021-08-23T00:00:00"/>
    <x v="8"/>
    <x v="0"/>
    <x v="0"/>
    <n v="10000"/>
    <n v="10000"/>
    <n v="0"/>
    <x v="198"/>
    <s v="Cali"/>
  </r>
  <r>
    <d v="2021-08-23T00:00:00"/>
    <x v="8"/>
    <x v="27"/>
    <x v="27"/>
    <n v="-10000"/>
    <n v="0"/>
    <n v="10000"/>
    <x v="198"/>
    <s v="Cali"/>
  </r>
  <r>
    <m/>
    <x v="1"/>
    <x v="23"/>
    <x v="23"/>
    <m/>
    <m/>
    <m/>
    <x v="1"/>
    <m/>
  </r>
  <r>
    <d v="2021-08-23T00:00:00"/>
    <x v="8"/>
    <x v="0"/>
    <x v="0"/>
    <n v="50000"/>
    <n v="50000"/>
    <n v="0"/>
    <x v="534"/>
    <s v="Cali"/>
  </r>
  <r>
    <d v="2021-08-23T00:00:00"/>
    <x v="8"/>
    <x v="26"/>
    <x v="26"/>
    <n v="-50000"/>
    <n v="0"/>
    <n v="50000"/>
    <x v="534"/>
    <s v="Cali"/>
  </r>
  <r>
    <m/>
    <x v="1"/>
    <x v="23"/>
    <x v="23"/>
    <m/>
    <m/>
    <m/>
    <x v="1"/>
    <m/>
  </r>
  <r>
    <d v="2021-08-24T00:00:00"/>
    <x v="8"/>
    <x v="0"/>
    <x v="0"/>
    <n v="30000"/>
    <n v="30000"/>
    <n v="0"/>
    <x v="156"/>
    <s v="Cali"/>
  </r>
  <r>
    <d v="2021-08-24T00:00:00"/>
    <x v="8"/>
    <x v="25"/>
    <x v="25"/>
    <n v="-30000"/>
    <n v="0"/>
    <n v="30000"/>
    <x v="156"/>
    <s v="Cali"/>
  </r>
  <r>
    <m/>
    <x v="1"/>
    <x v="23"/>
    <x v="23"/>
    <m/>
    <m/>
    <m/>
    <x v="1"/>
    <m/>
  </r>
  <r>
    <d v="2021-08-24T00:00:00"/>
    <x v="8"/>
    <x v="0"/>
    <x v="0"/>
    <n v="100000"/>
    <n v="100000"/>
    <n v="0"/>
    <x v="195"/>
    <s v="Cali"/>
  </r>
  <r>
    <d v="2021-08-24T00:00:00"/>
    <x v="8"/>
    <x v="25"/>
    <x v="25"/>
    <n v="-100000"/>
    <n v="0"/>
    <n v="100000"/>
    <x v="195"/>
    <s v="Cali"/>
  </r>
  <r>
    <m/>
    <x v="1"/>
    <x v="23"/>
    <x v="23"/>
    <m/>
    <m/>
    <m/>
    <x v="1"/>
    <m/>
  </r>
  <r>
    <d v="2021-08-24T00:00:00"/>
    <x v="8"/>
    <x v="0"/>
    <x v="0"/>
    <n v="30000"/>
    <n v="30000"/>
    <n v="0"/>
    <x v="266"/>
    <s v="Cali"/>
  </r>
  <r>
    <d v="2021-08-24T00:00:00"/>
    <x v="8"/>
    <x v="25"/>
    <x v="25"/>
    <n v="-30000"/>
    <n v="0"/>
    <n v="30000"/>
    <x v="266"/>
    <s v="Cali"/>
  </r>
  <r>
    <m/>
    <x v="1"/>
    <x v="23"/>
    <x v="23"/>
    <m/>
    <m/>
    <m/>
    <x v="1"/>
    <m/>
  </r>
  <r>
    <d v="2021-08-25T00:00:00"/>
    <x v="8"/>
    <x v="0"/>
    <x v="0"/>
    <n v="10000"/>
    <n v="10000"/>
    <n v="0"/>
    <x v="206"/>
    <s v="Cali"/>
  </r>
  <r>
    <d v="2021-08-25T00:00:00"/>
    <x v="8"/>
    <x v="26"/>
    <x v="26"/>
    <n v="-10000"/>
    <n v="0"/>
    <n v="10000"/>
    <x v="206"/>
    <s v="Cali"/>
  </r>
  <r>
    <m/>
    <x v="1"/>
    <x v="23"/>
    <x v="23"/>
    <m/>
    <m/>
    <m/>
    <x v="1"/>
    <m/>
  </r>
  <r>
    <d v="2021-08-25T00:00:00"/>
    <x v="8"/>
    <x v="0"/>
    <x v="0"/>
    <n v="49404"/>
    <n v="49404"/>
    <n v="0"/>
    <x v="535"/>
    <s v="Cali"/>
  </r>
  <r>
    <d v="2021-08-25T00:00:00"/>
    <x v="8"/>
    <x v="26"/>
    <x v="26"/>
    <n v="-49404"/>
    <n v="0"/>
    <n v="49404"/>
    <x v="535"/>
    <s v="Cali"/>
  </r>
  <r>
    <m/>
    <x v="1"/>
    <x v="23"/>
    <x v="23"/>
    <m/>
    <m/>
    <m/>
    <x v="1"/>
    <m/>
  </r>
  <r>
    <d v="2021-08-26T00:00:00"/>
    <x v="8"/>
    <x v="0"/>
    <x v="0"/>
    <n v="11672239"/>
    <n v="11672239"/>
    <n v="0"/>
    <x v="536"/>
    <s v="Cali"/>
  </r>
  <r>
    <d v="2021-08-26T00:00:00"/>
    <x v="8"/>
    <x v="5"/>
    <x v="5"/>
    <n v="-11672239"/>
    <n v="0"/>
    <n v="11672239"/>
    <x v="536"/>
    <s v="Cali"/>
  </r>
  <r>
    <m/>
    <x v="1"/>
    <x v="23"/>
    <x v="23"/>
    <m/>
    <m/>
    <m/>
    <x v="1"/>
    <m/>
  </r>
  <r>
    <d v="2021-08-26T00:00:00"/>
    <x v="8"/>
    <x v="0"/>
    <x v="0"/>
    <n v="1327685"/>
    <n v="1327685"/>
    <n v="0"/>
    <x v="537"/>
    <s v="Cali"/>
  </r>
  <r>
    <d v="2021-08-26T00:00:00"/>
    <x v="8"/>
    <x v="26"/>
    <x v="26"/>
    <n v="-1327685"/>
    <n v="0"/>
    <n v="1327685"/>
    <x v="537"/>
    <s v="Cali"/>
  </r>
  <r>
    <m/>
    <x v="1"/>
    <x v="23"/>
    <x v="23"/>
    <m/>
    <m/>
    <m/>
    <x v="1"/>
    <m/>
  </r>
  <r>
    <d v="2021-08-26T00:00:00"/>
    <x v="8"/>
    <x v="0"/>
    <x v="0"/>
    <n v="65000"/>
    <n v="65000"/>
    <n v="0"/>
    <x v="64"/>
    <s v="Cali"/>
  </r>
  <r>
    <d v="2021-08-26T00:00:00"/>
    <x v="8"/>
    <x v="27"/>
    <x v="27"/>
    <n v="-65000"/>
    <n v="0"/>
    <n v="65000"/>
    <x v="64"/>
    <s v="Cali"/>
  </r>
  <r>
    <m/>
    <x v="1"/>
    <x v="23"/>
    <x v="23"/>
    <m/>
    <m/>
    <m/>
    <x v="1"/>
    <m/>
  </r>
  <r>
    <d v="2021-08-26T00:00:00"/>
    <x v="8"/>
    <x v="0"/>
    <x v="0"/>
    <n v="5000"/>
    <n v="5000"/>
    <n v="0"/>
    <x v="367"/>
    <s v="Cali"/>
  </r>
  <r>
    <d v="2021-08-26T00:00:00"/>
    <x v="8"/>
    <x v="25"/>
    <x v="25"/>
    <n v="-5000"/>
    <n v="0"/>
    <n v="5000"/>
    <x v="367"/>
    <s v="Cali"/>
  </r>
  <r>
    <m/>
    <x v="1"/>
    <x v="23"/>
    <x v="23"/>
    <m/>
    <m/>
    <m/>
    <x v="1"/>
    <m/>
  </r>
  <r>
    <d v="2021-08-27T00:00:00"/>
    <x v="8"/>
    <x v="0"/>
    <x v="0"/>
    <n v="2267294"/>
    <n v="2267294"/>
    <n v="0"/>
    <x v="538"/>
    <s v="Cali"/>
  </r>
  <r>
    <d v="2021-08-27T00:00:00"/>
    <x v="8"/>
    <x v="44"/>
    <x v="44"/>
    <n v="-2267294"/>
    <n v="0"/>
    <n v="2267294"/>
    <x v="538"/>
    <s v="Cali"/>
  </r>
  <r>
    <m/>
    <x v="1"/>
    <x v="23"/>
    <x v="23"/>
    <m/>
    <m/>
    <m/>
    <x v="1"/>
    <m/>
  </r>
  <r>
    <d v="2021-08-27T00:00:00"/>
    <x v="8"/>
    <x v="0"/>
    <x v="0"/>
    <n v="1906358"/>
    <n v="1906358"/>
    <n v="0"/>
    <x v="539"/>
    <s v="Cali"/>
  </r>
  <r>
    <d v="2021-08-27T00:00:00"/>
    <x v="8"/>
    <x v="45"/>
    <x v="45"/>
    <n v="-1906358"/>
    <n v="0"/>
    <n v="1906358"/>
    <x v="539"/>
    <s v="Cali"/>
  </r>
  <r>
    <m/>
    <x v="1"/>
    <x v="23"/>
    <x v="23"/>
    <m/>
    <m/>
    <m/>
    <x v="1"/>
    <m/>
  </r>
  <r>
    <d v="2021-08-30T00:00:00"/>
    <x v="8"/>
    <x v="13"/>
    <x v="13"/>
    <n v="3000000"/>
    <n v="3000000"/>
    <n v="0"/>
    <x v="339"/>
    <s v="Cali"/>
  </r>
  <r>
    <d v="2021-08-30T00:00:00"/>
    <x v="8"/>
    <x v="0"/>
    <x v="0"/>
    <n v="-3000000"/>
    <n v="0"/>
    <n v="3000000"/>
    <x v="339"/>
    <s v="Cali"/>
  </r>
  <r>
    <m/>
    <x v="1"/>
    <x v="23"/>
    <x v="23"/>
    <m/>
    <m/>
    <m/>
    <x v="1"/>
    <m/>
  </r>
  <r>
    <d v="2021-08-30T00:00:00"/>
    <x v="8"/>
    <x v="0"/>
    <x v="0"/>
    <n v="50000"/>
    <n v="50000"/>
    <n v="0"/>
    <x v="10"/>
    <s v="Cali"/>
  </r>
  <r>
    <d v="2021-08-30T00:00:00"/>
    <x v="8"/>
    <x v="25"/>
    <x v="25"/>
    <n v="-50000"/>
    <n v="0"/>
    <n v="50000"/>
    <x v="10"/>
    <s v="Cali"/>
  </r>
  <r>
    <m/>
    <x v="1"/>
    <x v="23"/>
    <x v="23"/>
    <m/>
    <m/>
    <m/>
    <x v="1"/>
    <m/>
  </r>
  <r>
    <d v="2021-08-30T00:00:00"/>
    <x v="8"/>
    <x v="0"/>
    <x v="0"/>
    <n v="20000"/>
    <n v="20000"/>
    <n v="0"/>
    <x v="237"/>
    <s v="Cali"/>
  </r>
  <r>
    <d v="2021-08-30T00:00:00"/>
    <x v="8"/>
    <x v="19"/>
    <x v="19"/>
    <n v="-20000"/>
    <n v="0"/>
    <n v="20000"/>
    <x v="237"/>
    <s v="Cali"/>
  </r>
  <r>
    <m/>
    <x v="1"/>
    <x v="23"/>
    <x v="23"/>
    <m/>
    <m/>
    <m/>
    <x v="1"/>
    <m/>
  </r>
  <r>
    <d v="2021-08-30T00:00:00"/>
    <x v="8"/>
    <x v="0"/>
    <x v="0"/>
    <n v="10000"/>
    <n v="10000"/>
    <n v="0"/>
    <x v="236"/>
    <s v="Cali"/>
  </r>
  <r>
    <d v="2021-08-30T00:00:00"/>
    <x v="8"/>
    <x v="25"/>
    <x v="25"/>
    <n v="-10000"/>
    <n v="0"/>
    <n v="10000"/>
    <x v="236"/>
    <s v="Cali"/>
  </r>
  <r>
    <m/>
    <x v="1"/>
    <x v="23"/>
    <x v="23"/>
    <m/>
    <m/>
    <m/>
    <x v="1"/>
    <m/>
  </r>
  <r>
    <d v="2021-08-30T00:00:00"/>
    <x v="8"/>
    <x v="0"/>
    <x v="0"/>
    <n v="125000"/>
    <n v="125000"/>
    <n v="0"/>
    <x v="136"/>
    <s v="Cali"/>
  </r>
  <r>
    <d v="2021-08-30T00:00:00"/>
    <x v="8"/>
    <x v="26"/>
    <x v="26"/>
    <n v="-125000"/>
    <n v="0"/>
    <n v="125000"/>
    <x v="136"/>
    <s v="Cali"/>
  </r>
  <r>
    <m/>
    <x v="1"/>
    <x v="23"/>
    <x v="23"/>
    <m/>
    <m/>
    <m/>
    <x v="1"/>
    <m/>
  </r>
  <r>
    <d v="2021-08-30T00:00:00"/>
    <x v="8"/>
    <x v="0"/>
    <x v="0"/>
    <n v="60000"/>
    <n v="60000"/>
    <n v="0"/>
    <x v="238"/>
    <s v="Cali"/>
  </r>
  <r>
    <d v="2021-08-30T00:00:00"/>
    <x v="8"/>
    <x v="25"/>
    <x v="25"/>
    <n v="-60000"/>
    <n v="0"/>
    <n v="60000"/>
    <x v="238"/>
    <s v="Cali"/>
  </r>
  <r>
    <m/>
    <x v="1"/>
    <x v="23"/>
    <x v="23"/>
    <m/>
    <m/>
    <m/>
    <x v="1"/>
    <m/>
  </r>
  <r>
    <d v="2021-08-30T00:00:00"/>
    <x v="8"/>
    <x v="0"/>
    <x v="0"/>
    <n v="1500"/>
    <n v="1500"/>
    <n v="0"/>
    <x v="177"/>
    <s v="Cali"/>
  </r>
  <r>
    <d v="2021-08-30T00:00:00"/>
    <x v="8"/>
    <x v="19"/>
    <x v="19"/>
    <n v="-1500"/>
    <n v="0"/>
    <n v="1500"/>
    <x v="177"/>
    <s v="Cali"/>
  </r>
  <r>
    <m/>
    <x v="1"/>
    <x v="23"/>
    <x v="23"/>
    <m/>
    <m/>
    <m/>
    <x v="1"/>
    <m/>
  </r>
  <r>
    <d v="2021-08-30T00:00:00"/>
    <x v="8"/>
    <x v="0"/>
    <x v="0"/>
    <n v="30000"/>
    <n v="30000"/>
    <n v="0"/>
    <x v="497"/>
    <s v="Cali"/>
  </r>
  <r>
    <d v="2021-08-30T00:00:00"/>
    <x v="8"/>
    <x v="25"/>
    <x v="25"/>
    <n v="-30000"/>
    <n v="0"/>
    <n v="30000"/>
    <x v="497"/>
    <s v="Cali"/>
  </r>
  <r>
    <m/>
    <x v="1"/>
    <x v="23"/>
    <x v="23"/>
    <m/>
    <m/>
    <m/>
    <x v="1"/>
    <m/>
  </r>
  <r>
    <d v="2021-08-30T00:00:00"/>
    <x v="8"/>
    <x v="0"/>
    <x v="0"/>
    <n v="73000"/>
    <n v="73000"/>
    <n v="0"/>
    <x v="240"/>
    <s v="Cali"/>
  </r>
  <r>
    <d v="2021-08-30T00:00:00"/>
    <x v="8"/>
    <x v="26"/>
    <x v="26"/>
    <n v="-73000"/>
    <n v="0"/>
    <n v="73000"/>
    <x v="240"/>
    <s v="Cali"/>
  </r>
  <r>
    <m/>
    <x v="1"/>
    <x v="23"/>
    <x v="23"/>
    <m/>
    <m/>
    <m/>
    <x v="1"/>
    <m/>
  </r>
  <r>
    <d v="2021-08-30T00:00:00"/>
    <x v="8"/>
    <x v="0"/>
    <x v="0"/>
    <n v="40000"/>
    <n v="40000"/>
    <n v="0"/>
    <x v="241"/>
    <s v="Cali"/>
  </r>
  <r>
    <d v="2021-08-30T00:00:00"/>
    <x v="8"/>
    <x v="26"/>
    <x v="26"/>
    <n v="-40000"/>
    <n v="0"/>
    <n v="40000"/>
    <x v="241"/>
    <s v="Cali"/>
  </r>
  <r>
    <m/>
    <x v="1"/>
    <x v="23"/>
    <x v="23"/>
    <m/>
    <m/>
    <m/>
    <x v="1"/>
    <m/>
  </r>
  <r>
    <d v="2021-08-30T00:00:00"/>
    <x v="8"/>
    <x v="0"/>
    <x v="0"/>
    <n v="36000"/>
    <n v="36000"/>
    <n v="0"/>
    <x v="133"/>
    <s v="Cali"/>
  </r>
  <r>
    <d v="2021-08-30T00:00:00"/>
    <x v="8"/>
    <x v="25"/>
    <x v="25"/>
    <n v="-36000"/>
    <n v="0"/>
    <n v="36000"/>
    <x v="133"/>
    <s v="Cali"/>
  </r>
  <r>
    <m/>
    <x v="1"/>
    <x v="23"/>
    <x v="23"/>
    <m/>
    <m/>
    <m/>
    <x v="1"/>
    <m/>
  </r>
  <r>
    <d v="2021-08-30T00:00:00"/>
    <x v="8"/>
    <x v="0"/>
    <x v="0"/>
    <n v="100000"/>
    <n v="100000"/>
    <n v="0"/>
    <x v="134"/>
    <s v="Cali"/>
  </r>
  <r>
    <d v="2021-08-30T00:00:00"/>
    <x v="8"/>
    <x v="26"/>
    <x v="26"/>
    <n v="-100000"/>
    <n v="0"/>
    <n v="100000"/>
    <x v="134"/>
    <s v="Cali"/>
  </r>
  <r>
    <m/>
    <x v="1"/>
    <x v="23"/>
    <x v="23"/>
    <m/>
    <m/>
    <m/>
    <x v="1"/>
    <m/>
  </r>
  <r>
    <d v="2021-08-30T00:00:00"/>
    <x v="8"/>
    <x v="0"/>
    <x v="0"/>
    <n v="20000"/>
    <n v="20000"/>
    <n v="0"/>
    <x v="174"/>
    <s v="Cali"/>
  </r>
  <r>
    <d v="2021-08-30T00:00:00"/>
    <x v="8"/>
    <x v="25"/>
    <x v="25"/>
    <n v="-20000"/>
    <n v="0"/>
    <n v="20000"/>
    <x v="174"/>
    <s v="Cali"/>
  </r>
  <r>
    <m/>
    <x v="1"/>
    <x v="23"/>
    <x v="23"/>
    <m/>
    <m/>
    <m/>
    <x v="1"/>
    <m/>
  </r>
  <r>
    <d v="2021-08-30T00:00:00"/>
    <x v="8"/>
    <x v="0"/>
    <x v="0"/>
    <n v="50000"/>
    <n v="50000"/>
    <n v="0"/>
    <x v="135"/>
    <s v="Cali"/>
  </r>
  <r>
    <d v="2021-08-30T00:00:00"/>
    <x v="8"/>
    <x v="26"/>
    <x v="26"/>
    <n v="-50000"/>
    <n v="0"/>
    <n v="50000"/>
    <x v="135"/>
    <s v="Cali"/>
  </r>
  <r>
    <m/>
    <x v="1"/>
    <x v="23"/>
    <x v="23"/>
    <m/>
    <m/>
    <m/>
    <x v="1"/>
    <m/>
  </r>
  <r>
    <d v="2021-08-30T00:00:00"/>
    <x v="8"/>
    <x v="0"/>
    <x v="0"/>
    <n v="25000"/>
    <n v="25000"/>
    <n v="0"/>
    <x v="138"/>
    <s v="Cali"/>
  </r>
  <r>
    <d v="2021-08-30T00:00:00"/>
    <x v="8"/>
    <x v="27"/>
    <x v="27"/>
    <n v="-25000"/>
    <n v="0"/>
    <n v="25000"/>
    <x v="138"/>
    <s v="Cali"/>
  </r>
  <r>
    <m/>
    <x v="1"/>
    <x v="23"/>
    <x v="23"/>
    <m/>
    <m/>
    <m/>
    <x v="1"/>
    <m/>
  </r>
  <r>
    <d v="2021-08-30T00:00:00"/>
    <x v="8"/>
    <x v="0"/>
    <x v="0"/>
    <n v="10000"/>
    <n v="10000"/>
    <n v="0"/>
    <x v="277"/>
    <s v="Cali"/>
  </r>
  <r>
    <d v="2021-08-30T00:00:00"/>
    <x v="8"/>
    <x v="25"/>
    <x v="25"/>
    <n v="-10000"/>
    <n v="0"/>
    <n v="10000"/>
    <x v="277"/>
    <s v="Cali"/>
  </r>
  <r>
    <m/>
    <x v="1"/>
    <x v="23"/>
    <x v="23"/>
    <m/>
    <m/>
    <m/>
    <x v="1"/>
    <m/>
  </r>
  <r>
    <d v="2021-08-30T00:00:00"/>
    <x v="8"/>
    <x v="0"/>
    <x v="0"/>
    <n v="200000"/>
    <n v="200000"/>
    <n v="0"/>
    <x v="540"/>
    <s v="Cali"/>
  </r>
  <r>
    <d v="2021-08-30T00:00:00"/>
    <x v="8"/>
    <x v="26"/>
    <x v="26"/>
    <n v="-200000"/>
    <n v="0"/>
    <n v="200000"/>
    <x v="540"/>
    <s v="Cali"/>
  </r>
  <r>
    <m/>
    <x v="1"/>
    <x v="23"/>
    <x v="23"/>
    <m/>
    <m/>
    <m/>
    <x v="1"/>
    <m/>
  </r>
  <r>
    <d v="2021-08-31T00:00:00"/>
    <x v="8"/>
    <x v="0"/>
    <x v="0"/>
    <n v="1300000"/>
    <n v="1300000"/>
    <n v="0"/>
    <x v="540"/>
    <s v="Cali"/>
  </r>
  <r>
    <d v="2021-08-31T00:00:00"/>
    <x v="8"/>
    <x v="26"/>
    <x v="26"/>
    <n v="-1300000"/>
    <n v="0"/>
    <n v="1300000"/>
    <x v="540"/>
    <s v="Cali"/>
  </r>
  <r>
    <m/>
    <x v="1"/>
    <x v="23"/>
    <x v="23"/>
    <m/>
    <m/>
    <m/>
    <x v="1"/>
    <m/>
  </r>
  <r>
    <d v="2021-08-31T00:00:00"/>
    <x v="8"/>
    <x v="0"/>
    <x v="0"/>
    <n v="20000"/>
    <n v="20000"/>
    <n v="0"/>
    <x v="132"/>
    <s v="Cali"/>
  </r>
  <r>
    <d v="2021-08-31T00:00:00"/>
    <x v="8"/>
    <x v="25"/>
    <x v="25"/>
    <n v="-20000"/>
    <n v="0"/>
    <n v="20000"/>
    <x v="132"/>
    <s v="Cali"/>
  </r>
  <r>
    <m/>
    <x v="1"/>
    <x v="23"/>
    <x v="23"/>
    <m/>
    <m/>
    <m/>
    <x v="1"/>
    <m/>
  </r>
  <r>
    <d v="2021-08-31T00:00:00"/>
    <x v="8"/>
    <x v="0"/>
    <x v="0"/>
    <n v="14000"/>
    <n v="14000"/>
    <n v="0"/>
    <x v="289"/>
    <s v="Cali"/>
  </r>
  <r>
    <d v="2021-08-31T00:00:00"/>
    <x v="8"/>
    <x v="26"/>
    <x v="26"/>
    <n v="-14000"/>
    <n v="0"/>
    <n v="14000"/>
    <x v="289"/>
    <s v="Cali"/>
  </r>
  <r>
    <m/>
    <x v="1"/>
    <x v="23"/>
    <x v="23"/>
    <m/>
    <m/>
    <m/>
    <x v="1"/>
    <m/>
  </r>
  <r>
    <d v="2021-08-31T00:00:00"/>
    <x v="8"/>
    <x v="0"/>
    <x v="0"/>
    <n v="55000"/>
    <n v="55000"/>
    <n v="0"/>
    <x v="65"/>
    <s v="Cali"/>
  </r>
  <r>
    <d v="2021-08-31T00:00:00"/>
    <x v="8"/>
    <x v="29"/>
    <x v="29"/>
    <n v="-55000"/>
    <n v="0"/>
    <n v="55000"/>
    <x v="65"/>
    <s v="Cali"/>
  </r>
  <r>
    <m/>
    <x v="1"/>
    <x v="23"/>
    <x v="23"/>
    <m/>
    <m/>
    <m/>
    <x v="1"/>
    <m/>
  </r>
  <r>
    <d v="2021-08-31T00:00:00"/>
    <x v="8"/>
    <x v="0"/>
    <x v="0"/>
    <n v="20000"/>
    <n v="20000"/>
    <n v="0"/>
    <x v="65"/>
    <s v="Cali"/>
  </r>
  <r>
    <d v="2021-08-31T00:00:00"/>
    <x v="8"/>
    <x v="29"/>
    <x v="29"/>
    <n v="-20000"/>
    <n v="0"/>
    <n v="20000"/>
    <x v="65"/>
    <s v="Cali"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d v="2021-08-31T00:00:00"/>
    <x v="8"/>
    <x v="13"/>
    <x v="13"/>
    <n v="30000"/>
    <n v="30000"/>
    <n v="0"/>
    <x v="465"/>
    <s v="Cali"/>
  </r>
  <r>
    <d v="2021-08-31T00:00:00"/>
    <x v="8"/>
    <x v="13"/>
    <x v="13"/>
    <n v="1000000"/>
    <n v="1000000"/>
    <n v="0"/>
    <x v="541"/>
    <s v="Cali"/>
  </r>
  <r>
    <d v="2021-08-31T00:00:00"/>
    <x v="8"/>
    <x v="13"/>
    <x v="13"/>
    <n v="30000"/>
    <n v="30000"/>
    <n v="0"/>
    <x v="405"/>
    <s v="Cali"/>
  </r>
  <r>
    <d v="2021-08-31T00:00:00"/>
    <x v="8"/>
    <x v="13"/>
    <x v="13"/>
    <n v="500000"/>
    <n v="500000"/>
    <n v="0"/>
    <x v="542"/>
    <s v="Cali"/>
  </r>
  <r>
    <d v="2021-08-31T00:00:00"/>
    <x v="8"/>
    <x v="13"/>
    <x v="13"/>
    <n v="20000"/>
    <n v="20000"/>
    <n v="0"/>
    <x v="299"/>
    <s v="Cali"/>
  </r>
  <r>
    <d v="2021-08-31T00:00:00"/>
    <x v="8"/>
    <x v="13"/>
    <x v="13"/>
    <n v="90000"/>
    <n v="90000"/>
    <n v="0"/>
    <x v="463"/>
    <s v="Cali"/>
  </r>
  <r>
    <d v="2021-08-31T00:00:00"/>
    <x v="8"/>
    <x v="13"/>
    <x v="13"/>
    <n v="50000"/>
    <n v="50000"/>
    <n v="0"/>
    <x v="357"/>
    <s v="Cali"/>
  </r>
  <r>
    <d v="2021-08-31T00:00:00"/>
    <x v="8"/>
    <x v="13"/>
    <x v="13"/>
    <n v="100000"/>
    <n v="100000"/>
    <n v="0"/>
    <x v="220"/>
    <s v="Cali"/>
  </r>
  <r>
    <d v="2021-08-31T00:00:00"/>
    <x v="8"/>
    <x v="13"/>
    <x v="13"/>
    <n v="-46890"/>
    <n v="-46890"/>
    <n v="0"/>
    <x v="543"/>
    <s v="Cali"/>
  </r>
  <r>
    <d v="2021-08-31T00:00:00"/>
    <x v="8"/>
    <x v="13"/>
    <x v="13"/>
    <n v="30000"/>
    <n v="30000"/>
    <n v="0"/>
    <x v="221"/>
    <s v="Cali"/>
  </r>
  <r>
    <d v="2021-08-31T00:00:00"/>
    <x v="8"/>
    <x v="13"/>
    <x v="13"/>
    <n v="20000"/>
    <n v="20000"/>
    <n v="0"/>
    <x v="335"/>
    <s v="Cali"/>
  </r>
  <r>
    <d v="2021-08-31T00:00:00"/>
    <x v="8"/>
    <x v="13"/>
    <x v="13"/>
    <n v="70000"/>
    <n v="70000"/>
    <n v="0"/>
    <x v="544"/>
    <s v="Cali"/>
  </r>
  <r>
    <d v="2021-08-31T00:00:00"/>
    <x v="8"/>
    <x v="13"/>
    <x v="13"/>
    <n v="21000"/>
    <n v="21000"/>
    <n v="0"/>
    <x v="545"/>
    <s v="Cali"/>
  </r>
  <r>
    <d v="2021-08-31T00:00:00"/>
    <x v="8"/>
    <x v="13"/>
    <x v="13"/>
    <n v="70000"/>
    <n v="70000"/>
    <n v="0"/>
    <x v="546"/>
    <s v="Cali"/>
  </r>
  <r>
    <d v="2021-08-31T00:00:00"/>
    <x v="8"/>
    <x v="13"/>
    <x v="13"/>
    <n v="15000"/>
    <n v="15000"/>
    <n v="0"/>
    <x v="301"/>
    <s v="Cali"/>
  </r>
  <r>
    <d v="2021-08-31T00:00:00"/>
    <x v="8"/>
    <x v="13"/>
    <x v="13"/>
    <n v="50000"/>
    <n v="50000"/>
    <n v="0"/>
    <x v="407"/>
    <s v="Cali"/>
  </r>
  <r>
    <d v="2021-08-31T00:00:00"/>
    <x v="8"/>
    <x v="13"/>
    <x v="13"/>
    <n v="35000"/>
    <n v="35000"/>
    <n v="0"/>
    <x v="547"/>
    <s v="Cali"/>
  </r>
  <r>
    <d v="2021-08-31T00:00:00"/>
    <x v="8"/>
    <x v="13"/>
    <x v="13"/>
    <n v="30000"/>
    <n v="30000"/>
    <n v="0"/>
    <x v="304"/>
    <s v="Cali"/>
  </r>
  <r>
    <d v="2021-08-31T00:00:00"/>
    <x v="8"/>
    <x v="29"/>
    <x v="29"/>
    <n v="-30000"/>
    <n v="0"/>
    <n v="30000"/>
    <x v="465"/>
    <s v="Cali"/>
  </r>
  <r>
    <d v="2021-08-31T00:00:00"/>
    <x v="8"/>
    <x v="26"/>
    <x v="26"/>
    <n v="-1000000"/>
    <n v="0"/>
    <n v="1000000"/>
    <x v="541"/>
    <s v="Cali"/>
  </r>
  <r>
    <d v="2021-08-31T00:00:00"/>
    <x v="8"/>
    <x v="26"/>
    <x v="26"/>
    <n v="-30000"/>
    <n v="0"/>
    <n v="30000"/>
    <x v="405"/>
    <s v="Cali"/>
  </r>
  <r>
    <d v="2021-08-31T00:00:00"/>
    <x v="8"/>
    <x v="26"/>
    <x v="26"/>
    <n v="-500000"/>
    <n v="0"/>
    <n v="500000"/>
    <x v="542"/>
    <s v="Cali"/>
  </r>
  <r>
    <d v="2021-08-31T00:00:00"/>
    <x v="8"/>
    <x v="26"/>
    <x v="26"/>
    <n v="-20000"/>
    <n v="0"/>
    <n v="20000"/>
    <x v="299"/>
    <s v="Cali"/>
  </r>
  <r>
    <d v="2021-08-31T00:00:00"/>
    <x v="8"/>
    <x v="25"/>
    <x v="25"/>
    <n v="-90000"/>
    <n v="0"/>
    <n v="90000"/>
    <x v="463"/>
    <s v="Cali"/>
  </r>
  <r>
    <d v="2021-08-31T00:00:00"/>
    <x v="8"/>
    <x v="26"/>
    <x v="26"/>
    <n v="-50000"/>
    <n v="0"/>
    <n v="50000"/>
    <x v="357"/>
    <s v="Cali"/>
  </r>
  <r>
    <d v="2021-08-31T00:00:00"/>
    <x v="8"/>
    <x v="25"/>
    <x v="25"/>
    <n v="-100000"/>
    <n v="0"/>
    <n v="100000"/>
    <x v="220"/>
    <s v="Cali"/>
  </r>
  <r>
    <d v="2021-08-31T00:00:00"/>
    <x v="8"/>
    <x v="17"/>
    <x v="17"/>
    <n v="46890"/>
    <n v="0"/>
    <n v="-46890"/>
    <x v="543"/>
    <s v="Cali"/>
  </r>
  <r>
    <d v="2021-08-31T00:00:00"/>
    <x v="8"/>
    <x v="25"/>
    <x v="25"/>
    <n v="-30000"/>
    <n v="0"/>
    <n v="30000"/>
    <x v="221"/>
    <s v="Cali"/>
  </r>
  <r>
    <d v="2021-08-31T00:00:00"/>
    <x v="8"/>
    <x v="26"/>
    <x v="26"/>
    <n v="-20000"/>
    <n v="0"/>
    <n v="20000"/>
    <x v="335"/>
    <s v="Cali"/>
  </r>
  <r>
    <d v="2021-08-31T00:00:00"/>
    <x v="8"/>
    <x v="25"/>
    <x v="25"/>
    <n v="-70000"/>
    <n v="0"/>
    <n v="70000"/>
    <x v="544"/>
    <s v="Cali"/>
  </r>
  <r>
    <d v="2021-08-31T00:00:00"/>
    <x v="8"/>
    <x v="27"/>
    <x v="27"/>
    <n v="-21000"/>
    <n v="0"/>
    <n v="21000"/>
    <x v="545"/>
    <s v="Cali"/>
  </r>
  <r>
    <d v="2021-08-31T00:00:00"/>
    <x v="8"/>
    <x v="25"/>
    <x v="25"/>
    <n v="-70000"/>
    <n v="0"/>
    <n v="70000"/>
    <x v="546"/>
    <s v="Cali"/>
  </r>
  <r>
    <d v="2021-08-31T00:00:00"/>
    <x v="8"/>
    <x v="25"/>
    <x v="25"/>
    <n v="-15000"/>
    <n v="0"/>
    <n v="15000"/>
    <x v="301"/>
    <s v="Cali"/>
  </r>
  <r>
    <d v="2021-08-31T00:00:00"/>
    <x v="8"/>
    <x v="25"/>
    <x v="25"/>
    <n v="-50000"/>
    <n v="0"/>
    <n v="50000"/>
    <x v="407"/>
    <s v="Cali"/>
  </r>
  <r>
    <d v="2021-08-31T00:00:00"/>
    <x v="8"/>
    <x v="29"/>
    <x v="29"/>
    <n v="-35000"/>
    <n v="0"/>
    <n v="35000"/>
    <x v="547"/>
    <s v="Cali"/>
  </r>
  <r>
    <d v="2021-08-31T00:00:00"/>
    <x v="8"/>
    <x v="25"/>
    <x v="25"/>
    <n v="-30000"/>
    <n v="0"/>
    <n v="30000"/>
    <x v="304"/>
    <s v="Cali"/>
  </r>
  <r>
    <m/>
    <x v="1"/>
    <x v="23"/>
    <x v="23"/>
    <m/>
    <m/>
    <m/>
    <x v="1"/>
    <m/>
  </r>
  <r>
    <d v="2021-08-31T00:00:00"/>
    <x v="8"/>
    <x v="32"/>
    <x v="32"/>
    <n v="-602000"/>
    <n v="0"/>
    <n v="602000"/>
    <x v="548"/>
    <s v="Cali"/>
  </r>
  <r>
    <d v="2021-08-31T00:00:00"/>
    <x v="8"/>
    <x v="33"/>
    <x v="33"/>
    <n v="0"/>
    <n v="0"/>
    <n v="0"/>
    <x v="548"/>
    <s v="Cali"/>
  </r>
  <r>
    <d v="2021-08-31T00:00:00"/>
    <x v="8"/>
    <x v="34"/>
    <x v="34"/>
    <n v="-1044000"/>
    <n v="0"/>
    <n v="1044000"/>
    <x v="548"/>
    <s v="Cali"/>
  </r>
  <r>
    <d v="2021-08-31T00:00:00"/>
    <x v="8"/>
    <x v="35"/>
    <x v="35"/>
    <n v="-3787000"/>
    <n v="0"/>
    <n v="3787000"/>
    <x v="548"/>
    <s v="Cali"/>
  </r>
  <r>
    <d v="2021-08-31T00:00:00"/>
    <x v="8"/>
    <x v="36"/>
    <x v="36"/>
    <n v="-4190600"/>
    <n v="0"/>
    <n v="4190600"/>
    <x v="548"/>
    <s v="Cali"/>
  </r>
  <r>
    <d v="2021-08-31T00:00:00"/>
    <x v="8"/>
    <x v="37"/>
    <x v="37"/>
    <n v="-7622213"/>
    <n v="0"/>
    <n v="7622213"/>
    <x v="548"/>
    <s v="Cali"/>
  </r>
  <r>
    <d v="2021-08-31T00:00:00"/>
    <x v="8"/>
    <x v="29"/>
    <x v="29"/>
    <n v="602000"/>
    <n v="602000"/>
    <n v="0"/>
    <x v="548"/>
    <s v="Cali"/>
  </r>
  <r>
    <d v="2021-08-31T00:00:00"/>
    <x v="8"/>
    <x v="27"/>
    <x v="27"/>
    <n v="1044000"/>
    <n v="1044000"/>
    <n v="0"/>
    <x v="548"/>
    <s v="Cali"/>
  </r>
  <r>
    <d v="2021-08-31T00:00:00"/>
    <x v="8"/>
    <x v="25"/>
    <x v="25"/>
    <n v="3787000"/>
    <n v="3787000"/>
    <n v="0"/>
    <x v="548"/>
    <s v="Cali"/>
  </r>
  <r>
    <d v="2021-08-31T00:00:00"/>
    <x v="8"/>
    <x v="5"/>
    <x v="5"/>
    <n v="11812813"/>
    <n v="11812813"/>
    <n v="0"/>
    <x v="548"/>
    <s v="Cali"/>
  </r>
  <r>
    <d v="2021-08-31T00:00:00"/>
    <x v="8"/>
    <x v="15"/>
    <x v="15"/>
    <n v="-3050908"/>
    <n v="0"/>
    <n v="3050908"/>
    <x v="548"/>
    <s v="Cali"/>
  </r>
  <r>
    <d v="2021-08-31T00:00:00"/>
    <x v="8"/>
    <x v="38"/>
    <x v="38"/>
    <n v="3050908"/>
    <n v="3050908"/>
    <n v="0"/>
    <x v="548"/>
    <s v="Cali"/>
  </r>
  <r>
    <d v="2021-08-31T00:00:00"/>
    <x v="8"/>
    <x v="16"/>
    <x v="16"/>
    <n v="-72240"/>
    <n v="0"/>
    <n v="72240"/>
    <x v="548"/>
    <s v="Cali"/>
  </r>
  <r>
    <d v="2021-08-31T00:00:00"/>
    <x v="8"/>
    <x v="14"/>
    <x v="14"/>
    <n v="-172458"/>
    <n v="0"/>
    <n v="172458"/>
    <x v="548"/>
    <s v="Cali"/>
  </r>
  <r>
    <d v="2021-08-31T00:00:00"/>
    <x v="8"/>
    <x v="39"/>
    <x v="39"/>
    <n v="72240"/>
    <n v="72240"/>
    <n v="0"/>
    <x v="548"/>
    <s v="Cali"/>
  </r>
  <r>
    <d v="2021-08-31T00:00:00"/>
    <x v="8"/>
    <x v="40"/>
    <x v="40"/>
    <n v="172458"/>
    <n v="172458"/>
    <n v="0"/>
    <x v="548"/>
    <s v="Cali"/>
  </r>
  <r>
    <d v="2021-08-31T00:00:00"/>
    <x v="8"/>
    <x v="41"/>
    <x v="41"/>
    <n v="-6153463"/>
    <n v="0"/>
    <n v="6153463"/>
    <x v="548"/>
    <s v="Cali"/>
  </r>
  <r>
    <d v="2021-08-31T00:00:00"/>
    <x v="8"/>
    <x v="42"/>
    <x v="42"/>
    <n v="-1975500"/>
    <n v="0"/>
    <n v="1975500"/>
    <x v="548"/>
    <s v="Cali"/>
  </r>
  <r>
    <d v="2021-08-31T00:00:00"/>
    <x v="8"/>
    <x v="43"/>
    <x v="43"/>
    <n v="423695"/>
    <n v="423695"/>
    <n v="0"/>
    <x v="548"/>
    <s v="Cali"/>
  </r>
  <r>
    <d v="2021-08-31T00:00:00"/>
    <x v="8"/>
    <x v="43"/>
    <x v="43"/>
    <n v="49388"/>
    <n v="49388"/>
    <n v="0"/>
    <x v="548"/>
    <s v="Cali"/>
  </r>
  <r>
    <d v="2021-08-31T00:00:00"/>
    <x v="8"/>
    <x v="38"/>
    <x v="38"/>
    <n v="3400940"/>
    <n v="3400940"/>
    <n v="0"/>
    <x v="548"/>
    <s v="Cali"/>
  </r>
  <r>
    <d v="2021-08-31T00:00:00"/>
    <x v="8"/>
    <x v="40"/>
    <x v="40"/>
    <n v="61535"/>
    <n v="61535"/>
    <n v="0"/>
    <x v="548"/>
    <s v="Cali"/>
  </r>
  <r>
    <d v="2021-08-31T00:00:00"/>
    <x v="8"/>
    <x v="40"/>
    <x v="40"/>
    <n v="19755"/>
    <n v="19755"/>
    <n v="0"/>
    <x v="548"/>
    <s v="Cali"/>
  </r>
  <r>
    <d v="2021-08-31T00:00:00"/>
    <x v="8"/>
    <x v="44"/>
    <x v="44"/>
    <n v="2267293"/>
    <n v="2267293"/>
    <n v="0"/>
    <x v="548"/>
    <s v="Cali"/>
  </r>
  <r>
    <d v="2021-08-31T00:00:00"/>
    <x v="8"/>
    <x v="45"/>
    <x v="45"/>
    <n v="1906357"/>
    <n v="1906357"/>
    <n v="0"/>
    <x v="548"/>
    <s v="Cali"/>
  </r>
  <r>
    <d v="2021-08-31T00:00:00"/>
    <x v="8"/>
    <x v="5"/>
    <x v="5"/>
    <n v="-140572"/>
    <n v="0"/>
    <n v="140572"/>
    <x v="548"/>
    <s v="Cali"/>
  </r>
  <r>
    <d v="2021-08-31T00:00:00"/>
    <x v="8"/>
    <x v="30"/>
    <x v="30"/>
    <n v="140572"/>
    <n v="140572"/>
    <n v="0"/>
    <x v="548"/>
    <s v="Cali"/>
  </r>
  <r>
    <m/>
    <x v="1"/>
    <x v="23"/>
    <x v="23"/>
    <m/>
    <m/>
    <m/>
    <x v="1"/>
    <m/>
  </r>
  <r>
    <d v="2021-08-06T00:00:00"/>
    <x v="8"/>
    <x v="1"/>
    <x v="1"/>
    <n v="26701746"/>
    <n v="26701746"/>
    <n v="0"/>
    <x v="448"/>
    <s v="Cali"/>
  </r>
  <r>
    <d v="2021-08-06T00:00:00"/>
    <x v="8"/>
    <x v="12"/>
    <x v="12"/>
    <n v="-26701746"/>
    <n v="0"/>
    <n v="26701746"/>
    <x v="448"/>
    <s v="Cali"/>
  </r>
  <r>
    <m/>
    <x v="1"/>
    <x v="23"/>
    <x v="23"/>
    <m/>
    <m/>
    <m/>
    <x v="1"/>
    <m/>
  </r>
  <r>
    <d v="2021-08-06T00:00:00"/>
    <x v="8"/>
    <x v="31"/>
    <x v="31"/>
    <n v="1607"/>
    <n v="1607"/>
    <n v="0"/>
    <x v="215"/>
    <s v="Cali"/>
  </r>
  <r>
    <d v="2021-08-06T00:00:00"/>
    <x v="8"/>
    <x v="1"/>
    <x v="1"/>
    <n v="-1607"/>
    <n v="0"/>
    <n v="1607"/>
    <x v="215"/>
    <s v="Cali"/>
  </r>
  <r>
    <m/>
    <x v="1"/>
    <x v="23"/>
    <x v="23"/>
    <m/>
    <m/>
    <m/>
    <x v="1"/>
    <m/>
  </r>
  <r>
    <d v="2021-08-06T00:00:00"/>
    <x v="8"/>
    <x v="31"/>
    <x v="31"/>
    <n v="305"/>
    <n v="305"/>
    <n v="0"/>
    <x v="215"/>
    <s v="Cali"/>
  </r>
  <r>
    <d v="2021-08-06T00:00:00"/>
    <x v="8"/>
    <x v="1"/>
    <x v="1"/>
    <n v="-305"/>
    <n v="0"/>
    <n v="305"/>
    <x v="215"/>
    <s v="Cali"/>
  </r>
  <r>
    <m/>
    <x v="1"/>
    <x v="23"/>
    <x v="23"/>
    <m/>
    <m/>
    <m/>
    <x v="1"/>
    <m/>
  </r>
  <r>
    <d v="2021-08-16T00:00:00"/>
    <x v="8"/>
    <x v="1"/>
    <x v="1"/>
    <n v="55000000"/>
    <n v="55000000"/>
    <n v="0"/>
    <x v="499"/>
    <s v="Cali"/>
  </r>
  <r>
    <d v="2021-08-16T00:00:00"/>
    <x v="8"/>
    <x v="3"/>
    <x v="3"/>
    <n v="-55000000"/>
    <n v="0"/>
    <n v="55000000"/>
    <x v="499"/>
    <s v="Cali"/>
  </r>
  <r>
    <m/>
    <x v="1"/>
    <x v="23"/>
    <x v="23"/>
    <m/>
    <m/>
    <m/>
    <x v="1"/>
    <m/>
  </r>
  <r>
    <d v="2021-08-18T00:00:00"/>
    <x v="8"/>
    <x v="11"/>
    <x v="11"/>
    <n v="-14840291"/>
    <n v="0"/>
    <n v="14840291"/>
    <x v="549"/>
    <s v="Cali"/>
  </r>
  <r>
    <d v="2021-08-18T00:00:00"/>
    <x v="8"/>
    <x v="8"/>
    <x v="8"/>
    <n v="126186115"/>
    <n v="126186115"/>
    <n v="0"/>
    <x v="129"/>
    <s v="Cali"/>
  </r>
  <r>
    <d v="2021-08-18T00:00:00"/>
    <x v="8"/>
    <x v="18"/>
    <x v="18"/>
    <n v="-5463800"/>
    <n v="0"/>
    <n v="5463800"/>
    <x v="550"/>
    <s v="Cali"/>
  </r>
  <r>
    <d v="2021-08-18T00:00:00"/>
    <x v="8"/>
    <x v="48"/>
    <x v="48"/>
    <n v="-105882024"/>
    <n v="0"/>
    <n v="105882024"/>
    <x v="551"/>
    <s v="Cali"/>
  </r>
  <r>
    <m/>
    <x v="1"/>
    <x v="23"/>
    <x v="23"/>
    <m/>
    <m/>
    <m/>
    <x v="1"/>
    <m/>
  </r>
  <r>
    <d v="2021-08-18T00:00:00"/>
    <x v="8"/>
    <x v="48"/>
    <x v="48"/>
    <n v="105882024"/>
    <n v="105882024"/>
    <n v="0"/>
    <x v="552"/>
    <s v="Cali"/>
  </r>
  <r>
    <d v="2021-08-18T00:00:00"/>
    <x v="8"/>
    <x v="1"/>
    <x v="1"/>
    <n v="-105882024"/>
    <n v="0"/>
    <n v="105882024"/>
    <x v="552"/>
    <s v="Cali"/>
  </r>
  <r>
    <m/>
    <x v="1"/>
    <x v="23"/>
    <x v="23"/>
    <m/>
    <m/>
    <m/>
    <x v="1"/>
    <m/>
  </r>
  <r>
    <d v="2021-08-18T00:00:00"/>
    <x v="8"/>
    <x v="12"/>
    <x v="12"/>
    <n v="4314301"/>
    <n v="4314301"/>
    <n v="0"/>
    <x v="553"/>
    <s v="Cali"/>
  </r>
  <r>
    <d v="2021-08-18T00:00:00"/>
    <x v="8"/>
    <x v="1"/>
    <x v="1"/>
    <n v="-4314301"/>
    <n v="0"/>
    <n v="4314301"/>
    <x v="553"/>
    <s v="Cali"/>
  </r>
  <r>
    <m/>
    <x v="1"/>
    <x v="23"/>
    <x v="23"/>
    <m/>
    <m/>
    <m/>
    <x v="1"/>
    <m/>
  </r>
  <r>
    <d v="2021-08-27T00:00:00"/>
    <x v="8"/>
    <x v="1"/>
    <x v="1"/>
    <n v="5000000"/>
    <n v="5000000"/>
    <n v="0"/>
    <x v="499"/>
    <s v="Cali"/>
  </r>
  <r>
    <d v="2021-08-27T00:00:00"/>
    <x v="8"/>
    <x v="3"/>
    <x v="3"/>
    <n v="-5000000"/>
    <n v="0"/>
    <n v="5000000"/>
    <x v="499"/>
    <s v="Cali"/>
  </r>
  <r>
    <m/>
    <x v="1"/>
    <x v="23"/>
    <x v="23"/>
    <m/>
    <m/>
    <m/>
    <x v="1"/>
    <m/>
  </r>
  <r>
    <d v="2021-08-10T00:00:00"/>
    <x v="8"/>
    <x v="31"/>
    <x v="31"/>
    <n v="6725"/>
    <n v="6725"/>
    <n v="0"/>
    <x v="554"/>
    <s v="Cali"/>
  </r>
  <r>
    <d v="2021-08-10T00:00:00"/>
    <x v="8"/>
    <x v="51"/>
    <x v="51"/>
    <n v="-6725"/>
    <n v="0"/>
    <n v="6725"/>
    <x v="554"/>
    <s v="Cali"/>
  </r>
  <r>
    <m/>
    <x v="1"/>
    <x v="23"/>
    <x v="23"/>
    <m/>
    <m/>
    <m/>
    <x v="1"/>
    <m/>
  </r>
  <r>
    <d v="2021-08-24T00:00:00"/>
    <x v="8"/>
    <x v="51"/>
    <x v="51"/>
    <n v="580000"/>
    <n v="580000"/>
    <n v="0"/>
    <x v="555"/>
    <s v="Cali"/>
  </r>
  <r>
    <d v="2021-08-24T00:00:00"/>
    <x v="8"/>
    <x v="25"/>
    <x v="25"/>
    <n v="-580000"/>
    <n v="0"/>
    <n v="580000"/>
    <x v="555"/>
    <s v="Cali"/>
  </r>
  <r>
    <m/>
    <x v="1"/>
    <x v="23"/>
    <x v="23"/>
    <m/>
    <m/>
    <m/>
    <x v="1"/>
    <m/>
  </r>
  <r>
    <d v="2021-08-31T00:00:00"/>
    <x v="8"/>
    <x v="48"/>
    <x v="48"/>
    <n v="224"/>
    <n v="224"/>
    <n v="0"/>
    <x v="556"/>
    <s v="Cali"/>
  </r>
  <r>
    <d v="2021-08-31T00:00:00"/>
    <x v="8"/>
    <x v="31"/>
    <x v="31"/>
    <n v="-224"/>
    <n v="0"/>
    <n v="224"/>
    <x v="556"/>
    <s v="Cali"/>
  </r>
  <r>
    <m/>
    <x v="1"/>
    <x v="23"/>
    <x v="23"/>
    <m/>
    <m/>
    <m/>
    <x v="1"/>
    <m/>
  </r>
  <r>
    <d v="2021-08-31T00:00:00"/>
    <x v="8"/>
    <x v="46"/>
    <x v="46"/>
    <n v="0"/>
    <n v="0"/>
    <n v="0"/>
    <x v="110"/>
    <s v="Cali"/>
  </r>
  <r>
    <d v="2021-08-31T00:00:00"/>
    <x v="8"/>
    <x v="47"/>
    <x v="47"/>
    <n v="0"/>
    <n v="0"/>
    <n v="0"/>
    <x v="110"/>
    <s v="Cali"/>
  </r>
  <r>
    <m/>
    <x v="1"/>
    <x v="23"/>
    <x v="23"/>
    <m/>
    <m/>
    <m/>
    <x v="1"/>
    <m/>
  </r>
  <r>
    <d v="2021-08-31T00:00:00"/>
    <x v="8"/>
    <x v="2"/>
    <x v="2"/>
    <n v="0"/>
    <n v="0"/>
    <n v="0"/>
    <x v="111"/>
    <s v="Cali"/>
  </r>
  <r>
    <d v="2021-08-31T00:00:00"/>
    <x v="8"/>
    <x v="47"/>
    <x v="47"/>
    <n v="0"/>
    <n v="0"/>
    <n v="0"/>
    <x v="111"/>
    <s v="Cali"/>
  </r>
  <r>
    <m/>
    <x v="1"/>
    <x v="23"/>
    <x v="23"/>
    <m/>
    <m/>
    <m/>
    <x v="1"/>
    <m/>
  </r>
  <r>
    <d v="2021-08-31T00:00:00"/>
    <x v="8"/>
    <x v="3"/>
    <x v="3"/>
    <n v="23143"/>
    <n v="23143"/>
    <n v="0"/>
    <x v="112"/>
    <s v="Cali"/>
  </r>
  <r>
    <d v="2021-08-31T00:00:00"/>
    <x v="8"/>
    <x v="47"/>
    <x v="47"/>
    <n v="-23143"/>
    <n v="0"/>
    <n v="23143"/>
    <x v="112"/>
    <s v="Cali"/>
  </r>
  <r>
    <m/>
    <x v="1"/>
    <x v="23"/>
    <x v="23"/>
    <m/>
    <m/>
    <m/>
    <x v="1"/>
    <m/>
  </r>
  <r>
    <d v="2021-08-31T00:00:00"/>
    <x v="8"/>
    <x v="53"/>
    <x v="53"/>
    <n v="0"/>
    <n v="0"/>
    <n v="0"/>
    <x v="305"/>
    <s v="Cali"/>
  </r>
  <r>
    <d v="2021-08-31T00:00:00"/>
    <x v="8"/>
    <x v="47"/>
    <x v="47"/>
    <n v="0"/>
    <n v="0"/>
    <n v="0"/>
    <x v="305"/>
    <s v="Cali"/>
  </r>
  <r>
    <m/>
    <x v="1"/>
    <x v="23"/>
    <x v="23"/>
    <m/>
    <m/>
    <m/>
    <x v="1"/>
    <m/>
  </r>
  <r>
    <d v="2021-08-31T00:00:00"/>
    <x v="8"/>
    <x v="4"/>
    <x v="4"/>
    <n v="0"/>
    <n v="0"/>
    <n v="0"/>
    <x v="512"/>
    <s v="Cali"/>
  </r>
  <r>
    <d v="2021-08-31T00:00:00"/>
    <x v="8"/>
    <x v="29"/>
    <x v="29"/>
    <n v="0"/>
    <n v="0"/>
    <n v="0"/>
    <x v="512"/>
    <s v="Cali"/>
  </r>
  <r>
    <m/>
    <x v="1"/>
    <x v="23"/>
    <x v="23"/>
    <m/>
    <m/>
    <m/>
    <x v="1"/>
    <m/>
  </r>
  <r>
    <d v="2021-08-31T00:00:00"/>
    <x v="8"/>
    <x v="31"/>
    <x v="31"/>
    <n v="4"/>
    <n v="4"/>
    <n v="0"/>
    <x v="557"/>
    <s v="Cali"/>
  </r>
  <r>
    <d v="2021-08-31T00:00:00"/>
    <x v="8"/>
    <x v="44"/>
    <x v="44"/>
    <n v="-10"/>
    <n v="0"/>
    <n v="10"/>
    <x v="557"/>
    <s v="Cali"/>
  </r>
  <r>
    <d v="2021-08-31T00:00:00"/>
    <x v="8"/>
    <x v="45"/>
    <x v="45"/>
    <n v="6"/>
    <n v="6"/>
    <n v="0"/>
    <x v="557"/>
    <s v="Cali"/>
  </r>
  <r>
    <m/>
    <x v="1"/>
    <x v="23"/>
    <x v="23"/>
    <m/>
    <m/>
    <m/>
    <x v="1"/>
    <m/>
  </r>
  <r>
    <d v="2021-09-01T00:00:00"/>
    <x v="9"/>
    <x v="0"/>
    <x v="0"/>
    <n v="20000"/>
    <n v="20000"/>
    <n v="0"/>
    <x v="151"/>
    <s v="Cali"/>
  </r>
  <r>
    <d v="2021-09-01T00:00:00"/>
    <x v="9"/>
    <x v="25"/>
    <x v="25"/>
    <n v="-20000"/>
    <n v="0"/>
    <n v="20000"/>
    <x v="151"/>
    <s v="Cali"/>
  </r>
  <r>
    <m/>
    <x v="1"/>
    <x v="23"/>
    <x v="23"/>
    <m/>
    <m/>
    <m/>
    <x v="1"/>
    <m/>
  </r>
  <r>
    <d v="2021-09-01T00:00:00"/>
    <x v="9"/>
    <x v="0"/>
    <x v="0"/>
    <n v="20000"/>
    <n v="20000"/>
    <n v="0"/>
    <x v="308"/>
    <s v="Cali"/>
  </r>
  <r>
    <d v="2021-09-01T00:00:00"/>
    <x v="9"/>
    <x v="25"/>
    <x v="25"/>
    <n v="-20000"/>
    <n v="0"/>
    <n v="20000"/>
    <x v="308"/>
    <s v="Cali"/>
  </r>
  <r>
    <m/>
    <x v="1"/>
    <x v="23"/>
    <x v="23"/>
    <m/>
    <m/>
    <m/>
    <x v="1"/>
    <m/>
  </r>
  <r>
    <d v="2021-09-01T00:00:00"/>
    <x v="9"/>
    <x v="0"/>
    <x v="0"/>
    <n v="30000"/>
    <n v="30000"/>
    <n v="0"/>
    <x v="309"/>
    <s v="Cali"/>
  </r>
  <r>
    <d v="2021-09-01T00:00:00"/>
    <x v="9"/>
    <x v="26"/>
    <x v="26"/>
    <n v="-30000"/>
    <n v="0"/>
    <n v="30000"/>
    <x v="309"/>
    <s v="Cali"/>
  </r>
  <r>
    <m/>
    <x v="1"/>
    <x v="23"/>
    <x v="23"/>
    <m/>
    <m/>
    <m/>
    <x v="1"/>
    <m/>
  </r>
  <r>
    <d v="2021-09-01T00:00:00"/>
    <x v="9"/>
    <x v="0"/>
    <x v="0"/>
    <n v="10000"/>
    <n v="10000"/>
    <n v="0"/>
    <x v="142"/>
    <s v="Cali"/>
  </r>
  <r>
    <d v="2021-09-01T00:00:00"/>
    <x v="9"/>
    <x v="25"/>
    <x v="25"/>
    <n v="-10000"/>
    <n v="0"/>
    <n v="10000"/>
    <x v="142"/>
    <s v="Cali"/>
  </r>
  <r>
    <m/>
    <x v="1"/>
    <x v="23"/>
    <x v="23"/>
    <m/>
    <m/>
    <m/>
    <x v="1"/>
    <m/>
  </r>
  <r>
    <d v="2021-09-01T00:00:00"/>
    <x v="9"/>
    <x v="0"/>
    <x v="0"/>
    <n v="50000"/>
    <n v="50000"/>
    <n v="0"/>
    <x v="143"/>
    <s v="Cali"/>
  </r>
  <r>
    <d v="2021-09-01T00:00:00"/>
    <x v="9"/>
    <x v="25"/>
    <x v="25"/>
    <n v="-50000"/>
    <n v="0"/>
    <n v="50000"/>
    <x v="143"/>
    <s v="Cali"/>
  </r>
  <r>
    <m/>
    <x v="1"/>
    <x v="23"/>
    <x v="23"/>
    <m/>
    <m/>
    <m/>
    <x v="1"/>
    <m/>
  </r>
  <r>
    <d v="2021-09-01T00:00:00"/>
    <x v="9"/>
    <x v="0"/>
    <x v="0"/>
    <n v="48000"/>
    <n v="48000"/>
    <n v="0"/>
    <x v="144"/>
    <s v="Cali"/>
  </r>
  <r>
    <d v="2021-09-01T00:00:00"/>
    <x v="9"/>
    <x v="27"/>
    <x v="27"/>
    <n v="-48000"/>
    <n v="0"/>
    <n v="48000"/>
    <x v="144"/>
    <s v="Cali"/>
  </r>
  <r>
    <m/>
    <x v="1"/>
    <x v="23"/>
    <x v="23"/>
    <m/>
    <m/>
    <m/>
    <x v="1"/>
    <m/>
  </r>
  <r>
    <d v="2021-09-01T00:00:00"/>
    <x v="9"/>
    <x v="0"/>
    <x v="0"/>
    <n v="40000"/>
    <n v="40000"/>
    <n v="0"/>
    <x v="145"/>
    <s v="Cali"/>
  </r>
  <r>
    <d v="2021-09-01T00:00:00"/>
    <x v="9"/>
    <x v="25"/>
    <x v="25"/>
    <n v="-40000"/>
    <n v="0"/>
    <n v="40000"/>
    <x v="145"/>
    <s v="Cali"/>
  </r>
  <r>
    <m/>
    <x v="1"/>
    <x v="23"/>
    <x v="23"/>
    <m/>
    <m/>
    <m/>
    <x v="1"/>
    <m/>
  </r>
  <r>
    <d v="2021-09-01T00:00:00"/>
    <x v="9"/>
    <x v="0"/>
    <x v="0"/>
    <n v="20000"/>
    <n v="20000"/>
    <n v="0"/>
    <x v="17"/>
    <s v="Cali"/>
  </r>
  <r>
    <d v="2021-09-01T00:00:00"/>
    <x v="9"/>
    <x v="25"/>
    <x v="25"/>
    <n v="-20000"/>
    <n v="0"/>
    <n v="20000"/>
    <x v="17"/>
    <s v="Cali"/>
  </r>
  <r>
    <m/>
    <x v="1"/>
    <x v="23"/>
    <x v="23"/>
    <m/>
    <m/>
    <m/>
    <x v="1"/>
    <m/>
  </r>
  <r>
    <d v="2021-09-01T00:00:00"/>
    <x v="9"/>
    <x v="0"/>
    <x v="0"/>
    <n v="40000"/>
    <n v="40000"/>
    <n v="0"/>
    <x v="168"/>
    <s v="Cali"/>
  </r>
  <r>
    <d v="2021-09-01T00:00:00"/>
    <x v="9"/>
    <x v="26"/>
    <x v="26"/>
    <n v="-40000"/>
    <n v="0"/>
    <n v="40000"/>
    <x v="168"/>
    <s v="Cali"/>
  </r>
  <r>
    <m/>
    <x v="1"/>
    <x v="23"/>
    <x v="23"/>
    <m/>
    <m/>
    <m/>
    <x v="1"/>
    <m/>
  </r>
  <r>
    <d v="2021-09-01T00:00:00"/>
    <x v="9"/>
    <x v="0"/>
    <x v="0"/>
    <n v="30000"/>
    <n v="30000"/>
    <n v="0"/>
    <x v="147"/>
    <s v="Cali"/>
  </r>
  <r>
    <d v="2021-09-01T00:00:00"/>
    <x v="9"/>
    <x v="26"/>
    <x v="26"/>
    <n v="-30000"/>
    <n v="0"/>
    <n v="30000"/>
    <x v="147"/>
    <s v="Cali"/>
  </r>
  <r>
    <m/>
    <x v="1"/>
    <x v="23"/>
    <x v="23"/>
    <m/>
    <m/>
    <m/>
    <x v="1"/>
    <m/>
  </r>
  <r>
    <d v="2021-09-01T00:00:00"/>
    <x v="9"/>
    <x v="0"/>
    <x v="0"/>
    <n v="20000"/>
    <n v="20000"/>
    <n v="0"/>
    <x v="146"/>
    <s v="Cali"/>
  </r>
  <r>
    <d v="2021-09-01T00:00:00"/>
    <x v="9"/>
    <x v="26"/>
    <x v="26"/>
    <n v="-20000"/>
    <n v="0"/>
    <n v="20000"/>
    <x v="146"/>
    <s v="Cali"/>
  </r>
  <r>
    <m/>
    <x v="1"/>
    <x v="23"/>
    <x v="23"/>
    <m/>
    <m/>
    <m/>
    <x v="1"/>
    <m/>
  </r>
  <r>
    <d v="2021-09-01T00:00:00"/>
    <x v="9"/>
    <x v="0"/>
    <x v="0"/>
    <n v="15000"/>
    <n v="15000"/>
    <n v="0"/>
    <x v="415"/>
    <s v="Cali"/>
  </r>
  <r>
    <d v="2021-09-01T00:00:00"/>
    <x v="9"/>
    <x v="25"/>
    <x v="25"/>
    <n v="-15000"/>
    <n v="0"/>
    <n v="15000"/>
    <x v="415"/>
    <s v="Cali"/>
  </r>
  <r>
    <m/>
    <x v="1"/>
    <x v="23"/>
    <x v="23"/>
    <m/>
    <m/>
    <m/>
    <x v="1"/>
    <m/>
  </r>
  <r>
    <d v="2021-09-01T00:00:00"/>
    <x v="9"/>
    <x v="0"/>
    <x v="0"/>
    <n v="70000"/>
    <n v="70000"/>
    <n v="0"/>
    <x v="515"/>
    <s v="Cali"/>
  </r>
  <r>
    <d v="2021-09-01T00:00:00"/>
    <x v="9"/>
    <x v="26"/>
    <x v="26"/>
    <n v="-70000"/>
    <n v="0"/>
    <n v="70000"/>
    <x v="515"/>
    <s v="Cali"/>
  </r>
  <r>
    <m/>
    <x v="1"/>
    <x v="23"/>
    <x v="23"/>
    <m/>
    <m/>
    <m/>
    <x v="1"/>
    <m/>
  </r>
  <r>
    <d v="2021-09-01T00:00:00"/>
    <x v="9"/>
    <x v="0"/>
    <x v="0"/>
    <n v="15000"/>
    <n v="15000"/>
    <n v="0"/>
    <x v="364"/>
    <s v="Cali"/>
  </r>
  <r>
    <d v="2021-09-01T00:00:00"/>
    <x v="9"/>
    <x v="25"/>
    <x v="25"/>
    <n v="-15000"/>
    <n v="0"/>
    <n v="15000"/>
    <x v="364"/>
    <s v="Cali"/>
  </r>
  <r>
    <m/>
    <x v="1"/>
    <x v="23"/>
    <x v="23"/>
    <m/>
    <m/>
    <m/>
    <x v="1"/>
    <m/>
  </r>
  <r>
    <d v="2021-09-01T00:00:00"/>
    <x v="9"/>
    <x v="0"/>
    <x v="0"/>
    <n v="15000"/>
    <n v="15000"/>
    <n v="0"/>
    <x v="148"/>
    <s v="Cali"/>
  </r>
  <r>
    <d v="2021-09-01T00:00:00"/>
    <x v="9"/>
    <x v="25"/>
    <x v="25"/>
    <n v="-15000"/>
    <n v="0"/>
    <n v="15000"/>
    <x v="148"/>
    <s v="Cali"/>
  </r>
  <r>
    <m/>
    <x v="1"/>
    <x v="23"/>
    <x v="23"/>
    <m/>
    <m/>
    <m/>
    <x v="1"/>
    <m/>
  </r>
  <r>
    <d v="2021-09-01T00:00:00"/>
    <x v="9"/>
    <x v="0"/>
    <x v="0"/>
    <n v="30000"/>
    <n v="30000"/>
    <n v="0"/>
    <x v="514"/>
    <s v="Cali"/>
  </r>
  <r>
    <d v="2021-09-01T00:00:00"/>
    <x v="9"/>
    <x v="25"/>
    <x v="25"/>
    <n v="-30000"/>
    <n v="0"/>
    <n v="30000"/>
    <x v="514"/>
    <s v="Cali"/>
  </r>
  <r>
    <m/>
    <x v="1"/>
    <x v="23"/>
    <x v="23"/>
    <m/>
    <m/>
    <m/>
    <x v="1"/>
    <m/>
  </r>
  <r>
    <d v="2021-09-01T00:00:00"/>
    <x v="9"/>
    <x v="0"/>
    <x v="0"/>
    <n v="30000"/>
    <n v="30000"/>
    <n v="0"/>
    <x v="307"/>
    <s v="Cali"/>
  </r>
  <r>
    <d v="2021-09-01T00:00:00"/>
    <x v="9"/>
    <x v="25"/>
    <x v="25"/>
    <n v="-30000"/>
    <n v="0"/>
    <n v="30000"/>
    <x v="307"/>
    <s v="Cali"/>
  </r>
  <r>
    <m/>
    <x v="1"/>
    <x v="23"/>
    <x v="23"/>
    <m/>
    <m/>
    <m/>
    <x v="1"/>
    <m/>
  </r>
  <r>
    <d v="2021-09-01T00:00:00"/>
    <x v="9"/>
    <x v="0"/>
    <x v="0"/>
    <n v="80000"/>
    <n v="80000"/>
    <n v="0"/>
    <x v="517"/>
    <s v="Cali"/>
  </r>
  <r>
    <d v="2021-09-01T00:00:00"/>
    <x v="9"/>
    <x v="19"/>
    <x v="19"/>
    <n v="-80000"/>
    <n v="0"/>
    <n v="80000"/>
    <x v="517"/>
    <s v="Cali"/>
  </r>
  <r>
    <m/>
    <x v="1"/>
    <x v="23"/>
    <x v="23"/>
    <m/>
    <m/>
    <m/>
    <x v="1"/>
    <m/>
  </r>
  <r>
    <d v="2021-09-01T00:00:00"/>
    <x v="9"/>
    <x v="0"/>
    <x v="0"/>
    <n v="40000"/>
    <n v="40000"/>
    <n v="0"/>
    <x v="558"/>
    <s v="Cali"/>
  </r>
  <r>
    <d v="2021-09-01T00:00:00"/>
    <x v="9"/>
    <x v="27"/>
    <x v="27"/>
    <n v="-40000"/>
    <n v="0"/>
    <n v="40000"/>
    <x v="558"/>
    <s v="Cali"/>
  </r>
  <r>
    <m/>
    <x v="1"/>
    <x v="23"/>
    <x v="23"/>
    <m/>
    <m/>
    <m/>
    <x v="1"/>
    <m/>
  </r>
  <r>
    <d v="2021-09-01T00:00:00"/>
    <x v="9"/>
    <x v="0"/>
    <x v="0"/>
    <n v="45000"/>
    <n v="45000"/>
    <n v="0"/>
    <x v="161"/>
    <s v="Cali"/>
  </r>
  <r>
    <d v="2021-09-01T00:00:00"/>
    <x v="9"/>
    <x v="26"/>
    <x v="26"/>
    <n v="-45000"/>
    <n v="0"/>
    <n v="45000"/>
    <x v="161"/>
    <s v="Cali"/>
  </r>
  <r>
    <m/>
    <x v="1"/>
    <x v="23"/>
    <x v="23"/>
    <m/>
    <m/>
    <m/>
    <x v="1"/>
    <m/>
  </r>
  <r>
    <d v="2021-09-01T00:00:00"/>
    <x v="9"/>
    <x v="0"/>
    <x v="0"/>
    <n v="20000"/>
    <n v="20000"/>
    <n v="0"/>
    <x v="246"/>
    <s v="Cali"/>
  </r>
  <r>
    <d v="2021-09-01T00:00:00"/>
    <x v="9"/>
    <x v="25"/>
    <x v="25"/>
    <n v="-20000"/>
    <n v="0"/>
    <n v="20000"/>
    <x v="246"/>
    <s v="Cali"/>
  </r>
  <r>
    <m/>
    <x v="1"/>
    <x v="23"/>
    <x v="23"/>
    <m/>
    <m/>
    <m/>
    <x v="1"/>
    <m/>
  </r>
  <r>
    <d v="2021-09-02T00:00:00"/>
    <x v="9"/>
    <x v="0"/>
    <x v="0"/>
    <n v="200000"/>
    <n v="200000"/>
    <n v="0"/>
    <x v="242"/>
    <s v="Cali"/>
  </r>
  <r>
    <d v="2021-09-02T00:00:00"/>
    <x v="9"/>
    <x v="26"/>
    <x v="26"/>
    <n v="-200000"/>
    <n v="0"/>
    <n v="200000"/>
    <x v="242"/>
    <s v="Cali"/>
  </r>
  <r>
    <m/>
    <x v="1"/>
    <x v="23"/>
    <x v="23"/>
    <m/>
    <m/>
    <m/>
    <x v="1"/>
    <m/>
  </r>
  <r>
    <d v="2021-09-02T00:00:00"/>
    <x v="9"/>
    <x v="0"/>
    <x v="0"/>
    <n v="20000"/>
    <n v="20000"/>
    <n v="0"/>
    <x v="205"/>
    <s v="Cali"/>
  </r>
  <r>
    <d v="2021-09-02T00:00:00"/>
    <x v="9"/>
    <x v="27"/>
    <x v="27"/>
    <n v="-20000"/>
    <n v="0"/>
    <n v="20000"/>
    <x v="205"/>
    <s v="Cali"/>
  </r>
  <r>
    <m/>
    <x v="1"/>
    <x v="23"/>
    <x v="23"/>
    <m/>
    <m/>
    <m/>
    <x v="1"/>
    <m/>
  </r>
  <r>
    <d v="2021-09-02T00:00:00"/>
    <x v="9"/>
    <x v="0"/>
    <x v="0"/>
    <n v="20000"/>
    <n v="20000"/>
    <n v="0"/>
    <x v="165"/>
    <s v="Cali"/>
  </r>
  <r>
    <d v="2021-09-02T00:00:00"/>
    <x v="9"/>
    <x v="25"/>
    <x v="25"/>
    <n v="-20000"/>
    <n v="0"/>
    <n v="20000"/>
    <x v="165"/>
    <s v="Cali"/>
  </r>
  <r>
    <m/>
    <x v="1"/>
    <x v="23"/>
    <x v="23"/>
    <m/>
    <m/>
    <m/>
    <x v="1"/>
    <m/>
  </r>
  <r>
    <d v="2021-09-02T00:00:00"/>
    <x v="9"/>
    <x v="0"/>
    <x v="0"/>
    <n v="20000"/>
    <n v="20000"/>
    <n v="0"/>
    <x v="137"/>
    <s v="Cali"/>
  </r>
  <r>
    <d v="2021-09-02T00:00:00"/>
    <x v="9"/>
    <x v="26"/>
    <x v="26"/>
    <n v="-20000"/>
    <n v="0"/>
    <n v="20000"/>
    <x v="137"/>
    <s v="Cali"/>
  </r>
  <r>
    <m/>
    <x v="1"/>
    <x v="23"/>
    <x v="23"/>
    <m/>
    <m/>
    <m/>
    <x v="1"/>
    <m/>
  </r>
  <r>
    <d v="2021-09-02T00:00:00"/>
    <x v="9"/>
    <x v="0"/>
    <x v="0"/>
    <n v="20000"/>
    <n v="20000"/>
    <n v="0"/>
    <x v="175"/>
    <s v="Cali"/>
  </r>
  <r>
    <d v="2021-09-02T00:00:00"/>
    <x v="9"/>
    <x v="25"/>
    <x v="25"/>
    <n v="-20000"/>
    <n v="0"/>
    <n v="20000"/>
    <x v="175"/>
    <s v="Cali"/>
  </r>
  <r>
    <m/>
    <x v="1"/>
    <x v="23"/>
    <x v="23"/>
    <m/>
    <m/>
    <m/>
    <x v="1"/>
    <m/>
  </r>
  <r>
    <d v="2021-09-02T00:00:00"/>
    <x v="9"/>
    <x v="0"/>
    <x v="0"/>
    <n v="160000"/>
    <n v="160000"/>
    <n v="0"/>
    <x v="22"/>
    <s v="Cali"/>
  </r>
  <r>
    <d v="2021-09-02T00:00:00"/>
    <x v="9"/>
    <x v="27"/>
    <x v="27"/>
    <n v="-160000"/>
    <n v="0"/>
    <n v="160000"/>
    <x v="22"/>
    <s v="Cali"/>
  </r>
  <r>
    <m/>
    <x v="1"/>
    <x v="23"/>
    <x v="23"/>
    <m/>
    <m/>
    <m/>
    <x v="1"/>
    <m/>
  </r>
  <r>
    <d v="2021-09-02T00:00:00"/>
    <x v="9"/>
    <x v="0"/>
    <x v="0"/>
    <n v="60000"/>
    <n v="60000"/>
    <n v="0"/>
    <x v="372"/>
    <s v="Cali"/>
  </r>
  <r>
    <d v="2021-09-02T00:00:00"/>
    <x v="9"/>
    <x v="25"/>
    <x v="25"/>
    <n v="-60000"/>
    <n v="0"/>
    <n v="60000"/>
    <x v="372"/>
    <s v="Cali"/>
  </r>
  <r>
    <m/>
    <x v="1"/>
    <x v="23"/>
    <x v="23"/>
    <m/>
    <m/>
    <m/>
    <x v="1"/>
    <m/>
  </r>
  <r>
    <d v="2021-09-03T00:00:00"/>
    <x v="9"/>
    <x v="0"/>
    <x v="0"/>
    <n v="12000"/>
    <n v="12000"/>
    <n v="0"/>
    <x v="310"/>
    <s v="Cali"/>
  </r>
  <r>
    <d v="2021-09-03T00:00:00"/>
    <x v="9"/>
    <x v="25"/>
    <x v="25"/>
    <n v="-12000"/>
    <n v="0"/>
    <n v="12000"/>
    <x v="310"/>
    <s v="Cali"/>
  </r>
  <r>
    <m/>
    <x v="1"/>
    <x v="23"/>
    <x v="23"/>
    <m/>
    <m/>
    <m/>
    <x v="1"/>
    <m/>
  </r>
  <r>
    <d v="2021-09-03T00:00:00"/>
    <x v="9"/>
    <x v="0"/>
    <x v="0"/>
    <n v="30000"/>
    <n v="30000"/>
    <n v="0"/>
    <x v="164"/>
    <s v="Cali"/>
  </r>
  <r>
    <d v="2021-09-03T00:00:00"/>
    <x v="9"/>
    <x v="26"/>
    <x v="26"/>
    <n v="-30000"/>
    <n v="0"/>
    <n v="30000"/>
    <x v="164"/>
    <s v="Cali"/>
  </r>
  <r>
    <m/>
    <x v="1"/>
    <x v="23"/>
    <x v="23"/>
    <m/>
    <m/>
    <m/>
    <x v="1"/>
    <m/>
  </r>
  <r>
    <d v="2021-09-03T00:00:00"/>
    <x v="9"/>
    <x v="0"/>
    <x v="0"/>
    <n v="20000"/>
    <n v="20000"/>
    <n v="0"/>
    <x v="199"/>
    <s v="Cali"/>
  </r>
  <r>
    <d v="2021-09-03T00:00:00"/>
    <x v="9"/>
    <x v="27"/>
    <x v="27"/>
    <n v="-20000"/>
    <n v="0"/>
    <n v="20000"/>
    <x v="199"/>
    <s v="Cali"/>
  </r>
  <r>
    <m/>
    <x v="1"/>
    <x v="23"/>
    <x v="23"/>
    <m/>
    <m/>
    <m/>
    <x v="1"/>
    <m/>
  </r>
  <r>
    <d v="2021-09-03T00:00:00"/>
    <x v="9"/>
    <x v="0"/>
    <x v="0"/>
    <n v="29382"/>
    <n v="29382"/>
    <n v="0"/>
    <x v="248"/>
    <s v="Cali"/>
  </r>
  <r>
    <d v="2021-09-03T00:00:00"/>
    <x v="9"/>
    <x v="26"/>
    <x v="26"/>
    <n v="-29382"/>
    <n v="0"/>
    <n v="29382"/>
    <x v="248"/>
    <s v="Cali"/>
  </r>
  <r>
    <m/>
    <x v="1"/>
    <x v="23"/>
    <x v="23"/>
    <m/>
    <m/>
    <m/>
    <x v="1"/>
    <m/>
  </r>
  <r>
    <d v="2021-09-03T00:00:00"/>
    <x v="9"/>
    <x v="0"/>
    <x v="0"/>
    <n v="70000"/>
    <n v="70000"/>
    <n v="0"/>
    <x v="37"/>
    <s v="Cali"/>
  </r>
  <r>
    <d v="2021-09-03T00:00:00"/>
    <x v="9"/>
    <x v="25"/>
    <x v="25"/>
    <n v="-70000"/>
    <n v="0"/>
    <n v="70000"/>
    <x v="37"/>
    <s v="Cali"/>
  </r>
  <r>
    <m/>
    <x v="1"/>
    <x v="23"/>
    <x v="23"/>
    <m/>
    <m/>
    <m/>
    <x v="1"/>
    <m/>
  </r>
  <r>
    <d v="2021-09-03T00:00:00"/>
    <x v="9"/>
    <x v="0"/>
    <x v="0"/>
    <n v="25000"/>
    <n v="25000"/>
    <n v="0"/>
    <x v="38"/>
    <s v="Cali"/>
  </r>
  <r>
    <d v="2021-09-03T00:00:00"/>
    <x v="9"/>
    <x v="25"/>
    <x v="25"/>
    <n v="-25000"/>
    <n v="0"/>
    <n v="25000"/>
    <x v="38"/>
    <s v="Cali"/>
  </r>
  <r>
    <m/>
    <x v="1"/>
    <x v="23"/>
    <x v="23"/>
    <m/>
    <m/>
    <m/>
    <x v="1"/>
    <m/>
  </r>
  <r>
    <d v="2021-09-03T00:00:00"/>
    <x v="9"/>
    <x v="0"/>
    <x v="0"/>
    <n v="15000"/>
    <n v="15000"/>
    <n v="0"/>
    <x v="150"/>
    <s v="Cali"/>
  </r>
  <r>
    <d v="2021-09-03T00:00:00"/>
    <x v="9"/>
    <x v="19"/>
    <x v="19"/>
    <n v="-15000"/>
    <n v="0"/>
    <n v="15000"/>
    <x v="150"/>
    <s v="Cali"/>
  </r>
  <r>
    <m/>
    <x v="1"/>
    <x v="23"/>
    <x v="23"/>
    <m/>
    <m/>
    <m/>
    <x v="1"/>
    <m/>
  </r>
  <r>
    <d v="2021-09-03T00:00:00"/>
    <x v="9"/>
    <x v="0"/>
    <x v="0"/>
    <n v="120000"/>
    <n v="120000"/>
    <n v="0"/>
    <x v="155"/>
    <s v="Cali"/>
  </r>
  <r>
    <d v="2021-09-03T00:00:00"/>
    <x v="9"/>
    <x v="27"/>
    <x v="27"/>
    <n v="-120000"/>
    <n v="0"/>
    <n v="120000"/>
    <x v="155"/>
    <s v="Cali"/>
  </r>
  <r>
    <m/>
    <x v="1"/>
    <x v="23"/>
    <x v="23"/>
    <m/>
    <m/>
    <m/>
    <x v="1"/>
    <m/>
  </r>
  <r>
    <d v="2021-09-03T00:00:00"/>
    <x v="9"/>
    <x v="31"/>
    <x v="31"/>
    <n v="1425"/>
    <n v="1425"/>
    <n v="0"/>
    <x v="172"/>
    <s v="Cali"/>
  </r>
  <r>
    <d v="2021-09-03T00:00:00"/>
    <x v="9"/>
    <x v="0"/>
    <x v="0"/>
    <n v="-1425"/>
    <n v="0"/>
    <n v="1425"/>
    <x v="172"/>
    <s v="Cali"/>
  </r>
  <r>
    <m/>
    <x v="1"/>
    <x v="23"/>
    <x v="23"/>
    <m/>
    <m/>
    <m/>
    <x v="1"/>
    <m/>
  </r>
  <r>
    <d v="2021-09-06T00:00:00"/>
    <x v="9"/>
    <x v="0"/>
    <x v="0"/>
    <n v="150000"/>
    <n v="150000"/>
    <n v="0"/>
    <x v="169"/>
    <s v="Cali"/>
  </r>
  <r>
    <d v="2021-09-06T00:00:00"/>
    <x v="9"/>
    <x v="25"/>
    <x v="25"/>
    <n v="-150000"/>
    <n v="0"/>
    <n v="150000"/>
    <x v="169"/>
    <s v="Cali"/>
  </r>
  <r>
    <m/>
    <x v="1"/>
    <x v="23"/>
    <x v="23"/>
    <m/>
    <m/>
    <m/>
    <x v="1"/>
    <m/>
  </r>
  <r>
    <d v="2021-09-06T00:00:00"/>
    <x v="9"/>
    <x v="0"/>
    <x v="0"/>
    <n v="100000"/>
    <n v="100000"/>
    <n v="0"/>
    <x v="363"/>
    <s v="Cali"/>
  </r>
  <r>
    <d v="2021-09-06T00:00:00"/>
    <x v="9"/>
    <x v="25"/>
    <x v="25"/>
    <n v="-100000"/>
    <n v="0"/>
    <n v="100000"/>
    <x v="363"/>
    <s v="Cali"/>
  </r>
  <r>
    <m/>
    <x v="1"/>
    <x v="23"/>
    <x v="23"/>
    <m/>
    <m/>
    <m/>
    <x v="1"/>
    <m/>
  </r>
  <r>
    <d v="2021-09-06T00:00:00"/>
    <x v="9"/>
    <x v="0"/>
    <x v="0"/>
    <n v="75000"/>
    <n v="75000"/>
    <n v="0"/>
    <x v="316"/>
    <s v="Cali"/>
  </r>
  <r>
    <d v="2021-09-06T00:00:00"/>
    <x v="9"/>
    <x v="25"/>
    <x v="25"/>
    <n v="-75000"/>
    <n v="0"/>
    <n v="75000"/>
    <x v="316"/>
    <s v="Cali"/>
  </r>
  <r>
    <m/>
    <x v="1"/>
    <x v="23"/>
    <x v="23"/>
    <m/>
    <m/>
    <m/>
    <x v="1"/>
    <m/>
  </r>
  <r>
    <d v="2021-09-06T00:00:00"/>
    <x v="9"/>
    <x v="0"/>
    <x v="0"/>
    <n v="2000"/>
    <n v="2000"/>
    <n v="0"/>
    <x v="177"/>
    <s v="Cali"/>
  </r>
  <r>
    <d v="2021-09-06T00:00:00"/>
    <x v="9"/>
    <x v="19"/>
    <x v="19"/>
    <n v="-2000"/>
    <n v="0"/>
    <n v="2000"/>
    <x v="177"/>
    <s v="Cali"/>
  </r>
  <r>
    <m/>
    <x v="1"/>
    <x v="23"/>
    <x v="23"/>
    <m/>
    <m/>
    <m/>
    <x v="1"/>
    <m/>
  </r>
  <r>
    <d v="2021-09-06T00:00:00"/>
    <x v="9"/>
    <x v="0"/>
    <x v="0"/>
    <n v="50000"/>
    <n v="50000"/>
    <n v="0"/>
    <x v="192"/>
    <s v="Cali"/>
  </r>
  <r>
    <d v="2021-09-06T00:00:00"/>
    <x v="9"/>
    <x v="26"/>
    <x v="26"/>
    <n v="-50000"/>
    <n v="0"/>
    <n v="50000"/>
    <x v="192"/>
    <s v="Cali"/>
  </r>
  <r>
    <m/>
    <x v="1"/>
    <x v="23"/>
    <x v="23"/>
    <m/>
    <m/>
    <m/>
    <x v="1"/>
    <m/>
  </r>
  <r>
    <d v="2021-09-06T00:00:00"/>
    <x v="9"/>
    <x v="0"/>
    <x v="0"/>
    <n v="40000"/>
    <n v="40000"/>
    <n v="0"/>
    <x v="176"/>
    <s v="Cali"/>
  </r>
  <r>
    <d v="2021-09-06T00:00:00"/>
    <x v="9"/>
    <x v="25"/>
    <x v="25"/>
    <n v="-40000"/>
    <n v="0"/>
    <n v="40000"/>
    <x v="176"/>
    <s v="Cali"/>
  </r>
  <r>
    <m/>
    <x v="1"/>
    <x v="23"/>
    <x v="23"/>
    <m/>
    <m/>
    <m/>
    <x v="1"/>
    <m/>
  </r>
  <r>
    <d v="2021-09-06T00:00:00"/>
    <x v="9"/>
    <x v="0"/>
    <x v="0"/>
    <n v="50000"/>
    <n v="50000"/>
    <n v="0"/>
    <x v="19"/>
    <s v="Cali"/>
  </r>
  <r>
    <d v="2021-09-06T00:00:00"/>
    <x v="9"/>
    <x v="25"/>
    <x v="25"/>
    <n v="-50000"/>
    <n v="0"/>
    <n v="50000"/>
    <x v="19"/>
    <s v="Cali"/>
  </r>
  <r>
    <m/>
    <x v="1"/>
    <x v="23"/>
    <x v="23"/>
    <m/>
    <m/>
    <m/>
    <x v="1"/>
    <m/>
  </r>
  <r>
    <d v="2021-09-06T00:00:00"/>
    <x v="9"/>
    <x v="0"/>
    <x v="0"/>
    <n v="100000"/>
    <n v="100000"/>
    <n v="0"/>
    <x v="374"/>
    <s v="Cali"/>
  </r>
  <r>
    <d v="2021-09-06T00:00:00"/>
    <x v="9"/>
    <x v="26"/>
    <x v="26"/>
    <n v="-100000"/>
    <n v="0"/>
    <n v="100000"/>
    <x v="374"/>
    <s v="Cali"/>
  </r>
  <r>
    <m/>
    <x v="1"/>
    <x v="23"/>
    <x v="23"/>
    <m/>
    <m/>
    <m/>
    <x v="1"/>
    <m/>
  </r>
  <r>
    <d v="2021-09-07T00:00:00"/>
    <x v="9"/>
    <x v="0"/>
    <x v="0"/>
    <n v="15000"/>
    <n v="15000"/>
    <n v="0"/>
    <x v="282"/>
    <s v="Cali"/>
  </r>
  <r>
    <d v="2021-09-07T00:00:00"/>
    <x v="9"/>
    <x v="25"/>
    <x v="25"/>
    <n v="-15000"/>
    <n v="0"/>
    <n v="15000"/>
    <x v="282"/>
    <s v="Cali"/>
  </r>
  <r>
    <m/>
    <x v="1"/>
    <x v="23"/>
    <x v="23"/>
    <m/>
    <m/>
    <m/>
    <x v="1"/>
    <m/>
  </r>
  <r>
    <d v="2021-09-07T00:00:00"/>
    <x v="9"/>
    <x v="0"/>
    <x v="0"/>
    <n v="99289"/>
    <n v="99289"/>
    <n v="0"/>
    <x v="388"/>
    <s v="Cali"/>
  </r>
  <r>
    <d v="2021-09-07T00:00:00"/>
    <x v="9"/>
    <x v="27"/>
    <x v="27"/>
    <n v="-99289"/>
    <n v="0"/>
    <n v="99289"/>
    <x v="388"/>
    <s v="Cali"/>
  </r>
  <r>
    <m/>
    <x v="1"/>
    <x v="23"/>
    <x v="23"/>
    <m/>
    <m/>
    <m/>
    <x v="1"/>
    <m/>
  </r>
  <r>
    <d v="2021-09-07T00:00:00"/>
    <x v="9"/>
    <x v="0"/>
    <x v="0"/>
    <n v="30000"/>
    <n v="30000"/>
    <n v="0"/>
    <x v="239"/>
    <s v="Cali"/>
  </r>
  <r>
    <d v="2021-09-07T00:00:00"/>
    <x v="9"/>
    <x v="27"/>
    <x v="27"/>
    <n v="-30000"/>
    <n v="0"/>
    <n v="30000"/>
    <x v="239"/>
    <s v="Cali"/>
  </r>
  <r>
    <m/>
    <x v="1"/>
    <x v="23"/>
    <x v="23"/>
    <m/>
    <m/>
    <m/>
    <x v="1"/>
    <m/>
  </r>
  <r>
    <d v="2021-09-07T00:00:00"/>
    <x v="9"/>
    <x v="0"/>
    <x v="0"/>
    <n v="60000"/>
    <n v="60000"/>
    <n v="0"/>
    <x v="160"/>
    <s v="Cali"/>
  </r>
  <r>
    <d v="2021-09-07T00:00:00"/>
    <x v="9"/>
    <x v="25"/>
    <x v="25"/>
    <n v="-60000"/>
    <n v="0"/>
    <n v="60000"/>
    <x v="160"/>
    <s v="Cali"/>
  </r>
  <r>
    <m/>
    <x v="1"/>
    <x v="23"/>
    <x v="23"/>
    <m/>
    <m/>
    <m/>
    <x v="1"/>
    <m/>
  </r>
  <r>
    <d v="2021-09-07T00:00:00"/>
    <x v="9"/>
    <x v="0"/>
    <x v="0"/>
    <n v="30000"/>
    <n v="30000"/>
    <n v="0"/>
    <x v="179"/>
    <s v="Cali"/>
  </r>
  <r>
    <d v="2021-09-07T00:00:00"/>
    <x v="9"/>
    <x v="25"/>
    <x v="25"/>
    <n v="-30000"/>
    <n v="0"/>
    <n v="30000"/>
    <x v="179"/>
    <s v="Cali"/>
  </r>
  <r>
    <m/>
    <x v="1"/>
    <x v="23"/>
    <x v="23"/>
    <m/>
    <m/>
    <m/>
    <x v="1"/>
    <m/>
  </r>
  <r>
    <d v="2021-09-08T00:00:00"/>
    <x v="9"/>
    <x v="0"/>
    <x v="0"/>
    <n v="12000"/>
    <n v="12000"/>
    <n v="0"/>
    <x v="191"/>
    <s v="Cali"/>
  </r>
  <r>
    <d v="2021-09-08T00:00:00"/>
    <x v="9"/>
    <x v="27"/>
    <x v="27"/>
    <n v="-12000"/>
    <n v="0"/>
    <n v="12000"/>
    <x v="191"/>
    <s v="Cali"/>
  </r>
  <r>
    <m/>
    <x v="1"/>
    <x v="23"/>
    <x v="23"/>
    <m/>
    <m/>
    <m/>
    <x v="1"/>
    <m/>
  </r>
  <r>
    <d v="2021-09-08T00:00:00"/>
    <x v="9"/>
    <x v="0"/>
    <x v="0"/>
    <n v="135000"/>
    <n v="135000"/>
    <n v="0"/>
    <x v="65"/>
    <s v="Cali"/>
  </r>
  <r>
    <d v="2021-09-08T00:00:00"/>
    <x v="9"/>
    <x v="29"/>
    <x v="29"/>
    <n v="-135000"/>
    <n v="0"/>
    <n v="135000"/>
    <x v="65"/>
    <s v="Cali"/>
  </r>
  <r>
    <m/>
    <x v="1"/>
    <x v="23"/>
    <x v="23"/>
    <m/>
    <m/>
    <m/>
    <x v="1"/>
    <m/>
  </r>
  <r>
    <d v="2021-09-08T00:00:00"/>
    <x v="9"/>
    <x v="0"/>
    <x v="0"/>
    <n v="35000"/>
    <n v="35000"/>
    <n v="0"/>
    <x v="65"/>
    <s v="Cali"/>
  </r>
  <r>
    <d v="2021-09-08T00:00:00"/>
    <x v="9"/>
    <x v="4"/>
    <x v="4"/>
    <n v="-35000"/>
    <n v="0"/>
    <n v="35000"/>
    <x v="65"/>
    <s v="Cali"/>
  </r>
  <r>
    <m/>
    <x v="1"/>
    <x v="23"/>
    <x v="23"/>
    <m/>
    <m/>
    <m/>
    <x v="1"/>
    <m/>
  </r>
  <r>
    <d v="2021-09-08T00:00:00"/>
    <x v="9"/>
    <x v="0"/>
    <x v="0"/>
    <n v="20000"/>
    <n v="20000"/>
    <n v="0"/>
    <x v="65"/>
    <s v="Cali"/>
  </r>
  <r>
    <d v="2021-09-08T00:00:00"/>
    <x v="9"/>
    <x v="29"/>
    <x v="29"/>
    <n v="-20000"/>
    <n v="0"/>
    <n v="20000"/>
    <x v="65"/>
    <s v="Cali"/>
  </r>
  <r>
    <m/>
    <x v="1"/>
    <x v="23"/>
    <x v="23"/>
    <m/>
    <m/>
    <m/>
    <x v="1"/>
    <m/>
  </r>
  <r>
    <d v="2021-09-09T00:00:00"/>
    <x v="9"/>
    <x v="0"/>
    <x v="0"/>
    <n v="150000"/>
    <n v="150000"/>
    <n v="0"/>
    <x v="251"/>
    <s v="Cali"/>
  </r>
  <r>
    <d v="2021-09-09T00:00:00"/>
    <x v="9"/>
    <x v="27"/>
    <x v="27"/>
    <n v="-150000"/>
    <n v="0"/>
    <n v="150000"/>
    <x v="251"/>
    <s v="Cali"/>
  </r>
  <r>
    <m/>
    <x v="1"/>
    <x v="23"/>
    <x v="23"/>
    <m/>
    <m/>
    <m/>
    <x v="1"/>
    <m/>
  </r>
  <r>
    <d v="2021-09-09T00:00:00"/>
    <x v="9"/>
    <x v="0"/>
    <x v="0"/>
    <n v="15000"/>
    <n v="15000"/>
    <n v="0"/>
    <x v="420"/>
    <s v="Cali"/>
  </r>
  <r>
    <d v="2021-09-09T00:00:00"/>
    <x v="9"/>
    <x v="26"/>
    <x v="26"/>
    <n v="-15000"/>
    <n v="0"/>
    <n v="15000"/>
    <x v="420"/>
    <s v="Cali"/>
  </r>
  <r>
    <m/>
    <x v="1"/>
    <x v="23"/>
    <x v="23"/>
    <m/>
    <m/>
    <m/>
    <x v="1"/>
    <m/>
  </r>
  <r>
    <d v="2021-09-09T00:00:00"/>
    <x v="9"/>
    <x v="0"/>
    <x v="0"/>
    <n v="60000"/>
    <n v="60000"/>
    <n v="0"/>
    <x v="202"/>
    <s v="Cali"/>
  </r>
  <r>
    <d v="2021-09-09T00:00:00"/>
    <x v="9"/>
    <x v="27"/>
    <x v="27"/>
    <n v="-60000"/>
    <n v="0"/>
    <n v="60000"/>
    <x v="202"/>
    <s v="Cali"/>
  </r>
  <r>
    <m/>
    <x v="1"/>
    <x v="23"/>
    <x v="23"/>
    <m/>
    <m/>
    <m/>
    <x v="1"/>
    <m/>
  </r>
  <r>
    <d v="2021-09-09T00:00:00"/>
    <x v="9"/>
    <x v="0"/>
    <x v="0"/>
    <n v="120000"/>
    <n v="120000"/>
    <n v="0"/>
    <x v="559"/>
    <s v="Cali"/>
  </r>
  <r>
    <d v="2021-09-09T00:00:00"/>
    <x v="9"/>
    <x v="26"/>
    <x v="26"/>
    <n v="-120000"/>
    <n v="0"/>
    <n v="120000"/>
    <x v="559"/>
    <s v="Cali"/>
  </r>
  <r>
    <m/>
    <x v="1"/>
    <x v="23"/>
    <x v="23"/>
    <m/>
    <m/>
    <m/>
    <x v="1"/>
    <m/>
  </r>
  <r>
    <d v="2021-09-10T00:00:00"/>
    <x v="9"/>
    <x v="0"/>
    <x v="0"/>
    <n v="1000000"/>
    <n v="1000000"/>
    <n v="0"/>
    <x v="560"/>
    <s v="Cali"/>
  </r>
  <r>
    <d v="2021-09-10T00:00:00"/>
    <x v="9"/>
    <x v="26"/>
    <x v="26"/>
    <n v="-1000000"/>
    <n v="0"/>
    <n v="1000000"/>
    <x v="560"/>
    <s v="Cali"/>
  </r>
  <r>
    <m/>
    <x v="1"/>
    <x v="23"/>
    <x v="23"/>
    <m/>
    <m/>
    <m/>
    <x v="1"/>
    <m/>
  </r>
  <r>
    <d v="2021-09-10T00:00:00"/>
    <x v="9"/>
    <x v="0"/>
    <x v="0"/>
    <n v="40000"/>
    <n v="40000"/>
    <n v="0"/>
    <x v="170"/>
    <s v="Cali"/>
  </r>
  <r>
    <d v="2021-09-10T00:00:00"/>
    <x v="9"/>
    <x v="26"/>
    <x v="26"/>
    <n v="-40000"/>
    <n v="0"/>
    <n v="40000"/>
    <x v="170"/>
    <s v="Cali"/>
  </r>
  <r>
    <m/>
    <x v="1"/>
    <x v="23"/>
    <x v="23"/>
    <m/>
    <m/>
    <m/>
    <x v="1"/>
    <m/>
  </r>
  <r>
    <d v="2021-09-10T00:00:00"/>
    <x v="9"/>
    <x v="0"/>
    <x v="0"/>
    <n v="60000"/>
    <n v="60000"/>
    <n v="0"/>
    <x v="524"/>
    <s v="Cali"/>
  </r>
  <r>
    <d v="2021-09-10T00:00:00"/>
    <x v="9"/>
    <x v="19"/>
    <x v="19"/>
    <n v="-60000"/>
    <n v="0"/>
    <n v="60000"/>
    <x v="524"/>
    <s v="Cali"/>
  </r>
  <r>
    <m/>
    <x v="1"/>
    <x v="23"/>
    <x v="23"/>
    <m/>
    <m/>
    <m/>
    <x v="1"/>
    <m/>
  </r>
  <r>
    <d v="2021-09-10T00:00:00"/>
    <x v="9"/>
    <x v="0"/>
    <x v="0"/>
    <n v="30000"/>
    <n v="30000"/>
    <n v="0"/>
    <x v="256"/>
    <s v="Cali"/>
  </r>
  <r>
    <d v="2021-09-10T00:00:00"/>
    <x v="9"/>
    <x v="25"/>
    <x v="25"/>
    <n v="-30000"/>
    <n v="0"/>
    <n v="30000"/>
    <x v="256"/>
    <s v="Cali"/>
  </r>
  <r>
    <m/>
    <x v="1"/>
    <x v="23"/>
    <x v="23"/>
    <m/>
    <m/>
    <m/>
    <x v="1"/>
    <m/>
  </r>
  <r>
    <d v="2021-09-10T00:00:00"/>
    <x v="9"/>
    <x v="0"/>
    <x v="0"/>
    <n v="30000"/>
    <n v="30000"/>
    <n v="0"/>
    <x v="185"/>
    <s v="Cali"/>
  </r>
  <r>
    <d v="2021-09-10T00:00:00"/>
    <x v="9"/>
    <x v="25"/>
    <x v="25"/>
    <n v="-30000"/>
    <n v="0"/>
    <n v="30000"/>
    <x v="185"/>
    <s v="Cali"/>
  </r>
  <r>
    <m/>
    <x v="1"/>
    <x v="23"/>
    <x v="23"/>
    <m/>
    <m/>
    <m/>
    <x v="1"/>
    <m/>
  </r>
  <r>
    <d v="2021-09-10T00:00:00"/>
    <x v="9"/>
    <x v="0"/>
    <x v="0"/>
    <n v="17000"/>
    <n v="17000"/>
    <n v="0"/>
    <x v="186"/>
    <s v="Cali"/>
  </r>
  <r>
    <d v="2021-09-10T00:00:00"/>
    <x v="9"/>
    <x v="25"/>
    <x v="25"/>
    <n v="-17000"/>
    <n v="0"/>
    <n v="17000"/>
    <x v="186"/>
    <s v="Cali"/>
  </r>
  <r>
    <m/>
    <x v="1"/>
    <x v="23"/>
    <x v="23"/>
    <m/>
    <m/>
    <m/>
    <x v="1"/>
    <m/>
  </r>
  <r>
    <d v="2021-09-10T00:00:00"/>
    <x v="9"/>
    <x v="0"/>
    <x v="0"/>
    <n v="65000"/>
    <n v="65000"/>
    <n v="0"/>
    <x v="64"/>
    <s v="Cali"/>
  </r>
  <r>
    <d v="2021-09-10T00:00:00"/>
    <x v="9"/>
    <x v="27"/>
    <x v="27"/>
    <n v="-65000"/>
    <n v="0"/>
    <n v="65000"/>
    <x v="64"/>
    <s v="Cali"/>
  </r>
  <r>
    <m/>
    <x v="1"/>
    <x v="23"/>
    <x v="23"/>
    <m/>
    <m/>
    <m/>
    <x v="1"/>
    <m/>
  </r>
  <r>
    <d v="2021-09-13T00:00:00"/>
    <x v="9"/>
    <x v="0"/>
    <x v="0"/>
    <n v="50000"/>
    <n v="50000"/>
    <n v="0"/>
    <x v="163"/>
    <s v="Cali"/>
  </r>
  <r>
    <d v="2021-09-13T00:00:00"/>
    <x v="9"/>
    <x v="25"/>
    <x v="25"/>
    <n v="-50000"/>
    <n v="0"/>
    <n v="50000"/>
    <x v="163"/>
    <s v="Cali"/>
  </r>
  <r>
    <m/>
    <x v="1"/>
    <x v="23"/>
    <x v="23"/>
    <m/>
    <m/>
    <m/>
    <x v="1"/>
    <m/>
  </r>
  <r>
    <d v="2021-09-13T00:00:00"/>
    <x v="9"/>
    <x v="0"/>
    <x v="0"/>
    <n v="200000"/>
    <n v="200000"/>
    <n v="0"/>
    <x v="518"/>
    <s v="Cali"/>
  </r>
  <r>
    <d v="2021-09-13T00:00:00"/>
    <x v="9"/>
    <x v="26"/>
    <x v="26"/>
    <n v="-200000"/>
    <n v="0"/>
    <n v="200000"/>
    <x v="518"/>
    <s v="Cali"/>
  </r>
  <r>
    <m/>
    <x v="1"/>
    <x v="23"/>
    <x v="23"/>
    <m/>
    <m/>
    <m/>
    <x v="1"/>
    <m/>
  </r>
  <r>
    <d v="2021-09-13T00:00:00"/>
    <x v="9"/>
    <x v="0"/>
    <x v="0"/>
    <n v="50000"/>
    <n v="50000"/>
    <n v="0"/>
    <x v="561"/>
    <s v="Cali"/>
  </r>
  <r>
    <d v="2021-09-13T00:00:00"/>
    <x v="9"/>
    <x v="26"/>
    <x v="26"/>
    <n v="-50000"/>
    <n v="0"/>
    <n v="50000"/>
    <x v="561"/>
    <s v="Cali"/>
  </r>
  <r>
    <m/>
    <x v="1"/>
    <x v="23"/>
    <x v="23"/>
    <m/>
    <m/>
    <m/>
    <x v="1"/>
    <m/>
  </r>
  <r>
    <d v="2021-09-13T00:00:00"/>
    <x v="9"/>
    <x v="0"/>
    <x v="0"/>
    <n v="40000"/>
    <n v="40000"/>
    <n v="0"/>
    <x v="178"/>
    <s v="Cali"/>
  </r>
  <r>
    <d v="2021-09-13T00:00:00"/>
    <x v="9"/>
    <x v="25"/>
    <x v="25"/>
    <n v="-40000"/>
    <n v="0"/>
    <n v="40000"/>
    <x v="178"/>
    <s v="Cali"/>
  </r>
  <r>
    <m/>
    <x v="1"/>
    <x v="23"/>
    <x v="23"/>
    <m/>
    <m/>
    <m/>
    <x v="1"/>
    <m/>
  </r>
  <r>
    <d v="2021-09-13T00:00:00"/>
    <x v="9"/>
    <x v="0"/>
    <x v="0"/>
    <n v="2000"/>
    <n v="2000"/>
    <n v="0"/>
    <x v="177"/>
    <s v="Cali"/>
  </r>
  <r>
    <d v="2021-09-13T00:00:00"/>
    <x v="9"/>
    <x v="19"/>
    <x v="19"/>
    <n v="-2000"/>
    <n v="0"/>
    <n v="2000"/>
    <x v="177"/>
    <s v="Cali"/>
  </r>
  <r>
    <m/>
    <x v="1"/>
    <x v="23"/>
    <x v="23"/>
    <m/>
    <m/>
    <m/>
    <x v="1"/>
    <m/>
  </r>
  <r>
    <d v="2021-09-13T00:00:00"/>
    <x v="9"/>
    <x v="0"/>
    <x v="0"/>
    <n v="20000"/>
    <n v="20000"/>
    <n v="0"/>
    <x v="193"/>
    <s v="Cali"/>
  </r>
  <r>
    <d v="2021-09-13T00:00:00"/>
    <x v="9"/>
    <x v="26"/>
    <x v="26"/>
    <n v="-20000"/>
    <n v="0"/>
    <n v="20000"/>
    <x v="193"/>
    <s v="Cali"/>
  </r>
  <r>
    <m/>
    <x v="1"/>
    <x v="23"/>
    <x v="23"/>
    <m/>
    <m/>
    <m/>
    <x v="1"/>
    <m/>
  </r>
  <r>
    <d v="2021-09-13T00:00:00"/>
    <x v="9"/>
    <x v="0"/>
    <x v="0"/>
    <n v="25000"/>
    <n v="25000"/>
    <n v="0"/>
    <x v="194"/>
    <s v="Cali"/>
  </r>
  <r>
    <d v="2021-09-13T00:00:00"/>
    <x v="9"/>
    <x v="25"/>
    <x v="25"/>
    <n v="-25000"/>
    <n v="0"/>
    <n v="25000"/>
    <x v="194"/>
    <s v="Cali"/>
  </r>
  <r>
    <m/>
    <x v="1"/>
    <x v="23"/>
    <x v="23"/>
    <m/>
    <m/>
    <m/>
    <x v="1"/>
    <m/>
  </r>
  <r>
    <d v="2021-09-13T00:00:00"/>
    <x v="9"/>
    <x v="0"/>
    <x v="0"/>
    <n v="7000"/>
    <n v="7000"/>
    <n v="0"/>
    <x v="261"/>
    <s v="Cali"/>
  </r>
  <r>
    <d v="2021-09-13T00:00:00"/>
    <x v="9"/>
    <x v="25"/>
    <x v="25"/>
    <n v="-7000"/>
    <n v="0"/>
    <n v="7000"/>
    <x v="261"/>
    <s v="Cali"/>
  </r>
  <r>
    <m/>
    <x v="1"/>
    <x v="23"/>
    <x v="23"/>
    <m/>
    <m/>
    <m/>
    <x v="1"/>
    <m/>
  </r>
  <r>
    <d v="2021-09-13T00:00:00"/>
    <x v="9"/>
    <x v="0"/>
    <x v="0"/>
    <n v="1000000"/>
    <n v="1000000"/>
    <n v="0"/>
    <x v="253"/>
    <s v="Cali"/>
  </r>
  <r>
    <d v="2021-09-13T00:00:00"/>
    <x v="9"/>
    <x v="26"/>
    <x v="26"/>
    <n v="-1000000"/>
    <n v="0"/>
    <n v="1000000"/>
    <x v="253"/>
    <s v="Cali"/>
  </r>
  <r>
    <m/>
    <x v="1"/>
    <x v="23"/>
    <x v="23"/>
    <m/>
    <m/>
    <m/>
    <x v="1"/>
    <m/>
  </r>
  <r>
    <d v="2021-09-13T00:00:00"/>
    <x v="9"/>
    <x v="0"/>
    <x v="0"/>
    <n v="25000"/>
    <n v="25000"/>
    <n v="0"/>
    <x v="149"/>
    <s v="Cali"/>
  </r>
  <r>
    <d v="2021-09-13T00:00:00"/>
    <x v="9"/>
    <x v="27"/>
    <x v="27"/>
    <n v="-25000"/>
    <n v="0"/>
    <n v="25000"/>
    <x v="149"/>
    <s v="Cali"/>
  </r>
  <r>
    <m/>
    <x v="1"/>
    <x v="23"/>
    <x v="23"/>
    <m/>
    <m/>
    <m/>
    <x v="1"/>
    <m/>
  </r>
  <r>
    <d v="2021-09-14T00:00:00"/>
    <x v="9"/>
    <x v="0"/>
    <x v="0"/>
    <n v="16650"/>
    <n v="16650"/>
    <n v="0"/>
    <x v="562"/>
    <s v="Cali"/>
  </r>
  <r>
    <d v="2021-09-14T00:00:00"/>
    <x v="9"/>
    <x v="31"/>
    <x v="31"/>
    <n v="350"/>
    <n v="350"/>
    <n v="0"/>
    <x v="30"/>
    <s v="Cali"/>
  </r>
  <r>
    <d v="2021-09-14T00:00:00"/>
    <x v="9"/>
    <x v="25"/>
    <x v="25"/>
    <n v="-17000"/>
    <n v="0"/>
    <n v="17000"/>
    <x v="562"/>
    <s v="Cali"/>
  </r>
  <r>
    <m/>
    <x v="1"/>
    <x v="23"/>
    <x v="23"/>
    <m/>
    <m/>
    <m/>
    <x v="1"/>
    <m/>
  </r>
  <r>
    <d v="2021-09-14T00:00:00"/>
    <x v="9"/>
    <x v="0"/>
    <x v="0"/>
    <n v="12732"/>
    <n v="12732"/>
    <n v="0"/>
    <x v="563"/>
    <s v="Cali"/>
  </r>
  <r>
    <d v="2021-09-14T00:00:00"/>
    <x v="9"/>
    <x v="31"/>
    <x v="31"/>
    <n v="268"/>
    <n v="268"/>
    <n v="0"/>
    <x v="563"/>
    <s v="Cali"/>
  </r>
  <r>
    <d v="2021-09-14T00:00:00"/>
    <x v="9"/>
    <x v="25"/>
    <x v="25"/>
    <n v="-13000"/>
    <n v="0"/>
    <n v="13000"/>
    <x v="563"/>
    <s v="Cali"/>
  </r>
  <r>
    <m/>
    <x v="1"/>
    <x v="23"/>
    <x v="23"/>
    <m/>
    <m/>
    <m/>
    <x v="1"/>
    <m/>
  </r>
  <r>
    <d v="2021-09-14T00:00:00"/>
    <x v="9"/>
    <x v="0"/>
    <x v="0"/>
    <n v="97941"/>
    <n v="97941"/>
    <n v="0"/>
    <x v="564"/>
    <s v="Cali"/>
  </r>
  <r>
    <d v="2021-09-14T00:00:00"/>
    <x v="9"/>
    <x v="26"/>
    <x v="26"/>
    <n v="-97941"/>
    <n v="0"/>
    <n v="97941"/>
    <x v="564"/>
    <s v="Cali"/>
  </r>
  <r>
    <m/>
    <x v="1"/>
    <x v="23"/>
    <x v="23"/>
    <m/>
    <m/>
    <m/>
    <x v="1"/>
    <m/>
  </r>
  <r>
    <d v="2021-09-14T00:00:00"/>
    <x v="9"/>
    <x v="0"/>
    <x v="0"/>
    <n v="4000"/>
    <n v="4000"/>
    <n v="0"/>
    <x v="565"/>
    <s v="Cali"/>
  </r>
  <r>
    <d v="2021-09-14T00:00:00"/>
    <x v="9"/>
    <x v="25"/>
    <x v="25"/>
    <n v="-4000"/>
    <n v="0"/>
    <n v="4000"/>
    <x v="565"/>
    <s v="Cali"/>
  </r>
  <r>
    <m/>
    <x v="1"/>
    <x v="23"/>
    <x v="23"/>
    <m/>
    <m/>
    <m/>
    <x v="1"/>
    <m/>
  </r>
  <r>
    <d v="2021-09-15T00:00:00"/>
    <x v="9"/>
    <x v="0"/>
    <x v="0"/>
    <n v="50000"/>
    <n v="50000"/>
    <n v="0"/>
    <x v="195"/>
    <s v="Cali"/>
  </r>
  <r>
    <d v="2021-09-15T00:00:00"/>
    <x v="9"/>
    <x v="25"/>
    <x v="25"/>
    <n v="-50000"/>
    <n v="0"/>
    <n v="50000"/>
    <x v="195"/>
    <s v="Cali"/>
  </r>
  <r>
    <m/>
    <x v="1"/>
    <x v="23"/>
    <x v="23"/>
    <m/>
    <m/>
    <m/>
    <x v="1"/>
    <m/>
  </r>
  <r>
    <d v="2021-09-15T00:00:00"/>
    <x v="9"/>
    <x v="0"/>
    <x v="0"/>
    <n v="5000"/>
    <n v="5000"/>
    <n v="0"/>
    <x v="482"/>
    <s v="Cali"/>
  </r>
  <r>
    <d v="2021-09-15T00:00:00"/>
    <x v="9"/>
    <x v="19"/>
    <x v="19"/>
    <n v="-5000"/>
    <n v="0"/>
    <n v="5000"/>
    <x v="482"/>
    <s v="Cali"/>
  </r>
  <r>
    <m/>
    <x v="1"/>
    <x v="23"/>
    <x v="23"/>
    <m/>
    <m/>
    <m/>
    <x v="1"/>
    <m/>
  </r>
  <r>
    <d v="2021-09-15T00:00:00"/>
    <x v="9"/>
    <x v="0"/>
    <x v="0"/>
    <n v="20000"/>
    <n v="20000"/>
    <n v="0"/>
    <x v="196"/>
    <s v="Cali"/>
  </r>
  <r>
    <d v="2021-09-15T00:00:00"/>
    <x v="9"/>
    <x v="25"/>
    <x v="25"/>
    <n v="-20000"/>
    <n v="0"/>
    <n v="20000"/>
    <x v="196"/>
    <s v="Cali"/>
  </r>
  <r>
    <m/>
    <x v="1"/>
    <x v="23"/>
    <x v="23"/>
    <m/>
    <m/>
    <m/>
    <x v="1"/>
    <m/>
  </r>
  <r>
    <d v="2021-09-16T00:00:00"/>
    <x v="9"/>
    <x v="14"/>
    <x v="14"/>
    <n v="172458"/>
    <n v="172458"/>
    <n v="0"/>
    <x v="566"/>
    <s v="Cali"/>
  </r>
  <r>
    <d v="2021-09-16T00:00:00"/>
    <x v="9"/>
    <x v="15"/>
    <x v="15"/>
    <n v="3050908"/>
    <n v="3050908"/>
    <n v="0"/>
    <x v="566"/>
    <s v="Cali"/>
  </r>
  <r>
    <d v="2021-09-16T00:00:00"/>
    <x v="9"/>
    <x v="0"/>
    <x v="0"/>
    <n v="-3223366"/>
    <n v="0"/>
    <n v="3223366"/>
    <x v="566"/>
    <s v="Cali"/>
  </r>
  <r>
    <m/>
    <x v="1"/>
    <x v="23"/>
    <x v="23"/>
    <m/>
    <m/>
    <m/>
    <x v="1"/>
    <m/>
  </r>
  <r>
    <d v="2021-09-16T00:00:00"/>
    <x v="9"/>
    <x v="31"/>
    <x v="31"/>
    <n v="338983"/>
    <n v="338983"/>
    <n v="0"/>
    <x v="567"/>
    <s v="Cali"/>
  </r>
  <r>
    <d v="2021-09-16T00:00:00"/>
    <x v="9"/>
    <x v="52"/>
    <x v="52"/>
    <n v="-300000"/>
    <n v="0"/>
    <n v="300000"/>
    <x v="567"/>
    <s v="Cali"/>
  </r>
  <r>
    <d v="2021-09-16T00:00:00"/>
    <x v="9"/>
    <x v="17"/>
    <x v="17"/>
    <n v="-38983"/>
    <n v="0"/>
    <n v="38983"/>
    <x v="567"/>
    <s v="Cali"/>
  </r>
  <r>
    <m/>
    <x v="1"/>
    <x v="23"/>
    <x v="23"/>
    <m/>
    <m/>
    <m/>
    <x v="1"/>
    <m/>
  </r>
  <r>
    <d v="2021-09-16T00:00:00"/>
    <x v="9"/>
    <x v="52"/>
    <x v="52"/>
    <n v="150000"/>
    <n v="150000"/>
    <n v="0"/>
    <x v="567"/>
    <s v="Cali"/>
  </r>
  <r>
    <d v="2021-09-16T00:00:00"/>
    <x v="9"/>
    <x v="0"/>
    <x v="0"/>
    <n v="-150000"/>
    <n v="0"/>
    <n v="150000"/>
    <x v="567"/>
    <s v="Cali"/>
  </r>
  <r>
    <m/>
    <x v="1"/>
    <x v="23"/>
    <x v="23"/>
    <m/>
    <m/>
    <m/>
    <x v="1"/>
    <m/>
  </r>
  <r>
    <d v="2021-09-16T00:00:00"/>
    <x v="9"/>
    <x v="16"/>
    <x v="16"/>
    <n v="72240"/>
    <n v="72240"/>
    <n v="0"/>
    <x v="568"/>
    <s v="Cali"/>
  </r>
  <r>
    <d v="2021-09-16T00:00:00"/>
    <x v="9"/>
    <x v="0"/>
    <x v="0"/>
    <n v="-63932"/>
    <n v="0"/>
    <n v="63932"/>
    <x v="568"/>
    <s v="Cali"/>
  </r>
  <r>
    <d v="2021-09-16T00:00:00"/>
    <x v="9"/>
    <x v="17"/>
    <x v="17"/>
    <n v="-8308"/>
    <n v="0"/>
    <n v="8308"/>
    <x v="568"/>
    <s v="Cali"/>
  </r>
  <r>
    <m/>
    <x v="1"/>
    <x v="23"/>
    <x v="23"/>
    <m/>
    <m/>
    <m/>
    <x v="1"/>
    <m/>
  </r>
  <r>
    <d v="2021-09-16T00:00:00"/>
    <x v="9"/>
    <x v="28"/>
    <x v="28"/>
    <n v="150000"/>
    <n v="150000"/>
    <n v="0"/>
    <x v="569"/>
    <s v="Cali"/>
  </r>
  <r>
    <d v="2021-09-16T00:00:00"/>
    <x v="9"/>
    <x v="0"/>
    <x v="0"/>
    <n v="-150000"/>
    <n v="0"/>
    <n v="150000"/>
    <x v="569"/>
    <s v="Cali"/>
  </r>
  <r>
    <m/>
    <x v="1"/>
    <x v="23"/>
    <x v="23"/>
    <m/>
    <m/>
    <m/>
    <x v="1"/>
    <m/>
  </r>
  <r>
    <d v="2021-09-16T00:00:00"/>
    <x v="9"/>
    <x v="1"/>
    <x v="1"/>
    <n v="24000000"/>
    <n v="24000000"/>
    <n v="0"/>
    <x v="429"/>
    <s v="Cali"/>
  </r>
  <r>
    <d v="2021-09-16T00:00:00"/>
    <x v="9"/>
    <x v="0"/>
    <x v="0"/>
    <n v="-24000000"/>
    <n v="0"/>
    <n v="24000000"/>
    <x v="429"/>
    <s v="Cali"/>
  </r>
  <r>
    <m/>
    <x v="1"/>
    <x v="23"/>
    <x v="23"/>
    <m/>
    <m/>
    <m/>
    <x v="1"/>
    <m/>
  </r>
  <r>
    <d v="2021-09-16T00:00:00"/>
    <x v="9"/>
    <x v="0"/>
    <x v="0"/>
    <n v="5000"/>
    <n v="5000"/>
    <n v="0"/>
    <x v="570"/>
    <s v="Cali"/>
  </r>
  <r>
    <d v="2021-09-16T00:00:00"/>
    <x v="9"/>
    <x v="19"/>
    <x v="19"/>
    <n v="-5000"/>
    <n v="0"/>
    <n v="5000"/>
    <x v="570"/>
    <s v="Cali"/>
  </r>
  <r>
    <m/>
    <x v="1"/>
    <x v="23"/>
    <x v="23"/>
    <m/>
    <m/>
    <m/>
    <x v="1"/>
    <m/>
  </r>
  <r>
    <d v="2021-09-16T00:00:00"/>
    <x v="9"/>
    <x v="0"/>
    <x v="0"/>
    <n v="200000"/>
    <n v="200000"/>
    <n v="0"/>
    <x v="571"/>
    <s v="Cali"/>
  </r>
  <r>
    <d v="2021-09-16T00:00:00"/>
    <x v="9"/>
    <x v="26"/>
    <x v="26"/>
    <n v="-200000"/>
    <n v="0"/>
    <n v="200000"/>
    <x v="571"/>
    <s v="Cali"/>
  </r>
  <r>
    <m/>
    <x v="1"/>
    <x v="23"/>
    <x v="23"/>
    <m/>
    <m/>
    <m/>
    <x v="1"/>
    <m/>
  </r>
  <r>
    <d v="2021-09-20T00:00:00"/>
    <x v="9"/>
    <x v="0"/>
    <x v="0"/>
    <n v="8500"/>
    <n v="8500"/>
    <n v="0"/>
    <x v="572"/>
    <s v="Cali"/>
  </r>
  <r>
    <d v="2021-09-20T00:00:00"/>
    <x v="9"/>
    <x v="25"/>
    <x v="25"/>
    <n v="-8500"/>
    <n v="0"/>
    <n v="8500"/>
    <x v="572"/>
    <s v="Cali"/>
  </r>
  <r>
    <m/>
    <x v="1"/>
    <x v="23"/>
    <x v="23"/>
    <m/>
    <m/>
    <m/>
    <x v="1"/>
    <m/>
  </r>
  <r>
    <d v="2021-09-20T00:00:00"/>
    <x v="9"/>
    <x v="0"/>
    <x v="0"/>
    <n v="5000"/>
    <n v="5000"/>
    <n v="0"/>
    <x v="367"/>
    <s v="Cali"/>
  </r>
  <r>
    <d v="2021-09-20T00:00:00"/>
    <x v="9"/>
    <x v="25"/>
    <x v="25"/>
    <n v="-5000"/>
    <n v="0"/>
    <n v="5000"/>
    <x v="367"/>
    <s v="Cali"/>
  </r>
  <r>
    <m/>
    <x v="1"/>
    <x v="23"/>
    <x v="23"/>
    <m/>
    <m/>
    <m/>
    <x v="1"/>
    <m/>
  </r>
  <r>
    <d v="2021-09-20T00:00:00"/>
    <x v="9"/>
    <x v="0"/>
    <x v="0"/>
    <n v="30000"/>
    <n v="30000"/>
    <n v="0"/>
    <x v="188"/>
    <s v="Cali"/>
  </r>
  <r>
    <d v="2021-09-20T00:00:00"/>
    <x v="9"/>
    <x v="29"/>
    <x v="29"/>
    <n v="-30000"/>
    <n v="0"/>
    <n v="30000"/>
    <x v="188"/>
    <s v="Cali"/>
  </r>
  <r>
    <m/>
    <x v="1"/>
    <x v="23"/>
    <x v="23"/>
    <m/>
    <m/>
    <m/>
    <x v="1"/>
    <m/>
  </r>
  <r>
    <d v="2021-09-20T00:00:00"/>
    <x v="9"/>
    <x v="0"/>
    <x v="0"/>
    <n v="150000"/>
    <n v="150000"/>
    <n v="0"/>
    <x v="431"/>
    <s v="Cali"/>
  </r>
  <r>
    <d v="2021-09-20T00:00:00"/>
    <x v="9"/>
    <x v="25"/>
    <x v="25"/>
    <n v="-150000"/>
    <n v="0"/>
    <n v="150000"/>
    <x v="431"/>
    <s v="Cali"/>
  </r>
  <r>
    <m/>
    <x v="1"/>
    <x v="23"/>
    <x v="23"/>
    <m/>
    <m/>
    <m/>
    <x v="1"/>
    <m/>
  </r>
  <r>
    <d v="2021-09-20T00:00:00"/>
    <x v="9"/>
    <x v="0"/>
    <x v="0"/>
    <n v="500000"/>
    <n v="500000"/>
    <n v="0"/>
    <x v="262"/>
    <s v="Cali"/>
  </r>
  <r>
    <d v="2021-09-20T00:00:00"/>
    <x v="9"/>
    <x v="26"/>
    <x v="26"/>
    <n v="-500000"/>
    <n v="0"/>
    <n v="500000"/>
    <x v="262"/>
    <s v="Cali"/>
  </r>
  <r>
    <m/>
    <x v="1"/>
    <x v="23"/>
    <x v="23"/>
    <m/>
    <m/>
    <m/>
    <x v="1"/>
    <m/>
  </r>
  <r>
    <d v="2021-09-21T00:00:00"/>
    <x v="9"/>
    <x v="0"/>
    <x v="0"/>
    <n v="20000"/>
    <n v="20000"/>
    <n v="0"/>
    <x v="166"/>
    <s v="Cali"/>
  </r>
  <r>
    <d v="2021-09-21T00:00:00"/>
    <x v="9"/>
    <x v="25"/>
    <x v="25"/>
    <n v="-20000"/>
    <n v="0"/>
    <n v="20000"/>
    <x v="166"/>
    <s v="Cali"/>
  </r>
  <r>
    <m/>
    <x v="1"/>
    <x v="23"/>
    <x v="23"/>
    <m/>
    <m/>
    <m/>
    <x v="1"/>
    <m/>
  </r>
  <r>
    <d v="2021-09-21T00:00:00"/>
    <x v="9"/>
    <x v="0"/>
    <x v="0"/>
    <n v="30000"/>
    <n v="30000"/>
    <n v="0"/>
    <x v="139"/>
    <s v="Cali"/>
  </r>
  <r>
    <d v="2021-09-21T00:00:00"/>
    <x v="9"/>
    <x v="25"/>
    <x v="25"/>
    <n v="-30000"/>
    <n v="0"/>
    <n v="30000"/>
    <x v="139"/>
    <s v="Cali"/>
  </r>
  <r>
    <m/>
    <x v="1"/>
    <x v="23"/>
    <x v="23"/>
    <m/>
    <m/>
    <m/>
    <x v="1"/>
    <m/>
  </r>
  <r>
    <d v="2021-09-21T00:00:00"/>
    <x v="9"/>
    <x v="0"/>
    <x v="0"/>
    <n v="30000"/>
    <n v="30000"/>
    <n v="0"/>
    <x v="493"/>
    <s v="Cali"/>
  </r>
  <r>
    <d v="2021-09-21T00:00:00"/>
    <x v="9"/>
    <x v="26"/>
    <x v="26"/>
    <n v="-30000"/>
    <n v="0"/>
    <n v="30000"/>
    <x v="493"/>
    <s v="Cali"/>
  </r>
  <r>
    <m/>
    <x v="1"/>
    <x v="23"/>
    <x v="23"/>
    <m/>
    <m/>
    <m/>
    <x v="1"/>
    <m/>
  </r>
  <r>
    <d v="2021-09-21T00:00:00"/>
    <x v="9"/>
    <x v="0"/>
    <x v="0"/>
    <n v="30000"/>
    <n v="30000"/>
    <n v="0"/>
    <x v="266"/>
    <s v="Cali"/>
  </r>
  <r>
    <d v="2021-09-21T00:00:00"/>
    <x v="9"/>
    <x v="25"/>
    <x v="25"/>
    <n v="-30000"/>
    <n v="0"/>
    <n v="30000"/>
    <x v="266"/>
    <s v="Cali"/>
  </r>
  <r>
    <m/>
    <x v="1"/>
    <x v="23"/>
    <x v="23"/>
    <m/>
    <m/>
    <m/>
    <x v="1"/>
    <m/>
  </r>
  <r>
    <d v="2021-09-22T00:00:00"/>
    <x v="9"/>
    <x v="0"/>
    <x v="0"/>
    <n v="20000"/>
    <n v="20000"/>
    <n v="0"/>
    <x v="201"/>
    <s v="Cali"/>
  </r>
  <r>
    <d v="2021-09-22T00:00:00"/>
    <x v="9"/>
    <x v="25"/>
    <x v="25"/>
    <n v="-20000"/>
    <n v="0"/>
    <n v="20000"/>
    <x v="201"/>
    <s v="Cali"/>
  </r>
  <r>
    <m/>
    <x v="1"/>
    <x v="23"/>
    <x v="23"/>
    <m/>
    <m/>
    <m/>
    <x v="1"/>
    <m/>
  </r>
  <r>
    <d v="2021-09-22T00:00:00"/>
    <x v="9"/>
    <x v="0"/>
    <x v="0"/>
    <n v="250000"/>
    <n v="250000"/>
    <n v="0"/>
    <x v="518"/>
    <s v="Cali"/>
  </r>
  <r>
    <d v="2021-09-22T00:00:00"/>
    <x v="9"/>
    <x v="26"/>
    <x v="26"/>
    <n v="-250000"/>
    <n v="0"/>
    <n v="250000"/>
    <x v="518"/>
    <s v="Cali"/>
  </r>
  <r>
    <m/>
    <x v="1"/>
    <x v="23"/>
    <x v="23"/>
    <m/>
    <m/>
    <m/>
    <x v="1"/>
    <m/>
  </r>
  <r>
    <d v="2021-09-22T00:00:00"/>
    <x v="9"/>
    <x v="0"/>
    <x v="0"/>
    <n v="10000"/>
    <n v="10000"/>
    <n v="0"/>
    <x v="409"/>
    <s v="Cali"/>
  </r>
  <r>
    <d v="2021-09-22T00:00:00"/>
    <x v="9"/>
    <x v="25"/>
    <x v="25"/>
    <n v="-10000"/>
    <n v="0"/>
    <n v="10000"/>
    <x v="409"/>
    <s v="Cali"/>
  </r>
  <r>
    <m/>
    <x v="1"/>
    <x v="23"/>
    <x v="23"/>
    <m/>
    <m/>
    <m/>
    <x v="1"/>
    <m/>
  </r>
  <r>
    <d v="2021-09-22T00:00:00"/>
    <x v="9"/>
    <x v="0"/>
    <x v="0"/>
    <n v="1500"/>
    <n v="1500"/>
    <n v="0"/>
    <x v="177"/>
    <s v="Cali"/>
  </r>
  <r>
    <d v="2021-09-22T00:00:00"/>
    <x v="9"/>
    <x v="19"/>
    <x v="19"/>
    <n v="-1500"/>
    <n v="0"/>
    <n v="1500"/>
    <x v="177"/>
    <s v="Cali"/>
  </r>
  <r>
    <m/>
    <x v="1"/>
    <x v="23"/>
    <x v="23"/>
    <m/>
    <m/>
    <m/>
    <x v="1"/>
    <m/>
  </r>
  <r>
    <d v="2021-09-22T00:00:00"/>
    <x v="9"/>
    <x v="0"/>
    <x v="0"/>
    <n v="50000"/>
    <n v="50000"/>
    <n v="0"/>
    <x v="65"/>
    <s v="Cali"/>
  </r>
  <r>
    <d v="2021-09-22T00:00:00"/>
    <x v="9"/>
    <x v="29"/>
    <x v="29"/>
    <n v="-50000"/>
    <n v="0"/>
    <n v="50000"/>
    <x v="65"/>
    <s v="Cali"/>
  </r>
  <r>
    <m/>
    <x v="1"/>
    <x v="23"/>
    <x v="23"/>
    <m/>
    <m/>
    <m/>
    <x v="1"/>
    <m/>
  </r>
  <r>
    <d v="2021-09-22T00:00:00"/>
    <x v="9"/>
    <x v="0"/>
    <x v="0"/>
    <n v="7000"/>
    <n v="7000"/>
    <n v="0"/>
    <x v="65"/>
    <s v="Cali"/>
  </r>
  <r>
    <d v="2021-09-22T00:00:00"/>
    <x v="9"/>
    <x v="29"/>
    <x v="29"/>
    <n v="-7000"/>
    <n v="0"/>
    <n v="7000"/>
    <x v="65"/>
    <s v="Cali"/>
  </r>
  <r>
    <m/>
    <x v="1"/>
    <x v="23"/>
    <x v="23"/>
    <m/>
    <m/>
    <m/>
    <x v="1"/>
    <m/>
  </r>
  <r>
    <d v="2021-09-22T00:00:00"/>
    <x v="9"/>
    <x v="0"/>
    <x v="0"/>
    <n v="15000"/>
    <n v="15000"/>
    <n v="0"/>
    <x v="65"/>
    <s v="Cali"/>
  </r>
  <r>
    <d v="2021-09-22T00:00:00"/>
    <x v="9"/>
    <x v="29"/>
    <x v="29"/>
    <n v="-15000"/>
    <n v="0"/>
    <n v="15000"/>
    <x v="65"/>
    <s v="Cali"/>
  </r>
  <r>
    <m/>
    <x v="1"/>
    <x v="23"/>
    <x v="23"/>
    <m/>
    <m/>
    <m/>
    <x v="1"/>
    <m/>
  </r>
  <r>
    <d v="2021-09-23T00:00:00"/>
    <x v="9"/>
    <x v="0"/>
    <x v="0"/>
    <n v="30000"/>
    <n v="30000"/>
    <n v="0"/>
    <x v="203"/>
    <s v="Cali"/>
  </r>
  <r>
    <d v="2021-09-23T00:00:00"/>
    <x v="9"/>
    <x v="27"/>
    <x v="27"/>
    <n v="-30000"/>
    <n v="0"/>
    <n v="30000"/>
    <x v="203"/>
    <s v="Cali"/>
  </r>
  <r>
    <m/>
    <x v="1"/>
    <x v="23"/>
    <x v="23"/>
    <m/>
    <m/>
    <m/>
    <x v="1"/>
    <m/>
  </r>
  <r>
    <d v="2021-09-23T00:00:00"/>
    <x v="9"/>
    <x v="0"/>
    <x v="0"/>
    <n v="100000"/>
    <n v="100000"/>
    <n v="0"/>
    <x v="333"/>
    <s v="Cali"/>
  </r>
  <r>
    <d v="2021-09-23T00:00:00"/>
    <x v="9"/>
    <x v="26"/>
    <x v="26"/>
    <n v="-100000"/>
    <n v="0"/>
    <n v="100000"/>
    <x v="333"/>
    <s v="Cali"/>
  </r>
  <r>
    <m/>
    <x v="1"/>
    <x v="23"/>
    <x v="23"/>
    <m/>
    <m/>
    <m/>
    <x v="1"/>
    <m/>
  </r>
  <r>
    <d v="2021-09-23T00:00:00"/>
    <x v="9"/>
    <x v="0"/>
    <x v="0"/>
    <n v="20000"/>
    <n v="20000"/>
    <n v="0"/>
    <x v="85"/>
    <s v="Cali"/>
  </r>
  <r>
    <d v="2021-09-23T00:00:00"/>
    <x v="9"/>
    <x v="25"/>
    <x v="25"/>
    <n v="-20000"/>
    <n v="0"/>
    <n v="20000"/>
    <x v="85"/>
    <s v="Cali"/>
  </r>
  <r>
    <m/>
    <x v="1"/>
    <x v="23"/>
    <x v="23"/>
    <m/>
    <m/>
    <m/>
    <x v="1"/>
    <m/>
  </r>
  <r>
    <d v="2021-09-24T00:00:00"/>
    <x v="9"/>
    <x v="0"/>
    <x v="0"/>
    <n v="35000"/>
    <n v="35000"/>
    <n v="0"/>
    <x v="65"/>
    <s v="Cali"/>
  </r>
  <r>
    <d v="2021-09-24T00:00:00"/>
    <x v="9"/>
    <x v="29"/>
    <x v="29"/>
    <n v="-35000"/>
    <n v="0"/>
    <n v="35000"/>
    <x v="65"/>
    <s v="Cali"/>
  </r>
  <r>
    <m/>
    <x v="1"/>
    <x v="23"/>
    <x v="23"/>
    <m/>
    <m/>
    <m/>
    <x v="1"/>
    <m/>
  </r>
  <r>
    <d v="2021-09-27T00:00:00"/>
    <x v="9"/>
    <x v="0"/>
    <x v="0"/>
    <n v="3000000"/>
    <n v="3000000"/>
    <n v="0"/>
    <x v="306"/>
    <s v="Cali"/>
  </r>
  <r>
    <d v="2021-09-27T00:00:00"/>
    <x v="9"/>
    <x v="26"/>
    <x v="26"/>
    <n v="-3000000"/>
    <n v="0"/>
    <n v="3000000"/>
    <x v="306"/>
    <s v="Cali"/>
  </r>
  <r>
    <m/>
    <x v="1"/>
    <x v="23"/>
    <x v="23"/>
    <m/>
    <m/>
    <m/>
    <x v="1"/>
    <m/>
  </r>
  <r>
    <d v="2021-09-27T00:00:00"/>
    <x v="9"/>
    <x v="0"/>
    <x v="0"/>
    <n v="10000"/>
    <n v="10000"/>
    <n v="0"/>
    <x v="206"/>
    <s v="Cali"/>
  </r>
  <r>
    <d v="2021-09-27T00:00:00"/>
    <x v="9"/>
    <x v="26"/>
    <x v="26"/>
    <n v="-10000"/>
    <n v="0"/>
    <n v="10000"/>
    <x v="206"/>
    <s v="Cali"/>
  </r>
  <r>
    <m/>
    <x v="1"/>
    <x v="23"/>
    <x v="23"/>
    <m/>
    <m/>
    <m/>
    <x v="1"/>
    <m/>
  </r>
  <r>
    <d v="2021-09-27T00:00:00"/>
    <x v="9"/>
    <x v="0"/>
    <x v="0"/>
    <n v="10000"/>
    <n v="10000"/>
    <n v="0"/>
    <x v="277"/>
    <s v="Cali"/>
  </r>
  <r>
    <d v="2021-09-27T00:00:00"/>
    <x v="9"/>
    <x v="25"/>
    <x v="25"/>
    <n v="-10000"/>
    <n v="0"/>
    <n v="10000"/>
    <x v="277"/>
    <s v="Cali"/>
  </r>
  <r>
    <m/>
    <x v="1"/>
    <x v="23"/>
    <x v="23"/>
    <m/>
    <m/>
    <m/>
    <x v="1"/>
    <m/>
  </r>
  <r>
    <d v="2021-09-27T00:00:00"/>
    <x v="9"/>
    <x v="0"/>
    <x v="0"/>
    <n v="1289642"/>
    <n v="1289642"/>
    <n v="0"/>
    <x v="573"/>
    <s v="Cali"/>
  </r>
  <r>
    <d v="2021-09-27T00:00:00"/>
    <x v="9"/>
    <x v="26"/>
    <x v="26"/>
    <n v="-1289642"/>
    <n v="0"/>
    <n v="1289642"/>
    <x v="573"/>
    <s v="Cali"/>
  </r>
  <r>
    <m/>
    <x v="1"/>
    <x v="23"/>
    <x v="23"/>
    <m/>
    <m/>
    <m/>
    <x v="1"/>
    <m/>
  </r>
  <r>
    <d v="2021-09-27T00:00:00"/>
    <x v="9"/>
    <x v="0"/>
    <x v="0"/>
    <n v="10000"/>
    <n v="10000"/>
    <n v="0"/>
    <x v="198"/>
    <s v="Cali"/>
  </r>
  <r>
    <d v="2021-09-27T00:00:00"/>
    <x v="9"/>
    <x v="27"/>
    <x v="27"/>
    <n v="-10000"/>
    <n v="0"/>
    <n v="10000"/>
    <x v="198"/>
    <s v="Cali"/>
  </r>
  <r>
    <m/>
    <x v="1"/>
    <x v="23"/>
    <x v="23"/>
    <m/>
    <m/>
    <m/>
    <x v="1"/>
    <m/>
  </r>
  <r>
    <d v="2021-09-28T00:00:00"/>
    <x v="9"/>
    <x v="0"/>
    <x v="0"/>
    <n v="2157843"/>
    <n v="2157843"/>
    <n v="0"/>
    <x v="574"/>
    <s v="Cali"/>
  </r>
  <r>
    <d v="2021-09-28T00:00:00"/>
    <x v="9"/>
    <x v="44"/>
    <x v="44"/>
    <n v="-2157843"/>
    <n v="0"/>
    <n v="2157843"/>
    <x v="574"/>
    <s v="Cali"/>
  </r>
  <r>
    <m/>
    <x v="1"/>
    <x v="23"/>
    <x v="23"/>
    <m/>
    <m/>
    <m/>
    <x v="1"/>
    <m/>
  </r>
  <r>
    <d v="2021-09-28T00:00:00"/>
    <x v="9"/>
    <x v="0"/>
    <x v="0"/>
    <n v="1901533"/>
    <n v="1901533"/>
    <n v="0"/>
    <x v="575"/>
    <s v="Cali"/>
  </r>
  <r>
    <d v="2021-09-28T00:00:00"/>
    <x v="9"/>
    <x v="45"/>
    <x v="45"/>
    <n v="-1901533"/>
    <n v="0"/>
    <n v="1901533"/>
    <x v="575"/>
    <s v="Cali"/>
  </r>
  <r>
    <m/>
    <x v="1"/>
    <x v="23"/>
    <x v="23"/>
    <m/>
    <m/>
    <m/>
    <x v="1"/>
    <m/>
  </r>
  <r>
    <d v="2021-09-28T00:00:00"/>
    <x v="9"/>
    <x v="0"/>
    <x v="0"/>
    <n v="73000"/>
    <n v="73000"/>
    <n v="0"/>
    <x v="240"/>
    <s v="Cali"/>
  </r>
  <r>
    <d v="2021-09-28T00:00:00"/>
    <x v="9"/>
    <x v="26"/>
    <x v="26"/>
    <n v="-73000"/>
    <n v="0"/>
    <n v="73000"/>
    <x v="240"/>
    <s v="Cali"/>
  </r>
  <r>
    <m/>
    <x v="1"/>
    <x v="23"/>
    <x v="23"/>
    <m/>
    <m/>
    <m/>
    <x v="1"/>
    <m/>
  </r>
  <r>
    <d v="2021-09-28T00:00:00"/>
    <x v="9"/>
    <x v="0"/>
    <x v="0"/>
    <n v="10000"/>
    <n v="10000"/>
    <n v="0"/>
    <x v="236"/>
    <s v="Cali"/>
  </r>
  <r>
    <d v="2021-09-28T00:00:00"/>
    <x v="9"/>
    <x v="25"/>
    <x v="25"/>
    <n v="-10000"/>
    <n v="0"/>
    <n v="10000"/>
    <x v="236"/>
    <s v="Cali"/>
  </r>
  <r>
    <m/>
    <x v="1"/>
    <x v="23"/>
    <x v="23"/>
    <m/>
    <m/>
    <m/>
    <x v="1"/>
    <m/>
  </r>
  <r>
    <d v="2021-09-28T00:00:00"/>
    <x v="9"/>
    <x v="0"/>
    <x v="0"/>
    <n v="125000"/>
    <n v="125000"/>
    <n v="0"/>
    <x v="136"/>
    <s v="Cali"/>
  </r>
  <r>
    <d v="2021-09-28T00:00:00"/>
    <x v="9"/>
    <x v="26"/>
    <x v="26"/>
    <n v="-125000"/>
    <n v="0"/>
    <n v="125000"/>
    <x v="136"/>
    <s v="Cali"/>
  </r>
  <r>
    <m/>
    <x v="1"/>
    <x v="23"/>
    <x v="23"/>
    <m/>
    <m/>
    <m/>
    <x v="1"/>
    <m/>
  </r>
  <r>
    <d v="2021-09-29T00:00:00"/>
    <x v="9"/>
    <x v="0"/>
    <x v="0"/>
    <n v="20000"/>
    <n v="20000"/>
    <n v="0"/>
    <x v="308"/>
    <s v="Cali"/>
  </r>
  <r>
    <d v="2021-09-29T00:00:00"/>
    <x v="9"/>
    <x v="25"/>
    <x v="25"/>
    <n v="-20000"/>
    <n v="0"/>
    <n v="20000"/>
    <x v="308"/>
    <s v="Cali"/>
  </r>
  <r>
    <m/>
    <x v="1"/>
    <x v="23"/>
    <x v="23"/>
    <m/>
    <m/>
    <m/>
    <x v="1"/>
    <m/>
  </r>
  <r>
    <d v="2021-09-29T00:00:00"/>
    <x v="9"/>
    <x v="0"/>
    <x v="0"/>
    <n v="40000"/>
    <n v="40000"/>
    <n v="0"/>
    <x v="241"/>
    <s v="Cali"/>
  </r>
  <r>
    <d v="2021-09-29T00:00:00"/>
    <x v="9"/>
    <x v="26"/>
    <x v="26"/>
    <n v="-40000"/>
    <n v="0"/>
    <n v="40000"/>
    <x v="241"/>
    <s v="Cali"/>
  </r>
  <r>
    <m/>
    <x v="1"/>
    <x v="23"/>
    <x v="23"/>
    <m/>
    <m/>
    <m/>
    <x v="1"/>
    <m/>
  </r>
  <r>
    <d v="2021-09-29T00:00:00"/>
    <x v="9"/>
    <x v="0"/>
    <x v="0"/>
    <n v="60000"/>
    <n v="60000"/>
    <n v="0"/>
    <x v="238"/>
    <s v="Cali"/>
  </r>
  <r>
    <d v="2021-09-29T00:00:00"/>
    <x v="9"/>
    <x v="25"/>
    <x v="25"/>
    <n v="-60000"/>
    <n v="0"/>
    <n v="60000"/>
    <x v="238"/>
    <s v="Cali"/>
  </r>
  <r>
    <m/>
    <x v="1"/>
    <x v="23"/>
    <x v="23"/>
    <m/>
    <m/>
    <m/>
    <x v="1"/>
    <m/>
  </r>
  <r>
    <d v="2021-09-29T00:00:00"/>
    <x v="9"/>
    <x v="0"/>
    <x v="0"/>
    <n v="20000"/>
    <n v="20000"/>
    <n v="0"/>
    <x v="342"/>
    <s v="Cali"/>
  </r>
  <r>
    <d v="2021-09-29T00:00:00"/>
    <x v="9"/>
    <x v="25"/>
    <x v="25"/>
    <n v="-20000"/>
    <n v="0"/>
    <n v="20000"/>
    <x v="342"/>
    <s v="Cali"/>
  </r>
  <r>
    <m/>
    <x v="1"/>
    <x v="23"/>
    <x v="23"/>
    <m/>
    <m/>
    <m/>
    <x v="1"/>
    <m/>
  </r>
  <r>
    <d v="2021-09-29T00:00:00"/>
    <x v="9"/>
    <x v="0"/>
    <x v="0"/>
    <n v="25000"/>
    <n v="25000"/>
    <n v="0"/>
    <x v="138"/>
    <s v="Cali"/>
  </r>
  <r>
    <d v="2021-09-29T00:00:00"/>
    <x v="9"/>
    <x v="27"/>
    <x v="27"/>
    <n v="-25000"/>
    <n v="0"/>
    <n v="25000"/>
    <x v="138"/>
    <s v="Cali"/>
  </r>
  <r>
    <m/>
    <x v="1"/>
    <x v="23"/>
    <x v="23"/>
    <m/>
    <m/>
    <m/>
    <x v="1"/>
    <m/>
  </r>
  <r>
    <d v="2021-09-29T00:00:00"/>
    <x v="9"/>
    <x v="0"/>
    <x v="0"/>
    <n v="122426"/>
    <n v="122426"/>
    <n v="0"/>
    <x v="576"/>
    <s v="Cali"/>
  </r>
  <r>
    <d v="2021-09-29T00:00:00"/>
    <x v="9"/>
    <x v="31"/>
    <x v="31"/>
    <n v="2574"/>
    <n v="2574"/>
    <n v="0"/>
    <x v="576"/>
    <s v="Cali"/>
  </r>
  <r>
    <d v="2021-09-29T00:00:00"/>
    <x v="9"/>
    <x v="25"/>
    <x v="25"/>
    <n v="-125000"/>
    <n v="0"/>
    <n v="125000"/>
    <x v="576"/>
    <s v="Cali"/>
  </r>
  <r>
    <m/>
    <x v="1"/>
    <x v="23"/>
    <x v="23"/>
    <m/>
    <m/>
    <m/>
    <x v="1"/>
    <m/>
  </r>
  <r>
    <d v="2021-09-30T00:00:00"/>
    <x v="9"/>
    <x v="52"/>
    <x v="52"/>
    <n v="150000"/>
    <n v="150000"/>
    <n v="0"/>
    <x v="577"/>
    <s v="Cali"/>
  </r>
  <r>
    <d v="2021-09-30T00:00:00"/>
    <x v="9"/>
    <x v="0"/>
    <x v="0"/>
    <n v="-150000"/>
    <n v="0"/>
    <n v="150000"/>
    <x v="577"/>
    <s v="Cali"/>
  </r>
  <r>
    <m/>
    <x v="1"/>
    <x v="23"/>
    <x v="23"/>
    <m/>
    <m/>
    <m/>
    <x v="1"/>
    <m/>
  </r>
  <r>
    <d v="2021-09-30T00:00:00"/>
    <x v="9"/>
    <x v="0"/>
    <x v="0"/>
    <n v="250000"/>
    <n v="250000"/>
    <n v="0"/>
    <x v="578"/>
    <s v="Cali"/>
  </r>
  <r>
    <d v="2021-09-30T00:00:00"/>
    <x v="9"/>
    <x v="26"/>
    <x v="26"/>
    <n v="-250000"/>
    <n v="0"/>
    <n v="250000"/>
    <x v="578"/>
    <s v="Cali"/>
  </r>
  <r>
    <m/>
    <x v="1"/>
    <x v="23"/>
    <x v="23"/>
    <m/>
    <m/>
    <m/>
    <x v="1"/>
    <m/>
  </r>
  <r>
    <d v="2021-09-30T00:00:00"/>
    <x v="9"/>
    <x v="0"/>
    <x v="0"/>
    <n v="15000"/>
    <n v="15000"/>
    <n v="0"/>
    <x v="137"/>
    <s v="Cali"/>
  </r>
  <r>
    <d v="2021-09-30T00:00:00"/>
    <x v="9"/>
    <x v="26"/>
    <x v="26"/>
    <n v="-15000"/>
    <n v="0"/>
    <n v="15000"/>
    <x v="137"/>
    <s v="Cali"/>
  </r>
  <r>
    <m/>
    <x v="1"/>
    <x v="23"/>
    <x v="23"/>
    <m/>
    <m/>
    <m/>
    <x v="1"/>
    <m/>
  </r>
  <r>
    <d v="2021-09-30T00:00:00"/>
    <x v="9"/>
    <x v="0"/>
    <x v="0"/>
    <n v="30000"/>
    <n v="30000"/>
    <n v="0"/>
    <x v="497"/>
    <s v="Cali"/>
  </r>
  <r>
    <d v="2021-09-30T00:00:00"/>
    <x v="9"/>
    <x v="25"/>
    <x v="25"/>
    <n v="-30000"/>
    <n v="0"/>
    <n v="30000"/>
    <x v="497"/>
    <s v="Cali"/>
  </r>
  <r>
    <m/>
    <x v="1"/>
    <x v="23"/>
    <x v="23"/>
    <m/>
    <m/>
    <m/>
    <x v="1"/>
    <m/>
  </r>
  <r>
    <d v="2021-09-30T00:00:00"/>
    <x v="9"/>
    <x v="0"/>
    <x v="0"/>
    <n v="100000"/>
    <n v="100000"/>
    <n v="0"/>
    <x v="134"/>
    <s v="Cali"/>
  </r>
  <r>
    <d v="2021-09-30T00:00:00"/>
    <x v="9"/>
    <x v="26"/>
    <x v="26"/>
    <n v="-100000"/>
    <n v="0"/>
    <n v="100000"/>
    <x v="134"/>
    <s v="Cali"/>
  </r>
  <r>
    <m/>
    <x v="1"/>
    <x v="23"/>
    <x v="23"/>
    <m/>
    <m/>
    <m/>
    <x v="1"/>
    <m/>
  </r>
  <r>
    <d v="2021-09-30T00:00:00"/>
    <x v="9"/>
    <x v="0"/>
    <x v="0"/>
    <n v="36000"/>
    <n v="36000"/>
    <n v="0"/>
    <x v="133"/>
    <s v="Cali"/>
  </r>
  <r>
    <d v="2021-09-30T00:00:00"/>
    <x v="9"/>
    <x v="25"/>
    <x v="25"/>
    <n v="-36000"/>
    <n v="0"/>
    <n v="36000"/>
    <x v="133"/>
    <s v="Cali"/>
  </r>
  <r>
    <m/>
    <x v="1"/>
    <x v="23"/>
    <x v="23"/>
    <m/>
    <m/>
    <m/>
    <x v="1"/>
    <m/>
  </r>
  <r>
    <d v="2021-09-30T00:00:00"/>
    <x v="9"/>
    <x v="0"/>
    <x v="0"/>
    <n v="50000"/>
    <n v="50000"/>
    <n v="0"/>
    <x v="135"/>
    <s v="Cali"/>
  </r>
  <r>
    <d v="2021-09-30T00:00:00"/>
    <x v="9"/>
    <x v="26"/>
    <x v="26"/>
    <n v="-50000"/>
    <n v="0"/>
    <n v="50000"/>
    <x v="135"/>
    <s v="Cali"/>
  </r>
  <r>
    <m/>
    <x v="1"/>
    <x v="23"/>
    <x v="23"/>
    <m/>
    <m/>
    <m/>
    <x v="1"/>
    <m/>
  </r>
  <r>
    <d v="2021-09-30T00:00:00"/>
    <x v="9"/>
    <x v="0"/>
    <x v="0"/>
    <n v="20000"/>
    <n v="20000"/>
    <n v="0"/>
    <x v="174"/>
    <s v="Cali"/>
  </r>
  <r>
    <d v="2021-09-30T00:00:00"/>
    <x v="9"/>
    <x v="25"/>
    <x v="25"/>
    <n v="-20000"/>
    <n v="0"/>
    <n v="20000"/>
    <x v="174"/>
    <s v="Cali"/>
  </r>
  <r>
    <m/>
    <x v="1"/>
    <x v="23"/>
    <x v="23"/>
    <m/>
    <m/>
    <m/>
    <x v="1"/>
    <m/>
  </r>
  <r>
    <d v="2021-09-09T00:00:00"/>
    <x v="9"/>
    <x v="31"/>
    <x v="31"/>
    <n v="1078"/>
    <n v="1078"/>
    <n v="0"/>
    <x v="215"/>
    <s v="Cali"/>
  </r>
  <r>
    <d v="2021-09-09T00:00:00"/>
    <x v="9"/>
    <x v="1"/>
    <x v="1"/>
    <n v="-1078"/>
    <n v="0"/>
    <n v="1078"/>
    <x v="215"/>
    <s v="Cali"/>
  </r>
  <r>
    <m/>
    <x v="1"/>
    <x v="23"/>
    <x v="23"/>
    <m/>
    <m/>
    <m/>
    <x v="1"/>
    <m/>
  </r>
  <r>
    <d v="2021-09-09T00:00:00"/>
    <x v="9"/>
    <x v="31"/>
    <x v="31"/>
    <n v="205"/>
    <n v="205"/>
    <n v="0"/>
    <x v="215"/>
    <s v="Cali"/>
  </r>
  <r>
    <d v="2021-09-09T00:00:00"/>
    <x v="9"/>
    <x v="1"/>
    <x v="1"/>
    <n v="-205"/>
    <n v="0"/>
    <n v="205"/>
    <x v="215"/>
    <s v="Cali"/>
  </r>
  <r>
    <m/>
    <x v="1"/>
    <x v="23"/>
    <x v="23"/>
    <m/>
    <m/>
    <m/>
    <x v="1"/>
    <m/>
  </r>
  <r>
    <d v="2021-09-22T00:00:00"/>
    <x v="9"/>
    <x v="1"/>
    <x v="1"/>
    <n v="32000000"/>
    <n v="32000000"/>
    <n v="0"/>
    <x v="579"/>
    <s v="Cali"/>
  </r>
  <r>
    <d v="2021-09-22T00:00:00"/>
    <x v="9"/>
    <x v="51"/>
    <x v="51"/>
    <n v="-32000000"/>
    <n v="0"/>
    <n v="32000000"/>
    <x v="579"/>
    <s v="Cali"/>
  </r>
  <r>
    <m/>
    <x v="1"/>
    <x v="23"/>
    <x v="23"/>
    <m/>
    <m/>
    <m/>
    <x v="1"/>
    <m/>
  </r>
  <r>
    <d v="2021-09-22T00:00:00"/>
    <x v="9"/>
    <x v="1"/>
    <x v="1"/>
    <n v="179895702"/>
    <n v="179895702"/>
    <n v="0"/>
    <x v="499"/>
    <s v="Cali"/>
  </r>
  <r>
    <d v="2021-09-22T00:00:00"/>
    <x v="9"/>
    <x v="3"/>
    <x v="3"/>
    <n v="-179895702"/>
    <n v="0"/>
    <n v="179895702"/>
    <x v="499"/>
    <s v="Cali"/>
  </r>
  <r>
    <m/>
    <x v="1"/>
    <x v="23"/>
    <x v="23"/>
    <m/>
    <m/>
    <m/>
    <x v="1"/>
    <m/>
  </r>
  <r>
    <d v="2021-09-24T00:00:00"/>
    <x v="9"/>
    <x v="12"/>
    <x v="12"/>
    <n v="256979"/>
    <n v="256979"/>
    <n v="0"/>
    <x v="580"/>
    <s v="Cali"/>
  </r>
  <r>
    <d v="2021-09-24T00:00:00"/>
    <x v="9"/>
    <x v="1"/>
    <x v="1"/>
    <n v="-256979"/>
    <n v="0"/>
    <n v="256979"/>
    <x v="580"/>
    <s v="Cali"/>
  </r>
  <r>
    <m/>
    <x v="1"/>
    <x v="23"/>
    <x v="23"/>
    <m/>
    <m/>
    <m/>
    <x v="1"/>
    <m/>
  </r>
  <r>
    <d v="2021-09-24T00:00:00"/>
    <x v="9"/>
    <x v="12"/>
    <x v="12"/>
    <n v="4336126"/>
    <n v="4336126"/>
    <n v="0"/>
    <x v="581"/>
    <s v="Cali"/>
  </r>
  <r>
    <d v="2021-09-24T00:00:00"/>
    <x v="9"/>
    <x v="1"/>
    <x v="1"/>
    <n v="-4336126"/>
    <n v="0"/>
    <n v="4336126"/>
    <x v="581"/>
    <s v="Cali"/>
  </r>
  <r>
    <m/>
    <x v="1"/>
    <x v="23"/>
    <x v="23"/>
    <m/>
    <m/>
    <m/>
    <x v="1"/>
    <m/>
  </r>
  <r>
    <d v="2021-09-24T00:00:00"/>
    <x v="9"/>
    <x v="48"/>
    <x v="48"/>
    <n v="222463036"/>
    <n v="222463036"/>
    <n v="0"/>
    <x v="582"/>
    <s v="Cali"/>
  </r>
  <r>
    <d v="2021-09-24T00:00:00"/>
    <x v="9"/>
    <x v="1"/>
    <x v="1"/>
    <n v="-222463036"/>
    <n v="0"/>
    <n v="222463036"/>
    <x v="582"/>
    <s v="Cali"/>
  </r>
  <r>
    <m/>
    <x v="1"/>
    <x v="23"/>
    <x v="23"/>
    <m/>
    <m/>
    <m/>
    <x v="1"/>
    <m/>
  </r>
  <r>
    <d v="2021-09-24T00:00:00"/>
    <x v="9"/>
    <x v="12"/>
    <x v="12"/>
    <n v="7869139"/>
    <n v="7869139"/>
    <n v="0"/>
    <x v="583"/>
    <s v="Cali"/>
  </r>
  <r>
    <d v="2021-09-24T00:00:00"/>
    <x v="9"/>
    <x v="1"/>
    <x v="1"/>
    <n v="-7869139"/>
    <n v="0"/>
    <n v="7869139"/>
    <x v="583"/>
    <s v="Cali"/>
  </r>
  <r>
    <m/>
    <x v="1"/>
    <x v="23"/>
    <x v="23"/>
    <m/>
    <m/>
    <m/>
    <x v="1"/>
    <m/>
  </r>
  <r>
    <d v="2021-09-24T00:00:00"/>
    <x v="9"/>
    <x v="11"/>
    <x v="11"/>
    <n v="-31180276"/>
    <n v="0"/>
    <n v="31180276"/>
    <x v="584"/>
    <s v="Cali"/>
  </r>
  <r>
    <d v="2021-09-24T00:00:00"/>
    <x v="9"/>
    <x v="8"/>
    <x v="8"/>
    <n v="265123715"/>
    <n v="265123715"/>
    <n v="0"/>
    <x v="129"/>
    <s v="Cali"/>
  </r>
  <r>
    <d v="2021-09-24T00:00:00"/>
    <x v="9"/>
    <x v="18"/>
    <x v="18"/>
    <n v="-11480403"/>
    <n v="0"/>
    <n v="11480403"/>
    <x v="585"/>
    <s v="Cali"/>
  </r>
  <r>
    <d v="2021-09-24T00:00:00"/>
    <x v="9"/>
    <x v="48"/>
    <x v="48"/>
    <n v="-222463036"/>
    <n v="0"/>
    <n v="222463036"/>
    <x v="586"/>
    <s v="Cali"/>
  </r>
  <r>
    <m/>
    <x v="1"/>
    <x v="23"/>
    <x v="23"/>
    <m/>
    <m/>
    <m/>
    <x v="1"/>
    <m/>
  </r>
  <r>
    <d v="2021-09-14T00:00:00"/>
    <x v="9"/>
    <x v="51"/>
    <x v="51"/>
    <n v="30949483"/>
    <n v="30949483"/>
    <n v="0"/>
    <x v="587"/>
    <s v="Cali"/>
  </r>
  <r>
    <d v="2021-09-14T00:00:00"/>
    <x v="9"/>
    <x v="53"/>
    <x v="53"/>
    <n v="-30949483"/>
    <n v="0"/>
    <n v="30949483"/>
    <x v="587"/>
    <s v="Cali"/>
  </r>
  <r>
    <m/>
    <x v="1"/>
    <x v="23"/>
    <x v="23"/>
    <m/>
    <m/>
    <m/>
    <x v="1"/>
    <m/>
  </r>
  <r>
    <d v="2021-09-10T00:00:00"/>
    <x v="9"/>
    <x v="31"/>
    <x v="31"/>
    <n v="9957"/>
    <n v="9957"/>
    <n v="0"/>
    <x v="588"/>
    <s v="Cali"/>
  </r>
  <r>
    <d v="2021-09-10T00:00:00"/>
    <x v="9"/>
    <x v="51"/>
    <x v="51"/>
    <n v="-9957"/>
    <n v="0"/>
    <n v="9957"/>
    <x v="588"/>
    <s v="Cali"/>
  </r>
  <r>
    <m/>
    <x v="1"/>
    <x v="23"/>
    <x v="23"/>
    <m/>
    <m/>
    <m/>
    <x v="1"/>
    <m/>
  </r>
  <r>
    <d v="2021-09-20T00:00:00"/>
    <x v="9"/>
    <x v="51"/>
    <x v="51"/>
    <n v="690000"/>
    <n v="690000"/>
    <n v="0"/>
    <x v="449"/>
    <s v="Cali"/>
  </r>
  <r>
    <d v="2021-09-20T00:00:00"/>
    <x v="9"/>
    <x v="25"/>
    <x v="25"/>
    <n v="-690000"/>
    <n v="0"/>
    <n v="690000"/>
    <x v="449"/>
    <s v="Cali"/>
  </r>
  <r>
    <m/>
    <x v="1"/>
    <x v="23"/>
    <x v="23"/>
    <m/>
    <m/>
    <m/>
    <x v="1"/>
    <m/>
  </r>
  <r>
    <d v="2021-09-29T00:00:00"/>
    <x v="9"/>
    <x v="51"/>
    <x v="51"/>
    <n v="55000"/>
    <n v="55000"/>
    <n v="0"/>
    <x v="449"/>
    <s v="Cali"/>
  </r>
  <r>
    <d v="2021-09-29T00:00:00"/>
    <x v="9"/>
    <x v="25"/>
    <x v="25"/>
    <n v="-55000"/>
    <n v="0"/>
    <n v="55000"/>
    <x v="449"/>
    <s v="Cali"/>
  </r>
  <r>
    <m/>
    <x v="1"/>
    <x v="23"/>
    <x v="23"/>
    <m/>
    <m/>
    <m/>
    <x v="1"/>
    <m/>
  </r>
  <r>
    <d v="2021-09-30T00:00:00"/>
    <x v="9"/>
    <x v="32"/>
    <x v="32"/>
    <n v="-457000"/>
    <n v="0"/>
    <n v="457000"/>
    <x v="548"/>
    <s v="Cali"/>
  </r>
  <r>
    <d v="2021-09-30T00:00:00"/>
    <x v="9"/>
    <x v="33"/>
    <x v="33"/>
    <n v="0"/>
    <n v="0"/>
    <n v="0"/>
    <x v="548"/>
    <s v="Cali"/>
  </r>
  <r>
    <d v="2021-09-30T00:00:00"/>
    <x v="9"/>
    <x v="34"/>
    <x v="34"/>
    <n v="-935289"/>
    <n v="0"/>
    <n v="935289"/>
    <x v="548"/>
    <s v="Cali"/>
  </r>
  <r>
    <d v="2021-09-30T00:00:00"/>
    <x v="9"/>
    <x v="35"/>
    <x v="35"/>
    <n v="-2973500"/>
    <n v="0"/>
    <n v="2973500"/>
    <x v="548"/>
    <s v="Cali"/>
  </r>
  <r>
    <d v="2021-09-30T00:00:00"/>
    <x v="9"/>
    <x v="36"/>
    <x v="36"/>
    <n v="-4190600"/>
    <n v="0"/>
    <n v="4190600"/>
    <x v="548"/>
    <s v="Cali"/>
  </r>
  <r>
    <d v="2021-09-30T00:00:00"/>
    <x v="9"/>
    <x v="37"/>
    <x v="37"/>
    <n v="-7628413"/>
    <n v="0"/>
    <n v="7628413"/>
    <x v="548"/>
    <s v="Cali"/>
  </r>
  <r>
    <d v="2021-09-30T00:00:00"/>
    <x v="9"/>
    <x v="29"/>
    <x v="29"/>
    <n v="457000"/>
    <n v="457000"/>
    <n v="0"/>
    <x v="548"/>
    <s v="Cali"/>
  </r>
  <r>
    <d v="2021-09-30T00:00:00"/>
    <x v="9"/>
    <x v="27"/>
    <x v="27"/>
    <n v="935289"/>
    <n v="935289"/>
    <n v="0"/>
    <x v="548"/>
    <s v="Cali"/>
  </r>
  <r>
    <d v="2021-09-30T00:00:00"/>
    <x v="9"/>
    <x v="25"/>
    <x v="25"/>
    <n v="2973500"/>
    <n v="2973500"/>
    <n v="0"/>
    <x v="548"/>
    <s v="Cali"/>
  </r>
  <r>
    <d v="2021-09-30T00:00:00"/>
    <x v="9"/>
    <x v="5"/>
    <x v="5"/>
    <n v="11819013"/>
    <n v="11819013"/>
    <n v="0"/>
    <x v="548"/>
    <s v="Cali"/>
  </r>
  <r>
    <d v="2021-09-30T00:00:00"/>
    <x v="9"/>
    <x v="15"/>
    <x v="15"/>
    <n v="-2918288"/>
    <n v="0"/>
    <n v="2918288"/>
    <x v="548"/>
    <s v="Cali"/>
  </r>
  <r>
    <d v="2021-09-30T00:00:00"/>
    <x v="9"/>
    <x v="38"/>
    <x v="38"/>
    <n v="2918288"/>
    <n v="2918288"/>
    <n v="0"/>
    <x v="548"/>
    <s v="Cali"/>
  </r>
  <r>
    <d v="2021-09-30T00:00:00"/>
    <x v="9"/>
    <x v="16"/>
    <x v="16"/>
    <n v="-54840"/>
    <n v="0"/>
    <n v="54840"/>
    <x v="548"/>
    <s v="Cali"/>
  </r>
  <r>
    <d v="2021-09-30T00:00:00"/>
    <x v="9"/>
    <x v="14"/>
    <x v="14"/>
    <n v="-161848"/>
    <n v="0"/>
    <n v="161848"/>
    <x v="548"/>
    <s v="Cali"/>
  </r>
  <r>
    <d v="2021-09-30T00:00:00"/>
    <x v="9"/>
    <x v="39"/>
    <x v="39"/>
    <n v="54840"/>
    <n v="54840"/>
    <n v="0"/>
    <x v="548"/>
    <s v="Cali"/>
  </r>
  <r>
    <d v="2021-09-30T00:00:00"/>
    <x v="9"/>
    <x v="40"/>
    <x v="40"/>
    <n v="161848"/>
    <n v="161848"/>
    <n v="0"/>
    <x v="548"/>
    <s v="Cali"/>
  </r>
  <r>
    <d v="2021-09-30T00:00:00"/>
    <x v="9"/>
    <x v="41"/>
    <x v="41"/>
    <n v="-5853767"/>
    <n v="0"/>
    <n v="5853767"/>
    <x v="548"/>
    <s v="Cali"/>
  </r>
  <r>
    <d v="2021-09-30T00:00:00"/>
    <x v="9"/>
    <x v="42"/>
    <x v="42"/>
    <n v="-1970500"/>
    <n v="0"/>
    <n v="1970500"/>
    <x v="548"/>
    <s v="Cali"/>
  </r>
  <r>
    <d v="2021-09-30T00:00:00"/>
    <x v="9"/>
    <x v="43"/>
    <x v="43"/>
    <n v="400621"/>
    <n v="400621"/>
    <n v="0"/>
    <x v="548"/>
    <s v="Cali"/>
  </r>
  <r>
    <d v="2021-09-30T00:00:00"/>
    <x v="9"/>
    <x v="43"/>
    <x v="43"/>
    <n v="49263"/>
    <n v="49263"/>
    <n v="0"/>
    <x v="548"/>
    <s v="Cali"/>
  </r>
  <r>
    <d v="2021-09-30T00:00:00"/>
    <x v="9"/>
    <x v="38"/>
    <x v="38"/>
    <n v="3236765"/>
    <n v="3236765"/>
    <n v="0"/>
    <x v="548"/>
    <s v="Cali"/>
  </r>
  <r>
    <d v="2021-09-30T00:00:00"/>
    <x v="9"/>
    <x v="40"/>
    <x v="40"/>
    <n v="58538"/>
    <n v="58538"/>
    <n v="0"/>
    <x v="548"/>
    <s v="Cali"/>
  </r>
  <r>
    <d v="2021-09-30T00:00:00"/>
    <x v="9"/>
    <x v="40"/>
    <x v="40"/>
    <n v="19705"/>
    <n v="19705"/>
    <n v="0"/>
    <x v="548"/>
    <s v="Cali"/>
  </r>
  <r>
    <d v="2021-09-30T00:00:00"/>
    <x v="9"/>
    <x v="44"/>
    <x v="44"/>
    <n v="2157843"/>
    <n v="2157843"/>
    <n v="0"/>
    <x v="548"/>
    <s v="Cali"/>
  </r>
  <r>
    <d v="2021-09-30T00:00:00"/>
    <x v="9"/>
    <x v="45"/>
    <x v="45"/>
    <n v="1901532"/>
    <n v="1901532"/>
    <n v="0"/>
    <x v="548"/>
    <s v="Cali"/>
  </r>
  <r>
    <d v="2021-09-30T00:00:00"/>
    <x v="9"/>
    <x v="5"/>
    <x v="5"/>
    <n v="-395216"/>
    <n v="0"/>
    <n v="395216"/>
    <x v="548"/>
    <s v="Cali"/>
  </r>
  <r>
    <d v="2021-09-30T00:00:00"/>
    <x v="9"/>
    <x v="30"/>
    <x v="30"/>
    <n v="395216"/>
    <n v="395216"/>
    <n v="0"/>
    <x v="548"/>
    <s v="Cali"/>
  </r>
  <r>
    <m/>
    <x v="1"/>
    <x v="23"/>
    <x v="23"/>
    <m/>
    <m/>
    <m/>
    <x v="1"/>
    <m/>
  </r>
  <r>
    <d v="2021-09-30T00:00:00"/>
    <x v="9"/>
    <x v="13"/>
    <x v="13"/>
    <n v="30000"/>
    <n v="30000"/>
    <n v="0"/>
    <x v="465"/>
    <s v="Cali"/>
  </r>
  <r>
    <d v="2021-09-30T00:00:00"/>
    <x v="9"/>
    <x v="13"/>
    <x v="13"/>
    <n v="20000"/>
    <n v="20000"/>
    <n v="0"/>
    <x v="299"/>
    <s v="Cali"/>
  </r>
  <r>
    <d v="2021-09-30T00:00:00"/>
    <x v="9"/>
    <x v="13"/>
    <x v="13"/>
    <n v="50000"/>
    <n v="50000"/>
    <n v="0"/>
    <x v="357"/>
    <s v="Cali"/>
  </r>
  <r>
    <d v="2021-09-30T00:00:00"/>
    <x v="9"/>
    <x v="13"/>
    <x v="13"/>
    <n v="-48353"/>
    <n v="0"/>
    <n v="48353"/>
    <x v="543"/>
    <s v="Cali"/>
  </r>
  <r>
    <d v="2021-09-30T00:00:00"/>
    <x v="9"/>
    <x v="13"/>
    <x v="13"/>
    <n v="30000"/>
    <n v="30000"/>
    <n v="0"/>
    <x v="221"/>
    <s v="Cali"/>
  </r>
  <r>
    <d v="2021-09-30T00:00:00"/>
    <x v="9"/>
    <x v="13"/>
    <x v="13"/>
    <n v="13000"/>
    <n v="13000"/>
    <n v="0"/>
    <x v="589"/>
    <s v="Cali"/>
  </r>
  <r>
    <d v="2021-09-30T00:00:00"/>
    <x v="9"/>
    <x v="13"/>
    <x v="13"/>
    <n v="13000"/>
    <n v="13000"/>
    <n v="0"/>
    <x v="590"/>
    <s v="Cali"/>
  </r>
  <r>
    <d v="2021-09-30T00:00:00"/>
    <x v="9"/>
    <x v="13"/>
    <x v="13"/>
    <n v="13000"/>
    <n v="13000"/>
    <n v="0"/>
    <x v="591"/>
    <s v="Cali"/>
  </r>
  <r>
    <d v="2021-09-30T00:00:00"/>
    <x v="9"/>
    <x v="13"/>
    <x v="13"/>
    <n v="21000"/>
    <n v="21000"/>
    <n v="0"/>
    <x v="545"/>
    <s v="Cali"/>
  </r>
  <r>
    <d v="2021-09-30T00:00:00"/>
    <x v="9"/>
    <x v="13"/>
    <x v="13"/>
    <n v="35000"/>
    <n v="35000"/>
    <n v="0"/>
    <x v="546"/>
    <s v="Cali"/>
  </r>
  <r>
    <d v="2021-09-30T00:00:00"/>
    <x v="9"/>
    <x v="13"/>
    <x v="13"/>
    <n v="15000"/>
    <n v="15000"/>
    <n v="0"/>
    <x v="301"/>
    <s v="Cali"/>
  </r>
  <r>
    <d v="2021-09-30T00:00:00"/>
    <x v="9"/>
    <x v="13"/>
    <x v="13"/>
    <n v="50000"/>
    <n v="50000"/>
    <n v="0"/>
    <x v="407"/>
    <s v="Cali"/>
  </r>
  <r>
    <d v="2021-09-30T00:00:00"/>
    <x v="9"/>
    <x v="13"/>
    <x v="13"/>
    <n v="20000"/>
    <n v="20000"/>
    <n v="0"/>
    <x v="592"/>
    <s v="Cali"/>
  </r>
  <r>
    <d v="2021-09-30T00:00:00"/>
    <x v="9"/>
    <x v="13"/>
    <x v="13"/>
    <n v="450000"/>
    <n v="450000"/>
    <n v="0"/>
    <x v="593"/>
    <s v="Cali"/>
  </r>
  <r>
    <d v="2021-09-30T00:00:00"/>
    <x v="9"/>
    <x v="13"/>
    <x v="13"/>
    <n v="450000"/>
    <n v="450000"/>
    <n v="0"/>
    <x v="594"/>
    <s v="Cali"/>
  </r>
  <r>
    <d v="2021-09-30T00:00:00"/>
    <x v="9"/>
    <x v="13"/>
    <x v="13"/>
    <n v="20000"/>
    <n v="20000"/>
    <n v="0"/>
    <x v="595"/>
    <s v="Cali"/>
  </r>
  <r>
    <d v="2021-09-30T00:00:00"/>
    <x v="9"/>
    <x v="13"/>
    <x v="13"/>
    <n v="10000"/>
    <n v="10000"/>
    <n v="0"/>
    <x v="520"/>
    <s v="Cali"/>
  </r>
  <r>
    <d v="2021-09-30T00:00:00"/>
    <x v="9"/>
    <x v="13"/>
    <x v="13"/>
    <n v="30000"/>
    <n v="30000"/>
    <n v="0"/>
    <x v="304"/>
    <s v="Cali"/>
  </r>
  <r>
    <d v="2021-09-30T00:00:00"/>
    <x v="9"/>
    <x v="29"/>
    <x v="29"/>
    <n v="-30000"/>
    <n v="0"/>
    <n v="30000"/>
    <x v="465"/>
    <s v="Cali"/>
  </r>
  <r>
    <d v="2021-09-30T00:00:00"/>
    <x v="9"/>
    <x v="26"/>
    <x v="26"/>
    <n v="-20000"/>
    <n v="0"/>
    <n v="20000"/>
    <x v="299"/>
    <s v="Cali"/>
  </r>
  <r>
    <d v="2021-09-30T00:00:00"/>
    <x v="9"/>
    <x v="26"/>
    <x v="26"/>
    <n v="-50000"/>
    <n v="0"/>
    <n v="50000"/>
    <x v="357"/>
    <s v="Cali"/>
  </r>
  <r>
    <d v="2021-09-30T00:00:00"/>
    <x v="9"/>
    <x v="17"/>
    <x v="17"/>
    <n v="48353"/>
    <n v="48353"/>
    <n v="0"/>
    <x v="543"/>
    <s v="Cali"/>
  </r>
  <r>
    <d v="2021-09-30T00:00:00"/>
    <x v="9"/>
    <x v="25"/>
    <x v="25"/>
    <n v="-30000"/>
    <n v="0"/>
    <n v="30000"/>
    <x v="221"/>
    <s v="Cali"/>
  </r>
  <r>
    <d v="2021-09-30T00:00:00"/>
    <x v="9"/>
    <x v="25"/>
    <x v="25"/>
    <n v="-13000"/>
    <n v="0"/>
    <n v="13000"/>
    <x v="589"/>
    <s v="Cali"/>
  </r>
  <r>
    <d v="2021-09-30T00:00:00"/>
    <x v="9"/>
    <x v="25"/>
    <x v="25"/>
    <n v="-13000"/>
    <n v="0"/>
    <n v="13000"/>
    <x v="590"/>
    <s v="Cali"/>
  </r>
  <r>
    <d v="2021-09-30T00:00:00"/>
    <x v="9"/>
    <x v="25"/>
    <x v="25"/>
    <n v="-13000"/>
    <n v="0"/>
    <n v="13000"/>
    <x v="591"/>
    <s v="Cali"/>
  </r>
  <r>
    <d v="2021-09-30T00:00:00"/>
    <x v="9"/>
    <x v="27"/>
    <x v="27"/>
    <n v="-21000"/>
    <n v="0"/>
    <n v="21000"/>
    <x v="545"/>
    <s v="Cali"/>
  </r>
  <r>
    <d v="2021-09-30T00:00:00"/>
    <x v="9"/>
    <x v="25"/>
    <x v="25"/>
    <n v="-35000"/>
    <n v="0"/>
    <n v="35000"/>
    <x v="546"/>
    <s v="Cali"/>
  </r>
  <r>
    <d v="2021-09-30T00:00:00"/>
    <x v="9"/>
    <x v="25"/>
    <x v="25"/>
    <n v="-15000"/>
    <n v="0"/>
    <n v="15000"/>
    <x v="301"/>
    <s v="Cali"/>
  </r>
  <r>
    <d v="2021-09-30T00:00:00"/>
    <x v="9"/>
    <x v="25"/>
    <x v="25"/>
    <n v="-50000"/>
    <n v="0"/>
    <n v="50000"/>
    <x v="407"/>
    <s v="Cali"/>
  </r>
  <r>
    <d v="2021-09-30T00:00:00"/>
    <x v="9"/>
    <x v="25"/>
    <x v="25"/>
    <n v="-20000"/>
    <n v="0"/>
    <n v="20000"/>
    <x v="592"/>
    <s v="Cali"/>
  </r>
  <r>
    <d v="2021-09-30T00:00:00"/>
    <x v="9"/>
    <x v="26"/>
    <x v="26"/>
    <n v="-450000"/>
    <n v="0"/>
    <n v="450000"/>
    <x v="593"/>
    <s v="Cali"/>
  </r>
  <r>
    <d v="2021-09-30T00:00:00"/>
    <x v="9"/>
    <x v="26"/>
    <x v="26"/>
    <n v="-450000"/>
    <n v="0"/>
    <n v="450000"/>
    <x v="594"/>
    <s v="Cali"/>
  </r>
  <r>
    <d v="2021-09-30T00:00:00"/>
    <x v="9"/>
    <x v="25"/>
    <x v="25"/>
    <n v="-20000"/>
    <n v="0"/>
    <n v="20000"/>
    <x v="595"/>
    <s v="Cali"/>
  </r>
  <r>
    <d v="2021-09-30T00:00:00"/>
    <x v="9"/>
    <x v="25"/>
    <x v="25"/>
    <n v="-10000"/>
    <n v="0"/>
    <n v="10000"/>
    <x v="520"/>
    <s v="Cali"/>
  </r>
  <r>
    <d v="2021-09-30T00:00:00"/>
    <x v="9"/>
    <x v="25"/>
    <x v="25"/>
    <n v="-30000"/>
    <n v="0"/>
    <n v="30000"/>
    <x v="304"/>
    <s v="Cali"/>
  </r>
  <r>
    <m/>
    <x v="1"/>
    <x v="23"/>
    <x v="23"/>
    <m/>
    <m/>
    <m/>
    <x v="1"/>
    <m/>
  </r>
  <r>
    <d v="2021-09-30T00:00:00"/>
    <x v="9"/>
    <x v="4"/>
    <x v="4"/>
    <n v="135000"/>
    <n v="135000"/>
    <n v="0"/>
    <x v="596"/>
    <s v="Cali"/>
  </r>
  <r>
    <d v="2021-09-30T00:00:00"/>
    <x v="9"/>
    <x v="29"/>
    <x v="29"/>
    <n v="-135000"/>
    <n v="0"/>
    <n v="135000"/>
    <x v="596"/>
    <s v="Cali"/>
  </r>
  <r>
    <m/>
    <x v="1"/>
    <x v="23"/>
    <x v="23"/>
    <m/>
    <m/>
    <m/>
    <x v="1"/>
    <m/>
  </r>
  <r>
    <d v="2021-09-30T00:00:00"/>
    <x v="9"/>
    <x v="13"/>
    <x v="13"/>
    <n v="40000"/>
    <n v="40000"/>
    <n v="0"/>
    <x v="463"/>
    <s v="Cali"/>
  </r>
  <r>
    <d v="2021-09-30T00:00:00"/>
    <x v="9"/>
    <x v="13"/>
    <x v="13"/>
    <n v="50000"/>
    <n v="50000"/>
    <n v="0"/>
    <x v="357"/>
    <s v="Cali"/>
  </r>
  <r>
    <d v="2021-09-30T00:00:00"/>
    <x v="9"/>
    <x v="13"/>
    <x v="13"/>
    <n v="1000000"/>
    <n v="1000000"/>
    <n v="0"/>
    <x v="597"/>
    <s v="Cali"/>
  </r>
  <r>
    <d v="2021-09-30T00:00:00"/>
    <x v="9"/>
    <x v="25"/>
    <x v="25"/>
    <n v="-40000"/>
    <n v="0"/>
    <n v="40000"/>
    <x v="463"/>
    <s v="Cali"/>
  </r>
  <r>
    <d v="2021-09-30T00:00:00"/>
    <x v="9"/>
    <x v="26"/>
    <x v="26"/>
    <n v="-50000"/>
    <n v="0"/>
    <n v="50000"/>
    <x v="357"/>
    <s v="Cali"/>
  </r>
  <r>
    <d v="2021-09-30T00:00:00"/>
    <x v="9"/>
    <x v="26"/>
    <x v="26"/>
    <n v="-1000000"/>
    <n v="0"/>
    <n v="1000000"/>
    <x v="597"/>
    <s v="Cali"/>
  </r>
  <r>
    <m/>
    <x v="1"/>
    <x v="23"/>
    <x v="23"/>
    <m/>
    <m/>
    <m/>
    <x v="1"/>
    <m/>
  </r>
  <r>
    <d v="2021-09-30T00:00:00"/>
    <x v="9"/>
    <x v="46"/>
    <x v="46"/>
    <n v="0"/>
    <n v="0"/>
    <n v="0"/>
    <x v="110"/>
    <s v="Cali"/>
  </r>
  <r>
    <d v="2021-09-30T00:00:00"/>
    <x v="9"/>
    <x v="47"/>
    <x v="47"/>
    <n v="0"/>
    <n v="0"/>
    <n v="0"/>
    <x v="110"/>
    <s v="Cali"/>
  </r>
  <r>
    <m/>
    <x v="1"/>
    <x v="23"/>
    <x v="23"/>
    <m/>
    <m/>
    <m/>
    <x v="1"/>
    <m/>
  </r>
  <r>
    <d v="2021-09-30T00:00:00"/>
    <x v="9"/>
    <x v="2"/>
    <x v="2"/>
    <n v="0"/>
    <n v="0"/>
    <n v="0"/>
    <x v="111"/>
    <s v="Cali"/>
  </r>
  <r>
    <d v="2021-09-30T00:00:00"/>
    <x v="9"/>
    <x v="47"/>
    <x v="47"/>
    <n v="0"/>
    <n v="0"/>
    <n v="0"/>
    <x v="111"/>
    <s v="Cali"/>
  </r>
  <r>
    <m/>
    <x v="1"/>
    <x v="23"/>
    <x v="23"/>
    <m/>
    <m/>
    <m/>
    <x v="1"/>
    <m/>
  </r>
  <r>
    <d v="2021-09-30T00:00:00"/>
    <x v="9"/>
    <x v="3"/>
    <x v="3"/>
    <n v="-152625"/>
    <n v="0"/>
    <n v="152625"/>
    <x v="112"/>
    <s v="Cali"/>
  </r>
  <r>
    <d v="2021-09-30T00:00:00"/>
    <x v="9"/>
    <x v="47"/>
    <x v="47"/>
    <n v="152625"/>
    <n v="152625"/>
    <n v="0"/>
    <x v="112"/>
    <s v="Cali"/>
  </r>
  <r>
    <m/>
    <x v="1"/>
    <x v="23"/>
    <x v="23"/>
    <m/>
    <m/>
    <m/>
    <x v="1"/>
    <m/>
  </r>
  <r>
    <d v="2021-09-30T00:00:00"/>
    <x v="9"/>
    <x v="53"/>
    <x v="53"/>
    <n v="533716"/>
    <n v="533716"/>
    <n v="0"/>
    <x v="305"/>
    <s v="Cali"/>
  </r>
  <r>
    <d v="2021-09-30T00:00:00"/>
    <x v="9"/>
    <x v="47"/>
    <x v="47"/>
    <n v="-533716"/>
    <n v="0"/>
    <n v="533716"/>
    <x v="305"/>
    <s v="Cali"/>
  </r>
  <r>
    <m/>
    <x v="1"/>
    <x v="23"/>
    <x v="23"/>
    <m/>
    <m/>
    <m/>
    <x v="1"/>
    <m/>
  </r>
  <r>
    <d v="2021-10-01T00:00:00"/>
    <x v="10"/>
    <x v="0"/>
    <x v="0"/>
    <n v="30000"/>
    <n v="30000"/>
    <n v="0"/>
    <x v="321"/>
    <s v="Cali"/>
  </r>
  <r>
    <d v="2021-10-01T00:00:00"/>
    <x v="10"/>
    <x v="27"/>
    <x v="27"/>
    <n v="-30000"/>
    <n v="0"/>
    <n v="30000"/>
    <x v="321"/>
    <s v="Cali"/>
  </r>
  <r>
    <m/>
    <x v="1"/>
    <x v="23"/>
    <x v="23"/>
    <m/>
    <m/>
    <m/>
    <x v="1"/>
    <m/>
  </r>
  <r>
    <d v="2021-10-01T00:00:00"/>
    <x v="10"/>
    <x v="0"/>
    <x v="0"/>
    <n v="20000"/>
    <n v="20000"/>
    <n v="0"/>
    <x v="132"/>
    <s v="Cali"/>
  </r>
  <r>
    <d v="2021-10-01T00:00:00"/>
    <x v="10"/>
    <x v="25"/>
    <x v="25"/>
    <n v="-20000"/>
    <n v="0"/>
    <n v="20000"/>
    <x v="132"/>
    <s v="Cali"/>
  </r>
  <r>
    <m/>
    <x v="1"/>
    <x v="23"/>
    <x v="23"/>
    <m/>
    <m/>
    <m/>
    <x v="1"/>
    <m/>
  </r>
  <r>
    <d v="2021-10-01T00:00:00"/>
    <x v="10"/>
    <x v="0"/>
    <x v="0"/>
    <n v="10000"/>
    <n v="10000"/>
    <n v="0"/>
    <x v="142"/>
    <s v="Cali"/>
  </r>
  <r>
    <d v="2021-10-01T00:00:00"/>
    <x v="10"/>
    <x v="25"/>
    <x v="25"/>
    <n v="-10000"/>
    <n v="0"/>
    <n v="10000"/>
    <x v="142"/>
    <s v="Cali"/>
  </r>
  <r>
    <m/>
    <x v="1"/>
    <x v="23"/>
    <x v="23"/>
    <m/>
    <m/>
    <m/>
    <x v="1"/>
    <m/>
  </r>
  <r>
    <d v="2021-10-01T00:00:00"/>
    <x v="10"/>
    <x v="0"/>
    <x v="0"/>
    <n v="50000"/>
    <n v="50000"/>
    <n v="0"/>
    <x v="143"/>
    <s v="Cali"/>
  </r>
  <r>
    <d v="2021-10-01T00:00:00"/>
    <x v="10"/>
    <x v="25"/>
    <x v="25"/>
    <n v="-50000"/>
    <n v="0"/>
    <n v="50000"/>
    <x v="143"/>
    <s v="Cali"/>
  </r>
  <r>
    <m/>
    <x v="1"/>
    <x v="23"/>
    <x v="23"/>
    <m/>
    <m/>
    <m/>
    <x v="1"/>
    <m/>
  </r>
  <r>
    <d v="2021-10-01T00:00:00"/>
    <x v="10"/>
    <x v="0"/>
    <x v="0"/>
    <n v="14000"/>
    <n v="14000"/>
    <n v="0"/>
    <x v="289"/>
    <s v="Cali"/>
  </r>
  <r>
    <d v="2021-10-01T00:00:00"/>
    <x v="10"/>
    <x v="26"/>
    <x v="26"/>
    <n v="-14000"/>
    <n v="0"/>
    <n v="14000"/>
    <x v="289"/>
    <s v="Cali"/>
  </r>
  <r>
    <m/>
    <x v="1"/>
    <x v="23"/>
    <x v="23"/>
    <m/>
    <m/>
    <m/>
    <x v="1"/>
    <m/>
  </r>
  <r>
    <d v="2021-10-01T00:00:00"/>
    <x v="10"/>
    <x v="0"/>
    <x v="0"/>
    <n v="48000"/>
    <n v="48000"/>
    <n v="0"/>
    <x v="144"/>
    <s v="Cali"/>
  </r>
  <r>
    <d v="2021-10-01T00:00:00"/>
    <x v="10"/>
    <x v="27"/>
    <x v="27"/>
    <n v="-48000"/>
    <n v="0"/>
    <n v="48000"/>
    <x v="144"/>
    <s v="Cali"/>
  </r>
  <r>
    <m/>
    <x v="1"/>
    <x v="23"/>
    <x v="23"/>
    <m/>
    <m/>
    <m/>
    <x v="1"/>
    <m/>
  </r>
  <r>
    <d v="2021-10-01T00:00:00"/>
    <x v="10"/>
    <x v="0"/>
    <x v="0"/>
    <n v="15000"/>
    <n v="15000"/>
    <n v="0"/>
    <x v="415"/>
    <s v="Cali"/>
  </r>
  <r>
    <d v="2021-10-01T00:00:00"/>
    <x v="10"/>
    <x v="25"/>
    <x v="25"/>
    <n v="-15000"/>
    <n v="0"/>
    <n v="15000"/>
    <x v="415"/>
    <s v="Cali"/>
  </r>
  <r>
    <m/>
    <x v="1"/>
    <x v="23"/>
    <x v="23"/>
    <m/>
    <m/>
    <m/>
    <x v="1"/>
    <m/>
  </r>
  <r>
    <d v="2021-10-01T00:00:00"/>
    <x v="10"/>
    <x v="0"/>
    <x v="0"/>
    <n v="40000"/>
    <n v="40000"/>
    <n v="0"/>
    <x v="145"/>
    <s v="Cali"/>
  </r>
  <r>
    <d v="2021-10-01T00:00:00"/>
    <x v="10"/>
    <x v="25"/>
    <x v="25"/>
    <n v="-40000"/>
    <n v="0"/>
    <n v="40000"/>
    <x v="145"/>
    <s v="Cali"/>
  </r>
  <r>
    <m/>
    <x v="1"/>
    <x v="23"/>
    <x v="23"/>
    <m/>
    <m/>
    <m/>
    <x v="1"/>
    <m/>
  </r>
  <r>
    <d v="2021-10-01T00:00:00"/>
    <x v="10"/>
    <x v="0"/>
    <x v="0"/>
    <n v="70000"/>
    <n v="70000"/>
    <n v="0"/>
    <x v="515"/>
    <s v="Cali"/>
  </r>
  <r>
    <d v="2021-10-01T00:00:00"/>
    <x v="10"/>
    <x v="26"/>
    <x v="26"/>
    <n v="-70000"/>
    <n v="0"/>
    <n v="70000"/>
    <x v="515"/>
    <s v="Cali"/>
  </r>
  <r>
    <m/>
    <x v="1"/>
    <x v="23"/>
    <x v="23"/>
    <m/>
    <m/>
    <m/>
    <x v="1"/>
    <m/>
  </r>
  <r>
    <d v="2021-10-01T00:00:00"/>
    <x v="10"/>
    <x v="0"/>
    <x v="0"/>
    <n v="20000"/>
    <n v="20000"/>
    <n v="0"/>
    <x v="146"/>
    <s v="Cali"/>
  </r>
  <r>
    <d v="2021-10-01T00:00:00"/>
    <x v="10"/>
    <x v="26"/>
    <x v="26"/>
    <n v="-20000"/>
    <n v="0"/>
    <n v="20000"/>
    <x v="146"/>
    <s v="Cali"/>
  </r>
  <r>
    <m/>
    <x v="1"/>
    <x v="23"/>
    <x v="23"/>
    <m/>
    <m/>
    <m/>
    <x v="1"/>
    <m/>
  </r>
  <r>
    <d v="2021-10-01T00:00:00"/>
    <x v="10"/>
    <x v="0"/>
    <x v="0"/>
    <n v="15000"/>
    <n v="15000"/>
    <n v="0"/>
    <x v="364"/>
    <s v="Cali"/>
  </r>
  <r>
    <d v="2021-10-01T00:00:00"/>
    <x v="10"/>
    <x v="25"/>
    <x v="25"/>
    <n v="-15000"/>
    <n v="0"/>
    <n v="15000"/>
    <x v="364"/>
    <s v="Cali"/>
  </r>
  <r>
    <m/>
    <x v="1"/>
    <x v="23"/>
    <x v="23"/>
    <m/>
    <m/>
    <m/>
    <x v="1"/>
    <m/>
  </r>
  <r>
    <d v="2021-10-01T00:00:00"/>
    <x v="10"/>
    <x v="0"/>
    <x v="0"/>
    <n v="20000"/>
    <n v="20000"/>
    <n v="0"/>
    <x v="17"/>
    <s v="Cali"/>
  </r>
  <r>
    <d v="2021-10-01T00:00:00"/>
    <x v="10"/>
    <x v="25"/>
    <x v="25"/>
    <n v="-20000"/>
    <n v="0"/>
    <n v="20000"/>
    <x v="17"/>
    <s v="Cali"/>
  </r>
  <r>
    <m/>
    <x v="1"/>
    <x v="23"/>
    <x v="23"/>
    <m/>
    <m/>
    <m/>
    <x v="1"/>
    <m/>
  </r>
  <r>
    <d v="2021-10-01T00:00:00"/>
    <x v="10"/>
    <x v="0"/>
    <x v="0"/>
    <n v="50000"/>
    <n v="50000"/>
    <n v="0"/>
    <x v="19"/>
    <s v="Cali"/>
  </r>
  <r>
    <d v="2021-10-01T00:00:00"/>
    <x v="10"/>
    <x v="25"/>
    <x v="25"/>
    <n v="-50000"/>
    <n v="0"/>
    <n v="50000"/>
    <x v="19"/>
    <s v="Cali"/>
  </r>
  <r>
    <m/>
    <x v="1"/>
    <x v="23"/>
    <x v="23"/>
    <m/>
    <m/>
    <m/>
    <x v="1"/>
    <m/>
  </r>
  <r>
    <d v="2021-10-01T00:00:00"/>
    <x v="10"/>
    <x v="0"/>
    <x v="0"/>
    <n v="30000"/>
    <n v="30000"/>
    <n v="0"/>
    <x v="147"/>
    <s v="Cali"/>
  </r>
  <r>
    <d v="2021-10-01T00:00:00"/>
    <x v="10"/>
    <x v="26"/>
    <x v="26"/>
    <n v="-30000"/>
    <n v="0"/>
    <n v="30000"/>
    <x v="147"/>
    <s v="Cali"/>
  </r>
  <r>
    <m/>
    <x v="1"/>
    <x v="23"/>
    <x v="23"/>
    <m/>
    <m/>
    <m/>
    <x v="1"/>
    <m/>
  </r>
  <r>
    <d v="2021-10-01T00:00:00"/>
    <x v="10"/>
    <x v="0"/>
    <x v="0"/>
    <n v="40000"/>
    <n v="40000"/>
    <n v="0"/>
    <x v="168"/>
    <s v="Cali"/>
  </r>
  <r>
    <d v="2021-10-01T00:00:00"/>
    <x v="10"/>
    <x v="26"/>
    <x v="26"/>
    <n v="-40000"/>
    <n v="0"/>
    <n v="40000"/>
    <x v="168"/>
    <s v="Cali"/>
  </r>
  <r>
    <m/>
    <x v="1"/>
    <x v="23"/>
    <x v="23"/>
    <m/>
    <m/>
    <m/>
    <x v="1"/>
    <m/>
  </r>
  <r>
    <d v="2021-10-01T00:00:00"/>
    <x v="10"/>
    <x v="0"/>
    <x v="0"/>
    <n v="15000"/>
    <n v="15000"/>
    <n v="0"/>
    <x v="148"/>
    <s v="Cali"/>
  </r>
  <r>
    <d v="2021-10-01T00:00:00"/>
    <x v="10"/>
    <x v="25"/>
    <x v="25"/>
    <n v="-15000"/>
    <n v="0"/>
    <n v="15000"/>
    <x v="148"/>
    <s v="Cali"/>
  </r>
  <r>
    <m/>
    <x v="1"/>
    <x v="23"/>
    <x v="23"/>
    <m/>
    <m/>
    <m/>
    <x v="1"/>
    <m/>
  </r>
  <r>
    <d v="2021-10-01T00:00:00"/>
    <x v="10"/>
    <x v="0"/>
    <x v="0"/>
    <n v="11423764"/>
    <n v="11423764"/>
    <n v="0"/>
    <x v="598"/>
    <s v="Cali"/>
  </r>
  <r>
    <d v="2021-10-01T00:00:00"/>
    <x v="10"/>
    <x v="5"/>
    <x v="5"/>
    <n v="-11423764"/>
    <n v="0"/>
    <n v="11423764"/>
    <x v="598"/>
    <s v="Cali"/>
  </r>
  <r>
    <m/>
    <x v="1"/>
    <x v="23"/>
    <x v="23"/>
    <m/>
    <m/>
    <m/>
    <x v="1"/>
    <m/>
  </r>
  <r>
    <d v="2021-10-01T00:00:00"/>
    <x v="10"/>
    <x v="0"/>
    <x v="0"/>
    <n v="160000"/>
    <n v="160000"/>
    <n v="0"/>
    <x v="22"/>
    <s v="Cali"/>
  </r>
  <r>
    <d v="2021-10-01T00:00:00"/>
    <x v="10"/>
    <x v="27"/>
    <x v="27"/>
    <n v="-160000"/>
    <n v="0"/>
    <n v="160000"/>
    <x v="22"/>
    <s v="Cali"/>
  </r>
  <r>
    <m/>
    <x v="1"/>
    <x v="23"/>
    <x v="23"/>
    <m/>
    <m/>
    <m/>
    <x v="1"/>
    <m/>
  </r>
  <r>
    <d v="2021-10-01T00:00:00"/>
    <x v="10"/>
    <x v="0"/>
    <x v="0"/>
    <n v="40000"/>
    <n v="40000"/>
    <n v="0"/>
    <x v="157"/>
    <s v="Cali"/>
  </r>
  <r>
    <d v="2021-10-01T00:00:00"/>
    <x v="10"/>
    <x v="27"/>
    <x v="27"/>
    <n v="-40000"/>
    <n v="0"/>
    <n v="40000"/>
    <x v="157"/>
    <s v="Cali"/>
  </r>
  <r>
    <m/>
    <x v="1"/>
    <x v="23"/>
    <x v="23"/>
    <m/>
    <m/>
    <m/>
    <x v="1"/>
    <m/>
  </r>
  <r>
    <d v="2021-10-01T00:00:00"/>
    <x v="10"/>
    <x v="0"/>
    <x v="0"/>
    <n v="30000"/>
    <n v="30000"/>
    <n v="0"/>
    <x v="307"/>
    <s v="Cali"/>
  </r>
  <r>
    <d v="2021-10-01T00:00:00"/>
    <x v="10"/>
    <x v="25"/>
    <x v="25"/>
    <n v="-30000"/>
    <n v="0"/>
    <n v="30000"/>
    <x v="307"/>
    <s v="Cali"/>
  </r>
  <r>
    <m/>
    <x v="1"/>
    <x v="23"/>
    <x v="23"/>
    <m/>
    <m/>
    <m/>
    <x v="1"/>
    <m/>
  </r>
  <r>
    <d v="2021-10-04T00:00:00"/>
    <x v="10"/>
    <x v="0"/>
    <x v="0"/>
    <n v="25000"/>
    <n v="25000"/>
    <n v="0"/>
    <x v="38"/>
    <s v="Cali"/>
  </r>
  <r>
    <d v="2021-10-04T00:00:00"/>
    <x v="10"/>
    <x v="25"/>
    <x v="25"/>
    <n v="-25000"/>
    <n v="0"/>
    <n v="25000"/>
    <x v="38"/>
    <s v="Cali"/>
  </r>
  <r>
    <m/>
    <x v="1"/>
    <x v="23"/>
    <x v="23"/>
    <m/>
    <m/>
    <m/>
    <x v="1"/>
    <m/>
  </r>
  <r>
    <d v="2021-10-04T00:00:00"/>
    <x v="10"/>
    <x v="0"/>
    <x v="0"/>
    <n v="15000"/>
    <n v="15000"/>
    <n v="0"/>
    <x v="150"/>
    <s v="Cali"/>
  </r>
  <r>
    <d v="2021-10-04T00:00:00"/>
    <x v="10"/>
    <x v="19"/>
    <x v="19"/>
    <n v="-15000"/>
    <n v="0"/>
    <n v="15000"/>
    <x v="150"/>
    <s v="Cali"/>
  </r>
  <r>
    <m/>
    <x v="1"/>
    <x v="23"/>
    <x v="23"/>
    <m/>
    <m/>
    <m/>
    <x v="1"/>
    <m/>
  </r>
  <r>
    <d v="2021-10-04T00:00:00"/>
    <x v="10"/>
    <x v="0"/>
    <x v="0"/>
    <n v="20000"/>
    <n v="20000"/>
    <n v="0"/>
    <x v="205"/>
    <s v="Cali"/>
  </r>
  <r>
    <d v="2021-10-04T00:00:00"/>
    <x v="10"/>
    <x v="27"/>
    <x v="27"/>
    <n v="-20000"/>
    <n v="0"/>
    <n v="20000"/>
    <x v="205"/>
    <s v="Cali"/>
  </r>
  <r>
    <m/>
    <x v="1"/>
    <x v="23"/>
    <x v="23"/>
    <m/>
    <m/>
    <m/>
    <x v="1"/>
    <m/>
  </r>
  <r>
    <d v="2021-10-04T00:00:00"/>
    <x v="10"/>
    <x v="0"/>
    <x v="0"/>
    <n v="50000"/>
    <n v="50000"/>
    <n v="0"/>
    <x v="10"/>
    <s v="Cali"/>
  </r>
  <r>
    <d v="2021-10-04T00:00:00"/>
    <x v="10"/>
    <x v="25"/>
    <x v="25"/>
    <n v="-50000"/>
    <n v="0"/>
    <n v="50000"/>
    <x v="10"/>
    <s v="Cali"/>
  </r>
  <r>
    <m/>
    <x v="1"/>
    <x v="23"/>
    <x v="23"/>
    <m/>
    <m/>
    <m/>
    <x v="1"/>
    <m/>
  </r>
  <r>
    <d v="2021-10-04T00:00:00"/>
    <x v="10"/>
    <x v="0"/>
    <x v="0"/>
    <n v="1000000"/>
    <n v="1000000"/>
    <n v="0"/>
    <x v="560"/>
    <s v="Cali"/>
  </r>
  <r>
    <d v="2021-10-04T00:00:00"/>
    <x v="10"/>
    <x v="26"/>
    <x v="26"/>
    <n v="-1000000"/>
    <n v="0"/>
    <n v="1000000"/>
    <x v="560"/>
    <s v="Cali"/>
  </r>
  <r>
    <m/>
    <x v="1"/>
    <x v="23"/>
    <x v="23"/>
    <m/>
    <m/>
    <m/>
    <x v="1"/>
    <m/>
  </r>
  <r>
    <d v="2021-10-04T00:00:00"/>
    <x v="10"/>
    <x v="0"/>
    <x v="0"/>
    <n v="40000"/>
    <n v="40000"/>
    <n v="0"/>
    <x v="267"/>
    <s v="Cali"/>
  </r>
  <r>
    <d v="2021-10-04T00:00:00"/>
    <x v="10"/>
    <x v="25"/>
    <x v="25"/>
    <n v="-40000"/>
    <n v="0"/>
    <n v="40000"/>
    <x v="267"/>
    <s v="Cali"/>
  </r>
  <r>
    <m/>
    <x v="1"/>
    <x v="23"/>
    <x v="23"/>
    <m/>
    <m/>
    <m/>
    <x v="1"/>
    <m/>
  </r>
  <r>
    <d v="2021-10-04T00:00:00"/>
    <x v="10"/>
    <x v="0"/>
    <x v="0"/>
    <n v="45000"/>
    <n v="45000"/>
    <n v="0"/>
    <x v="161"/>
    <s v="Cali"/>
  </r>
  <r>
    <d v="2021-10-04T00:00:00"/>
    <x v="10"/>
    <x v="26"/>
    <x v="26"/>
    <n v="-45000"/>
    <n v="0"/>
    <n v="45000"/>
    <x v="161"/>
    <s v="Cali"/>
  </r>
  <r>
    <m/>
    <x v="1"/>
    <x v="23"/>
    <x v="23"/>
    <m/>
    <m/>
    <m/>
    <x v="1"/>
    <m/>
  </r>
  <r>
    <d v="2021-10-04T00:00:00"/>
    <x v="10"/>
    <x v="0"/>
    <x v="0"/>
    <n v="120000"/>
    <n v="120000"/>
    <n v="0"/>
    <x v="155"/>
    <s v="Cali"/>
  </r>
  <r>
    <d v="2021-10-04T00:00:00"/>
    <x v="10"/>
    <x v="27"/>
    <x v="27"/>
    <n v="-120000"/>
    <n v="0"/>
    <n v="120000"/>
    <x v="155"/>
    <s v="Cali"/>
  </r>
  <r>
    <m/>
    <x v="1"/>
    <x v="23"/>
    <x v="23"/>
    <m/>
    <m/>
    <m/>
    <x v="1"/>
    <m/>
  </r>
  <r>
    <d v="2021-10-04T00:00:00"/>
    <x v="10"/>
    <x v="0"/>
    <x v="0"/>
    <n v="3000000"/>
    <n v="3000000"/>
    <n v="0"/>
    <x v="306"/>
    <s v="Cali"/>
  </r>
  <r>
    <d v="2021-10-04T00:00:00"/>
    <x v="10"/>
    <x v="26"/>
    <x v="26"/>
    <n v="-3000000"/>
    <n v="0"/>
    <n v="3000000"/>
    <x v="306"/>
    <s v="Cali"/>
  </r>
  <r>
    <m/>
    <x v="1"/>
    <x v="23"/>
    <x v="23"/>
    <m/>
    <m/>
    <m/>
    <x v="1"/>
    <m/>
  </r>
  <r>
    <d v="2021-10-04T00:00:00"/>
    <x v="10"/>
    <x v="0"/>
    <x v="0"/>
    <n v="30000"/>
    <n v="30000"/>
    <n v="0"/>
    <x v="164"/>
    <s v="Cali"/>
  </r>
  <r>
    <d v="2021-10-04T00:00:00"/>
    <x v="10"/>
    <x v="26"/>
    <x v="26"/>
    <n v="-30000"/>
    <n v="0"/>
    <n v="30000"/>
    <x v="164"/>
    <s v="Cali"/>
  </r>
  <r>
    <m/>
    <x v="1"/>
    <x v="23"/>
    <x v="23"/>
    <m/>
    <m/>
    <m/>
    <x v="1"/>
    <m/>
  </r>
  <r>
    <d v="2021-10-04T00:00:00"/>
    <x v="10"/>
    <x v="0"/>
    <x v="0"/>
    <n v="1500"/>
    <n v="1500"/>
    <n v="0"/>
    <x v="177"/>
    <s v="Cali"/>
  </r>
  <r>
    <d v="2021-10-04T00:00:00"/>
    <x v="10"/>
    <x v="19"/>
    <x v="19"/>
    <n v="-1500"/>
    <n v="0"/>
    <n v="1500"/>
    <x v="177"/>
    <s v="Cali"/>
  </r>
  <r>
    <m/>
    <x v="1"/>
    <x v="23"/>
    <x v="23"/>
    <m/>
    <m/>
    <m/>
    <x v="1"/>
    <m/>
  </r>
  <r>
    <d v="2021-10-04T00:00:00"/>
    <x v="10"/>
    <x v="0"/>
    <x v="0"/>
    <n v="45000"/>
    <n v="45000"/>
    <n v="0"/>
    <x v="178"/>
    <s v="Cali"/>
  </r>
  <r>
    <d v="2021-10-04T00:00:00"/>
    <x v="10"/>
    <x v="25"/>
    <x v="25"/>
    <n v="-45000"/>
    <n v="0"/>
    <n v="45000"/>
    <x v="178"/>
    <s v="Cali"/>
  </r>
  <r>
    <m/>
    <x v="1"/>
    <x v="23"/>
    <x v="23"/>
    <m/>
    <m/>
    <m/>
    <x v="1"/>
    <m/>
  </r>
  <r>
    <d v="2021-10-04T00:00:00"/>
    <x v="10"/>
    <x v="0"/>
    <x v="0"/>
    <n v="50000"/>
    <n v="50000"/>
    <n v="0"/>
    <x v="599"/>
    <s v="Cali"/>
  </r>
  <r>
    <d v="2021-10-04T00:00:00"/>
    <x v="10"/>
    <x v="26"/>
    <x v="26"/>
    <n v="-50000"/>
    <n v="0"/>
    <n v="50000"/>
    <x v="599"/>
    <s v="Cali"/>
  </r>
  <r>
    <m/>
    <x v="1"/>
    <x v="23"/>
    <x v="23"/>
    <m/>
    <m/>
    <m/>
    <x v="1"/>
    <m/>
  </r>
  <r>
    <d v="2021-10-04T00:00:00"/>
    <x v="10"/>
    <x v="0"/>
    <x v="0"/>
    <n v="20000"/>
    <n v="20000"/>
    <n v="0"/>
    <x v="165"/>
    <s v="Cali"/>
  </r>
  <r>
    <d v="2021-10-04T00:00:00"/>
    <x v="10"/>
    <x v="25"/>
    <x v="25"/>
    <n v="-20000"/>
    <n v="0"/>
    <n v="20000"/>
    <x v="165"/>
    <s v="Cali"/>
  </r>
  <r>
    <m/>
    <x v="1"/>
    <x v="23"/>
    <x v="23"/>
    <m/>
    <m/>
    <m/>
    <x v="1"/>
    <m/>
  </r>
  <r>
    <d v="2021-10-04T00:00:00"/>
    <x v="10"/>
    <x v="0"/>
    <x v="0"/>
    <n v="60000"/>
    <n v="60000"/>
    <n v="0"/>
    <x v="160"/>
    <s v="Cali"/>
  </r>
  <r>
    <d v="2021-10-04T00:00:00"/>
    <x v="10"/>
    <x v="25"/>
    <x v="25"/>
    <n v="-60000"/>
    <n v="0"/>
    <n v="60000"/>
    <x v="160"/>
    <s v="Cali"/>
  </r>
  <r>
    <m/>
    <x v="1"/>
    <x v="23"/>
    <x v="23"/>
    <m/>
    <m/>
    <m/>
    <x v="1"/>
    <m/>
  </r>
  <r>
    <d v="2021-10-04T00:00:00"/>
    <x v="10"/>
    <x v="0"/>
    <x v="0"/>
    <n v="60000"/>
    <n v="60000"/>
    <n v="0"/>
    <x v="213"/>
    <s v="Cali"/>
  </r>
  <r>
    <d v="2021-10-04T00:00:00"/>
    <x v="10"/>
    <x v="29"/>
    <x v="29"/>
    <n v="-60000"/>
    <n v="0"/>
    <n v="60000"/>
    <x v="213"/>
    <s v="Cali"/>
  </r>
  <r>
    <m/>
    <x v="1"/>
    <x v="23"/>
    <x v="23"/>
    <m/>
    <m/>
    <m/>
    <x v="1"/>
    <m/>
  </r>
  <r>
    <d v="2021-10-04T00:00:00"/>
    <x v="10"/>
    <x v="0"/>
    <x v="0"/>
    <n v="200000"/>
    <n v="200000"/>
    <n v="0"/>
    <x v="192"/>
    <s v="Cali"/>
  </r>
  <r>
    <d v="2021-10-04T00:00:00"/>
    <x v="10"/>
    <x v="26"/>
    <x v="26"/>
    <n v="-200000"/>
    <n v="0"/>
    <n v="200000"/>
    <x v="192"/>
    <s v="Cali"/>
  </r>
  <r>
    <m/>
    <x v="1"/>
    <x v="23"/>
    <x v="23"/>
    <m/>
    <m/>
    <m/>
    <x v="1"/>
    <m/>
  </r>
  <r>
    <d v="2021-10-04T00:00:00"/>
    <x v="10"/>
    <x v="0"/>
    <x v="0"/>
    <n v="60000"/>
    <n v="60000"/>
    <n v="0"/>
    <x v="372"/>
    <s v="Cali"/>
  </r>
  <r>
    <d v="2021-10-04T00:00:00"/>
    <x v="10"/>
    <x v="25"/>
    <x v="25"/>
    <n v="-60000"/>
    <n v="0"/>
    <n v="60000"/>
    <x v="372"/>
    <s v="Cali"/>
  </r>
  <r>
    <m/>
    <x v="1"/>
    <x v="23"/>
    <x v="23"/>
    <m/>
    <m/>
    <m/>
    <x v="1"/>
    <m/>
  </r>
  <r>
    <d v="2021-10-04T00:00:00"/>
    <x v="10"/>
    <x v="0"/>
    <x v="0"/>
    <n v="12000"/>
    <n v="12000"/>
    <n v="0"/>
    <x v="310"/>
    <s v="Cali"/>
  </r>
  <r>
    <d v="2021-10-04T00:00:00"/>
    <x v="10"/>
    <x v="25"/>
    <x v="25"/>
    <n v="-12000"/>
    <n v="0"/>
    <n v="12000"/>
    <x v="310"/>
    <s v="Cali"/>
  </r>
  <r>
    <m/>
    <x v="1"/>
    <x v="23"/>
    <x v="23"/>
    <m/>
    <m/>
    <m/>
    <x v="1"/>
    <m/>
  </r>
  <r>
    <d v="2021-10-04T00:00:00"/>
    <x v="10"/>
    <x v="0"/>
    <x v="0"/>
    <n v="35000"/>
    <n v="35000"/>
    <n v="0"/>
    <x v="600"/>
    <s v="Cali"/>
  </r>
  <r>
    <d v="2021-10-04T00:00:00"/>
    <x v="10"/>
    <x v="25"/>
    <x v="25"/>
    <n v="-35000"/>
    <n v="0"/>
    <n v="35000"/>
    <x v="600"/>
    <s v="Cali"/>
  </r>
  <r>
    <m/>
    <x v="1"/>
    <x v="23"/>
    <x v="23"/>
    <m/>
    <m/>
    <m/>
    <x v="1"/>
    <m/>
  </r>
  <r>
    <d v="2021-10-04T00:00:00"/>
    <x v="10"/>
    <x v="0"/>
    <x v="0"/>
    <n v="150000"/>
    <n v="150000"/>
    <n v="0"/>
    <x v="169"/>
    <s v="Cali"/>
  </r>
  <r>
    <d v="2021-10-04T00:00:00"/>
    <x v="10"/>
    <x v="25"/>
    <x v="25"/>
    <n v="-150000"/>
    <n v="0"/>
    <n v="150000"/>
    <x v="169"/>
    <s v="Cali"/>
  </r>
  <r>
    <m/>
    <x v="1"/>
    <x v="23"/>
    <x v="23"/>
    <m/>
    <m/>
    <m/>
    <x v="1"/>
    <m/>
  </r>
  <r>
    <d v="2021-10-04T00:00:00"/>
    <x v="10"/>
    <x v="0"/>
    <x v="0"/>
    <n v="70000"/>
    <n v="70000"/>
    <n v="0"/>
    <x v="37"/>
    <s v="Cali"/>
  </r>
  <r>
    <d v="2021-10-04T00:00:00"/>
    <x v="10"/>
    <x v="25"/>
    <x v="25"/>
    <n v="-70000"/>
    <n v="0"/>
    <n v="70000"/>
    <x v="37"/>
    <s v="Cali"/>
  </r>
  <r>
    <m/>
    <x v="1"/>
    <x v="23"/>
    <x v="23"/>
    <m/>
    <m/>
    <m/>
    <x v="1"/>
    <m/>
  </r>
  <r>
    <d v="2021-10-04T00:00:00"/>
    <x v="10"/>
    <x v="0"/>
    <x v="0"/>
    <n v="57994"/>
    <n v="57994"/>
    <n v="0"/>
    <x v="601"/>
    <s v="Cali"/>
  </r>
  <r>
    <d v="2021-10-04T00:00:00"/>
    <x v="10"/>
    <x v="26"/>
    <x v="26"/>
    <n v="-57994"/>
    <n v="0"/>
    <n v="57994"/>
    <x v="601"/>
    <s v="Cali"/>
  </r>
  <r>
    <m/>
    <x v="1"/>
    <x v="23"/>
    <x v="23"/>
    <m/>
    <m/>
    <m/>
    <x v="1"/>
    <m/>
  </r>
  <r>
    <d v="2021-10-04T00:00:00"/>
    <x v="10"/>
    <x v="0"/>
    <x v="0"/>
    <n v="25000"/>
    <n v="25000"/>
    <n v="0"/>
    <x v="602"/>
    <s v="Cali"/>
  </r>
  <r>
    <d v="2021-10-04T00:00:00"/>
    <x v="10"/>
    <x v="4"/>
    <x v="4"/>
    <n v="-25000"/>
    <n v="0"/>
    <n v="25000"/>
    <x v="602"/>
    <s v="Cali"/>
  </r>
  <r>
    <m/>
    <x v="1"/>
    <x v="23"/>
    <x v="23"/>
    <m/>
    <m/>
    <m/>
    <x v="1"/>
    <m/>
  </r>
  <r>
    <d v="2021-10-04T00:00:00"/>
    <x v="10"/>
    <x v="0"/>
    <x v="0"/>
    <n v="60000"/>
    <n v="60000"/>
    <n v="0"/>
    <x v="602"/>
    <s v="Cali"/>
  </r>
  <r>
    <d v="2021-10-04T00:00:00"/>
    <x v="10"/>
    <x v="4"/>
    <x v="4"/>
    <n v="-60000"/>
    <n v="0"/>
    <n v="60000"/>
    <x v="602"/>
    <s v="Cali"/>
  </r>
  <r>
    <m/>
    <x v="1"/>
    <x v="23"/>
    <x v="23"/>
    <m/>
    <m/>
    <m/>
    <x v="1"/>
    <m/>
  </r>
  <r>
    <d v="2021-10-04T00:00:00"/>
    <x v="10"/>
    <x v="0"/>
    <x v="0"/>
    <n v="30000"/>
    <n v="30000"/>
    <n v="0"/>
    <x v="602"/>
    <s v="Cali"/>
  </r>
  <r>
    <d v="2021-10-04T00:00:00"/>
    <x v="10"/>
    <x v="4"/>
    <x v="4"/>
    <n v="-30000"/>
    <n v="0"/>
    <n v="30000"/>
    <x v="602"/>
    <s v="Cali"/>
  </r>
  <r>
    <m/>
    <x v="1"/>
    <x v="23"/>
    <x v="23"/>
    <m/>
    <m/>
    <m/>
    <x v="1"/>
    <m/>
  </r>
  <r>
    <d v="2021-10-04T00:00:00"/>
    <x v="10"/>
    <x v="0"/>
    <x v="0"/>
    <n v="20000"/>
    <n v="20000"/>
    <n v="0"/>
    <x v="602"/>
    <s v="Cali"/>
  </r>
  <r>
    <d v="2021-10-04T00:00:00"/>
    <x v="10"/>
    <x v="4"/>
    <x v="4"/>
    <n v="-20000"/>
    <n v="0"/>
    <n v="20000"/>
    <x v="602"/>
    <s v="Cali"/>
  </r>
  <r>
    <m/>
    <x v="1"/>
    <x v="23"/>
    <x v="23"/>
    <m/>
    <m/>
    <m/>
    <x v="1"/>
    <m/>
  </r>
  <r>
    <d v="2021-10-04T00:00:00"/>
    <x v="10"/>
    <x v="0"/>
    <x v="0"/>
    <n v="200000"/>
    <n v="200000"/>
    <n v="0"/>
    <x v="242"/>
    <s v="Cali"/>
  </r>
  <r>
    <d v="2021-10-04T00:00:00"/>
    <x v="10"/>
    <x v="26"/>
    <x v="26"/>
    <n v="-200000"/>
    <n v="0"/>
    <n v="200000"/>
    <x v="242"/>
    <s v="Cali"/>
  </r>
  <r>
    <m/>
    <x v="1"/>
    <x v="23"/>
    <x v="23"/>
    <m/>
    <m/>
    <m/>
    <x v="1"/>
    <m/>
  </r>
  <r>
    <d v="2021-10-04T00:00:00"/>
    <x v="10"/>
    <x v="0"/>
    <x v="0"/>
    <n v="100000"/>
    <n v="100000"/>
    <n v="0"/>
    <x v="374"/>
    <s v="Cali"/>
  </r>
  <r>
    <d v="2021-10-04T00:00:00"/>
    <x v="10"/>
    <x v="26"/>
    <x v="26"/>
    <n v="-100000"/>
    <n v="0"/>
    <n v="100000"/>
    <x v="374"/>
    <s v="Cali"/>
  </r>
  <r>
    <m/>
    <x v="1"/>
    <x v="23"/>
    <x v="23"/>
    <m/>
    <m/>
    <m/>
    <x v="1"/>
    <m/>
  </r>
  <r>
    <d v="2021-10-05T00:00:00"/>
    <x v="10"/>
    <x v="0"/>
    <x v="0"/>
    <n v="50000"/>
    <n v="50000"/>
    <n v="0"/>
    <x v="163"/>
    <s v="Cali"/>
  </r>
  <r>
    <d v="2021-10-05T00:00:00"/>
    <x v="10"/>
    <x v="25"/>
    <x v="25"/>
    <n v="-50000"/>
    <n v="0"/>
    <n v="50000"/>
    <x v="163"/>
    <s v="Cali"/>
  </r>
  <r>
    <m/>
    <x v="1"/>
    <x v="23"/>
    <x v="23"/>
    <m/>
    <m/>
    <m/>
    <x v="1"/>
    <m/>
  </r>
  <r>
    <d v="2021-10-05T00:00:00"/>
    <x v="10"/>
    <x v="0"/>
    <x v="0"/>
    <n v="30000"/>
    <n v="30000"/>
    <n v="0"/>
    <x v="179"/>
    <s v="Cali"/>
  </r>
  <r>
    <d v="2021-10-05T00:00:00"/>
    <x v="10"/>
    <x v="25"/>
    <x v="25"/>
    <n v="-30000"/>
    <n v="0"/>
    <n v="30000"/>
    <x v="179"/>
    <s v="Cali"/>
  </r>
  <r>
    <m/>
    <x v="1"/>
    <x v="23"/>
    <x v="23"/>
    <m/>
    <m/>
    <m/>
    <x v="1"/>
    <m/>
  </r>
  <r>
    <d v="2021-10-05T00:00:00"/>
    <x v="10"/>
    <x v="0"/>
    <x v="0"/>
    <n v="15000"/>
    <n v="15000"/>
    <n v="0"/>
    <x v="282"/>
    <s v="Cali"/>
  </r>
  <r>
    <d v="2021-10-05T00:00:00"/>
    <x v="10"/>
    <x v="25"/>
    <x v="25"/>
    <n v="-15000"/>
    <n v="0"/>
    <n v="15000"/>
    <x v="282"/>
    <s v="Cali"/>
  </r>
  <r>
    <m/>
    <x v="1"/>
    <x v="23"/>
    <x v="23"/>
    <m/>
    <m/>
    <m/>
    <x v="1"/>
    <m/>
  </r>
  <r>
    <d v="2021-10-05T00:00:00"/>
    <x v="10"/>
    <x v="0"/>
    <x v="0"/>
    <n v="15000"/>
    <n v="15000"/>
    <n v="0"/>
    <x v="216"/>
    <s v="Cali"/>
  </r>
  <r>
    <d v="2021-10-05T00:00:00"/>
    <x v="10"/>
    <x v="29"/>
    <x v="29"/>
    <n v="-15000"/>
    <n v="0"/>
    <n v="15000"/>
    <x v="216"/>
    <s v="Cali"/>
  </r>
  <r>
    <m/>
    <x v="1"/>
    <x v="23"/>
    <x v="23"/>
    <m/>
    <m/>
    <m/>
    <x v="1"/>
    <m/>
  </r>
  <r>
    <d v="2021-10-05T00:00:00"/>
    <x v="10"/>
    <x v="0"/>
    <x v="0"/>
    <n v="100000"/>
    <n v="100000"/>
    <n v="0"/>
    <x v="363"/>
    <s v="Cali"/>
  </r>
  <r>
    <d v="2021-10-05T00:00:00"/>
    <x v="10"/>
    <x v="25"/>
    <x v="25"/>
    <n v="-100000"/>
    <n v="0"/>
    <n v="100000"/>
    <x v="363"/>
    <s v="Cali"/>
  </r>
  <r>
    <m/>
    <x v="1"/>
    <x v="23"/>
    <x v="23"/>
    <m/>
    <m/>
    <m/>
    <x v="1"/>
    <m/>
  </r>
  <r>
    <d v="2021-10-05T00:00:00"/>
    <x v="10"/>
    <x v="0"/>
    <x v="0"/>
    <n v="75000"/>
    <n v="75000"/>
    <n v="0"/>
    <x v="316"/>
    <s v="Cali"/>
  </r>
  <r>
    <d v="2021-10-05T00:00:00"/>
    <x v="10"/>
    <x v="25"/>
    <x v="25"/>
    <n v="-75000"/>
    <n v="0"/>
    <n v="75000"/>
    <x v="316"/>
    <s v="Cali"/>
  </r>
  <r>
    <m/>
    <x v="1"/>
    <x v="23"/>
    <x v="23"/>
    <m/>
    <m/>
    <m/>
    <x v="1"/>
    <m/>
  </r>
  <r>
    <d v="2021-10-05T00:00:00"/>
    <x v="10"/>
    <x v="0"/>
    <x v="0"/>
    <n v="20000"/>
    <n v="20000"/>
    <n v="0"/>
    <x v="246"/>
    <s v="Cali"/>
  </r>
  <r>
    <d v="2021-10-05T00:00:00"/>
    <x v="10"/>
    <x v="25"/>
    <x v="25"/>
    <n v="-20000"/>
    <n v="0"/>
    <n v="20000"/>
    <x v="246"/>
    <s v="Cali"/>
  </r>
  <r>
    <m/>
    <x v="1"/>
    <x v="23"/>
    <x v="23"/>
    <m/>
    <m/>
    <m/>
    <x v="1"/>
    <m/>
  </r>
  <r>
    <d v="2021-10-05T00:00:00"/>
    <x v="10"/>
    <x v="0"/>
    <x v="0"/>
    <n v="20000"/>
    <n v="20000"/>
    <n v="0"/>
    <x v="151"/>
    <s v="Cali"/>
  </r>
  <r>
    <d v="2021-10-05T00:00:00"/>
    <x v="10"/>
    <x v="25"/>
    <x v="25"/>
    <n v="-20000"/>
    <n v="0"/>
    <n v="20000"/>
    <x v="151"/>
    <s v="Cali"/>
  </r>
  <r>
    <m/>
    <x v="1"/>
    <x v="23"/>
    <x v="23"/>
    <m/>
    <m/>
    <m/>
    <x v="1"/>
    <m/>
  </r>
  <r>
    <d v="2021-10-06T00:00:00"/>
    <x v="10"/>
    <x v="0"/>
    <x v="0"/>
    <n v="40000"/>
    <n v="40000"/>
    <n v="0"/>
    <x v="176"/>
    <s v="Cali"/>
  </r>
  <r>
    <d v="2021-10-06T00:00:00"/>
    <x v="10"/>
    <x v="25"/>
    <x v="25"/>
    <n v="-40000"/>
    <n v="0"/>
    <n v="40000"/>
    <x v="176"/>
    <s v="Cali"/>
  </r>
  <r>
    <m/>
    <x v="1"/>
    <x v="23"/>
    <x v="23"/>
    <m/>
    <m/>
    <m/>
    <x v="1"/>
    <m/>
  </r>
  <r>
    <d v="2021-10-06T00:00:00"/>
    <x v="10"/>
    <x v="0"/>
    <x v="0"/>
    <n v="60000"/>
    <n v="60000"/>
    <n v="0"/>
    <x v="202"/>
    <s v="Cali"/>
  </r>
  <r>
    <d v="2021-10-06T00:00:00"/>
    <x v="10"/>
    <x v="27"/>
    <x v="27"/>
    <n v="-60000"/>
    <n v="0"/>
    <n v="60000"/>
    <x v="202"/>
    <s v="Cali"/>
  </r>
  <r>
    <m/>
    <x v="1"/>
    <x v="23"/>
    <x v="23"/>
    <m/>
    <m/>
    <m/>
    <x v="1"/>
    <m/>
  </r>
  <r>
    <d v="2021-10-06T00:00:00"/>
    <x v="10"/>
    <x v="0"/>
    <x v="0"/>
    <n v="500000"/>
    <n v="500000"/>
    <n v="0"/>
    <x v="603"/>
    <s v="Cali"/>
  </r>
  <r>
    <d v="2021-10-06T00:00:00"/>
    <x v="10"/>
    <x v="25"/>
    <x v="25"/>
    <n v="-500000"/>
    <n v="0"/>
    <n v="500000"/>
    <x v="603"/>
    <s v="Cali"/>
  </r>
  <r>
    <m/>
    <x v="1"/>
    <x v="23"/>
    <x v="23"/>
    <m/>
    <m/>
    <m/>
    <x v="1"/>
    <m/>
  </r>
  <r>
    <d v="2021-10-07T00:00:00"/>
    <x v="10"/>
    <x v="0"/>
    <x v="0"/>
    <n v="20000"/>
    <n v="20000"/>
    <n v="0"/>
    <x v="166"/>
    <s v="Cali"/>
  </r>
  <r>
    <d v="2021-10-07T00:00:00"/>
    <x v="10"/>
    <x v="25"/>
    <x v="25"/>
    <n v="-20000"/>
    <n v="0"/>
    <n v="20000"/>
    <x v="166"/>
    <s v="Cali"/>
  </r>
  <r>
    <m/>
    <x v="1"/>
    <x v="23"/>
    <x v="23"/>
    <m/>
    <m/>
    <m/>
    <x v="1"/>
    <m/>
  </r>
  <r>
    <d v="2021-10-07T00:00:00"/>
    <x v="10"/>
    <x v="0"/>
    <x v="0"/>
    <n v="966442"/>
    <n v="966442"/>
    <n v="0"/>
    <x v="604"/>
    <s v="Cali"/>
  </r>
  <r>
    <d v="2021-10-07T00:00:00"/>
    <x v="10"/>
    <x v="26"/>
    <x v="26"/>
    <n v="-966442"/>
    <n v="0"/>
    <n v="966442"/>
    <x v="604"/>
    <s v="Cali"/>
  </r>
  <r>
    <m/>
    <x v="1"/>
    <x v="23"/>
    <x v="23"/>
    <m/>
    <m/>
    <m/>
    <x v="1"/>
    <m/>
  </r>
  <r>
    <d v="2021-10-07T00:00:00"/>
    <x v="10"/>
    <x v="31"/>
    <x v="31"/>
    <n v="2148"/>
    <n v="2148"/>
    <n v="0"/>
    <x v="172"/>
    <s v="Cali"/>
  </r>
  <r>
    <d v="2021-10-07T00:00:00"/>
    <x v="10"/>
    <x v="0"/>
    <x v="0"/>
    <n v="-2148"/>
    <n v="0"/>
    <n v="2148"/>
    <x v="172"/>
    <s v="Cali"/>
  </r>
  <r>
    <m/>
    <x v="1"/>
    <x v="23"/>
    <x v="23"/>
    <m/>
    <m/>
    <m/>
    <x v="1"/>
    <m/>
  </r>
  <r>
    <d v="2021-10-08T00:00:00"/>
    <x v="10"/>
    <x v="0"/>
    <x v="0"/>
    <n v="300000"/>
    <n v="300000"/>
    <n v="0"/>
    <x v="605"/>
    <s v="Cali"/>
  </r>
  <r>
    <d v="2021-10-08T00:00:00"/>
    <x v="10"/>
    <x v="26"/>
    <x v="26"/>
    <n v="-300000"/>
    <n v="0"/>
    <n v="300000"/>
    <x v="605"/>
    <s v="Cali"/>
  </r>
  <r>
    <m/>
    <x v="1"/>
    <x v="23"/>
    <x v="23"/>
    <m/>
    <m/>
    <m/>
    <x v="1"/>
    <m/>
  </r>
  <r>
    <d v="2021-10-08T00:00:00"/>
    <x v="10"/>
    <x v="0"/>
    <x v="0"/>
    <n v="30000"/>
    <n v="30000"/>
    <n v="0"/>
    <x v="514"/>
    <s v="Cali"/>
  </r>
  <r>
    <d v="2021-10-08T00:00:00"/>
    <x v="10"/>
    <x v="25"/>
    <x v="25"/>
    <n v="-30000"/>
    <n v="0"/>
    <n v="30000"/>
    <x v="514"/>
    <s v="Cali"/>
  </r>
  <r>
    <m/>
    <x v="1"/>
    <x v="23"/>
    <x v="23"/>
    <m/>
    <m/>
    <m/>
    <x v="1"/>
    <m/>
  </r>
  <r>
    <d v="2021-10-08T00:00:00"/>
    <x v="10"/>
    <x v="0"/>
    <x v="0"/>
    <n v="150000"/>
    <n v="150000"/>
    <n v="0"/>
    <x v="251"/>
    <s v="Cali"/>
  </r>
  <r>
    <d v="2021-10-08T00:00:00"/>
    <x v="10"/>
    <x v="27"/>
    <x v="27"/>
    <n v="-150000"/>
    <n v="0"/>
    <n v="150000"/>
    <x v="251"/>
    <s v="Cali"/>
  </r>
  <r>
    <m/>
    <x v="1"/>
    <x v="23"/>
    <x v="23"/>
    <m/>
    <m/>
    <m/>
    <x v="1"/>
    <m/>
  </r>
  <r>
    <d v="2021-10-12T00:00:00"/>
    <x v="10"/>
    <x v="0"/>
    <x v="0"/>
    <n v="12000"/>
    <n v="12000"/>
    <n v="0"/>
    <x v="175"/>
    <s v="Cali"/>
  </r>
  <r>
    <d v="2021-10-12T00:00:00"/>
    <x v="10"/>
    <x v="25"/>
    <x v="25"/>
    <n v="-12000"/>
    <n v="0"/>
    <n v="12000"/>
    <x v="175"/>
    <s v="Cali"/>
  </r>
  <r>
    <m/>
    <x v="1"/>
    <x v="23"/>
    <x v="23"/>
    <m/>
    <m/>
    <m/>
    <x v="1"/>
    <m/>
  </r>
  <r>
    <d v="2021-10-12T00:00:00"/>
    <x v="10"/>
    <x v="0"/>
    <x v="0"/>
    <n v="15000"/>
    <n v="15000"/>
    <n v="0"/>
    <x v="420"/>
    <s v="Cali"/>
  </r>
  <r>
    <d v="2021-10-12T00:00:00"/>
    <x v="10"/>
    <x v="26"/>
    <x v="26"/>
    <n v="-15000"/>
    <n v="0"/>
    <n v="15000"/>
    <x v="420"/>
    <s v="Cali"/>
  </r>
  <r>
    <m/>
    <x v="1"/>
    <x v="23"/>
    <x v="23"/>
    <m/>
    <m/>
    <m/>
    <x v="1"/>
    <m/>
  </r>
  <r>
    <d v="2021-10-12T00:00:00"/>
    <x v="10"/>
    <x v="0"/>
    <x v="0"/>
    <n v="30000"/>
    <n v="30000"/>
    <n v="0"/>
    <x v="256"/>
    <s v="Cali"/>
  </r>
  <r>
    <d v="2021-10-12T00:00:00"/>
    <x v="10"/>
    <x v="25"/>
    <x v="25"/>
    <n v="-30000"/>
    <n v="0"/>
    <n v="30000"/>
    <x v="256"/>
    <s v="Cali"/>
  </r>
  <r>
    <m/>
    <x v="1"/>
    <x v="23"/>
    <x v="23"/>
    <m/>
    <m/>
    <m/>
    <x v="1"/>
    <m/>
  </r>
  <r>
    <d v="2021-10-12T00:00:00"/>
    <x v="10"/>
    <x v="0"/>
    <x v="0"/>
    <n v="30000"/>
    <n v="30000"/>
    <n v="0"/>
    <x v="239"/>
    <s v="Cali"/>
  </r>
  <r>
    <d v="2021-10-12T00:00:00"/>
    <x v="10"/>
    <x v="27"/>
    <x v="27"/>
    <n v="-30000"/>
    <n v="0"/>
    <n v="30000"/>
    <x v="239"/>
    <s v="Cali"/>
  </r>
  <r>
    <m/>
    <x v="1"/>
    <x v="23"/>
    <x v="23"/>
    <m/>
    <m/>
    <m/>
    <x v="1"/>
    <m/>
  </r>
  <r>
    <d v="2021-10-12T00:00:00"/>
    <x v="10"/>
    <x v="0"/>
    <x v="0"/>
    <n v="195000"/>
    <n v="195000"/>
    <n v="0"/>
    <x v="606"/>
    <s v="Cali"/>
  </r>
  <r>
    <d v="2021-10-12T00:00:00"/>
    <x v="10"/>
    <x v="25"/>
    <x v="25"/>
    <n v="-195000"/>
    <n v="0"/>
    <n v="195000"/>
    <x v="606"/>
    <s v="Cali"/>
  </r>
  <r>
    <m/>
    <x v="1"/>
    <x v="23"/>
    <x v="23"/>
    <m/>
    <m/>
    <m/>
    <x v="1"/>
    <m/>
  </r>
  <r>
    <d v="2021-10-12T00:00:00"/>
    <x v="10"/>
    <x v="0"/>
    <x v="0"/>
    <n v="30000"/>
    <n v="30000"/>
    <n v="0"/>
    <x v="185"/>
    <s v="Cali"/>
  </r>
  <r>
    <d v="2021-10-12T00:00:00"/>
    <x v="10"/>
    <x v="25"/>
    <x v="25"/>
    <n v="-30000"/>
    <n v="0"/>
    <n v="30000"/>
    <x v="185"/>
    <s v="Cali"/>
  </r>
  <r>
    <m/>
    <x v="1"/>
    <x v="23"/>
    <x v="23"/>
    <m/>
    <m/>
    <m/>
    <x v="1"/>
    <m/>
  </r>
  <r>
    <d v="2021-10-12T00:00:00"/>
    <x v="10"/>
    <x v="0"/>
    <x v="0"/>
    <n v="17000"/>
    <n v="17000"/>
    <n v="0"/>
    <x v="186"/>
    <s v="Cali"/>
  </r>
  <r>
    <d v="2021-10-12T00:00:00"/>
    <x v="10"/>
    <x v="25"/>
    <x v="25"/>
    <n v="-17000"/>
    <n v="0"/>
    <n v="17000"/>
    <x v="186"/>
    <s v="Cali"/>
  </r>
  <r>
    <m/>
    <x v="1"/>
    <x v="23"/>
    <x v="23"/>
    <m/>
    <m/>
    <m/>
    <x v="1"/>
    <m/>
  </r>
  <r>
    <d v="2021-10-12T00:00:00"/>
    <x v="10"/>
    <x v="0"/>
    <x v="0"/>
    <n v="20000"/>
    <n v="20000"/>
    <n v="0"/>
    <x v="199"/>
    <s v="Cali"/>
  </r>
  <r>
    <d v="2021-10-12T00:00:00"/>
    <x v="10"/>
    <x v="27"/>
    <x v="27"/>
    <n v="-20000"/>
    <n v="0"/>
    <n v="20000"/>
    <x v="199"/>
    <s v="Cali"/>
  </r>
  <r>
    <m/>
    <x v="1"/>
    <x v="23"/>
    <x v="23"/>
    <m/>
    <m/>
    <m/>
    <x v="1"/>
    <m/>
  </r>
  <r>
    <d v="2021-10-12T00:00:00"/>
    <x v="10"/>
    <x v="0"/>
    <x v="0"/>
    <n v="30000"/>
    <n v="30000"/>
    <n v="0"/>
    <x v="156"/>
    <s v="Cali"/>
  </r>
  <r>
    <d v="2021-10-12T00:00:00"/>
    <x v="10"/>
    <x v="25"/>
    <x v="25"/>
    <n v="-30000"/>
    <n v="0"/>
    <n v="30000"/>
    <x v="156"/>
    <s v="Cali"/>
  </r>
  <r>
    <m/>
    <x v="1"/>
    <x v="23"/>
    <x v="23"/>
    <m/>
    <m/>
    <m/>
    <x v="1"/>
    <m/>
  </r>
  <r>
    <d v="2021-10-12T00:00:00"/>
    <x v="10"/>
    <x v="0"/>
    <x v="0"/>
    <n v="30000"/>
    <n v="30000"/>
    <n v="0"/>
    <x v="188"/>
    <s v="Cali"/>
  </r>
  <r>
    <d v="2021-10-12T00:00:00"/>
    <x v="10"/>
    <x v="29"/>
    <x v="29"/>
    <n v="-30000"/>
    <n v="0"/>
    <n v="30000"/>
    <x v="188"/>
    <s v="Cali"/>
  </r>
  <r>
    <m/>
    <x v="1"/>
    <x v="23"/>
    <x v="23"/>
    <m/>
    <m/>
    <m/>
    <x v="1"/>
    <m/>
  </r>
  <r>
    <d v="2021-10-13T00:00:00"/>
    <x v="10"/>
    <x v="0"/>
    <x v="0"/>
    <n v="11000"/>
    <n v="11000"/>
    <n v="0"/>
    <x v="191"/>
    <s v="Cali"/>
  </r>
  <r>
    <d v="2021-10-13T00:00:00"/>
    <x v="10"/>
    <x v="27"/>
    <x v="27"/>
    <n v="-11000"/>
    <n v="0"/>
    <n v="11000"/>
    <x v="191"/>
    <s v="Cali"/>
  </r>
  <r>
    <m/>
    <x v="1"/>
    <x v="23"/>
    <x v="23"/>
    <m/>
    <m/>
    <m/>
    <x v="1"/>
    <m/>
  </r>
  <r>
    <d v="2021-10-13T00:00:00"/>
    <x v="10"/>
    <x v="0"/>
    <x v="0"/>
    <n v="40000"/>
    <n v="40000"/>
    <n v="0"/>
    <x v="170"/>
    <s v="Cali"/>
  </r>
  <r>
    <d v="2021-10-13T00:00:00"/>
    <x v="10"/>
    <x v="26"/>
    <x v="26"/>
    <n v="-40000"/>
    <n v="0"/>
    <n v="40000"/>
    <x v="170"/>
    <s v="Cali"/>
  </r>
  <r>
    <m/>
    <x v="1"/>
    <x v="23"/>
    <x v="23"/>
    <m/>
    <m/>
    <m/>
    <x v="1"/>
    <m/>
  </r>
  <r>
    <d v="2021-10-13T00:00:00"/>
    <x v="10"/>
    <x v="0"/>
    <x v="0"/>
    <n v="30000"/>
    <n v="30000"/>
    <n v="0"/>
    <x v="524"/>
    <s v="Cali"/>
  </r>
  <r>
    <d v="2021-10-13T00:00:00"/>
    <x v="10"/>
    <x v="19"/>
    <x v="19"/>
    <n v="-30000"/>
    <n v="0"/>
    <n v="30000"/>
    <x v="524"/>
    <s v="Cali"/>
  </r>
  <r>
    <m/>
    <x v="1"/>
    <x v="23"/>
    <x v="23"/>
    <m/>
    <m/>
    <m/>
    <x v="1"/>
    <m/>
  </r>
  <r>
    <d v="2021-10-13T00:00:00"/>
    <x v="10"/>
    <x v="0"/>
    <x v="0"/>
    <n v="20000"/>
    <n v="20000"/>
    <n v="0"/>
    <x v="193"/>
    <s v="Cali"/>
  </r>
  <r>
    <d v="2021-10-13T00:00:00"/>
    <x v="10"/>
    <x v="26"/>
    <x v="26"/>
    <n v="-20000"/>
    <n v="0"/>
    <n v="20000"/>
    <x v="193"/>
    <s v="Cali"/>
  </r>
  <r>
    <m/>
    <x v="1"/>
    <x v="23"/>
    <x v="23"/>
    <m/>
    <m/>
    <m/>
    <x v="1"/>
    <m/>
  </r>
  <r>
    <d v="2021-10-13T00:00:00"/>
    <x v="10"/>
    <x v="0"/>
    <x v="0"/>
    <n v="25000"/>
    <n v="25000"/>
    <n v="0"/>
    <x v="194"/>
    <s v="Cali"/>
  </r>
  <r>
    <d v="2021-10-13T00:00:00"/>
    <x v="10"/>
    <x v="25"/>
    <x v="25"/>
    <n v="-25000"/>
    <n v="0"/>
    <n v="25000"/>
    <x v="194"/>
    <s v="Cali"/>
  </r>
  <r>
    <m/>
    <x v="1"/>
    <x v="23"/>
    <x v="23"/>
    <m/>
    <m/>
    <m/>
    <x v="1"/>
    <m/>
  </r>
  <r>
    <d v="2021-10-13T00:00:00"/>
    <x v="10"/>
    <x v="0"/>
    <x v="0"/>
    <n v="7000"/>
    <n v="7000"/>
    <n v="0"/>
    <x v="261"/>
    <s v="Cali"/>
  </r>
  <r>
    <d v="2021-10-13T00:00:00"/>
    <x v="10"/>
    <x v="25"/>
    <x v="25"/>
    <n v="-7000"/>
    <n v="0"/>
    <n v="7000"/>
    <x v="261"/>
    <s v="Cali"/>
  </r>
  <r>
    <m/>
    <x v="1"/>
    <x v="23"/>
    <x v="23"/>
    <m/>
    <m/>
    <m/>
    <x v="1"/>
    <m/>
  </r>
  <r>
    <d v="2021-10-13T00:00:00"/>
    <x v="10"/>
    <x v="0"/>
    <x v="0"/>
    <n v="25000"/>
    <n v="25000"/>
    <n v="0"/>
    <x v="149"/>
    <s v="Cali"/>
  </r>
  <r>
    <d v="2021-10-13T00:00:00"/>
    <x v="10"/>
    <x v="27"/>
    <x v="27"/>
    <n v="-25000"/>
    <n v="0"/>
    <n v="25000"/>
    <x v="149"/>
    <s v="Cali"/>
  </r>
  <r>
    <m/>
    <x v="1"/>
    <x v="23"/>
    <x v="23"/>
    <m/>
    <m/>
    <m/>
    <x v="1"/>
    <m/>
  </r>
  <r>
    <d v="2021-10-13T00:00:00"/>
    <x v="10"/>
    <x v="0"/>
    <x v="0"/>
    <n v="40000"/>
    <n v="40000"/>
    <n v="0"/>
    <x v="607"/>
    <s v="Cali"/>
  </r>
  <r>
    <d v="2021-10-13T00:00:00"/>
    <x v="10"/>
    <x v="25"/>
    <x v="25"/>
    <n v="-40000"/>
    <n v="0"/>
    <n v="40000"/>
    <x v="607"/>
    <s v="Cali"/>
  </r>
  <r>
    <m/>
    <x v="1"/>
    <x v="23"/>
    <x v="23"/>
    <m/>
    <m/>
    <m/>
    <x v="1"/>
    <m/>
  </r>
  <r>
    <d v="2021-10-14T00:00:00"/>
    <x v="10"/>
    <x v="0"/>
    <x v="0"/>
    <n v="30000"/>
    <n v="30000"/>
    <n v="0"/>
    <x v="608"/>
    <s v="Cali"/>
  </r>
  <r>
    <d v="2021-10-14T00:00:00"/>
    <x v="10"/>
    <x v="26"/>
    <x v="26"/>
    <n v="-30000"/>
    <n v="0"/>
    <n v="30000"/>
    <x v="608"/>
    <s v="Cali"/>
  </r>
  <r>
    <m/>
    <x v="1"/>
    <x v="23"/>
    <x v="23"/>
    <m/>
    <m/>
    <m/>
    <x v="1"/>
    <m/>
  </r>
  <r>
    <d v="2021-10-14T00:00:00"/>
    <x v="10"/>
    <x v="0"/>
    <x v="0"/>
    <n v="65000"/>
    <n v="65000"/>
    <n v="0"/>
    <x v="64"/>
    <s v="Cali"/>
  </r>
  <r>
    <d v="2021-10-14T00:00:00"/>
    <x v="10"/>
    <x v="27"/>
    <x v="27"/>
    <n v="-65000"/>
    <n v="0"/>
    <n v="65000"/>
    <x v="64"/>
    <s v="Cali"/>
  </r>
  <r>
    <m/>
    <x v="1"/>
    <x v="23"/>
    <x v="23"/>
    <m/>
    <m/>
    <m/>
    <x v="1"/>
    <m/>
  </r>
  <r>
    <d v="2021-10-15T00:00:00"/>
    <x v="10"/>
    <x v="0"/>
    <x v="0"/>
    <n v="50000"/>
    <n v="50000"/>
    <n v="0"/>
    <x v="195"/>
    <s v="Cali"/>
  </r>
  <r>
    <d v="2021-10-15T00:00:00"/>
    <x v="10"/>
    <x v="25"/>
    <x v="25"/>
    <n v="-50000"/>
    <n v="0"/>
    <n v="50000"/>
    <x v="195"/>
    <s v="Cali"/>
  </r>
  <r>
    <m/>
    <x v="1"/>
    <x v="23"/>
    <x v="23"/>
    <m/>
    <m/>
    <m/>
    <x v="1"/>
    <m/>
  </r>
  <r>
    <d v="2021-10-15T00:00:00"/>
    <x v="10"/>
    <x v="0"/>
    <x v="0"/>
    <n v="5000"/>
    <n v="5000"/>
    <n v="0"/>
    <x v="482"/>
    <s v="Cali"/>
  </r>
  <r>
    <d v="2021-10-15T00:00:00"/>
    <x v="10"/>
    <x v="19"/>
    <x v="19"/>
    <n v="-5000"/>
    <n v="0"/>
    <n v="5000"/>
    <x v="482"/>
    <s v="Cali"/>
  </r>
  <r>
    <m/>
    <x v="1"/>
    <x v="23"/>
    <x v="23"/>
    <m/>
    <m/>
    <m/>
    <x v="1"/>
    <m/>
  </r>
  <r>
    <d v="2021-10-15T00:00:00"/>
    <x v="10"/>
    <x v="0"/>
    <x v="0"/>
    <n v="20000"/>
    <n v="20000"/>
    <n v="0"/>
    <x v="196"/>
    <s v="Cali"/>
  </r>
  <r>
    <d v="2021-10-15T00:00:00"/>
    <x v="10"/>
    <x v="25"/>
    <x v="25"/>
    <n v="-20000"/>
    <n v="0"/>
    <n v="20000"/>
    <x v="196"/>
    <s v="Cali"/>
  </r>
  <r>
    <m/>
    <x v="1"/>
    <x v="23"/>
    <x v="23"/>
    <m/>
    <m/>
    <m/>
    <x v="1"/>
    <m/>
  </r>
  <r>
    <d v="2021-10-15T00:00:00"/>
    <x v="10"/>
    <x v="16"/>
    <x v="16"/>
    <n v="54840"/>
    <n v="54840"/>
    <n v="0"/>
    <x v="609"/>
    <s v="Cali"/>
  </r>
  <r>
    <d v="2021-10-15T00:00:00"/>
    <x v="10"/>
    <x v="0"/>
    <x v="0"/>
    <n v="-48533"/>
    <n v="0"/>
    <n v="48533"/>
    <x v="609"/>
    <s v="Cali"/>
  </r>
  <r>
    <d v="2021-10-15T00:00:00"/>
    <x v="10"/>
    <x v="17"/>
    <x v="17"/>
    <n v="-6307"/>
    <n v="0"/>
    <n v="6307"/>
    <x v="609"/>
    <s v="Cali"/>
  </r>
  <r>
    <m/>
    <x v="1"/>
    <x v="23"/>
    <x v="23"/>
    <m/>
    <m/>
    <m/>
    <x v="1"/>
    <m/>
  </r>
  <r>
    <d v="2021-10-15T00:00:00"/>
    <x v="10"/>
    <x v="1"/>
    <x v="1"/>
    <n v="27000000"/>
    <n v="27000000"/>
    <n v="0"/>
    <x v="429"/>
    <s v="Cali"/>
  </r>
  <r>
    <d v="2021-10-15T00:00:00"/>
    <x v="10"/>
    <x v="0"/>
    <x v="0"/>
    <n v="-27000000"/>
    <n v="0"/>
    <n v="27000000"/>
    <x v="429"/>
    <s v="Cali"/>
  </r>
  <r>
    <m/>
    <x v="1"/>
    <x v="23"/>
    <x v="23"/>
    <m/>
    <m/>
    <m/>
    <x v="1"/>
    <m/>
  </r>
  <r>
    <d v="2021-10-15T00:00:00"/>
    <x v="10"/>
    <x v="0"/>
    <x v="0"/>
    <n v="3000000"/>
    <n v="3000000"/>
    <n v="0"/>
    <x v="373"/>
    <s v="Cali"/>
  </r>
  <r>
    <d v="2021-10-15T00:00:00"/>
    <x v="10"/>
    <x v="26"/>
    <x v="26"/>
    <n v="-3000000"/>
    <n v="0"/>
    <n v="3000000"/>
    <x v="373"/>
    <s v="Cali"/>
  </r>
  <r>
    <m/>
    <x v="1"/>
    <x v="23"/>
    <x v="23"/>
    <m/>
    <m/>
    <m/>
    <x v="1"/>
    <m/>
  </r>
  <r>
    <d v="2021-10-18T00:00:00"/>
    <x v="10"/>
    <x v="0"/>
    <x v="0"/>
    <n v="250000"/>
    <n v="250000"/>
    <n v="0"/>
    <x v="610"/>
    <s v="Cali"/>
  </r>
  <r>
    <d v="2021-10-18T00:00:00"/>
    <x v="10"/>
    <x v="26"/>
    <x v="26"/>
    <n v="-250000"/>
    <n v="0"/>
    <n v="250000"/>
    <x v="610"/>
    <s v="Cali"/>
  </r>
  <r>
    <m/>
    <x v="1"/>
    <x v="23"/>
    <x v="23"/>
    <m/>
    <m/>
    <m/>
    <x v="1"/>
    <m/>
  </r>
  <r>
    <d v="2021-10-18T00:00:00"/>
    <x v="10"/>
    <x v="0"/>
    <x v="0"/>
    <n v="2000"/>
    <n v="2000"/>
    <n v="0"/>
    <x v="177"/>
    <s v="Cali"/>
  </r>
  <r>
    <d v="2021-10-18T00:00:00"/>
    <x v="10"/>
    <x v="19"/>
    <x v="19"/>
    <n v="-2000"/>
    <n v="0"/>
    <n v="2000"/>
    <x v="177"/>
    <s v="Cali"/>
  </r>
  <r>
    <m/>
    <x v="1"/>
    <x v="23"/>
    <x v="23"/>
    <m/>
    <m/>
    <m/>
    <x v="1"/>
    <m/>
  </r>
  <r>
    <d v="2021-10-18T00:00:00"/>
    <x v="10"/>
    <x v="0"/>
    <x v="0"/>
    <n v="100000"/>
    <n v="100000"/>
    <n v="0"/>
    <x v="192"/>
    <s v="Cali"/>
  </r>
  <r>
    <d v="2021-10-18T00:00:00"/>
    <x v="10"/>
    <x v="26"/>
    <x v="26"/>
    <n v="-100000"/>
    <n v="0"/>
    <n v="100000"/>
    <x v="192"/>
    <s v="Cali"/>
  </r>
  <r>
    <m/>
    <x v="1"/>
    <x v="23"/>
    <x v="23"/>
    <m/>
    <m/>
    <m/>
    <x v="1"/>
    <m/>
  </r>
  <r>
    <d v="2021-10-18T00:00:00"/>
    <x v="10"/>
    <x v="0"/>
    <x v="0"/>
    <n v="470000"/>
    <n v="470000"/>
    <n v="0"/>
    <x v="608"/>
    <s v="Cali"/>
  </r>
  <r>
    <d v="2021-10-18T00:00:00"/>
    <x v="10"/>
    <x v="26"/>
    <x v="26"/>
    <n v="-470000"/>
    <n v="0"/>
    <n v="470000"/>
    <x v="608"/>
    <s v="Cali"/>
  </r>
  <r>
    <m/>
    <x v="1"/>
    <x v="23"/>
    <x v="23"/>
    <m/>
    <m/>
    <m/>
    <x v="1"/>
    <m/>
  </r>
  <r>
    <d v="2021-10-18T00:00:00"/>
    <x v="10"/>
    <x v="0"/>
    <x v="0"/>
    <n v="10000"/>
    <n v="10000"/>
    <n v="0"/>
    <x v="611"/>
    <s v="Cali"/>
  </r>
  <r>
    <d v="2021-10-18T00:00:00"/>
    <x v="10"/>
    <x v="26"/>
    <x v="26"/>
    <n v="-10000"/>
    <n v="0"/>
    <n v="10000"/>
    <x v="611"/>
    <s v="Cali"/>
  </r>
  <r>
    <m/>
    <x v="1"/>
    <x v="23"/>
    <x v="23"/>
    <m/>
    <m/>
    <m/>
    <x v="1"/>
    <m/>
  </r>
  <r>
    <d v="2021-10-19T00:00:00"/>
    <x v="10"/>
    <x v="0"/>
    <x v="0"/>
    <n v="142"/>
    <n v="142"/>
    <n v="0"/>
    <x v="612"/>
    <s v="Cali"/>
  </r>
  <r>
    <d v="2021-10-19T00:00:00"/>
    <x v="10"/>
    <x v="26"/>
    <x v="26"/>
    <n v="-142"/>
    <n v="0"/>
    <n v="142"/>
    <x v="612"/>
    <s v="Cali"/>
  </r>
  <r>
    <m/>
    <x v="1"/>
    <x v="23"/>
    <x v="23"/>
    <m/>
    <m/>
    <m/>
    <x v="1"/>
    <m/>
  </r>
  <r>
    <d v="2021-10-20T00:00:00"/>
    <x v="10"/>
    <x v="0"/>
    <x v="0"/>
    <n v="20000"/>
    <n v="20000"/>
    <n v="0"/>
    <x v="201"/>
    <s v="Cali"/>
  </r>
  <r>
    <d v="2021-10-20T00:00:00"/>
    <x v="10"/>
    <x v="25"/>
    <x v="25"/>
    <n v="-20000"/>
    <n v="0"/>
    <n v="20000"/>
    <x v="201"/>
    <s v="Cali"/>
  </r>
  <r>
    <m/>
    <x v="1"/>
    <x v="23"/>
    <x v="23"/>
    <m/>
    <m/>
    <m/>
    <x v="1"/>
    <m/>
  </r>
  <r>
    <d v="2021-10-20T00:00:00"/>
    <x v="10"/>
    <x v="0"/>
    <x v="0"/>
    <n v="1000000"/>
    <n v="1000000"/>
    <n v="0"/>
    <x v="560"/>
    <s v="Cali"/>
  </r>
  <r>
    <d v="2021-10-20T00:00:00"/>
    <x v="10"/>
    <x v="26"/>
    <x v="26"/>
    <n v="-1000000"/>
    <n v="0"/>
    <n v="1000000"/>
    <x v="560"/>
    <s v="Cali"/>
  </r>
  <r>
    <m/>
    <x v="1"/>
    <x v="23"/>
    <x v="23"/>
    <m/>
    <m/>
    <m/>
    <x v="1"/>
    <m/>
  </r>
  <r>
    <d v="2021-10-20T00:00:00"/>
    <x v="10"/>
    <x v="0"/>
    <x v="0"/>
    <n v="150000"/>
    <n v="150000"/>
    <n v="0"/>
    <x v="431"/>
    <s v="Cali"/>
  </r>
  <r>
    <d v="2021-10-20T00:00:00"/>
    <x v="10"/>
    <x v="25"/>
    <x v="25"/>
    <n v="-150000"/>
    <n v="0"/>
    <n v="150000"/>
    <x v="431"/>
    <s v="Cali"/>
  </r>
  <r>
    <m/>
    <x v="1"/>
    <x v="23"/>
    <x v="23"/>
    <m/>
    <m/>
    <m/>
    <x v="1"/>
    <m/>
  </r>
  <r>
    <d v="2021-10-20T00:00:00"/>
    <x v="10"/>
    <x v="0"/>
    <x v="0"/>
    <n v="5000"/>
    <n v="5000"/>
    <n v="0"/>
    <x v="367"/>
    <s v="Cali"/>
  </r>
  <r>
    <d v="2021-10-20T00:00:00"/>
    <x v="10"/>
    <x v="25"/>
    <x v="25"/>
    <n v="-5000"/>
    <n v="0"/>
    <n v="5000"/>
    <x v="367"/>
    <s v="Cali"/>
  </r>
  <r>
    <m/>
    <x v="1"/>
    <x v="23"/>
    <x v="23"/>
    <m/>
    <m/>
    <m/>
    <x v="1"/>
    <m/>
  </r>
  <r>
    <d v="2021-10-21T00:00:00"/>
    <x v="10"/>
    <x v="0"/>
    <x v="0"/>
    <n v="10000"/>
    <n v="10000"/>
    <n v="0"/>
    <x v="198"/>
    <s v="Cali"/>
  </r>
  <r>
    <d v="2021-10-21T00:00:00"/>
    <x v="10"/>
    <x v="27"/>
    <x v="27"/>
    <n v="-10000"/>
    <n v="0"/>
    <n v="10000"/>
    <x v="198"/>
    <s v="Cali"/>
  </r>
  <r>
    <m/>
    <x v="1"/>
    <x v="23"/>
    <x v="23"/>
    <m/>
    <m/>
    <m/>
    <x v="1"/>
    <m/>
  </r>
  <r>
    <d v="2021-10-21T00:00:00"/>
    <x v="10"/>
    <x v="0"/>
    <x v="0"/>
    <n v="42000"/>
    <n v="42000"/>
    <n v="0"/>
    <x v="65"/>
    <s v="Cali"/>
  </r>
  <r>
    <d v="2021-10-21T00:00:00"/>
    <x v="10"/>
    <x v="29"/>
    <x v="29"/>
    <n v="-42000"/>
    <n v="0"/>
    <n v="42000"/>
    <x v="65"/>
    <s v="Cali"/>
  </r>
  <r>
    <m/>
    <x v="1"/>
    <x v="23"/>
    <x v="23"/>
    <m/>
    <m/>
    <m/>
    <x v="1"/>
    <m/>
  </r>
  <r>
    <d v="2021-10-21T00:00:00"/>
    <x v="10"/>
    <x v="0"/>
    <x v="0"/>
    <n v="220000"/>
    <n v="220000"/>
    <n v="0"/>
    <x v="65"/>
    <s v="Cali"/>
  </r>
  <r>
    <d v="2021-10-21T00:00:00"/>
    <x v="10"/>
    <x v="29"/>
    <x v="29"/>
    <n v="-220000"/>
    <n v="0"/>
    <n v="220000"/>
    <x v="65"/>
    <s v="Cali"/>
  </r>
  <r>
    <m/>
    <x v="1"/>
    <x v="23"/>
    <x v="23"/>
    <m/>
    <m/>
    <m/>
    <x v="1"/>
    <m/>
  </r>
  <r>
    <d v="2021-10-22T00:00:00"/>
    <x v="10"/>
    <x v="0"/>
    <x v="0"/>
    <n v="10000"/>
    <n v="10000"/>
    <n v="0"/>
    <x v="409"/>
    <s v="Cali"/>
  </r>
  <r>
    <d v="2021-10-22T00:00:00"/>
    <x v="10"/>
    <x v="25"/>
    <x v="25"/>
    <n v="-10000"/>
    <n v="0"/>
    <n v="10000"/>
    <x v="409"/>
    <s v="Cali"/>
  </r>
  <r>
    <m/>
    <x v="1"/>
    <x v="23"/>
    <x v="23"/>
    <m/>
    <m/>
    <m/>
    <x v="1"/>
    <m/>
  </r>
  <r>
    <d v="2021-10-25T00:00:00"/>
    <x v="10"/>
    <x v="0"/>
    <x v="0"/>
    <n v="30000"/>
    <n v="30000"/>
    <n v="0"/>
    <x v="139"/>
    <s v="Cali"/>
  </r>
  <r>
    <d v="2021-10-25T00:00:00"/>
    <x v="10"/>
    <x v="25"/>
    <x v="25"/>
    <n v="-30000"/>
    <n v="0"/>
    <n v="30000"/>
    <x v="139"/>
    <s v="Cali"/>
  </r>
  <r>
    <m/>
    <x v="1"/>
    <x v="23"/>
    <x v="23"/>
    <m/>
    <m/>
    <m/>
    <x v="1"/>
    <m/>
  </r>
  <r>
    <d v="2021-10-25T00:00:00"/>
    <x v="10"/>
    <x v="0"/>
    <x v="0"/>
    <n v="30000"/>
    <n v="30000"/>
    <n v="0"/>
    <x v="203"/>
    <s v="Cali"/>
  </r>
  <r>
    <d v="2021-10-25T00:00:00"/>
    <x v="10"/>
    <x v="27"/>
    <x v="27"/>
    <n v="-30000"/>
    <n v="0"/>
    <n v="30000"/>
    <x v="203"/>
    <s v="Cali"/>
  </r>
  <r>
    <m/>
    <x v="1"/>
    <x v="23"/>
    <x v="23"/>
    <m/>
    <m/>
    <m/>
    <x v="1"/>
    <m/>
  </r>
  <r>
    <d v="2021-10-25T00:00:00"/>
    <x v="10"/>
    <x v="0"/>
    <x v="0"/>
    <n v="100000"/>
    <n v="100000"/>
    <n v="0"/>
    <x v="333"/>
    <s v="Cali"/>
  </r>
  <r>
    <d v="2021-10-25T00:00:00"/>
    <x v="10"/>
    <x v="26"/>
    <x v="26"/>
    <n v="-100000"/>
    <n v="0"/>
    <n v="100000"/>
    <x v="333"/>
    <s v="Cali"/>
  </r>
  <r>
    <m/>
    <x v="1"/>
    <x v="23"/>
    <x v="23"/>
    <m/>
    <m/>
    <m/>
    <x v="1"/>
    <m/>
  </r>
  <r>
    <d v="2021-10-25T00:00:00"/>
    <x v="10"/>
    <x v="0"/>
    <x v="0"/>
    <n v="20000"/>
    <n v="20000"/>
    <n v="0"/>
    <x v="85"/>
    <s v="Cali"/>
  </r>
  <r>
    <d v="2021-10-25T00:00:00"/>
    <x v="10"/>
    <x v="25"/>
    <x v="25"/>
    <n v="-20000"/>
    <n v="0"/>
    <n v="20000"/>
    <x v="85"/>
    <s v="Cali"/>
  </r>
  <r>
    <m/>
    <x v="1"/>
    <x v="23"/>
    <x v="23"/>
    <m/>
    <m/>
    <m/>
    <x v="1"/>
    <m/>
  </r>
  <r>
    <d v="2021-10-25T00:00:00"/>
    <x v="10"/>
    <x v="0"/>
    <x v="0"/>
    <n v="2000"/>
    <n v="2000"/>
    <n v="0"/>
    <x v="177"/>
    <s v="Cali"/>
  </r>
  <r>
    <d v="2021-10-25T00:00:00"/>
    <x v="10"/>
    <x v="19"/>
    <x v="19"/>
    <n v="-2000"/>
    <n v="0"/>
    <n v="2000"/>
    <x v="177"/>
    <s v="Cali"/>
  </r>
  <r>
    <m/>
    <x v="1"/>
    <x v="23"/>
    <x v="23"/>
    <m/>
    <m/>
    <m/>
    <x v="1"/>
    <m/>
  </r>
  <r>
    <d v="2021-10-25T00:00:00"/>
    <x v="10"/>
    <x v="0"/>
    <x v="0"/>
    <n v="10000"/>
    <n v="10000"/>
    <n v="0"/>
    <x v="206"/>
    <s v="Cali"/>
  </r>
  <r>
    <d v="2021-10-25T00:00:00"/>
    <x v="10"/>
    <x v="26"/>
    <x v="26"/>
    <n v="-10000"/>
    <n v="0"/>
    <n v="10000"/>
    <x v="206"/>
    <s v="Cali"/>
  </r>
  <r>
    <m/>
    <x v="1"/>
    <x v="23"/>
    <x v="23"/>
    <m/>
    <m/>
    <m/>
    <x v="1"/>
    <m/>
  </r>
  <r>
    <d v="2021-10-25T00:00:00"/>
    <x v="10"/>
    <x v="0"/>
    <x v="0"/>
    <n v="196073"/>
    <n v="196073"/>
    <n v="0"/>
    <x v="613"/>
    <s v="Cali"/>
  </r>
  <r>
    <d v="2021-10-25T00:00:00"/>
    <x v="10"/>
    <x v="26"/>
    <x v="26"/>
    <n v="-196073"/>
    <n v="0"/>
    <n v="196073"/>
    <x v="613"/>
    <s v="Cali"/>
  </r>
  <r>
    <m/>
    <x v="1"/>
    <x v="23"/>
    <x v="23"/>
    <m/>
    <m/>
    <m/>
    <x v="1"/>
    <m/>
  </r>
  <r>
    <d v="2021-10-28T00:00:00"/>
    <x v="10"/>
    <x v="0"/>
    <x v="0"/>
    <n v="30000"/>
    <n v="30000"/>
    <n v="0"/>
    <x v="156"/>
    <s v="Cali"/>
  </r>
  <r>
    <d v="2021-10-28T00:00:00"/>
    <x v="10"/>
    <x v="25"/>
    <x v="25"/>
    <n v="-30000"/>
    <n v="0"/>
    <n v="30000"/>
    <x v="156"/>
    <s v="Cali"/>
  </r>
  <r>
    <m/>
    <x v="1"/>
    <x v="23"/>
    <x v="23"/>
    <m/>
    <m/>
    <m/>
    <x v="1"/>
    <m/>
  </r>
  <r>
    <d v="2021-10-28T00:00:00"/>
    <x v="10"/>
    <x v="0"/>
    <x v="0"/>
    <n v="100000"/>
    <n v="100000"/>
    <n v="0"/>
    <x v="192"/>
    <s v="Cali"/>
  </r>
  <r>
    <d v="2021-10-28T00:00:00"/>
    <x v="10"/>
    <x v="26"/>
    <x v="26"/>
    <n v="-100000"/>
    <n v="0"/>
    <n v="100000"/>
    <x v="192"/>
    <s v="Cali"/>
  </r>
  <r>
    <m/>
    <x v="1"/>
    <x v="23"/>
    <x v="23"/>
    <m/>
    <m/>
    <m/>
    <x v="1"/>
    <m/>
  </r>
  <r>
    <d v="2021-10-28T00:00:00"/>
    <x v="10"/>
    <x v="0"/>
    <x v="0"/>
    <n v="73000"/>
    <n v="73000"/>
    <n v="0"/>
    <x v="240"/>
    <s v="Cali"/>
  </r>
  <r>
    <d v="2021-10-28T00:00:00"/>
    <x v="10"/>
    <x v="26"/>
    <x v="26"/>
    <n v="-73000"/>
    <n v="0"/>
    <n v="73000"/>
    <x v="240"/>
    <s v="Cali"/>
  </r>
  <r>
    <m/>
    <x v="1"/>
    <x v="23"/>
    <x v="23"/>
    <m/>
    <m/>
    <m/>
    <x v="1"/>
    <m/>
  </r>
  <r>
    <d v="2021-10-28T00:00:00"/>
    <x v="10"/>
    <x v="0"/>
    <x v="0"/>
    <n v="10000"/>
    <n v="10000"/>
    <n v="0"/>
    <x v="236"/>
    <s v="Cali"/>
  </r>
  <r>
    <d v="2021-10-28T00:00:00"/>
    <x v="10"/>
    <x v="25"/>
    <x v="25"/>
    <n v="-10000"/>
    <n v="0"/>
    <n v="10000"/>
    <x v="236"/>
    <s v="Cali"/>
  </r>
  <r>
    <m/>
    <x v="1"/>
    <x v="23"/>
    <x v="23"/>
    <m/>
    <m/>
    <m/>
    <x v="1"/>
    <m/>
  </r>
  <r>
    <d v="2021-10-28T00:00:00"/>
    <x v="10"/>
    <x v="0"/>
    <x v="0"/>
    <n v="125000"/>
    <n v="125000"/>
    <n v="0"/>
    <x v="136"/>
    <s v="Cali"/>
  </r>
  <r>
    <d v="2021-10-28T00:00:00"/>
    <x v="10"/>
    <x v="26"/>
    <x v="26"/>
    <n v="-125000"/>
    <n v="0"/>
    <n v="125000"/>
    <x v="136"/>
    <s v="Cali"/>
  </r>
  <r>
    <m/>
    <x v="1"/>
    <x v="23"/>
    <x v="23"/>
    <m/>
    <m/>
    <m/>
    <x v="1"/>
    <m/>
  </r>
  <r>
    <d v="2021-10-28T00:00:00"/>
    <x v="10"/>
    <x v="0"/>
    <x v="0"/>
    <n v="1419370"/>
    <n v="1419370"/>
    <n v="0"/>
    <x v="614"/>
    <s v="Cali"/>
  </r>
  <r>
    <d v="2021-10-28T00:00:00"/>
    <x v="10"/>
    <x v="26"/>
    <x v="26"/>
    <n v="-1419370"/>
    <n v="0"/>
    <n v="1419370"/>
    <x v="614"/>
    <s v="Cali"/>
  </r>
  <r>
    <m/>
    <x v="1"/>
    <x v="23"/>
    <x v="23"/>
    <m/>
    <m/>
    <m/>
    <x v="1"/>
    <m/>
  </r>
  <r>
    <d v="2021-10-28T00:00:00"/>
    <x v="10"/>
    <x v="0"/>
    <x v="0"/>
    <n v="2196669"/>
    <n v="2196669"/>
    <n v="0"/>
    <x v="615"/>
    <s v="Cali"/>
  </r>
  <r>
    <d v="2021-10-28T00:00:00"/>
    <x v="10"/>
    <x v="44"/>
    <x v="44"/>
    <n v="-2196669"/>
    <n v="0"/>
    <n v="2196669"/>
    <x v="615"/>
    <s v="Cali"/>
  </r>
  <r>
    <m/>
    <x v="1"/>
    <x v="23"/>
    <x v="23"/>
    <m/>
    <m/>
    <m/>
    <x v="1"/>
    <m/>
  </r>
  <r>
    <d v="2021-10-28T00:00:00"/>
    <x v="10"/>
    <x v="0"/>
    <x v="0"/>
    <n v="1916008"/>
    <n v="1916008"/>
    <n v="0"/>
    <x v="616"/>
    <s v="Cali"/>
  </r>
  <r>
    <d v="2021-10-28T00:00:00"/>
    <x v="10"/>
    <x v="45"/>
    <x v="45"/>
    <n v="-1916008"/>
    <n v="0"/>
    <n v="1916008"/>
    <x v="616"/>
    <s v="Cali"/>
  </r>
  <r>
    <m/>
    <x v="1"/>
    <x v="23"/>
    <x v="23"/>
    <m/>
    <m/>
    <m/>
    <x v="1"/>
    <m/>
  </r>
  <r>
    <d v="2021-10-29T00:00:00"/>
    <x v="10"/>
    <x v="14"/>
    <x v="14"/>
    <n v="161848"/>
    <n v="161848"/>
    <n v="0"/>
    <x v="617"/>
    <s v="Cali"/>
  </r>
  <r>
    <d v="2021-10-29T00:00:00"/>
    <x v="10"/>
    <x v="15"/>
    <x v="15"/>
    <n v="2918288"/>
    <n v="2918288"/>
    <n v="0"/>
    <x v="617"/>
    <s v="Cali"/>
  </r>
  <r>
    <d v="2021-10-29T00:00:00"/>
    <x v="10"/>
    <x v="0"/>
    <x v="0"/>
    <n v="-3080136"/>
    <n v="0"/>
    <n v="3080136"/>
    <x v="617"/>
    <s v="Cali"/>
  </r>
  <r>
    <m/>
    <x v="1"/>
    <x v="23"/>
    <x v="23"/>
    <m/>
    <m/>
    <m/>
    <x v="1"/>
    <m/>
  </r>
  <r>
    <d v="2021-10-29T00:00:00"/>
    <x v="10"/>
    <x v="0"/>
    <x v="0"/>
    <n v="22000"/>
    <n v="22000"/>
    <n v="0"/>
    <x v="342"/>
    <s v="Cali"/>
  </r>
  <r>
    <d v="2021-10-29T00:00:00"/>
    <x v="10"/>
    <x v="25"/>
    <x v="25"/>
    <n v="-22000"/>
    <n v="0"/>
    <n v="22000"/>
    <x v="342"/>
    <s v="Cali"/>
  </r>
  <r>
    <m/>
    <x v="1"/>
    <x v="23"/>
    <x v="23"/>
    <m/>
    <m/>
    <m/>
    <x v="1"/>
    <m/>
  </r>
  <r>
    <d v="2021-10-29T00:00:00"/>
    <x v="10"/>
    <x v="0"/>
    <x v="0"/>
    <n v="20000"/>
    <n v="20000"/>
    <n v="0"/>
    <x v="132"/>
    <s v="Cali"/>
  </r>
  <r>
    <d v="2021-10-29T00:00:00"/>
    <x v="10"/>
    <x v="25"/>
    <x v="25"/>
    <n v="-20000"/>
    <n v="0"/>
    <n v="20000"/>
    <x v="132"/>
    <s v="Cali"/>
  </r>
  <r>
    <m/>
    <x v="1"/>
    <x v="23"/>
    <x v="23"/>
    <m/>
    <m/>
    <m/>
    <x v="1"/>
    <m/>
  </r>
  <r>
    <d v="2021-10-29T00:00:00"/>
    <x v="10"/>
    <x v="0"/>
    <x v="0"/>
    <n v="30000"/>
    <n v="30000"/>
    <n v="0"/>
    <x v="266"/>
    <s v="Cali"/>
  </r>
  <r>
    <d v="2021-10-29T00:00:00"/>
    <x v="10"/>
    <x v="25"/>
    <x v="25"/>
    <n v="-30000"/>
    <n v="0"/>
    <n v="30000"/>
    <x v="266"/>
    <s v="Cali"/>
  </r>
  <r>
    <m/>
    <x v="1"/>
    <x v="23"/>
    <x v="23"/>
    <m/>
    <m/>
    <m/>
    <x v="1"/>
    <m/>
  </r>
  <r>
    <d v="2021-10-29T00:00:00"/>
    <x v="10"/>
    <x v="0"/>
    <x v="0"/>
    <n v="40000"/>
    <n v="40000"/>
    <n v="0"/>
    <x v="241"/>
    <s v="Cali"/>
  </r>
  <r>
    <d v="2021-10-29T00:00:00"/>
    <x v="10"/>
    <x v="26"/>
    <x v="26"/>
    <n v="-40000"/>
    <n v="0"/>
    <n v="40000"/>
    <x v="241"/>
    <s v="Cali"/>
  </r>
  <r>
    <m/>
    <x v="1"/>
    <x v="23"/>
    <x v="23"/>
    <m/>
    <m/>
    <m/>
    <x v="1"/>
    <m/>
  </r>
  <r>
    <d v="2021-10-29T00:00:00"/>
    <x v="10"/>
    <x v="0"/>
    <x v="0"/>
    <n v="25000"/>
    <n v="25000"/>
    <n v="0"/>
    <x v="138"/>
    <s v="Cali"/>
  </r>
  <r>
    <d v="2021-10-29T00:00:00"/>
    <x v="10"/>
    <x v="27"/>
    <x v="27"/>
    <n v="-25000"/>
    <n v="0"/>
    <n v="25000"/>
    <x v="138"/>
    <s v="Cali"/>
  </r>
  <r>
    <m/>
    <x v="1"/>
    <x v="23"/>
    <x v="23"/>
    <m/>
    <m/>
    <m/>
    <x v="1"/>
    <m/>
  </r>
  <r>
    <d v="2021-10-29T00:00:00"/>
    <x v="10"/>
    <x v="0"/>
    <x v="0"/>
    <n v="20000"/>
    <n v="20000"/>
    <n v="0"/>
    <x v="151"/>
    <s v="Cali"/>
  </r>
  <r>
    <d v="2021-10-29T00:00:00"/>
    <x v="10"/>
    <x v="25"/>
    <x v="25"/>
    <n v="-20000"/>
    <n v="0"/>
    <n v="20000"/>
    <x v="151"/>
    <s v="Cali"/>
  </r>
  <r>
    <m/>
    <x v="1"/>
    <x v="23"/>
    <x v="23"/>
    <m/>
    <m/>
    <m/>
    <x v="1"/>
    <m/>
  </r>
  <r>
    <d v="2021-10-29T00:00:00"/>
    <x v="10"/>
    <x v="0"/>
    <x v="0"/>
    <n v="40000"/>
    <n v="40000"/>
    <n v="0"/>
    <x v="157"/>
    <s v="Cali"/>
  </r>
  <r>
    <d v="2021-10-29T00:00:00"/>
    <x v="10"/>
    <x v="27"/>
    <x v="27"/>
    <n v="-40000"/>
    <n v="0"/>
    <n v="40000"/>
    <x v="157"/>
    <s v="Cali"/>
  </r>
  <r>
    <m/>
    <x v="1"/>
    <x v="23"/>
    <x v="23"/>
    <m/>
    <m/>
    <m/>
    <x v="1"/>
    <m/>
  </r>
  <r>
    <d v="2021-10-29T00:00:00"/>
    <x v="10"/>
    <x v="0"/>
    <x v="0"/>
    <n v="50000"/>
    <n v="50000"/>
    <n v="0"/>
    <x v="618"/>
    <s v="Cali"/>
  </r>
  <r>
    <d v="2021-10-29T00:00:00"/>
    <x v="10"/>
    <x v="25"/>
    <x v="25"/>
    <n v="-50000"/>
    <n v="0"/>
    <n v="50000"/>
    <x v="618"/>
    <s v="Cali"/>
  </r>
  <r>
    <m/>
    <x v="1"/>
    <x v="23"/>
    <x v="23"/>
    <m/>
    <m/>
    <m/>
    <x v="1"/>
    <m/>
  </r>
  <r>
    <d v="2021-10-29T00:00:00"/>
    <x v="10"/>
    <x v="0"/>
    <x v="0"/>
    <n v="60000"/>
    <n v="60000"/>
    <n v="0"/>
    <x v="10"/>
    <s v="Cali"/>
  </r>
  <r>
    <d v="2021-10-29T00:00:00"/>
    <x v="10"/>
    <x v="25"/>
    <x v="25"/>
    <n v="-60000"/>
    <n v="0"/>
    <n v="60000"/>
    <x v="10"/>
    <s v="Cali"/>
  </r>
  <r>
    <m/>
    <x v="1"/>
    <x v="23"/>
    <x v="23"/>
    <m/>
    <m/>
    <m/>
    <x v="1"/>
    <m/>
  </r>
  <r>
    <d v="2021-10-29T00:00:00"/>
    <x v="10"/>
    <x v="0"/>
    <x v="0"/>
    <n v="200000"/>
    <n v="200000"/>
    <n v="0"/>
    <x v="242"/>
    <s v="Cali"/>
  </r>
  <r>
    <d v="2021-10-29T00:00:00"/>
    <x v="10"/>
    <x v="26"/>
    <x v="26"/>
    <n v="-200000"/>
    <n v="0"/>
    <n v="200000"/>
    <x v="242"/>
    <s v="Cali"/>
  </r>
  <r>
    <m/>
    <x v="1"/>
    <x v="23"/>
    <x v="23"/>
    <m/>
    <m/>
    <m/>
    <x v="1"/>
    <m/>
  </r>
  <r>
    <d v="2021-10-06T00:00:00"/>
    <x v="10"/>
    <x v="31"/>
    <x v="31"/>
    <n v="1625"/>
    <n v="1625"/>
    <n v="0"/>
    <x v="215"/>
    <s v="Cali"/>
  </r>
  <r>
    <d v="2021-10-06T00:00:00"/>
    <x v="10"/>
    <x v="1"/>
    <x v="1"/>
    <n v="-1625"/>
    <n v="0"/>
    <n v="1625"/>
    <x v="215"/>
    <s v="Cali"/>
  </r>
  <r>
    <m/>
    <x v="1"/>
    <x v="23"/>
    <x v="23"/>
    <m/>
    <m/>
    <m/>
    <x v="1"/>
    <m/>
  </r>
  <r>
    <d v="2021-10-06T00:00:00"/>
    <x v="10"/>
    <x v="31"/>
    <x v="31"/>
    <n v="309"/>
    <n v="309"/>
    <n v="0"/>
    <x v="215"/>
    <s v="Cali"/>
  </r>
  <r>
    <d v="2021-10-06T00:00:00"/>
    <x v="10"/>
    <x v="1"/>
    <x v="1"/>
    <n v="-309"/>
    <n v="0"/>
    <n v="309"/>
    <x v="215"/>
    <s v="Cali"/>
  </r>
  <r>
    <m/>
    <x v="1"/>
    <x v="23"/>
    <x v="23"/>
    <m/>
    <m/>
    <m/>
    <x v="1"/>
    <m/>
  </r>
  <r>
    <d v="2021-10-06T00:00:00"/>
    <x v="10"/>
    <x v="1"/>
    <x v="1"/>
    <n v="32000000"/>
    <n v="32000000"/>
    <n v="0"/>
    <x v="579"/>
    <s v="Cali"/>
  </r>
  <r>
    <d v="2021-10-20T00:00:00"/>
    <x v="10"/>
    <x v="51"/>
    <x v="51"/>
    <n v="-32000000"/>
    <n v="0"/>
    <n v="32000000"/>
    <x v="579"/>
    <s v="Cali"/>
  </r>
  <r>
    <m/>
    <x v="1"/>
    <x v="23"/>
    <x v="23"/>
    <m/>
    <m/>
    <m/>
    <x v="1"/>
    <m/>
  </r>
  <r>
    <d v="2021-10-22T00:00:00"/>
    <x v="10"/>
    <x v="12"/>
    <x v="12"/>
    <n v="129328"/>
    <n v="129328"/>
    <n v="0"/>
    <x v="619"/>
    <s v="Cali"/>
  </r>
  <r>
    <d v="2021-10-22T00:00:00"/>
    <x v="10"/>
    <x v="1"/>
    <x v="1"/>
    <n v="-129328"/>
    <n v="0"/>
    <n v="129328"/>
    <x v="619"/>
    <s v="Cali"/>
  </r>
  <r>
    <m/>
    <x v="1"/>
    <x v="23"/>
    <x v="23"/>
    <m/>
    <m/>
    <m/>
    <x v="1"/>
    <m/>
  </r>
  <r>
    <d v="2021-10-22T00:00:00"/>
    <x v="10"/>
    <x v="12"/>
    <x v="12"/>
    <n v="4361654"/>
    <n v="4361654"/>
    <n v="0"/>
    <x v="620"/>
    <s v="Cali"/>
  </r>
  <r>
    <d v="2021-10-22T00:00:00"/>
    <x v="10"/>
    <x v="1"/>
    <x v="1"/>
    <n v="-4361654"/>
    <n v="0"/>
    <n v="4361654"/>
    <x v="620"/>
    <s v="Cali"/>
  </r>
  <r>
    <m/>
    <x v="1"/>
    <x v="23"/>
    <x v="23"/>
    <m/>
    <m/>
    <m/>
    <x v="1"/>
    <m/>
  </r>
  <r>
    <d v="2021-10-22T00:00:00"/>
    <x v="10"/>
    <x v="48"/>
    <x v="48"/>
    <n v="50248964"/>
    <n v="50248964"/>
    <n v="0"/>
    <x v="621"/>
    <s v="Cali"/>
  </r>
  <r>
    <d v="2021-10-22T00:00:00"/>
    <x v="10"/>
    <x v="1"/>
    <x v="1"/>
    <n v="-50248964"/>
    <n v="0"/>
    <n v="50248964"/>
    <x v="621"/>
    <s v="Cali"/>
  </r>
  <r>
    <m/>
    <x v="1"/>
    <x v="23"/>
    <x v="23"/>
    <m/>
    <m/>
    <m/>
    <x v="1"/>
    <m/>
  </r>
  <r>
    <d v="2021-10-22T00:00:00"/>
    <x v="10"/>
    <x v="12"/>
    <x v="12"/>
    <n v="3005600"/>
    <n v="3005600"/>
    <n v="0"/>
    <x v="622"/>
    <s v="Cali"/>
  </r>
  <r>
    <d v="2021-10-22T00:00:00"/>
    <x v="10"/>
    <x v="1"/>
    <x v="1"/>
    <n v="-3005600"/>
    <n v="0"/>
    <n v="3005600"/>
    <x v="622"/>
    <s v="Cali"/>
  </r>
  <r>
    <m/>
    <x v="1"/>
    <x v="23"/>
    <x v="23"/>
    <m/>
    <m/>
    <m/>
    <x v="1"/>
    <m/>
  </r>
  <r>
    <d v="2021-10-22T00:00:00"/>
    <x v="10"/>
    <x v="11"/>
    <x v="11"/>
    <n v="-7042958"/>
    <n v="0"/>
    <n v="7042958"/>
    <x v="623"/>
    <s v="Cali"/>
  </r>
  <r>
    <d v="2021-10-22T00:00:00"/>
    <x v="10"/>
    <x v="8"/>
    <x v="8"/>
    <n v="59884938"/>
    <n v="59884938"/>
    <n v="0"/>
    <x v="129"/>
    <s v="Cali"/>
  </r>
  <r>
    <d v="2021-10-22T00:00:00"/>
    <x v="10"/>
    <x v="18"/>
    <x v="18"/>
    <n v="-2593016"/>
    <n v="0"/>
    <n v="2593016"/>
    <x v="624"/>
    <s v="Cali"/>
  </r>
  <r>
    <d v="2021-10-22T00:00:00"/>
    <x v="10"/>
    <x v="48"/>
    <x v="48"/>
    <n v="-50248964"/>
    <n v="0"/>
    <n v="50248964"/>
    <x v="625"/>
    <s v="Cali"/>
  </r>
  <r>
    <m/>
    <x v="1"/>
    <x v="23"/>
    <x v="23"/>
    <m/>
    <m/>
    <m/>
    <x v="1"/>
    <m/>
  </r>
  <r>
    <d v="2021-10-12T00:00:00"/>
    <x v="10"/>
    <x v="31"/>
    <x v="31"/>
    <n v="11444"/>
    <n v="11444"/>
    <n v="0"/>
    <x v="626"/>
    <s v="Cali"/>
  </r>
  <r>
    <d v="2021-10-12T00:00:00"/>
    <x v="10"/>
    <x v="51"/>
    <x v="51"/>
    <n v="-11444"/>
    <n v="0"/>
    <n v="11444"/>
    <x v="626"/>
    <s v="Cali"/>
  </r>
  <r>
    <m/>
    <x v="1"/>
    <x v="23"/>
    <x v="23"/>
    <m/>
    <m/>
    <m/>
    <x v="1"/>
    <m/>
  </r>
  <r>
    <d v="2021-10-14T00:00:00"/>
    <x v="10"/>
    <x v="51"/>
    <x v="51"/>
    <n v="400560000"/>
    <n v="400560000"/>
    <n v="0"/>
    <x v="627"/>
    <s v="Cali"/>
  </r>
  <r>
    <d v="2021-10-14T00:00:00"/>
    <x v="10"/>
    <x v="53"/>
    <x v="53"/>
    <n v="-400560000"/>
    <n v="0"/>
    <n v="400560000"/>
    <x v="627"/>
    <s v="Cali"/>
  </r>
  <r>
    <m/>
    <x v="1"/>
    <x v="23"/>
    <x v="23"/>
    <m/>
    <m/>
    <m/>
    <x v="1"/>
    <m/>
  </r>
  <r>
    <d v="2021-10-14T00:00:00"/>
    <x v="10"/>
    <x v="53"/>
    <x v="53"/>
    <n v="370000000"/>
    <n v="370000000"/>
    <n v="0"/>
    <x v="628"/>
    <s v="Cali"/>
  </r>
  <r>
    <d v="2021-10-14T00:00:00"/>
    <x v="10"/>
    <x v="51"/>
    <x v="51"/>
    <n v="-370000000"/>
    <n v="0"/>
    <n v="370000000"/>
    <x v="628"/>
    <s v="Cali"/>
  </r>
  <r>
    <m/>
    <x v="1"/>
    <x v="23"/>
    <x v="23"/>
    <m/>
    <m/>
    <m/>
    <x v="1"/>
    <m/>
  </r>
  <r>
    <d v="2021-10-27T00:00:00"/>
    <x v="10"/>
    <x v="51"/>
    <x v="51"/>
    <n v="795000"/>
    <n v="795000"/>
    <n v="0"/>
    <x v="449"/>
    <s v="Cali"/>
  </r>
  <r>
    <d v="2021-10-27T00:00:00"/>
    <x v="10"/>
    <x v="25"/>
    <x v="25"/>
    <n v="-795000"/>
    <n v="0"/>
    <n v="795000"/>
    <x v="449"/>
    <s v="Cali"/>
  </r>
  <r>
    <m/>
    <x v="1"/>
    <x v="23"/>
    <x v="23"/>
    <m/>
    <m/>
    <m/>
    <x v="1"/>
    <m/>
  </r>
  <r>
    <d v="2021-10-29T00:00:00"/>
    <x v="10"/>
    <x v="51"/>
    <x v="51"/>
    <n v="10000"/>
    <n v="10000"/>
    <n v="0"/>
    <x v="449"/>
    <s v="Cali"/>
  </r>
  <r>
    <d v="2021-10-29T00:00:00"/>
    <x v="10"/>
    <x v="25"/>
    <x v="25"/>
    <n v="-10000"/>
    <n v="0"/>
    <n v="10000"/>
    <x v="449"/>
    <s v="Cali"/>
  </r>
  <r>
    <m/>
    <x v="1"/>
    <x v="23"/>
    <x v="23"/>
    <m/>
    <m/>
    <m/>
    <x v="1"/>
    <m/>
  </r>
  <r>
    <d v="2021-10-30T00:00:00"/>
    <x v="10"/>
    <x v="32"/>
    <x v="32"/>
    <n v="-562000"/>
    <n v="0"/>
    <n v="562000"/>
    <x v="629"/>
    <s v="Cali"/>
  </r>
  <r>
    <d v="2021-10-30T00:00:00"/>
    <x v="10"/>
    <x v="33"/>
    <x v="33"/>
    <n v="0"/>
    <n v="0"/>
    <n v="0"/>
    <x v="629"/>
    <s v="Cali"/>
  </r>
  <r>
    <d v="2021-10-30T00:00:00"/>
    <x v="10"/>
    <x v="34"/>
    <x v="34"/>
    <n v="-905000"/>
    <n v="0"/>
    <n v="905000"/>
    <x v="629"/>
    <s v="Cali"/>
  </r>
  <r>
    <d v="2021-10-30T00:00:00"/>
    <x v="10"/>
    <x v="35"/>
    <x v="35"/>
    <n v="-3698500"/>
    <n v="0"/>
    <n v="3698500"/>
    <x v="629"/>
    <s v="Cali"/>
  </r>
  <r>
    <d v="2021-10-30T00:00:00"/>
    <x v="10"/>
    <x v="36"/>
    <x v="36"/>
    <n v="-4210600"/>
    <n v="0"/>
    <n v="4210600"/>
    <x v="629"/>
    <s v="Cali"/>
  </r>
  <r>
    <d v="2021-10-30T00:00:00"/>
    <x v="10"/>
    <x v="37"/>
    <x v="37"/>
    <n v="-8137913"/>
    <n v="0"/>
    <n v="8137913"/>
    <x v="629"/>
    <s v="Cali"/>
  </r>
  <r>
    <d v="2021-10-30T00:00:00"/>
    <x v="10"/>
    <x v="29"/>
    <x v="29"/>
    <n v="562000"/>
    <n v="562000"/>
    <n v="0"/>
    <x v="629"/>
    <s v="Cali"/>
  </r>
  <r>
    <d v="2021-10-30T00:00:00"/>
    <x v="10"/>
    <x v="27"/>
    <x v="27"/>
    <n v="905000"/>
    <n v="905000"/>
    <n v="0"/>
    <x v="629"/>
    <s v="Cali"/>
  </r>
  <r>
    <d v="2021-10-30T00:00:00"/>
    <x v="10"/>
    <x v="25"/>
    <x v="25"/>
    <n v="3698500"/>
    <n v="3698500"/>
    <n v="0"/>
    <x v="629"/>
    <s v="Cali"/>
  </r>
  <r>
    <d v="2021-10-30T00:00:00"/>
    <x v="10"/>
    <x v="5"/>
    <x v="5"/>
    <n v="12348513"/>
    <n v="12348513"/>
    <n v="0"/>
    <x v="629"/>
    <s v="Cali"/>
  </r>
  <r>
    <d v="2021-10-30T00:00:00"/>
    <x v="10"/>
    <x v="15"/>
    <x v="15"/>
    <n v="-2967795"/>
    <n v="0"/>
    <n v="2967795"/>
    <x v="629"/>
    <s v="Cali"/>
  </r>
  <r>
    <d v="2021-10-30T00:00:00"/>
    <x v="10"/>
    <x v="38"/>
    <x v="38"/>
    <n v="2967795"/>
    <n v="2967795"/>
    <n v="0"/>
    <x v="629"/>
    <s v="Cali"/>
  </r>
  <r>
    <d v="2021-10-30T00:00:00"/>
    <x v="10"/>
    <x v="16"/>
    <x v="16"/>
    <n v="-67440"/>
    <n v="0"/>
    <n v="67440"/>
    <x v="629"/>
    <s v="Cali"/>
  </r>
  <r>
    <d v="2021-10-30T00:00:00"/>
    <x v="10"/>
    <x v="14"/>
    <x v="14"/>
    <n v="-175140"/>
    <n v="0"/>
    <n v="175140"/>
    <x v="629"/>
    <s v="Cali"/>
  </r>
  <r>
    <d v="2021-10-30T00:00:00"/>
    <x v="10"/>
    <x v="39"/>
    <x v="39"/>
    <n v="67440"/>
    <n v="67440"/>
    <n v="0"/>
    <x v="629"/>
    <s v="Cali"/>
  </r>
  <r>
    <d v="2021-10-30T00:00:00"/>
    <x v="10"/>
    <x v="40"/>
    <x v="40"/>
    <n v="175140"/>
    <n v="175140"/>
    <n v="0"/>
    <x v="629"/>
    <s v="Cali"/>
  </r>
  <r>
    <d v="2021-10-30T00:00:00"/>
    <x v="10"/>
    <x v="41"/>
    <x v="41"/>
    <n v="-5970964"/>
    <n v="0"/>
    <n v="5970964"/>
    <x v="629"/>
    <s v="Cali"/>
  </r>
  <r>
    <d v="2021-10-30T00:00:00"/>
    <x v="10"/>
    <x v="42"/>
    <x v="42"/>
    <n v="-1985500"/>
    <n v="0"/>
    <n v="1985500"/>
    <x v="629"/>
    <s v="Cali"/>
  </r>
  <r>
    <d v="2021-10-30T00:00:00"/>
    <x v="10"/>
    <x v="43"/>
    <x v="43"/>
    <n v="419582"/>
    <n v="419582"/>
    <n v="0"/>
    <x v="629"/>
    <s v="Cali"/>
  </r>
  <r>
    <d v="2021-10-30T00:00:00"/>
    <x v="10"/>
    <x v="43"/>
    <x v="43"/>
    <n v="49638"/>
    <n v="49638"/>
    <n v="0"/>
    <x v="629"/>
    <s v="Cali"/>
  </r>
  <r>
    <d v="2021-10-30T00:00:00"/>
    <x v="10"/>
    <x v="38"/>
    <x v="38"/>
    <n v="3295003"/>
    <n v="3295003"/>
    <n v="0"/>
    <x v="629"/>
    <s v="Cali"/>
  </r>
  <r>
    <d v="2021-10-30T00:00:00"/>
    <x v="10"/>
    <x v="40"/>
    <x v="40"/>
    <n v="59710"/>
    <n v="59710"/>
    <n v="0"/>
    <x v="629"/>
    <s v="Cali"/>
  </r>
  <r>
    <d v="2021-10-30T00:00:00"/>
    <x v="10"/>
    <x v="40"/>
    <x v="40"/>
    <n v="19855"/>
    <n v="19855"/>
    <n v="0"/>
    <x v="629"/>
    <s v="Cali"/>
  </r>
  <r>
    <d v="2021-10-30T00:00:00"/>
    <x v="10"/>
    <x v="44"/>
    <x v="44"/>
    <n v="2196669"/>
    <n v="2196669"/>
    <n v="0"/>
    <x v="629"/>
    <s v="Cali"/>
  </r>
  <r>
    <d v="2021-10-30T00:00:00"/>
    <x v="10"/>
    <x v="45"/>
    <x v="45"/>
    <n v="1916007"/>
    <n v="1916007"/>
    <n v="0"/>
    <x v="629"/>
    <s v="Cali"/>
  </r>
  <r>
    <d v="2021-10-30T00:00:00"/>
    <x v="10"/>
    <x v="5"/>
    <x v="5"/>
    <n v="-412922"/>
    <n v="0"/>
    <n v="412922"/>
    <x v="629"/>
    <s v="Cali"/>
  </r>
  <r>
    <d v="2021-10-30T00:00:00"/>
    <x v="10"/>
    <x v="30"/>
    <x v="30"/>
    <n v="412922"/>
    <n v="412922"/>
    <n v="0"/>
    <x v="629"/>
    <s v="Cali"/>
  </r>
  <r>
    <m/>
    <x v="1"/>
    <x v="23"/>
    <x v="23"/>
    <m/>
    <m/>
    <m/>
    <x v="1"/>
    <m/>
  </r>
  <r>
    <d v="2021-10-30T00:00:00"/>
    <x v="10"/>
    <x v="13"/>
    <x v="13"/>
    <n v="30000"/>
    <n v="30000"/>
    <n v="0"/>
    <x v="465"/>
    <s v="Cali"/>
  </r>
  <r>
    <d v="2021-10-30T00:00:00"/>
    <x v="10"/>
    <x v="13"/>
    <x v="13"/>
    <n v="30000"/>
    <n v="30000"/>
    <n v="0"/>
    <x v="405"/>
    <s v="Cali"/>
  </r>
  <r>
    <d v="2021-10-30T00:00:00"/>
    <x v="10"/>
    <x v="13"/>
    <x v="13"/>
    <n v="20000"/>
    <n v="20000"/>
    <n v="0"/>
    <x v="299"/>
    <s v="Cali"/>
  </r>
  <r>
    <d v="2021-10-30T00:00:00"/>
    <x v="10"/>
    <x v="13"/>
    <x v="13"/>
    <n v="50000"/>
    <n v="50000"/>
    <n v="0"/>
    <x v="220"/>
    <s v="Cali"/>
  </r>
  <r>
    <d v="2021-10-30T00:00:00"/>
    <x v="10"/>
    <x v="13"/>
    <x v="13"/>
    <n v="-47291"/>
    <n v="0"/>
    <n v="47291"/>
    <x v="630"/>
    <s v="Cali"/>
  </r>
  <r>
    <d v="2021-10-30T00:00:00"/>
    <x v="10"/>
    <x v="13"/>
    <x v="13"/>
    <n v="30000"/>
    <n v="30000"/>
    <n v="0"/>
    <x v="221"/>
    <s v="Cali"/>
  </r>
  <r>
    <d v="2021-10-30T00:00:00"/>
    <x v="10"/>
    <x v="13"/>
    <x v="13"/>
    <n v="8500"/>
    <n v="8500"/>
    <n v="0"/>
    <x v="631"/>
    <s v="Cali"/>
  </r>
  <r>
    <d v="2021-10-30T00:00:00"/>
    <x v="10"/>
    <x v="13"/>
    <x v="13"/>
    <n v="21000"/>
    <n v="21000"/>
    <n v="0"/>
    <x v="545"/>
    <s v="Cali"/>
  </r>
  <r>
    <d v="2021-10-30T00:00:00"/>
    <x v="10"/>
    <x v="13"/>
    <x v="13"/>
    <n v="15000"/>
    <n v="15000"/>
    <n v="0"/>
    <x v="301"/>
    <s v="Cali"/>
  </r>
  <r>
    <d v="2021-10-30T00:00:00"/>
    <x v="10"/>
    <x v="13"/>
    <x v="13"/>
    <n v="95000"/>
    <n v="95000"/>
    <n v="0"/>
    <x v="407"/>
    <s v="Cali"/>
  </r>
  <r>
    <d v="2021-10-30T00:00:00"/>
    <x v="10"/>
    <x v="13"/>
    <x v="13"/>
    <n v="30000"/>
    <n v="30000"/>
    <n v="0"/>
    <x v="304"/>
    <s v="Cali"/>
  </r>
  <r>
    <d v="2021-10-30T00:00:00"/>
    <x v="10"/>
    <x v="29"/>
    <x v="29"/>
    <n v="-30000"/>
    <n v="0"/>
    <n v="30000"/>
    <x v="465"/>
    <s v="Cali"/>
  </r>
  <r>
    <d v="2021-10-30T00:00:00"/>
    <x v="10"/>
    <x v="26"/>
    <x v="26"/>
    <n v="-30000"/>
    <n v="0"/>
    <n v="30000"/>
    <x v="405"/>
    <s v="Cali"/>
  </r>
  <r>
    <d v="2021-10-30T00:00:00"/>
    <x v="10"/>
    <x v="26"/>
    <x v="26"/>
    <n v="-20000"/>
    <n v="0"/>
    <n v="20000"/>
    <x v="299"/>
    <s v="Cali"/>
  </r>
  <r>
    <d v="2021-10-30T00:00:00"/>
    <x v="10"/>
    <x v="25"/>
    <x v="25"/>
    <n v="-50000"/>
    <n v="0"/>
    <n v="50000"/>
    <x v="220"/>
    <s v="Cali"/>
  </r>
  <r>
    <d v="2021-10-30T00:00:00"/>
    <x v="10"/>
    <x v="17"/>
    <x v="17"/>
    <n v="47291"/>
    <n v="47291"/>
    <n v="0"/>
    <x v="630"/>
    <s v="Cali"/>
  </r>
  <r>
    <d v="2021-10-30T00:00:00"/>
    <x v="10"/>
    <x v="25"/>
    <x v="25"/>
    <n v="-30000"/>
    <n v="0"/>
    <n v="30000"/>
    <x v="221"/>
    <s v="Cali"/>
  </r>
  <r>
    <d v="2021-10-30T00:00:00"/>
    <x v="10"/>
    <x v="25"/>
    <x v="25"/>
    <n v="-8500"/>
    <n v="0"/>
    <n v="8500"/>
    <x v="631"/>
    <s v="Cali"/>
  </r>
  <r>
    <d v="2021-10-30T00:00:00"/>
    <x v="10"/>
    <x v="27"/>
    <x v="27"/>
    <n v="-21000"/>
    <n v="0"/>
    <n v="21000"/>
    <x v="545"/>
    <s v="Cali"/>
  </r>
  <r>
    <d v="2021-10-30T00:00:00"/>
    <x v="10"/>
    <x v="25"/>
    <x v="25"/>
    <n v="-15000"/>
    <n v="0"/>
    <n v="15000"/>
    <x v="301"/>
    <s v="Cali"/>
  </r>
  <r>
    <d v="2021-10-30T00:00:00"/>
    <x v="10"/>
    <x v="25"/>
    <x v="25"/>
    <n v="-95000"/>
    <n v="0"/>
    <n v="95000"/>
    <x v="407"/>
    <s v="Cali"/>
  </r>
  <r>
    <d v="2021-10-30T00:00:00"/>
    <x v="10"/>
    <x v="25"/>
    <x v="25"/>
    <n v="-30000"/>
    <n v="0"/>
    <n v="30000"/>
    <x v="304"/>
    <s v="Cali"/>
  </r>
  <r>
    <m/>
    <x v="1"/>
    <x v="23"/>
    <x v="23"/>
    <m/>
    <m/>
    <m/>
    <x v="1"/>
    <m/>
  </r>
  <r>
    <d v="2021-10-30T00:00:00"/>
    <x v="10"/>
    <x v="4"/>
    <x v="4"/>
    <n v="80000"/>
    <n v="80000"/>
    <n v="0"/>
    <x v="632"/>
    <s v="Cali"/>
  </r>
  <r>
    <d v="2021-10-30T00:00:00"/>
    <x v="10"/>
    <x v="29"/>
    <x v="29"/>
    <n v="-80000"/>
    <n v="0"/>
    <n v="80000"/>
    <x v="632"/>
    <s v="Cali"/>
  </r>
  <r>
    <m/>
    <x v="1"/>
    <x v="23"/>
    <x v="23"/>
    <m/>
    <m/>
    <m/>
    <x v="1"/>
    <m/>
  </r>
  <r>
    <d v="2021-10-30T00:00:00"/>
    <x v="10"/>
    <x v="4"/>
    <x v="4"/>
    <n v="65000"/>
    <n v="65000"/>
    <n v="0"/>
    <x v="632"/>
    <s v="Cali"/>
  </r>
  <r>
    <d v="2021-10-30T00:00:00"/>
    <x v="10"/>
    <x v="29"/>
    <x v="29"/>
    <n v="-65000"/>
    <n v="0"/>
    <n v="65000"/>
    <x v="632"/>
    <s v="Cali"/>
  </r>
  <r>
    <m/>
    <x v="1"/>
    <x v="23"/>
    <x v="23"/>
    <m/>
    <m/>
    <m/>
    <x v="1"/>
    <m/>
  </r>
  <r>
    <d v="2021-10-30T00:00:00"/>
    <x v="10"/>
    <x v="4"/>
    <x v="4"/>
    <n v="20000"/>
    <n v="20000"/>
    <n v="0"/>
    <x v="632"/>
    <s v="Cali"/>
  </r>
  <r>
    <d v="2021-10-30T00:00:00"/>
    <x v="10"/>
    <x v="29"/>
    <x v="29"/>
    <n v="-20000"/>
    <n v="0"/>
    <n v="20000"/>
    <x v="632"/>
    <s v="Cali"/>
  </r>
  <r>
    <m/>
    <x v="1"/>
    <x v="23"/>
    <x v="23"/>
    <m/>
    <m/>
    <m/>
    <x v="1"/>
    <m/>
  </r>
  <r>
    <d v="2021-10-30T00:00:00"/>
    <x v="10"/>
    <x v="46"/>
    <x v="46"/>
    <n v="0"/>
    <n v="0"/>
    <n v="0"/>
    <x v="110"/>
    <s v="Cali"/>
  </r>
  <r>
    <d v="2021-10-30T00:00:00"/>
    <x v="10"/>
    <x v="47"/>
    <x v="47"/>
    <n v="0"/>
    <n v="0"/>
    <n v="0"/>
    <x v="110"/>
    <s v="Cali"/>
  </r>
  <r>
    <m/>
    <x v="1"/>
    <x v="23"/>
    <x v="23"/>
    <m/>
    <m/>
    <m/>
    <x v="1"/>
    <m/>
  </r>
  <r>
    <d v="2021-10-30T00:00:00"/>
    <x v="10"/>
    <x v="2"/>
    <x v="2"/>
    <n v="0"/>
    <n v="0"/>
    <n v="0"/>
    <x v="111"/>
    <s v="Cali"/>
  </r>
  <r>
    <d v="2021-10-30T00:00:00"/>
    <x v="10"/>
    <x v="47"/>
    <x v="47"/>
    <n v="0"/>
    <n v="0"/>
    <n v="0"/>
    <x v="111"/>
    <s v="Cali"/>
  </r>
  <r>
    <m/>
    <x v="1"/>
    <x v="23"/>
    <x v="23"/>
    <m/>
    <m/>
    <m/>
    <x v="1"/>
    <m/>
  </r>
  <r>
    <d v="2021-10-30T00:00:00"/>
    <x v="10"/>
    <x v="3"/>
    <x v="3"/>
    <n v="0"/>
    <n v="0"/>
    <n v="0"/>
    <x v="112"/>
    <s v="Cali"/>
  </r>
  <r>
    <d v="2021-10-30T00:00:00"/>
    <x v="10"/>
    <x v="47"/>
    <x v="47"/>
    <n v="0"/>
    <n v="0"/>
    <n v="0"/>
    <x v="112"/>
    <s v="Cali"/>
  </r>
  <r>
    <m/>
    <x v="1"/>
    <x v="23"/>
    <x v="23"/>
    <m/>
    <m/>
    <m/>
    <x v="1"/>
    <m/>
  </r>
  <r>
    <d v="2021-10-30T00:00:00"/>
    <x v="10"/>
    <x v="53"/>
    <x v="53"/>
    <n v="560000"/>
    <n v="560000"/>
    <n v="0"/>
    <x v="305"/>
    <s v="Cali"/>
  </r>
  <r>
    <d v="2021-10-30T00:00:00"/>
    <x v="10"/>
    <x v="47"/>
    <x v="47"/>
    <n v="-560000"/>
    <n v="0"/>
    <n v="560000"/>
    <x v="305"/>
    <s v="Cali"/>
  </r>
  <r>
    <m/>
    <x v="1"/>
    <x v="23"/>
    <x v="23"/>
    <m/>
    <m/>
    <m/>
    <x v="1"/>
    <m/>
  </r>
  <r>
    <d v="2021-10-30T00:00:00"/>
    <x v="10"/>
    <x v="31"/>
    <x v="31"/>
    <n v="338983"/>
    <n v="338983"/>
    <n v="0"/>
    <x v="633"/>
    <s v="Cali"/>
  </r>
  <r>
    <d v="2021-10-30T00:00:00"/>
    <x v="10"/>
    <x v="17"/>
    <x v="17"/>
    <n v="-38983"/>
    <n v="0"/>
    <n v="38983"/>
    <x v="633"/>
    <s v="Cali"/>
  </r>
  <r>
    <d v="2021-10-30T00:00:00"/>
    <x v="10"/>
    <x v="52"/>
    <x v="52"/>
    <n v="-300000"/>
    <n v="0"/>
    <n v="300000"/>
    <x v="633"/>
    <s v="Cali"/>
  </r>
  <r>
    <m/>
    <x v="1"/>
    <x v="23"/>
    <x v="23"/>
    <m/>
    <m/>
    <m/>
    <x v="1"/>
    <m/>
  </r>
  <r>
    <d v="2021-11-02T00:00:00"/>
    <x v="11"/>
    <x v="0"/>
    <x v="0"/>
    <n v="50000"/>
    <n v="50000"/>
    <n v="0"/>
    <x v="135"/>
    <s v="Cali"/>
  </r>
  <r>
    <d v="2021-11-02T00:00:00"/>
    <x v="11"/>
    <x v="26"/>
    <x v="26"/>
    <n v="-50000"/>
    <n v="0"/>
    <n v="50000"/>
    <x v="135"/>
    <s v="Cali"/>
  </r>
  <r>
    <m/>
    <x v="1"/>
    <x v="23"/>
    <x v="23"/>
    <m/>
    <m/>
    <m/>
    <x v="1"/>
    <m/>
  </r>
  <r>
    <d v="2021-11-02T00:00:00"/>
    <x v="11"/>
    <x v="0"/>
    <x v="0"/>
    <n v="20000"/>
    <n v="20000"/>
    <n v="0"/>
    <x v="174"/>
    <s v="Cali"/>
  </r>
  <r>
    <d v="2021-11-02T00:00:00"/>
    <x v="11"/>
    <x v="25"/>
    <x v="25"/>
    <n v="-20000"/>
    <n v="0"/>
    <n v="20000"/>
    <x v="174"/>
    <s v="Cali"/>
  </r>
  <r>
    <m/>
    <x v="1"/>
    <x v="23"/>
    <x v="23"/>
    <m/>
    <m/>
    <m/>
    <x v="1"/>
    <m/>
  </r>
  <r>
    <d v="2021-11-02T00:00:00"/>
    <x v="11"/>
    <x v="0"/>
    <x v="0"/>
    <n v="100000"/>
    <n v="100000"/>
    <n v="0"/>
    <x v="134"/>
    <s v="Cali"/>
  </r>
  <r>
    <d v="2021-11-02T00:00:00"/>
    <x v="11"/>
    <x v="26"/>
    <x v="26"/>
    <n v="-100000"/>
    <n v="0"/>
    <n v="100000"/>
    <x v="134"/>
    <s v="Cali"/>
  </r>
  <r>
    <m/>
    <x v="1"/>
    <x v="23"/>
    <x v="23"/>
    <m/>
    <m/>
    <m/>
    <x v="1"/>
    <m/>
  </r>
  <r>
    <d v="2021-11-02T00:00:00"/>
    <x v="11"/>
    <x v="0"/>
    <x v="0"/>
    <n v="40000"/>
    <n v="40000"/>
    <n v="0"/>
    <x v="133"/>
    <s v="Cali"/>
  </r>
  <r>
    <d v="2021-11-02T00:00:00"/>
    <x v="11"/>
    <x v="25"/>
    <x v="25"/>
    <n v="-40000"/>
    <n v="0"/>
    <n v="40000"/>
    <x v="133"/>
    <s v="Cali"/>
  </r>
  <r>
    <m/>
    <x v="1"/>
    <x v="23"/>
    <x v="23"/>
    <m/>
    <m/>
    <m/>
    <x v="1"/>
    <m/>
  </r>
  <r>
    <d v="2021-11-02T00:00:00"/>
    <x v="11"/>
    <x v="0"/>
    <x v="0"/>
    <n v="15000"/>
    <n v="15000"/>
    <n v="0"/>
    <x v="137"/>
    <s v="Cali"/>
  </r>
  <r>
    <d v="2021-11-02T00:00:00"/>
    <x v="11"/>
    <x v="26"/>
    <x v="26"/>
    <n v="-15000"/>
    <n v="0"/>
    <n v="15000"/>
    <x v="137"/>
    <s v="Cali"/>
  </r>
  <r>
    <m/>
    <x v="1"/>
    <x v="23"/>
    <x v="23"/>
    <m/>
    <m/>
    <m/>
    <x v="1"/>
    <m/>
  </r>
  <r>
    <d v="2021-11-02T00:00:00"/>
    <x v="11"/>
    <x v="0"/>
    <x v="0"/>
    <n v="2000"/>
    <n v="2000"/>
    <n v="0"/>
    <x v="177"/>
    <s v="Cali"/>
  </r>
  <r>
    <d v="2021-11-02T00:00:00"/>
    <x v="11"/>
    <x v="19"/>
    <x v="19"/>
    <n v="-2000"/>
    <n v="0"/>
    <n v="2000"/>
    <x v="177"/>
    <s v="Cali"/>
  </r>
  <r>
    <m/>
    <x v="1"/>
    <x v="23"/>
    <x v="23"/>
    <m/>
    <m/>
    <m/>
    <x v="1"/>
    <m/>
  </r>
  <r>
    <d v="2021-11-02T00:00:00"/>
    <x v="11"/>
    <x v="0"/>
    <x v="0"/>
    <n v="50000"/>
    <n v="50000"/>
    <n v="0"/>
    <x v="634"/>
    <s v="Cali"/>
  </r>
  <r>
    <d v="2021-11-02T00:00:00"/>
    <x v="11"/>
    <x v="26"/>
    <x v="26"/>
    <n v="-50000"/>
    <n v="0"/>
    <n v="50000"/>
    <x v="634"/>
    <s v="Cali"/>
  </r>
  <r>
    <m/>
    <x v="1"/>
    <x v="23"/>
    <x v="23"/>
    <m/>
    <m/>
    <m/>
    <x v="1"/>
    <m/>
  </r>
  <r>
    <d v="2021-11-02T00:00:00"/>
    <x v="11"/>
    <x v="0"/>
    <x v="0"/>
    <n v="48000"/>
    <n v="48000"/>
    <n v="0"/>
    <x v="144"/>
    <s v="Cali"/>
  </r>
  <r>
    <d v="2021-11-02T00:00:00"/>
    <x v="11"/>
    <x v="27"/>
    <x v="27"/>
    <n v="-48000"/>
    <n v="0"/>
    <n v="48000"/>
    <x v="144"/>
    <s v="Cali"/>
  </r>
  <r>
    <m/>
    <x v="1"/>
    <x v="23"/>
    <x v="23"/>
    <m/>
    <m/>
    <m/>
    <x v="1"/>
    <m/>
  </r>
  <r>
    <d v="2021-11-02T00:00:00"/>
    <x v="11"/>
    <x v="0"/>
    <x v="0"/>
    <n v="40000"/>
    <n v="40000"/>
    <n v="0"/>
    <x v="145"/>
    <s v="Cali"/>
  </r>
  <r>
    <d v="2021-11-02T00:00:00"/>
    <x v="11"/>
    <x v="25"/>
    <x v="25"/>
    <n v="-40000"/>
    <n v="0"/>
    <n v="40000"/>
    <x v="145"/>
    <s v="Cali"/>
  </r>
  <r>
    <m/>
    <x v="1"/>
    <x v="23"/>
    <x v="23"/>
    <m/>
    <m/>
    <m/>
    <x v="1"/>
    <m/>
  </r>
  <r>
    <d v="2021-11-02T00:00:00"/>
    <x v="11"/>
    <x v="0"/>
    <x v="0"/>
    <n v="15000"/>
    <n v="15000"/>
    <n v="0"/>
    <x v="415"/>
    <s v="Cali"/>
  </r>
  <r>
    <d v="2021-11-02T00:00:00"/>
    <x v="11"/>
    <x v="25"/>
    <x v="25"/>
    <n v="-15000"/>
    <n v="0"/>
    <n v="15000"/>
    <x v="415"/>
    <s v="Cali"/>
  </r>
  <r>
    <m/>
    <x v="1"/>
    <x v="23"/>
    <x v="23"/>
    <m/>
    <m/>
    <m/>
    <x v="1"/>
    <m/>
  </r>
  <r>
    <d v="2021-11-02T00:00:00"/>
    <x v="11"/>
    <x v="0"/>
    <x v="0"/>
    <n v="15000"/>
    <n v="15000"/>
    <n v="0"/>
    <x v="364"/>
    <s v="Cali"/>
  </r>
  <r>
    <d v="2021-11-02T00:00:00"/>
    <x v="11"/>
    <x v="25"/>
    <x v="25"/>
    <n v="-15000"/>
    <n v="0"/>
    <n v="15000"/>
    <x v="364"/>
    <s v="Cali"/>
  </r>
  <r>
    <m/>
    <x v="1"/>
    <x v="23"/>
    <x v="23"/>
    <m/>
    <m/>
    <m/>
    <x v="1"/>
    <m/>
  </r>
  <r>
    <d v="2021-11-02T00:00:00"/>
    <x v="11"/>
    <x v="0"/>
    <x v="0"/>
    <n v="70000"/>
    <n v="70000"/>
    <n v="0"/>
    <x v="515"/>
    <s v="Cali"/>
  </r>
  <r>
    <d v="2021-11-02T00:00:00"/>
    <x v="11"/>
    <x v="26"/>
    <x v="26"/>
    <n v="-70000"/>
    <n v="0"/>
    <n v="70000"/>
    <x v="515"/>
    <s v="Cali"/>
  </r>
  <r>
    <m/>
    <x v="1"/>
    <x v="23"/>
    <x v="23"/>
    <m/>
    <m/>
    <m/>
    <x v="1"/>
    <m/>
  </r>
  <r>
    <d v="2021-11-02T00:00:00"/>
    <x v="11"/>
    <x v="0"/>
    <x v="0"/>
    <n v="20000"/>
    <n v="20000"/>
    <n v="0"/>
    <x v="146"/>
    <s v="Cali"/>
  </r>
  <r>
    <d v="2021-11-02T00:00:00"/>
    <x v="11"/>
    <x v="26"/>
    <x v="26"/>
    <n v="-20000"/>
    <n v="0"/>
    <n v="20000"/>
    <x v="146"/>
    <s v="Cali"/>
  </r>
  <r>
    <m/>
    <x v="1"/>
    <x v="23"/>
    <x v="23"/>
    <m/>
    <m/>
    <m/>
    <x v="1"/>
    <m/>
  </r>
  <r>
    <d v="2021-11-02T00:00:00"/>
    <x v="11"/>
    <x v="0"/>
    <x v="0"/>
    <n v="20000"/>
    <n v="20000"/>
    <n v="0"/>
    <x v="17"/>
    <s v="Cali"/>
  </r>
  <r>
    <d v="2021-11-02T00:00:00"/>
    <x v="11"/>
    <x v="25"/>
    <x v="25"/>
    <n v="-20000"/>
    <n v="0"/>
    <n v="20000"/>
    <x v="17"/>
    <s v="Cali"/>
  </r>
  <r>
    <m/>
    <x v="1"/>
    <x v="23"/>
    <x v="23"/>
    <m/>
    <m/>
    <m/>
    <x v="1"/>
    <m/>
  </r>
  <r>
    <d v="2021-11-02T00:00:00"/>
    <x v="11"/>
    <x v="0"/>
    <x v="0"/>
    <n v="30000"/>
    <n v="30000"/>
    <n v="0"/>
    <x v="147"/>
    <s v="Cali"/>
  </r>
  <r>
    <d v="2021-11-02T00:00:00"/>
    <x v="11"/>
    <x v="26"/>
    <x v="26"/>
    <n v="-30000"/>
    <n v="0"/>
    <n v="30000"/>
    <x v="147"/>
    <s v="Cali"/>
  </r>
  <r>
    <m/>
    <x v="1"/>
    <x v="23"/>
    <x v="23"/>
    <m/>
    <m/>
    <m/>
    <x v="1"/>
    <m/>
  </r>
  <r>
    <d v="2021-11-02T00:00:00"/>
    <x v="11"/>
    <x v="0"/>
    <x v="0"/>
    <n v="40000"/>
    <n v="40000"/>
    <n v="0"/>
    <x v="168"/>
    <s v="Cali"/>
  </r>
  <r>
    <d v="2021-11-02T00:00:00"/>
    <x v="11"/>
    <x v="26"/>
    <x v="26"/>
    <n v="-40000"/>
    <n v="0"/>
    <n v="40000"/>
    <x v="168"/>
    <s v="Cali"/>
  </r>
  <r>
    <m/>
    <x v="1"/>
    <x v="23"/>
    <x v="23"/>
    <m/>
    <m/>
    <m/>
    <x v="1"/>
    <m/>
  </r>
  <r>
    <d v="2021-11-02T00:00:00"/>
    <x v="11"/>
    <x v="0"/>
    <x v="0"/>
    <n v="50000"/>
    <n v="50000"/>
    <n v="0"/>
    <x v="19"/>
    <s v="Cali"/>
  </r>
  <r>
    <d v="2021-11-02T00:00:00"/>
    <x v="11"/>
    <x v="25"/>
    <x v="25"/>
    <n v="-50000"/>
    <n v="0"/>
    <n v="50000"/>
    <x v="19"/>
    <s v="Cali"/>
  </r>
  <r>
    <m/>
    <x v="1"/>
    <x v="23"/>
    <x v="23"/>
    <m/>
    <m/>
    <m/>
    <x v="1"/>
    <m/>
  </r>
  <r>
    <d v="2021-11-02T00:00:00"/>
    <x v="11"/>
    <x v="0"/>
    <x v="0"/>
    <n v="15000"/>
    <n v="15000"/>
    <n v="0"/>
    <x v="148"/>
    <s v="Cali"/>
  </r>
  <r>
    <d v="2021-11-02T00:00:00"/>
    <x v="11"/>
    <x v="25"/>
    <x v="25"/>
    <n v="-15000"/>
    <n v="0"/>
    <n v="15000"/>
    <x v="148"/>
    <s v="Cali"/>
  </r>
  <r>
    <m/>
    <x v="1"/>
    <x v="23"/>
    <x v="23"/>
    <m/>
    <m/>
    <m/>
    <x v="1"/>
    <m/>
  </r>
  <r>
    <d v="2021-11-02T00:00:00"/>
    <x v="11"/>
    <x v="0"/>
    <x v="0"/>
    <n v="45000"/>
    <n v="45000"/>
    <n v="0"/>
    <x v="161"/>
    <s v="Cali"/>
  </r>
  <r>
    <d v="2021-11-02T00:00:00"/>
    <x v="11"/>
    <x v="26"/>
    <x v="26"/>
    <n v="-45000"/>
    <n v="0"/>
    <n v="45000"/>
    <x v="161"/>
    <s v="Cali"/>
  </r>
  <r>
    <m/>
    <x v="1"/>
    <x v="23"/>
    <x v="23"/>
    <m/>
    <m/>
    <m/>
    <x v="1"/>
    <m/>
  </r>
  <r>
    <d v="2021-11-02T00:00:00"/>
    <x v="11"/>
    <x v="0"/>
    <x v="0"/>
    <n v="160000"/>
    <n v="160000"/>
    <n v="0"/>
    <x v="22"/>
    <s v="Cali"/>
  </r>
  <r>
    <d v="2021-11-02T00:00:00"/>
    <x v="11"/>
    <x v="27"/>
    <x v="27"/>
    <n v="-160000"/>
    <n v="0"/>
    <n v="160000"/>
    <x v="22"/>
    <s v="Cali"/>
  </r>
  <r>
    <m/>
    <x v="1"/>
    <x v="23"/>
    <x v="23"/>
    <m/>
    <m/>
    <m/>
    <x v="1"/>
    <m/>
  </r>
  <r>
    <d v="2021-11-02T00:00:00"/>
    <x v="11"/>
    <x v="0"/>
    <x v="0"/>
    <n v="85000"/>
    <n v="85000"/>
    <n v="0"/>
    <x v="635"/>
    <s v="Cali"/>
  </r>
  <r>
    <d v="2021-11-02T00:00:00"/>
    <x v="11"/>
    <x v="26"/>
    <x v="26"/>
    <n v="-85000"/>
    <n v="0"/>
    <n v="85000"/>
    <x v="635"/>
    <s v="Cali"/>
  </r>
  <r>
    <m/>
    <x v="1"/>
    <x v="23"/>
    <x v="23"/>
    <m/>
    <m/>
    <m/>
    <x v="1"/>
    <m/>
  </r>
  <r>
    <d v="2021-11-02T00:00:00"/>
    <x v="11"/>
    <x v="0"/>
    <x v="0"/>
    <n v="12000"/>
    <n v="12000"/>
    <n v="0"/>
    <x v="175"/>
    <s v="Cali"/>
  </r>
  <r>
    <d v="2021-11-02T00:00:00"/>
    <x v="11"/>
    <x v="25"/>
    <x v="25"/>
    <n v="-12000"/>
    <n v="0"/>
    <n v="12000"/>
    <x v="175"/>
    <s v="Cali"/>
  </r>
  <r>
    <m/>
    <x v="1"/>
    <x v="23"/>
    <x v="23"/>
    <m/>
    <m/>
    <m/>
    <x v="1"/>
    <m/>
  </r>
  <r>
    <d v="2021-11-02T00:00:00"/>
    <x v="11"/>
    <x v="0"/>
    <x v="0"/>
    <n v="500000"/>
    <n v="500000"/>
    <n v="0"/>
    <x v="608"/>
    <s v="Cali"/>
  </r>
  <r>
    <d v="2021-11-02T00:00:00"/>
    <x v="11"/>
    <x v="26"/>
    <x v="26"/>
    <n v="-500000"/>
    <n v="0"/>
    <n v="500000"/>
    <x v="608"/>
    <s v="Cali"/>
  </r>
  <r>
    <m/>
    <x v="1"/>
    <x v="23"/>
    <x v="23"/>
    <m/>
    <m/>
    <m/>
    <x v="1"/>
    <m/>
  </r>
  <r>
    <d v="2021-11-02T00:00:00"/>
    <x v="11"/>
    <x v="0"/>
    <x v="0"/>
    <n v="20000"/>
    <n v="20000"/>
    <n v="0"/>
    <x v="205"/>
    <s v="Cali"/>
  </r>
  <r>
    <d v="2021-11-02T00:00:00"/>
    <x v="11"/>
    <x v="27"/>
    <x v="27"/>
    <n v="-20000"/>
    <n v="0"/>
    <n v="20000"/>
    <x v="205"/>
    <s v="Cali"/>
  </r>
  <r>
    <m/>
    <x v="1"/>
    <x v="23"/>
    <x v="23"/>
    <m/>
    <m/>
    <m/>
    <x v="1"/>
    <m/>
  </r>
  <r>
    <d v="2021-11-02T00:00:00"/>
    <x v="11"/>
    <x v="0"/>
    <x v="0"/>
    <n v="30000"/>
    <n v="30000"/>
    <n v="0"/>
    <x v="497"/>
    <s v="Cali"/>
  </r>
  <r>
    <d v="2021-11-02T00:00:00"/>
    <x v="11"/>
    <x v="25"/>
    <x v="25"/>
    <n v="-30000"/>
    <n v="0"/>
    <n v="30000"/>
    <x v="497"/>
    <s v="Cali"/>
  </r>
  <r>
    <m/>
    <x v="1"/>
    <x v="23"/>
    <x v="23"/>
    <m/>
    <m/>
    <m/>
    <x v="1"/>
    <m/>
  </r>
  <r>
    <d v="2021-11-02T00:00:00"/>
    <x v="11"/>
    <x v="0"/>
    <x v="0"/>
    <n v="10000"/>
    <n v="10000"/>
    <n v="0"/>
    <x v="142"/>
    <s v="Cali"/>
  </r>
  <r>
    <d v="2021-11-02T00:00:00"/>
    <x v="11"/>
    <x v="25"/>
    <x v="25"/>
    <n v="-10000"/>
    <n v="0"/>
    <n v="10000"/>
    <x v="142"/>
    <s v="Cali"/>
  </r>
  <r>
    <m/>
    <x v="1"/>
    <x v="23"/>
    <x v="23"/>
    <m/>
    <m/>
    <m/>
    <x v="1"/>
    <m/>
  </r>
  <r>
    <d v="2021-11-02T00:00:00"/>
    <x v="11"/>
    <x v="0"/>
    <x v="0"/>
    <n v="50000"/>
    <n v="50000"/>
    <n v="0"/>
    <x v="143"/>
    <s v="Cali"/>
  </r>
  <r>
    <d v="2021-11-02T00:00:00"/>
    <x v="11"/>
    <x v="25"/>
    <x v="25"/>
    <n v="-50000"/>
    <n v="0"/>
    <n v="50000"/>
    <x v="143"/>
    <s v="Cali"/>
  </r>
  <r>
    <m/>
    <x v="1"/>
    <x v="23"/>
    <x v="23"/>
    <m/>
    <m/>
    <m/>
    <x v="1"/>
    <m/>
  </r>
  <r>
    <d v="2021-11-02T00:00:00"/>
    <x v="11"/>
    <x v="0"/>
    <x v="0"/>
    <n v="14000"/>
    <n v="14000"/>
    <n v="0"/>
    <x v="289"/>
    <s v="Cali"/>
  </r>
  <r>
    <d v="2021-11-02T00:00:00"/>
    <x v="11"/>
    <x v="26"/>
    <x v="26"/>
    <n v="-14000"/>
    <n v="0"/>
    <n v="14000"/>
    <x v="289"/>
    <s v="Cali"/>
  </r>
  <r>
    <m/>
    <x v="1"/>
    <x v="23"/>
    <x v="23"/>
    <m/>
    <m/>
    <m/>
    <x v="1"/>
    <m/>
  </r>
  <r>
    <d v="2021-11-02T00:00:00"/>
    <x v="11"/>
    <x v="0"/>
    <x v="0"/>
    <n v="30000"/>
    <n v="30000"/>
    <n v="0"/>
    <x v="197"/>
    <s v="Cali"/>
  </r>
  <r>
    <d v="2021-11-02T00:00:00"/>
    <x v="11"/>
    <x v="26"/>
    <x v="26"/>
    <n v="-30000"/>
    <n v="0"/>
    <n v="30000"/>
    <x v="197"/>
    <s v="Cali"/>
  </r>
  <r>
    <m/>
    <x v="1"/>
    <x v="23"/>
    <x v="23"/>
    <m/>
    <m/>
    <m/>
    <x v="1"/>
    <m/>
  </r>
  <r>
    <d v="2021-11-02T00:00:00"/>
    <x v="11"/>
    <x v="0"/>
    <x v="0"/>
    <n v="20000"/>
    <n v="20000"/>
    <n v="0"/>
    <x v="636"/>
    <s v="Cali"/>
  </r>
  <r>
    <d v="2021-11-02T00:00:00"/>
    <x v="11"/>
    <x v="4"/>
    <x v="4"/>
    <n v="-20000"/>
    <n v="0"/>
    <n v="20000"/>
    <x v="636"/>
    <s v="Cali"/>
  </r>
  <r>
    <m/>
    <x v="1"/>
    <x v="23"/>
    <x v="23"/>
    <m/>
    <m/>
    <m/>
    <x v="1"/>
    <m/>
  </r>
  <r>
    <d v="2021-11-02T00:00:00"/>
    <x v="11"/>
    <x v="0"/>
    <x v="0"/>
    <n v="65000"/>
    <n v="65000"/>
    <n v="0"/>
    <x v="636"/>
    <s v="Cali"/>
  </r>
  <r>
    <d v="2021-11-02T00:00:00"/>
    <x v="11"/>
    <x v="4"/>
    <x v="4"/>
    <n v="-65000"/>
    <n v="0"/>
    <n v="65000"/>
    <x v="636"/>
    <s v="Cali"/>
  </r>
  <r>
    <m/>
    <x v="1"/>
    <x v="23"/>
    <x v="23"/>
    <m/>
    <m/>
    <m/>
    <x v="1"/>
    <m/>
  </r>
  <r>
    <d v="2021-11-02T00:00:00"/>
    <x v="11"/>
    <x v="0"/>
    <x v="0"/>
    <n v="80000"/>
    <n v="80000"/>
    <n v="0"/>
    <x v="636"/>
    <s v="Cali"/>
  </r>
  <r>
    <d v="2021-11-02T00:00:00"/>
    <x v="11"/>
    <x v="4"/>
    <x v="4"/>
    <n v="-80000"/>
    <n v="0"/>
    <n v="80000"/>
    <x v="636"/>
    <s v="Cali"/>
  </r>
  <r>
    <m/>
    <x v="1"/>
    <x v="23"/>
    <x v="23"/>
    <m/>
    <m/>
    <m/>
    <x v="1"/>
    <m/>
  </r>
  <r>
    <d v="2021-11-02T00:00:00"/>
    <x v="11"/>
    <x v="0"/>
    <x v="0"/>
    <n v="30000"/>
    <n v="30000"/>
    <n v="0"/>
    <x v="307"/>
    <s v="Cali"/>
  </r>
  <r>
    <d v="2021-11-02T00:00:00"/>
    <x v="11"/>
    <x v="25"/>
    <x v="25"/>
    <n v="-30000"/>
    <n v="0"/>
    <n v="30000"/>
    <x v="307"/>
    <s v="Cali"/>
  </r>
  <r>
    <m/>
    <x v="1"/>
    <x v="23"/>
    <x v="23"/>
    <m/>
    <m/>
    <m/>
    <x v="1"/>
    <m/>
  </r>
  <r>
    <d v="2021-11-02T00:00:00"/>
    <x v="11"/>
    <x v="0"/>
    <x v="0"/>
    <n v="20000"/>
    <n v="20000"/>
    <n v="0"/>
    <x v="246"/>
    <s v="Cali"/>
  </r>
  <r>
    <d v="2021-11-02T00:00:00"/>
    <x v="11"/>
    <x v="25"/>
    <x v="25"/>
    <n v="-20000"/>
    <n v="0"/>
    <n v="20000"/>
    <x v="246"/>
    <s v="Cali"/>
  </r>
  <r>
    <m/>
    <x v="1"/>
    <x v="23"/>
    <x v="23"/>
    <m/>
    <m/>
    <m/>
    <x v="1"/>
    <m/>
  </r>
  <r>
    <d v="2021-11-03T00:00:00"/>
    <x v="11"/>
    <x v="0"/>
    <x v="0"/>
    <n v="100000"/>
    <n v="100000"/>
    <n v="0"/>
    <x v="374"/>
    <s v="Cali"/>
  </r>
  <r>
    <d v="2021-11-03T00:00:00"/>
    <x v="11"/>
    <x v="26"/>
    <x v="26"/>
    <n v="-100000"/>
    <n v="0"/>
    <n v="100000"/>
    <x v="374"/>
    <s v="Cali"/>
  </r>
  <r>
    <m/>
    <x v="1"/>
    <x v="23"/>
    <x v="23"/>
    <m/>
    <m/>
    <m/>
    <x v="1"/>
    <m/>
  </r>
  <r>
    <d v="2021-11-03T00:00:00"/>
    <x v="11"/>
    <x v="0"/>
    <x v="0"/>
    <n v="25000"/>
    <n v="25000"/>
    <n v="0"/>
    <x v="321"/>
    <s v="Cali"/>
  </r>
  <r>
    <d v="2021-11-03T00:00:00"/>
    <x v="11"/>
    <x v="27"/>
    <x v="27"/>
    <n v="-25000"/>
    <n v="0"/>
    <n v="25000"/>
    <x v="321"/>
    <s v="Cali"/>
  </r>
  <r>
    <m/>
    <x v="1"/>
    <x v="23"/>
    <x v="23"/>
    <m/>
    <m/>
    <m/>
    <x v="1"/>
    <m/>
  </r>
  <r>
    <d v="2021-11-03T00:00:00"/>
    <x v="11"/>
    <x v="0"/>
    <x v="0"/>
    <n v="50000"/>
    <n v="50000"/>
    <n v="0"/>
    <x v="599"/>
    <s v="Cali"/>
  </r>
  <r>
    <d v="2021-11-03T00:00:00"/>
    <x v="11"/>
    <x v="26"/>
    <x v="26"/>
    <n v="-50000"/>
    <n v="0"/>
    <n v="50000"/>
    <x v="599"/>
    <s v="Cali"/>
  </r>
  <r>
    <m/>
    <x v="1"/>
    <x v="23"/>
    <x v="23"/>
    <m/>
    <m/>
    <m/>
    <x v="1"/>
    <m/>
  </r>
  <r>
    <d v="2021-11-03T00:00:00"/>
    <x v="11"/>
    <x v="0"/>
    <x v="0"/>
    <n v="60000"/>
    <n v="60000"/>
    <n v="0"/>
    <x v="372"/>
    <s v="Cali"/>
  </r>
  <r>
    <d v="2021-11-03T00:00:00"/>
    <x v="11"/>
    <x v="25"/>
    <x v="25"/>
    <n v="-60000"/>
    <n v="0"/>
    <n v="60000"/>
    <x v="372"/>
    <s v="Cali"/>
  </r>
  <r>
    <m/>
    <x v="1"/>
    <x v="23"/>
    <x v="23"/>
    <m/>
    <m/>
    <m/>
    <x v="1"/>
    <m/>
  </r>
  <r>
    <d v="2021-11-03T00:00:00"/>
    <x v="11"/>
    <x v="0"/>
    <x v="0"/>
    <n v="12000"/>
    <n v="12000"/>
    <n v="0"/>
    <x v="310"/>
    <s v="Cali"/>
  </r>
  <r>
    <d v="2021-11-03T00:00:00"/>
    <x v="11"/>
    <x v="25"/>
    <x v="25"/>
    <n v="-12000"/>
    <n v="0"/>
    <n v="12000"/>
    <x v="310"/>
    <s v="Cali"/>
  </r>
  <r>
    <m/>
    <x v="1"/>
    <x v="23"/>
    <x v="23"/>
    <m/>
    <m/>
    <m/>
    <x v="1"/>
    <m/>
  </r>
  <r>
    <d v="2021-11-03T00:00:00"/>
    <x v="11"/>
    <x v="0"/>
    <x v="0"/>
    <n v="30000"/>
    <n v="30000"/>
    <n v="0"/>
    <x v="164"/>
    <s v="Cali"/>
  </r>
  <r>
    <d v="2021-11-03T00:00:00"/>
    <x v="11"/>
    <x v="26"/>
    <x v="26"/>
    <n v="-30000"/>
    <n v="0"/>
    <n v="30000"/>
    <x v="164"/>
    <s v="Cali"/>
  </r>
  <r>
    <m/>
    <x v="1"/>
    <x v="23"/>
    <x v="23"/>
    <m/>
    <m/>
    <m/>
    <x v="1"/>
    <m/>
  </r>
  <r>
    <d v="2021-11-03T00:00:00"/>
    <x v="11"/>
    <x v="0"/>
    <x v="0"/>
    <n v="70000"/>
    <n v="70000"/>
    <n v="0"/>
    <x v="37"/>
    <s v="Cali"/>
  </r>
  <r>
    <d v="2021-11-03T00:00:00"/>
    <x v="11"/>
    <x v="25"/>
    <x v="25"/>
    <n v="-70000"/>
    <n v="0"/>
    <n v="70000"/>
    <x v="37"/>
    <s v="Cali"/>
  </r>
  <r>
    <m/>
    <x v="1"/>
    <x v="23"/>
    <x v="23"/>
    <m/>
    <m/>
    <m/>
    <x v="1"/>
    <m/>
  </r>
  <r>
    <d v="2021-11-03T00:00:00"/>
    <x v="11"/>
    <x v="0"/>
    <x v="0"/>
    <n v="36000"/>
    <n v="36000"/>
    <n v="0"/>
    <x v="637"/>
    <s v="Cali"/>
  </r>
  <r>
    <d v="2021-11-03T00:00:00"/>
    <x v="11"/>
    <x v="27"/>
    <x v="27"/>
    <n v="-36000"/>
    <n v="0"/>
    <n v="36000"/>
    <x v="637"/>
    <s v="Cali"/>
  </r>
  <r>
    <m/>
    <x v="1"/>
    <x v="23"/>
    <x v="23"/>
    <m/>
    <m/>
    <m/>
    <x v="1"/>
    <m/>
  </r>
  <r>
    <d v="2021-11-03T00:00:00"/>
    <x v="11"/>
    <x v="0"/>
    <x v="0"/>
    <n v="50000"/>
    <n v="50000"/>
    <n v="0"/>
    <x v="163"/>
    <s v="Cali"/>
  </r>
  <r>
    <d v="2021-11-03T00:00:00"/>
    <x v="11"/>
    <x v="25"/>
    <x v="25"/>
    <n v="-50000"/>
    <n v="0"/>
    <n v="50000"/>
    <x v="163"/>
    <s v="Cali"/>
  </r>
  <r>
    <m/>
    <x v="1"/>
    <x v="23"/>
    <x v="23"/>
    <m/>
    <m/>
    <m/>
    <x v="1"/>
    <m/>
  </r>
  <r>
    <d v="2021-11-03T00:00:00"/>
    <x v="11"/>
    <x v="0"/>
    <x v="0"/>
    <n v="30000"/>
    <n v="30000"/>
    <n v="0"/>
    <x v="638"/>
    <s v="Cali"/>
  </r>
  <r>
    <d v="2021-11-03T00:00:00"/>
    <x v="11"/>
    <x v="25"/>
    <x v="25"/>
    <n v="-30000"/>
    <n v="0"/>
    <n v="30000"/>
    <x v="638"/>
    <s v="Cali"/>
  </r>
  <r>
    <m/>
    <x v="1"/>
    <x v="23"/>
    <x v="23"/>
    <m/>
    <m/>
    <m/>
    <x v="1"/>
    <m/>
  </r>
  <r>
    <d v="2021-11-03T00:00:00"/>
    <x v="11"/>
    <x v="0"/>
    <x v="0"/>
    <n v="30000"/>
    <n v="30000"/>
    <n v="0"/>
    <x v="514"/>
    <s v="Cali"/>
  </r>
  <r>
    <d v="2021-11-03T00:00:00"/>
    <x v="11"/>
    <x v="25"/>
    <x v="25"/>
    <n v="-30000"/>
    <n v="0"/>
    <n v="30000"/>
    <x v="514"/>
    <s v="Cali"/>
  </r>
  <r>
    <m/>
    <x v="1"/>
    <x v="23"/>
    <x v="23"/>
    <m/>
    <m/>
    <m/>
    <x v="1"/>
    <m/>
  </r>
  <r>
    <d v="2021-11-04T00:00:00"/>
    <x v="11"/>
    <x v="0"/>
    <x v="0"/>
    <n v="25000"/>
    <n v="25000"/>
    <n v="0"/>
    <x v="38"/>
    <s v="Cali"/>
  </r>
  <r>
    <d v="2021-11-04T00:00:00"/>
    <x v="11"/>
    <x v="25"/>
    <x v="25"/>
    <n v="-25000"/>
    <n v="0"/>
    <n v="25000"/>
    <x v="38"/>
    <s v="Cali"/>
  </r>
  <r>
    <m/>
    <x v="1"/>
    <x v="23"/>
    <x v="23"/>
    <m/>
    <m/>
    <m/>
    <x v="1"/>
    <m/>
  </r>
  <r>
    <d v="2021-11-04T00:00:00"/>
    <x v="11"/>
    <x v="0"/>
    <x v="0"/>
    <n v="15000"/>
    <n v="15000"/>
    <n v="0"/>
    <x v="150"/>
    <s v="Cali"/>
  </r>
  <r>
    <d v="2021-11-04T00:00:00"/>
    <x v="11"/>
    <x v="19"/>
    <x v="19"/>
    <n v="-15000"/>
    <n v="0"/>
    <n v="15000"/>
    <x v="150"/>
    <s v="Cali"/>
  </r>
  <r>
    <m/>
    <x v="1"/>
    <x v="23"/>
    <x v="23"/>
    <m/>
    <m/>
    <m/>
    <x v="1"/>
    <m/>
  </r>
  <r>
    <d v="2021-11-04T00:00:00"/>
    <x v="11"/>
    <x v="0"/>
    <x v="0"/>
    <n v="15000"/>
    <n v="15000"/>
    <n v="0"/>
    <x v="282"/>
    <s v="Cali"/>
  </r>
  <r>
    <d v="2021-11-04T00:00:00"/>
    <x v="11"/>
    <x v="25"/>
    <x v="25"/>
    <n v="-15000"/>
    <n v="0"/>
    <n v="15000"/>
    <x v="282"/>
    <s v="Cali"/>
  </r>
  <r>
    <m/>
    <x v="1"/>
    <x v="23"/>
    <x v="23"/>
    <m/>
    <m/>
    <m/>
    <x v="1"/>
    <m/>
  </r>
  <r>
    <d v="2021-11-04T00:00:00"/>
    <x v="11"/>
    <x v="0"/>
    <x v="0"/>
    <n v="60000"/>
    <n v="60000"/>
    <n v="0"/>
    <x v="160"/>
    <s v="Cali"/>
  </r>
  <r>
    <d v="2021-11-04T00:00:00"/>
    <x v="11"/>
    <x v="25"/>
    <x v="25"/>
    <n v="-60000"/>
    <n v="0"/>
    <n v="60000"/>
    <x v="160"/>
    <s v="Cali"/>
  </r>
  <r>
    <m/>
    <x v="1"/>
    <x v="23"/>
    <x v="23"/>
    <m/>
    <m/>
    <m/>
    <x v="1"/>
    <m/>
  </r>
  <r>
    <d v="2021-11-04T00:00:00"/>
    <x v="11"/>
    <x v="0"/>
    <x v="0"/>
    <n v="20000"/>
    <n v="20000"/>
    <n v="0"/>
    <x v="308"/>
    <s v="Cali"/>
  </r>
  <r>
    <d v="2021-11-04T00:00:00"/>
    <x v="11"/>
    <x v="25"/>
    <x v="25"/>
    <n v="-20000"/>
    <n v="0"/>
    <n v="20000"/>
    <x v="308"/>
    <s v="Cali"/>
  </r>
  <r>
    <m/>
    <x v="1"/>
    <x v="23"/>
    <x v="23"/>
    <m/>
    <m/>
    <m/>
    <x v="1"/>
    <m/>
  </r>
  <r>
    <d v="2021-11-04T00:00:00"/>
    <x v="11"/>
    <x v="0"/>
    <x v="0"/>
    <n v="40000"/>
    <n v="40000"/>
    <n v="0"/>
    <x v="170"/>
    <s v="Cali"/>
  </r>
  <r>
    <d v="2021-11-04T00:00:00"/>
    <x v="11"/>
    <x v="26"/>
    <x v="26"/>
    <n v="-40000"/>
    <n v="0"/>
    <n v="40000"/>
    <x v="170"/>
    <s v="Cali"/>
  </r>
  <r>
    <m/>
    <x v="1"/>
    <x v="23"/>
    <x v="23"/>
    <m/>
    <m/>
    <m/>
    <x v="1"/>
    <m/>
  </r>
  <r>
    <d v="2021-11-04T00:00:00"/>
    <x v="11"/>
    <x v="0"/>
    <x v="0"/>
    <n v="150000"/>
    <n v="150000"/>
    <n v="0"/>
    <x v="169"/>
    <s v="Cali"/>
  </r>
  <r>
    <d v="2021-11-04T00:00:00"/>
    <x v="11"/>
    <x v="25"/>
    <x v="25"/>
    <n v="-150000"/>
    <n v="0"/>
    <n v="150000"/>
    <x v="169"/>
    <s v="Cali"/>
  </r>
  <r>
    <m/>
    <x v="1"/>
    <x v="23"/>
    <x v="23"/>
    <m/>
    <m/>
    <m/>
    <x v="1"/>
    <m/>
  </r>
  <r>
    <d v="2021-11-04T00:00:00"/>
    <x v="11"/>
    <x v="0"/>
    <x v="0"/>
    <n v="11953189"/>
    <n v="11953189"/>
    <n v="0"/>
    <x v="639"/>
    <s v="Cali"/>
  </r>
  <r>
    <d v="2021-11-04T00:00:00"/>
    <x v="11"/>
    <x v="5"/>
    <x v="5"/>
    <n v="-11953189"/>
    <n v="0"/>
    <n v="11953189"/>
    <x v="639"/>
    <s v="Cali"/>
  </r>
  <r>
    <m/>
    <x v="1"/>
    <x v="23"/>
    <x v="23"/>
    <m/>
    <m/>
    <m/>
    <x v="1"/>
    <m/>
  </r>
  <r>
    <d v="2021-11-05T00:00:00"/>
    <x v="11"/>
    <x v="52"/>
    <x v="52"/>
    <n v="300000"/>
    <n v="300000"/>
    <n v="0"/>
    <x v="633"/>
    <s v="Cali"/>
  </r>
  <r>
    <d v="2021-11-05T00:00:00"/>
    <x v="11"/>
    <x v="0"/>
    <x v="0"/>
    <n v="-300000"/>
    <n v="0"/>
    <n v="300000"/>
    <x v="633"/>
    <s v="Cali"/>
  </r>
  <r>
    <m/>
    <x v="1"/>
    <x v="23"/>
    <x v="23"/>
    <m/>
    <m/>
    <m/>
    <x v="1"/>
    <m/>
  </r>
  <r>
    <d v="2021-11-05T00:00:00"/>
    <x v="11"/>
    <x v="0"/>
    <x v="0"/>
    <n v="100000"/>
    <n v="100000"/>
    <n v="0"/>
    <x v="363"/>
    <s v="Cali"/>
  </r>
  <r>
    <d v="2021-11-05T00:00:00"/>
    <x v="11"/>
    <x v="25"/>
    <x v="25"/>
    <n v="-100000"/>
    <n v="0"/>
    <n v="100000"/>
    <x v="363"/>
    <s v="Cali"/>
  </r>
  <r>
    <m/>
    <x v="1"/>
    <x v="23"/>
    <x v="23"/>
    <m/>
    <m/>
    <m/>
    <x v="1"/>
    <m/>
  </r>
  <r>
    <d v="2021-11-05T00:00:00"/>
    <x v="11"/>
    <x v="0"/>
    <x v="0"/>
    <n v="35000"/>
    <n v="35000"/>
    <n v="0"/>
    <x v="600"/>
    <s v="Cali"/>
  </r>
  <r>
    <d v="2021-11-05T00:00:00"/>
    <x v="11"/>
    <x v="25"/>
    <x v="25"/>
    <n v="-35000"/>
    <n v="0"/>
    <n v="35000"/>
    <x v="600"/>
    <s v="Cali"/>
  </r>
  <r>
    <m/>
    <x v="1"/>
    <x v="23"/>
    <x v="23"/>
    <m/>
    <m/>
    <m/>
    <x v="1"/>
    <m/>
  </r>
  <r>
    <d v="2021-11-05T00:00:00"/>
    <x v="11"/>
    <x v="0"/>
    <x v="0"/>
    <n v="75000"/>
    <n v="75000"/>
    <n v="0"/>
    <x v="316"/>
    <s v="Cali"/>
  </r>
  <r>
    <d v="2021-11-05T00:00:00"/>
    <x v="11"/>
    <x v="25"/>
    <x v="25"/>
    <n v="-75000"/>
    <n v="0"/>
    <n v="75000"/>
    <x v="316"/>
    <s v="Cali"/>
  </r>
  <r>
    <m/>
    <x v="1"/>
    <x v="23"/>
    <x v="23"/>
    <m/>
    <m/>
    <m/>
    <x v="1"/>
    <m/>
  </r>
  <r>
    <d v="2021-11-05T00:00:00"/>
    <x v="11"/>
    <x v="0"/>
    <x v="0"/>
    <n v="45000"/>
    <n v="45000"/>
    <n v="0"/>
    <x v="178"/>
    <s v="Cali"/>
  </r>
  <r>
    <d v="2021-11-05T00:00:00"/>
    <x v="11"/>
    <x v="25"/>
    <x v="25"/>
    <n v="-45000"/>
    <n v="0"/>
    <n v="45000"/>
    <x v="178"/>
    <s v="Cali"/>
  </r>
  <r>
    <m/>
    <x v="1"/>
    <x v="23"/>
    <x v="23"/>
    <m/>
    <m/>
    <m/>
    <x v="1"/>
    <m/>
  </r>
  <r>
    <d v="2021-11-05T00:00:00"/>
    <x v="11"/>
    <x v="0"/>
    <x v="0"/>
    <n v="11000"/>
    <n v="11000"/>
    <n v="0"/>
    <x v="191"/>
    <s v="Cali"/>
  </r>
  <r>
    <d v="2021-11-05T00:00:00"/>
    <x v="11"/>
    <x v="27"/>
    <x v="27"/>
    <n v="-11000"/>
    <n v="0"/>
    <n v="11000"/>
    <x v="191"/>
    <s v="Cali"/>
  </r>
  <r>
    <m/>
    <x v="1"/>
    <x v="23"/>
    <x v="23"/>
    <m/>
    <m/>
    <m/>
    <x v="1"/>
    <m/>
  </r>
  <r>
    <d v="2021-11-05T00:00:00"/>
    <x v="11"/>
    <x v="0"/>
    <x v="0"/>
    <n v="10000"/>
    <n v="10000"/>
    <n v="0"/>
    <x v="640"/>
    <s v="Cali"/>
  </r>
  <r>
    <d v="2021-11-05T00:00:00"/>
    <x v="11"/>
    <x v="25"/>
    <x v="25"/>
    <n v="-10000"/>
    <n v="0"/>
    <n v="10000"/>
    <x v="640"/>
    <s v="Cali"/>
  </r>
  <r>
    <m/>
    <x v="1"/>
    <x v="23"/>
    <x v="23"/>
    <m/>
    <m/>
    <m/>
    <x v="1"/>
    <m/>
  </r>
  <r>
    <d v="2021-11-08T00:00:00"/>
    <x v="11"/>
    <x v="0"/>
    <x v="0"/>
    <n v="30000"/>
    <n v="30000"/>
    <n v="0"/>
    <x v="139"/>
    <s v="Cali"/>
  </r>
  <r>
    <d v="2021-11-08T00:00:00"/>
    <x v="11"/>
    <x v="25"/>
    <x v="25"/>
    <n v="-30000"/>
    <n v="0"/>
    <n v="30000"/>
    <x v="139"/>
    <s v="Cali"/>
  </r>
  <r>
    <m/>
    <x v="1"/>
    <x v="23"/>
    <x v="23"/>
    <m/>
    <m/>
    <m/>
    <x v="1"/>
    <m/>
  </r>
  <r>
    <d v="2021-11-08T00:00:00"/>
    <x v="11"/>
    <x v="0"/>
    <x v="0"/>
    <n v="1000000"/>
    <n v="1000000"/>
    <n v="0"/>
    <x v="560"/>
    <s v="Cali"/>
  </r>
  <r>
    <d v="2021-11-08T00:00:00"/>
    <x v="11"/>
    <x v="26"/>
    <x v="26"/>
    <n v="-1000000"/>
    <n v="0"/>
    <n v="1000000"/>
    <x v="560"/>
    <s v="Cali"/>
  </r>
  <r>
    <m/>
    <x v="1"/>
    <x v="23"/>
    <x v="23"/>
    <m/>
    <m/>
    <m/>
    <x v="1"/>
    <m/>
  </r>
  <r>
    <d v="2021-11-08T00:00:00"/>
    <x v="11"/>
    <x v="0"/>
    <x v="0"/>
    <n v="40000"/>
    <n v="40000"/>
    <n v="0"/>
    <x v="176"/>
    <s v="Cali"/>
  </r>
  <r>
    <d v="2021-11-08T00:00:00"/>
    <x v="11"/>
    <x v="25"/>
    <x v="25"/>
    <n v="-40000"/>
    <n v="0"/>
    <n v="40000"/>
    <x v="176"/>
    <s v="Cali"/>
  </r>
  <r>
    <m/>
    <x v="1"/>
    <x v="23"/>
    <x v="23"/>
    <m/>
    <m/>
    <m/>
    <x v="1"/>
    <m/>
  </r>
  <r>
    <d v="2021-11-08T00:00:00"/>
    <x v="11"/>
    <x v="0"/>
    <x v="0"/>
    <n v="54100"/>
    <n v="54100"/>
    <n v="0"/>
    <x v="641"/>
    <s v="Cali"/>
  </r>
  <r>
    <d v="2021-11-08T00:00:00"/>
    <x v="11"/>
    <x v="27"/>
    <x v="27"/>
    <n v="-54100"/>
    <n v="0"/>
    <n v="54100"/>
    <x v="641"/>
    <s v="Cali"/>
  </r>
  <r>
    <m/>
    <x v="1"/>
    <x v="23"/>
    <x v="23"/>
    <m/>
    <m/>
    <m/>
    <x v="1"/>
    <m/>
  </r>
  <r>
    <d v="2021-11-08T00:00:00"/>
    <x v="11"/>
    <x v="0"/>
    <x v="0"/>
    <n v="2000"/>
    <n v="2000"/>
    <n v="0"/>
    <x v="177"/>
    <s v="Cali"/>
  </r>
  <r>
    <d v="2021-11-08T00:00:00"/>
    <x v="11"/>
    <x v="19"/>
    <x v="19"/>
    <n v="-2000"/>
    <n v="0"/>
    <n v="2000"/>
    <x v="177"/>
    <s v="Cali"/>
  </r>
  <r>
    <m/>
    <x v="1"/>
    <x v="23"/>
    <x v="23"/>
    <m/>
    <m/>
    <m/>
    <x v="1"/>
    <m/>
  </r>
  <r>
    <d v="2021-11-08T00:00:00"/>
    <x v="11"/>
    <x v="0"/>
    <x v="0"/>
    <n v="25000"/>
    <n v="25000"/>
    <n v="0"/>
    <x v="149"/>
    <s v="Cali"/>
  </r>
  <r>
    <d v="2021-11-08T00:00:00"/>
    <x v="11"/>
    <x v="27"/>
    <x v="27"/>
    <n v="-25000"/>
    <n v="0"/>
    <n v="25000"/>
    <x v="149"/>
    <s v="Cali"/>
  </r>
  <r>
    <m/>
    <x v="1"/>
    <x v="23"/>
    <x v="23"/>
    <m/>
    <m/>
    <m/>
    <x v="1"/>
    <m/>
  </r>
  <r>
    <d v="2021-11-08T00:00:00"/>
    <x v="11"/>
    <x v="0"/>
    <x v="0"/>
    <n v="30000"/>
    <n v="30000"/>
    <n v="0"/>
    <x v="256"/>
    <s v="Cali"/>
  </r>
  <r>
    <d v="2021-11-08T00:00:00"/>
    <x v="11"/>
    <x v="25"/>
    <x v="25"/>
    <n v="-30000"/>
    <n v="0"/>
    <n v="30000"/>
    <x v="256"/>
    <s v="Cali"/>
  </r>
  <r>
    <m/>
    <x v="1"/>
    <x v="23"/>
    <x v="23"/>
    <m/>
    <m/>
    <m/>
    <x v="1"/>
    <m/>
  </r>
  <r>
    <d v="2021-11-08T00:00:00"/>
    <x v="11"/>
    <x v="0"/>
    <x v="0"/>
    <n v="60000"/>
    <n v="60000"/>
    <n v="0"/>
    <x v="238"/>
    <s v="Cali"/>
  </r>
  <r>
    <d v="2021-11-08T00:00:00"/>
    <x v="11"/>
    <x v="25"/>
    <x v="25"/>
    <n v="-60000"/>
    <n v="0"/>
    <n v="60000"/>
    <x v="238"/>
    <s v="Cali"/>
  </r>
  <r>
    <m/>
    <x v="1"/>
    <x v="23"/>
    <x v="23"/>
    <m/>
    <m/>
    <m/>
    <x v="1"/>
    <m/>
  </r>
  <r>
    <d v="2021-11-08T00:00:00"/>
    <x v="11"/>
    <x v="0"/>
    <x v="0"/>
    <n v="85000"/>
    <n v="85000"/>
    <n v="0"/>
    <x v="154"/>
    <s v="Cali"/>
  </r>
  <r>
    <d v="2021-11-08T00:00:00"/>
    <x v="11"/>
    <x v="13"/>
    <x v="13"/>
    <n v="-85000"/>
    <n v="0"/>
    <n v="85000"/>
    <x v="154"/>
    <s v="Cali"/>
  </r>
  <r>
    <m/>
    <x v="1"/>
    <x v="23"/>
    <x v="23"/>
    <m/>
    <m/>
    <m/>
    <x v="1"/>
    <m/>
  </r>
  <r>
    <d v="2021-11-08T00:00:00"/>
    <x v="11"/>
    <x v="0"/>
    <x v="0"/>
    <n v="19631"/>
    <n v="19631"/>
    <n v="0"/>
    <x v="479"/>
    <s v="Cali"/>
  </r>
  <r>
    <d v="2021-11-08T00:00:00"/>
    <x v="11"/>
    <x v="25"/>
    <x v="25"/>
    <n v="-20000"/>
    <n v="0"/>
    <n v="20000"/>
    <x v="479"/>
    <s v="Cali"/>
  </r>
  <r>
    <d v="2021-11-08T00:00:00"/>
    <x v="11"/>
    <x v="31"/>
    <x v="31"/>
    <n v="369"/>
    <n v="369"/>
    <n v="0"/>
    <x v="479"/>
    <s v="Cali"/>
  </r>
  <r>
    <m/>
    <x v="1"/>
    <x v="23"/>
    <x v="23"/>
    <m/>
    <m/>
    <m/>
    <x v="1"/>
    <m/>
  </r>
  <r>
    <d v="2021-11-08T00:00:00"/>
    <x v="11"/>
    <x v="0"/>
    <x v="0"/>
    <n v="60000"/>
    <n v="60000"/>
    <n v="0"/>
    <x v="202"/>
    <s v="Cali"/>
  </r>
  <r>
    <d v="2021-11-08T00:00:00"/>
    <x v="11"/>
    <x v="27"/>
    <x v="27"/>
    <n v="-60000"/>
    <n v="0"/>
    <n v="60000"/>
    <x v="202"/>
    <s v="Cali"/>
  </r>
  <r>
    <m/>
    <x v="1"/>
    <x v="23"/>
    <x v="23"/>
    <m/>
    <m/>
    <m/>
    <x v="1"/>
    <m/>
  </r>
  <r>
    <d v="2021-11-09T00:00:00"/>
    <x v="11"/>
    <x v="0"/>
    <x v="0"/>
    <n v="150000"/>
    <n v="150000"/>
    <n v="0"/>
    <x v="251"/>
    <s v="Cali"/>
  </r>
  <r>
    <d v="2021-11-09T00:00:00"/>
    <x v="11"/>
    <x v="27"/>
    <x v="27"/>
    <n v="-150000"/>
    <n v="0"/>
    <n v="150000"/>
    <x v="251"/>
    <s v="Cali"/>
  </r>
  <r>
    <m/>
    <x v="1"/>
    <x v="23"/>
    <x v="23"/>
    <m/>
    <m/>
    <m/>
    <x v="1"/>
    <m/>
  </r>
  <r>
    <d v="2021-11-09T00:00:00"/>
    <x v="11"/>
    <x v="0"/>
    <x v="0"/>
    <n v="15000"/>
    <n v="15000"/>
    <n v="0"/>
    <x v="216"/>
    <s v="Cali"/>
  </r>
  <r>
    <d v="2021-11-09T00:00:00"/>
    <x v="11"/>
    <x v="29"/>
    <x v="29"/>
    <n v="-15000"/>
    <n v="0"/>
    <n v="15000"/>
    <x v="216"/>
    <s v="Cali"/>
  </r>
  <r>
    <m/>
    <x v="1"/>
    <x v="23"/>
    <x v="23"/>
    <m/>
    <m/>
    <m/>
    <x v="1"/>
    <m/>
  </r>
  <r>
    <d v="2021-11-09T00:00:00"/>
    <x v="11"/>
    <x v="0"/>
    <x v="0"/>
    <n v="30000"/>
    <n v="30000"/>
    <n v="0"/>
    <x v="179"/>
    <s v="Cali"/>
  </r>
  <r>
    <d v="2021-11-09T00:00:00"/>
    <x v="11"/>
    <x v="25"/>
    <x v="25"/>
    <n v="-30000"/>
    <n v="0"/>
    <n v="30000"/>
    <x v="179"/>
    <s v="Cali"/>
  </r>
  <r>
    <m/>
    <x v="1"/>
    <x v="23"/>
    <x v="23"/>
    <m/>
    <m/>
    <m/>
    <x v="1"/>
    <m/>
  </r>
  <r>
    <d v="2021-11-09T00:00:00"/>
    <x v="11"/>
    <x v="0"/>
    <x v="0"/>
    <n v="15000"/>
    <n v="15000"/>
    <n v="0"/>
    <x v="420"/>
    <s v="Cali"/>
  </r>
  <r>
    <d v="2021-11-09T00:00:00"/>
    <x v="11"/>
    <x v="26"/>
    <x v="26"/>
    <n v="-15000"/>
    <n v="0"/>
    <n v="15000"/>
    <x v="420"/>
    <s v="Cali"/>
  </r>
  <r>
    <m/>
    <x v="1"/>
    <x v="23"/>
    <x v="23"/>
    <m/>
    <m/>
    <m/>
    <x v="1"/>
    <m/>
  </r>
  <r>
    <d v="2021-11-09T00:00:00"/>
    <x v="11"/>
    <x v="0"/>
    <x v="0"/>
    <n v="15705"/>
    <n v="15705"/>
    <n v="0"/>
    <x v="642"/>
    <s v="Cali"/>
  </r>
  <r>
    <d v="2021-11-09T00:00:00"/>
    <x v="11"/>
    <x v="25"/>
    <x v="25"/>
    <n v="-16000"/>
    <n v="0"/>
    <n v="16000"/>
    <x v="642"/>
    <s v="Cali"/>
  </r>
  <r>
    <d v="2021-11-09T00:00:00"/>
    <x v="11"/>
    <x v="31"/>
    <x v="31"/>
    <n v="295"/>
    <n v="295"/>
    <n v="0"/>
    <x v="642"/>
    <s v="Cali"/>
  </r>
  <r>
    <m/>
    <x v="1"/>
    <x v="23"/>
    <x v="23"/>
    <m/>
    <m/>
    <m/>
    <x v="1"/>
    <m/>
  </r>
  <r>
    <d v="2021-11-10T00:00:00"/>
    <x v="11"/>
    <x v="0"/>
    <x v="0"/>
    <n v="30000"/>
    <n v="30000"/>
    <n v="0"/>
    <x v="185"/>
    <s v="Cali"/>
  </r>
  <r>
    <d v="2021-11-10T00:00:00"/>
    <x v="11"/>
    <x v="25"/>
    <x v="25"/>
    <n v="-30000"/>
    <n v="0"/>
    <n v="30000"/>
    <x v="185"/>
    <s v="Cali"/>
  </r>
  <r>
    <m/>
    <x v="1"/>
    <x v="23"/>
    <x v="23"/>
    <m/>
    <m/>
    <m/>
    <x v="1"/>
    <m/>
  </r>
  <r>
    <d v="2021-11-10T00:00:00"/>
    <x v="11"/>
    <x v="0"/>
    <x v="0"/>
    <n v="17000"/>
    <n v="17000"/>
    <n v="0"/>
    <x v="186"/>
    <s v="Cali"/>
  </r>
  <r>
    <d v="2021-11-10T00:00:00"/>
    <x v="11"/>
    <x v="25"/>
    <x v="25"/>
    <n v="-17000"/>
    <n v="0"/>
    <n v="17000"/>
    <x v="186"/>
    <s v="Cali"/>
  </r>
  <r>
    <m/>
    <x v="1"/>
    <x v="23"/>
    <x v="23"/>
    <m/>
    <m/>
    <m/>
    <x v="1"/>
    <m/>
  </r>
  <r>
    <d v="2021-11-11T00:00:00"/>
    <x v="11"/>
    <x v="0"/>
    <x v="0"/>
    <n v="3000000"/>
    <n v="3000000"/>
    <n v="0"/>
    <x v="306"/>
    <s v="Cali"/>
  </r>
  <r>
    <d v="2021-11-11T00:00:00"/>
    <x v="11"/>
    <x v="26"/>
    <x v="26"/>
    <n v="-3000000"/>
    <n v="0"/>
    <n v="3000000"/>
    <x v="306"/>
    <s v="Cali"/>
  </r>
  <r>
    <m/>
    <x v="1"/>
    <x v="23"/>
    <x v="23"/>
    <m/>
    <m/>
    <m/>
    <x v="1"/>
    <m/>
  </r>
  <r>
    <d v="2021-11-11T00:00:00"/>
    <x v="11"/>
    <x v="0"/>
    <x v="0"/>
    <n v="65000"/>
    <n v="65000"/>
    <n v="0"/>
    <x v="64"/>
    <s v="Cali"/>
  </r>
  <r>
    <d v="2021-11-11T00:00:00"/>
    <x v="11"/>
    <x v="27"/>
    <x v="27"/>
    <n v="-65000"/>
    <n v="0"/>
    <n v="65000"/>
    <x v="64"/>
    <s v="Cali"/>
  </r>
  <r>
    <m/>
    <x v="1"/>
    <x v="23"/>
    <x v="23"/>
    <m/>
    <m/>
    <m/>
    <x v="1"/>
    <m/>
  </r>
  <r>
    <d v="2021-11-12T00:00:00"/>
    <x v="11"/>
    <x v="0"/>
    <x v="0"/>
    <n v="60000"/>
    <n v="60000"/>
    <n v="0"/>
    <x v="213"/>
    <s v="Cali"/>
  </r>
  <r>
    <d v="2021-11-12T00:00:00"/>
    <x v="11"/>
    <x v="29"/>
    <x v="29"/>
    <n v="-60000"/>
    <n v="0"/>
    <n v="60000"/>
    <x v="213"/>
    <s v="Cali"/>
  </r>
  <r>
    <m/>
    <x v="1"/>
    <x v="23"/>
    <x v="23"/>
    <m/>
    <m/>
    <m/>
    <x v="1"/>
    <m/>
  </r>
  <r>
    <d v="2021-11-12T00:00:00"/>
    <x v="11"/>
    <x v="0"/>
    <x v="0"/>
    <n v="20000"/>
    <n v="20000"/>
    <n v="0"/>
    <x v="199"/>
    <s v="Cali"/>
  </r>
  <r>
    <d v="2021-11-12T00:00:00"/>
    <x v="11"/>
    <x v="27"/>
    <x v="27"/>
    <n v="-20000"/>
    <n v="0"/>
    <n v="20000"/>
    <x v="199"/>
    <s v="Cali"/>
  </r>
  <r>
    <m/>
    <x v="1"/>
    <x v="23"/>
    <x v="23"/>
    <m/>
    <m/>
    <m/>
    <x v="1"/>
    <m/>
  </r>
  <r>
    <d v="2021-11-15T00:00:00"/>
    <x v="11"/>
    <x v="0"/>
    <x v="0"/>
    <n v="20000"/>
    <n v="20000"/>
    <n v="0"/>
    <x v="166"/>
    <s v="Cali"/>
  </r>
  <r>
    <d v="2021-11-15T00:00:00"/>
    <x v="11"/>
    <x v="25"/>
    <x v="25"/>
    <n v="-20000"/>
    <n v="0"/>
    <n v="20000"/>
    <x v="166"/>
    <s v="Cali"/>
  </r>
  <r>
    <m/>
    <x v="1"/>
    <x v="23"/>
    <x v="23"/>
    <m/>
    <m/>
    <m/>
    <x v="1"/>
    <m/>
  </r>
  <r>
    <d v="2021-11-15T00:00:00"/>
    <x v="11"/>
    <x v="0"/>
    <x v="0"/>
    <n v="7000"/>
    <n v="7000"/>
    <n v="0"/>
    <x v="261"/>
    <s v="Cali"/>
  </r>
  <r>
    <d v="2021-11-15T00:00:00"/>
    <x v="11"/>
    <x v="25"/>
    <x v="25"/>
    <n v="-7000"/>
    <n v="0"/>
    <n v="7000"/>
    <x v="261"/>
    <s v="Cali"/>
  </r>
  <r>
    <m/>
    <x v="1"/>
    <x v="23"/>
    <x v="23"/>
    <m/>
    <m/>
    <m/>
    <x v="1"/>
    <m/>
  </r>
  <r>
    <d v="2021-11-15T00:00:00"/>
    <x v="11"/>
    <x v="0"/>
    <x v="0"/>
    <n v="2000"/>
    <n v="2000"/>
    <n v="0"/>
    <x v="177"/>
    <s v="Cali"/>
  </r>
  <r>
    <d v="2021-11-15T00:00:00"/>
    <x v="11"/>
    <x v="19"/>
    <x v="19"/>
    <n v="-2000"/>
    <n v="0"/>
    <n v="2000"/>
    <x v="177"/>
    <s v="Cali"/>
  </r>
  <r>
    <m/>
    <x v="1"/>
    <x v="23"/>
    <x v="23"/>
    <m/>
    <m/>
    <m/>
    <x v="1"/>
    <m/>
  </r>
  <r>
    <d v="2021-11-15T00:00:00"/>
    <x v="11"/>
    <x v="0"/>
    <x v="0"/>
    <n v="20000"/>
    <n v="20000"/>
    <n v="0"/>
    <x v="193"/>
    <s v="Cali"/>
  </r>
  <r>
    <d v="2021-11-15T00:00:00"/>
    <x v="11"/>
    <x v="26"/>
    <x v="26"/>
    <n v="-20000"/>
    <n v="0"/>
    <n v="20000"/>
    <x v="193"/>
    <s v="Cali"/>
  </r>
  <r>
    <m/>
    <x v="1"/>
    <x v="23"/>
    <x v="23"/>
    <m/>
    <m/>
    <m/>
    <x v="1"/>
    <m/>
  </r>
  <r>
    <d v="2021-11-15T00:00:00"/>
    <x v="11"/>
    <x v="0"/>
    <x v="0"/>
    <n v="25000"/>
    <n v="25000"/>
    <n v="0"/>
    <x v="194"/>
    <s v="Cali"/>
  </r>
  <r>
    <d v="2021-11-15T00:00:00"/>
    <x v="11"/>
    <x v="25"/>
    <x v="25"/>
    <n v="-25000"/>
    <n v="0"/>
    <n v="25000"/>
    <x v="194"/>
    <s v="Cali"/>
  </r>
  <r>
    <m/>
    <x v="1"/>
    <x v="23"/>
    <x v="23"/>
    <m/>
    <m/>
    <m/>
    <x v="1"/>
    <m/>
  </r>
  <r>
    <d v="2021-11-15T00:00:00"/>
    <x v="11"/>
    <x v="0"/>
    <x v="0"/>
    <n v="50000"/>
    <n v="50000"/>
    <n v="0"/>
    <x v="195"/>
    <s v="Cali"/>
  </r>
  <r>
    <d v="2021-11-15T00:00:00"/>
    <x v="11"/>
    <x v="25"/>
    <x v="25"/>
    <n v="-50000"/>
    <n v="0"/>
    <n v="50000"/>
    <x v="195"/>
    <s v="Cali"/>
  </r>
  <r>
    <m/>
    <x v="1"/>
    <x v="23"/>
    <x v="23"/>
    <m/>
    <m/>
    <m/>
    <x v="1"/>
    <m/>
  </r>
  <r>
    <d v="2021-11-15T00:00:00"/>
    <x v="11"/>
    <x v="0"/>
    <x v="0"/>
    <n v="5000"/>
    <n v="5000"/>
    <n v="0"/>
    <x v="482"/>
    <s v="Cali"/>
  </r>
  <r>
    <d v="2021-11-15T00:00:00"/>
    <x v="11"/>
    <x v="19"/>
    <x v="19"/>
    <n v="-5000"/>
    <n v="0"/>
    <n v="5000"/>
    <x v="482"/>
    <s v="Cali"/>
  </r>
  <r>
    <m/>
    <x v="1"/>
    <x v="23"/>
    <x v="23"/>
    <m/>
    <m/>
    <m/>
    <x v="1"/>
    <m/>
  </r>
  <r>
    <d v="2021-11-15T00:00:00"/>
    <x v="11"/>
    <x v="0"/>
    <x v="0"/>
    <n v="20000"/>
    <n v="20000"/>
    <n v="0"/>
    <x v="196"/>
    <s v="Cali"/>
  </r>
  <r>
    <d v="2021-11-15T00:00:00"/>
    <x v="11"/>
    <x v="25"/>
    <x v="25"/>
    <n v="-20000"/>
    <n v="0"/>
    <n v="20000"/>
    <x v="196"/>
    <s v="Cali"/>
  </r>
  <r>
    <m/>
    <x v="1"/>
    <x v="23"/>
    <x v="23"/>
    <m/>
    <m/>
    <m/>
    <x v="1"/>
    <m/>
  </r>
  <r>
    <d v="2021-11-15T00:00:00"/>
    <x v="11"/>
    <x v="0"/>
    <x v="0"/>
    <n v="64000"/>
    <n v="64000"/>
    <n v="0"/>
    <x v="643"/>
    <s v="Cali"/>
  </r>
  <r>
    <d v="2021-11-15T00:00:00"/>
    <x v="11"/>
    <x v="13"/>
    <x v="13"/>
    <n v="-64000"/>
    <n v="0"/>
    <n v="64000"/>
    <x v="643"/>
    <s v="Cali"/>
  </r>
  <r>
    <m/>
    <x v="1"/>
    <x v="23"/>
    <x v="23"/>
    <m/>
    <m/>
    <m/>
    <x v="1"/>
    <m/>
  </r>
  <r>
    <d v="2021-11-17T00:00:00"/>
    <x v="11"/>
    <x v="16"/>
    <x v="16"/>
    <n v="67440"/>
    <n v="67440"/>
    <n v="0"/>
    <x v="644"/>
    <s v="Cali"/>
  </r>
  <r>
    <d v="2021-11-17T00:00:00"/>
    <x v="11"/>
    <x v="17"/>
    <x v="17"/>
    <n v="-7756"/>
    <n v="0"/>
    <n v="7756"/>
    <x v="644"/>
    <s v="Cali"/>
  </r>
  <r>
    <d v="2021-11-17T00:00:00"/>
    <x v="11"/>
    <x v="0"/>
    <x v="0"/>
    <n v="-59684"/>
    <n v="0"/>
    <n v="59684"/>
    <x v="644"/>
    <s v="Cali"/>
  </r>
  <r>
    <m/>
    <x v="1"/>
    <x v="23"/>
    <x v="23"/>
    <m/>
    <m/>
    <m/>
    <x v="1"/>
    <m/>
  </r>
  <r>
    <d v="2021-11-15T00:00:00"/>
    <x v="11"/>
    <x v="1"/>
    <x v="1"/>
    <n v="30000000"/>
    <n v="30000000"/>
    <n v="0"/>
    <x v="429"/>
    <s v="Cali"/>
  </r>
  <r>
    <d v="2021-11-15T00:00:00"/>
    <x v="11"/>
    <x v="0"/>
    <x v="0"/>
    <n v="-30000000"/>
    <n v="0"/>
    <n v="30000000"/>
    <x v="429"/>
    <s v="Cali"/>
  </r>
  <r>
    <m/>
    <x v="1"/>
    <x v="23"/>
    <x v="23"/>
    <m/>
    <m/>
    <m/>
    <x v="1"/>
    <m/>
  </r>
  <r>
    <d v="2021-11-17T00:00:00"/>
    <x v="11"/>
    <x v="31"/>
    <x v="31"/>
    <n v="90000"/>
    <n v="90000"/>
    <n v="0"/>
    <x v="645"/>
    <s v="Cali"/>
  </r>
  <r>
    <d v="2021-11-17T00:00:00"/>
    <x v="11"/>
    <x v="0"/>
    <x v="0"/>
    <n v="-90000"/>
    <n v="0"/>
    <n v="90000"/>
    <x v="645"/>
    <s v="Cali"/>
  </r>
  <r>
    <m/>
    <x v="1"/>
    <x v="23"/>
    <x v="23"/>
    <m/>
    <m/>
    <m/>
    <x v="1"/>
    <m/>
  </r>
  <r>
    <d v="2021-11-17T00:00:00"/>
    <x v="11"/>
    <x v="0"/>
    <x v="0"/>
    <n v="30000"/>
    <n v="30000"/>
    <n v="0"/>
    <x v="188"/>
    <s v="Cali"/>
  </r>
  <r>
    <d v="2021-11-17T00:00:00"/>
    <x v="11"/>
    <x v="29"/>
    <x v="29"/>
    <n v="-30000"/>
    <n v="0"/>
    <n v="30000"/>
    <x v="188"/>
    <s v="Cali"/>
  </r>
  <r>
    <m/>
    <x v="1"/>
    <x v="23"/>
    <x v="23"/>
    <m/>
    <m/>
    <m/>
    <x v="1"/>
    <m/>
  </r>
  <r>
    <d v="2021-11-17T00:00:00"/>
    <x v="11"/>
    <x v="0"/>
    <x v="0"/>
    <n v="5000"/>
    <n v="5000"/>
    <n v="0"/>
    <x v="367"/>
    <s v="Cali"/>
  </r>
  <r>
    <d v="2021-11-17T00:00:00"/>
    <x v="11"/>
    <x v="25"/>
    <x v="25"/>
    <n v="-5000"/>
    <n v="0"/>
    <n v="5000"/>
    <x v="367"/>
    <s v="Cali"/>
  </r>
  <r>
    <m/>
    <x v="1"/>
    <x v="23"/>
    <x v="23"/>
    <m/>
    <m/>
    <m/>
    <x v="1"/>
    <m/>
  </r>
  <r>
    <d v="2021-11-18T00:00:00"/>
    <x v="11"/>
    <x v="0"/>
    <x v="0"/>
    <n v="50000"/>
    <n v="50000"/>
    <n v="0"/>
    <x v="386"/>
    <s v="Cali"/>
  </r>
  <r>
    <d v="2021-11-18T00:00:00"/>
    <x v="11"/>
    <x v="27"/>
    <x v="27"/>
    <n v="-50000"/>
    <n v="0"/>
    <n v="50000"/>
    <x v="386"/>
    <s v="Cali"/>
  </r>
  <r>
    <m/>
    <x v="1"/>
    <x v="23"/>
    <x v="23"/>
    <m/>
    <m/>
    <m/>
    <x v="1"/>
    <m/>
  </r>
  <r>
    <d v="2021-11-18T00:00:00"/>
    <x v="11"/>
    <x v="0"/>
    <x v="0"/>
    <n v="20000"/>
    <n v="20000"/>
    <n v="0"/>
    <x v="201"/>
    <s v="Cali"/>
  </r>
  <r>
    <d v="2021-11-18T00:00:00"/>
    <x v="11"/>
    <x v="25"/>
    <x v="25"/>
    <n v="-20000"/>
    <n v="0"/>
    <n v="20000"/>
    <x v="201"/>
    <s v="Cali"/>
  </r>
  <r>
    <m/>
    <x v="1"/>
    <x v="23"/>
    <x v="23"/>
    <m/>
    <m/>
    <m/>
    <x v="1"/>
    <m/>
  </r>
  <r>
    <d v="2021-11-18T00:00:00"/>
    <x v="11"/>
    <x v="0"/>
    <x v="0"/>
    <n v="20000"/>
    <n v="20000"/>
    <n v="0"/>
    <x v="65"/>
    <s v="Cali"/>
  </r>
  <r>
    <d v="2021-11-18T00:00:00"/>
    <x v="11"/>
    <x v="29"/>
    <x v="29"/>
    <n v="-20000"/>
    <n v="0"/>
    <n v="20000"/>
    <x v="65"/>
    <s v="Cali"/>
  </r>
  <r>
    <m/>
    <x v="1"/>
    <x v="23"/>
    <x v="23"/>
    <m/>
    <m/>
    <m/>
    <x v="1"/>
    <m/>
  </r>
  <r>
    <d v="2021-11-18T00:00:00"/>
    <x v="11"/>
    <x v="0"/>
    <x v="0"/>
    <n v="62000"/>
    <n v="62000"/>
    <n v="0"/>
    <x v="65"/>
    <s v="Cali"/>
  </r>
  <r>
    <d v="2021-11-18T00:00:00"/>
    <x v="11"/>
    <x v="29"/>
    <x v="29"/>
    <n v="-62000"/>
    <n v="0"/>
    <n v="62000"/>
    <x v="65"/>
    <s v="Cali"/>
  </r>
  <r>
    <m/>
    <x v="1"/>
    <x v="23"/>
    <x v="23"/>
    <m/>
    <m/>
    <m/>
    <x v="1"/>
    <m/>
  </r>
  <r>
    <d v="2021-11-18T00:00:00"/>
    <x v="11"/>
    <x v="0"/>
    <x v="0"/>
    <n v="240000"/>
    <n v="240000"/>
    <n v="0"/>
    <x v="65"/>
    <s v="Cali"/>
  </r>
  <r>
    <d v="2021-11-18T00:00:00"/>
    <x v="11"/>
    <x v="29"/>
    <x v="29"/>
    <n v="-240000"/>
    <n v="0"/>
    <n v="240000"/>
    <x v="65"/>
    <s v="Cali"/>
  </r>
  <r>
    <m/>
    <x v="1"/>
    <x v="23"/>
    <x v="23"/>
    <m/>
    <m/>
    <m/>
    <x v="1"/>
    <m/>
  </r>
  <r>
    <d v="2021-11-22T00:00:00"/>
    <x v="11"/>
    <x v="0"/>
    <x v="0"/>
    <n v="150000"/>
    <n v="150000"/>
    <n v="0"/>
    <x v="431"/>
    <s v="Cali"/>
  </r>
  <r>
    <d v="2021-11-22T00:00:00"/>
    <x v="11"/>
    <x v="25"/>
    <x v="25"/>
    <n v="-150000"/>
    <n v="0"/>
    <n v="150000"/>
    <x v="431"/>
    <s v="Cali"/>
  </r>
  <r>
    <m/>
    <x v="1"/>
    <x v="23"/>
    <x v="23"/>
    <m/>
    <m/>
    <m/>
    <x v="1"/>
    <m/>
  </r>
  <r>
    <d v="2021-11-22T00:00:00"/>
    <x v="11"/>
    <x v="0"/>
    <x v="0"/>
    <n v="10000"/>
    <n v="10000"/>
    <n v="0"/>
    <x v="409"/>
    <s v="Cali"/>
  </r>
  <r>
    <d v="2021-11-22T00:00:00"/>
    <x v="11"/>
    <x v="25"/>
    <x v="25"/>
    <n v="-10000"/>
    <n v="0"/>
    <n v="10000"/>
    <x v="409"/>
    <s v="Cali"/>
  </r>
  <r>
    <m/>
    <x v="1"/>
    <x v="23"/>
    <x v="23"/>
    <m/>
    <m/>
    <m/>
    <x v="1"/>
    <m/>
  </r>
  <r>
    <d v="2021-11-22T00:00:00"/>
    <x v="11"/>
    <x v="31"/>
    <x v="31"/>
    <n v="1084"/>
    <n v="1084"/>
    <n v="0"/>
    <x v="172"/>
    <s v="Cali"/>
  </r>
  <r>
    <d v="2021-11-22T00:00:00"/>
    <x v="11"/>
    <x v="0"/>
    <x v="0"/>
    <n v="-1084"/>
    <n v="0"/>
    <n v="1084"/>
    <x v="172"/>
    <s v="Cali"/>
  </r>
  <r>
    <m/>
    <x v="1"/>
    <x v="23"/>
    <x v="23"/>
    <m/>
    <m/>
    <m/>
    <x v="1"/>
    <m/>
  </r>
  <r>
    <d v="2021-11-23T00:00:00"/>
    <x v="11"/>
    <x v="0"/>
    <x v="0"/>
    <n v="200000"/>
    <n v="200000"/>
    <n v="0"/>
    <x v="192"/>
    <s v="Cali"/>
  </r>
  <r>
    <d v="2021-11-23T00:00:00"/>
    <x v="11"/>
    <x v="26"/>
    <x v="26"/>
    <n v="-200000"/>
    <n v="0"/>
    <n v="200000"/>
    <x v="192"/>
    <s v="Cali"/>
  </r>
  <r>
    <m/>
    <x v="1"/>
    <x v="23"/>
    <x v="23"/>
    <m/>
    <m/>
    <m/>
    <x v="1"/>
    <m/>
  </r>
  <r>
    <d v="2021-11-23T00:00:00"/>
    <x v="11"/>
    <x v="0"/>
    <x v="0"/>
    <n v="30000"/>
    <n v="30000"/>
    <n v="0"/>
    <x v="203"/>
    <s v="Cali"/>
  </r>
  <r>
    <d v="2021-11-23T00:00:00"/>
    <x v="11"/>
    <x v="27"/>
    <x v="27"/>
    <n v="-30000"/>
    <n v="0"/>
    <n v="30000"/>
    <x v="203"/>
    <s v="Cali"/>
  </r>
  <r>
    <m/>
    <x v="1"/>
    <x v="23"/>
    <x v="23"/>
    <m/>
    <m/>
    <m/>
    <x v="1"/>
    <m/>
  </r>
  <r>
    <d v="2021-11-23T00:00:00"/>
    <x v="11"/>
    <x v="0"/>
    <x v="0"/>
    <n v="100000"/>
    <n v="100000"/>
    <n v="0"/>
    <x v="333"/>
    <s v="Cali"/>
  </r>
  <r>
    <d v="2021-11-23T00:00:00"/>
    <x v="11"/>
    <x v="26"/>
    <x v="26"/>
    <n v="-100000"/>
    <n v="0"/>
    <n v="100000"/>
    <x v="333"/>
    <s v="Cali"/>
  </r>
  <r>
    <m/>
    <x v="1"/>
    <x v="23"/>
    <x v="23"/>
    <m/>
    <m/>
    <m/>
    <x v="1"/>
    <m/>
  </r>
  <r>
    <d v="2021-11-23T00:00:00"/>
    <x v="11"/>
    <x v="0"/>
    <x v="0"/>
    <n v="20000"/>
    <n v="20000"/>
    <n v="0"/>
    <x v="85"/>
    <s v="Cali"/>
  </r>
  <r>
    <d v="2021-11-23T00:00:00"/>
    <x v="11"/>
    <x v="25"/>
    <x v="25"/>
    <n v="-20000"/>
    <n v="0"/>
    <n v="20000"/>
    <x v="85"/>
    <s v="Cali"/>
  </r>
  <r>
    <m/>
    <x v="1"/>
    <x v="23"/>
    <x v="23"/>
    <m/>
    <m/>
    <m/>
    <x v="1"/>
    <m/>
  </r>
  <r>
    <d v="2021-11-23T00:00:00"/>
    <x v="11"/>
    <x v="0"/>
    <x v="0"/>
    <n v="65967"/>
    <n v="65967"/>
    <n v="0"/>
    <x v="646"/>
    <s v="Cali"/>
  </r>
  <r>
    <d v="2021-11-23T00:00:00"/>
    <x v="11"/>
    <x v="13"/>
    <x v="13"/>
    <n v="-65967"/>
    <n v="0"/>
    <n v="65967"/>
    <x v="646"/>
    <s v="Cali"/>
  </r>
  <r>
    <m/>
    <x v="1"/>
    <x v="23"/>
    <x v="23"/>
    <m/>
    <m/>
    <m/>
    <x v="1"/>
    <m/>
  </r>
  <r>
    <d v="2021-11-24T00:00:00"/>
    <x v="11"/>
    <x v="0"/>
    <x v="0"/>
    <n v="94229"/>
    <n v="94229"/>
    <n v="0"/>
    <x v="647"/>
    <s v="Cali"/>
  </r>
  <r>
    <d v="2021-11-24T00:00:00"/>
    <x v="11"/>
    <x v="13"/>
    <x v="13"/>
    <n v="-94229"/>
    <n v="0"/>
    <n v="94229"/>
    <x v="647"/>
    <s v="Cali"/>
  </r>
  <r>
    <m/>
    <x v="1"/>
    <x v="23"/>
    <x v="23"/>
    <m/>
    <m/>
    <m/>
    <x v="1"/>
    <m/>
  </r>
  <r>
    <d v="2021-11-25T00:00:00"/>
    <x v="11"/>
    <x v="0"/>
    <x v="0"/>
    <n v="10000"/>
    <n v="10000"/>
    <n v="0"/>
    <x v="206"/>
    <s v="Cali"/>
  </r>
  <r>
    <d v="2021-11-25T00:00:00"/>
    <x v="11"/>
    <x v="26"/>
    <x v="26"/>
    <n v="-10000"/>
    <n v="0"/>
    <n v="10000"/>
    <x v="206"/>
    <s v="Cali"/>
  </r>
  <r>
    <m/>
    <x v="1"/>
    <x v="23"/>
    <x v="23"/>
    <m/>
    <m/>
    <m/>
    <x v="1"/>
    <m/>
  </r>
  <r>
    <d v="2021-11-26T00:00:00"/>
    <x v="11"/>
    <x v="0"/>
    <x v="0"/>
    <n v="11917543"/>
    <n v="11917543"/>
    <n v="0"/>
    <x v="648"/>
    <s v="Cali"/>
  </r>
  <r>
    <d v="2021-11-26T00:00:00"/>
    <x v="11"/>
    <x v="5"/>
    <x v="5"/>
    <n v="-11917543"/>
    <n v="0"/>
    <n v="11917543"/>
    <x v="648"/>
    <s v="Cali"/>
  </r>
  <r>
    <m/>
    <x v="1"/>
    <x v="23"/>
    <x v="23"/>
    <m/>
    <m/>
    <m/>
    <x v="1"/>
    <m/>
  </r>
  <r>
    <d v="2021-11-26T00:00:00"/>
    <x v="11"/>
    <x v="0"/>
    <x v="0"/>
    <n v="1908925"/>
    <n v="1908925"/>
    <n v="0"/>
    <x v="649"/>
    <s v="Cali"/>
  </r>
  <r>
    <d v="2021-11-26T00:00:00"/>
    <x v="11"/>
    <x v="26"/>
    <x v="26"/>
    <n v="-1908925"/>
    <n v="0"/>
    <n v="1908925"/>
    <x v="649"/>
    <s v="Cali"/>
  </r>
  <r>
    <m/>
    <x v="1"/>
    <x v="23"/>
    <x v="23"/>
    <m/>
    <m/>
    <m/>
    <x v="1"/>
    <m/>
  </r>
  <r>
    <d v="2021-11-26T00:00:00"/>
    <x v="11"/>
    <x v="0"/>
    <x v="0"/>
    <n v="45000"/>
    <n v="45000"/>
    <n v="0"/>
    <x v="650"/>
    <s v="Cali"/>
  </r>
  <r>
    <d v="2021-11-26T00:00:00"/>
    <x v="11"/>
    <x v="25"/>
    <x v="25"/>
    <n v="-45000"/>
    <n v="0"/>
    <n v="45000"/>
    <x v="650"/>
    <s v="Cali"/>
  </r>
  <r>
    <m/>
    <x v="1"/>
    <x v="23"/>
    <x v="23"/>
    <m/>
    <m/>
    <m/>
    <x v="1"/>
    <m/>
  </r>
  <r>
    <d v="2021-11-26T00:00:00"/>
    <x v="11"/>
    <x v="0"/>
    <x v="0"/>
    <n v="64000"/>
    <n v="64000"/>
    <n v="0"/>
    <x v="651"/>
    <s v="Cali"/>
  </r>
  <r>
    <d v="2021-11-26T00:00:00"/>
    <x v="11"/>
    <x v="13"/>
    <x v="13"/>
    <n v="-64000"/>
    <n v="0"/>
    <n v="64000"/>
    <x v="651"/>
    <s v="Cali"/>
  </r>
  <r>
    <m/>
    <x v="1"/>
    <x v="23"/>
    <x v="23"/>
    <m/>
    <m/>
    <m/>
    <x v="1"/>
    <m/>
  </r>
  <r>
    <d v="2021-11-29T00:00:00"/>
    <x v="11"/>
    <x v="0"/>
    <x v="0"/>
    <n v="10000"/>
    <n v="10000"/>
    <n v="0"/>
    <x v="236"/>
    <s v="Cali"/>
  </r>
  <r>
    <d v="2021-11-29T00:00:00"/>
    <x v="11"/>
    <x v="25"/>
    <x v="25"/>
    <n v="-10000"/>
    <n v="0"/>
    <n v="10000"/>
    <x v="236"/>
    <s v="Cali"/>
  </r>
  <r>
    <m/>
    <x v="1"/>
    <x v="23"/>
    <x v="23"/>
    <m/>
    <m/>
    <m/>
    <x v="1"/>
    <m/>
  </r>
  <r>
    <d v="2021-11-29T00:00:00"/>
    <x v="11"/>
    <x v="0"/>
    <x v="0"/>
    <n v="60000"/>
    <n v="60000"/>
    <n v="0"/>
    <x v="238"/>
    <s v="Cali"/>
  </r>
  <r>
    <d v="2021-11-29T00:00:00"/>
    <x v="11"/>
    <x v="25"/>
    <x v="25"/>
    <n v="-60000"/>
    <n v="0"/>
    <n v="60000"/>
    <x v="238"/>
    <s v="Cali"/>
  </r>
  <r>
    <m/>
    <x v="1"/>
    <x v="23"/>
    <x v="23"/>
    <m/>
    <m/>
    <m/>
    <x v="1"/>
    <m/>
  </r>
  <r>
    <d v="2021-11-29T00:00:00"/>
    <x v="11"/>
    <x v="0"/>
    <x v="0"/>
    <n v="10000"/>
    <n v="10000"/>
    <n v="0"/>
    <x v="277"/>
    <s v="Cali"/>
  </r>
  <r>
    <d v="2021-11-29T00:00:00"/>
    <x v="11"/>
    <x v="25"/>
    <x v="25"/>
    <n v="-10000"/>
    <n v="0"/>
    <n v="10000"/>
    <x v="277"/>
    <s v="Cali"/>
  </r>
  <r>
    <m/>
    <x v="1"/>
    <x v="23"/>
    <x v="23"/>
    <m/>
    <m/>
    <m/>
    <x v="1"/>
    <m/>
  </r>
  <r>
    <d v="2021-11-29T00:00:00"/>
    <x v="11"/>
    <x v="0"/>
    <x v="0"/>
    <n v="73000"/>
    <n v="73000"/>
    <n v="0"/>
    <x v="240"/>
    <s v="Cali"/>
  </r>
  <r>
    <d v="2021-11-29T00:00:00"/>
    <x v="11"/>
    <x v="26"/>
    <x v="26"/>
    <n v="-73000"/>
    <n v="0"/>
    <n v="73000"/>
    <x v="240"/>
    <s v="Cali"/>
  </r>
  <r>
    <m/>
    <x v="1"/>
    <x v="23"/>
    <x v="23"/>
    <m/>
    <m/>
    <m/>
    <x v="1"/>
    <m/>
  </r>
  <r>
    <d v="2021-11-29T00:00:00"/>
    <x v="11"/>
    <x v="0"/>
    <x v="0"/>
    <n v="40000"/>
    <n v="40000"/>
    <n v="0"/>
    <x v="241"/>
    <s v="Cali"/>
  </r>
  <r>
    <d v="2021-11-29T00:00:00"/>
    <x v="11"/>
    <x v="26"/>
    <x v="26"/>
    <n v="-40000"/>
    <n v="0"/>
    <n v="40000"/>
    <x v="241"/>
    <s v="Cali"/>
  </r>
  <r>
    <m/>
    <x v="1"/>
    <x v="23"/>
    <x v="23"/>
    <m/>
    <m/>
    <m/>
    <x v="1"/>
    <m/>
  </r>
  <r>
    <d v="2021-11-29T00:00:00"/>
    <x v="11"/>
    <x v="0"/>
    <x v="0"/>
    <n v="25000"/>
    <n v="25000"/>
    <n v="0"/>
    <x v="138"/>
    <s v="Cali"/>
  </r>
  <r>
    <d v="2021-11-29T00:00:00"/>
    <x v="11"/>
    <x v="27"/>
    <x v="27"/>
    <n v="-25000"/>
    <n v="0"/>
    <n v="25000"/>
    <x v="138"/>
    <s v="Cali"/>
  </r>
  <r>
    <m/>
    <x v="1"/>
    <x v="23"/>
    <x v="23"/>
    <m/>
    <m/>
    <m/>
    <x v="1"/>
    <m/>
  </r>
  <r>
    <d v="2021-11-30T00:00:00"/>
    <x v="11"/>
    <x v="15"/>
    <x v="15"/>
    <n v="2967795"/>
    <n v="2967795"/>
    <n v="0"/>
    <x v="652"/>
    <s v="Cali"/>
  </r>
  <r>
    <d v="2021-11-30T00:00:00"/>
    <x v="11"/>
    <x v="14"/>
    <x v="14"/>
    <n v="175140"/>
    <n v="175140"/>
    <n v="0"/>
    <x v="652"/>
    <s v="Cali"/>
  </r>
  <r>
    <d v="2021-11-30T00:00:00"/>
    <x v="11"/>
    <x v="0"/>
    <x v="0"/>
    <n v="-3134885"/>
    <n v="0"/>
    <n v="3134885"/>
    <x v="652"/>
    <s v="Cali"/>
  </r>
  <r>
    <d v="2021-11-30T00:00:00"/>
    <x v="11"/>
    <x v="15"/>
    <x v="15"/>
    <n v="-8050"/>
    <n v="0"/>
    <n v="8050"/>
    <x v="653"/>
    <s v="Cali"/>
  </r>
  <r>
    <m/>
    <x v="1"/>
    <x v="23"/>
    <x v="23"/>
    <m/>
    <m/>
    <m/>
    <x v="1"/>
    <m/>
  </r>
  <r>
    <d v="2021-11-29T00:00:00"/>
    <x v="11"/>
    <x v="31"/>
    <x v="31"/>
    <n v="338983"/>
    <n v="338983"/>
    <n v="0"/>
    <x v="654"/>
    <s v="Cali"/>
  </r>
  <r>
    <d v="2021-11-29T00:00:00"/>
    <x v="11"/>
    <x v="17"/>
    <x v="17"/>
    <n v="-38983"/>
    <n v="0"/>
    <n v="38983"/>
    <x v="654"/>
    <s v="Cali"/>
  </r>
  <r>
    <d v="2021-11-29T00:00:00"/>
    <x v="11"/>
    <x v="0"/>
    <x v="0"/>
    <n v="-300000"/>
    <n v="0"/>
    <n v="300000"/>
    <x v="654"/>
    <s v="Cali"/>
  </r>
  <r>
    <m/>
    <x v="1"/>
    <x v="23"/>
    <x v="23"/>
    <m/>
    <m/>
    <m/>
    <x v="1"/>
    <m/>
  </r>
  <r>
    <d v="2021-11-30T00:00:00"/>
    <x v="11"/>
    <x v="0"/>
    <x v="0"/>
    <n v="10000"/>
    <n v="10000"/>
    <n v="0"/>
    <x v="198"/>
    <s v="Cali"/>
  </r>
  <r>
    <d v="2021-11-30T00:00:00"/>
    <x v="11"/>
    <x v="27"/>
    <x v="27"/>
    <n v="-10000"/>
    <n v="0"/>
    <n v="10000"/>
    <x v="198"/>
    <s v="Cali"/>
  </r>
  <r>
    <m/>
    <x v="1"/>
    <x v="23"/>
    <x v="23"/>
    <m/>
    <m/>
    <m/>
    <x v="1"/>
    <m/>
  </r>
  <r>
    <d v="2021-11-30T00:00:00"/>
    <x v="11"/>
    <x v="0"/>
    <x v="0"/>
    <n v="2195995"/>
    <n v="2195995"/>
    <n v="0"/>
    <x v="655"/>
    <s v="Cali"/>
  </r>
  <r>
    <d v="2021-11-30T00:00:00"/>
    <x v="11"/>
    <x v="44"/>
    <x v="44"/>
    <n v="-2195995"/>
    <n v="0"/>
    <n v="2195995"/>
    <x v="655"/>
    <s v="Cali"/>
  </r>
  <r>
    <m/>
    <x v="1"/>
    <x v="23"/>
    <x v="23"/>
    <m/>
    <m/>
    <m/>
    <x v="1"/>
    <m/>
  </r>
  <r>
    <d v="2021-11-30T00:00:00"/>
    <x v="11"/>
    <x v="0"/>
    <x v="0"/>
    <n v="1964258"/>
    <n v="1964258"/>
    <n v="0"/>
    <x v="656"/>
    <s v="Cali"/>
  </r>
  <r>
    <d v="2021-11-30T00:00:00"/>
    <x v="11"/>
    <x v="45"/>
    <x v="45"/>
    <n v="-1964258"/>
    <n v="0"/>
    <n v="1964258"/>
    <x v="656"/>
    <s v="Cali"/>
  </r>
  <r>
    <m/>
    <x v="1"/>
    <x v="23"/>
    <x v="23"/>
    <m/>
    <m/>
    <m/>
    <x v="1"/>
    <m/>
  </r>
  <r>
    <d v="2021-11-30T00:00:00"/>
    <x v="11"/>
    <x v="0"/>
    <x v="0"/>
    <n v="30000"/>
    <n v="30000"/>
    <n v="0"/>
    <x v="321"/>
    <s v="Cali"/>
  </r>
  <r>
    <d v="2021-11-30T00:00:00"/>
    <x v="11"/>
    <x v="27"/>
    <x v="27"/>
    <n v="-30000"/>
    <n v="0"/>
    <n v="30000"/>
    <x v="321"/>
    <s v="Cali"/>
  </r>
  <r>
    <m/>
    <x v="1"/>
    <x v="23"/>
    <x v="23"/>
    <m/>
    <m/>
    <m/>
    <x v="1"/>
    <m/>
  </r>
  <r>
    <d v="2021-11-30T00:00:00"/>
    <x v="11"/>
    <x v="0"/>
    <x v="0"/>
    <n v="30000"/>
    <n v="30000"/>
    <n v="0"/>
    <x v="308"/>
    <s v="Cali"/>
  </r>
  <r>
    <d v="2021-11-30T00:00:00"/>
    <x v="11"/>
    <x v="25"/>
    <x v="25"/>
    <n v="-30000"/>
    <n v="0"/>
    <n v="30000"/>
    <x v="308"/>
    <s v="Cali"/>
  </r>
  <r>
    <m/>
    <x v="1"/>
    <x v="23"/>
    <x v="23"/>
    <m/>
    <m/>
    <m/>
    <x v="1"/>
    <m/>
  </r>
  <r>
    <d v="2021-11-30T00:00:00"/>
    <x v="11"/>
    <x v="0"/>
    <x v="0"/>
    <n v="20000"/>
    <n v="20000"/>
    <n v="0"/>
    <x v="342"/>
    <s v="Cali"/>
  </r>
  <r>
    <d v="2021-11-30T00:00:00"/>
    <x v="11"/>
    <x v="25"/>
    <x v="25"/>
    <n v="-20000"/>
    <n v="0"/>
    <n v="20000"/>
    <x v="342"/>
    <s v="Cali"/>
  </r>
  <r>
    <m/>
    <x v="1"/>
    <x v="23"/>
    <x v="23"/>
    <m/>
    <m/>
    <m/>
    <x v="1"/>
    <m/>
  </r>
  <r>
    <d v="2021-11-30T00:00:00"/>
    <x v="11"/>
    <x v="0"/>
    <x v="0"/>
    <n v="20000"/>
    <n v="20000"/>
    <n v="0"/>
    <x v="132"/>
    <s v="Cali"/>
  </r>
  <r>
    <d v="2021-11-30T00:00:00"/>
    <x v="11"/>
    <x v="25"/>
    <x v="25"/>
    <n v="-20000"/>
    <n v="0"/>
    <n v="20000"/>
    <x v="132"/>
    <s v="Cali"/>
  </r>
  <r>
    <m/>
    <x v="1"/>
    <x v="23"/>
    <x v="23"/>
    <m/>
    <m/>
    <m/>
    <x v="1"/>
    <m/>
  </r>
  <r>
    <d v="2021-11-30T00:00:00"/>
    <x v="11"/>
    <x v="0"/>
    <x v="0"/>
    <n v="30000"/>
    <n v="30000"/>
    <n v="0"/>
    <x v="497"/>
    <s v="Cali"/>
  </r>
  <r>
    <d v="2021-11-30T00:00:00"/>
    <x v="11"/>
    <x v="25"/>
    <x v="25"/>
    <n v="-30000"/>
    <n v="0"/>
    <n v="30000"/>
    <x v="497"/>
    <s v="Cali"/>
  </r>
  <r>
    <m/>
    <x v="1"/>
    <x v="23"/>
    <x v="23"/>
    <m/>
    <m/>
    <m/>
    <x v="1"/>
    <m/>
  </r>
  <r>
    <d v="2021-11-30T00:00:00"/>
    <x v="11"/>
    <x v="0"/>
    <x v="0"/>
    <n v="20000"/>
    <n v="20000"/>
    <n v="0"/>
    <x v="174"/>
    <s v="Cali"/>
  </r>
  <r>
    <d v="2021-11-30T00:00:00"/>
    <x v="11"/>
    <x v="25"/>
    <x v="25"/>
    <n v="-20000"/>
    <n v="0"/>
    <n v="20000"/>
    <x v="174"/>
    <s v="Cali"/>
  </r>
  <r>
    <m/>
    <x v="1"/>
    <x v="23"/>
    <x v="23"/>
    <m/>
    <m/>
    <m/>
    <x v="1"/>
    <m/>
  </r>
  <r>
    <d v="2021-11-30T00:00:00"/>
    <x v="11"/>
    <x v="0"/>
    <x v="0"/>
    <n v="100000"/>
    <n v="100000"/>
    <n v="0"/>
    <x v="134"/>
    <s v="Cali"/>
  </r>
  <r>
    <d v="2021-11-30T00:00:00"/>
    <x v="11"/>
    <x v="26"/>
    <x v="26"/>
    <n v="-100000"/>
    <n v="0"/>
    <n v="100000"/>
    <x v="134"/>
    <s v="Cali"/>
  </r>
  <r>
    <m/>
    <x v="1"/>
    <x v="23"/>
    <x v="23"/>
    <m/>
    <m/>
    <m/>
    <x v="1"/>
    <m/>
  </r>
  <r>
    <d v="2021-11-30T00:00:00"/>
    <x v="11"/>
    <x v="0"/>
    <x v="0"/>
    <n v="50000"/>
    <n v="50000"/>
    <n v="0"/>
    <x v="135"/>
    <s v="Cali"/>
  </r>
  <r>
    <d v="2021-11-30T00:00:00"/>
    <x v="11"/>
    <x v="26"/>
    <x v="26"/>
    <n v="-50000"/>
    <n v="0"/>
    <n v="50000"/>
    <x v="135"/>
    <s v="Cali"/>
  </r>
  <r>
    <m/>
    <x v="1"/>
    <x v="23"/>
    <x v="23"/>
    <m/>
    <m/>
    <m/>
    <x v="1"/>
    <m/>
  </r>
  <r>
    <d v="2021-11-30T00:00:00"/>
    <x v="11"/>
    <x v="0"/>
    <x v="0"/>
    <n v="40000"/>
    <n v="40000"/>
    <n v="0"/>
    <x v="133"/>
    <s v="Cali"/>
  </r>
  <r>
    <d v="2021-11-30T00:00:00"/>
    <x v="11"/>
    <x v="25"/>
    <x v="25"/>
    <n v="-40000"/>
    <n v="0"/>
    <n v="40000"/>
    <x v="133"/>
    <s v="Cali"/>
  </r>
  <r>
    <m/>
    <x v="1"/>
    <x v="23"/>
    <x v="23"/>
    <m/>
    <m/>
    <m/>
    <x v="1"/>
    <m/>
  </r>
  <r>
    <d v="2021-11-30T00:00:00"/>
    <x v="11"/>
    <x v="0"/>
    <x v="0"/>
    <n v="19360"/>
    <n v="19360"/>
    <n v="0"/>
    <x v="657"/>
    <s v="Cali"/>
  </r>
  <r>
    <d v="2021-11-30T00:00:00"/>
    <x v="11"/>
    <x v="25"/>
    <x v="25"/>
    <n v="-20000"/>
    <n v="0"/>
    <n v="20000"/>
    <x v="657"/>
    <s v="Cali"/>
  </r>
  <r>
    <d v="2021-11-30T00:00:00"/>
    <x v="11"/>
    <x v="31"/>
    <x v="31"/>
    <n v="640"/>
    <n v="640"/>
    <n v="0"/>
    <x v="657"/>
    <s v="Cali"/>
  </r>
  <r>
    <m/>
    <x v="1"/>
    <x v="23"/>
    <x v="23"/>
    <m/>
    <m/>
    <m/>
    <x v="1"/>
    <m/>
  </r>
  <r>
    <d v="2021-11-30T00:00:00"/>
    <x v="11"/>
    <x v="0"/>
    <x v="0"/>
    <n v="20000"/>
    <n v="20000"/>
    <n v="0"/>
    <x v="151"/>
    <s v="Cali"/>
  </r>
  <r>
    <d v="2021-11-30T00:00:00"/>
    <x v="11"/>
    <x v="25"/>
    <x v="25"/>
    <n v="-20000"/>
    <n v="0"/>
    <n v="20000"/>
    <x v="151"/>
    <s v="Cali"/>
  </r>
  <r>
    <m/>
    <x v="1"/>
    <x v="23"/>
    <x v="23"/>
    <m/>
    <m/>
    <m/>
    <x v="1"/>
    <m/>
  </r>
  <r>
    <d v="2021-11-30T00:00:00"/>
    <x v="11"/>
    <x v="0"/>
    <x v="0"/>
    <n v="60000"/>
    <n v="60000"/>
    <n v="0"/>
    <x v="65"/>
    <s v="Cali"/>
  </r>
  <r>
    <d v="2021-11-30T00:00:00"/>
    <x v="11"/>
    <x v="29"/>
    <x v="29"/>
    <n v="-60000"/>
    <n v="0"/>
    <n v="60000"/>
    <x v="65"/>
    <s v="Cali"/>
  </r>
  <r>
    <m/>
    <x v="1"/>
    <x v="23"/>
    <x v="23"/>
    <m/>
    <m/>
    <m/>
    <x v="1"/>
    <m/>
  </r>
  <r>
    <d v="2021-11-30T00:00:00"/>
    <x v="11"/>
    <x v="0"/>
    <x v="0"/>
    <n v="30000"/>
    <n v="30000"/>
    <n v="0"/>
    <x v="65"/>
    <s v="Cali"/>
  </r>
  <r>
    <d v="2021-11-30T00:00:00"/>
    <x v="11"/>
    <x v="29"/>
    <x v="29"/>
    <n v="-30000"/>
    <n v="0"/>
    <n v="30000"/>
    <x v="65"/>
    <s v="Cali"/>
  </r>
  <r>
    <m/>
    <x v="1"/>
    <x v="23"/>
    <x v="23"/>
    <m/>
    <m/>
    <m/>
    <x v="1"/>
    <m/>
  </r>
  <r>
    <d v="2021-11-30T00:00:00"/>
    <x v="11"/>
    <x v="0"/>
    <x v="0"/>
    <n v="20000"/>
    <n v="20000"/>
    <n v="0"/>
    <x v="65"/>
    <s v="Cali"/>
  </r>
  <r>
    <d v="2021-11-30T00:00:00"/>
    <x v="11"/>
    <x v="29"/>
    <x v="29"/>
    <n v="-20000"/>
    <n v="0"/>
    <n v="20000"/>
    <x v="65"/>
    <s v="Cali"/>
  </r>
  <r>
    <m/>
    <x v="1"/>
    <x v="23"/>
    <x v="23"/>
    <m/>
    <m/>
    <m/>
    <x v="1"/>
    <m/>
  </r>
  <r>
    <d v="2021-11-30T00:00:00"/>
    <x v="11"/>
    <x v="0"/>
    <x v="0"/>
    <n v="40000"/>
    <n v="40000"/>
    <n v="0"/>
    <x v="157"/>
    <s v="Cali"/>
  </r>
  <r>
    <d v="2021-11-30T00:00:00"/>
    <x v="11"/>
    <x v="27"/>
    <x v="27"/>
    <n v="-40000"/>
    <n v="0"/>
    <n v="40000"/>
    <x v="157"/>
    <s v="Cali"/>
  </r>
  <r>
    <m/>
    <x v="1"/>
    <x v="23"/>
    <x v="23"/>
    <m/>
    <m/>
    <m/>
    <x v="1"/>
    <m/>
  </r>
  <r>
    <d v="2021-11-30T00:00:00"/>
    <x v="11"/>
    <x v="0"/>
    <x v="0"/>
    <n v="50000"/>
    <n v="50000"/>
    <n v="0"/>
    <x v="618"/>
    <s v="Cali"/>
  </r>
  <r>
    <d v="2021-11-30T00:00:00"/>
    <x v="11"/>
    <x v="25"/>
    <x v="25"/>
    <n v="-50000"/>
    <n v="0"/>
    <n v="50000"/>
    <x v="618"/>
    <s v="Cali"/>
  </r>
  <r>
    <m/>
    <x v="1"/>
    <x v="23"/>
    <x v="23"/>
    <m/>
    <m/>
    <m/>
    <x v="1"/>
    <m/>
  </r>
  <r>
    <d v="2021-11-30T00:00:00"/>
    <x v="11"/>
    <x v="0"/>
    <x v="0"/>
    <n v="20000"/>
    <n v="20000"/>
    <n v="0"/>
    <x v="246"/>
    <s v="Cali"/>
  </r>
  <r>
    <d v="2021-11-30T00:00:00"/>
    <x v="11"/>
    <x v="25"/>
    <x v="25"/>
    <n v="-20000"/>
    <n v="0"/>
    <n v="20000"/>
    <x v="246"/>
    <s v="Cali"/>
  </r>
  <r>
    <m/>
    <x v="1"/>
    <x v="23"/>
    <x v="23"/>
    <m/>
    <m/>
    <m/>
    <x v="1"/>
    <m/>
  </r>
  <r>
    <d v="2021-11-30T00:00:00"/>
    <x v="11"/>
    <x v="32"/>
    <x v="32"/>
    <n v="-592000"/>
    <n v="0"/>
    <n v="592000"/>
    <x v="658"/>
    <s v="Cali"/>
  </r>
  <r>
    <d v="2021-11-30T00:00:00"/>
    <x v="11"/>
    <x v="33"/>
    <x v="33"/>
    <n v="0"/>
    <n v="0"/>
    <n v="0"/>
    <x v="658"/>
    <s v="Cali"/>
  </r>
  <r>
    <d v="2021-11-30T00:00:00"/>
    <x v="11"/>
    <x v="34"/>
    <x v="34"/>
    <n v="-1000100"/>
    <n v="0"/>
    <n v="1000100"/>
    <x v="658"/>
    <s v="Cali"/>
  </r>
  <r>
    <d v="2021-11-30T00:00:00"/>
    <x v="11"/>
    <x v="35"/>
    <x v="35"/>
    <n v="-3666000"/>
    <n v="0"/>
    <n v="3666000"/>
    <x v="658"/>
    <s v="Cali"/>
  </r>
  <r>
    <d v="2021-11-30T00:00:00"/>
    <x v="11"/>
    <x v="36"/>
    <x v="36"/>
    <n v="-4310600"/>
    <n v="0"/>
    <n v="4310600"/>
    <x v="658"/>
    <s v="Cali"/>
  </r>
  <r>
    <d v="2021-11-30T00:00:00"/>
    <x v="11"/>
    <x v="37"/>
    <x v="37"/>
    <n v="-8692913"/>
    <n v="0"/>
    <n v="8692913"/>
    <x v="658"/>
    <s v="Cali"/>
  </r>
  <r>
    <d v="2021-11-30T00:00:00"/>
    <x v="11"/>
    <x v="29"/>
    <x v="29"/>
    <n v="592000"/>
    <n v="592000"/>
    <n v="0"/>
    <x v="658"/>
    <s v="Cali"/>
  </r>
  <r>
    <d v="2021-11-30T00:00:00"/>
    <x v="11"/>
    <x v="27"/>
    <x v="27"/>
    <n v="1000100"/>
    <n v="1000100"/>
    <n v="0"/>
    <x v="658"/>
    <s v="Cali"/>
  </r>
  <r>
    <d v="2021-11-30T00:00:00"/>
    <x v="11"/>
    <x v="25"/>
    <x v="25"/>
    <n v="3666000"/>
    <n v="3666000"/>
    <n v="0"/>
    <x v="658"/>
    <s v="Cali"/>
  </r>
  <r>
    <d v="2021-11-30T00:00:00"/>
    <x v="11"/>
    <x v="5"/>
    <x v="5"/>
    <n v="13003513"/>
    <n v="13003513"/>
    <n v="0"/>
    <x v="658"/>
    <s v="Cali"/>
  </r>
  <r>
    <d v="2021-11-30T00:00:00"/>
    <x v="11"/>
    <x v="15"/>
    <x v="15"/>
    <n v="-3085459"/>
    <n v="0"/>
    <n v="3085459"/>
    <x v="658"/>
    <s v="Cali"/>
  </r>
  <r>
    <d v="2021-11-30T00:00:00"/>
    <x v="11"/>
    <x v="38"/>
    <x v="38"/>
    <n v="3085459"/>
    <n v="3085459"/>
    <n v="0"/>
    <x v="658"/>
    <s v="Cali"/>
  </r>
  <r>
    <d v="2021-11-30T00:00:00"/>
    <x v="11"/>
    <x v="16"/>
    <x v="16"/>
    <n v="-71040"/>
    <n v="0"/>
    <n v="71040"/>
    <x v="658"/>
    <s v="Cali"/>
  </r>
  <r>
    <d v="2021-11-30T00:00:00"/>
    <x v="11"/>
    <x v="14"/>
    <x v="14"/>
    <n v="-182616"/>
    <n v="0"/>
    <n v="182616"/>
    <x v="658"/>
    <s v="Cali"/>
  </r>
  <r>
    <d v="2021-11-30T00:00:00"/>
    <x v="11"/>
    <x v="39"/>
    <x v="39"/>
    <n v="71040"/>
    <n v="71040"/>
    <n v="0"/>
    <x v="658"/>
    <s v="Cali"/>
  </r>
  <r>
    <d v="2021-11-30T00:00:00"/>
    <x v="11"/>
    <x v="40"/>
    <x v="40"/>
    <n v="182616"/>
    <n v="182616"/>
    <n v="0"/>
    <x v="658"/>
    <s v="Cali"/>
  </r>
  <r>
    <d v="2021-11-30T00:00:00"/>
    <x v="11"/>
    <x v="41"/>
    <x v="41"/>
    <n v="-5957168"/>
    <n v="0"/>
    <n v="5957168"/>
    <x v="658"/>
    <s v="Cali"/>
  </r>
  <r>
    <d v="2021-11-30T00:00:00"/>
    <x v="11"/>
    <x v="42"/>
    <x v="42"/>
    <n v="-2035500"/>
    <n v="0"/>
    <n v="2035500"/>
    <x v="658"/>
    <s v="Cali"/>
  </r>
  <r>
    <d v="2021-11-30T00:00:00"/>
    <x v="11"/>
    <x v="43"/>
    <x v="43"/>
    <n v="407610"/>
    <n v="407610"/>
    <n v="0"/>
    <x v="658"/>
    <s v="Cali"/>
  </r>
  <r>
    <d v="2021-11-30T00:00:00"/>
    <x v="11"/>
    <x v="43"/>
    <x v="43"/>
    <n v="50888"/>
    <n v="50888"/>
    <n v="0"/>
    <x v="658"/>
    <s v="Cali"/>
  </r>
  <r>
    <d v="2021-11-30T00:00:00"/>
    <x v="11"/>
    <x v="38"/>
    <x v="38"/>
    <n v="3293992"/>
    <n v="3293992"/>
    <n v="0"/>
    <x v="658"/>
    <s v="Cali"/>
  </r>
  <r>
    <d v="2021-11-30T00:00:00"/>
    <x v="11"/>
    <x v="40"/>
    <x v="40"/>
    <n v="59572"/>
    <n v="59572"/>
    <n v="0"/>
    <x v="658"/>
    <s v="Cali"/>
  </r>
  <r>
    <d v="2021-11-30T00:00:00"/>
    <x v="11"/>
    <x v="40"/>
    <x v="40"/>
    <n v="20355"/>
    <n v="20355"/>
    <n v="0"/>
    <x v="658"/>
    <s v="Cali"/>
  </r>
  <r>
    <d v="2021-11-30T00:00:00"/>
    <x v="11"/>
    <x v="44"/>
    <x v="44"/>
    <n v="2195994"/>
    <n v="2195994"/>
    <n v="0"/>
    <x v="658"/>
    <s v="Cali"/>
  </r>
  <r>
    <d v="2021-11-30T00:00:00"/>
    <x v="11"/>
    <x v="45"/>
    <x v="45"/>
    <n v="1964257"/>
    <n v="1964257"/>
    <n v="0"/>
    <x v="658"/>
    <s v="Cali"/>
  </r>
  <r>
    <d v="2021-11-30T00:00:00"/>
    <x v="11"/>
    <x v="5"/>
    <x v="5"/>
    <n v="-416255"/>
    <n v="0"/>
    <n v="416255"/>
    <x v="658"/>
    <s v="Cali"/>
  </r>
  <r>
    <d v="2021-11-30T00:00:00"/>
    <x v="11"/>
    <x v="30"/>
    <x v="30"/>
    <n v="416255"/>
    <n v="416255"/>
    <n v="0"/>
    <x v="658"/>
    <s v="Cali"/>
  </r>
  <r>
    <m/>
    <x v="1"/>
    <x v="23"/>
    <x v="23"/>
    <m/>
    <m/>
    <m/>
    <x v="1"/>
    <m/>
  </r>
  <r>
    <d v="2021-11-30T00:00:00"/>
    <x v="11"/>
    <x v="13"/>
    <x v="13"/>
    <n v="30000"/>
    <n v="30000"/>
    <n v="0"/>
    <x v="465"/>
    <s v="Cali"/>
  </r>
  <r>
    <d v="2021-11-30T00:00:00"/>
    <x v="11"/>
    <x v="13"/>
    <x v="13"/>
    <n v="30000"/>
    <n v="30000"/>
    <n v="0"/>
    <x v="405"/>
    <s v="Cali"/>
  </r>
  <r>
    <d v="2021-11-30T00:00:00"/>
    <x v="11"/>
    <x v="13"/>
    <x v="13"/>
    <n v="29040"/>
    <n v="29040"/>
    <n v="0"/>
    <x v="659"/>
    <s v="Cali"/>
  </r>
  <r>
    <d v="2021-11-30T00:00:00"/>
    <x v="11"/>
    <x v="13"/>
    <x v="13"/>
    <n v="20000"/>
    <n v="20000"/>
    <n v="0"/>
    <x v="299"/>
    <s v="Cali"/>
  </r>
  <r>
    <d v="2021-11-30T00:00:00"/>
    <x v="11"/>
    <x v="13"/>
    <x v="13"/>
    <n v="80000"/>
    <n v="80000"/>
    <n v="0"/>
    <x v="463"/>
    <s v="Cali"/>
  </r>
  <r>
    <d v="2021-11-30T00:00:00"/>
    <x v="11"/>
    <x v="13"/>
    <x v="13"/>
    <n v="20000"/>
    <n v="20000"/>
    <n v="0"/>
    <x v="660"/>
    <s v="Cali"/>
  </r>
  <r>
    <d v="2021-11-30T00:00:00"/>
    <x v="11"/>
    <x v="13"/>
    <x v="13"/>
    <n v="50000"/>
    <n v="50000"/>
    <n v="0"/>
    <x v="357"/>
    <s v="Cali"/>
  </r>
  <r>
    <d v="2021-11-30T00:00:00"/>
    <x v="11"/>
    <x v="13"/>
    <x v="13"/>
    <n v="50000"/>
    <n v="50000"/>
    <n v="0"/>
    <x v="220"/>
    <s v="Cali"/>
  </r>
  <r>
    <d v="2021-11-30T00:00:00"/>
    <x v="11"/>
    <x v="13"/>
    <x v="13"/>
    <n v="120000"/>
    <n v="120000"/>
    <n v="0"/>
    <x v="155"/>
    <s v="Cali"/>
  </r>
  <r>
    <d v="2021-11-30T00:00:00"/>
    <x v="11"/>
    <x v="13"/>
    <x v="13"/>
    <n v="-45290"/>
    <n v="0"/>
    <n v="45290"/>
    <x v="661"/>
    <s v="Cali"/>
  </r>
  <r>
    <d v="2021-11-30T00:00:00"/>
    <x v="11"/>
    <x v="13"/>
    <x v="13"/>
    <n v="30000"/>
    <n v="30000"/>
    <n v="0"/>
    <x v="221"/>
    <s v="Cali"/>
  </r>
  <r>
    <d v="2021-11-30T00:00:00"/>
    <x v="11"/>
    <x v="13"/>
    <x v="13"/>
    <n v="16686"/>
    <n v="16686"/>
    <n v="0"/>
    <x v="662"/>
    <s v="Cali"/>
  </r>
  <r>
    <d v="2021-11-30T00:00:00"/>
    <x v="11"/>
    <x v="13"/>
    <x v="13"/>
    <n v="21000"/>
    <n v="21000"/>
    <n v="0"/>
    <x v="545"/>
    <s v="Cali"/>
  </r>
  <r>
    <d v="2021-11-30T00:00:00"/>
    <x v="11"/>
    <x v="13"/>
    <x v="13"/>
    <n v="35000"/>
    <n v="35000"/>
    <n v="0"/>
    <x v="546"/>
    <s v="Cali"/>
  </r>
  <r>
    <d v="2021-11-30T00:00:00"/>
    <x v="11"/>
    <x v="13"/>
    <x v="13"/>
    <n v="15000"/>
    <n v="15000"/>
    <n v="0"/>
    <x v="301"/>
    <s v="Cali"/>
  </r>
  <r>
    <d v="2021-11-30T00:00:00"/>
    <x v="11"/>
    <x v="13"/>
    <x v="13"/>
    <n v="9816"/>
    <n v="9816"/>
    <n v="0"/>
    <x v="663"/>
    <s v="Cali"/>
  </r>
  <r>
    <d v="2021-11-30T00:00:00"/>
    <x v="11"/>
    <x v="13"/>
    <x v="13"/>
    <n v="14519"/>
    <n v="14519"/>
    <n v="0"/>
    <x v="664"/>
    <s v="Cali"/>
  </r>
  <r>
    <d v="2021-11-30T00:00:00"/>
    <x v="11"/>
    <x v="13"/>
    <x v="13"/>
    <n v="29040"/>
    <n v="29040"/>
    <n v="0"/>
    <x v="665"/>
    <s v="Cali"/>
  </r>
  <r>
    <d v="2021-11-30T00:00:00"/>
    <x v="11"/>
    <x v="13"/>
    <x v="13"/>
    <n v="49078"/>
    <n v="49078"/>
    <n v="0"/>
    <x v="666"/>
    <s v="Cali"/>
  </r>
  <r>
    <d v="2021-11-30T00:00:00"/>
    <x v="11"/>
    <x v="13"/>
    <x v="13"/>
    <n v="90000"/>
    <n v="90000"/>
    <n v="0"/>
    <x v="407"/>
    <s v="Cali"/>
  </r>
  <r>
    <d v="2021-11-30T00:00:00"/>
    <x v="11"/>
    <x v="13"/>
    <x v="13"/>
    <n v="9816"/>
    <n v="9816"/>
    <n v="0"/>
    <x v="667"/>
    <s v="Cali"/>
  </r>
  <r>
    <d v="2021-11-30T00:00:00"/>
    <x v="11"/>
    <x v="13"/>
    <x v="13"/>
    <n v="60000"/>
    <n v="60000"/>
    <n v="0"/>
    <x v="668"/>
    <s v="Cali"/>
  </r>
  <r>
    <d v="2021-11-30T00:00:00"/>
    <x v="11"/>
    <x v="13"/>
    <x v="13"/>
    <n v="9816"/>
    <n v="9816"/>
    <n v="0"/>
    <x v="669"/>
    <s v="Cali"/>
  </r>
  <r>
    <d v="2021-11-30T00:00:00"/>
    <x v="11"/>
    <x v="13"/>
    <x v="13"/>
    <n v="60000"/>
    <n v="60000"/>
    <n v="0"/>
    <x v="670"/>
    <s v="Cali"/>
  </r>
  <r>
    <d v="2021-11-30T00:00:00"/>
    <x v="11"/>
    <x v="13"/>
    <x v="13"/>
    <n v="30000"/>
    <n v="30000"/>
    <n v="0"/>
    <x v="304"/>
    <s v="Cali"/>
  </r>
  <r>
    <d v="2021-11-30T00:00:00"/>
    <x v="11"/>
    <x v="29"/>
    <x v="29"/>
    <n v="-30000"/>
    <n v="0"/>
    <n v="30000"/>
    <x v="465"/>
    <s v="Cali"/>
  </r>
  <r>
    <d v="2021-11-30T00:00:00"/>
    <x v="11"/>
    <x v="26"/>
    <x v="26"/>
    <n v="-30000"/>
    <n v="0"/>
    <n v="30000"/>
    <x v="405"/>
    <s v="Cali"/>
  </r>
  <r>
    <d v="2021-11-30T00:00:00"/>
    <x v="11"/>
    <x v="25"/>
    <x v="25"/>
    <n v="-30000"/>
    <n v="0"/>
    <n v="30000"/>
    <x v="659"/>
    <s v="Cali"/>
  </r>
  <r>
    <d v="2021-11-30T00:00:00"/>
    <x v="11"/>
    <x v="31"/>
    <x v="31"/>
    <n v="960"/>
    <n v="960"/>
    <n v="0"/>
    <x v="659"/>
    <s v="Cali"/>
  </r>
  <r>
    <d v="2021-11-30T00:00:00"/>
    <x v="11"/>
    <x v="26"/>
    <x v="26"/>
    <n v="-20000"/>
    <n v="0"/>
    <n v="20000"/>
    <x v="299"/>
    <s v="Cali"/>
  </r>
  <r>
    <d v="2021-11-30T00:00:00"/>
    <x v="11"/>
    <x v="25"/>
    <x v="25"/>
    <n v="-80000"/>
    <n v="0"/>
    <n v="80000"/>
    <x v="463"/>
    <s v="Cali"/>
  </r>
  <r>
    <d v="2021-11-30T00:00:00"/>
    <x v="11"/>
    <x v="25"/>
    <x v="25"/>
    <n v="-20000"/>
    <n v="0"/>
    <n v="20000"/>
    <x v="660"/>
    <s v="Cali"/>
  </r>
  <r>
    <d v="2021-11-30T00:00:00"/>
    <x v="11"/>
    <x v="26"/>
    <x v="26"/>
    <n v="-50000"/>
    <n v="0"/>
    <n v="50000"/>
    <x v="357"/>
    <s v="Cali"/>
  </r>
  <r>
    <d v="2021-11-30T00:00:00"/>
    <x v="11"/>
    <x v="25"/>
    <x v="25"/>
    <n v="-50000"/>
    <n v="0"/>
    <n v="50000"/>
    <x v="220"/>
    <s v="Cali"/>
  </r>
  <r>
    <d v="2021-11-30T00:00:00"/>
    <x v="11"/>
    <x v="27"/>
    <x v="27"/>
    <n v="-120000"/>
    <n v="0"/>
    <n v="120000"/>
    <x v="155"/>
    <s v="Cali"/>
  </r>
  <r>
    <d v="2021-11-30T00:00:00"/>
    <x v="11"/>
    <x v="17"/>
    <x v="17"/>
    <n v="45290"/>
    <n v="45290"/>
    <n v="0"/>
    <x v="661"/>
    <s v="Cali"/>
  </r>
  <r>
    <d v="2021-11-30T00:00:00"/>
    <x v="11"/>
    <x v="25"/>
    <x v="25"/>
    <n v="-30000"/>
    <n v="0"/>
    <n v="30000"/>
    <x v="221"/>
    <s v="Cali"/>
  </r>
  <r>
    <d v="2021-11-30T00:00:00"/>
    <x v="11"/>
    <x v="25"/>
    <x v="25"/>
    <n v="-17000"/>
    <n v="0"/>
    <n v="17000"/>
    <x v="662"/>
    <s v="Cali"/>
  </r>
  <r>
    <d v="2021-11-30T00:00:00"/>
    <x v="11"/>
    <x v="31"/>
    <x v="31"/>
    <n v="314"/>
    <n v="314"/>
    <n v="0"/>
    <x v="662"/>
    <s v="Cali"/>
  </r>
  <r>
    <d v="2021-11-30T00:00:00"/>
    <x v="11"/>
    <x v="27"/>
    <x v="27"/>
    <n v="-21000"/>
    <n v="0"/>
    <n v="21000"/>
    <x v="545"/>
    <s v="Cali"/>
  </r>
  <r>
    <d v="2021-11-30T00:00:00"/>
    <x v="11"/>
    <x v="25"/>
    <x v="25"/>
    <n v="-35000"/>
    <n v="0"/>
    <n v="35000"/>
    <x v="546"/>
    <s v="Cali"/>
  </r>
  <r>
    <d v="2021-11-30T00:00:00"/>
    <x v="11"/>
    <x v="25"/>
    <x v="25"/>
    <n v="-15000"/>
    <n v="0"/>
    <n v="15000"/>
    <x v="301"/>
    <s v="Cali"/>
  </r>
  <r>
    <d v="2021-11-30T00:00:00"/>
    <x v="11"/>
    <x v="25"/>
    <x v="25"/>
    <n v="-10000"/>
    <n v="0"/>
    <n v="10000"/>
    <x v="663"/>
    <s v="Cali"/>
  </r>
  <r>
    <d v="2021-11-30T00:00:00"/>
    <x v="11"/>
    <x v="31"/>
    <x v="31"/>
    <n v="184"/>
    <n v="184"/>
    <n v="0"/>
    <x v="663"/>
    <s v="Cali"/>
  </r>
  <r>
    <d v="2021-11-30T00:00:00"/>
    <x v="11"/>
    <x v="25"/>
    <x v="25"/>
    <n v="-15000"/>
    <n v="0"/>
    <n v="15000"/>
    <x v="664"/>
    <s v="Cali"/>
  </r>
  <r>
    <d v="2021-11-30T00:00:00"/>
    <x v="11"/>
    <x v="31"/>
    <x v="31"/>
    <n v="481"/>
    <n v="481"/>
    <n v="0"/>
    <x v="664"/>
    <s v="Cali"/>
  </r>
  <r>
    <d v="2021-11-30T00:00:00"/>
    <x v="11"/>
    <x v="25"/>
    <x v="25"/>
    <n v="-30000"/>
    <n v="0"/>
    <n v="30000"/>
    <x v="665"/>
    <s v="Cali"/>
  </r>
  <r>
    <d v="2021-11-30T00:00:00"/>
    <x v="11"/>
    <x v="31"/>
    <x v="31"/>
    <n v="960"/>
    <n v="960"/>
    <n v="0"/>
    <x v="665"/>
    <s v="Cali"/>
  </r>
  <r>
    <d v="2021-11-30T00:00:00"/>
    <x v="11"/>
    <x v="25"/>
    <x v="25"/>
    <n v="-50000"/>
    <n v="0"/>
    <n v="50000"/>
    <x v="666"/>
    <s v="Cali"/>
  </r>
  <r>
    <d v="2021-11-30T00:00:00"/>
    <x v="11"/>
    <x v="31"/>
    <x v="31"/>
    <n v="922"/>
    <n v="922"/>
    <n v="0"/>
    <x v="666"/>
    <s v="Cali"/>
  </r>
  <r>
    <d v="2021-11-30T00:00:00"/>
    <x v="11"/>
    <x v="25"/>
    <x v="25"/>
    <n v="-90000"/>
    <n v="0"/>
    <n v="90000"/>
    <x v="407"/>
    <s v="Cali"/>
  </r>
  <r>
    <d v="2021-11-30T00:00:00"/>
    <x v="11"/>
    <x v="25"/>
    <x v="25"/>
    <n v="-10000"/>
    <n v="0"/>
    <n v="10000"/>
    <x v="667"/>
    <s v="Cali"/>
  </r>
  <r>
    <d v="2021-11-30T00:00:00"/>
    <x v="11"/>
    <x v="31"/>
    <x v="31"/>
    <n v="184"/>
    <n v="184"/>
    <n v="0"/>
    <x v="667"/>
    <s v="Cali"/>
  </r>
  <r>
    <d v="2021-11-30T00:00:00"/>
    <x v="11"/>
    <x v="25"/>
    <x v="25"/>
    <n v="-60000"/>
    <n v="0"/>
    <n v="60000"/>
    <x v="668"/>
    <s v="Cali"/>
  </r>
  <r>
    <d v="2021-11-30T00:00:00"/>
    <x v="11"/>
    <x v="25"/>
    <x v="25"/>
    <n v="-10000"/>
    <n v="0"/>
    <n v="10000"/>
    <x v="669"/>
    <s v="Cali"/>
  </r>
  <r>
    <d v="2021-11-30T00:00:00"/>
    <x v="11"/>
    <x v="31"/>
    <x v="31"/>
    <n v="184"/>
    <n v="184"/>
    <n v="0"/>
    <x v="669"/>
    <s v="Cali"/>
  </r>
  <r>
    <d v="2021-11-30T00:00:00"/>
    <x v="11"/>
    <x v="25"/>
    <x v="25"/>
    <n v="-60000"/>
    <n v="0"/>
    <n v="60000"/>
    <x v="670"/>
    <s v="Cali"/>
  </r>
  <r>
    <d v="2021-11-30T00:00:00"/>
    <x v="11"/>
    <x v="25"/>
    <x v="25"/>
    <n v="-30000"/>
    <n v="0"/>
    <n v="30000"/>
    <x v="304"/>
    <s v="Cali"/>
  </r>
  <r>
    <m/>
    <x v="1"/>
    <x v="23"/>
    <x v="23"/>
    <m/>
    <m/>
    <m/>
    <x v="1"/>
    <m/>
  </r>
  <r>
    <d v="2021-11-10T00:00:00"/>
    <x v="11"/>
    <x v="31"/>
    <x v="31"/>
    <n v="12274"/>
    <n v="12274"/>
    <n v="0"/>
    <x v="671"/>
    <s v="Cali"/>
  </r>
  <r>
    <d v="2021-11-10T00:00:00"/>
    <x v="11"/>
    <x v="51"/>
    <x v="51"/>
    <n v="-12274"/>
    <n v="0"/>
    <n v="12274"/>
    <x v="671"/>
    <s v="Cali"/>
  </r>
  <r>
    <m/>
    <x v="1"/>
    <x v="23"/>
    <x v="23"/>
    <m/>
    <m/>
    <m/>
    <x v="1"/>
    <m/>
  </r>
  <r>
    <d v="2021-11-18T00:00:00"/>
    <x v="11"/>
    <x v="51"/>
    <x v="51"/>
    <n v="371036000"/>
    <n v="371036000"/>
    <n v="0"/>
    <x v="627"/>
    <s v="Cali"/>
  </r>
  <r>
    <d v="2021-11-18T00:00:00"/>
    <x v="11"/>
    <x v="53"/>
    <x v="53"/>
    <n v="-371036000"/>
    <n v="0"/>
    <n v="371036000"/>
    <x v="627"/>
    <s v="Cali"/>
  </r>
  <r>
    <m/>
    <x v="1"/>
    <x v="23"/>
    <x v="23"/>
    <m/>
    <m/>
    <m/>
    <x v="1"/>
    <m/>
  </r>
  <r>
    <d v="2021-11-18T00:00:00"/>
    <x v="11"/>
    <x v="53"/>
    <x v="53"/>
    <n v="289000000"/>
    <n v="289000000"/>
    <n v="0"/>
    <x v="672"/>
    <s v="Cali"/>
  </r>
  <r>
    <d v="2021-11-18T00:00:00"/>
    <x v="11"/>
    <x v="51"/>
    <x v="51"/>
    <n v="-289000000"/>
    <n v="0"/>
    <n v="289000000"/>
    <x v="672"/>
    <s v="Cali"/>
  </r>
  <r>
    <m/>
    <x v="1"/>
    <x v="23"/>
    <x v="23"/>
    <m/>
    <m/>
    <m/>
    <x v="1"/>
    <m/>
  </r>
  <r>
    <d v="2021-11-18T00:00:00"/>
    <x v="11"/>
    <x v="1"/>
    <x v="1"/>
    <n v="82000000"/>
    <n v="82000000"/>
    <n v="0"/>
    <x v="673"/>
    <s v="Cali"/>
  </r>
  <r>
    <d v="2021-11-18T00:00:00"/>
    <x v="11"/>
    <x v="51"/>
    <x v="51"/>
    <n v="-82000000"/>
    <n v="0"/>
    <n v="82000000"/>
    <x v="673"/>
    <s v="Cali"/>
  </r>
  <r>
    <m/>
    <x v="1"/>
    <x v="23"/>
    <x v="23"/>
    <m/>
    <m/>
    <m/>
    <x v="1"/>
    <m/>
  </r>
  <r>
    <d v="2021-11-08T00:00:00"/>
    <x v="11"/>
    <x v="31"/>
    <x v="31"/>
    <n v="2187"/>
    <n v="2187"/>
    <n v="0"/>
    <x v="215"/>
    <s v="Cali"/>
  </r>
  <r>
    <d v="2021-11-08T00:00:00"/>
    <x v="11"/>
    <x v="1"/>
    <x v="1"/>
    <n v="-2187"/>
    <n v="0"/>
    <n v="2187"/>
    <x v="215"/>
    <s v="Cali"/>
  </r>
  <r>
    <m/>
    <x v="1"/>
    <x v="23"/>
    <x v="23"/>
    <m/>
    <m/>
    <m/>
    <x v="1"/>
    <m/>
  </r>
  <r>
    <d v="2021-11-08T00:00:00"/>
    <x v="11"/>
    <x v="31"/>
    <x v="31"/>
    <n v="416"/>
    <n v="416"/>
    <n v="0"/>
    <x v="215"/>
    <s v="Cali"/>
  </r>
  <r>
    <d v="2021-11-08T00:00:00"/>
    <x v="11"/>
    <x v="1"/>
    <x v="1"/>
    <n v="-416"/>
    <n v="0"/>
    <n v="416"/>
    <x v="215"/>
    <s v="Cali"/>
  </r>
  <r>
    <m/>
    <x v="1"/>
    <x v="23"/>
    <x v="23"/>
    <m/>
    <m/>
    <m/>
    <x v="1"/>
    <m/>
  </r>
  <r>
    <d v="2021-11-09T00:00:00"/>
    <x v="11"/>
    <x v="12"/>
    <x v="12"/>
    <n v="5493952"/>
    <n v="5493952"/>
    <n v="0"/>
    <x v="674"/>
    <s v="Cali"/>
  </r>
  <r>
    <d v="2021-11-09T00:00:00"/>
    <x v="11"/>
    <x v="1"/>
    <x v="1"/>
    <n v="-5493952"/>
    <n v="0"/>
    <n v="5493952"/>
    <x v="674"/>
    <s v="Cali"/>
  </r>
  <r>
    <m/>
    <x v="1"/>
    <x v="23"/>
    <x v="23"/>
    <m/>
    <m/>
    <m/>
    <x v="1"/>
    <m/>
  </r>
  <r>
    <d v="2021-11-22T00:00:00"/>
    <x v="11"/>
    <x v="12"/>
    <x v="12"/>
    <n v="4400048"/>
    <n v="4400048"/>
    <n v="0"/>
    <x v="675"/>
    <s v="Cali"/>
  </r>
  <r>
    <d v="2021-11-22T00:00:00"/>
    <x v="11"/>
    <x v="1"/>
    <x v="1"/>
    <n v="-4400048"/>
    <n v="0"/>
    <n v="4400048"/>
    <x v="675"/>
    <s v="Cali"/>
  </r>
  <r>
    <m/>
    <x v="1"/>
    <x v="23"/>
    <x v="23"/>
    <m/>
    <m/>
    <m/>
    <x v="1"/>
    <m/>
  </r>
  <r>
    <d v="2021-11-22T00:00:00"/>
    <x v="11"/>
    <x v="48"/>
    <x v="48"/>
    <n v="106523067"/>
    <n v="106523067"/>
    <n v="0"/>
    <x v="676"/>
    <s v="Cali"/>
  </r>
  <r>
    <d v="2021-11-22T00:00:00"/>
    <x v="11"/>
    <x v="1"/>
    <x v="1"/>
    <n v="-106523067"/>
    <n v="0"/>
    <n v="106523067"/>
    <x v="676"/>
    <s v="Cali"/>
  </r>
  <r>
    <m/>
    <x v="1"/>
    <x v="23"/>
    <x v="23"/>
    <m/>
    <m/>
    <m/>
    <x v="1"/>
    <m/>
  </r>
  <r>
    <d v="2021-11-22T00:00:00"/>
    <x v="11"/>
    <x v="12"/>
    <x v="12"/>
    <n v="3005600"/>
    <n v="3005600"/>
    <n v="0"/>
    <x v="677"/>
    <s v="Cali"/>
  </r>
  <r>
    <d v="2021-11-22T00:00:00"/>
    <x v="11"/>
    <x v="1"/>
    <x v="1"/>
    <n v="-3005600"/>
    <n v="0"/>
    <n v="3005600"/>
    <x v="677"/>
    <s v="Cali"/>
  </r>
  <r>
    <m/>
    <x v="1"/>
    <x v="23"/>
    <x v="23"/>
    <m/>
    <m/>
    <m/>
    <x v="1"/>
    <m/>
  </r>
  <r>
    <d v="2021-11-22T00:00:00"/>
    <x v="11"/>
    <x v="11"/>
    <x v="11"/>
    <n v="-14930099"/>
    <m/>
    <n v="14930099"/>
    <x v="678"/>
    <s v="Cali"/>
  </r>
  <r>
    <d v="2021-11-22T00:00:00"/>
    <x v="11"/>
    <x v="8"/>
    <x v="8"/>
    <n v="126950219"/>
    <n v="126950219"/>
    <m/>
    <x v="129"/>
    <s v="Cali"/>
  </r>
  <r>
    <d v="2021-11-22T00:00:00"/>
    <x v="11"/>
    <x v="18"/>
    <x v="18"/>
    <n v="-5497053"/>
    <m/>
    <n v="5497053"/>
    <x v="679"/>
    <s v="Cali"/>
  </r>
  <r>
    <d v="2021-11-22T00:00:00"/>
    <x v="11"/>
    <x v="48"/>
    <x v="48"/>
    <n v="-106523067"/>
    <m/>
    <n v="106523067"/>
    <x v="680"/>
    <s v="Cali"/>
  </r>
  <r>
    <m/>
    <x v="1"/>
    <x v="23"/>
    <x v="23"/>
    <m/>
    <m/>
    <m/>
    <x v="1"/>
    <m/>
  </r>
  <r>
    <d v="2021-11-22T00:00:00"/>
    <x v="11"/>
    <x v="31"/>
    <x v="31"/>
    <n v="4644"/>
    <n v="4644"/>
    <n v="0"/>
    <x v="681"/>
    <s v="Cali"/>
  </r>
  <r>
    <d v="2021-11-22T00:00:00"/>
    <x v="11"/>
    <x v="1"/>
    <x v="1"/>
    <n v="-4644"/>
    <n v="0"/>
    <n v="4644"/>
    <x v="681"/>
    <s v="Cali"/>
  </r>
  <r>
    <m/>
    <x v="1"/>
    <x v="23"/>
    <x v="23"/>
    <m/>
    <m/>
    <m/>
    <x v="1"/>
    <m/>
  </r>
  <r>
    <d v="2021-11-22T00:00:00"/>
    <x v="11"/>
    <x v="31"/>
    <x v="31"/>
    <n v="882"/>
    <n v="882"/>
    <n v="0"/>
    <x v="681"/>
    <s v="Cali"/>
  </r>
  <r>
    <d v="2021-11-22T00:00:00"/>
    <x v="11"/>
    <x v="1"/>
    <x v="1"/>
    <n v="-882"/>
    <n v="0"/>
    <n v="882"/>
    <x v="681"/>
    <s v="Cali"/>
  </r>
  <r>
    <m/>
    <x v="1"/>
    <x v="23"/>
    <x v="23"/>
    <m/>
    <m/>
    <m/>
    <x v="1"/>
    <m/>
  </r>
  <r>
    <d v="2021-11-30T00:00:00"/>
    <x v="11"/>
    <x v="4"/>
    <x v="4"/>
    <n v="875000"/>
    <n v="875000"/>
    <n v="0"/>
    <x v="682"/>
    <s v="Cali"/>
  </r>
  <r>
    <d v="2021-11-30T00:00:00"/>
    <x v="11"/>
    <x v="25"/>
    <x v="25"/>
    <n v="-875000"/>
    <n v="0"/>
    <n v="875000"/>
    <x v="682"/>
    <s v="Cali"/>
  </r>
  <r>
    <m/>
    <x v="1"/>
    <x v="23"/>
    <x v="23"/>
    <m/>
    <m/>
    <m/>
    <x v="1"/>
    <m/>
  </r>
  <r>
    <d v="2021-11-30T00:00:00"/>
    <x v="11"/>
    <x v="4"/>
    <x v="4"/>
    <n v="25000"/>
    <n v="25000"/>
    <n v="0"/>
    <x v="683"/>
    <s v="Cali"/>
  </r>
  <r>
    <d v="2021-11-30T00:00:00"/>
    <x v="11"/>
    <x v="29"/>
    <x v="29"/>
    <n v="-25000"/>
    <n v="0"/>
    <n v="25000"/>
    <x v="683"/>
    <s v="Cali"/>
  </r>
  <r>
    <m/>
    <x v="1"/>
    <x v="23"/>
    <x v="23"/>
    <m/>
    <m/>
    <m/>
    <x v="1"/>
    <m/>
  </r>
  <r>
    <d v="2021-11-30T00:00:00"/>
    <x v="11"/>
    <x v="31"/>
    <x v="31"/>
    <n v="10000"/>
    <n v="10000"/>
    <n v="0"/>
    <x v="684"/>
    <s v="Cali"/>
  </r>
  <r>
    <d v="2021-11-30T00:00:00"/>
    <x v="11"/>
    <x v="27"/>
    <x v="27"/>
    <n v="-10000"/>
    <n v="0"/>
    <n v="10000"/>
    <x v="684"/>
    <s v="Cali"/>
  </r>
  <r>
    <m/>
    <x v="1"/>
    <x v="23"/>
    <x v="23"/>
    <m/>
    <m/>
    <m/>
    <x v="1"/>
    <m/>
  </r>
  <r>
    <d v="2021-11-30T00:00:00"/>
    <x v="11"/>
    <x v="46"/>
    <x v="46"/>
    <n v="0"/>
    <n v="0"/>
    <n v="0"/>
    <x v="110"/>
    <s v="Cali"/>
  </r>
  <r>
    <d v="2021-11-30T00:00:00"/>
    <x v="11"/>
    <x v="47"/>
    <x v="47"/>
    <n v="0"/>
    <n v="0"/>
    <n v="0"/>
    <x v="110"/>
    <s v="Cali"/>
  </r>
  <r>
    <m/>
    <x v="1"/>
    <x v="23"/>
    <x v="23"/>
    <m/>
    <m/>
    <m/>
    <x v="1"/>
    <m/>
  </r>
  <r>
    <d v="2021-11-30T00:00:00"/>
    <x v="11"/>
    <x v="2"/>
    <x v="2"/>
    <n v="0"/>
    <n v="0"/>
    <n v="0"/>
    <x v="111"/>
    <s v="Cali"/>
  </r>
  <r>
    <d v="2021-11-30T00:00:00"/>
    <x v="11"/>
    <x v="47"/>
    <x v="47"/>
    <n v="0"/>
    <n v="0"/>
    <n v="0"/>
    <x v="111"/>
    <s v="Cali"/>
  </r>
  <r>
    <m/>
    <x v="1"/>
    <x v="23"/>
    <x v="23"/>
    <m/>
    <m/>
    <m/>
    <x v="1"/>
    <m/>
  </r>
  <r>
    <d v="2021-11-30T00:00:00"/>
    <x v="11"/>
    <x v="3"/>
    <x v="3"/>
    <n v="0"/>
    <n v="0"/>
    <n v="0"/>
    <x v="112"/>
    <s v="Cali"/>
  </r>
  <r>
    <d v="2021-11-30T00:00:00"/>
    <x v="11"/>
    <x v="47"/>
    <x v="47"/>
    <n v="0"/>
    <n v="0"/>
    <n v="0"/>
    <x v="112"/>
    <s v="Cali"/>
  </r>
  <r>
    <m/>
    <x v="1"/>
    <x v="23"/>
    <x v="23"/>
    <m/>
    <m/>
    <m/>
    <x v="1"/>
    <m/>
  </r>
  <r>
    <d v="2021-11-30T00:00:00"/>
    <x v="11"/>
    <x v="53"/>
    <x v="53"/>
    <n v="1036000"/>
    <n v="1036000"/>
    <n v="0"/>
    <x v="305"/>
    <s v="Cali"/>
  </r>
  <r>
    <d v="2021-11-30T00:00:00"/>
    <x v="11"/>
    <x v="47"/>
    <x v="47"/>
    <n v="-1036000"/>
    <n v="0"/>
    <n v="1036000"/>
    <x v="305"/>
    <s v="Cali"/>
  </r>
  <r>
    <m/>
    <x v="1"/>
    <x v="23"/>
    <x v="23"/>
    <m/>
    <m/>
    <m/>
    <x v="1"/>
    <m/>
  </r>
  <r>
    <d v="2021-12-01T00:00:00"/>
    <x v="12"/>
    <x v="0"/>
    <x v="0"/>
    <n v="12000"/>
    <n v="12000"/>
    <n v="0"/>
    <x v="175"/>
    <s v="Cali"/>
  </r>
  <r>
    <d v="2021-12-01T00:00:00"/>
    <x v="12"/>
    <x v="25"/>
    <x v="25"/>
    <n v="-12000"/>
    <n v="0"/>
    <n v="12000"/>
    <x v="175"/>
    <s v="Cali"/>
  </r>
  <r>
    <m/>
    <x v="1"/>
    <x v="23"/>
    <x v="23"/>
    <m/>
    <m/>
    <m/>
    <x v="1"/>
    <m/>
  </r>
  <r>
    <d v="2021-12-01T00:00:00"/>
    <x v="12"/>
    <x v="0"/>
    <x v="0"/>
    <n v="10000"/>
    <n v="10000"/>
    <n v="0"/>
    <x v="142"/>
    <s v="Cali"/>
  </r>
  <r>
    <d v="2021-12-01T00:00:00"/>
    <x v="12"/>
    <x v="25"/>
    <x v="25"/>
    <n v="-10000"/>
    <n v="0"/>
    <n v="10000"/>
    <x v="142"/>
    <s v="Cali"/>
  </r>
  <r>
    <m/>
    <x v="1"/>
    <x v="23"/>
    <x v="23"/>
    <m/>
    <m/>
    <m/>
    <x v="1"/>
    <m/>
  </r>
  <r>
    <d v="2021-12-01T00:00:00"/>
    <x v="12"/>
    <x v="0"/>
    <x v="0"/>
    <n v="50000"/>
    <n v="50000"/>
    <n v="0"/>
    <x v="143"/>
    <s v="Cali"/>
  </r>
  <r>
    <d v="2021-12-01T00:00:00"/>
    <x v="12"/>
    <x v="25"/>
    <x v="25"/>
    <n v="-50000"/>
    <n v="0"/>
    <n v="50000"/>
    <x v="143"/>
    <s v="Cali"/>
  </r>
  <r>
    <m/>
    <x v="1"/>
    <x v="23"/>
    <x v="23"/>
    <m/>
    <m/>
    <m/>
    <x v="1"/>
    <m/>
  </r>
  <r>
    <d v="2021-12-01T00:00:00"/>
    <x v="12"/>
    <x v="0"/>
    <x v="0"/>
    <n v="14000"/>
    <n v="14000"/>
    <n v="0"/>
    <x v="289"/>
    <s v="Cali"/>
  </r>
  <r>
    <d v="2021-12-01T00:00:00"/>
    <x v="12"/>
    <x v="26"/>
    <x v="26"/>
    <n v="-14000"/>
    <n v="0"/>
    <n v="14000"/>
    <x v="289"/>
    <s v="Cali"/>
  </r>
  <r>
    <m/>
    <x v="1"/>
    <x v="23"/>
    <x v="23"/>
    <m/>
    <m/>
    <m/>
    <x v="1"/>
    <m/>
  </r>
  <r>
    <d v="2021-12-01T00:00:00"/>
    <x v="12"/>
    <x v="0"/>
    <x v="0"/>
    <n v="48000"/>
    <n v="48000"/>
    <n v="0"/>
    <x v="144"/>
    <s v="Cali"/>
  </r>
  <r>
    <d v="2021-12-01T00:00:00"/>
    <x v="12"/>
    <x v="27"/>
    <x v="27"/>
    <n v="-48000"/>
    <n v="0"/>
    <n v="48000"/>
    <x v="144"/>
    <s v="Cali"/>
  </r>
  <r>
    <m/>
    <x v="1"/>
    <x v="23"/>
    <x v="23"/>
    <m/>
    <m/>
    <m/>
    <x v="1"/>
    <m/>
  </r>
  <r>
    <d v="2021-12-01T00:00:00"/>
    <x v="12"/>
    <x v="0"/>
    <x v="0"/>
    <n v="40000"/>
    <n v="40000"/>
    <n v="0"/>
    <x v="145"/>
    <s v="Cali"/>
  </r>
  <r>
    <d v="2021-12-01T00:00:00"/>
    <x v="12"/>
    <x v="25"/>
    <x v="25"/>
    <n v="-40000"/>
    <n v="0"/>
    <n v="40000"/>
    <x v="145"/>
    <s v="Cali"/>
  </r>
  <r>
    <m/>
    <x v="1"/>
    <x v="23"/>
    <x v="23"/>
    <m/>
    <m/>
    <m/>
    <x v="1"/>
    <m/>
  </r>
  <r>
    <d v="2021-12-01T00:00:00"/>
    <x v="12"/>
    <x v="0"/>
    <x v="0"/>
    <n v="30000"/>
    <n v="30000"/>
    <n v="0"/>
    <x v="147"/>
    <s v="Cali"/>
  </r>
  <r>
    <d v="2021-12-01T00:00:00"/>
    <x v="12"/>
    <x v="26"/>
    <x v="26"/>
    <n v="-30000"/>
    <n v="0"/>
    <n v="30000"/>
    <x v="147"/>
    <s v="Cali"/>
  </r>
  <r>
    <m/>
    <x v="1"/>
    <x v="23"/>
    <x v="23"/>
    <m/>
    <m/>
    <m/>
    <x v="1"/>
    <m/>
  </r>
  <r>
    <d v="2021-12-01T00:00:00"/>
    <x v="12"/>
    <x v="0"/>
    <x v="0"/>
    <n v="40000"/>
    <n v="40000"/>
    <n v="0"/>
    <x v="168"/>
    <s v="Cali"/>
  </r>
  <r>
    <d v="2021-12-01T00:00:00"/>
    <x v="12"/>
    <x v="26"/>
    <x v="26"/>
    <n v="-40000"/>
    <n v="0"/>
    <n v="40000"/>
    <x v="168"/>
    <s v="Cali"/>
  </r>
  <r>
    <m/>
    <x v="1"/>
    <x v="23"/>
    <x v="23"/>
    <m/>
    <m/>
    <m/>
    <x v="1"/>
    <m/>
  </r>
  <r>
    <d v="2021-12-01T00:00:00"/>
    <x v="12"/>
    <x v="0"/>
    <x v="0"/>
    <n v="15000"/>
    <n v="15000"/>
    <n v="0"/>
    <x v="364"/>
    <s v="Cali"/>
  </r>
  <r>
    <d v="2021-12-01T00:00:00"/>
    <x v="12"/>
    <x v="25"/>
    <x v="25"/>
    <n v="-15000"/>
    <n v="0"/>
    <n v="15000"/>
    <x v="364"/>
    <s v="Cali"/>
  </r>
  <r>
    <m/>
    <x v="1"/>
    <x v="23"/>
    <x v="23"/>
    <m/>
    <m/>
    <m/>
    <x v="1"/>
    <m/>
  </r>
  <r>
    <d v="2021-12-01T00:00:00"/>
    <x v="12"/>
    <x v="0"/>
    <x v="0"/>
    <n v="100000"/>
    <n v="100000"/>
    <n v="0"/>
    <x v="685"/>
    <s v="Cali"/>
  </r>
  <r>
    <d v="2021-12-01T00:00:00"/>
    <x v="12"/>
    <x v="25"/>
    <x v="25"/>
    <n v="-100000"/>
    <n v="0"/>
    <n v="100000"/>
    <x v="685"/>
    <s v="Cali"/>
  </r>
  <r>
    <m/>
    <x v="1"/>
    <x v="23"/>
    <x v="23"/>
    <m/>
    <m/>
    <m/>
    <x v="1"/>
    <m/>
  </r>
  <r>
    <d v="2021-12-01T00:00:00"/>
    <x v="12"/>
    <x v="0"/>
    <x v="0"/>
    <n v="20000"/>
    <n v="20000"/>
    <n v="0"/>
    <x v="17"/>
    <s v="Cali"/>
  </r>
  <r>
    <d v="2021-12-01T00:00:00"/>
    <x v="12"/>
    <x v="25"/>
    <x v="25"/>
    <n v="-20000"/>
    <n v="0"/>
    <n v="20000"/>
    <x v="17"/>
    <s v="Cali"/>
  </r>
  <r>
    <m/>
    <x v="1"/>
    <x v="23"/>
    <x v="23"/>
    <m/>
    <m/>
    <m/>
    <x v="1"/>
    <m/>
  </r>
  <r>
    <d v="2021-12-01T00:00:00"/>
    <x v="12"/>
    <x v="0"/>
    <x v="0"/>
    <n v="50000"/>
    <n v="50000"/>
    <n v="0"/>
    <x v="19"/>
    <s v="Cali"/>
  </r>
  <r>
    <d v="2021-12-01T00:00:00"/>
    <x v="12"/>
    <x v="25"/>
    <x v="25"/>
    <n v="-50000"/>
    <n v="0"/>
    <n v="50000"/>
    <x v="19"/>
    <s v="Cali"/>
  </r>
  <r>
    <m/>
    <x v="1"/>
    <x v="23"/>
    <x v="23"/>
    <m/>
    <m/>
    <m/>
    <x v="1"/>
    <m/>
  </r>
  <r>
    <d v="2021-12-01T00:00:00"/>
    <x v="12"/>
    <x v="0"/>
    <x v="0"/>
    <n v="15000"/>
    <n v="15000"/>
    <n v="0"/>
    <x v="148"/>
    <s v="Cali"/>
  </r>
  <r>
    <d v="2021-12-01T00:00:00"/>
    <x v="12"/>
    <x v="25"/>
    <x v="25"/>
    <n v="-15000"/>
    <n v="0"/>
    <n v="15000"/>
    <x v="148"/>
    <s v="Cali"/>
  </r>
  <r>
    <m/>
    <x v="1"/>
    <x v="23"/>
    <x v="23"/>
    <m/>
    <m/>
    <m/>
    <x v="1"/>
    <m/>
  </r>
  <r>
    <d v="2021-12-01T00:00:00"/>
    <x v="12"/>
    <x v="0"/>
    <x v="0"/>
    <n v="70000"/>
    <n v="70000"/>
    <n v="0"/>
    <x v="515"/>
    <s v="Cali"/>
  </r>
  <r>
    <d v="2021-12-01T00:00:00"/>
    <x v="12"/>
    <x v="26"/>
    <x v="26"/>
    <n v="-70000"/>
    <n v="0"/>
    <n v="70000"/>
    <x v="515"/>
    <s v="Cali"/>
  </r>
  <r>
    <m/>
    <x v="1"/>
    <x v="23"/>
    <x v="23"/>
    <m/>
    <m/>
    <m/>
    <x v="1"/>
    <m/>
  </r>
  <r>
    <d v="2021-12-01T00:00:00"/>
    <x v="12"/>
    <x v="0"/>
    <x v="0"/>
    <n v="67759"/>
    <n v="67759"/>
    <n v="0"/>
    <x v="686"/>
    <s v="Cali"/>
  </r>
  <r>
    <d v="2021-12-01T00:00:00"/>
    <x v="12"/>
    <x v="25"/>
    <x v="25"/>
    <n v="-70000"/>
    <n v="0"/>
    <n v="70000"/>
    <x v="686"/>
    <s v="Cali"/>
  </r>
  <r>
    <d v="2021-12-01T00:00:00"/>
    <x v="12"/>
    <x v="31"/>
    <x v="31"/>
    <n v="2241"/>
    <n v="2241"/>
    <n v="0"/>
    <x v="686"/>
    <s v="Cali"/>
  </r>
  <r>
    <m/>
    <x v="1"/>
    <x v="23"/>
    <x v="23"/>
    <m/>
    <m/>
    <m/>
    <x v="1"/>
    <m/>
  </r>
  <r>
    <d v="2021-12-01T00:00:00"/>
    <x v="12"/>
    <x v="0"/>
    <x v="0"/>
    <n v="160000"/>
    <n v="160000"/>
    <n v="0"/>
    <x v="22"/>
    <s v="Cali"/>
  </r>
  <r>
    <d v="2021-12-01T00:00:00"/>
    <x v="12"/>
    <x v="27"/>
    <x v="27"/>
    <n v="-160000"/>
    <n v="0"/>
    <n v="160000"/>
    <x v="22"/>
    <s v="Cali"/>
  </r>
  <r>
    <m/>
    <x v="1"/>
    <x v="23"/>
    <x v="23"/>
    <m/>
    <m/>
    <m/>
    <x v="1"/>
    <m/>
  </r>
  <r>
    <d v="2021-12-01T00:00:00"/>
    <x v="12"/>
    <x v="0"/>
    <x v="0"/>
    <n v="50000"/>
    <n v="50000"/>
    <n v="0"/>
    <x v="634"/>
    <s v="Cali"/>
  </r>
  <r>
    <d v="2021-12-01T00:00:00"/>
    <x v="12"/>
    <x v="26"/>
    <x v="26"/>
    <n v="-50000"/>
    <n v="0"/>
    <n v="50000"/>
    <x v="634"/>
    <s v="Cali"/>
  </r>
  <r>
    <m/>
    <x v="1"/>
    <x v="23"/>
    <x v="23"/>
    <m/>
    <m/>
    <m/>
    <x v="1"/>
    <m/>
  </r>
  <r>
    <d v="2021-12-01T00:00:00"/>
    <x v="12"/>
    <x v="0"/>
    <x v="0"/>
    <n v="30000"/>
    <n v="30000"/>
    <n v="0"/>
    <x v="307"/>
    <s v="Cali"/>
  </r>
  <r>
    <d v="2021-12-01T00:00:00"/>
    <x v="12"/>
    <x v="25"/>
    <x v="25"/>
    <n v="-30000"/>
    <n v="0"/>
    <n v="30000"/>
    <x v="307"/>
    <s v="Cali"/>
  </r>
  <r>
    <m/>
    <x v="1"/>
    <x v="23"/>
    <x v="23"/>
    <m/>
    <m/>
    <m/>
    <x v="1"/>
    <m/>
  </r>
  <r>
    <d v="2021-12-01T00:00:00"/>
    <x v="12"/>
    <x v="0"/>
    <x v="0"/>
    <n v="250000"/>
    <n v="250000"/>
    <n v="0"/>
    <x v="687"/>
    <s v="Cali"/>
  </r>
  <r>
    <d v="2021-12-01T00:00:00"/>
    <x v="12"/>
    <x v="54"/>
    <x v="54"/>
    <n v="-250000"/>
    <n v="0"/>
    <n v="250000"/>
    <x v="687"/>
    <s v="Cali"/>
  </r>
  <r>
    <m/>
    <x v="1"/>
    <x v="23"/>
    <x v="23"/>
    <m/>
    <m/>
    <m/>
    <x v="1"/>
    <m/>
  </r>
  <r>
    <d v="2021-12-01T00:00:00"/>
    <x v="12"/>
    <x v="0"/>
    <x v="0"/>
    <n v="25000"/>
    <n v="25000"/>
    <n v="0"/>
    <x v="65"/>
    <s v="Cali"/>
  </r>
  <r>
    <d v="2021-12-01T00:00:00"/>
    <x v="12"/>
    <x v="4"/>
    <x v="4"/>
    <n v="-25000"/>
    <n v="0"/>
    <n v="25000"/>
    <x v="65"/>
    <s v="Cali"/>
  </r>
  <r>
    <m/>
    <x v="1"/>
    <x v="23"/>
    <x v="23"/>
    <m/>
    <m/>
    <m/>
    <x v="1"/>
    <m/>
  </r>
  <r>
    <d v="2021-12-02T00:00:00"/>
    <x v="12"/>
    <x v="0"/>
    <x v="0"/>
    <n v="500000"/>
    <n v="500000"/>
    <n v="0"/>
    <x v="608"/>
    <s v="Cali"/>
  </r>
  <r>
    <d v="2021-12-02T00:00:00"/>
    <x v="12"/>
    <x v="26"/>
    <x v="26"/>
    <n v="-500000"/>
    <n v="0"/>
    <n v="500000"/>
    <x v="608"/>
    <s v="Cali"/>
  </r>
  <r>
    <m/>
    <x v="1"/>
    <x v="23"/>
    <x v="23"/>
    <m/>
    <m/>
    <m/>
    <x v="1"/>
    <m/>
  </r>
  <r>
    <d v="2021-12-02T00:00:00"/>
    <x v="12"/>
    <x v="0"/>
    <x v="0"/>
    <n v="15000"/>
    <n v="15000"/>
    <n v="0"/>
    <x v="415"/>
    <s v="Cali"/>
  </r>
  <r>
    <d v="2021-12-02T00:00:00"/>
    <x v="12"/>
    <x v="25"/>
    <x v="25"/>
    <n v="-15000"/>
    <n v="0"/>
    <n v="15000"/>
    <x v="415"/>
    <s v="Cali"/>
  </r>
  <r>
    <m/>
    <x v="1"/>
    <x v="23"/>
    <x v="23"/>
    <m/>
    <m/>
    <m/>
    <x v="1"/>
    <m/>
  </r>
  <r>
    <d v="2021-12-02T00:00:00"/>
    <x v="12"/>
    <x v="0"/>
    <x v="0"/>
    <n v="30000"/>
    <n v="30000"/>
    <n v="0"/>
    <x v="239"/>
    <s v="Cali"/>
  </r>
  <r>
    <d v="2021-12-02T00:00:00"/>
    <x v="12"/>
    <x v="27"/>
    <x v="27"/>
    <n v="-30000"/>
    <n v="0"/>
    <n v="30000"/>
    <x v="239"/>
    <s v="Cali"/>
  </r>
  <r>
    <m/>
    <x v="1"/>
    <x v="23"/>
    <x v="23"/>
    <m/>
    <m/>
    <m/>
    <x v="1"/>
    <m/>
  </r>
  <r>
    <d v="2021-12-02T00:00:00"/>
    <x v="12"/>
    <x v="0"/>
    <x v="0"/>
    <n v="30000"/>
    <n v="30000"/>
    <n v="0"/>
    <x v="266"/>
    <s v="Cali"/>
  </r>
  <r>
    <d v="2021-12-02T00:00:00"/>
    <x v="12"/>
    <x v="25"/>
    <x v="25"/>
    <n v="-30000"/>
    <n v="0"/>
    <n v="30000"/>
    <x v="266"/>
    <s v="Cali"/>
  </r>
  <r>
    <m/>
    <x v="1"/>
    <x v="23"/>
    <x v="23"/>
    <m/>
    <m/>
    <m/>
    <x v="1"/>
    <m/>
  </r>
  <r>
    <d v="2021-12-02T00:00:00"/>
    <x v="12"/>
    <x v="0"/>
    <x v="0"/>
    <n v="20000"/>
    <n v="20000"/>
    <n v="0"/>
    <x v="165"/>
    <s v="Cali"/>
  </r>
  <r>
    <d v="2021-12-02T00:00:00"/>
    <x v="12"/>
    <x v="25"/>
    <x v="25"/>
    <n v="-20000"/>
    <n v="0"/>
    <n v="20000"/>
    <x v="165"/>
    <s v="Cali"/>
  </r>
  <r>
    <m/>
    <x v="1"/>
    <x v="23"/>
    <x v="23"/>
    <m/>
    <m/>
    <m/>
    <x v="1"/>
    <m/>
  </r>
  <r>
    <d v="2021-12-02T00:00:00"/>
    <x v="12"/>
    <x v="0"/>
    <x v="0"/>
    <n v="30000"/>
    <n v="30000"/>
    <n v="0"/>
    <x v="179"/>
    <s v="Cali"/>
  </r>
  <r>
    <d v="2021-12-02T00:00:00"/>
    <x v="12"/>
    <x v="25"/>
    <x v="25"/>
    <n v="-30000"/>
    <n v="0"/>
    <n v="30000"/>
    <x v="179"/>
    <s v="Cali"/>
  </r>
  <r>
    <m/>
    <x v="1"/>
    <x v="23"/>
    <x v="23"/>
    <m/>
    <m/>
    <m/>
    <x v="1"/>
    <m/>
  </r>
  <r>
    <d v="2021-12-02T00:00:00"/>
    <x v="12"/>
    <x v="0"/>
    <x v="0"/>
    <n v="100000"/>
    <n v="100000"/>
    <n v="0"/>
    <x v="374"/>
    <s v="Cali"/>
  </r>
  <r>
    <d v="2021-12-02T00:00:00"/>
    <x v="12"/>
    <x v="26"/>
    <x v="26"/>
    <n v="-100000"/>
    <n v="0"/>
    <n v="100000"/>
    <x v="374"/>
    <s v="Cali"/>
  </r>
  <r>
    <m/>
    <x v="1"/>
    <x v="23"/>
    <x v="23"/>
    <m/>
    <m/>
    <m/>
    <x v="1"/>
    <m/>
  </r>
  <r>
    <d v="2021-12-03T00:00:00"/>
    <x v="12"/>
    <x v="0"/>
    <x v="0"/>
    <n v="60000"/>
    <n v="60000"/>
    <n v="0"/>
    <x v="160"/>
    <s v="Cali"/>
  </r>
  <r>
    <d v="2021-12-03T00:00:00"/>
    <x v="12"/>
    <x v="25"/>
    <x v="25"/>
    <n v="-60000"/>
    <n v="0"/>
    <n v="60000"/>
    <x v="160"/>
    <s v="Cali"/>
  </r>
  <r>
    <m/>
    <x v="1"/>
    <x v="23"/>
    <x v="23"/>
    <m/>
    <m/>
    <m/>
    <x v="1"/>
    <m/>
  </r>
  <r>
    <d v="2021-12-03T00:00:00"/>
    <x v="12"/>
    <x v="0"/>
    <x v="0"/>
    <n v="50000"/>
    <n v="50000"/>
    <n v="0"/>
    <x v="163"/>
    <s v="Cali"/>
  </r>
  <r>
    <d v="2021-12-03T00:00:00"/>
    <x v="12"/>
    <x v="25"/>
    <x v="25"/>
    <n v="-50000"/>
    <n v="0"/>
    <n v="50000"/>
    <x v="163"/>
    <s v="Cali"/>
  </r>
  <r>
    <m/>
    <x v="1"/>
    <x v="23"/>
    <x v="23"/>
    <m/>
    <m/>
    <m/>
    <x v="1"/>
    <m/>
  </r>
  <r>
    <d v="2021-12-03T00:00:00"/>
    <x v="12"/>
    <x v="0"/>
    <x v="0"/>
    <n v="5000000"/>
    <n v="5000000"/>
    <n v="0"/>
    <x v="688"/>
    <s v="Cali"/>
  </r>
  <r>
    <d v="2021-12-03T00:00:00"/>
    <x v="12"/>
    <x v="54"/>
    <x v="54"/>
    <n v="-5000000"/>
    <n v="0"/>
    <n v="5000000"/>
    <x v="688"/>
    <s v="Cali"/>
  </r>
  <r>
    <m/>
    <x v="1"/>
    <x v="23"/>
    <x v="23"/>
    <m/>
    <m/>
    <m/>
    <x v="1"/>
    <m/>
  </r>
  <r>
    <d v="2021-12-03T00:00:00"/>
    <x v="12"/>
    <x v="0"/>
    <x v="0"/>
    <n v="32000"/>
    <n v="32000"/>
    <n v="0"/>
    <x v="689"/>
    <s v="Cali"/>
  </r>
  <r>
    <d v="2021-12-03T00:00:00"/>
    <x v="12"/>
    <x v="13"/>
    <x v="13"/>
    <n v="-32000"/>
    <n v="0"/>
    <n v="32000"/>
    <x v="689"/>
    <s v="Cali"/>
  </r>
  <r>
    <m/>
    <x v="1"/>
    <x v="23"/>
    <x v="23"/>
    <m/>
    <m/>
    <m/>
    <x v="1"/>
    <m/>
  </r>
  <r>
    <d v="2021-12-03T00:00:00"/>
    <x v="12"/>
    <x v="0"/>
    <x v="0"/>
    <n v="45000"/>
    <n v="45000"/>
    <n v="0"/>
    <x v="161"/>
    <s v="Cali"/>
  </r>
  <r>
    <d v="2021-12-03T00:00:00"/>
    <x v="12"/>
    <x v="26"/>
    <x v="26"/>
    <n v="-45000"/>
    <n v="0"/>
    <n v="45000"/>
    <x v="161"/>
    <s v="Cali"/>
  </r>
  <r>
    <m/>
    <x v="1"/>
    <x v="23"/>
    <x v="23"/>
    <m/>
    <m/>
    <m/>
    <x v="1"/>
    <m/>
  </r>
  <r>
    <d v="2021-12-03T00:00:00"/>
    <x v="12"/>
    <x v="0"/>
    <x v="0"/>
    <n v="200000"/>
    <n v="200000"/>
    <n v="0"/>
    <x v="242"/>
    <s v="Cali"/>
  </r>
  <r>
    <d v="2021-12-03T00:00:00"/>
    <x v="12"/>
    <x v="26"/>
    <x v="26"/>
    <n v="-200000"/>
    <n v="0"/>
    <n v="200000"/>
    <x v="242"/>
    <s v="Cali"/>
  </r>
  <r>
    <m/>
    <x v="1"/>
    <x v="23"/>
    <x v="23"/>
    <m/>
    <m/>
    <m/>
    <x v="1"/>
    <m/>
  </r>
  <r>
    <d v="2021-12-03T00:00:00"/>
    <x v="12"/>
    <x v="0"/>
    <x v="0"/>
    <n v="60000"/>
    <n v="60000"/>
    <n v="0"/>
    <x v="372"/>
    <s v="Cali"/>
  </r>
  <r>
    <d v="2021-12-03T00:00:00"/>
    <x v="12"/>
    <x v="25"/>
    <x v="25"/>
    <n v="-60000"/>
    <n v="0"/>
    <n v="60000"/>
    <x v="372"/>
    <s v="Cali"/>
  </r>
  <r>
    <m/>
    <x v="1"/>
    <x v="23"/>
    <x v="23"/>
    <m/>
    <m/>
    <m/>
    <x v="1"/>
    <m/>
  </r>
  <r>
    <d v="2021-12-03T00:00:00"/>
    <x v="12"/>
    <x v="0"/>
    <x v="0"/>
    <n v="12000"/>
    <n v="12000"/>
    <n v="0"/>
    <x v="310"/>
    <s v="Cali"/>
  </r>
  <r>
    <d v="2021-12-03T00:00:00"/>
    <x v="12"/>
    <x v="25"/>
    <x v="25"/>
    <n v="-12000"/>
    <n v="0"/>
    <n v="12000"/>
    <x v="310"/>
    <s v="Cali"/>
  </r>
  <r>
    <m/>
    <x v="1"/>
    <x v="23"/>
    <x v="23"/>
    <m/>
    <m/>
    <m/>
    <x v="1"/>
    <m/>
  </r>
  <r>
    <d v="2021-12-03T00:00:00"/>
    <x v="12"/>
    <x v="0"/>
    <x v="0"/>
    <n v="30000"/>
    <n v="30000"/>
    <n v="0"/>
    <x v="164"/>
    <s v="Cali"/>
  </r>
  <r>
    <d v="2021-12-03T00:00:00"/>
    <x v="12"/>
    <x v="26"/>
    <x v="26"/>
    <n v="-30000"/>
    <n v="0"/>
    <n v="30000"/>
    <x v="164"/>
    <s v="Cali"/>
  </r>
  <r>
    <m/>
    <x v="1"/>
    <x v="23"/>
    <x v="23"/>
    <m/>
    <m/>
    <m/>
    <x v="1"/>
    <m/>
  </r>
  <r>
    <d v="2021-12-03T00:00:00"/>
    <x v="12"/>
    <x v="0"/>
    <x v="0"/>
    <n v="15000"/>
    <n v="15000"/>
    <n v="0"/>
    <x v="282"/>
    <s v="Cali"/>
  </r>
  <r>
    <d v="2021-12-03T00:00:00"/>
    <x v="12"/>
    <x v="25"/>
    <x v="25"/>
    <n v="-15000"/>
    <n v="0"/>
    <n v="15000"/>
    <x v="282"/>
    <s v="Cali"/>
  </r>
  <r>
    <m/>
    <x v="1"/>
    <x v="23"/>
    <x v="23"/>
    <m/>
    <m/>
    <m/>
    <x v="1"/>
    <m/>
  </r>
  <r>
    <d v="2021-12-03T00:00:00"/>
    <x v="12"/>
    <x v="0"/>
    <x v="0"/>
    <n v="20000"/>
    <n v="20000"/>
    <n v="0"/>
    <x v="166"/>
    <s v="Cali"/>
  </r>
  <r>
    <d v="2021-12-03T00:00:00"/>
    <x v="12"/>
    <x v="25"/>
    <x v="25"/>
    <n v="-20000"/>
    <n v="0"/>
    <n v="20000"/>
    <x v="166"/>
    <s v="Cali"/>
  </r>
  <r>
    <m/>
    <x v="1"/>
    <x v="23"/>
    <x v="23"/>
    <m/>
    <m/>
    <m/>
    <x v="1"/>
    <m/>
  </r>
  <r>
    <d v="2021-12-03T00:00:00"/>
    <x v="12"/>
    <x v="0"/>
    <x v="0"/>
    <n v="14512"/>
    <n v="14512"/>
    <n v="0"/>
    <x v="690"/>
    <s v="Cali"/>
  </r>
  <r>
    <d v="2021-12-03T00:00:00"/>
    <x v="12"/>
    <x v="26"/>
    <x v="26"/>
    <n v="-14512"/>
    <n v="0"/>
    <n v="14512"/>
    <x v="690"/>
    <s v="Cali"/>
  </r>
  <r>
    <m/>
    <x v="1"/>
    <x v="23"/>
    <x v="23"/>
    <m/>
    <m/>
    <m/>
    <x v="1"/>
    <m/>
  </r>
  <r>
    <d v="2021-12-03T00:00:00"/>
    <x v="12"/>
    <x v="0"/>
    <x v="0"/>
    <n v="24187"/>
    <n v="24187"/>
    <n v="0"/>
    <x v="691"/>
    <s v="Cali"/>
  </r>
  <r>
    <d v="2021-12-03T00:00:00"/>
    <x v="12"/>
    <x v="25"/>
    <x v="25"/>
    <n v="-25000"/>
    <n v="0"/>
    <n v="25000"/>
    <x v="691"/>
    <s v="Cali"/>
  </r>
  <r>
    <d v="2021-12-03T00:00:00"/>
    <x v="12"/>
    <x v="31"/>
    <x v="31"/>
    <n v="813"/>
    <n v="813"/>
    <n v="0"/>
    <x v="691"/>
    <s v="Cali"/>
  </r>
  <r>
    <m/>
    <x v="1"/>
    <x v="23"/>
    <x v="23"/>
    <m/>
    <m/>
    <m/>
    <x v="1"/>
    <m/>
  </r>
  <r>
    <d v="2021-12-03T00:00:00"/>
    <x v="12"/>
    <x v="0"/>
    <x v="0"/>
    <n v="30000"/>
    <n v="30000"/>
    <n v="0"/>
    <x v="638"/>
    <s v="Cali"/>
  </r>
  <r>
    <d v="2021-12-03T00:00:00"/>
    <x v="12"/>
    <x v="25"/>
    <x v="25"/>
    <n v="-30000"/>
    <n v="0"/>
    <n v="30000"/>
    <x v="638"/>
    <s v="Cali"/>
  </r>
  <r>
    <m/>
    <x v="1"/>
    <x v="23"/>
    <x v="23"/>
    <m/>
    <m/>
    <m/>
    <x v="1"/>
    <m/>
  </r>
  <r>
    <d v="2021-12-03T00:00:00"/>
    <x v="12"/>
    <x v="0"/>
    <x v="0"/>
    <n v="70000"/>
    <n v="70000"/>
    <n v="0"/>
    <x v="37"/>
    <s v="Cali"/>
  </r>
  <r>
    <d v="2021-12-03T00:00:00"/>
    <x v="12"/>
    <x v="25"/>
    <x v="25"/>
    <n v="-70000"/>
    <n v="0"/>
    <n v="70000"/>
    <x v="37"/>
    <s v="Cali"/>
  </r>
  <r>
    <m/>
    <x v="1"/>
    <x v="23"/>
    <x v="23"/>
    <m/>
    <m/>
    <m/>
    <x v="1"/>
    <m/>
  </r>
  <r>
    <d v="2021-12-06T00:00:00"/>
    <x v="12"/>
    <x v="0"/>
    <x v="0"/>
    <n v="30000"/>
    <n v="30000"/>
    <n v="0"/>
    <x v="309"/>
    <s v="Cali"/>
  </r>
  <r>
    <d v="2021-12-06T00:00:00"/>
    <x v="12"/>
    <x v="26"/>
    <x v="26"/>
    <n v="-30000"/>
    <n v="0"/>
    <n v="30000"/>
    <x v="309"/>
    <s v="Cali"/>
  </r>
  <r>
    <m/>
    <x v="1"/>
    <x v="23"/>
    <x v="23"/>
    <m/>
    <m/>
    <m/>
    <x v="1"/>
    <m/>
  </r>
  <r>
    <d v="2021-12-06T00:00:00"/>
    <x v="12"/>
    <x v="0"/>
    <x v="0"/>
    <n v="40000"/>
    <n v="40000"/>
    <n v="0"/>
    <x v="692"/>
    <s v="Cali"/>
  </r>
  <r>
    <d v="2021-12-06T00:00:00"/>
    <x v="12"/>
    <x v="25"/>
    <x v="25"/>
    <n v="-40000"/>
    <n v="0"/>
    <n v="40000"/>
    <x v="692"/>
    <s v="Cali"/>
  </r>
  <r>
    <m/>
    <x v="1"/>
    <x v="23"/>
    <x v="23"/>
    <m/>
    <m/>
    <m/>
    <x v="1"/>
    <m/>
  </r>
  <r>
    <d v="2021-12-06T00:00:00"/>
    <x v="12"/>
    <x v="0"/>
    <x v="0"/>
    <n v="150000"/>
    <n v="150000"/>
    <n v="0"/>
    <x v="169"/>
    <s v="Cali"/>
  </r>
  <r>
    <d v="2021-12-06T00:00:00"/>
    <x v="12"/>
    <x v="25"/>
    <x v="25"/>
    <n v="-150000"/>
    <n v="0"/>
    <n v="150000"/>
    <x v="169"/>
    <s v="Cali"/>
  </r>
  <r>
    <m/>
    <x v="1"/>
    <x v="23"/>
    <x v="23"/>
    <m/>
    <m/>
    <m/>
    <x v="1"/>
    <m/>
  </r>
  <r>
    <d v="2021-12-06T00:00:00"/>
    <x v="12"/>
    <x v="31"/>
    <x v="31"/>
    <n v="280000"/>
    <n v="280000"/>
    <n v="0"/>
    <x v="693"/>
    <s v="Cali"/>
  </r>
  <r>
    <d v="2021-12-06T00:00:00"/>
    <x v="12"/>
    <x v="0"/>
    <x v="0"/>
    <n v="-280000"/>
    <n v="0"/>
    <n v="280000"/>
    <x v="693"/>
    <s v="Cali"/>
  </r>
  <r>
    <m/>
    <x v="1"/>
    <x v="23"/>
    <x v="23"/>
    <m/>
    <m/>
    <m/>
    <x v="1"/>
    <m/>
  </r>
  <r>
    <d v="2021-12-06T00:00:00"/>
    <x v="12"/>
    <x v="0"/>
    <x v="0"/>
    <n v="350000"/>
    <n v="350000"/>
    <n v="0"/>
    <x v="694"/>
    <s v="Cali"/>
  </r>
  <r>
    <d v="2021-12-06T00:00:00"/>
    <x v="12"/>
    <x v="26"/>
    <x v="26"/>
    <n v="-350000"/>
    <n v="0"/>
    <n v="350000"/>
    <x v="694"/>
    <s v="Cali"/>
  </r>
  <r>
    <m/>
    <x v="1"/>
    <x v="23"/>
    <x v="23"/>
    <m/>
    <m/>
    <m/>
    <x v="1"/>
    <m/>
  </r>
  <r>
    <d v="2021-12-06T00:00:00"/>
    <x v="12"/>
    <x v="0"/>
    <x v="0"/>
    <n v="150000"/>
    <n v="150000"/>
    <n v="0"/>
    <x v="694"/>
    <s v="Cali"/>
  </r>
  <r>
    <d v="2021-12-06T00:00:00"/>
    <x v="12"/>
    <x v="26"/>
    <x v="26"/>
    <n v="-150000"/>
    <n v="0"/>
    <n v="150000"/>
    <x v="694"/>
    <s v="Cali"/>
  </r>
  <r>
    <m/>
    <x v="1"/>
    <x v="23"/>
    <x v="23"/>
    <m/>
    <m/>
    <m/>
    <x v="1"/>
    <m/>
  </r>
  <r>
    <d v="2021-12-06T00:00:00"/>
    <x v="12"/>
    <x v="0"/>
    <x v="0"/>
    <n v="15000"/>
    <n v="15000"/>
    <n v="0"/>
    <x v="137"/>
    <s v="Cali"/>
  </r>
  <r>
    <d v="2021-12-06T00:00:00"/>
    <x v="12"/>
    <x v="26"/>
    <x v="26"/>
    <n v="-15000"/>
    <n v="0"/>
    <n v="15000"/>
    <x v="137"/>
    <s v="Cali"/>
  </r>
  <r>
    <m/>
    <x v="1"/>
    <x v="23"/>
    <x v="23"/>
    <m/>
    <m/>
    <m/>
    <x v="1"/>
    <m/>
  </r>
  <r>
    <d v="2021-12-06T00:00:00"/>
    <x v="12"/>
    <x v="0"/>
    <x v="0"/>
    <n v="100000"/>
    <n v="100000"/>
    <n v="0"/>
    <x v="363"/>
    <s v="Cali"/>
  </r>
  <r>
    <d v="2021-12-06T00:00:00"/>
    <x v="12"/>
    <x v="25"/>
    <x v="25"/>
    <n v="-100000"/>
    <n v="0"/>
    <n v="100000"/>
    <x v="363"/>
    <s v="Cali"/>
  </r>
  <r>
    <m/>
    <x v="1"/>
    <x v="23"/>
    <x v="23"/>
    <m/>
    <m/>
    <m/>
    <x v="1"/>
    <m/>
  </r>
  <r>
    <d v="2021-12-06T00:00:00"/>
    <x v="12"/>
    <x v="0"/>
    <x v="0"/>
    <n v="75000"/>
    <n v="75000"/>
    <n v="0"/>
    <x v="316"/>
    <s v="Cali"/>
  </r>
  <r>
    <d v="2021-12-06T00:00:00"/>
    <x v="12"/>
    <x v="25"/>
    <x v="25"/>
    <n v="-75000"/>
    <n v="0"/>
    <n v="75000"/>
    <x v="316"/>
    <s v="Cali"/>
  </r>
  <r>
    <m/>
    <x v="1"/>
    <x v="23"/>
    <x v="23"/>
    <m/>
    <m/>
    <m/>
    <x v="1"/>
    <m/>
  </r>
  <r>
    <d v="2021-12-06T00:00:00"/>
    <x v="12"/>
    <x v="0"/>
    <x v="0"/>
    <n v="35000"/>
    <n v="35000"/>
    <n v="0"/>
    <x v="600"/>
    <s v="Cali"/>
  </r>
  <r>
    <d v="2021-12-06T00:00:00"/>
    <x v="12"/>
    <x v="25"/>
    <x v="25"/>
    <n v="-35000"/>
    <n v="0"/>
    <n v="35000"/>
    <x v="600"/>
    <s v="Cali"/>
  </r>
  <r>
    <m/>
    <x v="1"/>
    <x v="23"/>
    <x v="23"/>
    <m/>
    <m/>
    <m/>
    <x v="1"/>
    <m/>
  </r>
  <r>
    <d v="2021-12-06T00:00:00"/>
    <x v="12"/>
    <x v="0"/>
    <x v="0"/>
    <n v="30000"/>
    <n v="30000"/>
    <n v="0"/>
    <x v="514"/>
    <s v="Cali"/>
  </r>
  <r>
    <d v="2021-12-06T00:00:00"/>
    <x v="12"/>
    <x v="25"/>
    <x v="25"/>
    <n v="-30000"/>
    <n v="0"/>
    <n v="30000"/>
    <x v="514"/>
    <s v="Cali"/>
  </r>
  <r>
    <m/>
    <x v="1"/>
    <x v="23"/>
    <x v="23"/>
    <m/>
    <m/>
    <m/>
    <x v="1"/>
    <m/>
  </r>
  <r>
    <d v="2021-12-06T00:00:00"/>
    <x v="12"/>
    <x v="0"/>
    <x v="0"/>
    <n v="2000"/>
    <n v="2000"/>
    <n v="0"/>
    <x v="177"/>
    <s v="Cali"/>
  </r>
  <r>
    <d v="2021-12-06T00:00:00"/>
    <x v="12"/>
    <x v="19"/>
    <x v="19"/>
    <n v="-2000"/>
    <n v="0"/>
    <n v="2000"/>
    <x v="177"/>
    <s v="Cali"/>
  </r>
  <r>
    <m/>
    <x v="1"/>
    <x v="23"/>
    <x v="23"/>
    <m/>
    <m/>
    <m/>
    <x v="1"/>
    <m/>
  </r>
  <r>
    <d v="2021-12-06T00:00:00"/>
    <x v="12"/>
    <x v="0"/>
    <x v="0"/>
    <n v="40000"/>
    <n v="40000"/>
    <n v="0"/>
    <x v="176"/>
    <s v="Cali"/>
  </r>
  <r>
    <d v="2021-12-06T00:00:00"/>
    <x v="12"/>
    <x v="25"/>
    <x v="25"/>
    <n v="-40000"/>
    <n v="0"/>
    <n v="40000"/>
    <x v="176"/>
    <s v="Cali"/>
  </r>
  <r>
    <m/>
    <x v="1"/>
    <x v="23"/>
    <x v="23"/>
    <m/>
    <m/>
    <m/>
    <x v="1"/>
    <m/>
  </r>
  <r>
    <d v="2021-12-06T00:00:00"/>
    <x v="12"/>
    <x v="0"/>
    <x v="0"/>
    <n v="3000000"/>
    <n v="3000000"/>
    <n v="0"/>
    <x v="306"/>
    <s v="Cali"/>
  </r>
  <r>
    <d v="2021-12-06T00:00:00"/>
    <x v="12"/>
    <x v="26"/>
    <x v="26"/>
    <n v="-3000000"/>
    <n v="0"/>
    <n v="3000000"/>
    <x v="306"/>
    <s v="Cali"/>
  </r>
  <r>
    <m/>
    <x v="1"/>
    <x v="23"/>
    <x v="23"/>
    <m/>
    <m/>
    <m/>
    <x v="1"/>
    <m/>
  </r>
  <r>
    <d v="2021-12-07T00:00:00"/>
    <x v="12"/>
    <x v="0"/>
    <x v="0"/>
    <n v="19000"/>
    <n v="19000"/>
    <n v="0"/>
    <x v="695"/>
    <s v="Cali"/>
  </r>
  <r>
    <d v="2021-12-07T00:00:00"/>
    <x v="12"/>
    <x v="27"/>
    <x v="27"/>
    <n v="-19000"/>
    <n v="0"/>
    <n v="19000"/>
    <x v="695"/>
    <s v="Cali"/>
  </r>
  <r>
    <m/>
    <x v="1"/>
    <x v="23"/>
    <x v="23"/>
    <m/>
    <m/>
    <m/>
    <x v="1"/>
    <m/>
  </r>
  <r>
    <d v="2021-12-07T00:00:00"/>
    <x v="12"/>
    <x v="0"/>
    <x v="0"/>
    <n v="12000"/>
    <n v="12000"/>
    <n v="0"/>
    <x v="150"/>
    <s v="Cali"/>
  </r>
  <r>
    <d v="2021-12-07T00:00:00"/>
    <x v="12"/>
    <x v="19"/>
    <x v="19"/>
    <n v="-12000"/>
    <n v="0"/>
    <n v="12000"/>
    <x v="150"/>
    <s v="Cali"/>
  </r>
  <r>
    <m/>
    <x v="1"/>
    <x v="23"/>
    <x v="23"/>
    <m/>
    <m/>
    <m/>
    <x v="1"/>
    <m/>
  </r>
  <r>
    <d v="2021-12-07T00:00:00"/>
    <x v="12"/>
    <x v="0"/>
    <x v="0"/>
    <n v="25000"/>
    <n v="25000"/>
    <n v="0"/>
    <x v="38"/>
    <s v="Cali"/>
  </r>
  <r>
    <d v="2021-12-07T00:00:00"/>
    <x v="12"/>
    <x v="25"/>
    <x v="25"/>
    <n v="-25000"/>
    <n v="0"/>
    <n v="25000"/>
    <x v="38"/>
    <s v="Cali"/>
  </r>
  <r>
    <m/>
    <x v="1"/>
    <x v="23"/>
    <x v="23"/>
    <m/>
    <m/>
    <m/>
    <x v="1"/>
    <m/>
  </r>
  <r>
    <d v="2021-12-07T00:00:00"/>
    <x v="12"/>
    <x v="0"/>
    <x v="0"/>
    <n v="667584"/>
    <n v="667584"/>
    <n v="0"/>
    <x v="648"/>
    <s v="Cali"/>
  </r>
  <r>
    <d v="2021-12-07T00:00:00"/>
    <x v="12"/>
    <x v="5"/>
    <x v="5"/>
    <n v="-667584"/>
    <n v="0"/>
    <n v="667584"/>
    <x v="648"/>
    <s v="Cali"/>
  </r>
  <r>
    <m/>
    <x v="1"/>
    <x v="23"/>
    <x v="23"/>
    <m/>
    <m/>
    <m/>
    <x v="1"/>
    <m/>
  </r>
  <r>
    <d v="2021-12-07T00:00:00"/>
    <x v="12"/>
    <x v="31"/>
    <x v="31"/>
    <n v="131674"/>
    <n v="131674"/>
    <n v="0"/>
    <x v="696"/>
    <s v="Cali"/>
  </r>
  <r>
    <d v="2021-12-07T00:00:00"/>
    <x v="12"/>
    <x v="0"/>
    <x v="0"/>
    <n v="-131674"/>
    <n v="0"/>
    <n v="131674"/>
    <x v="696"/>
    <s v="Cali"/>
  </r>
  <r>
    <m/>
    <x v="1"/>
    <x v="23"/>
    <x v="23"/>
    <m/>
    <m/>
    <m/>
    <x v="1"/>
    <m/>
  </r>
  <r>
    <d v="2021-12-07T00:00:00"/>
    <x v="12"/>
    <x v="0"/>
    <x v="0"/>
    <n v="160000"/>
    <n v="160000"/>
    <n v="0"/>
    <x v="338"/>
    <s v="Cali"/>
  </r>
  <r>
    <d v="2021-12-07T00:00:00"/>
    <x v="12"/>
    <x v="27"/>
    <x v="27"/>
    <n v="-160000"/>
    <n v="0"/>
    <n v="160000"/>
    <x v="338"/>
    <s v="Cali"/>
  </r>
  <r>
    <m/>
    <x v="1"/>
    <x v="23"/>
    <x v="23"/>
    <m/>
    <m/>
    <m/>
    <x v="1"/>
    <m/>
  </r>
  <r>
    <d v="2021-12-09T00:00:00"/>
    <x v="12"/>
    <x v="0"/>
    <x v="0"/>
    <n v="408333"/>
    <n v="408333"/>
    <n v="0"/>
    <x v="688"/>
    <s v="Cali"/>
  </r>
  <r>
    <d v="2021-12-09T00:00:00"/>
    <x v="12"/>
    <x v="54"/>
    <x v="54"/>
    <n v="-408333"/>
    <n v="0"/>
    <n v="408333"/>
    <x v="688"/>
    <s v="Cali"/>
  </r>
  <r>
    <m/>
    <x v="1"/>
    <x v="23"/>
    <x v="23"/>
    <m/>
    <m/>
    <m/>
    <x v="1"/>
    <m/>
  </r>
  <r>
    <d v="2021-12-09T00:00:00"/>
    <x v="12"/>
    <x v="0"/>
    <x v="0"/>
    <n v="250000"/>
    <n v="250000"/>
    <n v="0"/>
    <x v="697"/>
    <s v="Cali"/>
  </r>
  <r>
    <d v="2021-12-09T00:00:00"/>
    <x v="12"/>
    <x v="54"/>
    <x v="54"/>
    <n v="-250000"/>
    <n v="0"/>
    <n v="250000"/>
    <x v="697"/>
    <s v="Cali"/>
  </r>
  <r>
    <m/>
    <x v="1"/>
    <x v="23"/>
    <x v="23"/>
    <m/>
    <m/>
    <m/>
    <x v="1"/>
    <m/>
  </r>
  <r>
    <d v="2021-12-09T00:00:00"/>
    <x v="12"/>
    <x v="0"/>
    <x v="0"/>
    <n v="45000"/>
    <n v="45000"/>
    <n v="0"/>
    <x v="178"/>
    <s v="Cali"/>
  </r>
  <r>
    <d v="2021-12-09T00:00:00"/>
    <x v="12"/>
    <x v="25"/>
    <x v="25"/>
    <n v="-45000"/>
    <n v="0"/>
    <n v="45000"/>
    <x v="178"/>
    <s v="Cali"/>
  </r>
  <r>
    <m/>
    <x v="1"/>
    <x v="23"/>
    <x v="23"/>
    <m/>
    <m/>
    <m/>
    <x v="1"/>
    <m/>
  </r>
  <r>
    <d v="2021-12-09T00:00:00"/>
    <x v="12"/>
    <x v="0"/>
    <x v="0"/>
    <n v="15000"/>
    <n v="15000"/>
    <n v="0"/>
    <x v="420"/>
    <s v="Cali"/>
  </r>
  <r>
    <d v="2021-12-09T00:00:00"/>
    <x v="12"/>
    <x v="26"/>
    <x v="26"/>
    <n v="-15000"/>
    <n v="0"/>
    <n v="15000"/>
    <x v="420"/>
    <s v="Cali"/>
  </r>
  <r>
    <m/>
    <x v="1"/>
    <x v="23"/>
    <x v="23"/>
    <m/>
    <m/>
    <m/>
    <x v="1"/>
    <m/>
  </r>
  <r>
    <d v="2021-12-09T00:00:00"/>
    <x v="12"/>
    <x v="0"/>
    <x v="0"/>
    <n v="96751"/>
    <n v="96751"/>
    <n v="0"/>
    <x v="698"/>
    <s v="Cali"/>
  </r>
  <r>
    <d v="2021-12-09T00:00:00"/>
    <x v="12"/>
    <x v="26"/>
    <x v="26"/>
    <n v="-96751"/>
    <n v="0"/>
    <n v="96751"/>
    <x v="698"/>
    <s v="Cali"/>
  </r>
  <r>
    <m/>
    <x v="1"/>
    <x v="23"/>
    <x v="23"/>
    <m/>
    <m/>
    <m/>
    <x v="1"/>
    <m/>
  </r>
  <r>
    <d v="2021-12-10T00:00:00"/>
    <x v="12"/>
    <x v="0"/>
    <x v="0"/>
    <n v="120000"/>
    <n v="120000"/>
    <n v="0"/>
    <x v="155"/>
    <s v="Cali"/>
  </r>
  <r>
    <d v="2021-12-10T00:00:00"/>
    <x v="12"/>
    <x v="27"/>
    <x v="27"/>
    <n v="-120000"/>
    <n v="0"/>
    <n v="120000"/>
    <x v="155"/>
    <s v="Cali"/>
  </r>
  <r>
    <m/>
    <x v="1"/>
    <x v="23"/>
    <x v="23"/>
    <m/>
    <m/>
    <m/>
    <x v="1"/>
    <m/>
  </r>
  <r>
    <d v="2021-12-10T00:00:00"/>
    <x v="12"/>
    <x v="0"/>
    <x v="0"/>
    <n v="12000"/>
    <n v="12000"/>
    <n v="0"/>
    <x v="191"/>
    <s v="Cali"/>
  </r>
  <r>
    <d v="2021-12-10T00:00:00"/>
    <x v="12"/>
    <x v="27"/>
    <x v="27"/>
    <n v="-12000"/>
    <n v="0"/>
    <n v="12000"/>
    <x v="191"/>
    <s v="Cali"/>
  </r>
  <r>
    <m/>
    <x v="1"/>
    <x v="23"/>
    <x v="23"/>
    <m/>
    <m/>
    <m/>
    <x v="1"/>
    <m/>
  </r>
  <r>
    <d v="2021-12-10T00:00:00"/>
    <x v="12"/>
    <x v="0"/>
    <x v="0"/>
    <n v="20000"/>
    <n v="20000"/>
    <n v="0"/>
    <x v="205"/>
    <s v="Cali"/>
  </r>
  <r>
    <d v="2021-12-10T00:00:00"/>
    <x v="12"/>
    <x v="27"/>
    <x v="27"/>
    <n v="-20000"/>
    <n v="0"/>
    <n v="20000"/>
    <x v="205"/>
    <s v="Cali"/>
  </r>
  <r>
    <m/>
    <x v="1"/>
    <x v="23"/>
    <x v="23"/>
    <m/>
    <m/>
    <m/>
    <x v="1"/>
    <m/>
  </r>
  <r>
    <d v="2021-12-10T00:00:00"/>
    <x v="12"/>
    <x v="0"/>
    <x v="0"/>
    <n v="30000"/>
    <n v="30000"/>
    <n v="0"/>
    <x v="185"/>
    <s v="Cali"/>
  </r>
  <r>
    <d v="2021-12-10T00:00:00"/>
    <x v="12"/>
    <x v="25"/>
    <x v="25"/>
    <n v="-30000"/>
    <n v="0"/>
    <n v="30000"/>
    <x v="185"/>
    <s v="Cali"/>
  </r>
  <r>
    <m/>
    <x v="1"/>
    <x v="23"/>
    <x v="23"/>
    <m/>
    <m/>
    <m/>
    <x v="1"/>
    <m/>
  </r>
  <r>
    <d v="2021-12-10T00:00:00"/>
    <x v="12"/>
    <x v="0"/>
    <x v="0"/>
    <n v="17000"/>
    <n v="17000"/>
    <n v="0"/>
    <x v="186"/>
    <s v="Cali"/>
  </r>
  <r>
    <d v="2021-12-10T00:00:00"/>
    <x v="12"/>
    <x v="25"/>
    <x v="25"/>
    <n v="-17000"/>
    <n v="0"/>
    <n v="17000"/>
    <x v="186"/>
    <s v="Cali"/>
  </r>
  <r>
    <m/>
    <x v="1"/>
    <x v="23"/>
    <x v="23"/>
    <m/>
    <m/>
    <m/>
    <x v="1"/>
    <m/>
  </r>
  <r>
    <d v="2021-12-10T00:00:00"/>
    <x v="12"/>
    <x v="0"/>
    <x v="0"/>
    <n v="100000000"/>
    <n v="100000000"/>
    <n v="0"/>
    <x v="699"/>
    <s v="Cali"/>
  </r>
  <r>
    <d v="2021-12-10T00:00:00"/>
    <x v="12"/>
    <x v="26"/>
    <x v="26"/>
    <n v="-100000000"/>
    <n v="0"/>
    <n v="100000000"/>
    <x v="699"/>
    <s v="Cali"/>
  </r>
  <r>
    <m/>
    <x v="1"/>
    <x v="23"/>
    <x v="23"/>
    <m/>
    <m/>
    <m/>
    <x v="1"/>
    <m/>
  </r>
  <r>
    <d v="2021-12-10T00:00:00"/>
    <x v="12"/>
    <x v="0"/>
    <x v="0"/>
    <n v="30000"/>
    <n v="30000"/>
    <n v="0"/>
    <x v="256"/>
    <s v="Cali"/>
  </r>
  <r>
    <d v="2021-12-10T00:00:00"/>
    <x v="12"/>
    <x v="25"/>
    <x v="25"/>
    <n v="-30000"/>
    <n v="0"/>
    <n v="30000"/>
    <x v="256"/>
    <s v="Cali"/>
  </r>
  <r>
    <m/>
    <x v="1"/>
    <x v="23"/>
    <x v="23"/>
    <m/>
    <m/>
    <m/>
    <x v="1"/>
    <m/>
  </r>
  <r>
    <d v="2021-12-10T00:00:00"/>
    <x v="12"/>
    <x v="0"/>
    <x v="0"/>
    <n v="60000"/>
    <n v="60000"/>
    <n v="0"/>
    <x v="202"/>
    <s v="Cali"/>
  </r>
  <r>
    <d v="2021-12-10T00:00:00"/>
    <x v="12"/>
    <x v="27"/>
    <x v="27"/>
    <n v="-60000"/>
    <n v="0"/>
    <n v="60000"/>
    <x v="202"/>
    <s v="Cali"/>
  </r>
  <r>
    <m/>
    <x v="1"/>
    <x v="23"/>
    <x v="23"/>
    <m/>
    <m/>
    <m/>
    <x v="1"/>
    <m/>
  </r>
  <r>
    <d v="2021-12-13T00:00:00"/>
    <x v="12"/>
    <x v="0"/>
    <x v="0"/>
    <n v="60000"/>
    <n v="60000"/>
    <n v="0"/>
    <x v="170"/>
    <s v="Cali"/>
  </r>
  <r>
    <d v="2021-12-13T00:00:00"/>
    <x v="12"/>
    <x v="26"/>
    <x v="26"/>
    <n v="-60000"/>
    <n v="0"/>
    <n v="60000"/>
    <x v="170"/>
    <s v="Cali"/>
  </r>
  <r>
    <m/>
    <x v="1"/>
    <x v="23"/>
    <x v="23"/>
    <m/>
    <m/>
    <m/>
    <x v="1"/>
    <m/>
  </r>
  <r>
    <d v="2021-12-13T00:00:00"/>
    <x v="12"/>
    <x v="0"/>
    <x v="0"/>
    <n v="25000"/>
    <n v="25000"/>
    <n v="0"/>
    <x v="149"/>
    <s v="Cali"/>
  </r>
  <r>
    <d v="2021-12-13T00:00:00"/>
    <x v="12"/>
    <x v="27"/>
    <x v="27"/>
    <n v="-25000"/>
    <n v="0"/>
    <n v="25000"/>
    <x v="149"/>
    <s v="Cali"/>
  </r>
  <r>
    <m/>
    <x v="1"/>
    <x v="23"/>
    <x v="23"/>
    <m/>
    <m/>
    <m/>
    <x v="1"/>
    <m/>
  </r>
  <r>
    <d v="2021-12-13T00:00:00"/>
    <x v="12"/>
    <x v="0"/>
    <x v="0"/>
    <n v="20000"/>
    <n v="20000"/>
    <n v="0"/>
    <x v="193"/>
    <s v="Cali"/>
  </r>
  <r>
    <d v="2021-12-13T00:00:00"/>
    <x v="12"/>
    <x v="26"/>
    <x v="26"/>
    <n v="-20000"/>
    <n v="0"/>
    <n v="20000"/>
    <x v="193"/>
    <s v="Cali"/>
  </r>
  <r>
    <m/>
    <x v="1"/>
    <x v="23"/>
    <x v="23"/>
    <m/>
    <m/>
    <m/>
    <x v="1"/>
    <m/>
  </r>
  <r>
    <d v="2021-12-13T00:00:00"/>
    <x v="12"/>
    <x v="0"/>
    <x v="0"/>
    <n v="25000"/>
    <n v="25000"/>
    <n v="0"/>
    <x v="194"/>
    <s v="Cali"/>
  </r>
  <r>
    <d v="2021-12-13T00:00:00"/>
    <x v="12"/>
    <x v="25"/>
    <x v="25"/>
    <n v="-25000"/>
    <n v="0"/>
    <n v="25000"/>
    <x v="194"/>
    <s v="Cali"/>
  </r>
  <r>
    <m/>
    <x v="1"/>
    <x v="23"/>
    <x v="23"/>
    <m/>
    <m/>
    <m/>
    <x v="1"/>
    <m/>
  </r>
  <r>
    <d v="2021-12-13T00:00:00"/>
    <x v="12"/>
    <x v="0"/>
    <x v="0"/>
    <n v="7000"/>
    <n v="7000"/>
    <n v="0"/>
    <x v="261"/>
    <s v="Cali"/>
  </r>
  <r>
    <d v="2021-12-13T00:00:00"/>
    <x v="12"/>
    <x v="25"/>
    <x v="25"/>
    <n v="-7000"/>
    <n v="0"/>
    <n v="7000"/>
    <x v="261"/>
    <s v="Cali"/>
  </r>
  <r>
    <m/>
    <x v="1"/>
    <x v="23"/>
    <x v="23"/>
    <m/>
    <m/>
    <m/>
    <x v="1"/>
    <m/>
  </r>
  <r>
    <d v="2021-12-13T00:00:00"/>
    <x v="12"/>
    <x v="0"/>
    <x v="0"/>
    <n v="10000000"/>
    <n v="10000000"/>
    <n v="0"/>
    <x v="700"/>
    <s v="Cali"/>
  </r>
  <r>
    <d v="2021-12-13T00:00:00"/>
    <x v="12"/>
    <x v="26"/>
    <x v="26"/>
    <n v="-10000000"/>
    <n v="0"/>
    <n v="10000000"/>
    <x v="700"/>
    <s v="Cali"/>
  </r>
  <r>
    <m/>
    <x v="1"/>
    <x v="23"/>
    <x v="23"/>
    <m/>
    <m/>
    <m/>
    <x v="1"/>
    <m/>
  </r>
  <r>
    <d v="2021-12-13T00:00:00"/>
    <x v="12"/>
    <x v="0"/>
    <x v="0"/>
    <n v="30000"/>
    <n v="30000"/>
    <n v="0"/>
    <x v="188"/>
    <s v="Cali"/>
  </r>
  <r>
    <d v="2021-12-13T00:00:00"/>
    <x v="12"/>
    <x v="29"/>
    <x v="29"/>
    <n v="-30000"/>
    <n v="0"/>
    <n v="30000"/>
    <x v="188"/>
    <s v="Cali"/>
  </r>
  <r>
    <m/>
    <x v="1"/>
    <x v="23"/>
    <x v="23"/>
    <m/>
    <m/>
    <m/>
    <x v="1"/>
    <m/>
  </r>
  <r>
    <d v="2021-12-14T00:00:00"/>
    <x v="12"/>
    <x v="0"/>
    <x v="0"/>
    <n v="30000"/>
    <n v="30000"/>
    <n v="0"/>
    <x v="156"/>
    <s v="Cali"/>
  </r>
  <r>
    <d v="2021-12-14T00:00:00"/>
    <x v="12"/>
    <x v="25"/>
    <x v="25"/>
    <n v="-30000"/>
    <n v="0"/>
    <n v="30000"/>
    <x v="156"/>
    <s v="Cali"/>
  </r>
  <r>
    <m/>
    <x v="1"/>
    <x v="23"/>
    <x v="23"/>
    <m/>
    <m/>
    <m/>
    <x v="1"/>
    <m/>
  </r>
  <r>
    <d v="2021-12-15T00:00:00"/>
    <x v="12"/>
    <x v="0"/>
    <x v="0"/>
    <n v="65000"/>
    <n v="65000"/>
    <n v="0"/>
    <x v="64"/>
    <s v="Cali"/>
  </r>
  <r>
    <d v="2021-12-15T00:00:00"/>
    <x v="12"/>
    <x v="27"/>
    <x v="27"/>
    <n v="-65000"/>
    <n v="0"/>
    <n v="65000"/>
    <x v="64"/>
    <s v="Cali"/>
  </r>
  <r>
    <m/>
    <x v="1"/>
    <x v="23"/>
    <x v="23"/>
    <m/>
    <m/>
    <m/>
    <x v="1"/>
    <m/>
  </r>
  <r>
    <d v="2021-12-15T00:00:00"/>
    <x v="12"/>
    <x v="0"/>
    <x v="0"/>
    <n v="5000"/>
    <n v="5000"/>
    <n v="0"/>
    <x v="701"/>
    <s v="Cali"/>
  </r>
  <r>
    <d v="2021-12-15T00:00:00"/>
    <x v="12"/>
    <x v="25"/>
    <x v="25"/>
    <n v="-5000"/>
    <n v="0"/>
    <n v="5000"/>
    <x v="701"/>
    <s v="Cali"/>
  </r>
  <r>
    <m/>
    <x v="1"/>
    <x v="23"/>
    <x v="23"/>
    <m/>
    <m/>
    <m/>
    <x v="1"/>
    <m/>
  </r>
  <r>
    <d v="2021-12-15T00:00:00"/>
    <x v="12"/>
    <x v="0"/>
    <x v="0"/>
    <n v="50000"/>
    <n v="50000"/>
    <n v="0"/>
    <x v="195"/>
    <s v="Cali"/>
  </r>
  <r>
    <d v="2021-12-15T00:00:00"/>
    <x v="12"/>
    <x v="25"/>
    <x v="25"/>
    <n v="-50000"/>
    <n v="0"/>
    <n v="50000"/>
    <x v="195"/>
    <s v="Cali"/>
  </r>
  <r>
    <m/>
    <x v="1"/>
    <x v="23"/>
    <x v="23"/>
    <m/>
    <m/>
    <m/>
    <x v="1"/>
    <m/>
  </r>
  <r>
    <d v="2021-12-15T00:00:00"/>
    <x v="12"/>
    <x v="0"/>
    <x v="0"/>
    <n v="5000"/>
    <n v="5000"/>
    <n v="0"/>
    <x v="482"/>
    <s v="Cali"/>
  </r>
  <r>
    <d v="2021-12-15T00:00:00"/>
    <x v="12"/>
    <x v="19"/>
    <x v="19"/>
    <n v="-5000"/>
    <n v="0"/>
    <n v="5000"/>
    <x v="482"/>
    <s v="Cali"/>
  </r>
  <r>
    <m/>
    <x v="1"/>
    <x v="23"/>
    <x v="23"/>
    <m/>
    <m/>
    <m/>
    <x v="1"/>
    <m/>
  </r>
  <r>
    <d v="2021-12-15T00:00:00"/>
    <x v="12"/>
    <x v="0"/>
    <x v="0"/>
    <n v="20000"/>
    <n v="20000"/>
    <n v="0"/>
    <x v="196"/>
    <s v="Cali"/>
  </r>
  <r>
    <d v="2021-12-15T00:00:00"/>
    <x v="12"/>
    <x v="25"/>
    <x v="25"/>
    <n v="-20000"/>
    <n v="0"/>
    <n v="20000"/>
    <x v="196"/>
    <s v="Cali"/>
  </r>
  <r>
    <m/>
    <x v="1"/>
    <x v="23"/>
    <x v="23"/>
    <m/>
    <m/>
    <m/>
    <x v="1"/>
    <m/>
  </r>
  <r>
    <d v="2021-12-15T00:00:00"/>
    <x v="12"/>
    <x v="0"/>
    <x v="0"/>
    <n v="48376"/>
    <n v="48376"/>
    <n v="0"/>
    <x v="702"/>
    <s v="Cali"/>
  </r>
  <r>
    <d v="2021-12-15T00:00:00"/>
    <x v="12"/>
    <x v="25"/>
    <x v="25"/>
    <n v="-50000"/>
    <n v="0"/>
    <n v="50000"/>
    <x v="702"/>
    <s v="Cali"/>
  </r>
  <r>
    <d v="2021-12-15T00:00:00"/>
    <x v="12"/>
    <x v="31"/>
    <x v="31"/>
    <n v="1624"/>
    <n v="1624"/>
    <n v="0"/>
    <x v="702"/>
    <s v="Cali"/>
  </r>
  <r>
    <m/>
    <x v="1"/>
    <x v="23"/>
    <x v="23"/>
    <m/>
    <m/>
    <m/>
    <x v="1"/>
    <m/>
  </r>
  <r>
    <d v="2021-12-15T00:00:00"/>
    <x v="12"/>
    <x v="31"/>
    <x v="31"/>
    <n v="1830"/>
    <n v="1830"/>
    <n v="0"/>
    <x v="172"/>
    <s v="Cali"/>
  </r>
  <r>
    <d v="2021-12-15T00:00:00"/>
    <x v="12"/>
    <x v="0"/>
    <x v="0"/>
    <n v="-1830"/>
    <n v="0"/>
    <n v="1830"/>
    <x v="172"/>
    <s v="Cali"/>
  </r>
  <r>
    <m/>
    <x v="1"/>
    <x v="23"/>
    <x v="23"/>
    <m/>
    <m/>
    <m/>
    <x v="1"/>
    <m/>
  </r>
  <r>
    <d v="2021-12-16T00:00:00"/>
    <x v="12"/>
    <x v="0"/>
    <x v="0"/>
    <n v="43537"/>
    <n v="43537"/>
    <n v="0"/>
    <x v="703"/>
    <s v="Cali"/>
  </r>
  <r>
    <d v="2021-12-16T00:00:00"/>
    <x v="12"/>
    <x v="25"/>
    <x v="25"/>
    <n v="-45000"/>
    <n v="0"/>
    <n v="45000"/>
    <x v="703"/>
    <s v="Cali"/>
  </r>
  <r>
    <d v="2021-12-16T00:00:00"/>
    <x v="12"/>
    <x v="31"/>
    <x v="31"/>
    <n v="1463"/>
    <n v="1463"/>
    <n v="0"/>
    <x v="703"/>
    <s v="Cali"/>
  </r>
  <r>
    <m/>
    <x v="1"/>
    <x v="23"/>
    <x v="23"/>
    <m/>
    <m/>
    <m/>
    <x v="1"/>
    <m/>
  </r>
  <r>
    <d v="2021-12-16T00:00:00"/>
    <x v="12"/>
    <x v="0"/>
    <x v="0"/>
    <n v="43537"/>
    <n v="43537"/>
    <n v="0"/>
    <x v="704"/>
    <s v="Cali"/>
  </r>
  <r>
    <d v="2021-12-16T00:00:00"/>
    <x v="12"/>
    <x v="25"/>
    <x v="25"/>
    <n v="-45000"/>
    <n v="0"/>
    <n v="45000"/>
    <x v="704"/>
    <s v="Cali"/>
  </r>
  <r>
    <d v="2021-12-16T00:00:00"/>
    <x v="12"/>
    <x v="31"/>
    <x v="31"/>
    <n v="1463"/>
    <n v="1463"/>
    <n v="0"/>
    <x v="704"/>
    <s v="Cali"/>
  </r>
  <r>
    <m/>
    <x v="1"/>
    <x v="23"/>
    <x v="23"/>
    <m/>
    <m/>
    <m/>
    <x v="1"/>
    <m/>
  </r>
  <r>
    <d v="2021-12-16T00:00:00"/>
    <x v="12"/>
    <x v="0"/>
    <x v="0"/>
    <n v="30000"/>
    <n v="30000"/>
    <n v="0"/>
    <x v="139"/>
    <s v="Cali"/>
  </r>
  <r>
    <d v="2021-12-16T00:00:00"/>
    <x v="12"/>
    <x v="25"/>
    <x v="25"/>
    <n v="-30000"/>
    <n v="0"/>
    <n v="30000"/>
    <x v="139"/>
    <s v="Cali"/>
  </r>
  <r>
    <m/>
    <x v="1"/>
    <x v="23"/>
    <x v="23"/>
    <m/>
    <m/>
    <m/>
    <x v="1"/>
    <m/>
  </r>
  <r>
    <d v="2021-12-16T00:00:00"/>
    <x v="12"/>
    <x v="0"/>
    <x v="0"/>
    <n v="150000"/>
    <n v="150000"/>
    <n v="0"/>
    <x v="251"/>
    <s v="Cali"/>
  </r>
  <r>
    <d v="2021-12-16T00:00:00"/>
    <x v="12"/>
    <x v="27"/>
    <x v="27"/>
    <n v="-150000"/>
    <n v="0"/>
    <n v="150000"/>
    <x v="251"/>
    <s v="Cali"/>
  </r>
  <r>
    <m/>
    <x v="1"/>
    <x v="23"/>
    <x v="23"/>
    <m/>
    <m/>
    <m/>
    <x v="1"/>
    <m/>
  </r>
  <r>
    <d v="2021-12-17T00:00:00"/>
    <x v="12"/>
    <x v="16"/>
    <x v="16"/>
    <n v="71040"/>
    <n v="71040"/>
    <n v="0"/>
    <x v="705"/>
    <s v="Cali"/>
  </r>
  <r>
    <d v="2021-12-17T00:00:00"/>
    <x v="12"/>
    <x v="17"/>
    <x v="17"/>
    <n v="-8170"/>
    <n v="0"/>
    <n v="8170"/>
    <x v="705"/>
    <s v="Cali"/>
  </r>
  <r>
    <d v="2021-12-17T00:00:00"/>
    <x v="12"/>
    <x v="0"/>
    <x v="0"/>
    <n v="-62870"/>
    <n v="0"/>
    <n v="62870"/>
    <x v="705"/>
    <s v="Cali"/>
  </r>
  <r>
    <m/>
    <x v="1"/>
    <x v="23"/>
    <x v="23"/>
    <m/>
    <m/>
    <m/>
    <x v="1"/>
    <m/>
  </r>
  <r>
    <d v="2021-12-17T00:00:00"/>
    <x v="12"/>
    <x v="15"/>
    <x v="15"/>
    <n v="3085459"/>
    <n v="3085459"/>
    <n v="0"/>
    <x v="706"/>
    <s v="Cali"/>
  </r>
  <r>
    <d v="2021-12-17T00:00:00"/>
    <x v="12"/>
    <x v="14"/>
    <x v="14"/>
    <n v="182616"/>
    <n v="182616"/>
    <n v="0"/>
    <x v="706"/>
    <s v="Cali"/>
  </r>
  <r>
    <d v="2021-12-17T00:00:00"/>
    <x v="12"/>
    <x v="0"/>
    <x v="0"/>
    <n v="-3268075"/>
    <n v="0"/>
    <n v="3268075"/>
    <x v="706"/>
    <s v="Cali"/>
  </r>
  <r>
    <m/>
    <x v="1"/>
    <x v="23"/>
    <x v="23"/>
    <m/>
    <m/>
    <m/>
    <x v="1"/>
    <m/>
  </r>
  <r>
    <d v="2021-12-17T00:00:00"/>
    <x v="12"/>
    <x v="31"/>
    <x v="31"/>
    <n v="338983"/>
    <n v="338983"/>
    <n v="0"/>
    <x v="707"/>
    <s v="Cali"/>
  </r>
  <r>
    <d v="2021-12-17T00:00:00"/>
    <x v="12"/>
    <x v="17"/>
    <x v="17"/>
    <n v="-38983"/>
    <n v="0"/>
    <n v="38983"/>
    <x v="707"/>
    <s v="Cali"/>
  </r>
  <r>
    <d v="2021-12-17T00:00:00"/>
    <x v="12"/>
    <x v="0"/>
    <x v="0"/>
    <n v="-300000"/>
    <n v="0"/>
    <n v="300000"/>
    <x v="707"/>
    <s v="Cali"/>
  </r>
  <r>
    <m/>
    <x v="1"/>
    <x v="23"/>
    <x v="23"/>
    <m/>
    <m/>
    <m/>
    <x v="1"/>
    <m/>
  </r>
  <r>
    <d v="2021-12-17T00:00:00"/>
    <x v="12"/>
    <x v="1"/>
    <x v="1"/>
    <n v="140000000"/>
    <n v="140000000"/>
    <n v="0"/>
    <x v="429"/>
    <s v="Cali"/>
  </r>
  <r>
    <d v="2021-12-17T00:00:00"/>
    <x v="12"/>
    <x v="0"/>
    <x v="0"/>
    <n v="-140000000"/>
    <n v="0"/>
    <n v="140000000"/>
    <x v="429"/>
    <s v="Cali"/>
  </r>
  <r>
    <m/>
    <x v="1"/>
    <x v="23"/>
    <x v="23"/>
    <m/>
    <m/>
    <m/>
    <x v="1"/>
    <m/>
  </r>
  <r>
    <d v="2021-12-17T00:00:00"/>
    <x v="12"/>
    <x v="0"/>
    <x v="0"/>
    <n v="30000"/>
    <n v="30000"/>
    <n v="0"/>
    <x v="266"/>
    <s v="Cali"/>
  </r>
  <r>
    <d v="2021-12-17T00:00:00"/>
    <x v="12"/>
    <x v="25"/>
    <x v="25"/>
    <n v="-30000"/>
    <n v="0"/>
    <n v="30000"/>
    <x v="266"/>
    <s v="Cali"/>
  </r>
  <r>
    <m/>
    <x v="1"/>
    <x v="23"/>
    <x v="23"/>
    <m/>
    <m/>
    <m/>
    <x v="1"/>
    <m/>
  </r>
  <r>
    <d v="2021-12-17T00:00:00"/>
    <x v="12"/>
    <x v="0"/>
    <x v="0"/>
    <n v="29025"/>
    <n v="29025"/>
    <n v="0"/>
    <x v="665"/>
    <s v="Cali"/>
  </r>
  <r>
    <d v="2021-12-17T00:00:00"/>
    <x v="12"/>
    <x v="25"/>
    <x v="25"/>
    <n v="-30000"/>
    <n v="0"/>
    <n v="30000"/>
    <x v="665"/>
    <s v="Cali"/>
  </r>
  <r>
    <d v="2021-12-17T00:00:00"/>
    <x v="12"/>
    <x v="31"/>
    <x v="31"/>
    <n v="975"/>
    <n v="975"/>
    <n v="0"/>
    <x v="665"/>
    <s v="Cali"/>
  </r>
  <r>
    <m/>
    <x v="1"/>
    <x v="23"/>
    <x v="23"/>
    <m/>
    <m/>
    <m/>
    <x v="1"/>
    <m/>
  </r>
  <r>
    <d v="2021-12-17T00:00:00"/>
    <x v="12"/>
    <x v="0"/>
    <x v="0"/>
    <n v="14513"/>
    <n v="14513"/>
    <n v="0"/>
    <x v="664"/>
    <s v="Cali"/>
  </r>
  <r>
    <d v="2021-12-17T00:00:00"/>
    <x v="12"/>
    <x v="25"/>
    <x v="25"/>
    <n v="-15000"/>
    <n v="0"/>
    <n v="15000"/>
    <x v="664"/>
    <s v="Cali"/>
  </r>
  <r>
    <d v="2021-12-17T00:00:00"/>
    <x v="12"/>
    <x v="31"/>
    <x v="31"/>
    <n v="487"/>
    <n v="487"/>
    <n v="0"/>
    <x v="664"/>
    <s v="Cali"/>
  </r>
  <r>
    <m/>
    <x v="1"/>
    <x v="23"/>
    <x v="23"/>
    <m/>
    <m/>
    <m/>
    <x v="1"/>
    <m/>
  </r>
  <r>
    <d v="2021-12-17T00:00:00"/>
    <x v="12"/>
    <x v="0"/>
    <x v="0"/>
    <n v="29025"/>
    <n v="29025"/>
    <n v="0"/>
    <x v="659"/>
    <s v="Cali"/>
  </r>
  <r>
    <d v="2021-12-17T00:00:00"/>
    <x v="12"/>
    <x v="25"/>
    <x v="25"/>
    <n v="-30000"/>
    <n v="0"/>
    <n v="30000"/>
    <x v="659"/>
    <s v="Cali"/>
  </r>
  <r>
    <d v="2021-12-17T00:00:00"/>
    <x v="12"/>
    <x v="31"/>
    <x v="31"/>
    <n v="975"/>
    <n v="975"/>
    <n v="0"/>
    <x v="659"/>
    <s v="Cali"/>
  </r>
  <r>
    <m/>
    <x v="1"/>
    <x v="23"/>
    <x v="23"/>
    <m/>
    <m/>
    <m/>
    <x v="1"/>
    <m/>
  </r>
  <r>
    <d v="2021-12-17T00:00:00"/>
    <x v="12"/>
    <x v="0"/>
    <x v="0"/>
    <n v="19350"/>
    <n v="19350"/>
    <n v="0"/>
    <x v="657"/>
    <s v="Cali"/>
  </r>
  <r>
    <d v="2021-12-17T00:00:00"/>
    <x v="12"/>
    <x v="25"/>
    <x v="25"/>
    <n v="-20000"/>
    <n v="0"/>
    <n v="20000"/>
    <x v="657"/>
    <s v="Cali"/>
  </r>
  <r>
    <d v="2021-12-17T00:00:00"/>
    <x v="12"/>
    <x v="31"/>
    <x v="31"/>
    <n v="650"/>
    <n v="650"/>
    <n v="0"/>
    <x v="657"/>
    <s v="Cali"/>
  </r>
  <r>
    <m/>
    <x v="1"/>
    <x v="23"/>
    <x v="23"/>
    <m/>
    <m/>
    <m/>
    <x v="1"/>
    <m/>
  </r>
  <r>
    <d v="2021-12-17T00:00:00"/>
    <x v="12"/>
    <x v="0"/>
    <x v="0"/>
    <n v="50000"/>
    <n v="50000"/>
    <n v="0"/>
    <x v="599"/>
    <s v="Cali"/>
  </r>
  <r>
    <d v="2021-12-17T00:00:00"/>
    <x v="12"/>
    <x v="26"/>
    <x v="26"/>
    <n v="-50000"/>
    <n v="0"/>
    <n v="50000"/>
    <x v="599"/>
    <s v="Cali"/>
  </r>
  <r>
    <m/>
    <x v="1"/>
    <x v="23"/>
    <x v="23"/>
    <m/>
    <m/>
    <m/>
    <x v="1"/>
    <m/>
  </r>
  <r>
    <d v="2021-12-17T00:00:00"/>
    <x v="12"/>
    <x v="0"/>
    <x v="0"/>
    <n v="240000"/>
    <n v="240000"/>
    <n v="0"/>
    <x v="65"/>
    <s v="Cali"/>
  </r>
  <r>
    <d v="2021-12-17T00:00:00"/>
    <x v="12"/>
    <x v="29"/>
    <x v="29"/>
    <n v="-240000"/>
    <n v="0"/>
    <n v="240000"/>
    <x v="65"/>
    <s v="Cali"/>
  </r>
  <r>
    <m/>
    <x v="1"/>
    <x v="23"/>
    <x v="23"/>
    <m/>
    <m/>
    <m/>
    <x v="1"/>
    <m/>
  </r>
  <r>
    <d v="2021-12-17T00:00:00"/>
    <x v="12"/>
    <x v="0"/>
    <x v="0"/>
    <n v="30000"/>
    <n v="30000"/>
    <n v="0"/>
    <x v="65"/>
    <s v="Cali"/>
  </r>
  <r>
    <d v="2021-12-17T00:00:00"/>
    <x v="12"/>
    <x v="29"/>
    <x v="29"/>
    <n v="-30000"/>
    <n v="0"/>
    <n v="30000"/>
    <x v="65"/>
    <s v="Cali"/>
  </r>
  <r>
    <m/>
    <x v="1"/>
    <x v="23"/>
    <x v="23"/>
    <m/>
    <m/>
    <m/>
    <x v="1"/>
    <m/>
  </r>
  <r>
    <d v="2021-12-17T00:00:00"/>
    <x v="12"/>
    <x v="0"/>
    <x v="0"/>
    <n v="20000"/>
    <n v="20000"/>
    <n v="0"/>
    <x v="65"/>
    <s v="Cali"/>
  </r>
  <r>
    <d v="2021-12-17T00:00:00"/>
    <x v="12"/>
    <x v="29"/>
    <x v="29"/>
    <n v="-20000"/>
    <n v="0"/>
    <n v="20000"/>
    <x v="65"/>
    <s v="Cali"/>
  </r>
  <r>
    <m/>
    <x v="1"/>
    <x v="23"/>
    <x v="23"/>
    <m/>
    <m/>
    <m/>
    <x v="1"/>
    <m/>
  </r>
  <r>
    <d v="2021-12-17T00:00:00"/>
    <x v="12"/>
    <x v="0"/>
    <x v="0"/>
    <n v="15000"/>
    <n v="15000"/>
    <n v="0"/>
    <x v="65"/>
    <s v="Cali"/>
  </r>
  <r>
    <d v="2021-12-17T00:00:00"/>
    <x v="12"/>
    <x v="29"/>
    <x v="29"/>
    <n v="-15000"/>
    <n v="0"/>
    <n v="15000"/>
    <x v="65"/>
    <s v="Cali"/>
  </r>
  <r>
    <m/>
    <x v="1"/>
    <x v="23"/>
    <x v="23"/>
    <m/>
    <m/>
    <m/>
    <x v="1"/>
    <m/>
  </r>
  <r>
    <d v="2021-12-17T00:00:00"/>
    <x v="12"/>
    <x v="0"/>
    <x v="0"/>
    <n v="35000"/>
    <n v="35000"/>
    <n v="0"/>
    <x v="65"/>
    <s v="Cali"/>
  </r>
  <r>
    <d v="2021-12-17T00:00:00"/>
    <x v="12"/>
    <x v="29"/>
    <x v="29"/>
    <n v="-35000"/>
    <n v="0"/>
    <n v="35000"/>
    <x v="65"/>
    <s v="Cali"/>
  </r>
  <r>
    <m/>
    <x v="1"/>
    <x v="23"/>
    <x v="23"/>
    <m/>
    <m/>
    <m/>
    <x v="1"/>
    <m/>
  </r>
  <r>
    <d v="2021-12-20T00:00:00"/>
    <x v="12"/>
    <x v="0"/>
    <x v="0"/>
    <n v="20000"/>
    <n v="20000"/>
    <n v="0"/>
    <x v="65"/>
    <s v="Cali"/>
  </r>
  <r>
    <d v="2021-12-20T00:00:00"/>
    <x v="12"/>
    <x v="29"/>
    <x v="29"/>
    <n v="-20000"/>
    <n v="0"/>
    <n v="20000"/>
    <x v="65"/>
    <s v="Cali"/>
  </r>
  <r>
    <m/>
    <x v="1"/>
    <x v="23"/>
    <x v="23"/>
    <m/>
    <m/>
    <m/>
    <x v="1"/>
    <m/>
  </r>
  <r>
    <d v="2021-12-20T00:00:00"/>
    <x v="12"/>
    <x v="0"/>
    <x v="0"/>
    <n v="7000"/>
    <n v="7000"/>
    <n v="0"/>
    <x v="65"/>
    <s v="Cali"/>
  </r>
  <r>
    <d v="2021-12-20T00:00:00"/>
    <x v="12"/>
    <x v="29"/>
    <x v="29"/>
    <n v="-7000"/>
    <n v="0"/>
    <n v="7000"/>
    <x v="65"/>
    <s v="Cali"/>
  </r>
  <r>
    <m/>
    <x v="1"/>
    <x v="23"/>
    <x v="23"/>
    <m/>
    <m/>
    <m/>
    <x v="1"/>
    <m/>
  </r>
  <r>
    <d v="2021-12-20T00:00:00"/>
    <x v="12"/>
    <x v="0"/>
    <x v="0"/>
    <n v="20000"/>
    <n v="20000"/>
    <n v="0"/>
    <x v="201"/>
    <s v="Cali"/>
  </r>
  <r>
    <d v="2021-12-20T00:00:00"/>
    <x v="12"/>
    <x v="25"/>
    <x v="25"/>
    <n v="-20000"/>
    <n v="0"/>
    <n v="20000"/>
    <x v="201"/>
    <s v="Cali"/>
  </r>
  <r>
    <m/>
    <x v="1"/>
    <x v="23"/>
    <x v="23"/>
    <m/>
    <m/>
    <m/>
    <x v="1"/>
    <m/>
  </r>
  <r>
    <d v="2021-12-20T00:00:00"/>
    <x v="12"/>
    <x v="0"/>
    <x v="0"/>
    <n v="5000"/>
    <n v="5000"/>
    <n v="0"/>
    <x v="367"/>
    <s v="Cali"/>
  </r>
  <r>
    <d v="2021-12-20T00:00:00"/>
    <x v="12"/>
    <x v="25"/>
    <x v="25"/>
    <n v="-5000"/>
    <n v="0"/>
    <n v="5000"/>
    <x v="367"/>
    <s v="Cali"/>
  </r>
  <r>
    <m/>
    <x v="1"/>
    <x v="23"/>
    <x v="23"/>
    <m/>
    <m/>
    <m/>
    <x v="1"/>
    <m/>
  </r>
  <r>
    <d v="2021-12-20T00:00:00"/>
    <x v="12"/>
    <x v="0"/>
    <x v="0"/>
    <n v="150000"/>
    <n v="150000"/>
    <n v="0"/>
    <x v="431"/>
    <s v="Cali"/>
  </r>
  <r>
    <d v="2021-12-20T00:00:00"/>
    <x v="12"/>
    <x v="25"/>
    <x v="25"/>
    <n v="-150000"/>
    <n v="0"/>
    <n v="150000"/>
    <x v="431"/>
    <s v="Cali"/>
  </r>
  <r>
    <m/>
    <x v="1"/>
    <x v="23"/>
    <x v="23"/>
    <m/>
    <m/>
    <m/>
    <x v="1"/>
    <m/>
  </r>
  <r>
    <d v="2021-12-20T00:00:00"/>
    <x v="12"/>
    <x v="0"/>
    <x v="0"/>
    <n v="2000"/>
    <n v="2000"/>
    <n v="0"/>
    <x v="177"/>
    <s v="Cali"/>
  </r>
  <r>
    <d v="2021-12-20T00:00:00"/>
    <x v="12"/>
    <x v="19"/>
    <x v="19"/>
    <n v="-2000"/>
    <n v="0"/>
    <n v="2000"/>
    <x v="177"/>
    <s v="Cali"/>
  </r>
  <r>
    <m/>
    <x v="1"/>
    <x v="23"/>
    <x v="23"/>
    <m/>
    <m/>
    <m/>
    <x v="1"/>
    <m/>
  </r>
  <r>
    <d v="2021-12-20T00:00:00"/>
    <x v="12"/>
    <x v="0"/>
    <x v="0"/>
    <n v="200000"/>
    <n v="200000"/>
    <n v="0"/>
    <x v="518"/>
    <s v="Cali"/>
  </r>
  <r>
    <d v="2021-12-20T00:00:00"/>
    <x v="12"/>
    <x v="26"/>
    <x v="26"/>
    <n v="-200000"/>
    <n v="0"/>
    <n v="200000"/>
    <x v="518"/>
    <s v="Cali"/>
  </r>
  <r>
    <m/>
    <x v="1"/>
    <x v="23"/>
    <x v="23"/>
    <m/>
    <m/>
    <m/>
    <x v="1"/>
    <m/>
  </r>
  <r>
    <d v="2021-12-22T00:00:00"/>
    <x v="12"/>
    <x v="0"/>
    <x v="0"/>
    <n v="20000"/>
    <n v="20000"/>
    <n v="0"/>
    <x v="199"/>
    <s v="Cali"/>
  </r>
  <r>
    <d v="2021-12-22T00:00:00"/>
    <x v="12"/>
    <x v="27"/>
    <x v="27"/>
    <n v="-20000"/>
    <n v="0"/>
    <n v="20000"/>
    <x v="199"/>
    <s v="Cali"/>
  </r>
  <r>
    <m/>
    <x v="1"/>
    <x v="23"/>
    <x v="23"/>
    <m/>
    <m/>
    <m/>
    <x v="1"/>
    <m/>
  </r>
  <r>
    <d v="2021-12-22T00:00:00"/>
    <x v="12"/>
    <x v="0"/>
    <x v="0"/>
    <n v="10000"/>
    <n v="10000"/>
    <n v="0"/>
    <x v="409"/>
    <s v="Cali"/>
  </r>
  <r>
    <d v="2021-12-22T00:00:00"/>
    <x v="12"/>
    <x v="25"/>
    <x v="25"/>
    <n v="-10000"/>
    <n v="0"/>
    <n v="10000"/>
    <x v="409"/>
    <s v="Cali"/>
  </r>
  <r>
    <m/>
    <x v="1"/>
    <x v="23"/>
    <x v="23"/>
    <m/>
    <m/>
    <m/>
    <x v="1"/>
    <m/>
  </r>
  <r>
    <d v="2021-12-23T00:00:00"/>
    <x v="12"/>
    <x v="0"/>
    <x v="0"/>
    <n v="20000"/>
    <n v="20000"/>
    <n v="0"/>
    <x v="166"/>
    <s v="Cali"/>
  </r>
  <r>
    <d v="2021-12-23T00:00:00"/>
    <x v="12"/>
    <x v="25"/>
    <x v="25"/>
    <n v="-20000"/>
    <n v="0"/>
    <n v="20000"/>
    <x v="166"/>
    <s v="Cali"/>
  </r>
  <r>
    <m/>
    <x v="1"/>
    <x v="23"/>
    <x v="23"/>
    <m/>
    <m/>
    <m/>
    <x v="1"/>
    <m/>
  </r>
  <r>
    <d v="2021-12-23T00:00:00"/>
    <x v="12"/>
    <x v="0"/>
    <x v="0"/>
    <n v="73740"/>
    <n v="73740"/>
    <n v="0"/>
    <x v="708"/>
    <s v="Cali"/>
  </r>
  <r>
    <d v="2021-12-23T00:00:00"/>
    <x v="12"/>
    <x v="26"/>
    <x v="26"/>
    <n v="-73740"/>
    <n v="0"/>
    <n v="73740"/>
    <x v="708"/>
    <s v="Cali"/>
  </r>
  <r>
    <m/>
    <x v="1"/>
    <x v="23"/>
    <x v="23"/>
    <m/>
    <m/>
    <m/>
    <x v="1"/>
    <m/>
  </r>
  <r>
    <d v="2021-12-23T00:00:00"/>
    <x v="12"/>
    <x v="0"/>
    <x v="0"/>
    <n v="30000"/>
    <n v="30000"/>
    <n v="0"/>
    <x v="203"/>
    <s v="Cali"/>
  </r>
  <r>
    <d v="2021-12-23T00:00:00"/>
    <x v="12"/>
    <x v="27"/>
    <x v="27"/>
    <n v="-30000"/>
    <n v="0"/>
    <n v="30000"/>
    <x v="203"/>
    <s v="Cali"/>
  </r>
  <r>
    <m/>
    <x v="1"/>
    <x v="23"/>
    <x v="23"/>
    <m/>
    <m/>
    <m/>
    <x v="1"/>
    <m/>
  </r>
  <r>
    <d v="2021-12-23T00:00:00"/>
    <x v="12"/>
    <x v="0"/>
    <x v="0"/>
    <n v="100000"/>
    <n v="100000"/>
    <n v="0"/>
    <x v="333"/>
    <s v="Cali"/>
  </r>
  <r>
    <d v="2021-12-23T00:00:00"/>
    <x v="12"/>
    <x v="26"/>
    <x v="26"/>
    <n v="-100000"/>
    <n v="0"/>
    <n v="100000"/>
    <x v="333"/>
    <s v="Cali"/>
  </r>
  <r>
    <m/>
    <x v="1"/>
    <x v="23"/>
    <x v="23"/>
    <m/>
    <m/>
    <m/>
    <x v="1"/>
    <m/>
  </r>
  <r>
    <d v="2021-12-23T00:00:00"/>
    <x v="12"/>
    <x v="0"/>
    <x v="0"/>
    <n v="20000"/>
    <n v="20000"/>
    <n v="0"/>
    <x v="85"/>
    <s v="Cali"/>
  </r>
  <r>
    <d v="2021-12-23T00:00:00"/>
    <x v="12"/>
    <x v="25"/>
    <x v="25"/>
    <n v="-20000"/>
    <n v="0"/>
    <n v="20000"/>
    <x v="85"/>
    <s v="Cali"/>
  </r>
  <r>
    <m/>
    <x v="1"/>
    <x v="23"/>
    <x v="23"/>
    <m/>
    <m/>
    <m/>
    <x v="1"/>
    <m/>
  </r>
  <r>
    <d v="2021-12-23T00:00:00"/>
    <x v="12"/>
    <x v="0"/>
    <x v="0"/>
    <n v="40151"/>
    <n v="40151"/>
    <n v="0"/>
    <x v="709"/>
    <s v="Cali"/>
  </r>
  <r>
    <d v="2021-12-23T00:00:00"/>
    <x v="12"/>
    <x v="26"/>
    <x v="26"/>
    <n v="-40151"/>
    <n v="0"/>
    <n v="40151"/>
    <x v="709"/>
    <s v="Cali"/>
  </r>
  <r>
    <m/>
    <x v="1"/>
    <x v="23"/>
    <x v="23"/>
    <m/>
    <m/>
    <m/>
    <x v="1"/>
    <m/>
  </r>
  <r>
    <d v="2021-12-24T00:00:00"/>
    <x v="12"/>
    <x v="0"/>
    <x v="0"/>
    <n v="1425114"/>
    <n v="1425114"/>
    <n v="0"/>
    <x v="710"/>
    <s v="Cali"/>
  </r>
  <r>
    <d v="2021-12-24T00:00:00"/>
    <x v="12"/>
    <x v="26"/>
    <x v="26"/>
    <n v="-1425114"/>
    <n v="0"/>
    <n v="1425114"/>
    <x v="710"/>
    <s v="Cali"/>
  </r>
  <r>
    <m/>
    <x v="1"/>
    <x v="23"/>
    <x v="23"/>
    <m/>
    <m/>
    <m/>
    <x v="1"/>
    <m/>
  </r>
  <r>
    <d v="2021-12-27T00:00:00"/>
    <x v="12"/>
    <x v="0"/>
    <x v="0"/>
    <n v="2000"/>
    <n v="2000"/>
    <n v="0"/>
    <x v="177"/>
    <s v="Cali"/>
  </r>
  <r>
    <d v="2021-12-27T00:00:00"/>
    <x v="12"/>
    <x v="19"/>
    <x v="19"/>
    <n v="-2000"/>
    <n v="0"/>
    <n v="2000"/>
    <x v="177"/>
    <s v="Cali"/>
  </r>
  <r>
    <m/>
    <x v="1"/>
    <x v="23"/>
    <x v="23"/>
    <m/>
    <m/>
    <m/>
    <x v="1"/>
    <m/>
  </r>
  <r>
    <d v="2021-12-27T00:00:00"/>
    <x v="12"/>
    <x v="0"/>
    <x v="0"/>
    <n v="200000"/>
    <n v="200000"/>
    <n v="0"/>
    <x v="192"/>
    <s v="Cali"/>
  </r>
  <r>
    <d v="2021-12-27T00:00:00"/>
    <x v="12"/>
    <x v="26"/>
    <x v="26"/>
    <n v="-200000"/>
    <n v="0"/>
    <n v="200000"/>
    <x v="192"/>
    <s v="Cali"/>
  </r>
  <r>
    <m/>
    <x v="1"/>
    <x v="23"/>
    <x v="23"/>
    <m/>
    <m/>
    <m/>
    <x v="1"/>
    <m/>
  </r>
  <r>
    <d v="2021-12-27T00:00:00"/>
    <x v="12"/>
    <x v="0"/>
    <x v="0"/>
    <n v="10000"/>
    <n v="10000"/>
    <n v="0"/>
    <x v="206"/>
    <s v="Cali"/>
  </r>
  <r>
    <d v="2021-12-27T00:00:00"/>
    <x v="12"/>
    <x v="26"/>
    <x v="26"/>
    <n v="-10000"/>
    <n v="0"/>
    <n v="10000"/>
    <x v="206"/>
    <s v="Cali"/>
  </r>
  <r>
    <m/>
    <x v="1"/>
    <x v="23"/>
    <x v="23"/>
    <m/>
    <m/>
    <m/>
    <x v="1"/>
    <m/>
  </r>
  <r>
    <d v="2021-12-27T00:00:00"/>
    <x v="12"/>
    <x v="0"/>
    <x v="0"/>
    <n v="60000"/>
    <n v="60000"/>
    <n v="0"/>
    <x v="213"/>
    <s v="Cali"/>
  </r>
  <r>
    <d v="2021-12-27T00:00:00"/>
    <x v="12"/>
    <x v="29"/>
    <x v="29"/>
    <n v="-60000"/>
    <n v="0"/>
    <n v="60000"/>
    <x v="213"/>
    <s v="Cali"/>
  </r>
  <r>
    <m/>
    <x v="1"/>
    <x v="23"/>
    <x v="23"/>
    <m/>
    <m/>
    <m/>
    <x v="1"/>
    <m/>
  </r>
  <r>
    <d v="2021-12-28T00:00:00"/>
    <x v="12"/>
    <x v="0"/>
    <x v="0"/>
    <n v="73000"/>
    <n v="73000"/>
    <n v="0"/>
    <x v="240"/>
    <s v="Cali"/>
  </r>
  <r>
    <d v="2021-12-28T00:00:00"/>
    <x v="12"/>
    <x v="26"/>
    <x v="26"/>
    <n v="-73000"/>
    <n v="0"/>
    <n v="73000"/>
    <x v="240"/>
    <s v="Cali"/>
  </r>
  <r>
    <m/>
    <x v="1"/>
    <x v="23"/>
    <x v="23"/>
    <m/>
    <m/>
    <m/>
    <x v="1"/>
    <m/>
  </r>
  <r>
    <d v="2021-12-28T00:00:00"/>
    <x v="12"/>
    <x v="0"/>
    <x v="0"/>
    <n v="10000"/>
    <n v="10000"/>
    <n v="0"/>
    <x v="236"/>
    <s v="Cali"/>
  </r>
  <r>
    <d v="2021-12-28T00:00:00"/>
    <x v="12"/>
    <x v="25"/>
    <x v="25"/>
    <n v="-10000"/>
    <n v="0"/>
    <n v="10000"/>
    <x v="236"/>
    <s v="Cali"/>
  </r>
  <r>
    <m/>
    <x v="1"/>
    <x v="23"/>
    <x v="23"/>
    <m/>
    <m/>
    <m/>
    <x v="1"/>
    <m/>
  </r>
  <r>
    <d v="2021-12-28T00:00:00"/>
    <x v="12"/>
    <x v="0"/>
    <x v="0"/>
    <n v="25000"/>
    <n v="25000"/>
    <n v="0"/>
    <x v="138"/>
    <s v="Cali"/>
  </r>
  <r>
    <d v="2021-12-28T00:00:00"/>
    <x v="12"/>
    <x v="27"/>
    <x v="27"/>
    <n v="-25000"/>
    <n v="0"/>
    <n v="25000"/>
    <x v="138"/>
    <s v="Cali"/>
  </r>
  <r>
    <m/>
    <x v="1"/>
    <x v="23"/>
    <x v="23"/>
    <m/>
    <m/>
    <m/>
    <x v="1"/>
    <m/>
  </r>
  <r>
    <d v="2021-12-28T00:00:00"/>
    <x v="12"/>
    <x v="0"/>
    <x v="0"/>
    <n v="60000"/>
    <n v="60000"/>
    <n v="0"/>
    <x v="65"/>
    <s v="Cali"/>
  </r>
  <r>
    <d v="2021-12-28T00:00:00"/>
    <x v="12"/>
    <x v="29"/>
    <x v="29"/>
    <n v="-60000"/>
    <n v="0"/>
    <n v="60000"/>
    <x v="65"/>
    <s v="Cali"/>
  </r>
  <r>
    <m/>
    <x v="1"/>
    <x v="23"/>
    <x v="23"/>
    <m/>
    <m/>
    <m/>
    <x v="1"/>
    <m/>
  </r>
  <r>
    <d v="2021-12-28T00:00:00"/>
    <x v="12"/>
    <x v="0"/>
    <x v="0"/>
    <n v="40000"/>
    <n v="40000"/>
    <n v="0"/>
    <x v="65"/>
    <s v="Cali"/>
  </r>
  <r>
    <d v="2021-12-28T00:00:00"/>
    <x v="12"/>
    <x v="29"/>
    <x v="29"/>
    <n v="-40000"/>
    <n v="0"/>
    <n v="40000"/>
    <x v="65"/>
    <s v="Cali"/>
  </r>
  <r>
    <m/>
    <x v="1"/>
    <x v="23"/>
    <x v="23"/>
    <m/>
    <m/>
    <m/>
    <x v="1"/>
    <m/>
  </r>
  <r>
    <d v="2021-12-29T00:00:00"/>
    <x v="12"/>
    <x v="55"/>
    <x v="55"/>
    <n v="327000"/>
    <n v="327000"/>
    <n v="0"/>
    <x v="711"/>
    <s v="Cali"/>
  </r>
  <r>
    <d v="2021-12-29T00:00:00"/>
    <x v="12"/>
    <x v="0"/>
    <x v="0"/>
    <n v="-327000"/>
    <n v="0"/>
    <n v="327000"/>
    <x v="711"/>
    <s v="Cali"/>
  </r>
  <r>
    <m/>
    <x v="1"/>
    <x v="23"/>
    <x v="23"/>
    <m/>
    <m/>
    <m/>
    <x v="1"/>
    <m/>
  </r>
  <r>
    <d v="2021-12-29T00:00:00"/>
    <x v="12"/>
    <x v="0"/>
    <x v="0"/>
    <n v="40000"/>
    <n v="40000"/>
    <n v="0"/>
    <x v="241"/>
    <s v="Cali"/>
  </r>
  <r>
    <d v="2021-12-29T00:00:00"/>
    <x v="12"/>
    <x v="26"/>
    <x v="26"/>
    <n v="-40000"/>
    <n v="0"/>
    <n v="40000"/>
    <x v="241"/>
    <s v="Cali"/>
  </r>
  <r>
    <m/>
    <x v="1"/>
    <x v="23"/>
    <x v="23"/>
    <m/>
    <m/>
    <m/>
    <x v="1"/>
    <m/>
  </r>
  <r>
    <d v="2021-12-29T00:00:00"/>
    <x v="12"/>
    <x v="0"/>
    <x v="0"/>
    <n v="774010"/>
    <n v="774010"/>
    <n v="0"/>
    <x v="712"/>
    <s v="Cali"/>
  </r>
  <r>
    <d v="2021-12-29T00:00:00"/>
    <x v="12"/>
    <x v="26"/>
    <x v="26"/>
    <n v="-774010"/>
    <n v="0"/>
    <n v="774010"/>
    <x v="712"/>
    <s v="Cali"/>
  </r>
  <r>
    <m/>
    <x v="1"/>
    <x v="23"/>
    <x v="23"/>
    <m/>
    <m/>
    <m/>
    <x v="1"/>
    <m/>
  </r>
  <r>
    <d v="2021-12-29T00:00:00"/>
    <x v="12"/>
    <x v="0"/>
    <x v="0"/>
    <n v="5000"/>
    <n v="5000"/>
    <n v="0"/>
    <x v="713"/>
    <s v="Cali"/>
  </r>
  <r>
    <d v="2021-12-29T00:00:00"/>
    <x v="12"/>
    <x v="27"/>
    <x v="27"/>
    <n v="-5000"/>
    <n v="0"/>
    <n v="5000"/>
    <x v="713"/>
    <s v="Cali"/>
  </r>
  <r>
    <m/>
    <x v="1"/>
    <x v="23"/>
    <x v="23"/>
    <m/>
    <m/>
    <m/>
    <x v="1"/>
    <m/>
  </r>
  <r>
    <d v="2021-12-29T00:00:00"/>
    <x v="12"/>
    <x v="0"/>
    <x v="0"/>
    <n v="200000"/>
    <n v="200000"/>
    <n v="0"/>
    <x v="242"/>
    <s v="Cali"/>
  </r>
  <r>
    <d v="2021-12-29T00:00:00"/>
    <x v="12"/>
    <x v="26"/>
    <x v="26"/>
    <n v="-200000"/>
    <n v="0"/>
    <n v="200000"/>
    <x v="242"/>
    <s v="Cali"/>
  </r>
  <r>
    <m/>
    <x v="1"/>
    <x v="23"/>
    <x v="23"/>
    <m/>
    <m/>
    <m/>
    <x v="1"/>
    <m/>
  </r>
  <r>
    <d v="2021-12-29T00:00:00"/>
    <x v="12"/>
    <x v="0"/>
    <x v="0"/>
    <n v="45000"/>
    <n v="45000"/>
    <n v="0"/>
    <x v="65"/>
    <s v="Cali"/>
  </r>
  <r>
    <d v="2021-12-29T00:00:00"/>
    <x v="12"/>
    <x v="29"/>
    <x v="29"/>
    <n v="-45000"/>
    <n v="0"/>
    <n v="45000"/>
    <x v="65"/>
    <s v="Cali"/>
  </r>
  <r>
    <m/>
    <x v="1"/>
    <x v="23"/>
    <x v="23"/>
    <m/>
    <m/>
    <m/>
    <x v="1"/>
    <m/>
  </r>
  <r>
    <d v="2021-12-29T00:00:00"/>
    <x v="12"/>
    <x v="0"/>
    <x v="0"/>
    <n v="20000"/>
    <n v="20000"/>
    <n v="0"/>
    <x v="137"/>
    <s v="Cali"/>
  </r>
  <r>
    <d v="2021-12-29T00:00:00"/>
    <x v="12"/>
    <x v="26"/>
    <x v="26"/>
    <n v="-20000"/>
    <n v="0"/>
    <n v="20000"/>
    <x v="137"/>
    <s v="Cali"/>
  </r>
  <r>
    <m/>
    <x v="1"/>
    <x v="23"/>
    <x v="23"/>
    <m/>
    <m/>
    <m/>
    <x v="1"/>
    <m/>
  </r>
  <r>
    <d v="2021-12-30T00:00:00"/>
    <x v="12"/>
    <x v="0"/>
    <x v="0"/>
    <n v="20000"/>
    <n v="20000"/>
    <n v="0"/>
    <x v="132"/>
    <s v="Cali"/>
  </r>
  <r>
    <d v="2021-12-30T00:00:00"/>
    <x v="12"/>
    <x v="25"/>
    <x v="25"/>
    <n v="-20000"/>
    <n v="0"/>
    <n v="20000"/>
    <x v="132"/>
    <s v="Cali"/>
  </r>
  <r>
    <m/>
    <x v="1"/>
    <x v="23"/>
    <x v="23"/>
    <m/>
    <m/>
    <m/>
    <x v="1"/>
    <m/>
  </r>
  <r>
    <d v="2021-12-30T00:00:00"/>
    <x v="12"/>
    <x v="0"/>
    <x v="0"/>
    <n v="30000"/>
    <n v="30000"/>
    <n v="0"/>
    <x v="497"/>
    <s v="Cali"/>
  </r>
  <r>
    <d v="2021-12-30T00:00:00"/>
    <x v="12"/>
    <x v="25"/>
    <x v="25"/>
    <n v="-30000"/>
    <n v="0"/>
    <n v="30000"/>
    <x v="497"/>
    <s v="Cali"/>
  </r>
  <r>
    <m/>
    <x v="1"/>
    <x v="23"/>
    <x v="23"/>
    <m/>
    <m/>
    <m/>
    <x v="1"/>
    <m/>
  </r>
  <r>
    <d v="2021-12-30T00:00:00"/>
    <x v="12"/>
    <x v="0"/>
    <x v="0"/>
    <n v="50000"/>
    <n v="50000"/>
    <n v="0"/>
    <x v="135"/>
    <s v="Cali"/>
  </r>
  <r>
    <d v="2021-12-30T00:00:00"/>
    <x v="12"/>
    <x v="26"/>
    <x v="26"/>
    <n v="-50000"/>
    <n v="0"/>
    <n v="50000"/>
    <x v="135"/>
    <s v="Cali"/>
  </r>
  <r>
    <m/>
    <x v="1"/>
    <x v="23"/>
    <x v="23"/>
    <m/>
    <m/>
    <m/>
    <x v="1"/>
    <m/>
  </r>
  <r>
    <d v="2021-12-30T00:00:00"/>
    <x v="12"/>
    <x v="0"/>
    <x v="0"/>
    <n v="20000"/>
    <n v="20000"/>
    <n v="0"/>
    <x v="174"/>
    <s v="Cali"/>
  </r>
  <r>
    <d v="2021-12-30T00:00:00"/>
    <x v="12"/>
    <x v="25"/>
    <x v="25"/>
    <n v="-20000"/>
    <n v="0"/>
    <n v="20000"/>
    <x v="174"/>
    <s v="Cali"/>
  </r>
  <r>
    <m/>
    <x v="1"/>
    <x v="23"/>
    <x v="23"/>
    <m/>
    <m/>
    <m/>
    <x v="1"/>
    <m/>
  </r>
  <r>
    <d v="2021-12-30T00:00:00"/>
    <x v="12"/>
    <x v="0"/>
    <x v="0"/>
    <n v="40000"/>
    <n v="40000"/>
    <n v="0"/>
    <x v="133"/>
    <s v="Cali"/>
  </r>
  <r>
    <d v="2021-12-30T00:00:00"/>
    <x v="12"/>
    <x v="25"/>
    <x v="25"/>
    <n v="-40000"/>
    <n v="0"/>
    <n v="40000"/>
    <x v="133"/>
    <s v="Cali"/>
  </r>
  <r>
    <m/>
    <x v="1"/>
    <x v="23"/>
    <x v="23"/>
    <m/>
    <m/>
    <m/>
    <x v="1"/>
    <m/>
  </r>
  <r>
    <d v="2021-12-30T00:00:00"/>
    <x v="12"/>
    <x v="0"/>
    <x v="0"/>
    <n v="100000"/>
    <n v="100000"/>
    <n v="0"/>
    <x v="134"/>
    <s v="Cali"/>
  </r>
  <r>
    <d v="2021-12-30T00:00:00"/>
    <x v="12"/>
    <x v="26"/>
    <x v="26"/>
    <n v="-100000"/>
    <n v="0"/>
    <n v="100000"/>
    <x v="134"/>
    <s v="Cali"/>
  </r>
  <r>
    <m/>
    <x v="1"/>
    <x v="23"/>
    <x v="23"/>
    <m/>
    <m/>
    <m/>
    <x v="1"/>
    <m/>
  </r>
  <r>
    <d v="2021-12-30T00:00:00"/>
    <x v="12"/>
    <x v="0"/>
    <x v="0"/>
    <n v="22000"/>
    <n v="22000"/>
    <n v="0"/>
    <x v="342"/>
    <s v="Cali"/>
  </r>
  <r>
    <d v="2021-12-30T00:00:00"/>
    <x v="12"/>
    <x v="25"/>
    <x v="25"/>
    <n v="-22000"/>
    <n v="0"/>
    <n v="22000"/>
    <x v="342"/>
    <s v="Cali"/>
  </r>
  <r>
    <m/>
    <x v="1"/>
    <x v="23"/>
    <x v="23"/>
    <m/>
    <m/>
    <m/>
    <x v="1"/>
    <m/>
  </r>
  <r>
    <d v="2021-12-30T00:00:00"/>
    <x v="12"/>
    <x v="0"/>
    <x v="0"/>
    <n v="2081474"/>
    <n v="2081474"/>
    <n v="0"/>
    <x v="714"/>
    <s v="Cali"/>
  </r>
  <r>
    <d v="2021-12-30T00:00:00"/>
    <x v="12"/>
    <x v="44"/>
    <x v="44"/>
    <n v="-2081474"/>
    <n v="0"/>
    <n v="2081474"/>
    <x v="714"/>
    <s v="Cali"/>
  </r>
  <r>
    <m/>
    <x v="1"/>
    <x v="23"/>
    <x v="23"/>
    <m/>
    <m/>
    <m/>
    <x v="1"/>
    <m/>
  </r>
  <r>
    <d v="2021-12-30T00:00:00"/>
    <x v="12"/>
    <x v="0"/>
    <x v="0"/>
    <n v="1930483"/>
    <n v="1930483"/>
    <n v="0"/>
    <x v="715"/>
    <s v="Cali"/>
  </r>
  <r>
    <d v="2021-12-30T00:00:00"/>
    <x v="12"/>
    <x v="45"/>
    <x v="45"/>
    <n v="-1930483"/>
    <n v="0"/>
    <n v="1930483"/>
    <x v="715"/>
    <s v="Cali"/>
  </r>
  <r>
    <m/>
    <x v="1"/>
    <x v="23"/>
    <x v="23"/>
    <m/>
    <m/>
    <m/>
    <x v="1"/>
    <m/>
  </r>
  <r>
    <d v="2021-12-30T00:00:00"/>
    <x v="12"/>
    <x v="0"/>
    <x v="0"/>
    <n v="20000"/>
    <n v="20000"/>
    <n v="0"/>
    <x v="151"/>
    <s v="Cali"/>
  </r>
  <r>
    <d v="2021-12-30T00:00:00"/>
    <x v="12"/>
    <x v="25"/>
    <x v="25"/>
    <n v="-20000"/>
    <n v="0"/>
    <n v="20000"/>
    <x v="151"/>
    <s v="Cali"/>
  </r>
  <r>
    <m/>
    <x v="1"/>
    <x v="23"/>
    <x v="23"/>
    <m/>
    <m/>
    <m/>
    <x v="1"/>
    <m/>
  </r>
  <r>
    <d v="2021-12-09T00:00:00"/>
    <x v="12"/>
    <x v="51"/>
    <x v="51"/>
    <n v="875000"/>
    <n v="875000"/>
    <n v="0"/>
    <x v="449"/>
    <s v="Cali"/>
  </r>
  <r>
    <d v="2021-12-09T00:00:00"/>
    <x v="12"/>
    <x v="4"/>
    <x v="4"/>
    <n v="-875000"/>
    <n v="0"/>
    <n v="875000"/>
    <x v="449"/>
    <s v="Cali"/>
  </r>
  <r>
    <m/>
    <x v="1"/>
    <x v="23"/>
    <x v="23"/>
    <m/>
    <m/>
    <m/>
    <x v="1"/>
    <m/>
  </r>
  <r>
    <d v="2021-12-13T00:00:00"/>
    <x v="12"/>
    <x v="51"/>
    <x v="51"/>
    <n v="10000"/>
    <n v="10000"/>
    <n v="0"/>
    <x v="449"/>
    <s v="Cali"/>
  </r>
  <r>
    <d v="2021-12-13T00:00:00"/>
    <x v="12"/>
    <x v="25"/>
    <x v="25"/>
    <n v="-10000"/>
    <n v="0"/>
    <n v="10000"/>
    <x v="449"/>
    <s v="Cali"/>
  </r>
  <r>
    <m/>
    <x v="1"/>
    <x v="23"/>
    <x v="23"/>
    <m/>
    <m/>
    <m/>
    <x v="1"/>
    <m/>
  </r>
  <r>
    <d v="2021-12-20T00:00:00"/>
    <x v="12"/>
    <x v="51"/>
    <x v="51"/>
    <n v="289832320"/>
    <n v="289832320"/>
    <n v="0"/>
    <x v="627"/>
    <s v="Cali"/>
  </r>
  <r>
    <d v="2021-12-20T00:00:00"/>
    <x v="12"/>
    <x v="53"/>
    <x v="53"/>
    <n v="-289832320"/>
    <n v="0"/>
    <n v="289832320"/>
    <x v="627"/>
    <s v="Cali"/>
  </r>
  <r>
    <m/>
    <x v="1"/>
    <x v="23"/>
    <x v="23"/>
    <m/>
    <m/>
    <m/>
    <x v="1"/>
    <m/>
  </r>
  <r>
    <d v="2021-12-20T00:00:00"/>
    <x v="12"/>
    <x v="53"/>
    <x v="53"/>
    <n v="248000000"/>
    <n v="248000000"/>
    <n v="0"/>
    <x v="716"/>
    <s v="Cali"/>
  </r>
  <r>
    <d v="2021-12-20T00:00:00"/>
    <x v="12"/>
    <x v="51"/>
    <x v="51"/>
    <n v="-248000000"/>
    <n v="0"/>
    <n v="248000000"/>
    <x v="716"/>
    <s v="Cali"/>
  </r>
  <r>
    <m/>
    <x v="1"/>
    <x v="23"/>
    <x v="23"/>
    <m/>
    <m/>
    <m/>
    <x v="1"/>
    <m/>
  </r>
  <r>
    <d v="2021-12-22T00:00:00"/>
    <x v="12"/>
    <x v="1"/>
    <x v="1"/>
    <n v="43000000"/>
    <n v="43000000"/>
    <n v="0"/>
    <x v="717"/>
    <s v="Cali"/>
  </r>
  <r>
    <d v="2021-12-22T00:00:00"/>
    <x v="12"/>
    <x v="51"/>
    <x v="51"/>
    <n v="-43000000"/>
    <n v="0"/>
    <n v="43000000"/>
    <x v="717"/>
    <s v="Cali"/>
  </r>
  <r>
    <m/>
    <x v="1"/>
    <x v="23"/>
    <x v="23"/>
    <m/>
    <m/>
    <m/>
    <x v="1"/>
    <m/>
  </r>
  <r>
    <d v="2021-12-27T00:00:00"/>
    <x v="12"/>
    <x v="51"/>
    <x v="51"/>
    <n v="880000"/>
    <n v="880000"/>
    <n v="0"/>
    <x v="449"/>
    <s v="Cali"/>
  </r>
  <r>
    <d v="2021-12-27T00:00:00"/>
    <x v="12"/>
    <x v="25"/>
    <x v="25"/>
    <n v="-880000"/>
    <n v="0"/>
    <n v="880000"/>
    <x v="449"/>
    <s v="Cali"/>
  </r>
  <r>
    <m/>
    <x v="1"/>
    <x v="23"/>
    <x v="23"/>
    <m/>
    <m/>
    <m/>
    <x v="1"/>
    <m/>
  </r>
  <r>
    <d v="2021-12-07T00:00:00"/>
    <x v="12"/>
    <x v="31"/>
    <x v="31"/>
    <n v="1661"/>
    <n v="1661"/>
    <n v="0"/>
    <x v="215"/>
    <s v="Cali"/>
  </r>
  <r>
    <d v="2021-12-07T00:00:00"/>
    <x v="12"/>
    <x v="1"/>
    <x v="1"/>
    <n v="-1661"/>
    <n v="0"/>
    <n v="1661"/>
    <x v="215"/>
    <s v="Cali"/>
  </r>
  <r>
    <m/>
    <x v="1"/>
    <x v="23"/>
    <x v="23"/>
    <m/>
    <m/>
    <m/>
    <x v="1"/>
    <m/>
  </r>
  <r>
    <d v="2021-12-07T00:00:00"/>
    <x v="12"/>
    <x v="31"/>
    <x v="31"/>
    <n v="316"/>
    <n v="316"/>
    <n v="0"/>
    <x v="498"/>
    <s v="Cali"/>
  </r>
  <r>
    <d v="2021-12-07T00:00:00"/>
    <x v="12"/>
    <x v="1"/>
    <x v="1"/>
    <n v="-316"/>
    <n v="0"/>
    <n v="316"/>
    <x v="498"/>
    <s v="Cali"/>
  </r>
  <r>
    <m/>
    <x v="1"/>
    <x v="23"/>
    <x v="23"/>
    <m/>
    <m/>
    <m/>
    <x v="1"/>
    <m/>
  </r>
  <r>
    <d v="2021-12-23T00:00:00"/>
    <x v="12"/>
    <x v="12"/>
    <x v="12"/>
    <n v="4460606"/>
    <n v="4460606"/>
    <n v="0"/>
    <x v="718"/>
    <s v="Cali"/>
  </r>
  <r>
    <d v="2021-12-23T00:00:00"/>
    <x v="12"/>
    <x v="1"/>
    <x v="1"/>
    <n v="-4460606"/>
    <n v="0"/>
    <n v="4460606"/>
    <x v="718"/>
    <s v="Cali"/>
  </r>
  <r>
    <m/>
    <x v="1"/>
    <x v="23"/>
    <x v="23"/>
    <m/>
    <m/>
    <m/>
    <x v="1"/>
    <m/>
  </r>
  <r>
    <d v="2021-12-24T00:00:00"/>
    <x v="12"/>
    <x v="9"/>
    <x v="9"/>
    <n v="12628142"/>
    <n v="12628142"/>
    <n v="0"/>
    <x v="719"/>
    <s v="Cali"/>
  </r>
  <r>
    <d v="2021-12-24T00:00:00"/>
    <x v="12"/>
    <x v="1"/>
    <x v="1"/>
    <n v="-12628142"/>
    <n v="0"/>
    <n v="12628142"/>
    <x v="719"/>
    <s v="Cali"/>
  </r>
  <r>
    <m/>
    <x v="1"/>
    <x v="23"/>
    <x v="23"/>
    <m/>
    <m/>
    <m/>
    <x v="1"/>
    <m/>
  </r>
  <r>
    <d v="2021-12-24T00:00:00"/>
    <x v="12"/>
    <x v="48"/>
    <x v="48"/>
    <n v="163057739"/>
    <n v="163057739"/>
    <n v="0"/>
    <x v="720"/>
    <s v="Cali"/>
  </r>
  <r>
    <d v="2021-12-24T00:00:00"/>
    <x v="12"/>
    <x v="1"/>
    <x v="1"/>
    <n v="-163057739"/>
    <n v="0"/>
    <n v="163057739"/>
    <x v="720"/>
    <s v="Cali"/>
  </r>
  <r>
    <m/>
    <x v="1"/>
    <x v="23"/>
    <x v="23"/>
    <m/>
    <m/>
    <m/>
    <x v="1"/>
    <m/>
  </r>
  <r>
    <d v="2021-12-24T00:00:00"/>
    <x v="12"/>
    <x v="12"/>
    <x v="12"/>
    <n v="3077600"/>
    <n v="3077600"/>
    <n v="0"/>
    <x v="721"/>
    <s v="Cali"/>
  </r>
  <r>
    <d v="2021-12-24T00:00:00"/>
    <x v="12"/>
    <x v="1"/>
    <x v="1"/>
    <n v="-3077600"/>
    <n v="0"/>
    <n v="3077600"/>
    <x v="721"/>
    <s v="Cali"/>
  </r>
  <r>
    <m/>
    <x v="1"/>
    <x v="23"/>
    <x v="23"/>
    <m/>
    <m/>
    <m/>
    <x v="1"/>
    <m/>
  </r>
  <r>
    <d v="2021-12-24T00:00:00"/>
    <x v="12"/>
    <x v="11"/>
    <x v="11"/>
    <n v="-22854095"/>
    <n v="0"/>
    <n v="22854095"/>
    <x v="722"/>
    <s v="Cali"/>
  </r>
  <r>
    <d v="2021-12-24T00:00:00"/>
    <x v="12"/>
    <x v="8"/>
    <x v="8"/>
    <n v="194326383"/>
    <n v="194326383"/>
    <n v="0"/>
    <x v="129"/>
    <s v="Cali"/>
  </r>
  <r>
    <d v="2021-12-24T00:00:00"/>
    <x v="12"/>
    <x v="18"/>
    <x v="18"/>
    <n v="-8414549"/>
    <n v="0"/>
    <n v="8414549"/>
    <x v="723"/>
    <s v="Cali"/>
  </r>
  <r>
    <d v="2021-12-24T00:00:00"/>
    <x v="12"/>
    <x v="48"/>
    <x v="48"/>
    <n v="-163057739"/>
    <n v="0"/>
    <n v="163057739"/>
    <x v="724"/>
    <s v="Cali"/>
  </r>
  <r>
    <m/>
    <x v="1"/>
    <x v="23"/>
    <x v="23"/>
    <m/>
    <m/>
    <m/>
    <x v="1"/>
    <m/>
  </r>
  <r>
    <d v="2021-12-27T00:00:00"/>
    <x v="12"/>
    <x v="31"/>
    <x v="31"/>
    <n v="4686"/>
    <n v="4686"/>
    <n v="0"/>
    <x v="215"/>
    <s v="Cali"/>
  </r>
  <r>
    <d v="2021-12-27T00:00:00"/>
    <x v="12"/>
    <x v="1"/>
    <x v="1"/>
    <n v="-4686"/>
    <n v="0"/>
    <n v="4686"/>
    <x v="215"/>
    <s v="Cali"/>
  </r>
  <r>
    <m/>
    <x v="1"/>
    <x v="23"/>
    <x v="23"/>
    <m/>
    <m/>
    <m/>
    <x v="1"/>
    <m/>
  </r>
  <r>
    <d v="2021-12-27T00:00:00"/>
    <x v="12"/>
    <x v="31"/>
    <x v="31"/>
    <n v="890"/>
    <n v="890"/>
    <n v="0"/>
    <x v="215"/>
    <s v="Cali"/>
  </r>
  <r>
    <d v="2021-12-27T00:00:00"/>
    <x v="12"/>
    <x v="1"/>
    <x v="1"/>
    <n v="-890"/>
    <n v="0"/>
    <n v="890"/>
    <x v="215"/>
    <s v="Cali"/>
  </r>
  <r>
    <m/>
    <x v="1"/>
    <x v="23"/>
    <x v="23"/>
    <m/>
    <m/>
    <m/>
    <x v="1"/>
    <m/>
  </r>
  <r>
    <d v="2021-12-31T00:00:00"/>
    <x v="12"/>
    <x v="32"/>
    <x v="32"/>
    <n v="-632000"/>
    <n v="0"/>
    <n v="632000"/>
    <x v="725"/>
    <s v="Cali"/>
  </r>
  <r>
    <d v="2021-12-31T00:00:00"/>
    <x v="12"/>
    <x v="33"/>
    <x v="33"/>
    <n v="0"/>
    <n v="0"/>
    <n v="0"/>
    <x v="725"/>
    <s v="Cali"/>
  </r>
  <r>
    <d v="2021-12-31T00:00:00"/>
    <x v="12"/>
    <x v="34"/>
    <x v="34"/>
    <n v="-970000"/>
    <n v="0"/>
    <n v="970000"/>
    <x v="725"/>
    <s v="Cali"/>
  </r>
  <r>
    <d v="2021-12-31T00:00:00"/>
    <x v="12"/>
    <x v="35"/>
    <x v="35"/>
    <n v="-3572000"/>
    <n v="0"/>
    <n v="3572000"/>
    <x v="725"/>
    <s v="Cali"/>
  </r>
  <r>
    <d v="2021-12-31T00:00:00"/>
    <x v="12"/>
    <x v="36"/>
    <x v="36"/>
    <n v="-4120600"/>
    <n v="0"/>
    <n v="4120600"/>
    <x v="725"/>
    <s v="Cali"/>
  </r>
  <r>
    <d v="2021-12-31T00:00:00"/>
    <x v="12"/>
    <x v="37"/>
    <x v="37"/>
    <n v="-8451913"/>
    <n v="0"/>
    <n v="8451913"/>
    <x v="725"/>
    <s v="Cali"/>
  </r>
  <r>
    <d v="2021-12-31T00:00:00"/>
    <x v="12"/>
    <x v="29"/>
    <x v="29"/>
    <n v="632000"/>
    <n v="632000"/>
    <n v="0"/>
    <x v="725"/>
    <s v="Cali"/>
  </r>
  <r>
    <d v="2021-12-31T00:00:00"/>
    <x v="12"/>
    <x v="27"/>
    <x v="27"/>
    <n v="970000"/>
    <n v="970000"/>
    <n v="0"/>
    <x v="725"/>
    <s v="Cali"/>
  </r>
  <r>
    <d v="2021-12-31T00:00:00"/>
    <x v="12"/>
    <x v="25"/>
    <x v="25"/>
    <n v="3572000"/>
    <n v="3572000"/>
    <n v="0"/>
    <x v="725"/>
    <s v="Cali"/>
  </r>
  <r>
    <d v="2021-12-31T00:00:00"/>
    <x v="12"/>
    <x v="5"/>
    <x v="5"/>
    <n v="12572513"/>
    <n v="12572513"/>
    <n v="0"/>
    <x v="725"/>
    <s v="Cali"/>
  </r>
  <r>
    <d v="2021-12-31T00:00:00"/>
    <x v="12"/>
    <x v="15"/>
    <x v="15"/>
    <n v="-2991317"/>
    <n v="0"/>
    <n v="2991317"/>
    <x v="725"/>
    <s v="Cali"/>
  </r>
  <r>
    <d v="2021-12-31T00:00:00"/>
    <x v="12"/>
    <x v="38"/>
    <x v="38"/>
    <n v="2991317"/>
    <n v="2991317"/>
    <n v="0"/>
    <x v="725"/>
    <s v="Cali"/>
  </r>
  <r>
    <d v="2021-12-31T00:00:00"/>
    <x v="12"/>
    <x v="16"/>
    <x v="16"/>
    <n v="-75840"/>
    <n v="0"/>
    <n v="75840"/>
    <x v="725"/>
    <s v="Cali"/>
  </r>
  <r>
    <d v="2021-12-31T00:00:00"/>
    <x v="12"/>
    <x v="14"/>
    <x v="14"/>
    <n v="-177465"/>
    <n v="0"/>
    <n v="177465"/>
    <x v="725"/>
    <s v="Cali"/>
  </r>
  <r>
    <d v="2021-12-31T00:00:00"/>
    <x v="12"/>
    <x v="39"/>
    <x v="39"/>
    <n v="75840"/>
    <n v="75840"/>
    <n v="0"/>
    <x v="725"/>
    <s v="Cali"/>
  </r>
  <r>
    <d v="2021-12-31T00:00:00"/>
    <x v="12"/>
    <x v="40"/>
    <x v="40"/>
    <n v="177465"/>
    <n v="177465"/>
    <n v="0"/>
    <x v="725"/>
    <s v="Cali"/>
  </r>
  <r>
    <d v="2021-12-31T00:00:00"/>
    <x v="12"/>
    <x v="41"/>
    <x v="41"/>
    <n v="-5652747"/>
    <n v="0"/>
    <n v="5652747"/>
    <x v="725"/>
    <s v="Cali"/>
  </r>
  <r>
    <d v="2021-12-31T00:00:00"/>
    <x v="12"/>
    <x v="42"/>
    <x v="42"/>
    <n v="-2000500"/>
    <n v="0"/>
    <n v="2000500"/>
    <x v="725"/>
    <s v="Cali"/>
  </r>
  <r>
    <d v="2021-12-31T00:00:00"/>
    <x v="12"/>
    <x v="43"/>
    <x v="43"/>
    <n v="392534"/>
    <n v="392534"/>
    <n v="0"/>
    <x v="725"/>
    <s v="Cali"/>
  </r>
  <r>
    <d v="2021-12-31T00:00:00"/>
    <x v="12"/>
    <x v="43"/>
    <x v="43"/>
    <n v="50013"/>
    <n v="50013"/>
    <n v="0"/>
    <x v="725"/>
    <s v="Cali"/>
  </r>
  <r>
    <d v="2021-12-31T00:00:00"/>
    <x v="12"/>
    <x v="38"/>
    <x v="38"/>
    <n v="3122212"/>
    <n v="3122212"/>
    <n v="0"/>
    <x v="725"/>
    <s v="Cali"/>
  </r>
  <r>
    <d v="2021-12-31T00:00:00"/>
    <x v="12"/>
    <x v="40"/>
    <x v="40"/>
    <n v="56527"/>
    <n v="56527"/>
    <n v="0"/>
    <x v="725"/>
    <s v="Cali"/>
  </r>
  <r>
    <d v="2021-12-31T00:00:00"/>
    <x v="12"/>
    <x v="40"/>
    <x v="40"/>
    <n v="20005"/>
    <n v="20005"/>
    <n v="0"/>
    <x v="725"/>
    <s v="Cali"/>
  </r>
  <r>
    <d v="2021-12-31T00:00:00"/>
    <x v="12"/>
    <x v="44"/>
    <x v="44"/>
    <n v="2081474"/>
    <n v="2081474"/>
    <n v="0"/>
    <x v="725"/>
    <s v="Cali"/>
  </r>
  <r>
    <d v="2021-12-31T00:00:00"/>
    <x v="12"/>
    <x v="45"/>
    <x v="45"/>
    <n v="1930482"/>
    <n v="1930482"/>
    <n v="0"/>
    <x v="725"/>
    <s v="Cali"/>
  </r>
  <r>
    <d v="2021-12-31T00:00:00"/>
    <x v="12"/>
    <x v="5"/>
    <x v="5"/>
    <n v="-393197"/>
    <n v="0"/>
    <n v="393197"/>
    <x v="725"/>
    <s v="Cali"/>
  </r>
  <r>
    <d v="2021-12-31T00:00:00"/>
    <x v="12"/>
    <x v="30"/>
    <x v="30"/>
    <n v="393197"/>
    <n v="393197"/>
    <n v="0"/>
    <x v="725"/>
    <s v="Cali"/>
  </r>
  <r>
    <m/>
    <x v="1"/>
    <x v="23"/>
    <x v="23"/>
    <m/>
    <m/>
    <m/>
    <x v="1"/>
    <m/>
  </r>
  <r>
    <d v="2021-12-31T00:00:00"/>
    <x v="12"/>
    <x v="13"/>
    <x v="13"/>
    <n v="30000"/>
    <n v="30000"/>
    <n v="0"/>
    <x v="465"/>
    <s v="Cali"/>
  </r>
  <r>
    <d v="2021-12-31T00:00:00"/>
    <x v="12"/>
    <x v="13"/>
    <x v="13"/>
    <n v="3000000"/>
    <n v="3000000"/>
    <n v="0"/>
    <x v="726"/>
    <s v="Cali"/>
  </r>
  <r>
    <d v="2021-12-31T00:00:00"/>
    <x v="12"/>
    <x v="13"/>
    <x v="13"/>
    <n v="7860"/>
    <n v="7860"/>
    <n v="0"/>
    <x v="727"/>
    <s v="Cali"/>
  </r>
  <r>
    <d v="2021-12-31T00:00:00"/>
    <x v="12"/>
    <x v="13"/>
    <x v="13"/>
    <n v="20000"/>
    <n v="20000"/>
    <n v="0"/>
    <x v="299"/>
    <s v="Cali"/>
  </r>
  <r>
    <d v="2021-12-31T00:00:00"/>
    <x v="12"/>
    <x v="13"/>
    <x v="13"/>
    <n v="40000"/>
    <n v="40000"/>
    <n v="0"/>
    <x v="463"/>
    <s v="Cali"/>
  </r>
  <r>
    <d v="2021-12-31T00:00:00"/>
    <x v="12"/>
    <x v="13"/>
    <x v="13"/>
    <n v="50000"/>
    <n v="50000"/>
    <n v="0"/>
    <x v="357"/>
    <s v="Cali"/>
  </r>
  <r>
    <d v="2021-12-31T00:00:00"/>
    <x v="12"/>
    <x v="13"/>
    <x v="13"/>
    <n v="50000"/>
    <n v="50000"/>
    <n v="0"/>
    <x v="220"/>
    <s v="Cali"/>
  </r>
  <r>
    <d v="2021-12-31T00:00:00"/>
    <x v="12"/>
    <x v="13"/>
    <x v="13"/>
    <n v="-46739"/>
    <n v="0"/>
    <n v="46739"/>
    <x v="728"/>
    <s v="Cali"/>
  </r>
  <r>
    <d v="2021-12-31T00:00:00"/>
    <x v="12"/>
    <x v="13"/>
    <x v="13"/>
    <n v="15000"/>
    <n v="15000"/>
    <n v="0"/>
    <x v="406"/>
    <s v="Cali"/>
  </r>
  <r>
    <d v="2021-12-31T00:00:00"/>
    <x v="12"/>
    <x v="13"/>
    <x v="13"/>
    <n v="30000"/>
    <n v="30000"/>
    <n v="0"/>
    <x v="729"/>
    <s v="Cali"/>
  </r>
  <r>
    <d v="2021-12-31T00:00:00"/>
    <x v="12"/>
    <x v="13"/>
    <x v="13"/>
    <n v="29472"/>
    <n v="29472"/>
    <n v="0"/>
    <x v="730"/>
    <s v="Cali"/>
  </r>
  <r>
    <d v="2021-12-31T00:00:00"/>
    <x v="12"/>
    <x v="13"/>
    <x v="13"/>
    <n v="17000"/>
    <n v="17000"/>
    <n v="0"/>
    <x v="631"/>
    <s v="Cali"/>
  </r>
  <r>
    <d v="2021-12-31T00:00:00"/>
    <x v="12"/>
    <x v="13"/>
    <x v="13"/>
    <n v="19648"/>
    <n v="19648"/>
    <n v="0"/>
    <x v="731"/>
    <s v="Cali"/>
  </r>
  <r>
    <d v="2021-12-31T00:00:00"/>
    <x v="12"/>
    <x v="13"/>
    <x v="13"/>
    <n v="16700"/>
    <n v="16700"/>
    <n v="0"/>
    <x v="732"/>
    <s v="Cali"/>
  </r>
  <r>
    <d v="2021-12-31T00:00:00"/>
    <x v="12"/>
    <x v="13"/>
    <x v="13"/>
    <n v="21000"/>
    <n v="21000"/>
    <n v="0"/>
    <x v="545"/>
    <s v="Cali"/>
  </r>
  <r>
    <d v="2021-12-31T00:00:00"/>
    <x v="12"/>
    <x v="13"/>
    <x v="13"/>
    <n v="15000"/>
    <n v="15000"/>
    <n v="0"/>
    <x v="301"/>
    <s v="Cali"/>
  </r>
  <r>
    <d v="2021-12-31T00:00:00"/>
    <x v="12"/>
    <x v="13"/>
    <x v="13"/>
    <n v="9824"/>
    <n v="9824"/>
    <n v="0"/>
    <x v="733"/>
    <s v="Cali"/>
  </r>
  <r>
    <d v="2021-12-31T00:00:00"/>
    <x v="12"/>
    <x v="13"/>
    <x v="13"/>
    <n v="49119"/>
    <n v="49119"/>
    <n v="0"/>
    <x v="734"/>
    <s v="Cali"/>
  </r>
  <r>
    <d v="2021-12-31T00:00:00"/>
    <x v="12"/>
    <x v="13"/>
    <x v="13"/>
    <n v="9824"/>
    <n v="9824"/>
    <n v="0"/>
    <x v="667"/>
    <s v="Cali"/>
  </r>
  <r>
    <d v="2021-12-31T00:00:00"/>
    <x v="12"/>
    <x v="13"/>
    <x v="13"/>
    <n v="100000"/>
    <n v="100000"/>
    <n v="0"/>
    <x v="735"/>
    <s v="Cali"/>
  </r>
  <r>
    <d v="2021-12-31T00:00:00"/>
    <x v="12"/>
    <x v="13"/>
    <x v="13"/>
    <n v="60000"/>
    <n v="60000"/>
    <n v="0"/>
    <x v="668"/>
    <s v="Cali"/>
  </r>
  <r>
    <d v="2021-12-31T00:00:00"/>
    <x v="12"/>
    <x v="13"/>
    <x v="13"/>
    <n v="9824"/>
    <n v="9824"/>
    <n v="0"/>
    <x v="736"/>
    <s v="Cali"/>
  </r>
  <r>
    <d v="2021-12-31T00:00:00"/>
    <x v="12"/>
    <x v="13"/>
    <x v="13"/>
    <n v="30000"/>
    <n v="30000"/>
    <n v="0"/>
    <x v="304"/>
    <s v="Cali"/>
  </r>
  <r>
    <d v="2021-12-31T00:00:00"/>
    <x v="12"/>
    <x v="29"/>
    <x v="29"/>
    <n v="-30000"/>
    <n v="0"/>
    <n v="30000"/>
    <x v="465"/>
    <s v="Cali"/>
  </r>
  <r>
    <d v="2021-12-31T00:00:00"/>
    <x v="12"/>
    <x v="26"/>
    <x v="26"/>
    <n v="-3000000"/>
    <n v="0"/>
    <n v="3000000"/>
    <x v="726"/>
    <s v="Cali"/>
  </r>
  <r>
    <d v="2021-12-31T00:00:00"/>
    <x v="12"/>
    <x v="25"/>
    <x v="25"/>
    <n v="-8000"/>
    <n v="0"/>
    <n v="8000"/>
    <x v="727"/>
    <s v="Cali"/>
  </r>
  <r>
    <d v="2021-12-31T00:00:00"/>
    <x v="12"/>
    <x v="26"/>
    <x v="26"/>
    <n v="-20000"/>
    <n v="0"/>
    <n v="20000"/>
    <x v="299"/>
    <s v="Cali"/>
  </r>
  <r>
    <d v="2021-12-31T00:00:00"/>
    <x v="12"/>
    <x v="25"/>
    <x v="25"/>
    <n v="-40000"/>
    <n v="0"/>
    <n v="40000"/>
    <x v="463"/>
    <s v="Cali"/>
  </r>
  <r>
    <d v="2021-12-31T00:00:00"/>
    <x v="12"/>
    <x v="26"/>
    <x v="26"/>
    <n v="-50000"/>
    <n v="0"/>
    <n v="50000"/>
    <x v="357"/>
    <s v="Cali"/>
  </r>
  <r>
    <d v="2021-12-31T00:00:00"/>
    <x v="12"/>
    <x v="25"/>
    <x v="25"/>
    <n v="-50000"/>
    <n v="0"/>
    <n v="50000"/>
    <x v="220"/>
    <s v="Cali"/>
  </r>
  <r>
    <d v="2021-12-31T00:00:00"/>
    <x v="12"/>
    <x v="17"/>
    <x v="17"/>
    <n v="46739"/>
    <n v="46739"/>
    <n v="0"/>
    <x v="728"/>
    <s v="Cali"/>
  </r>
  <r>
    <d v="2021-12-31T00:00:00"/>
    <x v="12"/>
    <x v="26"/>
    <x v="26"/>
    <n v="-15000"/>
    <n v="0"/>
    <n v="15000"/>
    <x v="406"/>
    <s v="Cali"/>
  </r>
  <r>
    <d v="2021-12-31T00:00:00"/>
    <x v="12"/>
    <x v="25"/>
    <x v="25"/>
    <n v="-30000"/>
    <n v="0"/>
    <n v="30000"/>
    <x v="729"/>
    <s v="Cali"/>
  </r>
  <r>
    <d v="2021-12-31T00:00:00"/>
    <x v="12"/>
    <x v="25"/>
    <x v="25"/>
    <n v="-30000"/>
    <n v="0"/>
    <n v="30000"/>
    <x v="730"/>
    <s v="Cali"/>
  </r>
  <r>
    <d v="2021-12-31T00:00:00"/>
    <x v="12"/>
    <x v="25"/>
    <x v="25"/>
    <n v="-17000"/>
    <n v="0"/>
    <n v="17000"/>
    <x v="631"/>
    <s v="Cali"/>
  </r>
  <r>
    <d v="2021-12-31T00:00:00"/>
    <x v="12"/>
    <x v="25"/>
    <x v="25"/>
    <n v="-20000"/>
    <n v="0"/>
    <n v="20000"/>
    <x v="731"/>
    <s v="Cali"/>
  </r>
  <r>
    <d v="2021-12-31T00:00:00"/>
    <x v="12"/>
    <x v="25"/>
    <x v="25"/>
    <n v="-17000"/>
    <n v="0"/>
    <n v="17000"/>
    <x v="732"/>
    <s v="Cali"/>
  </r>
  <r>
    <d v="2021-12-31T00:00:00"/>
    <x v="12"/>
    <x v="27"/>
    <x v="27"/>
    <n v="-21000"/>
    <n v="0"/>
    <n v="21000"/>
    <x v="545"/>
    <s v="Cali"/>
  </r>
  <r>
    <d v="2021-12-31T00:00:00"/>
    <x v="12"/>
    <x v="25"/>
    <x v="25"/>
    <n v="-15000"/>
    <n v="0"/>
    <n v="15000"/>
    <x v="301"/>
    <s v="Cali"/>
  </r>
  <r>
    <d v="2021-12-31T00:00:00"/>
    <x v="12"/>
    <x v="25"/>
    <x v="25"/>
    <n v="-10000"/>
    <n v="0"/>
    <n v="10000"/>
    <x v="733"/>
    <s v="Cali"/>
  </r>
  <r>
    <d v="2021-12-31T00:00:00"/>
    <x v="12"/>
    <x v="25"/>
    <x v="25"/>
    <n v="-50000"/>
    <n v="0"/>
    <n v="50000"/>
    <x v="734"/>
    <s v="Cali"/>
  </r>
  <r>
    <d v="2021-12-31T00:00:00"/>
    <x v="12"/>
    <x v="25"/>
    <x v="25"/>
    <n v="-10000"/>
    <n v="0"/>
    <n v="10000"/>
    <x v="667"/>
    <s v="Cali"/>
  </r>
  <r>
    <d v="2021-12-31T00:00:00"/>
    <x v="12"/>
    <x v="26"/>
    <x v="26"/>
    <n v="-100000"/>
    <n v="0"/>
    <n v="100000"/>
    <x v="735"/>
    <s v="Cali"/>
  </r>
  <r>
    <d v="2021-12-31T00:00:00"/>
    <x v="12"/>
    <x v="25"/>
    <x v="25"/>
    <n v="-60000"/>
    <n v="0"/>
    <n v="60000"/>
    <x v="668"/>
    <s v="Cali"/>
  </r>
  <r>
    <d v="2021-12-31T00:00:00"/>
    <x v="12"/>
    <x v="25"/>
    <x v="25"/>
    <n v="-10000"/>
    <n v="0"/>
    <n v="10000"/>
    <x v="736"/>
    <s v="Cali"/>
  </r>
  <r>
    <d v="2021-12-31T00:00:00"/>
    <x v="12"/>
    <x v="25"/>
    <x v="25"/>
    <n v="-30000"/>
    <n v="0"/>
    <n v="30000"/>
    <x v="304"/>
    <s v="Cali"/>
  </r>
  <r>
    <d v="2021-12-31T00:00:00"/>
    <x v="12"/>
    <x v="31"/>
    <x v="31"/>
    <n v="140"/>
    <n v="140"/>
    <n v="0"/>
    <x v="727"/>
    <s v="Cali"/>
  </r>
  <r>
    <d v="2021-12-31T00:00:00"/>
    <x v="12"/>
    <x v="31"/>
    <x v="31"/>
    <n v="528"/>
    <n v="528"/>
    <n v="0"/>
    <x v="730"/>
    <s v="Cali"/>
  </r>
  <r>
    <d v="2021-12-31T00:00:00"/>
    <x v="12"/>
    <x v="31"/>
    <x v="31"/>
    <n v="352"/>
    <n v="352"/>
    <n v="0"/>
    <x v="731"/>
    <s v="Cali"/>
  </r>
  <r>
    <d v="2021-12-31T00:00:00"/>
    <x v="12"/>
    <x v="31"/>
    <x v="31"/>
    <n v="300"/>
    <n v="300"/>
    <n v="0"/>
    <x v="732"/>
    <s v="Cali"/>
  </r>
  <r>
    <d v="2021-12-31T00:00:00"/>
    <x v="12"/>
    <x v="31"/>
    <x v="31"/>
    <n v="176"/>
    <n v="176"/>
    <n v="0"/>
    <x v="733"/>
    <s v="Cali"/>
  </r>
  <r>
    <d v="2021-12-31T00:00:00"/>
    <x v="12"/>
    <x v="31"/>
    <x v="31"/>
    <n v="881"/>
    <n v="881"/>
    <n v="0"/>
    <x v="734"/>
    <s v="Cali"/>
  </r>
  <r>
    <d v="2021-12-31T00:00:00"/>
    <x v="12"/>
    <x v="31"/>
    <x v="31"/>
    <n v="176"/>
    <n v="176"/>
    <n v="0"/>
    <x v="667"/>
    <s v="Cali"/>
  </r>
  <r>
    <d v="2021-12-31T00:00:00"/>
    <x v="12"/>
    <x v="31"/>
    <x v="31"/>
    <n v="176"/>
    <n v="176"/>
    <n v="0"/>
    <x v="736"/>
    <s v="Cali"/>
  </r>
  <r>
    <m/>
    <x v="1"/>
    <x v="23"/>
    <x v="23"/>
    <m/>
    <m/>
    <m/>
    <x v="1"/>
    <m/>
  </r>
  <r>
    <d v="2021-12-31T00:00:00"/>
    <x v="12"/>
    <x v="46"/>
    <x v="46"/>
    <n v="0"/>
    <n v="0"/>
    <n v="0"/>
    <x v="110"/>
    <s v="Cali"/>
  </r>
  <r>
    <d v="2021-12-31T00:00:00"/>
    <x v="12"/>
    <x v="47"/>
    <x v="47"/>
    <n v="0"/>
    <n v="0"/>
    <n v="0"/>
    <x v="110"/>
    <s v="Cali"/>
  </r>
  <r>
    <m/>
    <x v="1"/>
    <x v="23"/>
    <x v="23"/>
    <m/>
    <m/>
    <m/>
    <x v="1"/>
    <m/>
  </r>
  <r>
    <d v="2021-12-31T00:00:00"/>
    <x v="12"/>
    <x v="2"/>
    <x v="2"/>
    <n v="0"/>
    <n v="0"/>
    <n v="0"/>
    <x v="111"/>
    <s v="Cali"/>
  </r>
  <r>
    <d v="2021-12-31T00:00:00"/>
    <x v="12"/>
    <x v="47"/>
    <x v="47"/>
    <n v="0"/>
    <n v="0"/>
    <n v="0"/>
    <x v="111"/>
    <s v="Cali"/>
  </r>
  <r>
    <m/>
    <x v="1"/>
    <x v="23"/>
    <x v="23"/>
    <m/>
    <m/>
    <m/>
    <x v="1"/>
    <m/>
  </r>
  <r>
    <d v="2021-12-31T00:00:00"/>
    <x v="12"/>
    <x v="3"/>
    <x v="3"/>
    <n v="0"/>
    <n v="0"/>
    <n v="0"/>
    <x v="112"/>
    <s v="Cali"/>
  </r>
  <r>
    <d v="2021-12-31T00:00:00"/>
    <x v="12"/>
    <x v="47"/>
    <x v="47"/>
    <n v="0"/>
    <n v="0"/>
    <n v="0"/>
    <x v="112"/>
    <s v="Cali"/>
  </r>
  <r>
    <m/>
    <x v="1"/>
    <x v="23"/>
    <x v="23"/>
    <m/>
    <m/>
    <m/>
    <x v="1"/>
    <m/>
  </r>
  <r>
    <d v="2021-12-31T00:00:00"/>
    <x v="12"/>
    <x v="53"/>
    <x v="53"/>
    <n v="832320"/>
    <n v="832320"/>
    <n v="0"/>
    <x v="305"/>
    <s v="Cali"/>
  </r>
  <r>
    <d v="2021-12-31T00:00:00"/>
    <x v="12"/>
    <x v="47"/>
    <x v="47"/>
    <n v="-832320"/>
    <n v="0"/>
    <n v="832320"/>
    <x v="305"/>
    <s v="Cali"/>
  </r>
  <r>
    <m/>
    <x v="1"/>
    <x v="23"/>
    <x v="23"/>
    <m/>
    <m/>
    <m/>
    <x v="1"/>
    <m/>
  </r>
  <r>
    <d v="2021-12-31T00:00:00"/>
    <x v="12"/>
    <x v="44"/>
    <x v="44"/>
    <n v="2"/>
    <n v="2"/>
    <n v="0"/>
    <x v="737"/>
    <s v="Cali"/>
  </r>
  <r>
    <d v="2021-12-31T00:00:00"/>
    <x v="12"/>
    <x v="45"/>
    <x v="45"/>
    <n v="5"/>
    <n v="5"/>
    <n v="0"/>
    <x v="737"/>
    <s v="Cali"/>
  </r>
  <r>
    <d v="2021-12-31T00:00:00"/>
    <x v="12"/>
    <x v="3"/>
    <x v="3"/>
    <n v="37"/>
    <n v="37"/>
    <n v="0"/>
    <x v="737"/>
    <s v="Cali"/>
  </r>
  <r>
    <d v="2021-12-31T00:00:00"/>
    <x v="12"/>
    <x v="31"/>
    <x v="31"/>
    <n v="-44"/>
    <n v="0"/>
    <n v="44"/>
    <x v="737"/>
    <s v="Cali"/>
  </r>
  <r>
    <d v="2021-12-31T00:00:00"/>
    <x v="12"/>
    <x v="0"/>
    <x v="0"/>
    <n v="0"/>
    <n v="0"/>
    <n v="0"/>
    <x v="737"/>
    <s v="Cali"/>
  </r>
  <r>
    <m/>
    <x v="1"/>
    <x v="23"/>
    <x v="23"/>
    <m/>
    <m/>
    <m/>
    <x v="1"/>
    <m/>
  </r>
  <r>
    <d v="2021-12-31T00:00:00"/>
    <x v="12"/>
    <x v="11"/>
    <x v="11"/>
    <n v="19631186"/>
    <n v="19631186"/>
    <n v="0"/>
    <x v="738"/>
    <s v="Cali"/>
  </r>
  <r>
    <d v="2021-12-31T00:00:00"/>
    <x v="12"/>
    <x v="56"/>
    <x v="56"/>
    <n v="-19631186"/>
    <n v="0"/>
    <n v="19631186"/>
    <x v="738"/>
    <s v="Cali"/>
  </r>
  <r>
    <m/>
    <x v="1"/>
    <x v="23"/>
    <x v="23"/>
    <m/>
    <m/>
    <m/>
    <x v="1"/>
    <m/>
  </r>
  <r>
    <d v="2021-12-31T00:00:00"/>
    <x v="12"/>
    <x v="56"/>
    <x v="56"/>
    <n v="5651539.3175999969"/>
    <n v="5651539.3175999969"/>
    <n v="0"/>
    <x v="739"/>
    <s v="Cali"/>
  </r>
  <r>
    <d v="2021-12-31T00:00:00"/>
    <x v="12"/>
    <x v="18"/>
    <x v="18"/>
    <n v="-5651539.3175999969"/>
    <n v="0"/>
    <n v="5651539.3175999969"/>
    <x v="739"/>
    <s v="Cali"/>
  </r>
  <r>
    <m/>
    <x v="1"/>
    <x v="23"/>
    <x v="23"/>
    <m/>
    <m/>
    <m/>
    <x v="1"/>
    <m/>
  </r>
  <r>
    <d v="2021-12-31T00:00:00"/>
    <x v="12"/>
    <x v="31"/>
    <x v="31"/>
    <n v="0"/>
    <n v="0"/>
    <n v="0"/>
    <x v="739"/>
    <s v="Cali"/>
  </r>
  <r>
    <d v="2021-12-31T00:00:00"/>
    <x v="12"/>
    <x v="22"/>
    <x v="22"/>
    <n v="0"/>
    <n v="0"/>
    <n v="0"/>
    <x v="739"/>
    <s v="Cali"/>
  </r>
  <r>
    <m/>
    <x v="1"/>
    <x v="23"/>
    <x v="23"/>
    <m/>
    <m/>
    <m/>
    <x v="1"/>
    <m/>
  </r>
  <r>
    <d v="2021-12-31T00:00:00"/>
    <x v="12"/>
    <x v="13"/>
    <x v="13"/>
    <n v="-4045652"/>
    <n v="0"/>
    <n v="4045652"/>
    <x v="740"/>
    <s v="Cali"/>
  </r>
  <r>
    <d v="2021-12-31T00:00:00"/>
    <x v="12"/>
    <x v="19"/>
    <x v="19"/>
    <n v="3280652"/>
    <n v="3280652"/>
    <m/>
    <x v="740"/>
    <s v="Cali"/>
  </r>
  <r>
    <d v="2021-12-31T00:00:00"/>
    <x v="12"/>
    <x v="20"/>
    <x v="20"/>
    <n v="765000"/>
    <n v="765000"/>
    <m/>
    <x v="740"/>
    <s v="Cali"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  <r>
    <m/>
    <x v="1"/>
    <x v="23"/>
    <x v="23"/>
    <m/>
    <m/>
    <m/>
    <x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1000000}" name="TablaDinámica2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gridDropZones="1" multipleFieldFilters="0">
  <location ref="R4:AG155" firstHeaderRow="1" firstDataRow="2" firstDataCol="3"/>
  <pivotFields count="9">
    <pivotField compact="0" outline="0" showAll="0"/>
    <pivotField axis="axisCol" compact="0" outline="0" showAll="0">
      <items count="15">
        <item x="0"/>
        <item x="2"/>
        <item x="3"/>
        <item x="4"/>
        <item x="1"/>
        <item x="5"/>
        <item x="6"/>
        <item x="7"/>
        <item x="8"/>
        <item x="9"/>
        <item m="1" x="13"/>
        <item x="10"/>
        <item x="11"/>
        <item x="12"/>
        <item t="default"/>
      </items>
    </pivotField>
    <pivotField axis="axisRow" compact="0" outline="0" showAll="0" sortType="ascending">
      <items count="78">
        <item h="1" x="53"/>
        <item h="1" x="0"/>
        <item h="1" x="1"/>
        <item h="1" x="51"/>
        <item h="1" x="2"/>
        <item h="1" x="3"/>
        <item h="1" x="46"/>
        <item h="1" m="1" x="71"/>
        <item h="1" x="6"/>
        <item h="1" x="7"/>
        <item h="1" x="8"/>
        <item h="1" x="11"/>
        <item h="1" x="12"/>
        <item x="13"/>
        <item h="1" m="1" x="57"/>
        <item h="1" x="14"/>
        <item h="1" x="15"/>
        <item h="1" x="16"/>
        <item h="1" x="17"/>
        <item h="1" x="52"/>
        <item h="1" x="18"/>
        <item h="1" m="1" x="63"/>
        <item x="19"/>
        <item x="20"/>
        <item h="1" m="1" x="60"/>
        <item h="1" x="50"/>
        <item h="1" x="48"/>
        <item h="1" x="54"/>
        <item h="1" x="21"/>
        <item h="1" x="22"/>
        <item h="1" x="4"/>
        <item h="1" x="29"/>
        <item h="1" x="27"/>
        <item h="1" x="5"/>
        <item h="1" x="44"/>
        <item h="1" x="45"/>
        <item h="1" m="1" x="76"/>
        <item h="1" x="25"/>
        <item h="1" m="1" x="67"/>
        <item h="1" x="9"/>
        <item h="1" x="10"/>
        <item h="1" m="1" x="58"/>
        <item h="1" x="26"/>
        <item h="1" m="1" x="68"/>
        <item h="1" m="1" x="62"/>
        <item h="1" m="1" x="72"/>
        <item h="1" m="1" x="59"/>
        <item h="1" x="41"/>
        <item h="1" x="42"/>
        <item h="1" x="32"/>
        <item h="1" x="33"/>
        <item h="1" x="34"/>
        <item h="1" x="35"/>
        <item h="1" x="36"/>
        <item h="1" x="37"/>
        <item h="1" m="1" x="65"/>
        <item h="1" m="1" x="70"/>
        <item h="1" x="40"/>
        <item h="1" x="38"/>
        <item h="1" x="24"/>
        <item h="1" x="39"/>
        <item h="1" x="30"/>
        <item h="1" x="43"/>
        <item h="1" x="31"/>
        <item h="1" x="28"/>
        <item h="1" m="1" x="64"/>
        <item h="1" x="55"/>
        <item h="1" m="1" x="61"/>
        <item h="1" m="1" x="75"/>
        <item h="1" x="49"/>
        <item h="1" m="1" x="74"/>
        <item h="1" x="47"/>
        <item h="1" m="1" x="66"/>
        <item h="1" m="1" x="69"/>
        <item h="1" x="56"/>
        <item h="1" m="1" x="73"/>
        <item h="1" x="23"/>
        <item t="default"/>
      </items>
    </pivotField>
    <pivotField axis="axisRow" compact="0" outline="0" showAll="0" defaultSubtotal="0">
      <items count="78">
        <item x="28"/>
        <item x="14"/>
        <item x="9"/>
        <item x="11"/>
        <item x="38"/>
        <item x="40"/>
        <item x="24"/>
        <item x="7"/>
        <item x="15"/>
        <item x="41"/>
        <item x="42"/>
        <item x="34"/>
        <item x="35"/>
        <item x="31"/>
        <item x="32"/>
        <item x="33"/>
        <item x="36"/>
        <item x="37"/>
        <item x="21"/>
        <item x="43"/>
        <item x="39"/>
        <item x="30"/>
        <item x="10"/>
        <item x="20"/>
        <item x="19"/>
        <item x="13"/>
        <item x="46"/>
        <item x="2"/>
        <item x="0"/>
        <item x="1"/>
        <item x="4"/>
        <item x="26"/>
        <item x="3"/>
        <item x="47"/>
        <item x="8"/>
        <item x="44"/>
        <item x="45"/>
        <item m="1" x="76"/>
        <item x="29"/>
        <item x="5"/>
        <item x="6"/>
        <item x="48"/>
        <item x="12"/>
        <item x="16"/>
        <item x="22"/>
        <item x="17"/>
        <item x="18"/>
        <item x="23"/>
        <item m="1" x="62"/>
        <item m="1" x="58"/>
        <item m="1" x="64"/>
        <item m="1" x="74"/>
        <item m="1" x="70"/>
        <item m="1" x="71"/>
        <item m="1" x="67"/>
        <item m="1" x="57"/>
        <item m="1" x="63"/>
        <item x="51"/>
        <item x="50"/>
        <item m="1" x="60"/>
        <item x="27"/>
        <item x="25"/>
        <item x="53"/>
        <item x="52"/>
        <item m="1" x="77"/>
        <item m="1" x="61"/>
        <item x="49"/>
        <item m="1" x="69"/>
        <item m="1" x="59"/>
        <item m="1" x="75"/>
        <item m="1" x="73"/>
        <item m="1" x="68"/>
        <item m="1" x="65"/>
        <item m="1" x="72"/>
        <item m="1" x="66"/>
        <item x="55"/>
        <item x="54"/>
        <item x="56"/>
      </items>
    </pivotField>
    <pivotField dataField="1" compact="0" outline="0" showAll="0"/>
    <pivotField compact="0" outline="0" showAll="0"/>
    <pivotField compact="0" outline="0" showAll="0"/>
    <pivotField axis="axisRow" compact="0" outline="0" showAll="0">
      <items count="742">
        <item x="30"/>
        <item x="74"/>
        <item x="209"/>
        <item x="184"/>
        <item x="255"/>
        <item x="36"/>
        <item x="80"/>
        <item x="49"/>
        <item x="89"/>
        <item x="44"/>
        <item x="88"/>
        <item x="287"/>
        <item x="90"/>
        <item x="93"/>
        <item x="37"/>
        <item x="263"/>
        <item x="186"/>
        <item x="183"/>
        <item x="41"/>
        <item x="216"/>
        <item x="31"/>
        <item x="142"/>
        <item x="270"/>
        <item x="272"/>
        <item x="211"/>
        <item x="3"/>
        <item x="100"/>
        <item x="6"/>
        <item x="234"/>
        <item x="235"/>
        <item x="152"/>
        <item x="153"/>
        <item x="274"/>
        <item x="275"/>
        <item x="283"/>
        <item x="0"/>
        <item x="4"/>
        <item x="132"/>
        <item x="76"/>
        <item x="196"/>
        <item x="195"/>
        <item x="50"/>
        <item x="96"/>
        <item x="106"/>
        <item x="238"/>
        <item x="86"/>
        <item x="266"/>
        <item x="62"/>
        <item x="199"/>
        <item x="166"/>
        <item x="167"/>
        <item x="109"/>
        <item x="150"/>
        <item x="244"/>
        <item x="200"/>
        <item x="154"/>
        <item x="237"/>
        <item x="264"/>
        <item x="140"/>
        <item x="177"/>
        <item x="172"/>
        <item x="215"/>
        <item x="120"/>
        <item x="250"/>
        <item x="53"/>
        <item x="113"/>
        <item x="78"/>
        <item x="279"/>
        <item x="51"/>
        <item x="202"/>
        <item x="197"/>
        <item x="159"/>
        <item x="102"/>
        <item x="260"/>
        <item x="115"/>
        <item x="58"/>
        <item x="7"/>
        <item x="26"/>
        <item x="160"/>
        <item x="14"/>
        <item x="61"/>
        <item x="185"/>
        <item x="144"/>
        <item x="131"/>
        <item x="130"/>
        <item x="230"/>
        <item x="117"/>
        <item x="229"/>
        <item x="8"/>
        <item x="205"/>
        <item x="296"/>
        <item x="297"/>
        <item x="40"/>
        <item x="165"/>
        <item x="54"/>
        <item x="16"/>
        <item x="146"/>
        <item x="141"/>
        <item x="46"/>
        <item x="280"/>
        <item x="107"/>
        <item x="21"/>
        <item x="149"/>
        <item x="28"/>
        <item x="245"/>
        <item x="288"/>
        <item x="286"/>
        <item x="163"/>
        <item x="87"/>
        <item x="206"/>
        <item x="119"/>
        <item x="198"/>
        <item x="136"/>
        <item x="281"/>
        <item x="75"/>
        <item x="189"/>
        <item x="249"/>
        <item x="59"/>
        <item x="139"/>
        <item x="247"/>
        <item x="94"/>
        <item x="24"/>
        <item x="155"/>
        <item x="34"/>
        <item x="110"/>
        <item x="111"/>
        <item x="112"/>
        <item x="81"/>
        <item x="99"/>
        <item x="261"/>
        <item x="236"/>
        <item x="5"/>
        <item x="192"/>
        <item x="42"/>
        <item x="92"/>
        <item x="212"/>
        <item x="253"/>
        <item x="19"/>
        <item x="242"/>
        <item x="248"/>
        <item x="91"/>
        <item x="173"/>
        <item x="252"/>
        <item x="138"/>
        <item x="95"/>
        <item x="33"/>
        <item x="83"/>
        <item x="239"/>
        <item x="277"/>
        <item x="169"/>
        <item x="48"/>
        <item x="45"/>
        <item x="213"/>
        <item x="17"/>
        <item x="97"/>
        <item x="10"/>
        <item x="47"/>
        <item x="176"/>
        <item x="9"/>
        <item x="257"/>
        <item x="63"/>
        <item x="35"/>
        <item x="168"/>
        <item x="64"/>
        <item x="203"/>
        <item x="262"/>
        <item x="84"/>
        <item x="11"/>
        <item x="157"/>
        <item x="60"/>
        <item x="82"/>
        <item x="175"/>
        <item x="72"/>
        <item x="191"/>
        <item x="194"/>
        <item x="193"/>
        <item x="52"/>
        <item x="101"/>
        <item x="151"/>
        <item x="269"/>
        <item x="273"/>
        <item x="71"/>
        <item x="170"/>
        <item x="190"/>
        <item x="282"/>
        <item x="43"/>
        <item x="137"/>
        <item x="25"/>
        <item x="158"/>
        <item x="66"/>
        <item x="70"/>
        <item x="69"/>
        <item x="254"/>
        <item x="39"/>
        <item x="246"/>
        <item x="289"/>
        <item x="156"/>
        <item x="179"/>
        <item x="148"/>
        <item x="188"/>
        <item x="256"/>
        <item x="67"/>
        <item x="171"/>
        <item x="143"/>
        <item x="98"/>
        <item x="240"/>
        <item x="32"/>
        <item x="55"/>
        <item x="178"/>
        <item x="56"/>
        <item x="57"/>
        <item x="268"/>
        <item x="174"/>
        <item x="259"/>
        <item x="187"/>
        <item x="258"/>
        <item x="23"/>
        <item x="161"/>
        <item x="77"/>
        <item x="251"/>
        <item x="162"/>
        <item x="29"/>
        <item x="164"/>
        <item x="20"/>
        <item x="278"/>
        <item x="271"/>
        <item x="105"/>
        <item x="241"/>
        <item x="129"/>
        <item x="22"/>
        <item x="134"/>
        <item x="133"/>
        <item x="290"/>
        <item x="27"/>
        <item x="267"/>
        <item x="207"/>
        <item x="243"/>
        <item x="116"/>
        <item x="208"/>
        <item x="73"/>
        <item x="114"/>
        <item x="225"/>
        <item x="15"/>
        <item x="145"/>
        <item x="135"/>
        <item x="201"/>
        <item x="79"/>
        <item x="68"/>
        <item x="18"/>
        <item x="147"/>
        <item x="38"/>
        <item x="2"/>
        <item x="204"/>
        <item x="276"/>
        <item x="214"/>
        <item x="121"/>
        <item x="13"/>
        <item x="104"/>
        <item x="12"/>
        <item x="295"/>
        <item x="228"/>
        <item x="293"/>
        <item x="294"/>
        <item x="226"/>
        <item x="227"/>
        <item x="85"/>
        <item x="1"/>
        <item x="210"/>
        <item x="108"/>
        <item x="233"/>
        <item x="298"/>
        <item x="103"/>
        <item x="126"/>
        <item x="127"/>
        <item x="128"/>
        <item x="118"/>
        <item x="231"/>
        <item x="122"/>
        <item x="123"/>
        <item x="124"/>
        <item x="125"/>
        <item x="217"/>
        <item x="218"/>
        <item x="219"/>
        <item x="220"/>
        <item x="221"/>
        <item x="222"/>
        <item x="223"/>
        <item x="299"/>
        <item x="300"/>
        <item x="301"/>
        <item x="302"/>
        <item x="303"/>
        <item x="304"/>
        <item x="232"/>
        <item x="180"/>
        <item x="181"/>
        <item x="182"/>
        <item x="224"/>
        <item x="291"/>
        <item x="292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65"/>
        <item x="324"/>
        <item x="325"/>
        <item x="326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6"/>
        <item x="347"/>
        <item x="348"/>
        <item x="349"/>
        <item x="350"/>
        <item x="351"/>
        <item x="352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3"/>
        <item x="394"/>
        <item x="395"/>
        <item x="399"/>
        <item x="400"/>
        <item x="401"/>
        <item x="402"/>
        <item x="403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9"/>
        <item x="430"/>
        <item x="431"/>
        <item x="409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345"/>
        <item x="397"/>
        <item x="398"/>
        <item x="353"/>
        <item x="404"/>
        <item x="450"/>
        <item x="327"/>
        <item x="428"/>
        <item x="451"/>
        <item x="452"/>
        <item x="453"/>
        <item x="284"/>
        <item x="285"/>
        <item x="392"/>
        <item x="427"/>
        <item x="466"/>
        <item x="354"/>
        <item x="355"/>
        <item x="356"/>
        <item x="357"/>
        <item x="358"/>
        <item x="359"/>
        <item x="360"/>
        <item x="361"/>
        <item x="405"/>
        <item x="406"/>
        <item x="407"/>
        <item x="408"/>
        <item x="410"/>
        <item x="411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7"/>
        <item x="468"/>
        <item x="469"/>
        <item x="470"/>
        <item x="471"/>
        <item x="472"/>
        <item x="473"/>
        <item x="474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465"/>
        <item x="505"/>
        <item x="506"/>
        <item x="507"/>
        <item x="508"/>
        <item x="509"/>
        <item x="510"/>
        <item x="511"/>
        <item x="475"/>
        <item x="512"/>
        <item x="513"/>
        <item x="514"/>
        <item x="515"/>
        <item x="517"/>
        <item x="516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7"/>
        <item x="579"/>
        <item x="580"/>
        <item x="581"/>
        <item x="582"/>
        <item x="583"/>
        <item x="584"/>
        <item x="585"/>
        <item x="586"/>
        <item x="548"/>
        <item x="549"/>
        <item x="550"/>
        <item x="551"/>
        <item x="587"/>
        <item x="588"/>
        <item x="589"/>
        <item x="590"/>
        <item x="591"/>
        <item x="592"/>
        <item x="593"/>
        <item x="594"/>
        <item x="595"/>
        <item x="576"/>
        <item x="578"/>
        <item x="596"/>
        <item x="597"/>
        <item x="265"/>
        <item x="396"/>
        <item x="305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50"/>
        <item x="651"/>
        <item x="652"/>
        <item x="653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54"/>
        <item x="671"/>
        <item x="672"/>
        <item x="673"/>
        <item x="674"/>
        <item x="675"/>
        <item x="676"/>
        <item x="677"/>
        <item x="681"/>
        <item x="682"/>
        <item x="683"/>
        <item x="649"/>
        <item x="678"/>
        <item x="679"/>
        <item x="680"/>
        <item x="684"/>
        <item x="685"/>
        <item x="686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15"/>
        <item x="687"/>
        <item x="737"/>
        <item x="738"/>
        <item x="739"/>
        <item x="740"/>
        <item t="default"/>
      </items>
    </pivotField>
    <pivotField compact="0" outline="0" showAll="0"/>
  </pivotFields>
  <rowFields count="3">
    <field x="2"/>
    <field x="3"/>
    <field x="7"/>
  </rowFields>
  <rowItems count="150">
    <i>
      <x v="13"/>
      <x v="25"/>
      <x v="19"/>
    </i>
    <i r="2">
      <x v="25"/>
    </i>
    <i r="2">
      <x v="35"/>
    </i>
    <i r="2">
      <x v="55"/>
    </i>
    <i r="2">
      <x v="122"/>
    </i>
    <i r="2">
      <x v="214"/>
    </i>
    <i r="2">
      <x v="215"/>
    </i>
    <i r="2">
      <x v="225"/>
    </i>
    <i r="2">
      <x v="251"/>
    </i>
    <i r="2">
      <x v="257"/>
    </i>
    <i r="2">
      <x v="258"/>
    </i>
    <i r="2">
      <x v="280"/>
    </i>
    <i r="2">
      <x v="281"/>
    </i>
    <i r="2">
      <x v="282"/>
    </i>
    <i r="2">
      <x v="283"/>
    </i>
    <i r="2">
      <x v="284"/>
    </i>
    <i r="2">
      <x v="285"/>
    </i>
    <i r="2">
      <x v="286"/>
    </i>
    <i r="2">
      <x v="287"/>
    </i>
    <i r="2">
      <x v="288"/>
    </i>
    <i r="2">
      <x v="289"/>
    </i>
    <i r="2">
      <x v="290"/>
    </i>
    <i r="2">
      <x v="291"/>
    </i>
    <i r="2">
      <x v="292"/>
    </i>
    <i r="2">
      <x v="293"/>
    </i>
    <i r="2">
      <x v="316"/>
    </i>
    <i r="2">
      <x v="330"/>
    </i>
    <i r="2">
      <x v="334"/>
    </i>
    <i r="2">
      <x v="403"/>
    </i>
    <i r="2">
      <x v="430"/>
    </i>
    <i r="2">
      <x v="431"/>
    </i>
    <i r="2">
      <x v="432"/>
    </i>
    <i r="2">
      <x v="438"/>
    </i>
    <i r="2">
      <x v="439"/>
    </i>
    <i r="2">
      <x v="440"/>
    </i>
    <i r="2">
      <x v="441"/>
    </i>
    <i r="2">
      <x v="442"/>
    </i>
    <i r="2">
      <x v="443"/>
    </i>
    <i r="2">
      <x v="444"/>
    </i>
    <i r="2">
      <x v="445"/>
    </i>
    <i r="2">
      <x v="446"/>
    </i>
    <i r="2">
      <x v="447"/>
    </i>
    <i r="2">
      <x v="448"/>
    </i>
    <i r="2">
      <x v="449"/>
    </i>
    <i r="2">
      <x v="450"/>
    </i>
    <i r="2">
      <x v="451"/>
    </i>
    <i r="2">
      <x v="452"/>
    </i>
    <i r="2">
      <x v="453"/>
    </i>
    <i r="2">
      <x v="454"/>
    </i>
    <i r="2">
      <x v="455"/>
    </i>
    <i r="2">
      <x v="456"/>
    </i>
    <i r="2">
      <x v="457"/>
    </i>
    <i r="2">
      <x v="458"/>
    </i>
    <i r="2">
      <x v="459"/>
    </i>
    <i r="2">
      <x v="460"/>
    </i>
    <i r="2">
      <x v="461"/>
    </i>
    <i r="2">
      <x v="462"/>
    </i>
    <i r="2">
      <x v="500"/>
    </i>
    <i r="2">
      <x v="501"/>
    </i>
    <i r="2">
      <x v="502"/>
    </i>
    <i r="2">
      <x v="503"/>
    </i>
    <i r="2">
      <x v="504"/>
    </i>
    <i r="2">
      <x v="505"/>
    </i>
    <i r="2">
      <x v="506"/>
    </i>
    <i r="2">
      <x v="517"/>
    </i>
    <i r="2">
      <x v="538"/>
    </i>
    <i r="2">
      <x v="539"/>
    </i>
    <i r="2">
      <x v="540"/>
    </i>
    <i r="2">
      <x v="541"/>
    </i>
    <i r="2">
      <x v="542"/>
    </i>
    <i r="2">
      <x v="543"/>
    </i>
    <i r="2">
      <x v="544"/>
    </i>
    <i r="2">
      <x v="584"/>
    </i>
    <i r="2">
      <x v="585"/>
    </i>
    <i r="2">
      <x v="586"/>
    </i>
    <i r="2">
      <x v="587"/>
    </i>
    <i r="2">
      <x v="588"/>
    </i>
    <i r="2">
      <x v="589"/>
    </i>
    <i r="2">
      <x v="590"/>
    </i>
    <i r="2">
      <x v="594"/>
    </i>
    <i r="2">
      <x v="630"/>
    </i>
    <i r="2">
      <x v="631"/>
    </i>
    <i r="2">
      <x v="643"/>
    </i>
    <i r="2">
      <x v="646"/>
    </i>
    <i r="2">
      <x v="647"/>
    </i>
    <i r="2">
      <x v="650"/>
    </i>
    <i r="2">
      <x v="657"/>
    </i>
    <i r="2">
      <x v="658"/>
    </i>
    <i r="2">
      <x v="659"/>
    </i>
    <i r="2">
      <x v="660"/>
    </i>
    <i r="2">
      <x v="661"/>
    </i>
    <i r="2">
      <x v="662"/>
    </i>
    <i r="2">
      <x v="663"/>
    </i>
    <i r="2">
      <x v="664"/>
    </i>
    <i r="2">
      <x v="665"/>
    </i>
    <i r="2">
      <x v="666"/>
    </i>
    <i r="2">
      <x v="667"/>
    </i>
    <i r="2">
      <x v="668"/>
    </i>
    <i r="2">
      <x v="688"/>
    </i>
    <i r="2">
      <x v="724"/>
    </i>
    <i r="2">
      <x v="725"/>
    </i>
    <i r="2">
      <x v="726"/>
    </i>
    <i r="2">
      <x v="727"/>
    </i>
    <i r="2">
      <x v="728"/>
    </i>
    <i r="2">
      <x v="729"/>
    </i>
    <i r="2">
      <x v="730"/>
    </i>
    <i r="2">
      <x v="731"/>
    </i>
    <i r="2">
      <x v="732"/>
    </i>
    <i r="2">
      <x v="733"/>
    </i>
    <i r="2">
      <x v="734"/>
    </i>
    <i r="2">
      <x v="740"/>
    </i>
    <i t="default">
      <x v="13"/>
    </i>
    <i>
      <x v="22"/>
      <x v="24"/>
      <x/>
    </i>
    <i r="2">
      <x v="5"/>
    </i>
    <i r="2">
      <x v="35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266"/>
    </i>
    <i r="2">
      <x v="314"/>
    </i>
    <i r="2">
      <x v="325"/>
    </i>
    <i r="2">
      <x v="327"/>
    </i>
    <i r="2">
      <x v="338"/>
    </i>
    <i r="2">
      <x v="351"/>
    </i>
    <i r="2">
      <x v="360"/>
    </i>
    <i r="2">
      <x v="361"/>
    </i>
    <i r="2">
      <x v="369"/>
    </i>
    <i r="2">
      <x v="477"/>
    </i>
    <i r="2">
      <x v="480"/>
    </i>
    <i r="2">
      <x v="513"/>
    </i>
    <i r="2">
      <x v="521"/>
    </i>
    <i r="2">
      <x v="530"/>
    </i>
    <i r="2">
      <x v="563"/>
    </i>
    <i r="2">
      <x v="740"/>
    </i>
    <i t="default">
      <x v="22"/>
    </i>
    <i>
      <x v="23"/>
      <x v="23"/>
      <x v="35"/>
    </i>
    <i r="2">
      <x v="318"/>
    </i>
    <i r="2">
      <x v="350"/>
    </i>
    <i r="2">
      <x v="370"/>
    </i>
    <i r="2">
      <x v="406"/>
    </i>
    <i r="2">
      <x v="410"/>
    </i>
    <i r="2">
      <x v="471"/>
    </i>
    <i r="2">
      <x v="740"/>
    </i>
    <i t="default">
      <x v="23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1"/>
    </i>
    <i>
      <x v="12"/>
    </i>
    <i>
      <x v="13"/>
    </i>
    <i t="grand">
      <x/>
    </i>
  </colItems>
  <dataFields count="1">
    <dataField name="Suma de Monto" fld="4" baseField="3" baseItem="27" numFmtId="38"/>
  </dataFields>
  <formats count="67">
    <format dxfId="499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45"/>
          </reference>
          <reference field="7" count="11" selected="0">
            <x v="1"/>
            <x v="2"/>
            <x v="35"/>
            <x v="63"/>
            <x v="106"/>
            <x v="114"/>
            <x v="115"/>
            <x v="116"/>
            <x v="214"/>
            <x v="215"/>
            <x v="251"/>
          </reference>
        </references>
      </pivotArea>
    </format>
    <format dxfId="498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5"/>
          </reference>
          <reference field="7" count="1" selected="0">
            <x v="214"/>
          </reference>
        </references>
      </pivotArea>
    </format>
    <format dxfId="497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5"/>
          </reference>
          <reference field="7" count="6" selected="0">
            <x v="2"/>
            <x v="35"/>
            <x v="63"/>
            <x v="106"/>
            <x v="114"/>
            <x v="115"/>
          </reference>
        </references>
      </pivotArea>
    </format>
    <format dxfId="496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5"/>
          </reference>
          <reference field="7" count="1" selected="0">
            <x v="267"/>
          </reference>
        </references>
      </pivotArea>
    </format>
    <format dxfId="495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45"/>
          </reference>
          <reference field="7" count="1" selected="0">
            <x v="215"/>
          </reference>
        </references>
      </pivotArea>
    </format>
    <format dxfId="494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45"/>
          </reference>
          <reference field="7" count="3" selected="0">
            <x v="35"/>
            <x v="63"/>
            <x v="106"/>
          </reference>
        </references>
      </pivotArea>
    </format>
    <format dxfId="493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45"/>
          </reference>
          <reference field="7" count="1" selected="0">
            <x v="267"/>
          </reference>
        </references>
      </pivotArea>
    </format>
    <format dxfId="492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1"/>
          </reference>
          <reference field="7" count="4" selected="0">
            <x v="35"/>
            <x v="238"/>
            <x v="239"/>
            <x v="268"/>
          </reference>
        </references>
      </pivotArea>
    </format>
    <format dxfId="491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1"/>
          </reference>
          <reference field="7" count="1" selected="0">
            <x v="238"/>
          </reference>
        </references>
      </pivotArea>
    </format>
    <format dxfId="490">
      <pivotArea outline="0" fieldPosition="0">
        <references count="4">
          <reference field="1" count="1" selected="0">
            <x v="0"/>
          </reference>
          <reference field="2" count="1" selected="0">
            <x v="16"/>
          </reference>
          <reference field="3" count="1" selected="0">
            <x v="8"/>
          </reference>
          <reference field="7" count="4" selected="0">
            <x v="35"/>
            <x v="238"/>
            <x v="239"/>
            <x v="268"/>
          </reference>
        </references>
      </pivotArea>
    </format>
    <format dxfId="489">
      <pivotArea outline="0" fieldPosition="0">
        <references count="4">
          <reference field="1" count="1" selected="0">
            <x v="1"/>
          </reference>
          <reference field="2" count="1" selected="0">
            <x v="16"/>
          </reference>
          <reference field="3" count="1" selected="0">
            <x v="8"/>
          </reference>
          <reference field="7" count="1" selected="0">
            <x v="238"/>
          </reference>
        </references>
      </pivotArea>
    </format>
    <format dxfId="488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43"/>
          </reference>
          <reference field="7" count="3" selected="0">
            <x v="35"/>
            <x v="114"/>
            <x v="268"/>
          </reference>
        </references>
      </pivotArea>
    </format>
    <format dxfId="487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3"/>
          </reference>
          <reference field="7" count="1" selected="0">
            <x v="114"/>
          </reference>
        </references>
      </pivotArea>
    </format>
    <format dxfId="486">
      <pivotArea outline="0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1" selected="0">
            <x v="43"/>
          </reference>
          <reference field="7" count="1" selected="0">
            <x v="269"/>
          </reference>
        </references>
      </pivotArea>
    </format>
    <format dxfId="485">
      <pivotArea outline="0" fieldPosition="0">
        <references count="4">
          <reference field="1" count="1" selected="0">
            <x v="2"/>
          </reference>
          <reference field="2" count="1" selected="0">
            <x v="17"/>
          </reference>
          <reference field="3" count="1" selected="0">
            <x v="43"/>
          </reference>
          <reference field="7" count="1" selected="0">
            <x v="63"/>
          </reference>
        </references>
      </pivotArea>
    </format>
    <format dxfId="484">
      <pivotArea outline="0" fieldPosition="0">
        <references count="4">
          <reference field="1" count="3" selected="0">
            <x v="0"/>
            <x v="1"/>
            <x v="2"/>
          </reference>
          <reference field="2" count="1" selected="0">
            <x v="33"/>
          </reference>
          <reference field="3" count="1" selected="0">
            <x v="39"/>
          </reference>
          <reference field="7" count="8" selected="0">
            <x v="4"/>
            <x v="7"/>
            <x v="8"/>
            <x v="11"/>
            <x v="35"/>
            <x v="268"/>
            <x v="269"/>
            <x v="270"/>
          </reference>
        </references>
      </pivotArea>
    </format>
    <format dxfId="483">
      <pivotArea outline="0" fieldPosition="0">
        <references count="4">
          <reference field="1" count="2" selected="0">
            <x v="0"/>
            <x v="1"/>
          </reference>
          <reference field="2" count="1" selected="0">
            <x v="34"/>
          </reference>
          <reference field="3" count="1" selected="0">
            <x v="35"/>
          </reference>
          <reference field="7" count="3" selected="0">
            <x v="30"/>
            <x v="32"/>
            <x v="268"/>
          </reference>
        </references>
      </pivotArea>
    </format>
    <format dxfId="482">
      <pivotArea outline="0" fieldPosition="0">
        <references count="4">
          <reference field="1" count="1" selected="0">
            <x v="1"/>
          </reference>
          <reference field="2" count="1" selected="0">
            <x v="34"/>
          </reference>
          <reference field="3" count="1" selected="0">
            <x v="35"/>
          </reference>
          <reference field="7" count="1" selected="0">
            <x v="269"/>
          </reference>
        </references>
      </pivotArea>
    </format>
    <format dxfId="481">
      <pivotArea outline="0" fieldPosition="0">
        <references count="4">
          <reference field="1" count="1" selected="0">
            <x v="2"/>
          </reference>
          <reference field="2" count="1" selected="0">
            <x v="34"/>
          </reference>
          <reference field="3" count="1" selected="0">
            <x v="35"/>
          </reference>
          <reference field="7" count="1" selected="0">
            <x v="28"/>
          </reference>
        </references>
      </pivotArea>
    </format>
    <format dxfId="480">
      <pivotArea outline="0" fieldPosition="0">
        <references count="4">
          <reference field="1" count="1" selected="0">
            <x v="2"/>
          </reference>
          <reference field="2" count="1" selected="0">
            <x v="34"/>
          </reference>
          <reference field="3" count="1" selected="0">
            <x v="35"/>
          </reference>
          <reference field="7" count="4" selected="0">
            <x v="32"/>
            <x v="268"/>
            <x v="269"/>
            <x v="270"/>
          </reference>
        </references>
      </pivotArea>
    </format>
    <format dxfId="479">
      <pivotArea outline="0" fieldPosition="0">
        <references count="4">
          <reference field="1" count="1" selected="0">
            <x v="2"/>
          </reference>
          <reference field="2" count="1" selected="0">
            <x v="35"/>
          </reference>
          <reference field="3" count="1" selected="0">
            <x v="36"/>
          </reference>
          <reference field="7" count="4" selected="0">
            <x v="33"/>
            <x v="268"/>
            <x v="269"/>
            <x v="270"/>
          </reference>
        </references>
      </pivotArea>
    </format>
    <format dxfId="478">
      <pivotArea outline="0" fieldPosition="0">
        <references count="4">
          <reference field="1" count="2" selected="0">
            <x v="0"/>
            <x v="1"/>
          </reference>
          <reference field="2" count="1" selected="0">
            <x v="35"/>
          </reference>
          <reference field="3" count="1" selected="0">
            <x v="36"/>
          </reference>
          <reference field="7" count="3" selected="0">
            <x v="31"/>
            <x v="33"/>
            <x v="268"/>
          </reference>
        </references>
      </pivotArea>
    </format>
    <format dxfId="477">
      <pivotArea outline="0" fieldPosition="0">
        <references count="4">
          <reference field="1" count="1" selected="0">
            <x v="1"/>
          </reference>
          <reference field="2" count="1" selected="0">
            <x v="35"/>
          </reference>
          <reference field="3" count="1" selected="0">
            <x v="36"/>
          </reference>
          <reference field="7" count="1" selected="0">
            <x v="269"/>
          </reference>
        </references>
      </pivotArea>
    </format>
    <format dxfId="476">
      <pivotArea outline="0" fieldPosition="0">
        <references count="4">
          <reference field="1" count="1" selected="0">
            <x v="2"/>
          </reference>
          <reference field="2" count="1" selected="0">
            <x v="35"/>
          </reference>
          <reference field="3" count="1" selected="0">
            <x v="36"/>
          </reference>
          <reference field="7" count="1" selected="0">
            <x v="29"/>
          </reference>
        </references>
      </pivotArea>
    </format>
    <format dxfId="475">
      <pivotArea outline="0" fieldPosition="0">
        <references count="2">
          <reference field="1" count="1" selected="0">
            <x v="0"/>
          </reference>
          <reference field="2" count="1" selected="0" defaultSubtotal="1">
            <x v="31"/>
          </reference>
        </references>
      </pivotArea>
    </format>
    <format dxfId="474">
      <pivotArea outline="0" fieldPosition="0">
        <references count="4">
          <reference field="1" count="3" selected="0">
            <x v="1"/>
            <x v="2"/>
            <x v="3"/>
          </reference>
          <reference field="2" count="1" selected="0">
            <x v="31"/>
          </reference>
          <reference field="3" count="1" selected="0">
            <x v="38"/>
          </reference>
          <reference field="7" count="9" selected="0">
            <x v="17"/>
            <x v="18"/>
            <x v="51"/>
            <x v="151"/>
            <x v="236"/>
            <x v="266"/>
            <x v="268"/>
            <x v="269"/>
            <x v="270"/>
          </reference>
        </references>
      </pivotArea>
    </format>
    <format dxfId="473">
      <pivotArea outline="0" fieldPosition="0">
        <references count="4">
          <reference field="1" count="4" selected="0">
            <x v="0"/>
            <x v="1"/>
            <x v="2"/>
            <x v="3"/>
          </reference>
          <reference field="2" count="1" selected="0">
            <x v="30"/>
          </reference>
          <reference field="3" count="1" selected="0">
            <x v="30"/>
          </reference>
          <reference field="7" count="3" selected="0">
            <x v="0"/>
            <x v="35"/>
            <x v="51"/>
          </reference>
        </references>
      </pivotArea>
    </format>
    <format dxfId="472">
      <pivotArea outline="0" fieldPosition="0">
        <references count="4">
          <reference field="1" count="4" selected="0">
            <x v="0"/>
            <x v="1"/>
            <x v="2"/>
            <x v="3"/>
          </reference>
          <reference field="2" count="1" selected="0">
            <x v="32"/>
          </reference>
          <reference field="3" count="1" selected="0">
            <x v="60"/>
          </reference>
          <reference field="7" count="35" selected="0">
            <x v="19"/>
            <x v="41"/>
            <x v="42"/>
            <x v="47"/>
            <x v="48"/>
            <x v="68"/>
            <x v="69"/>
            <x v="70"/>
            <x v="71"/>
            <x v="79"/>
            <x v="82"/>
            <x v="88"/>
            <x v="89"/>
            <x v="101"/>
            <x v="102"/>
            <x v="111"/>
            <x v="121"/>
            <x v="122"/>
            <x v="143"/>
            <x v="147"/>
            <x v="152"/>
            <x v="163"/>
            <x v="164"/>
            <x v="166"/>
            <x v="167"/>
            <x v="168"/>
            <x v="172"/>
            <x v="173"/>
            <x v="189"/>
            <x v="218"/>
            <x v="219"/>
            <x v="229"/>
            <x v="268"/>
            <x v="269"/>
            <x v="270"/>
          </reference>
        </references>
      </pivotArea>
    </format>
    <format dxfId="471">
      <pivotArea outline="0" fieldPosition="0">
        <references count="4">
          <reference field="1" count="3" selected="0">
            <x v="0"/>
            <x v="1"/>
            <x v="2"/>
          </reference>
          <reference field="2" count="1" selected="0">
            <x v="37"/>
          </reference>
          <reference field="3" count="1" selected="0">
            <x v="61"/>
          </reference>
          <reference field="7" count="84" selected="0">
            <x v="13"/>
            <x v="14"/>
            <x v="16"/>
            <x v="20"/>
            <x v="21"/>
            <x v="26"/>
            <x v="27"/>
            <x v="36"/>
            <x v="37"/>
            <x v="38"/>
            <x v="39"/>
            <x v="40"/>
            <x v="43"/>
            <x v="44"/>
            <x v="45"/>
            <x v="49"/>
            <x v="77"/>
            <x v="78"/>
            <x v="80"/>
            <x v="81"/>
            <x v="92"/>
            <x v="93"/>
            <x v="97"/>
            <x v="103"/>
            <x v="104"/>
            <x v="107"/>
            <x v="117"/>
            <x v="118"/>
            <x v="119"/>
            <x v="120"/>
            <x v="123"/>
            <x v="128"/>
            <x v="129"/>
            <x v="130"/>
            <x v="137"/>
            <x v="144"/>
            <x v="145"/>
            <x v="148"/>
            <x v="149"/>
            <x v="153"/>
            <x v="154"/>
            <x v="155"/>
            <x v="156"/>
            <x v="157"/>
            <x v="170"/>
            <x v="171"/>
            <x v="174"/>
            <x v="176"/>
            <x v="177"/>
            <x v="178"/>
            <x v="184"/>
            <x v="187"/>
            <x v="188"/>
            <x v="190"/>
            <x v="193"/>
            <x v="194"/>
            <x v="196"/>
            <x v="197"/>
            <x v="198"/>
            <x v="199"/>
            <x v="200"/>
            <x v="203"/>
            <x v="206"/>
            <x v="207"/>
            <x v="208"/>
            <x v="209"/>
            <x v="211"/>
            <x v="212"/>
            <x v="223"/>
            <x v="224"/>
            <x v="231"/>
            <x v="233"/>
            <x v="234"/>
            <x v="235"/>
            <x v="242"/>
            <x v="243"/>
            <x v="245"/>
            <x v="246"/>
            <x v="247"/>
            <x v="250"/>
            <x v="265"/>
            <x v="268"/>
            <x v="269"/>
            <x v="270"/>
          </reference>
        </references>
      </pivotArea>
    </format>
    <format dxfId="470">
      <pivotArea outline="0" fieldPosition="0">
        <references count="2">
          <reference field="1" count="1" selected="0">
            <x v="0"/>
          </reference>
          <reference field="2" count="1" selected="0" defaultSubtotal="1">
            <x v="23"/>
          </reference>
        </references>
      </pivotArea>
    </format>
    <format dxfId="469">
      <pivotArea outline="0" fieldPosition="0">
        <references count="4">
          <reference field="1" count="1" selected="0">
            <x v="0"/>
          </reference>
          <reference field="2" count="1" selected="0">
            <x v="23"/>
          </reference>
          <reference field="3" count="1" selected="0">
            <x v="23"/>
          </reference>
          <reference field="7" count="1" selected="0">
            <x v="35"/>
          </reference>
        </references>
      </pivotArea>
    </format>
    <format dxfId="468">
      <pivotArea outline="0" fieldPosition="0">
        <references count="2">
          <reference field="1" count="0" selected="0"/>
          <reference field="2" count="1" selected="0" defaultSubtotal="1">
            <x v="23"/>
          </reference>
        </references>
      </pivotArea>
    </format>
    <format dxfId="467">
      <pivotArea outline="0" fieldPosition="0">
        <references count="4">
          <reference field="1" count="0" selected="0"/>
          <reference field="2" count="1" selected="0">
            <x v="13"/>
          </reference>
          <reference field="3" count="1" selected="0">
            <x v="25"/>
          </reference>
          <reference field="7" count="1" selected="0">
            <x v="35"/>
          </reference>
        </references>
      </pivotArea>
    </format>
    <format dxfId="466">
      <pivotArea outline="0" fieldPosition="0">
        <references count="4">
          <reference field="1" count="0" selected="0"/>
          <reference field="2" count="1" selected="0">
            <x v="13"/>
          </reference>
          <reference field="3" count="1" selected="0">
            <x v="25"/>
          </reference>
          <reference field="7" count="1" selected="0">
            <x v="258"/>
          </reference>
        </references>
      </pivotArea>
    </format>
    <format dxfId="465">
      <pivotArea outline="0" fieldPosition="0">
        <references count="4">
          <reference field="1" count="0" selected="0"/>
          <reference field="2" count="1" selected="0">
            <x v="13"/>
          </reference>
          <reference field="3" count="1" selected="0">
            <x v="25"/>
          </reference>
          <reference field="7" count="1" selected="0">
            <x v="257"/>
          </reference>
        </references>
      </pivotArea>
    </format>
    <format dxfId="464">
      <pivotArea outline="0" fieldPosition="0">
        <references count="4">
          <reference field="1" count="0" selected="0"/>
          <reference field="2" count="1" selected="0">
            <x v="13"/>
          </reference>
          <reference field="3" count="1" selected="0">
            <x v="25"/>
          </reference>
          <reference field="7" count="1" selected="0">
            <x v="251"/>
          </reference>
        </references>
      </pivotArea>
    </format>
    <format dxfId="463">
      <pivotArea outline="0" fieldPosition="0">
        <references count="4">
          <reference field="1" count="0" selected="0"/>
          <reference field="2" count="1" selected="0">
            <x v="13"/>
          </reference>
          <reference field="3" count="1" selected="0">
            <x v="25"/>
          </reference>
          <reference field="7" count="1" selected="0">
            <x v="25"/>
          </reference>
        </references>
      </pivotArea>
    </format>
    <format dxfId="462">
      <pivotArea outline="0" fieldPosition="0">
        <references count="2">
          <reference field="1" count="0" selected="0"/>
          <reference field="2" count="1" selected="0" defaultSubtotal="1">
            <x v="13"/>
          </reference>
        </references>
      </pivotArea>
    </format>
    <format dxfId="461">
      <pivotArea outline="0" fieldPosition="0">
        <references count="4">
          <reference field="1" count="0" selected="0"/>
          <reference field="2" count="1" selected="0">
            <x v="13"/>
          </reference>
          <reference field="3" count="1" selected="0">
            <x v="25"/>
          </reference>
          <reference field="7" count="1" selected="0">
            <x v="214"/>
          </reference>
        </references>
      </pivotArea>
    </format>
    <format dxfId="460">
      <pivotArea outline="0" fieldPosition="0">
        <references count="2">
          <reference field="1" count="0" selected="0"/>
          <reference field="2" count="1" selected="0" defaultSubtotal="1">
            <x v="13"/>
          </reference>
        </references>
      </pivotArea>
    </format>
    <format dxfId="459">
      <pivotArea outline="0" fieldPosition="0">
        <references count="2">
          <reference field="1" count="1" selected="0">
            <x v="2"/>
          </reference>
          <reference field="2" count="1" selected="0" defaultSubtotal="1">
            <x v="13"/>
          </reference>
        </references>
      </pivotArea>
    </format>
    <format dxfId="458">
      <pivotArea outline="0" fieldPosition="0">
        <references count="4">
          <reference field="1" count="1" selected="0">
            <x v="2"/>
          </reference>
          <reference field="2" count="1" selected="0">
            <x v="13"/>
          </reference>
          <reference field="3" count="1" selected="0">
            <x v="25"/>
          </reference>
          <reference field="7" count="1" selected="0">
            <x v="215"/>
          </reference>
        </references>
      </pivotArea>
    </format>
    <format dxfId="457">
      <pivotArea outline="0" fieldPosition="0">
        <references count="4">
          <reference field="1" count="1" selected="0">
            <x v="6"/>
          </reference>
          <reference field="2" count="1" selected="0">
            <x v="13"/>
          </reference>
          <reference field="3" count="1" selected="0">
            <x v="25"/>
          </reference>
          <reference field="7" count="3" selected="0">
            <x v="52"/>
            <x v="56"/>
            <x v="59"/>
          </reference>
        </references>
      </pivotArea>
    </format>
    <format dxfId="456">
      <pivotArea outline="0" fieldPosition="0">
        <references count="4">
          <reference field="1" count="1" selected="0">
            <x v="6"/>
          </reference>
          <reference field="2" count="1" selected="0">
            <x v="13"/>
          </reference>
          <reference field="3" count="1" selected="0">
            <x v="25"/>
          </reference>
          <reference field="7" count="1" selected="0">
            <x v="369"/>
          </reference>
        </references>
      </pivotArea>
    </format>
    <format dxfId="455">
      <pivotArea outline="0" collapsedLevelsAreSubtotals="1" fieldPosition="0">
        <references count="4">
          <reference field="1" count="5" selected="0">
            <x v="1"/>
            <x v="2"/>
            <x v="3"/>
            <x v="5"/>
            <x v="6"/>
          </reference>
          <reference field="2" count="1" selected="0">
            <x v="22"/>
          </reference>
          <reference field="3" count="1" selected="0">
            <x v="24"/>
          </reference>
          <reference field="7" count="1" selected="0">
            <x v="52"/>
          </reference>
        </references>
      </pivotArea>
    </format>
    <format dxfId="454">
      <pivotArea field="7" grandCol="1" outline="0" collapsedLevelsAreSubtotals="1" axis="axisRow" fieldPosition="2">
        <references count="3">
          <reference field="2" count="1" selected="0">
            <x v="22"/>
          </reference>
          <reference field="3" count="1" selected="0">
            <x v="24"/>
          </reference>
          <reference field="7" count="1" selected="0">
            <x v="52"/>
          </reference>
        </references>
      </pivotArea>
    </format>
    <format dxfId="453">
      <pivotArea outline="0" collapsedLevelsAreSubtotals="1" fieldPosition="0">
        <references count="4">
          <reference field="1" count="2" selected="0">
            <x v="1"/>
            <x v="2"/>
          </reference>
          <reference field="2" count="1" selected="0">
            <x v="22"/>
          </reference>
          <reference field="3" count="1" selected="0">
            <x v="24"/>
          </reference>
          <reference field="7" count="1" selected="0">
            <x v="54"/>
          </reference>
        </references>
      </pivotArea>
    </format>
    <format dxfId="452">
      <pivotArea outline="0" collapsedLevelsAreSubtotals="1" fieldPosition="0">
        <references count="4">
          <reference field="1" count="1" selected="0">
            <x v="2"/>
          </reference>
          <reference field="2" count="1" selected="0">
            <x v="22"/>
          </reference>
          <reference field="3" count="1" selected="0">
            <x v="24"/>
          </reference>
          <reference field="7" count="1" selected="0">
            <x v="53"/>
          </reference>
        </references>
      </pivotArea>
    </format>
    <format dxfId="451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22"/>
          </reference>
          <reference field="3" count="1" selected="0">
            <x v="24"/>
          </reference>
          <reference field="7" count="1" selected="0">
            <x v="55"/>
          </reference>
        </references>
      </pivotArea>
    </format>
    <format dxfId="450">
      <pivotArea outline="0" collapsedLevelsAreSubtotals="1" fieldPosition="0">
        <references count="4">
          <reference field="1" count="4" selected="0">
            <x v="2"/>
            <x v="3"/>
            <x v="5"/>
            <x v="6"/>
          </reference>
          <reference field="2" count="1" selected="0">
            <x v="22"/>
          </reference>
          <reference field="3" count="1" selected="0">
            <x v="24"/>
          </reference>
          <reference field="7" count="1" selected="0">
            <x v="56"/>
          </reference>
        </references>
      </pivotArea>
    </format>
    <format dxfId="449">
      <pivotArea outline="0" collapsedLevelsAreSubtotals="1" fieldPosition="0">
        <references count="4">
          <reference field="1" count="2" selected="0">
            <x v="2"/>
            <x v="3"/>
          </reference>
          <reference field="2" count="1" selected="0">
            <x v="22"/>
          </reference>
          <reference field="3" count="1" selected="0">
            <x v="24"/>
          </reference>
          <reference field="7" count="1" selected="0">
            <x v="57"/>
          </reference>
        </references>
      </pivotArea>
    </format>
    <format dxfId="448">
      <pivotArea outline="0" collapsedLevelsAreSubtotals="1" fieldPosition="0">
        <references count="4">
          <reference field="1" count="3" selected="0">
            <x v="1"/>
            <x v="2"/>
            <x v="3"/>
          </reference>
          <reference field="2" count="1" selected="0">
            <x v="22"/>
          </reference>
          <reference field="3" count="1" selected="0">
            <x v="24"/>
          </reference>
          <reference field="7" count="1" selected="0">
            <x v="58"/>
          </reference>
        </references>
      </pivotArea>
    </format>
    <format dxfId="447">
      <pivotArea outline="0" collapsedLevelsAreSubtotals="1" fieldPosition="0">
        <references count="4">
          <reference field="1" count="4" selected="0">
            <x v="1"/>
            <x v="2"/>
            <x v="3"/>
            <x v="5"/>
          </reference>
          <reference field="2" count="1" selected="0">
            <x v="22"/>
          </reference>
          <reference field="3" count="1" selected="0">
            <x v="24"/>
          </reference>
          <reference field="7" count="1" selected="0">
            <x v="58"/>
          </reference>
        </references>
      </pivotArea>
    </format>
    <format dxfId="446">
      <pivotArea outline="0" collapsedLevelsAreSubtotals="1" fieldPosition="0">
        <references count="4">
          <reference field="1" count="5" selected="0">
            <x v="1"/>
            <x v="2"/>
            <x v="3"/>
            <x v="5"/>
            <x v="6"/>
          </reference>
          <reference field="2" count="1" selected="0">
            <x v="22"/>
          </reference>
          <reference field="3" count="1" selected="0">
            <x v="24"/>
          </reference>
          <reference field="7" count="1" selected="0">
            <x v="59"/>
          </reference>
        </references>
      </pivotArea>
    </format>
    <format dxfId="445">
      <pivotArea outline="0" collapsedLevelsAreSubtotals="1" fieldPosition="0">
        <references count="4">
          <reference field="1" count="2" selected="0">
            <x v="3"/>
            <x v="5"/>
          </reference>
          <reference field="2" count="1" selected="0">
            <x v="22"/>
          </reference>
          <reference field="3" count="1" selected="0">
            <x v="24"/>
          </reference>
          <reference field="7" count="1" selected="0">
            <x v="314"/>
          </reference>
        </references>
      </pivotArea>
    </format>
    <format dxfId="444">
      <pivotArea outline="0" collapsedLevelsAreSubtotals="1" fieldPosition="0">
        <references count="4">
          <reference field="1" count="2" selected="0">
            <x v="3"/>
            <x v="5"/>
          </reference>
          <reference field="2" count="1" selected="0">
            <x v="22"/>
          </reference>
          <reference field="3" count="1" selected="0">
            <x v="24"/>
          </reference>
          <reference field="7" count="1" selected="0">
            <x v="325"/>
          </reference>
        </references>
      </pivotArea>
    </format>
    <format dxfId="443">
      <pivotArea outline="0" collapsedLevelsAreSubtotals="1" fieldPosition="0">
        <references count="4">
          <reference field="1" count="2" selected="0">
            <x v="3"/>
            <x v="5"/>
          </reference>
          <reference field="2" count="1" selected="0">
            <x v="22"/>
          </reference>
          <reference field="3" count="1" selected="0">
            <x v="24"/>
          </reference>
          <reference field="7" count="1" selected="0">
            <x v="327"/>
          </reference>
        </references>
      </pivotArea>
    </format>
    <format dxfId="442">
      <pivotArea field="2" grandCol="1" outline="0" collapsedLevelsAreSubtotals="1" axis="axisRow" fieldPosition="0">
        <references count="1">
          <reference field="2" count="1" selected="0" defaultSubtotal="1">
            <x v="22"/>
          </reference>
        </references>
      </pivotArea>
    </format>
    <format dxfId="441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5"/>
          </reference>
          <reference field="7" count="1" selected="0">
            <x v="293"/>
          </reference>
        </references>
      </pivotArea>
    </format>
    <format dxfId="440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5"/>
          </reference>
          <reference field="7" count="1" selected="0">
            <x v="432"/>
          </reference>
        </references>
      </pivotArea>
    </format>
    <format dxfId="439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5"/>
          </reference>
          <reference field="7" count="1" selected="0">
            <x v="452"/>
          </reference>
        </references>
      </pivotArea>
    </format>
    <format dxfId="438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5"/>
          </reference>
          <reference field="7" count="1" selected="0">
            <x v="453"/>
          </reference>
        </references>
      </pivotArea>
    </format>
    <format dxfId="437">
      <pivotArea dataOnly="0" labelOnly="1" outline="0" fieldPosition="0">
        <references count="3">
          <reference field="2" count="1" selected="0">
            <x v="22"/>
          </reference>
          <reference field="3" count="1" selected="0">
            <x v="24"/>
          </reference>
          <reference field="7" count="1">
            <x v="492"/>
          </reference>
        </references>
      </pivotArea>
    </format>
    <format dxfId="436">
      <pivotArea outline="0" collapsedLevelsAreSubtotals="1" fieldPosition="0">
        <references count="2">
          <reference field="1" count="1" selected="0">
            <x v="9"/>
          </reference>
          <reference field="2" count="1" selected="0" defaultSubtotal="1">
            <x v="22"/>
          </reference>
        </references>
      </pivotArea>
    </format>
    <format dxfId="435">
      <pivotArea grandRow="1" grandCol="1" outline="0" collapsedLevelsAreSubtotals="1" fieldPosition="0"/>
    </format>
    <format dxfId="434">
      <pivotArea outline="0" fieldPosition="0">
        <references count="3">
          <reference field="2" count="1" selected="0">
            <x v="13"/>
          </reference>
          <reference field="3" count="1" selected="0">
            <x v="25"/>
          </reference>
          <reference field="7" count="1" selected="0">
            <x v="688"/>
          </reference>
        </references>
      </pivotArea>
    </format>
    <format dxfId="433">
      <pivotArea dataOnly="0" labelOnly="1" outline="0" fieldPosition="0">
        <references count="3">
          <reference field="2" count="1" selected="0">
            <x v="13"/>
          </reference>
          <reference field="3" count="1" selected="0">
            <x v="25"/>
          </reference>
          <reference field="7" count="1">
            <x v="68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0000000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gridDropZones="1" multipleFieldFilters="0" colHeaderCaption="Mes">
  <location ref="A4:P163" firstHeaderRow="1" firstDataRow="2" firstDataCol="3"/>
  <pivotFields count="16">
    <pivotField compact="0" outline="0" showAll="0"/>
    <pivotField axis="axisCol" compact="0" outline="0" showAll="0">
      <items count="14">
        <item x="0"/>
        <item x="2"/>
        <item x="3"/>
        <item x="4"/>
        <item x="1"/>
        <item x="5"/>
        <item x="6"/>
        <item x="7"/>
        <item x="8"/>
        <item x="9"/>
        <item x="10"/>
        <item x="11"/>
        <item x="12"/>
        <item t="default"/>
      </items>
    </pivotField>
    <pivotField axis="axisRow" compact="0" outline="0" multipleItemSelectionAllowed="1" showAll="0" sortType="ascending" defaultSubtotal="0">
      <items count="65">
        <item h="1" x="0"/>
        <item h="1" x="1"/>
        <item h="1" x="2"/>
        <item h="1" x="3"/>
        <item h="1" x="4"/>
        <item h="1" x="5"/>
        <item h="1" m="1" x="61"/>
        <item x="16"/>
        <item x="17"/>
        <item x="6"/>
        <item h="1" m="1" x="64"/>
        <item h="1" x="7"/>
        <item h="1" x="8"/>
        <item h="1" x="9"/>
        <item h="1" x="10"/>
        <item h="1" x="11"/>
        <item h="1" x="50"/>
        <item h="1" x="12"/>
        <item h="1" x="59"/>
        <item h="1" x="13"/>
        <item h="1" x="14"/>
        <item h="1" x="15"/>
        <item h="1" x="19"/>
        <item h="1" x="41"/>
        <item h="1" m="1" x="62"/>
        <item h="1" x="30"/>
        <item h="1" x="20"/>
        <item h="1" x="24"/>
        <item h="1" x="42"/>
        <item h="1" x="21"/>
        <item h="1" x="55"/>
        <item h="1" x="45"/>
        <item h="1" x="43"/>
        <item h="1" m="1" x="63"/>
        <item h="1" x="54"/>
        <item h="1" x="28"/>
        <item h="1" x="32"/>
        <item h="1" x="36"/>
        <item h="1" x="25"/>
        <item h="1" x="22"/>
        <item h="1" x="38"/>
        <item h="1" x="27"/>
        <item h="1" x="26"/>
        <item h="1" x="29"/>
        <item h="1" x="31"/>
        <item h="1" x="40"/>
        <item h="1" x="53"/>
        <item h="1" x="47"/>
        <item h="1" x="46"/>
        <item h="1" x="57"/>
        <item h="1" x="39"/>
        <item h="1" x="52"/>
        <item h="1" x="33"/>
        <item h="1" x="35"/>
        <item h="1" m="1" x="60"/>
        <item h="1" x="34"/>
        <item h="1" x="51"/>
        <item h="1" x="58"/>
        <item h="1" x="56"/>
        <item h="1" x="23"/>
        <item h="1" x="44"/>
        <item h="1" x="48"/>
        <item h="1" x="37"/>
        <item h="1" x="49"/>
        <item h="1" x="18"/>
      </items>
    </pivotField>
    <pivotField axis="axisRow" compact="0" outline="0" showAll="0">
      <items count="63">
        <item x="13"/>
        <item x="29"/>
        <item x="25"/>
        <item x="35"/>
        <item x="24"/>
        <item x="14"/>
        <item x="19"/>
        <item x="10"/>
        <item x="6"/>
        <item x="17"/>
        <item x="16"/>
        <item x="0"/>
        <item x="22"/>
        <item x="2"/>
        <item x="1"/>
        <item x="7"/>
        <item x="3"/>
        <item x="26"/>
        <item x="8"/>
        <item x="30"/>
        <item x="20"/>
        <item x="23"/>
        <item x="34"/>
        <item x="21"/>
        <item x="4"/>
        <item x="5"/>
        <item x="12"/>
        <item x="15"/>
        <item x="9"/>
        <item x="31"/>
        <item x="36"/>
        <item x="41"/>
        <item x="11"/>
        <item x="27"/>
        <item x="18"/>
        <item x="37"/>
        <item x="38"/>
        <item x="39"/>
        <item x="40"/>
        <item x="51"/>
        <item x="28"/>
        <item x="32"/>
        <item x="43"/>
        <item x="54"/>
        <item x="45"/>
        <item x="46"/>
        <item x="42"/>
        <item x="33"/>
        <item m="1" x="58"/>
        <item x="48"/>
        <item x="49"/>
        <item m="1" x="59"/>
        <item x="50"/>
        <item m="1" x="61"/>
        <item x="47"/>
        <item x="52"/>
        <item x="53"/>
        <item m="1" x="57"/>
        <item x="44"/>
        <item x="55"/>
        <item m="1" x="60"/>
        <item x="56"/>
        <item t="default"/>
      </items>
    </pivotField>
    <pivotField dataField="1" compact="0" outline="0" showAll="0"/>
    <pivotField compact="0" outline="0" showAll="0"/>
    <pivotField compact="0" outline="0" showAll="0"/>
    <pivotField axis="axisRow" compact="0" outline="0" showAll="0" sortType="ascending">
      <items count="1128">
        <item x="1126"/>
        <item x="1091"/>
        <item x="57"/>
        <item x="192"/>
        <item x="1120"/>
        <item x="577"/>
        <item x="655"/>
        <item x="792"/>
        <item x="661"/>
        <item x="141"/>
        <item x="1046"/>
        <item x="1078"/>
        <item x="131"/>
        <item x="1096"/>
        <item x="884"/>
        <item x="38"/>
        <item x="10"/>
        <item x="298"/>
        <item x="330"/>
        <item x="22"/>
        <item x="108"/>
        <item x="579"/>
        <item x="195"/>
        <item x="456"/>
        <item x="895"/>
        <item x="862"/>
        <item x="802"/>
        <item x="0"/>
        <item x="1"/>
        <item x="2"/>
        <item x="3"/>
        <item x="67"/>
        <item x="923"/>
        <item x="556"/>
        <item x="270"/>
        <item x="690"/>
        <item x="746"/>
        <item x="679"/>
        <item x="722"/>
        <item x="625"/>
        <item x="866"/>
        <item x="993"/>
        <item x="999"/>
        <item x="814"/>
        <item x="1059"/>
        <item x="214"/>
        <item x="595"/>
        <item x="915"/>
        <item x="216"/>
        <item x="133"/>
        <item x="874"/>
        <item x="236"/>
        <item x="991"/>
        <item x="244"/>
        <item x="204"/>
        <item x="213"/>
        <item x="947"/>
        <item x="667"/>
        <item x="933"/>
        <item x="691"/>
        <item x="875"/>
        <item x="937"/>
        <item x="777"/>
        <item x="329"/>
        <item x="776"/>
        <item x="839"/>
        <item x="782"/>
        <item x="237"/>
        <item x="238"/>
        <item x="805"/>
        <item x="880"/>
        <item x="176"/>
        <item x="177"/>
        <item x="1012"/>
        <item x="1018"/>
        <item x="851"/>
        <item x="461"/>
        <item x="1033"/>
        <item x="837"/>
        <item x="458"/>
        <item x="783"/>
        <item x="1072"/>
        <item x="190"/>
        <item x="1017"/>
        <item x="463"/>
        <item x="499"/>
        <item x="239"/>
        <item x="205"/>
        <item x="494"/>
        <item x="707"/>
        <item x="833"/>
        <item x="210"/>
        <item x="879"/>
        <item x="178"/>
        <item x="215"/>
        <item x="652"/>
        <item x="688"/>
        <item x="780"/>
        <item x="681"/>
        <item x="680"/>
        <item x="781"/>
        <item x="878"/>
        <item x="924"/>
        <item x="820"/>
        <item x="869"/>
        <item x="472"/>
        <item x="987"/>
        <item x="1110"/>
        <item x="824"/>
        <item x="543"/>
        <item x="544"/>
        <item x="872"/>
        <item x="956"/>
        <item x="1116"/>
        <item x="1075"/>
        <item x="428"/>
        <item x="542"/>
        <item x="763"/>
        <item x="856"/>
        <item x="500"/>
        <item x="694"/>
        <item x="607"/>
        <item x="672"/>
        <item x="760"/>
        <item x="822"/>
        <item x="870"/>
        <item x="954"/>
        <item x="1073"/>
        <item x="673"/>
        <item x="762"/>
        <item x="741"/>
        <item x="342"/>
        <item x="77"/>
        <item x="82"/>
        <item x="37"/>
        <item x="65"/>
        <item x="66"/>
        <item x="169"/>
        <item x="221"/>
        <item x="222"/>
        <item x="45"/>
        <item x="1097"/>
        <item x="36"/>
        <item x="368"/>
        <item x="109"/>
        <item x="888"/>
        <item x="887"/>
        <item x="1111"/>
        <item x="1094"/>
        <item x="610"/>
        <item x="674"/>
        <item x="697"/>
        <item x="698"/>
        <item x="823"/>
        <item x="761"/>
        <item x="790"/>
        <item x="842"/>
        <item x="843"/>
        <item x="871"/>
        <item x="955"/>
        <item x="1008"/>
        <item x="1009"/>
        <item x="1074"/>
        <item x="1109"/>
        <item x="921"/>
        <item x="975"/>
        <item x="907"/>
        <item x="940"/>
        <item x="920"/>
        <item x="1043"/>
        <item x="1087"/>
        <item x="969"/>
        <item x="1071"/>
        <item x="1030"/>
        <item x="1081"/>
        <item x="965"/>
        <item x="1119"/>
        <item x="914"/>
        <item x="1083"/>
        <item x="1056"/>
        <item x="998"/>
        <item x="995"/>
        <item x="992"/>
        <item x="919"/>
        <item x="932"/>
        <item x="917"/>
        <item x="938"/>
        <item x="1022"/>
        <item x="968"/>
        <item x="905"/>
        <item x="1002"/>
        <item x="945"/>
        <item x="1019"/>
        <item x="1079"/>
        <item x="985"/>
        <item x="961"/>
        <item x="1001"/>
        <item x="1029"/>
        <item x="1031"/>
        <item x="1050"/>
        <item x="977"/>
        <item x="1038"/>
        <item x="903"/>
        <item x="996"/>
        <item x="916"/>
        <item x="976"/>
        <item x="984"/>
        <item x="948"/>
        <item x="910"/>
        <item x="1010"/>
        <item x="982"/>
        <item x="925"/>
        <item x="928"/>
        <item x="939"/>
        <item x="1021"/>
        <item x="1024"/>
        <item x="966"/>
        <item x="1045"/>
        <item x="1000"/>
        <item x="913"/>
        <item x="1086"/>
        <item x="1023"/>
        <item x="1027"/>
        <item x="912"/>
        <item x="1040"/>
        <item x="964"/>
        <item x="1057"/>
        <item x="936"/>
        <item x="918"/>
        <item x="904"/>
        <item x="906"/>
        <item x="902"/>
        <item x="1055"/>
        <item x="973"/>
        <item x="994"/>
        <item x="1044"/>
        <item x="926"/>
        <item x="1065"/>
        <item x="959"/>
        <item x="1011"/>
        <item x="944"/>
        <item x="978"/>
        <item x="979"/>
        <item x="1054"/>
        <item x="922"/>
        <item x="901"/>
        <item x="1058"/>
        <item x="934"/>
        <item x="980"/>
        <item x="1082"/>
        <item x="960"/>
        <item x="1016"/>
        <item x="941"/>
        <item x="983"/>
        <item x="989"/>
        <item x="1020"/>
        <item x="1037"/>
        <item x="967"/>
        <item x="974"/>
        <item x="997"/>
        <item x="909"/>
        <item x="971"/>
        <item x="970"/>
        <item x="943"/>
        <item x="1035"/>
        <item x="1034"/>
        <item x="1060"/>
        <item x="942"/>
        <item x="946"/>
        <item x="990"/>
        <item x="1013"/>
        <item x="1036"/>
        <item x="1042"/>
        <item x="1014"/>
        <item x="1028"/>
        <item x="1026"/>
        <item x="988"/>
        <item x="383"/>
        <item x="647"/>
        <item x="371"/>
        <item x="446"/>
        <item x="375"/>
        <item x="411"/>
        <item x="359"/>
        <item x="413"/>
        <item x="440"/>
        <item x="350"/>
        <item x="465"/>
        <item x="361"/>
        <item x="460"/>
        <item x="482"/>
        <item x="408"/>
        <item x="445"/>
        <item x="354"/>
        <item x="358"/>
        <item x="423"/>
        <item x="480"/>
        <item x="412"/>
        <item x="376"/>
        <item x="396"/>
        <item x="390"/>
        <item x="401"/>
        <item x="395"/>
        <item x="713"/>
        <item x="653"/>
        <item x="479"/>
        <item x="416"/>
        <item x="353"/>
        <item x="469"/>
        <item x="346"/>
        <item x="355"/>
        <item x="432"/>
        <item x="356"/>
        <item x="352"/>
        <item x="402"/>
        <item x="420"/>
        <item x="357"/>
        <item x="379"/>
        <item x="363"/>
        <item x="385"/>
        <item x="347"/>
        <item x="388"/>
        <item x="406"/>
        <item x="370"/>
        <item x="442"/>
        <item x="394"/>
        <item x="91"/>
        <item x="365"/>
        <item x="481"/>
        <item x="373"/>
        <item x="510"/>
        <item x="7"/>
        <item x="447"/>
        <item x="519"/>
        <item x="483"/>
        <item x="517"/>
        <item x="596"/>
        <item x="574"/>
        <item x="443"/>
        <item x="619"/>
        <item x="623"/>
        <item x="602"/>
        <item x="562"/>
        <item x="632"/>
        <item x="529"/>
        <item x="634"/>
        <item x="599"/>
        <item x="345"/>
        <item x="593"/>
        <item x="537"/>
        <item x="496"/>
        <item x="507"/>
        <item x="520"/>
        <item x="573"/>
        <item x="621"/>
        <item x="551"/>
        <item x="538"/>
        <item x="528"/>
        <item x="665"/>
        <item x="656"/>
        <item x="414"/>
        <item x="448"/>
        <item x="569"/>
        <item x="736"/>
        <item x="504"/>
        <item x="636"/>
        <item x="433"/>
        <item x="648"/>
        <item x="522"/>
        <item x="626"/>
        <item x="512"/>
        <item x="539"/>
        <item x="526"/>
        <item x="530"/>
        <item x="484"/>
        <item x="633"/>
        <item x="601"/>
        <item x="587"/>
        <item x="511"/>
        <item x="565"/>
        <item x="622"/>
        <item x="535"/>
        <item x="536"/>
        <item x="561"/>
        <item x="508"/>
        <item x="710"/>
        <item x="487"/>
        <item x="629"/>
        <item x="495"/>
        <item x="492"/>
        <item x="624"/>
        <item x="490"/>
        <item x="506"/>
        <item x="627"/>
        <item x="553"/>
        <item x="598"/>
        <item x="618"/>
        <item x="452"/>
        <item x="518"/>
        <item x="631"/>
        <item x="613"/>
        <item x="646"/>
        <item x="351"/>
        <item x="438"/>
        <item x="498"/>
        <item x="571"/>
        <item x="521"/>
        <item x="606"/>
        <item x="555"/>
        <item x="524"/>
        <item x="534"/>
        <item x="493"/>
        <item x="516"/>
        <item x="603"/>
        <item x="343"/>
        <item x="578"/>
        <item x="717"/>
        <item x="513"/>
        <item x="326"/>
        <item x="669"/>
        <item x="614"/>
        <item x="514"/>
        <item x="592"/>
        <item x="523"/>
        <item x="671"/>
        <item x="616"/>
        <item x="787"/>
        <item x="767"/>
        <item x="770"/>
        <item x="769"/>
        <item x="772"/>
        <item x="828"/>
        <item x="789"/>
        <item x="827"/>
        <item x="1006"/>
        <item x="885"/>
        <item x="826"/>
        <item x="788"/>
        <item x="771"/>
        <item x="829"/>
        <item x="886"/>
        <item x="768"/>
        <item x="695"/>
        <item x="786"/>
        <item x="766"/>
        <item x="785"/>
        <item x="883"/>
        <item x="1108"/>
        <item x="1005"/>
        <item x="129"/>
        <item x="155"/>
        <item x="813"/>
        <item x="43"/>
        <item x="567"/>
        <item x="32"/>
        <item x="935"/>
        <item x="72"/>
        <item x="170"/>
        <item x="70"/>
        <item x="816"/>
        <item x="739"/>
        <item x="663"/>
        <item x="1048"/>
        <item x="1102"/>
        <item x="890"/>
        <item x="33"/>
        <item x="50"/>
        <item x="24"/>
        <item x="20"/>
        <item x="5"/>
        <item x="49"/>
        <item x="17"/>
        <item x="47"/>
        <item x="14"/>
        <item x="46"/>
        <item x="100"/>
        <item x="1106"/>
        <item x="806"/>
        <item x="382"/>
        <item x="471"/>
        <item x="261"/>
        <item x="635"/>
        <item x="799"/>
        <item x="384"/>
        <item x="753"/>
        <item x="341"/>
        <item x="478"/>
        <item x="269"/>
        <item x="832"/>
        <item x="718"/>
        <item x="255"/>
        <item x="135"/>
        <item x="111"/>
        <item x="267"/>
        <item x="793"/>
        <item x="218"/>
        <item x="296"/>
        <item x="1025"/>
        <item x="98"/>
        <item x="591"/>
        <item x="796"/>
        <item x="340"/>
        <item x="795"/>
        <item x="184"/>
        <item x="254"/>
        <item x="105"/>
        <item x="505"/>
        <item x="444"/>
        <item x="405"/>
        <item x="1089"/>
        <item x="246"/>
        <item x="181"/>
        <item x="145"/>
        <item x="557"/>
        <item x="144"/>
        <item x="1088"/>
        <item x="558"/>
        <item x="164"/>
        <item x="124"/>
        <item x="303"/>
        <item x="811"/>
        <item x="335"/>
        <item x="418"/>
        <item x="486"/>
        <item x="747"/>
        <item x="861"/>
        <item x="684"/>
        <item x="387"/>
        <item x="299"/>
        <item x="233"/>
        <item x="206"/>
        <item x="253"/>
        <item x="260"/>
        <item x="152"/>
        <item x="893"/>
        <item x="96"/>
        <item x="137"/>
        <item x="138"/>
        <item x="121"/>
        <item x="150"/>
        <item x="188"/>
        <item x="189"/>
        <item x="136"/>
        <item x="134"/>
        <item x="217"/>
        <item x="812"/>
        <item x="132"/>
        <item x="876"/>
        <item x="127"/>
        <item x="362"/>
        <item x="220"/>
        <item x="459"/>
        <item x="797"/>
        <item x="727"/>
        <item x="174"/>
        <item x="449"/>
        <item x="257"/>
        <item x="1100"/>
        <item x="84"/>
        <item x="859"/>
        <item x="116"/>
        <item x="172"/>
        <item x="200"/>
        <item x="229"/>
        <item x="470"/>
        <item x="165"/>
        <item x="798"/>
        <item x="139"/>
        <item x="328"/>
        <item x="430"/>
        <item x="85"/>
        <item x="272"/>
        <item x="140"/>
        <item x="227"/>
        <item x="381"/>
        <item x="431"/>
        <item x="250"/>
        <item x="117"/>
        <item x="81"/>
        <item x="415"/>
        <item x="166"/>
        <item x="198"/>
        <item x="568"/>
        <item x="389"/>
        <item x="735"/>
        <item x="125"/>
        <item x="118"/>
        <item x="202"/>
        <item x="323"/>
        <item x="104"/>
        <item x="929"/>
        <item x="225"/>
        <item x="279"/>
        <item x="809"/>
        <item x="877"/>
        <item x="193"/>
        <item x="304"/>
        <item x="852"/>
        <item x="349"/>
        <item x="317"/>
        <item x="183"/>
        <item x="1101"/>
        <item x="302"/>
        <item x="162"/>
        <item x="1080"/>
        <item x="102"/>
        <item x="685"/>
        <item x="600"/>
        <item x="171"/>
        <item x="115"/>
        <item x="79"/>
        <item x="273"/>
        <item x="319"/>
        <item x="313"/>
        <item x="226"/>
        <item x="187"/>
        <item x="309"/>
        <item x="527"/>
        <item x="849"/>
        <item x="397"/>
        <item x="1066"/>
        <item x="86"/>
        <item x="336"/>
        <item x="281"/>
        <item x="563"/>
        <item x="110"/>
        <item x="94"/>
        <item x="197"/>
        <item x="186"/>
        <item x="399"/>
        <item x="400"/>
        <item x="276"/>
        <item x="439"/>
        <item x="560"/>
        <item x="219"/>
        <item x="377"/>
        <item x="409"/>
        <item x="659"/>
        <item x="252"/>
        <item x="182"/>
        <item x="305"/>
        <item x="234"/>
        <item x="422"/>
        <item x="462"/>
        <item x="262"/>
        <item x="73"/>
        <item x="419"/>
        <item x="366"/>
        <item x="311"/>
        <item x="794"/>
        <item x="559"/>
        <item x="392"/>
        <item x="1064"/>
        <item x="103"/>
        <item x="185"/>
        <item x="854"/>
        <item x="889"/>
        <item x="325"/>
        <item x="617"/>
        <item x="146"/>
        <item x="327"/>
        <item x="774"/>
        <item x="891"/>
        <item x="666"/>
        <item x="434"/>
        <item x="282"/>
        <item x="867"/>
        <item x="318"/>
        <item x="404"/>
        <item x="123"/>
        <item x="649"/>
        <item x="265"/>
        <item x="95"/>
        <item x="468"/>
        <item x="93"/>
        <item x="228"/>
        <item x="251"/>
        <item x="143"/>
        <item x="201"/>
        <item x="119"/>
        <item x="266"/>
        <item x="630"/>
        <item x="364"/>
        <item x="972"/>
        <item x="339"/>
        <item x="711"/>
        <item x="147"/>
        <item x="83"/>
        <item x="488"/>
        <item x="120"/>
        <item x="274"/>
        <item x="386"/>
        <item x="75"/>
        <item x="230"/>
        <item x="467"/>
        <item x="612"/>
        <item x="642"/>
        <item x="256"/>
        <item x="686"/>
        <item x="92"/>
        <item x="682"/>
        <item x="285"/>
        <item x="97"/>
        <item x="148"/>
        <item x="1105"/>
        <item x="380"/>
        <item x="306"/>
        <item x="808"/>
        <item x="284"/>
        <item x="815"/>
        <item x="74"/>
        <item x="240"/>
        <item x="161"/>
        <item x="1104"/>
        <item x="831"/>
        <item x="167"/>
        <item x="858"/>
        <item x="300"/>
        <item x="112"/>
        <item x="810"/>
        <item x="1032"/>
        <item x="453"/>
        <item x="99"/>
        <item x="838"/>
        <item x="429"/>
        <item x="393"/>
        <item x="708"/>
        <item x="744"/>
        <item x="714"/>
        <item x="78"/>
        <item x="620"/>
        <item x="168"/>
        <item x="307"/>
        <item x="855"/>
        <item x="308"/>
        <item x="231"/>
        <item x="173"/>
        <item x="275"/>
        <item x="126"/>
        <item x="314"/>
        <item x="280"/>
        <item x="191"/>
        <item x="196"/>
        <item x="657"/>
        <item x="232"/>
        <item x="594"/>
        <item x="175"/>
        <item x="76"/>
        <item x="114"/>
        <item x="90"/>
        <item x="107"/>
        <item x="709"/>
        <item x="113"/>
        <item x="436"/>
        <item x="670"/>
        <item x="283"/>
        <item x="316"/>
        <item x="754"/>
        <item x="163"/>
        <item x="497"/>
        <item x="194"/>
        <item x="615"/>
        <item x="372"/>
        <item x="728"/>
        <item x="485"/>
        <item x="208"/>
        <item x="19"/>
        <item x="693"/>
        <item x="841"/>
        <item x="1090"/>
        <item x="882"/>
        <item x="1077"/>
        <item x="1004"/>
        <item x="608"/>
        <item x="295"/>
        <item x="454"/>
        <item x="320"/>
        <item x="585"/>
        <item x="348"/>
        <item x="337"/>
        <item x="264"/>
        <item x="407"/>
        <item x="564"/>
        <item x="271"/>
        <item x="248"/>
        <item x="1041"/>
        <item x="1085"/>
        <item x="268"/>
        <item x="489"/>
        <item x="531"/>
        <item x="575"/>
        <item x="437"/>
        <item x="1052"/>
        <item x="532"/>
        <item x="533"/>
        <item x="457"/>
        <item x="752"/>
        <item x="153"/>
        <item x="1047"/>
        <item x="149"/>
        <item x="247"/>
        <item x="122"/>
        <item x="258"/>
        <item x="179"/>
        <item x="87"/>
        <item x="203"/>
        <item x="450"/>
        <item x="687"/>
        <item x="398"/>
        <item x="1061"/>
        <item x="572"/>
        <item x="696"/>
        <item x="11"/>
        <item x="724"/>
        <item x="779"/>
        <item x="645"/>
        <item x="640"/>
        <item x="427"/>
        <item x="676"/>
        <item x="737"/>
        <item x="706"/>
        <item x="726"/>
        <item x="732"/>
        <item x="757"/>
        <item x="734"/>
        <item x="730"/>
        <item x="742"/>
        <item x="748"/>
        <item x="705"/>
        <item x="756"/>
        <item x="700"/>
        <item x="773"/>
        <item x="701"/>
        <item x="715"/>
        <item x="725"/>
        <item x="702"/>
        <item x="750"/>
        <item x="723"/>
        <item x="743"/>
        <item x="731"/>
        <item x="758"/>
        <item x="703"/>
        <item x="729"/>
        <item x="720"/>
        <item x="738"/>
        <item x="39"/>
        <item x="58"/>
        <item x="48"/>
        <item x="106"/>
        <item x="21"/>
        <item x="30"/>
        <item x="755"/>
        <item x="899"/>
        <item x="1093"/>
        <item x="1092"/>
        <item x="751"/>
        <item x="321"/>
        <item x="297"/>
        <item x="589"/>
        <item x="643"/>
        <item x="417"/>
        <item x="42"/>
        <item x="1114"/>
        <item x="35"/>
        <item x="426"/>
        <item x="1115"/>
        <item x="425"/>
        <item x="897"/>
        <item x="1007"/>
        <item x="1076"/>
        <item x="369"/>
        <item x="898"/>
        <item x="68"/>
        <item x="154"/>
        <item x="292"/>
        <item x="873"/>
        <item x="424"/>
        <item x="692"/>
        <item x="840"/>
        <item x="881"/>
        <item x="1003"/>
        <item x="1107"/>
        <item x="1099"/>
        <item x="502"/>
        <item x="501"/>
        <item x="541"/>
        <item x="639"/>
        <item x="540"/>
        <item x="638"/>
        <item x="704"/>
        <item x="894"/>
        <item x="503"/>
        <item x="863"/>
        <item x="804"/>
        <item x="584"/>
        <item x="12"/>
        <item x="55"/>
        <item x="864"/>
        <item x="597"/>
        <item x="25"/>
        <item x="654"/>
        <item x="331"/>
        <item x="740"/>
        <item x="664"/>
        <item x="580"/>
        <item x="1049"/>
        <item x="900"/>
        <item x="865"/>
        <item x="570"/>
        <item x="391"/>
        <item x="451"/>
        <item x="525"/>
        <item x="644"/>
        <item x="324"/>
        <item x="1051"/>
        <item x="18"/>
        <item x="277"/>
        <item x="53"/>
        <item x="1039"/>
        <item x="857"/>
        <item x="818"/>
        <item x="817"/>
        <item x="819"/>
        <item x="16"/>
        <item x="1103"/>
        <item x="745"/>
        <item x="552"/>
        <item x="716"/>
        <item x="931"/>
        <item x="1068"/>
        <item x="586"/>
        <item x="662"/>
        <item x="749"/>
        <item x="628"/>
        <item x="611"/>
        <item x="712"/>
        <item x="509"/>
        <item x="588"/>
        <item x="80"/>
        <item x="8"/>
        <item x="360"/>
        <item x="1053"/>
        <item x="554"/>
        <item x="421"/>
        <item x="26"/>
        <item x="962"/>
        <item x="1069"/>
        <item x="951"/>
        <item x="981"/>
        <item x="930"/>
        <item x="1070"/>
        <item x="660"/>
        <item x="466"/>
        <item x="834"/>
        <item x="801"/>
        <item x="807"/>
        <item x="860"/>
        <item x="953"/>
        <item x="986"/>
        <item x="1084"/>
        <item x="952"/>
        <item x="242"/>
        <item x="245"/>
        <item x="249"/>
        <item x="775"/>
        <item x="835"/>
        <item x="209"/>
        <item x="243"/>
        <item x="322"/>
        <item x="821"/>
        <item x="927"/>
        <item x="868"/>
        <item x="441"/>
        <item x="604"/>
        <item x="1062"/>
        <item x="334"/>
        <item x="759"/>
        <item x="344"/>
        <item x="719"/>
        <item x="180"/>
        <item x="949"/>
        <item x="668"/>
        <item x="338"/>
        <item x="88"/>
        <item x="830"/>
        <item x="378"/>
        <item x="605"/>
        <item x="128"/>
        <item x="1063"/>
        <item x="689"/>
        <item x="235"/>
        <item x="259"/>
        <item x="199"/>
        <item x="651"/>
        <item x="721"/>
        <item x="566"/>
        <item x="435"/>
        <item x="89"/>
        <item x="310"/>
        <item x="515"/>
        <item x="315"/>
        <item x="650"/>
        <item x="590"/>
        <item x="241"/>
        <item x="34"/>
        <item x="6"/>
        <item x="52"/>
        <item x="957"/>
        <item x="1117"/>
        <item x="850"/>
        <item x="207"/>
        <item x="963"/>
        <item x="71"/>
        <item x="64"/>
        <item x="291"/>
        <item x="41"/>
        <item x="224"/>
        <item x="678"/>
        <item x="312"/>
        <item x="800"/>
        <item x="15"/>
        <item x="464"/>
        <item x="683"/>
        <item x="51"/>
        <item x="9"/>
        <item x="301"/>
        <item x="40"/>
        <item x="367"/>
        <item x="477"/>
        <item x="212"/>
        <item x="23"/>
        <item x="151"/>
        <item x="491"/>
        <item x="211"/>
        <item x="31"/>
        <item x="576"/>
        <item x="1112"/>
        <item x="101"/>
        <item x="658"/>
        <item x="892"/>
        <item x="836"/>
        <item x="1098"/>
        <item x="733"/>
        <item x="263"/>
        <item x="853"/>
        <item x="28"/>
        <item x="29"/>
        <item x="332"/>
        <item x="333"/>
        <item x="581"/>
        <item x="476"/>
        <item x="582"/>
        <item x="1125"/>
        <item x="1121"/>
        <item x="1123"/>
        <item x="1124"/>
        <item x="1015"/>
        <item x="1122"/>
        <item x="159"/>
        <item x="158"/>
        <item x="156"/>
        <item x="160"/>
        <item x="157"/>
        <item x="61"/>
        <item x="288"/>
        <item x="60"/>
        <item x="287"/>
        <item x="63"/>
        <item x="290"/>
        <item x="62"/>
        <item x="289"/>
        <item x="59"/>
        <item x="286"/>
        <item x="847"/>
        <item x="846"/>
        <item x="844"/>
        <item x="848"/>
        <item x="845"/>
        <item x="609"/>
        <item x="675"/>
        <item x="765"/>
        <item x="677"/>
        <item x="130"/>
        <item x="764"/>
        <item x="896"/>
        <item x="825"/>
        <item x="293"/>
        <item x="803"/>
        <item x="778"/>
        <item x="1118"/>
        <item x="583"/>
        <item x="908"/>
        <item x="950"/>
        <item x="1067"/>
        <item x="1113"/>
        <item x="278"/>
        <item x="410"/>
        <item x="142"/>
        <item x="294"/>
        <item x="69"/>
        <item x="44"/>
        <item x="784"/>
        <item x="1095"/>
        <item x="911"/>
        <item x="549"/>
        <item x="791"/>
        <item x="548"/>
        <item x="546"/>
        <item x="550"/>
        <item x="455"/>
        <item x="547"/>
        <item x="699"/>
        <item x="641"/>
        <item x="545"/>
        <item x="27"/>
        <item x="223"/>
        <item x="475"/>
        <item x="473"/>
        <item x="474"/>
        <item x="637"/>
        <item x="56"/>
        <item x="403"/>
        <item x="13"/>
        <item x="958"/>
        <item x="54"/>
        <item x="374"/>
        <item x="4"/>
        <item t="default"/>
      </items>
    </pivotField>
    <pivotField compact="0" outline="0" showAl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</pivotFields>
  <rowFields count="3">
    <field x="2"/>
    <field x="3"/>
    <field x="7"/>
  </rowFields>
  <rowItems count="158">
    <i>
      <x v="7"/>
      <x v="10"/>
      <x/>
    </i>
    <i r="2">
      <x v="2"/>
    </i>
    <i r="2">
      <x v="27"/>
    </i>
    <i r="2">
      <x v="494"/>
    </i>
    <i r="2">
      <x v="502"/>
    </i>
    <i r="2">
      <x v="513"/>
    </i>
    <i r="2">
      <x v="516"/>
    </i>
    <i r="2">
      <x v="517"/>
    </i>
    <i r="2">
      <x v="519"/>
    </i>
    <i r="2">
      <x v="565"/>
    </i>
    <i r="2">
      <x v="569"/>
    </i>
    <i r="2">
      <x v="575"/>
    </i>
    <i r="2">
      <x v="580"/>
    </i>
    <i r="2">
      <x v="596"/>
    </i>
    <i r="2">
      <x v="618"/>
    </i>
    <i r="2">
      <x v="633"/>
    </i>
    <i r="2">
      <x v="640"/>
    </i>
    <i r="2">
      <x v="649"/>
    </i>
    <i r="2">
      <x v="650"/>
    </i>
    <i r="2">
      <x v="708"/>
    </i>
    <i r="2">
      <x v="715"/>
    </i>
    <i r="2">
      <x v="724"/>
    </i>
    <i r="2">
      <x v="726"/>
    </i>
    <i r="2">
      <x v="731"/>
    </i>
    <i r="2">
      <x v="751"/>
    </i>
    <i r="2">
      <x v="846"/>
    </i>
    <i t="default" r="1">
      <x v="10"/>
    </i>
    <i>
      <x v="8"/>
      <x v="9"/>
      <x v="27"/>
    </i>
    <i r="2">
      <x v="278"/>
    </i>
    <i r="2">
      <x v="311"/>
    </i>
    <i r="2">
      <x v="342"/>
    </i>
    <i r="2">
      <x v="383"/>
    </i>
    <i r="2">
      <x v="385"/>
    </i>
    <i r="2">
      <x v="401"/>
    </i>
    <i r="2">
      <x v="1126"/>
    </i>
    <i t="default" r="1">
      <x v="9"/>
    </i>
    <i>
      <x v="9"/>
      <x v="8"/>
      <x v="5"/>
    </i>
    <i r="2">
      <x v="6"/>
    </i>
    <i r="2">
      <x v="7"/>
    </i>
    <i r="2">
      <x v="8"/>
    </i>
    <i r="2">
      <x v="9"/>
    </i>
    <i r="2">
      <x v="10"/>
    </i>
    <i r="2">
      <x v="15"/>
    </i>
    <i r="2">
      <x v="27"/>
    </i>
    <i r="2">
      <x v="131"/>
    </i>
    <i r="2">
      <x v="132"/>
    </i>
    <i r="2">
      <x v="133"/>
    </i>
    <i r="2">
      <x v="176"/>
    </i>
    <i r="2">
      <x v="195"/>
    </i>
    <i r="2">
      <x v="260"/>
    </i>
    <i r="2">
      <x v="270"/>
    </i>
    <i r="2">
      <x v="273"/>
    </i>
    <i r="2">
      <x v="453"/>
    </i>
    <i r="2">
      <x v="454"/>
    </i>
    <i r="2">
      <x v="455"/>
    </i>
    <i r="2">
      <x v="517"/>
    </i>
    <i r="2">
      <x v="580"/>
    </i>
    <i r="2">
      <x v="667"/>
    </i>
    <i r="2">
      <x v="726"/>
    </i>
    <i r="2">
      <x v="731"/>
    </i>
    <i r="2">
      <x v="746"/>
    </i>
    <i r="2">
      <x v="797"/>
    </i>
    <i r="2">
      <x v="798"/>
    </i>
    <i r="2">
      <x v="855"/>
    </i>
    <i r="2">
      <x v="856"/>
    </i>
    <i r="2">
      <x v="857"/>
    </i>
    <i r="2">
      <x v="858"/>
    </i>
    <i r="2">
      <x v="859"/>
    </i>
    <i r="2">
      <x v="860"/>
    </i>
    <i r="2">
      <x v="863"/>
    </i>
    <i r="2">
      <x v="889"/>
    </i>
    <i r="2">
      <x v="890"/>
    </i>
    <i r="2">
      <x v="894"/>
    </i>
    <i r="2">
      <x v="895"/>
    </i>
    <i r="2">
      <x v="896"/>
    </i>
    <i r="2">
      <x v="898"/>
    </i>
    <i r="2">
      <x v="899"/>
    </i>
    <i r="2">
      <x v="900"/>
    </i>
    <i r="2">
      <x v="901"/>
    </i>
    <i r="2">
      <x v="902"/>
    </i>
    <i r="2">
      <x v="903"/>
    </i>
    <i r="2">
      <x v="904"/>
    </i>
    <i r="2">
      <x v="905"/>
    </i>
    <i r="2">
      <x v="906"/>
    </i>
    <i r="2">
      <x v="907"/>
    </i>
    <i r="2">
      <x v="908"/>
    </i>
    <i r="2">
      <x v="909"/>
    </i>
    <i r="2">
      <x v="910"/>
    </i>
    <i r="2">
      <x v="911"/>
    </i>
    <i r="2">
      <x v="912"/>
    </i>
    <i r="2">
      <x v="913"/>
    </i>
    <i r="2">
      <x v="914"/>
    </i>
    <i r="2">
      <x v="915"/>
    </i>
    <i r="2">
      <x v="916"/>
    </i>
    <i r="2">
      <x v="917"/>
    </i>
    <i r="2">
      <x v="918"/>
    </i>
    <i r="2">
      <x v="919"/>
    </i>
    <i r="2">
      <x v="920"/>
    </i>
    <i r="2">
      <x v="921"/>
    </i>
    <i r="2">
      <x v="922"/>
    </i>
    <i r="2">
      <x v="923"/>
    </i>
    <i r="2">
      <x v="924"/>
    </i>
    <i r="2">
      <x v="925"/>
    </i>
    <i r="2">
      <x v="926"/>
    </i>
    <i r="2">
      <x v="927"/>
    </i>
    <i r="2">
      <x v="928"/>
    </i>
    <i r="2">
      <x v="929"/>
    </i>
    <i r="2">
      <x v="930"/>
    </i>
    <i r="2">
      <x v="931"/>
    </i>
    <i r="2">
      <x v="932"/>
    </i>
    <i r="2">
      <x v="933"/>
    </i>
    <i r="2">
      <x v="934"/>
    </i>
    <i r="2">
      <x v="935"/>
    </i>
    <i r="2">
      <x v="936"/>
    </i>
    <i r="2">
      <x v="937"/>
    </i>
    <i r="2">
      <x v="938"/>
    </i>
    <i r="2">
      <x v="939"/>
    </i>
    <i r="2">
      <x v="940"/>
    </i>
    <i r="2">
      <x v="942"/>
    </i>
    <i r="2">
      <x v="943"/>
    </i>
    <i r="2">
      <x v="944"/>
    </i>
    <i r="2">
      <x v="945"/>
    </i>
    <i r="2">
      <x v="946"/>
    </i>
    <i r="2">
      <x v="947"/>
    </i>
    <i r="2">
      <x v="948"/>
    </i>
    <i r="2">
      <x v="949"/>
    </i>
    <i r="2">
      <x v="950"/>
    </i>
    <i r="2">
      <x v="951"/>
    </i>
    <i r="2">
      <x v="952"/>
    </i>
    <i r="2">
      <x v="953"/>
    </i>
    <i r="2">
      <x v="954"/>
    </i>
    <i r="2">
      <x v="955"/>
    </i>
    <i r="2">
      <x v="965"/>
    </i>
    <i r="2">
      <x v="966"/>
    </i>
    <i r="2">
      <x v="1009"/>
    </i>
    <i r="2">
      <x v="1038"/>
    </i>
    <i r="2">
      <x v="1039"/>
    </i>
    <i r="2">
      <x v="1040"/>
    </i>
    <i r="2">
      <x v="1041"/>
    </i>
    <i r="2">
      <x v="1042"/>
    </i>
    <i r="2">
      <x v="1043"/>
    </i>
    <i r="2">
      <x v="1091"/>
    </i>
    <i r="2">
      <x v="1092"/>
    </i>
    <i r="2">
      <x v="1093"/>
    </i>
    <i r="2">
      <x v="1095"/>
    </i>
    <i r="2">
      <x v="1096"/>
    </i>
    <i r="2">
      <x v="1097"/>
    </i>
    <i r="2">
      <x v="1103"/>
    </i>
    <i r="2">
      <x v="1114"/>
    </i>
    <i r="2">
      <x v="1117"/>
    </i>
    <i r="2">
      <x v="1120"/>
    </i>
    <i r="2">
      <x v="1121"/>
    </i>
    <i r="2">
      <x v="1122"/>
    </i>
    <i r="2">
      <x v="1124"/>
    </i>
    <i r="2">
      <x v="1125"/>
    </i>
    <i r="2">
      <x v="1126"/>
    </i>
    <i t="default" r="1">
      <x v="8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uma de Monto" fld="4" baseField="2" baseItem="8" numFmtId="38"/>
  </dataFields>
  <formats count="58">
    <format dxfId="557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28"/>
          </reference>
          <reference field="7" count="7" selected="0">
            <x v="138"/>
            <x v="139"/>
            <x v="142"/>
            <x v="143"/>
            <x v="456"/>
            <x v="901"/>
            <x v="1098"/>
          </reference>
        </references>
      </pivotArea>
    </format>
    <format dxfId="556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28"/>
          </reference>
          <reference field="7" count="1" selected="0">
            <x v="1115"/>
          </reference>
        </references>
      </pivotArea>
    </format>
    <format dxfId="555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28"/>
          </reference>
          <reference field="7" count="1" selected="0">
            <x v="901"/>
          </reference>
        </references>
      </pivotArea>
    </format>
    <format dxfId="554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28"/>
          </reference>
          <reference field="7" count="1" selected="0">
            <x v="27"/>
          </reference>
        </references>
      </pivotArea>
    </format>
    <format dxfId="553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28"/>
          </reference>
          <reference field="7" count="1" selected="0">
            <x v="1114"/>
          </reference>
        </references>
      </pivotArea>
    </format>
    <format dxfId="552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28"/>
          </reference>
          <reference field="7" count="6" selected="0">
            <x v="134"/>
            <x v="138"/>
            <x v="139"/>
            <x v="142"/>
            <x v="143"/>
            <x v="456"/>
          </reference>
        </references>
      </pivotArea>
    </format>
    <format dxfId="551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28"/>
          </reference>
          <reference field="7" count="1" selected="0">
            <x v="458"/>
          </reference>
        </references>
      </pivotArea>
    </format>
    <format dxfId="550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28"/>
          </reference>
          <reference field="7" count="1" selected="0">
            <x v="1114"/>
          </reference>
        </references>
      </pivotArea>
    </format>
    <format dxfId="549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28"/>
          </reference>
          <reference field="7" count="1" selected="0">
            <x v="456"/>
          </reference>
        </references>
      </pivotArea>
    </format>
    <format dxfId="548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28"/>
          </reference>
          <reference field="7" count="1" selected="0">
            <x v="137"/>
          </reference>
        </references>
      </pivotArea>
    </format>
    <format dxfId="547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28"/>
          </reference>
          <reference field="7" count="1" selected="0">
            <x v="1114"/>
          </reference>
        </references>
      </pivotArea>
    </format>
    <format dxfId="546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7"/>
          </reference>
          <reference field="7" count="2" selected="0">
            <x v="1045"/>
            <x v="1046"/>
          </reference>
        </references>
      </pivotArea>
    </format>
    <format dxfId="545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7"/>
          </reference>
          <reference field="7" count="1" selected="0">
            <x v="27"/>
          </reference>
        </references>
      </pivotArea>
    </format>
    <format dxfId="544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7"/>
          </reference>
          <reference field="7" count="1" selected="0">
            <x v="456"/>
          </reference>
        </references>
      </pivotArea>
    </format>
    <format dxfId="543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7"/>
          </reference>
          <reference field="7" count="2" selected="0">
            <x v="1045"/>
            <x v="1046"/>
          </reference>
        </references>
      </pivotArea>
    </format>
    <format dxfId="542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7"/>
          </reference>
          <reference field="7" count="1" selected="0">
            <x v="456"/>
          </reference>
        </references>
      </pivotArea>
    </format>
    <format dxfId="541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7"/>
          </reference>
          <reference field="7" count="1" selected="0">
            <x v="1046"/>
          </reference>
        </references>
      </pivotArea>
    </format>
    <format dxfId="540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7"/>
          </reference>
          <reference field="7" count="1" selected="0">
            <x v="1045"/>
          </reference>
        </references>
      </pivotArea>
    </format>
    <format dxfId="539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28"/>
          </reference>
          <reference field="7" count="2" selected="0">
            <x v="143"/>
            <x v="456"/>
          </reference>
        </references>
      </pivotArea>
    </format>
    <format dxfId="538">
      <pivotArea outline="0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28"/>
          </reference>
          <reference field="7" count="2" selected="0">
            <x v="1117"/>
            <x v="1118"/>
          </reference>
        </references>
      </pivotArea>
    </format>
    <format dxfId="537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28"/>
          </reference>
          <reference field="7" count="2" selected="0">
            <x v="143"/>
            <x v="456"/>
          </reference>
        </references>
      </pivotArea>
    </format>
    <format dxfId="536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28"/>
          </reference>
          <reference field="7" count="1" selected="0">
            <x v="115"/>
          </reference>
        </references>
      </pivotArea>
    </format>
    <format dxfId="535">
      <pivotArea outline="0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28"/>
          </reference>
          <reference field="7" count="2" selected="0">
            <x v="1117"/>
            <x v="1118"/>
          </reference>
        </references>
      </pivotArea>
    </format>
    <format dxfId="534">
      <pivotArea outline="0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28"/>
          </reference>
          <reference field="7" count="1" selected="0">
            <x v="456"/>
          </reference>
        </references>
      </pivotArea>
    </format>
    <format dxfId="533">
      <pivotArea outline="0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28"/>
          </reference>
          <reference field="7" count="4" selected="0">
            <x v="109"/>
            <x v="110"/>
            <x v="116"/>
            <x v="119"/>
          </reference>
        </references>
      </pivotArea>
    </format>
    <format dxfId="532">
      <pivotArea outline="0" fieldPosition="0">
        <references count="4">
          <reference field="1" count="1" selected="0">
            <x v="6"/>
          </reference>
          <reference field="2" count="0" selected="0"/>
          <reference field="3" count="1" selected="0">
            <x v="28"/>
          </reference>
          <reference field="7" count="1" selected="0">
            <x v="904"/>
          </reference>
        </references>
      </pivotArea>
    </format>
    <format dxfId="531">
      <pivotArea outline="0" fieldPosition="0">
        <references count="4">
          <reference field="1" count="1" selected="0">
            <x v="6"/>
          </reference>
          <reference field="2" count="0" selected="0"/>
          <reference field="3" count="1" selected="0">
            <x v="28"/>
          </reference>
          <reference field="7" count="2" selected="0">
            <x v="121"/>
            <x v="149"/>
          </reference>
        </references>
      </pivotArea>
    </format>
    <format dxfId="530">
      <pivotArea outline="0" fieldPosition="0">
        <references count="4">
          <reference field="1" count="1" selected="0">
            <x v="7"/>
          </reference>
          <reference field="2" count="0" selected="0"/>
          <reference field="3" count="1" selected="0">
            <x v="28"/>
          </reference>
          <reference field="7" count="1" selected="0">
            <x v="903"/>
          </reference>
        </references>
      </pivotArea>
    </format>
    <format dxfId="529">
      <pivotArea outline="0" fieldPosition="0">
        <references count="4">
          <reference field="1" count="1" selected="0">
            <x v="6"/>
          </reference>
          <reference field="2" count="0" selected="0"/>
          <reference field="3" count="1" selected="0">
            <x v="28"/>
          </reference>
          <reference field="7" count="1" selected="0">
            <x v="456"/>
          </reference>
        </references>
      </pivotArea>
    </format>
    <format dxfId="528">
      <pivotArea outline="0" fieldPosition="0">
        <references count="4">
          <reference field="1" count="1" selected="0">
            <x v="3"/>
          </reference>
          <reference field="2" count="1" selected="0">
            <x v="14"/>
          </reference>
          <reference field="3" count="1" selected="0">
            <x v="7"/>
          </reference>
          <reference field="7" count="2" selected="0">
            <x v="1047"/>
            <x v="1048"/>
          </reference>
        </references>
      </pivotArea>
    </format>
    <format dxfId="527">
      <pivotArea outline="0" fieldPosition="0">
        <references count="4">
          <reference field="1" count="1" selected="0">
            <x v="2"/>
          </reference>
          <reference field="2" count="1" selected="0">
            <x v="14"/>
          </reference>
          <reference field="3" count="1" selected="0">
            <x v="7"/>
          </reference>
          <reference field="7" count="1" selected="0">
            <x v="456"/>
          </reference>
        </references>
      </pivotArea>
    </format>
    <format dxfId="526">
      <pivotArea outline="0" collapsedLevelsAreSubtotals="1" fieldPosition="0">
        <references count="4">
          <reference field="1" count="4" selected="0">
            <x v="2"/>
            <x v="3"/>
            <x v="5"/>
            <x v="6"/>
          </reference>
          <reference field="2" count="0" selected="0"/>
          <reference field="3" count="1" selected="0">
            <x v="21"/>
          </reference>
          <reference field="7" count="2" selected="0">
            <x v="530"/>
            <x v="598"/>
          </reference>
        </references>
      </pivotArea>
    </format>
    <format dxfId="525">
      <pivotArea dataOnly="0" labelOnly="1" outline="0" fieldPosition="0">
        <references count="3">
          <reference field="2" count="0" selected="0"/>
          <reference field="3" count="1" selected="0">
            <x v="21"/>
          </reference>
          <reference field="7" count="2">
            <x v="530"/>
            <x v="598"/>
          </reference>
        </references>
      </pivotArea>
    </format>
    <format dxfId="524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3" selected="0">
            <x v="349"/>
            <x v="350"/>
            <x v="351"/>
          </reference>
        </references>
      </pivotArea>
    </format>
    <format dxfId="523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290"/>
          </reference>
        </references>
      </pivotArea>
    </format>
    <format dxfId="522">
      <pivotArea outline="0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332"/>
          </reference>
        </references>
      </pivotArea>
    </format>
    <format dxfId="521">
      <pivotArea outline="0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333"/>
          </reference>
        </references>
      </pivotArea>
    </format>
    <format dxfId="520">
      <pivotArea outline="0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334"/>
          </reference>
        </references>
      </pivotArea>
    </format>
    <format dxfId="519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280"/>
          </reference>
        </references>
      </pivotArea>
    </format>
    <format dxfId="518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338"/>
          </reference>
        </references>
      </pivotArea>
    </format>
    <format dxfId="517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335"/>
          </reference>
        </references>
      </pivotArea>
    </format>
    <format dxfId="516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285"/>
          </reference>
        </references>
      </pivotArea>
    </format>
    <format dxfId="515">
      <pivotArea outline="0" collapsedLevelsAreSubtotals="1" fieldPosition="0">
        <references count="4">
          <reference field="1" count="1" selected="0">
            <x v="2"/>
          </reference>
          <reference field="2" count="1" selected="0">
            <x v="28"/>
          </reference>
          <reference field="3" count="1" selected="0">
            <x v="21"/>
          </reference>
          <reference field="7" count="22" selected="0">
            <x v="776"/>
            <x v="777"/>
            <x v="778"/>
            <x v="779"/>
            <x v="780"/>
            <x v="781"/>
            <x v="782"/>
            <x v="783"/>
            <x v="784"/>
            <x v="787"/>
            <x v="788"/>
            <x v="789"/>
            <x v="790"/>
            <x v="791"/>
            <x v="793"/>
            <x v="794"/>
            <x v="795"/>
            <x v="811"/>
            <x v="815"/>
            <x v="816"/>
            <x v="818"/>
            <x v="1043"/>
          </reference>
        </references>
      </pivotArea>
    </format>
    <format dxfId="514">
      <pivotArea outline="0" collapsedLevelsAreSubtotals="1" fieldPosition="0">
        <references count="4">
          <reference field="1" count="1" selected="0">
            <x v="3"/>
          </reference>
          <reference field="2" count="1" selected="0">
            <x v="28"/>
          </reference>
          <reference field="3" count="1" selected="0">
            <x v="21"/>
          </reference>
          <reference field="7" count="1" selected="0">
            <x v="781"/>
          </reference>
        </references>
      </pivotArea>
    </format>
    <format dxfId="513">
      <pivotArea outline="0" collapsedLevelsAreSubtotals="1" fieldPosition="0">
        <references count="4">
          <reference field="1" count="1" selected="0">
            <x v="3"/>
          </reference>
          <reference field="2" count="1" selected="0">
            <x v="28"/>
          </reference>
          <reference field="3" count="1" selected="0">
            <x v="21"/>
          </reference>
          <reference field="7" count="1" selected="0">
            <x v="776"/>
          </reference>
        </references>
      </pivotArea>
    </format>
    <format dxfId="512">
      <pivotArea outline="0" collapsedLevelsAreSubtotals="1" fieldPosition="0">
        <references count="4">
          <reference field="1" count="1" selected="0">
            <x v="3"/>
          </reference>
          <reference field="2" count="1" selected="0">
            <x v="60"/>
          </reference>
          <reference field="3" count="1" selected="0">
            <x v="46"/>
          </reference>
          <reference field="7" count="1" selected="0">
            <x v="115"/>
          </reference>
        </references>
      </pivotArea>
    </format>
    <format dxfId="511">
      <pivotArea outline="0" collapsedLevelsAreSubtotals="1" fieldPosition="0">
        <references count="4">
          <reference field="1" count="1" selected="0">
            <x v="6"/>
          </reference>
          <reference field="2" count="1" selected="0">
            <x v="28"/>
          </reference>
          <reference field="3" count="1" selected="0">
            <x v="21"/>
          </reference>
          <reference field="7" count="5" selected="0">
            <x v="815"/>
            <x v="816"/>
            <x v="818"/>
            <x v="1043"/>
            <x v="1119"/>
          </reference>
        </references>
      </pivotArea>
    </format>
    <format dxfId="510">
      <pivotArea outline="0" collapsedLevelsAreSubtotals="1" fieldPosition="0">
        <references count="4">
          <reference field="1" count="1" selected="0">
            <x v="7"/>
          </reference>
          <reference field="2" count="1" selected="0">
            <x v="28"/>
          </reference>
          <reference field="3" count="1" selected="0">
            <x v="21"/>
          </reference>
          <reference field="7" count="1" selected="0">
            <x v="818"/>
          </reference>
        </references>
      </pivotArea>
    </format>
    <format dxfId="509">
      <pivotArea field="1" grandRow="1" outline="0" collapsedLevelsAreSubtotals="1" axis="axisCol" fieldPosition="0">
        <references count="1">
          <reference field="1" count="1" selected="0">
            <x v="2"/>
          </reference>
        </references>
      </pivotArea>
    </format>
    <format dxfId="508">
      <pivotArea outline="0" collapsedLevelsAreSubtotals="1" fieldPosition="0">
        <references count="3">
          <reference field="1" count="0" selected="0"/>
          <reference field="2" count="1" selected="0">
            <x v="7"/>
          </reference>
          <reference field="3" count="1" selected="0" defaultSubtotal="1">
            <x v="10"/>
          </reference>
        </references>
      </pivotArea>
    </format>
    <format dxfId="507">
      <pivotArea field="7" grandCol="1" outline="0" collapsedLevelsAreSubtotals="1" axis="axisRow" fieldPosition="2">
        <references count="3">
          <reference field="2" count="1" selected="0">
            <x v="9"/>
          </reference>
          <reference field="3" count="1" selected="0">
            <x v="8"/>
          </reference>
          <reference field="7" count="1" selected="0">
            <x v="1009"/>
          </reference>
        </references>
      </pivotArea>
    </format>
    <format dxfId="506">
      <pivotArea field="7" grandCol="1" outline="0" collapsedLevelsAreSubtotals="1" axis="axisRow" fieldPosition="2">
        <references count="3">
          <reference field="2" count="1" selected="0">
            <x v="9"/>
          </reference>
          <reference field="3" count="1" selected="0">
            <x v="8"/>
          </reference>
          <reference field="7" count="1" selected="0">
            <x v="859"/>
          </reference>
        </references>
      </pivotArea>
    </format>
    <format dxfId="505">
      <pivotArea field="7" grandCol="1" outline="0" collapsedLevelsAreSubtotals="1" axis="axisRow" fieldPosition="2">
        <references count="3">
          <reference field="2" count="1" selected="0">
            <x v="9"/>
          </reference>
          <reference field="3" count="1" selected="0">
            <x v="8"/>
          </reference>
          <reference field="7" count="1" selected="0">
            <x v="895"/>
          </reference>
        </references>
      </pivotArea>
    </format>
    <format dxfId="504">
      <pivotArea outline="0" collapsedLevelsAreSubtotals="1" fieldPosition="0">
        <references count="4">
          <reference field="1" count="0" selected="0"/>
          <reference field="2" count="1" selected="0">
            <x v="9"/>
          </reference>
          <reference field="3" count="1" selected="0">
            <x v="8"/>
          </reference>
          <reference field="7" count="2" selected="0">
            <x v="859"/>
            <x v="895"/>
          </reference>
        </references>
      </pivotArea>
    </format>
    <format dxfId="503">
      <pivotArea dataOnly="0" labelOnly="1" outline="0" fieldPosition="0">
        <references count="3">
          <reference field="2" count="1" selected="0">
            <x v="9"/>
          </reference>
          <reference field="3" count="1" selected="0">
            <x v="8"/>
          </reference>
          <reference field="7" count="2">
            <x v="859"/>
            <x v="895"/>
          </reference>
        </references>
      </pivotArea>
    </format>
    <format dxfId="502">
      <pivotArea outline="0" collapsedLevelsAreSubtotals="1" fieldPosition="0">
        <references count="4">
          <reference field="1" count="0" selected="0"/>
          <reference field="2" count="1" selected="0">
            <x v="9"/>
          </reference>
          <reference field="3" count="1" selected="0">
            <x v="8"/>
          </reference>
          <reference field="7" count="1" selected="0">
            <x v="1009"/>
          </reference>
        </references>
      </pivotArea>
    </format>
    <format dxfId="501">
      <pivotArea dataOnly="0" labelOnly="1" outline="0" fieldPosition="0">
        <references count="3">
          <reference field="2" count="1" selected="0">
            <x v="9"/>
          </reference>
          <reference field="3" count="1" selected="0">
            <x v="8"/>
          </reference>
          <reference field="7" count="1">
            <x v="1009"/>
          </reference>
        </references>
      </pivotArea>
    </format>
    <format dxfId="500">
      <pivotArea grandRow="1" grandCol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TablaDinámica2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gridDropZones="1" multipleFieldFilters="0">
  <location ref="A3:O11" firstHeaderRow="1" firstDataRow="2" firstDataCol="2"/>
  <pivotFields count="9">
    <pivotField compact="0" outline="0" showAll="0"/>
    <pivotField axis="axisCol" compact="0" outline="0" showAll="0">
      <items count="15">
        <item x="0"/>
        <item x="2"/>
        <item x="3"/>
        <item x="4"/>
        <item x="1"/>
        <item x="5"/>
        <item x="6"/>
        <item x="7"/>
        <item x="8"/>
        <item x="9"/>
        <item m="1" x="13"/>
        <item x="10"/>
        <item x="11"/>
        <item x="12"/>
        <item t="default"/>
      </items>
    </pivotField>
    <pivotField axis="axisRow" compact="0" outline="0" showAll="0" sortType="ascending">
      <items count="78">
        <item h="1" x="53"/>
        <item h="1" x="0"/>
        <item h="1" x="1"/>
        <item h="1" x="51"/>
        <item h="1" x="2"/>
        <item h="1" x="3"/>
        <item h="1" x="46"/>
        <item h="1" m="1" x="71"/>
        <item h="1" x="6"/>
        <item h="1" x="7"/>
        <item h="1" x="8"/>
        <item h="1" x="11"/>
        <item h="1" x="12"/>
        <item x="13"/>
        <item h="1" m="1" x="57"/>
        <item h="1" x="14"/>
        <item h="1" x="15"/>
        <item h="1" x="16"/>
        <item h="1" x="17"/>
        <item h="1" x="52"/>
        <item h="1" x="18"/>
        <item h="1" m="1" x="63"/>
        <item x="19"/>
        <item x="20"/>
        <item h="1" m="1" x="60"/>
        <item h="1" x="50"/>
        <item h="1" x="48"/>
        <item h="1" x="54"/>
        <item h="1" x="21"/>
        <item h="1" x="22"/>
        <item h="1" x="4"/>
        <item h="1" x="29"/>
        <item h="1" x="27"/>
        <item h="1" x="5"/>
        <item h="1" x="44"/>
        <item h="1" x="45"/>
        <item h="1" m="1" x="76"/>
        <item h="1" x="25"/>
        <item h="1" m="1" x="67"/>
        <item h="1" x="9"/>
        <item h="1" x="10"/>
        <item h="1" m="1" x="58"/>
        <item h="1" x="26"/>
        <item h="1" m="1" x="68"/>
        <item h="1" m="1" x="62"/>
        <item h="1" m="1" x="72"/>
        <item h="1" m="1" x="59"/>
        <item h="1" x="41"/>
        <item h="1" x="42"/>
        <item h="1" x="32"/>
        <item h="1" x="33"/>
        <item h="1" x="34"/>
        <item h="1" x="35"/>
        <item h="1" x="36"/>
        <item h="1" x="37"/>
        <item h="1" m="1" x="65"/>
        <item h="1" m="1" x="70"/>
        <item h="1" x="40"/>
        <item h="1" x="38"/>
        <item h="1" x="24"/>
        <item h="1" x="39"/>
        <item h="1" x="30"/>
        <item h="1" x="43"/>
        <item h="1" x="31"/>
        <item h="1" x="28"/>
        <item h="1" m="1" x="64"/>
        <item h="1" x="55"/>
        <item h="1" m="1" x="61"/>
        <item h="1" m="1" x="75"/>
        <item h="1" x="49"/>
        <item h="1" m="1" x="74"/>
        <item h="1" x="47"/>
        <item h="1" m="1" x="66"/>
        <item h="1" m="1" x="69"/>
        <item h="1" x="56"/>
        <item h="1" m="1" x="73"/>
        <item h="1" x="23"/>
        <item t="default"/>
      </items>
    </pivotField>
    <pivotField axis="axisRow" compact="0" outline="0" showAll="0" defaultSubtotal="0">
      <items count="78">
        <item x="28"/>
        <item x="14"/>
        <item x="9"/>
        <item x="11"/>
        <item x="38"/>
        <item x="40"/>
        <item x="24"/>
        <item x="7"/>
        <item x="15"/>
        <item x="41"/>
        <item x="42"/>
        <item x="34"/>
        <item x="35"/>
        <item x="31"/>
        <item x="32"/>
        <item x="33"/>
        <item x="36"/>
        <item x="37"/>
        <item x="21"/>
        <item x="43"/>
        <item x="39"/>
        <item x="30"/>
        <item x="10"/>
        <item x="20"/>
        <item x="19"/>
        <item x="13"/>
        <item x="46"/>
        <item x="2"/>
        <item x="0"/>
        <item x="1"/>
        <item x="4"/>
        <item x="26"/>
        <item x="3"/>
        <item x="47"/>
        <item x="8"/>
        <item x="44"/>
        <item x="45"/>
        <item m="1" x="76"/>
        <item x="29"/>
        <item x="5"/>
        <item x="6"/>
        <item x="48"/>
        <item x="12"/>
        <item x="16"/>
        <item x="22"/>
        <item x="17"/>
        <item x="18"/>
        <item x="23"/>
        <item m="1" x="62"/>
        <item m="1" x="58"/>
        <item m="1" x="64"/>
        <item m="1" x="74"/>
        <item m="1" x="70"/>
        <item m="1" x="71"/>
        <item m="1" x="67"/>
        <item m="1" x="57"/>
        <item m="1" x="63"/>
        <item x="51"/>
        <item x="50"/>
        <item m="1" x="60"/>
        <item x="27"/>
        <item x="25"/>
        <item x="53"/>
        <item x="52"/>
        <item m="1" x="77"/>
        <item m="1" x="61"/>
        <item x="49"/>
        <item m="1" x="69"/>
        <item m="1" x="59"/>
        <item m="1" x="75"/>
        <item m="1" x="73"/>
        <item m="1" x="68"/>
        <item m="1" x="65"/>
        <item m="1" x="72"/>
        <item m="1" x="66"/>
        <item x="55"/>
        <item x="54"/>
        <item x="56"/>
      </items>
    </pivotField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2"/>
    <field x="3"/>
  </rowFields>
  <rowItems count="7">
    <i>
      <x v="13"/>
      <x v="25"/>
    </i>
    <i t="default">
      <x v="13"/>
    </i>
    <i>
      <x v="22"/>
      <x v="24"/>
    </i>
    <i t="default">
      <x v="22"/>
    </i>
    <i>
      <x v="23"/>
      <x v="23"/>
    </i>
    <i t="default">
      <x v="23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1"/>
    </i>
    <i>
      <x v="12"/>
    </i>
    <i>
      <x v="13"/>
    </i>
    <i t="grand">
      <x/>
    </i>
  </colItems>
  <dataFields count="1">
    <dataField name="Suma de Monto" fld="4" baseField="3" baseItem="27" numFmtId="38"/>
  </dataFields>
  <formats count="3">
    <format dxfId="432">
      <pivotArea outline="0" fieldPosition="0">
        <references count="2">
          <reference field="1" count="1" selected="0">
            <x v="0"/>
          </reference>
          <reference field="2" count="1" selected="0" defaultSubtotal="1">
            <x v="31"/>
          </reference>
        </references>
      </pivotArea>
    </format>
    <format dxfId="431">
      <pivotArea outline="0" fieldPosition="0">
        <references count="2">
          <reference field="1" count="1" selected="0">
            <x v="0"/>
          </reference>
          <reference field="2" count="1" selected="0" defaultSubtotal="1">
            <x v="23"/>
          </reference>
        </references>
      </pivotArea>
    </format>
    <format dxfId="430">
      <pivotArea outline="0" fieldPosition="0">
        <references count="2">
          <reference field="1" count="0" selected="0"/>
          <reference field="2" count="1" selected="0" defaultSubtotal="1">
            <x v="2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200-000000000000}" name="TablaDinámica2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gridDropZones="1" multipleFieldFilters="0">
  <location ref="A3:E156" firstHeaderRow="1" firstDataRow="2" firstDataCol="3"/>
  <pivotFields count="9">
    <pivotField compact="0" outline="0" showAll="0"/>
    <pivotField axis="axisCol" compact="0" outline="0" showAll="0">
      <items count="15">
        <item h="1" x="0"/>
        <item h="1" x="2"/>
        <item h="1" x="3"/>
        <item h="1" x="4"/>
        <item h="1" x="1"/>
        <item h="1" x="5"/>
        <item h="1" x="6"/>
        <item h="1" x="7"/>
        <item h="1" x="8"/>
        <item h="1" x="9"/>
        <item h="1" m="1" x="13"/>
        <item h="1" x="10"/>
        <item h="1" x="11"/>
        <item x="12"/>
        <item t="default"/>
      </items>
    </pivotField>
    <pivotField axis="axisRow" compact="0" outline="0" showAll="0" sortType="ascending" defaultSubtotal="0">
      <items count="77">
        <item h="1" x="53"/>
        <item h="1" x="0"/>
        <item h="1" x="1"/>
        <item h="1" x="51"/>
        <item h="1" x="2"/>
        <item h="1" x="3"/>
        <item h="1" x="46"/>
        <item h="1" m="1" x="71"/>
        <item h="1" x="6"/>
        <item h="1" x="7"/>
        <item h="1" x="8"/>
        <item h="1" x="11"/>
        <item h="1" x="12"/>
        <item h="1" x="13"/>
        <item h="1" m="1" x="57"/>
        <item h="1" x="14"/>
        <item h="1" x="15"/>
        <item h="1" x="16"/>
        <item h="1" x="17"/>
        <item h="1" x="52"/>
        <item h="1" x="18"/>
        <item h="1" m="1" x="63"/>
        <item h="1" x="19"/>
        <item h="1" x="20"/>
        <item h="1" m="1" x="60"/>
        <item h="1" x="50"/>
        <item h="1" x="48"/>
        <item h="1" x="54"/>
        <item h="1" x="21"/>
        <item h="1" x="22"/>
        <item x="4"/>
        <item x="29"/>
        <item x="27"/>
        <item x="5"/>
        <item h="1" x="44"/>
        <item h="1" x="45"/>
        <item h="1" m="1" x="76"/>
        <item x="25"/>
        <item h="1" m="1" x="67"/>
        <item h="1" x="9"/>
        <item h="1" x="10"/>
        <item h="1" m="1" x="58"/>
        <item x="26"/>
        <item h="1" m="1" x="68"/>
        <item h="1" m="1" x="62"/>
        <item h="1" m="1" x="72"/>
        <item h="1" m="1" x="59"/>
        <item h="1" x="41"/>
        <item h="1" x="42"/>
        <item h="1" x="32"/>
        <item h="1" x="33"/>
        <item h="1" x="34"/>
        <item h="1" x="35"/>
        <item h="1" x="36"/>
        <item h="1" x="37"/>
        <item h="1" m="1" x="65"/>
        <item h="1" m="1" x="70"/>
        <item h="1" x="40"/>
        <item h="1" x="38"/>
        <item h="1" x="24"/>
        <item h="1" x="39"/>
        <item h="1" x="30"/>
        <item h="1" x="43"/>
        <item h="1" x="31"/>
        <item h="1" x="28"/>
        <item h="1" m="1" x="64"/>
        <item h="1" x="55"/>
        <item h="1" m="1" x="61"/>
        <item h="1" m="1" x="75"/>
        <item h="1" x="49"/>
        <item h="1" m="1" x="74"/>
        <item h="1" x="47"/>
        <item h="1" m="1" x="66"/>
        <item h="1" m="1" x="69"/>
        <item h="1" x="56"/>
        <item h="1" m="1" x="73"/>
        <item h="1" x="23"/>
      </items>
    </pivotField>
    <pivotField axis="axisRow" compact="0" outline="0" showAll="0">
      <items count="79">
        <item x="28"/>
        <item x="14"/>
        <item x="9"/>
        <item x="11"/>
        <item x="38"/>
        <item x="40"/>
        <item x="24"/>
        <item x="7"/>
        <item x="15"/>
        <item x="41"/>
        <item x="42"/>
        <item x="34"/>
        <item x="35"/>
        <item x="31"/>
        <item x="32"/>
        <item x="33"/>
        <item x="36"/>
        <item x="37"/>
        <item x="21"/>
        <item x="43"/>
        <item x="39"/>
        <item x="30"/>
        <item x="10"/>
        <item x="20"/>
        <item x="19"/>
        <item x="13"/>
        <item x="46"/>
        <item x="2"/>
        <item x="0"/>
        <item x="1"/>
        <item x="4"/>
        <item x="26"/>
        <item x="3"/>
        <item x="47"/>
        <item x="8"/>
        <item x="44"/>
        <item x="45"/>
        <item m="1" x="76"/>
        <item x="29"/>
        <item x="5"/>
        <item x="6"/>
        <item x="48"/>
        <item x="12"/>
        <item x="16"/>
        <item x="22"/>
        <item x="17"/>
        <item x="18"/>
        <item x="23"/>
        <item m="1" x="62"/>
        <item m="1" x="58"/>
        <item m="1" x="64"/>
        <item m="1" x="74"/>
        <item m="1" x="70"/>
        <item m="1" x="71"/>
        <item m="1" x="67"/>
        <item m="1" x="57"/>
        <item m="1" x="63"/>
        <item x="51"/>
        <item x="50"/>
        <item m="1" x="60"/>
        <item x="27"/>
        <item x="25"/>
        <item x="53"/>
        <item x="52"/>
        <item m="1" x="77"/>
        <item m="1" x="61"/>
        <item x="49"/>
        <item m="1" x="69"/>
        <item m="1" x="59"/>
        <item m="1" x="75"/>
        <item m="1" x="73"/>
        <item m="1" x="68"/>
        <item m="1" x="65"/>
        <item m="1" x="72"/>
        <item m="1" x="66"/>
        <item x="55"/>
        <item x="54"/>
        <item x="56"/>
        <item t="default"/>
      </items>
    </pivotField>
    <pivotField dataField="1" compact="0" outline="0" showAll="0"/>
    <pivotField compact="0" outline="0" showAll="0"/>
    <pivotField compact="0" outline="0" showAll="0"/>
    <pivotField axis="axisRow" compact="0" outline="0" showAll="0" sortType="ascending">
      <items count="742">
        <item x="30"/>
        <item x="284"/>
        <item x="74"/>
        <item x="209"/>
        <item x="285"/>
        <item x="477"/>
        <item x="184"/>
        <item x="379"/>
        <item x="536"/>
        <item x="255"/>
        <item x="516"/>
        <item x="439"/>
        <item x="311"/>
        <item x="389"/>
        <item x="648"/>
        <item x="639"/>
        <item x="598"/>
        <item x="530"/>
        <item x="387"/>
        <item x="569"/>
        <item x="487"/>
        <item x="36"/>
        <item x="80"/>
        <item x="449"/>
        <item x="555"/>
        <item x="49"/>
        <item x="89"/>
        <item x="44"/>
        <item x="88"/>
        <item x="341"/>
        <item x="489"/>
        <item x="627"/>
        <item x="287"/>
        <item x="738"/>
        <item x="739"/>
        <item x="90"/>
        <item x="603"/>
        <item x="475"/>
        <item x="93"/>
        <item x="709"/>
        <item x="37"/>
        <item x="263"/>
        <item x="186"/>
        <item x="685"/>
        <item x="470"/>
        <item x="183"/>
        <item x="465"/>
        <item x="541"/>
        <item x="492"/>
        <item x="540"/>
        <item x="362"/>
        <item x="41"/>
        <item x="505"/>
        <item x="216"/>
        <item x="726"/>
        <item x="31"/>
        <item x="142"/>
        <item x="270"/>
        <item x="605"/>
        <item x="634"/>
        <item x="478"/>
        <item x="334"/>
        <item x="368"/>
        <item x="272"/>
        <item x="224"/>
        <item x="211"/>
        <item x="3"/>
        <item x="100"/>
        <item x="6"/>
        <item x="342"/>
        <item x="696"/>
        <item x="706"/>
        <item x="652"/>
        <item x="653"/>
        <item x="234"/>
        <item x="235"/>
        <item x="390"/>
        <item x="391"/>
        <item x="574"/>
        <item x="575"/>
        <item x="152"/>
        <item x="153"/>
        <item x="538"/>
        <item x="539"/>
        <item x="490"/>
        <item x="491"/>
        <item x="336"/>
        <item x="337"/>
        <item x="436"/>
        <item x="437"/>
        <item x="714"/>
        <item x="715"/>
        <item x="655"/>
        <item x="656"/>
        <item x="615"/>
        <item x="616"/>
        <item x="274"/>
        <item x="275"/>
        <item x="283"/>
        <item x="0"/>
        <item x="210"/>
        <item x="326"/>
        <item x="633"/>
        <item x="654"/>
        <item x="707"/>
        <item x="327"/>
        <item x="392"/>
        <item x="427"/>
        <item x="495"/>
        <item x="577"/>
        <item x="567"/>
        <item x="528"/>
        <item x="382"/>
        <item x="428"/>
        <item x="481"/>
        <item x="529"/>
        <item x="568"/>
        <item x="609"/>
        <item x="644"/>
        <item x="705"/>
        <item x="351"/>
        <item x="4"/>
        <item x="132"/>
        <item x="354"/>
        <item x="217"/>
        <item x="218"/>
        <item x="76"/>
        <item x="196"/>
        <item x="424"/>
        <item x="195"/>
        <item x="565"/>
        <item x="496"/>
        <item x="689"/>
        <item x="646"/>
        <item x="647"/>
        <item x="643"/>
        <item x="651"/>
        <item x="636"/>
        <item x="265"/>
        <item x="438"/>
        <item x="323"/>
        <item x="385"/>
        <item x="365"/>
        <item x="476"/>
        <item x="434"/>
        <item x="352"/>
        <item x="420"/>
        <item x="50"/>
        <item x="96"/>
        <item x="419"/>
        <item x="454"/>
        <item x="405"/>
        <item x="307"/>
        <item x="309"/>
        <item x="106"/>
        <item x="238"/>
        <item x="713"/>
        <item x="86"/>
        <item x="266"/>
        <item x="62"/>
        <item x="199"/>
        <item x="433"/>
        <item x="166"/>
        <item x="167"/>
        <item x="600"/>
        <item x="659"/>
        <item x="642"/>
        <item x="562"/>
        <item x="469"/>
        <item x="353"/>
        <item x="548"/>
        <item x="725"/>
        <item x="108"/>
        <item x="233"/>
        <item x="511"/>
        <item x="450"/>
        <item x="298"/>
        <item x="404"/>
        <item x="658"/>
        <item x="629"/>
        <item x="232"/>
        <item x="512"/>
        <item x="632"/>
        <item x="467"/>
        <item x="683"/>
        <item x="596"/>
        <item x="109"/>
        <item x="473"/>
        <item x="493"/>
        <item x="517"/>
        <item x="533"/>
        <item x="366"/>
        <item x="375"/>
        <item x="150"/>
        <item x="244"/>
        <item x="200"/>
        <item x="332"/>
        <item x="343"/>
        <item x="154"/>
        <item x="237"/>
        <item x="570"/>
        <item x="384"/>
        <item x="264"/>
        <item x="524"/>
        <item x="376"/>
        <item x="330"/>
        <item x="140"/>
        <item x="319"/>
        <item x="482"/>
        <item x="177"/>
        <item x="485"/>
        <item x="172"/>
        <item x="215"/>
        <item x="588"/>
        <item x="554"/>
        <item x="504"/>
        <item x="626"/>
        <item x="671"/>
        <item x="120"/>
        <item x="331"/>
        <item x="250"/>
        <item x="53"/>
        <item x="113"/>
        <item x="78"/>
        <item x="279"/>
        <item x="740"/>
        <item x="219"/>
        <item x="51"/>
        <item x="202"/>
        <item x="727"/>
        <item x="197"/>
        <item x="292"/>
        <item x="673"/>
        <item x="181"/>
        <item x="371"/>
        <item x="182"/>
        <item x="159"/>
        <item x="317"/>
        <item x="291"/>
        <item x="708"/>
        <item x="123"/>
        <item x="122"/>
        <item x="125"/>
        <item x="103"/>
        <item x="102"/>
        <item x="260"/>
        <item x="483"/>
        <item x="115"/>
        <item x="542"/>
        <item x="355"/>
        <item x="299"/>
        <item x="459"/>
        <item x="463"/>
        <item x="356"/>
        <item x="531"/>
        <item x="58"/>
        <item x="7"/>
        <item x="448"/>
        <item x="26"/>
        <item x="160"/>
        <item x="14"/>
        <item x="61"/>
        <item x="185"/>
        <item x="144"/>
        <item x="704"/>
        <item x="604"/>
        <item x="712"/>
        <item x="488"/>
        <item x="131"/>
        <item x="118"/>
        <item x="130"/>
        <item x="231"/>
        <item x="674"/>
        <item x="230"/>
        <item x="117"/>
        <item x="229"/>
        <item x="349"/>
        <item x="402"/>
        <item x="445"/>
        <item x="393"/>
        <item x="381"/>
        <item x="8"/>
        <item x="205"/>
        <item x="580"/>
        <item x="619"/>
        <item x="552"/>
        <item x="582"/>
        <item x="583"/>
        <item x="621"/>
        <item x="676"/>
        <item x="720"/>
        <item x="719"/>
        <item x="503"/>
        <item x="622"/>
        <item x="677"/>
        <item x="721"/>
        <item x="296"/>
        <item x="297"/>
        <item x="350"/>
        <item x="403"/>
        <item x="446"/>
        <item x="553"/>
        <item x="581"/>
        <item x="620"/>
        <item x="675"/>
        <item x="718"/>
        <item x="40"/>
        <item x="165"/>
        <item x="54"/>
        <item x="16"/>
        <item x="146"/>
        <item x="141"/>
        <item x="432"/>
        <item x="46"/>
        <item x="280"/>
        <item x="506"/>
        <item x="702"/>
        <item x="107"/>
        <item x="21"/>
        <item x="149"/>
        <item x="28"/>
        <item x="245"/>
        <item x="660"/>
        <item x="313"/>
        <item x="288"/>
        <item x="286"/>
        <item x="163"/>
        <item x="87"/>
        <item x="206"/>
        <item x="119"/>
        <item x="693"/>
        <item x="698"/>
        <item x="535"/>
        <item x="198"/>
        <item x="635"/>
        <item x="338"/>
        <item x="571"/>
        <item x="699"/>
        <item x="486"/>
        <item x="136"/>
        <item x="281"/>
        <item x="456"/>
        <item x="357"/>
        <item x="75"/>
        <item x="189"/>
        <item x="249"/>
        <item x="59"/>
        <item x="139"/>
        <item x="377"/>
        <item x="247"/>
        <item x="94"/>
        <item x="460"/>
        <item x="220"/>
        <item x="24"/>
        <item x="155"/>
        <item x="34"/>
        <item x="318"/>
        <item x="315"/>
        <item x="543"/>
        <item x="507"/>
        <item x="728"/>
        <item x="661"/>
        <item x="630"/>
        <item x="455"/>
        <item x="358"/>
        <item x="406"/>
        <item x="110"/>
        <item x="305"/>
        <item x="111"/>
        <item x="112"/>
        <item x="81"/>
        <item x="99"/>
        <item x="261"/>
        <item x="236"/>
        <item x="611"/>
        <item x="5"/>
        <item x="192"/>
        <item x="694"/>
        <item x="498"/>
        <item x="409"/>
        <item x="464"/>
        <item x="359"/>
        <item x="729"/>
        <item x="221"/>
        <item x="42"/>
        <item x="92"/>
        <item x="212"/>
        <item x="468"/>
        <item x="253"/>
        <item x="19"/>
        <item x="242"/>
        <item x="300"/>
        <item x="248"/>
        <item x="91"/>
        <item x="373"/>
        <item x="474"/>
        <item x="395"/>
        <item x="369"/>
        <item x="173"/>
        <item x="388"/>
        <item x="686"/>
        <item x="252"/>
        <item x="138"/>
        <item x="95"/>
        <item x="33"/>
        <item x="83"/>
        <item x="239"/>
        <item x="277"/>
        <item x="169"/>
        <item x="430"/>
        <item x="48"/>
        <item x="45"/>
        <item x="306"/>
        <item x="213"/>
        <item x="17"/>
        <item x="599"/>
        <item x="374"/>
        <item x="312"/>
        <item x="564"/>
        <item x="324"/>
        <item x="329"/>
        <item x="97"/>
        <item x="730"/>
        <item x="515"/>
        <item x="10"/>
        <item x="47"/>
        <item x="176"/>
        <item x="9"/>
        <item x="257"/>
        <item x="526"/>
        <item x="63"/>
        <item x="35"/>
        <item x="168"/>
        <item x="631"/>
        <item x="589"/>
        <item x="590"/>
        <item x="591"/>
        <item x="64"/>
        <item x="203"/>
        <item x="262"/>
        <item x="421"/>
        <item x="84"/>
        <item x="431"/>
        <item x="11"/>
        <item x="157"/>
        <item x="558"/>
        <item x="60"/>
        <item x="82"/>
        <item x="175"/>
        <item x="72"/>
        <item x="191"/>
        <item x="194"/>
        <item x="193"/>
        <item x="613"/>
        <item x="52"/>
        <item x="563"/>
        <item x="525"/>
        <item x="101"/>
        <item x="151"/>
        <item x="269"/>
        <item x="731"/>
        <item x="682"/>
        <item x="412"/>
        <item x="273"/>
        <item x="71"/>
        <item x="170"/>
        <item x="190"/>
        <item x="378"/>
        <item x="335"/>
        <item x="410"/>
        <item x="367"/>
        <item x="544"/>
        <item x="701"/>
        <item x="364"/>
        <item x="662"/>
        <item x="732"/>
        <item x="282"/>
        <item x="457"/>
        <item x="508"/>
        <item x="545"/>
        <item x="534"/>
        <item x="462"/>
        <item x="461"/>
        <item x="546"/>
        <item x="408"/>
        <item x="43"/>
        <item x="137"/>
        <item x="25"/>
        <item x="158"/>
        <item x="458"/>
        <item x="222"/>
        <item x="301"/>
        <item x="66"/>
        <item x="695"/>
        <item x="641"/>
        <item x="70"/>
        <item x="69"/>
        <item x="657"/>
        <item x="360"/>
        <item x="254"/>
        <item x="39"/>
        <item x="246"/>
        <item x="415"/>
        <item x="576"/>
        <item x="700"/>
        <item x="416"/>
        <item x="289"/>
        <item x="156"/>
        <item x="179"/>
        <item x="411"/>
        <item x="321"/>
        <item x="124"/>
        <item x="663"/>
        <item x="733"/>
        <item x="148"/>
        <item x="664"/>
        <item x="188"/>
        <item x="340"/>
        <item x="665"/>
        <item x="666"/>
        <item x="734"/>
        <item x="561"/>
        <item x="572"/>
        <item x="509"/>
        <item x="407"/>
        <item x="316"/>
        <item x="559"/>
        <item x="308"/>
        <item x="256"/>
        <item x="180"/>
        <item x="522"/>
        <item x="592"/>
        <item x="593"/>
        <item x="594"/>
        <item x="67"/>
        <item x="310"/>
        <item x="171"/>
        <item x="143"/>
        <item x="98"/>
        <item x="240"/>
        <item x="32"/>
        <item x="55"/>
        <item x="178"/>
        <item x="521"/>
        <item x="595"/>
        <item x="302"/>
        <item x="56"/>
        <item x="57"/>
        <item x="532"/>
        <item x="610"/>
        <item x="597"/>
        <item x="268"/>
        <item x="612"/>
        <item x="422"/>
        <item x="618"/>
        <item x="174"/>
        <item x="383"/>
        <item x="259"/>
        <item x="608"/>
        <item x="484"/>
        <item x="417"/>
        <item x="320"/>
        <item x="523"/>
        <item x="637"/>
        <item x="413"/>
        <item x="452"/>
        <item x="187"/>
        <item x="258"/>
        <item x="451"/>
        <item x="453"/>
        <item x="418"/>
        <item x="510"/>
        <item x="423"/>
        <item x="667"/>
        <item x="23"/>
        <item x="520"/>
        <item x="161"/>
        <item x="640"/>
        <item x="77"/>
        <item x="251"/>
        <item x="703"/>
        <item x="372"/>
        <item x="162"/>
        <item x="735"/>
        <item x="29"/>
        <item x="164"/>
        <item x="20"/>
        <item x="547"/>
        <item x="278"/>
        <item x="560"/>
        <item x="322"/>
        <item x="513"/>
        <item x="386"/>
        <item x="271"/>
        <item x="314"/>
        <item x="607"/>
        <item x="105"/>
        <item x="241"/>
        <item x="681"/>
        <item x="466"/>
        <item x="129"/>
        <item x="22"/>
        <item x="134"/>
        <item x="606"/>
        <item x="133"/>
        <item x="578"/>
        <item x="425"/>
        <item x="290"/>
        <item x="27"/>
        <item x="267"/>
        <item x="370"/>
        <item x="207"/>
        <item x="692"/>
        <item x="518"/>
        <item x="602"/>
        <item x="243"/>
        <item x="472"/>
        <item x="65"/>
        <item x="684"/>
        <item x="116"/>
        <item x="556"/>
        <item x="557"/>
        <item x="737"/>
        <item x="208"/>
        <item x="645"/>
        <item x="514"/>
        <item x="566"/>
        <item x="527"/>
        <item x="480"/>
        <item x="426"/>
        <item x="711"/>
        <item x="617"/>
        <item x="380"/>
        <item x="325"/>
        <item x="73"/>
        <item x="587"/>
        <item x="447"/>
        <item x="345"/>
        <item x="440"/>
        <item x="499"/>
        <item x="114"/>
        <item x="225"/>
        <item x="396"/>
        <item x="15"/>
        <item x="145"/>
        <item x="333"/>
        <item x="668"/>
        <item x="135"/>
        <item x="669"/>
        <item x="736"/>
        <item x="690"/>
        <item x="201"/>
        <item x="79"/>
        <item x="519"/>
        <item x="697"/>
        <item x="688"/>
        <item x="687"/>
        <item x="303"/>
        <item x="68"/>
        <item x="363"/>
        <item x="650"/>
        <item x="361"/>
        <item x="223"/>
        <item x="18"/>
        <item x="497"/>
        <item x="471"/>
        <item x="147"/>
        <item x="691"/>
        <item x="479"/>
        <item x="414"/>
        <item x="38"/>
        <item x="670"/>
        <item x="2"/>
        <item x="344"/>
        <item x="537"/>
        <item x="710"/>
        <item x="204"/>
        <item x="494"/>
        <item x="435"/>
        <item x="276"/>
        <item x="394"/>
        <item x="614"/>
        <item x="601"/>
        <item x="573"/>
        <item x="649"/>
        <item x="716"/>
        <item x="672"/>
        <item x="628"/>
        <item x="398"/>
        <item x="214"/>
        <item x="121"/>
        <item x="441"/>
        <item x="13"/>
        <item x="104"/>
        <item x="429"/>
        <item x="12"/>
        <item x="397"/>
        <item x="339"/>
        <item x="579"/>
        <item x="717"/>
        <item x="328"/>
        <item x="584"/>
        <item x="295"/>
        <item x="625"/>
        <item x="679"/>
        <item x="550"/>
        <item x="502"/>
        <item x="128"/>
        <item x="623"/>
        <item x="348"/>
        <item x="228"/>
        <item x="723"/>
        <item x="680"/>
        <item x="401"/>
        <item x="293"/>
        <item x="294"/>
        <item x="444"/>
        <item x="551"/>
        <item x="585"/>
        <item x="501"/>
        <item x="126"/>
        <item x="127"/>
        <item x="678"/>
        <item x="346"/>
        <item x="549"/>
        <item x="724"/>
        <item x="226"/>
        <item x="227"/>
        <item x="347"/>
        <item x="500"/>
        <item x="400"/>
        <item x="722"/>
        <item x="586"/>
        <item x="443"/>
        <item x="399"/>
        <item x="624"/>
        <item x="442"/>
        <item x="85"/>
        <item x="638"/>
        <item x="304"/>
        <item x="1"/>
        <item t="default"/>
      </items>
    </pivotField>
    <pivotField compact="0" outline="0" showAll="0"/>
  </pivotFields>
  <rowFields count="3">
    <field x="2"/>
    <field x="3"/>
    <field x="7"/>
  </rowFields>
  <rowItems count="152">
    <i>
      <x v="30"/>
      <x v="30"/>
      <x v="23"/>
    </i>
    <i r="2">
      <x v="617"/>
    </i>
    <i t="default" r="1">
      <x v="30"/>
    </i>
    <i>
      <x v="31"/>
      <x v="38"/>
      <x v="46"/>
    </i>
    <i r="2">
      <x v="171"/>
    </i>
    <i r="2">
      <x v="413"/>
    </i>
    <i r="2">
      <x v="516"/>
    </i>
    <i r="2">
      <x v="617"/>
    </i>
    <i t="default" r="1">
      <x v="38"/>
    </i>
    <i>
      <x v="32"/>
      <x v="60"/>
      <x v="156"/>
    </i>
    <i r="2">
      <x v="160"/>
    </i>
    <i r="2">
      <x v="171"/>
    </i>
    <i r="2">
      <x v="228"/>
    </i>
    <i r="2">
      <x v="263"/>
    </i>
    <i r="2">
      <x v="282"/>
    </i>
    <i r="2">
      <x v="319"/>
    </i>
    <i r="2">
      <x v="335"/>
    </i>
    <i r="2">
      <x v="354"/>
    </i>
    <i r="2">
      <x v="402"/>
    </i>
    <i r="2">
      <x v="406"/>
    </i>
    <i r="2">
      <x v="437"/>
    </i>
    <i r="2">
      <x v="438"/>
    </i>
    <i r="2">
      <x v="450"/>
    </i>
    <i r="2">
      <x v="479"/>
    </i>
    <i r="2">
      <x v="493"/>
    </i>
    <i r="2">
      <x v="579"/>
    </i>
    <i r="2">
      <x v="601"/>
    </i>
    <i t="default" r="1">
      <x v="60"/>
    </i>
    <i>
      <x v="33"/>
      <x v="39"/>
      <x v="14"/>
    </i>
    <i r="2">
      <x v="171"/>
    </i>
    <i t="default" r="1">
      <x v="39"/>
    </i>
    <i>
      <x v="37"/>
      <x v="61"/>
      <x v="23"/>
    </i>
    <i r="2">
      <x v="40"/>
    </i>
    <i r="2">
      <x v="42"/>
    </i>
    <i r="2">
      <x v="43"/>
    </i>
    <i r="2">
      <x v="56"/>
    </i>
    <i r="2">
      <x v="69"/>
    </i>
    <i r="2">
      <x v="122"/>
    </i>
    <i r="2">
      <x v="127"/>
    </i>
    <i r="2">
      <x v="129"/>
    </i>
    <i r="2">
      <x v="152"/>
    </i>
    <i r="2">
      <x v="158"/>
    </i>
    <i r="2">
      <x v="162"/>
    </i>
    <i r="2">
      <x v="164"/>
    </i>
    <i r="2">
      <x v="165"/>
    </i>
    <i r="2">
      <x v="171"/>
    </i>
    <i r="2">
      <x v="229"/>
    </i>
    <i r="2">
      <x v="252"/>
    </i>
    <i r="2">
      <x v="259"/>
    </i>
    <i r="2">
      <x v="262"/>
    </i>
    <i r="2">
      <x v="264"/>
    </i>
    <i r="2">
      <x v="307"/>
    </i>
    <i r="2">
      <x v="316"/>
    </i>
    <i r="2">
      <x v="326"/>
    </i>
    <i r="2">
      <x v="347"/>
    </i>
    <i r="2">
      <x v="352"/>
    </i>
    <i r="2">
      <x v="372"/>
    </i>
    <i r="2">
      <x v="373"/>
    </i>
    <i r="2">
      <x v="379"/>
    </i>
    <i r="2">
      <x v="382"/>
    </i>
    <i r="2">
      <x v="389"/>
    </i>
    <i r="2">
      <x v="400"/>
    </i>
    <i r="2">
      <x v="408"/>
    </i>
    <i r="2">
      <x v="414"/>
    </i>
    <i r="2">
      <x v="422"/>
    </i>
    <i r="2">
      <x v="426"/>
    </i>
    <i r="2">
      <x v="433"/>
    </i>
    <i r="2">
      <x v="442"/>
    </i>
    <i r="2">
      <x v="448"/>
    </i>
    <i r="2">
      <x v="451"/>
    </i>
    <i r="2">
      <x v="458"/>
    </i>
    <i r="2">
      <x v="460"/>
    </i>
    <i r="2">
      <x v="470"/>
    </i>
    <i r="2">
      <x v="472"/>
    </i>
    <i r="2">
      <x v="473"/>
    </i>
    <i r="2">
      <x v="475"/>
    </i>
    <i r="2">
      <x v="476"/>
    </i>
    <i r="2">
      <x v="491"/>
    </i>
    <i r="2">
      <x v="497"/>
    </i>
    <i r="2">
      <x v="502"/>
    </i>
    <i r="2">
      <x v="507"/>
    </i>
    <i r="2">
      <x v="508"/>
    </i>
    <i r="2">
      <x v="513"/>
    </i>
    <i r="2">
      <x v="514"/>
    </i>
    <i r="2">
      <x v="515"/>
    </i>
    <i r="2">
      <x v="518"/>
    </i>
    <i r="2">
      <x v="520"/>
    </i>
    <i r="2">
      <x v="525"/>
    </i>
    <i r="2">
      <x v="528"/>
    </i>
    <i r="2">
      <x v="535"/>
    </i>
    <i r="2">
      <x v="537"/>
    </i>
    <i r="2">
      <x v="542"/>
    </i>
    <i r="2">
      <x v="555"/>
    </i>
    <i r="2">
      <x v="573"/>
    </i>
    <i r="2">
      <x v="580"/>
    </i>
    <i r="2">
      <x v="581"/>
    </i>
    <i r="2">
      <x v="604"/>
    </i>
    <i r="2">
      <x v="612"/>
    </i>
    <i r="2">
      <x v="625"/>
    </i>
    <i r="2">
      <x v="644"/>
    </i>
    <i r="2">
      <x v="646"/>
    </i>
    <i r="2">
      <x v="649"/>
    </i>
    <i r="2">
      <x v="651"/>
    </i>
    <i r="2">
      <x v="659"/>
    </i>
    <i r="2">
      <x v="664"/>
    </i>
    <i r="2">
      <x v="667"/>
    </i>
    <i r="2">
      <x v="670"/>
    </i>
    <i r="2">
      <x v="737"/>
    </i>
    <i r="2">
      <x v="738"/>
    </i>
    <i r="2">
      <x v="739"/>
    </i>
    <i t="default" r="1">
      <x v="61"/>
    </i>
    <i>
      <x v="42"/>
      <x v="31"/>
      <x v="39"/>
    </i>
    <i r="2">
      <x v="54"/>
    </i>
    <i r="2">
      <x v="59"/>
    </i>
    <i r="2">
      <x v="146"/>
    </i>
    <i r="2">
      <x v="153"/>
    </i>
    <i r="2">
      <x v="239"/>
    </i>
    <i r="2">
      <x v="250"/>
    </i>
    <i r="2">
      <x v="266"/>
    </i>
    <i r="2">
      <x v="328"/>
    </i>
    <i r="2">
      <x v="331"/>
    </i>
    <i r="2">
      <x v="337"/>
    </i>
    <i r="2">
      <x v="342"/>
    </i>
    <i r="2">
      <x v="365"/>
    </i>
    <i r="2">
      <x v="376"/>
    </i>
    <i r="2">
      <x v="377"/>
    </i>
    <i r="2">
      <x v="390"/>
    </i>
    <i r="2">
      <x v="412"/>
    </i>
    <i r="2">
      <x v="415"/>
    </i>
    <i r="2">
      <x v="416"/>
    </i>
    <i r="2">
      <x v="423"/>
    </i>
    <i r="2">
      <x v="432"/>
    </i>
    <i r="2">
      <x v="452"/>
    </i>
    <i r="2">
      <x v="465"/>
    </i>
    <i r="2">
      <x v="486"/>
    </i>
    <i r="2">
      <x v="504"/>
    </i>
    <i r="2">
      <x v="506"/>
    </i>
    <i r="2">
      <x v="539"/>
    </i>
    <i r="2">
      <x v="558"/>
    </i>
    <i r="2">
      <x v="576"/>
    </i>
    <i r="2">
      <x v="583"/>
    </i>
    <i r="2">
      <x v="585"/>
    </i>
    <i r="2">
      <x v="597"/>
    </i>
    <i r="2">
      <x v="602"/>
    </i>
    <i r="2">
      <x v="613"/>
    </i>
    <i r="2">
      <x v="645"/>
    </i>
    <i r="2">
      <x v="647"/>
    </i>
    <i r="2">
      <x v="650"/>
    </i>
    <i r="2">
      <x v="666"/>
    </i>
    <i r="2">
      <x v="675"/>
    </i>
    <i t="default" r="1">
      <x v="31"/>
    </i>
    <i t="grand">
      <x/>
    </i>
  </rowItems>
  <colFields count="1">
    <field x="1"/>
  </colFields>
  <colItems count="2">
    <i>
      <x v="13"/>
    </i>
    <i t="grand">
      <x/>
    </i>
  </colItems>
  <dataFields count="1">
    <dataField name="Suma de Monto" fld="4" baseField="3" baseItem="27" numFmtId="38"/>
  </dataFields>
  <formats count="60">
    <format dxfId="429">
      <pivotArea outline="0" fieldPosition="0">
        <references count="2">
          <reference field="1" count="1" selected="0">
            <x v="0"/>
          </reference>
          <reference field="2" count="1" selected="0" defaultSubtotal="1">
            <x v="31"/>
          </reference>
        </references>
      </pivotArea>
    </format>
    <format dxfId="428">
      <pivotArea field="3" grandCol="1" outline="0" collapsedLevelsAreSubtotals="1" axis="axisRow" fieldPosition="1">
        <references count="2">
          <reference field="2" count="1" selected="0">
            <x v="31"/>
          </reference>
          <reference field="3" count="1" selected="0" defaultSubtotal="1">
            <x v="38"/>
          </reference>
        </references>
      </pivotArea>
    </format>
    <format dxfId="427">
      <pivotArea field="3" grandCol="1" outline="0" collapsedLevelsAreSubtotals="1" axis="axisRow" fieldPosition="1">
        <references count="2">
          <reference field="2" count="1" selected="0">
            <x v="32"/>
          </reference>
          <reference field="3" count="1" selected="0" defaultSubtotal="1">
            <x v="60"/>
          </reference>
        </references>
      </pivotArea>
    </format>
    <format dxfId="426">
      <pivotArea outline="0" collapsedLevelsAreSubtotals="1" fieldPosition="0">
        <references count="3">
          <reference field="1" count="0" selected="0"/>
          <reference field="2" count="1" selected="0">
            <x v="31"/>
          </reference>
          <reference field="3" count="1" selected="0" defaultSubtotal="1">
            <x v="38"/>
          </reference>
        </references>
      </pivotArea>
    </format>
    <format dxfId="425">
      <pivotArea dataOnly="0" labelOnly="1" outline="0" fieldPosition="0">
        <references count="3">
          <reference field="2" count="1" selected="0">
            <x v="32"/>
          </reference>
          <reference field="3" count="1" selected="0">
            <x v="60"/>
          </reference>
          <reference field="7" count="1">
            <x v="46"/>
          </reference>
        </references>
      </pivotArea>
    </format>
    <format dxfId="424">
      <pivotArea outline="0" collapsedLevelsAreSubtotals="1" fieldPosition="0">
        <references count="4">
          <reference field="1" count="1" selected="0">
            <x v="7"/>
          </reference>
          <reference field="2" count="1" selected="0">
            <x v="30"/>
          </reference>
          <reference field="3" count="1" selected="0">
            <x v="30"/>
          </reference>
          <reference field="7" count="1" selected="0">
            <x v="616"/>
          </reference>
        </references>
      </pivotArea>
    </format>
    <format dxfId="423">
      <pivotArea outline="0" collapsedLevelsAreSubtotals="1" fieldPosition="0">
        <references count="4">
          <reference field="1" count="1" selected="0">
            <x v="7"/>
          </reference>
          <reference field="2" count="1" selected="0">
            <x v="30"/>
          </reference>
          <reference field="3" count="1" selected="0">
            <x v="30"/>
          </reference>
          <reference field="7" count="1" selected="0">
            <x v="183"/>
          </reference>
        </references>
      </pivotArea>
    </format>
    <format dxfId="422">
      <pivotArea outline="0" collapsedLevelsAreSubtotals="1" fieldPosition="0">
        <references count="4">
          <reference field="1" count="3" selected="0">
            <x v="0"/>
            <x v="1"/>
            <x v="2"/>
          </reference>
          <reference field="2" count="1" selected="0">
            <x v="30"/>
          </reference>
          <reference field="3" count="1" selected="0">
            <x v="30"/>
          </reference>
          <reference field="7" count="8" selected="0">
            <x v="0"/>
            <x v="45"/>
            <x v="99"/>
            <x v="180"/>
            <x v="181"/>
            <x v="183"/>
            <x v="186"/>
            <x v="615"/>
          </reference>
        </references>
      </pivotArea>
    </format>
    <format dxfId="421">
      <pivotArea outline="0" collapsedLevelsAreSubtotals="1" fieldPosition="0">
        <references count="4">
          <reference field="1" count="1" selected="0">
            <x v="5"/>
          </reference>
          <reference field="2" count="1" selected="0">
            <x v="30"/>
          </reference>
          <reference field="3" count="1" selected="0">
            <x v="30"/>
          </reference>
          <reference field="7" count="1" selected="0">
            <x v="615"/>
          </reference>
        </references>
      </pivotArea>
    </format>
    <format dxfId="420">
      <pivotArea outline="0" collapsedLevelsAreSubtotals="1" fieldPosition="0">
        <references count="3">
          <reference field="2" count="1" selected="0">
            <x v="30"/>
          </reference>
          <reference field="3" count="1" selected="0">
            <x v="30"/>
          </reference>
          <reference field="7" count="1" selected="0">
            <x v="181"/>
          </reference>
        </references>
      </pivotArea>
    </format>
    <format dxfId="419">
      <pivotArea dataOnly="0" labelOnly="1" outline="0" fieldPosition="0">
        <references count="3">
          <reference field="2" count="1" selected="0">
            <x v="30"/>
          </reference>
          <reference field="3" count="1" selected="0">
            <x v="30"/>
          </reference>
          <reference field="7" count="1">
            <x v="181"/>
          </reference>
        </references>
      </pivotArea>
    </format>
    <format dxfId="418">
      <pivotArea outline="0" collapsedLevelsAreSubtotals="1" fieldPosition="0">
        <references count="4">
          <reference field="1" count="1" selected="0">
            <x v="9"/>
          </reference>
          <reference field="2" count="1" selected="0">
            <x v="30"/>
          </reference>
          <reference field="3" count="1" selected="0">
            <x v="30"/>
          </reference>
          <reference field="7" count="1" selected="0">
            <x v="617"/>
          </reference>
        </references>
      </pivotArea>
    </format>
    <format dxfId="417">
      <pivotArea outline="0" collapsedLevelsAreSubtotals="1" fieldPosition="0">
        <references count="2">
          <reference field="2" count="1" selected="0">
            <x v="32"/>
          </reference>
          <reference field="3" count="1" selected="0" defaultSubtotal="1">
            <x v="60"/>
          </reference>
        </references>
      </pivotArea>
    </format>
    <format dxfId="416">
      <pivotArea outline="0" collapsedLevelsAreSubtotals="1" fieldPosition="0">
        <references count="4">
          <reference field="1" count="0" selected="0"/>
          <reference field="2" count="1" selected="0">
            <x v="31"/>
          </reference>
          <reference field="3" count="1" selected="0">
            <x v="38"/>
          </reference>
          <reference field="7" count="1" selected="0">
            <x v="516"/>
          </reference>
        </references>
      </pivotArea>
    </format>
    <format dxfId="415">
      <pivotArea outline="0" collapsedLevelsAreSubtotals="1" fieldPosition="0">
        <references count="4">
          <reference field="1" count="0" selected="0"/>
          <reference field="2" count="1" selected="0">
            <x v="31"/>
          </reference>
          <reference field="3" count="1" selected="0">
            <x v="38"/>
          </reference>
          <reference field="7" count="1" selected="0">
            <x v="46"/>
          </reference>
        </references>
      </pivotArea>
    </format>
    <format dxfId="414">
      <pivotArea outline="0" collapsedLevelsAreSubtotals="1" fieldPosition="0">
        <references count="4">
          <reference field="1" count="1" selected="0">
            <x v="9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170"/>
          </reference>
        </references>
      </pivotArea>
    </format>
    <format dxfId="413">
      <pivotArea outline="0" collapsedLevelsAreSubtotals="1" fieldPosition="0">
        <references count="4">
          <reference field="1" count="1" selected="0">
            <x v="11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16"/>
          </reference>
        </references>
      </pivotArea>
    </format>
    <format dxfId="412">
      <pivotArea outline="0" collapsedLevelsAreSubtotals="1" fieldPosition="0">
        <references count="4">
          <reference field="1" count="1" selected="0">
            <x v="8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170"/>
          </reference>
        </references>
      </pivotArea>
    </format>
    <format dxfId="411">
      <pivotArea outline="0" collapsedLevelsAreSubtotals="1" fieldPosition="0">
        <references count="4">
          <reference field="1" count="1" selected="0">
            <x v="8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8"/>
          </reference>
        </references>
      </pivotArea>
    </format>
    <format dxfId="410">
      <pivotArea outline="0" collapsedLevelsAreSubtotals="1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3" count="1" selected="0">
            <x v="39"/>
          </reference>
          <reference field="7" count="9" selected="0">
            <x v="25"/>
            <x v="26"/>
            <x v="29"/>
            <x v="30"/>
            <x v="32"/>
            <x v="99"/>
            <x v="169"/>
            <x v="170"/>
            <x v="172"/>
          </reference>
        </references>
      </pivotArea>
    </format>
    <format dxfId="409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173"/>
          </reference>
        </references>
      </pivotArea>
    </format>
    <format dxfId="408">
      <pivotArea outline="0" collapsedLevelsAreSubtotals="1" fieldPosition="0">
        <references count="4">
          <reference field="1" count="1" selected="0">
            <x v="2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9"/>
          </reference>
        </references>
      </pivotArea>
    </format>
    <format dxfId="407">
      <pivotArea outline="0" collapsedLevelsAreSubtotals="1" fieldPosition="0">
        <references count="4">
          <reference field="1" count="1" selected="0">
            <x v="2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32"/>
          </reference>
        </references>
      </pivotArea>
    </format>
    <format dxfId="406">
      <pivotArea outline="0" collapsedLevelsAreSubtotals="1" fieldPosition="0">
        <references count="4">
          <reference field="1" count="1" selected="0">
            <x v="2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176"/>
          </reference>
        </references>
      </pivotArea>
    </format>
    <format dxfId="405">
      <pivotArea outline="0" collapsedLevelsAreSubtotals="1" fieldPosition="0">
        <references count="4">
          <reference field="1" count="1" selected="0">
            <x v="3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169"/>
          </reference>
        </references>
      </pivotArea>
    </format>
    <format dxfId="404">
      <pivotArea outline="0" collapsedLevelsAreSubtotals="1" fieldPosition="0">
        <references count="4">
          <reference field="1" count="1" selected="0">
            <x v="3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29"/>
          </reference>
        </references>
      </pivotArea>
    </format>
    <format dxfId="403">
      <pivotArea outline="0" collapsedLevelsAreSubtotals="1" fieldPosition="0">
        <references count="4">
          <reference field="1" count="1" selected="0">
            <x v="5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13"/>
          </reference>
        </references>
      </pivotArea>
    </format>
    <format dxfId="402">
      <pivotArea outline="0" collapsedLevelsAreSubtotals="1" fieldPosition="0">
        <references count="4">
          <reference field="1" count="1" selected="0">
            <x v="5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177"/>
          </reference>
        </references>
      </pivotArea>
    </format>
    <format dxfId="401">
      <pivotArea outline="0" collapsedLevelsAreSubtotals="1" fieldPosition="0">
        <references count="4">
          <reference field="1" count="1" selected="0">
            <x v="6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175"/>
          </reference>
        </references>
      </pivotArea>
    </format>
    <format dxfId="400">
      <pivotArea outline="0" collapsedLevelsAreSubtotals="1" fieldPosition="0">
        <references count="4">
          <reference field="1" count="1" selected="0">
            <x v="6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11"/>
          </reference>
        </references>
      </pivotArea>
    </format>
    <format dxfId="399">
      <pivotArea outline="0" collapsedLevelsAreSubtotals="1" fieldPosition="0">
        <references count="4">
          <reference field="1" count="1" selected="0">
            <x v="7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30"/>
          </reference>
        </references>
      </pivotArea>
    </format>
    <format dxfId="398">
      <pivotArea outline="0" collapsedLevelsAreSubtotals="1" fieldPosition="0">
        <references count="4">
          <reference field="1" count="1" selected="0">
            <x v="7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174"/>
          </reference>
        </references>
      </pivotArea>
    </format>
    <format dxfId="397">
      <pivotArea outline="0" collapsedLevelsAreSubtotals="1" fieldPosition="0">
        <references count="4">
          <reference field="1" count="1" selected="0">
            <x v="8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10"/>
          </reference>
        </references>
      </pivotArea>
    </format>
    <format dxfId="396">
      <pivotArea outline="0" fieldPosition="0">
        <references count="3">
          <reference field="2" count="1" selected="0">
            <x v="37"/>
          </reference>
          <reference field="3" count="1" selected="0">
            <x v="61"/>
          </reference>
          <reference field="7" count="1" selected="0">
            <x v="668"/>
          </reference>
        </references>
      </pivotArea>
    </format>
    <format dxfId="395">
      <pivotArea dataOnly="0" labelOnly="1" outline="0" fieldPosition="0">
        <references count="3">
          <reference field="2" count="1" selected="0">
            <x v="37"/>
          </reference>
          <reference field="3" count="1" selected="0">
            <x v="61"/>
          </reference>
          <reference field="7" count="1">
            <x v="668"/>
          </reference>
        </references>
      </pivotArea>
    </format>
    <format dxfId="394">
      <pivotArea outline="0" fieldPosition="0">
        <references count="3">
          <reference field="2" count="1" selected="0">
            <x v="37"/>
          </reference>
          <reference field="3" count="1" selected="0">
            <x v="61"/>
          </reference>
          <reference field="7" count="1" selected="0">
            <x v="648"/>
          </reference>
        </references>
      </pivotArea>
    </format>
    <format dxfId="393">
      <pivotArea dataOnly="0" labelOnly="1" outline="0" fieldPosition="0">
        <references count="3">
          <reference field="2" count="1" selected="0">
            <x v="37"/>
          </reference>
          <reference field="3" count="1" selected="0">
            <x v="61"/>
          </reference>
          <reference field="7" count="1">
            <x v="648"/>
          </reference>
        </references>
      </pivotArea>
    </format>
    <format dxfId="392">
      <pivotArea outline="0" fieldPosition="0">
        <references count="3">
          <reference field="2" count="1" selected="0">
            <x v="37"/>
          </reference>
          <reference field="3" count="1" selected="0">
            <x v="61"/>
          </reference>
          <reference field="7" count="1" selected="0">
            <x v="573"/>
          </reference>
        </references>
      </pivotArea>
    </format>
    <format dxfId="391">
      <pivotArea dataOnly="0" labelOnly="1" outline="0" fieldPosition="0">
        <references count="3">
          <reference field="2" count="1" selected="0">
            <x v="37"/>
          </reference>
          <reference field="3" count="1" selected="0">
            <x v="61"/>
          </reference>
          <reference field="7" count="1">
            <x v="573"/>
          </reference>
        </references>
      </pivotArea>
    </format>
    <format dxfId="390">
      <pivotArea outline="0" fieldPosition="0">
        <references count="3">
          <reference field="2" count="1" selected="0">
            <x v="37"/>
          </reference>
          <reference field="3" count="1" selected="0">
            <x v="61"/>
          </reference>
          <reference field="7" count="3" selected="0">
            <x v="515"/>
            <x v="518"/>
            <x v="519"/>
          </reference>
        </references>
      </pivotArea>
    </format>
    <format dxfId="389">
      <pivotArea dataOnly="0" labelOnly="1" outline="0" fieldPosition="0">
        <references count="3">
          <reference field="2" count="1" selected="0">
            <x v="37"/>
          </reference>
          <reference field="3" count="1" selected="0">
            <x v="61"/>
          </reference>
          <reference field="7" count="3">
            <x v="515"/>
            <x v="518"/>
            <x v="519"/>
          </reference>
        </references>
      </pivotArea>
    </format>
    <format dxfId="388">
      <pivotArea outline="0" fieldPosition="0">
        <references count="3">
          <reference field="2" count="1" selected="0">
            <x v="37"/>
          </reference>
          <reference field="3" count="1" selected="0">
            <x v="61"/>
          </reference>
          <reference field="7" count="1" selected="0">
            <x v="512"/>
          </reference>
        </references>
      </pivotArea>
    </format>
    <format dxfId="387">
      <pivotArea dataOnly="0" labelOnly="1" outline="0" fieldPosition="0">
        <references count="3">
          <reference field="2" count="1" selected="0">
            <x v="37"/>
          </reference>
          <reference field="3" count="1" selected="0">
            <x v="61"/>
          </reference>
          <reference field="7" count="1">
            <x v="512"/>
          </reference>
        </references>
      </pivotArea>
    </format>
    <format dxfId="386">
      <pivotArea outline="0" fieldPosition="0">
        <references count="3">
          <reference field="2" count="1" selected="0">
            <x v="37"/>
          </reference>
          <reference field="3" count="1" selected="0">
            <x v="61"/>
          </reference>
          <reference field="7" count="1" selected="0">
            <x v="497"/>
          </reference>
        </references>
      </pivotArea>
    </format>
    <format dxfId="385">
      <pivotArea dataOnly="0" labelOnly="1" outline="0" fieldPosition="0">
        <references count="3">
          <reference field="2" count="1" selected="0">
            <x v="37"/>
          </reference>
          <reference field="3" count="1" selected="0">
            <x v="61"/>
          </reference>
          <reference field="7" count="1">
            <x v="497"/>
          </reference>
        </references>
      </pivotArea>
    </format>
    <format dxfId="384">
      <pivotArea outline="0" fieldPosition="0">
        <references count="3">
          <reference field="2" count="1" selected="0">
            <x v="37"/>
          </reference>
          <reference field="3" count="1" selected="0">
            <x v="61"/>
          </reference>
          <reference field="7" count="1" selected="0">
            <x v="474"/>
          </reference>
        </references>
      </pivotArea>
    </format>
    <format dxfId="383">
      <pivotArea dataOnly="0" labelOnly="1" outline="0" fieldPosition="0">
        <references count="3">
          <reference field="2" count="1" selected="0">
            <x v="37"/>
          </reference>
          <reference field="3" count="1" selected="0">
            <x v="61"/>
          </reference>
          <reference field="7" count="1">
            <x v="474"/>
          </reference>
        </references>
      </pivotArea>
    </format>
    <format dxfId="382">
      <pivotArea dataOnly="0" outline="0" fieldPosition="0">
        <references count="1">
          <reference field="7" count="1">
            <x v="165"/>
          </reference>
        </references>
      </pivotArea>
    </format>
    <format dxfId="381">
      <pivotArea outline="0" fieldPosition="0">
        <references count="4">
          <reference field="1" count="1" selected="0">
            <x v="9"/>
          </reference>
          <reference field="2" count="1" selected="0">
            <x v="30"/>
          </reference>
          <reference field="3" count="1" selected="0">
            <x v="30"/>
          </reference>
          <reference field="7" count="1" selected="0">
            <x v="185"/>
          </reference>
        </references>
      </pivotArea>
    </format>
    <format dxfId="380">
      <pivotArea outline="0" fieldPosition="0">
        <references count="4">
          <reference field="1" count="1" selected="0">
            <x v="11"/>
          </reference>
          <reference field="2" count="1" selected="0">
            <x v="30"/>
          </reference>
          <reference field="3" count="1" selected="0">
            <x v="30"/>
          </reference>
          <reference field="7" count="1" selected="0">
            <x v="614"/>
          </reference>
        </references>
      </pivotArea>
    </format>
    <format dxfId="379">
      <pivotArea outline="0" fieldPosition="0">
        <references count="4">
          <reference field="1" count="1" selected="0">
            <x v="11"/>
          </reference>
          <reference field="2" count="1" selected="0">
            <x v="30"/>
          </reference>
          <reference field="3" count="1" selected="0">
            <x v="30"/>
          </reference>
          <reference field="7" count="1" selected="0">
            <x v="182"/>
          </reference>
        </references>
      </pivotArea>
    </format>
    <format dxfId="378">
      <pivotArea outline="0" fieldPosition="0">
        <references count="4">
          <reference field="1" count="1" selected="0">
            <x v="12"/>
          </reference>
          <reference field="2" count="1" selected="0">
            <x v="30"/>
          </reference>
          <reference field="3" count="1" selected="0">
            <x v="30"/>
          </reference>
          <reference field="7" count="1" selected="0">
            <x v="137"/>
          </reference>
        </references>
      </pivotArea>
    </format>
    <format dxfId="377">
      <pivotArea outline="0" fieldPosition="0">
        <references count="4">
          <reference field="1" count="1" selected="0">
            <x v="12"/>
          </reference>
          <reference field="2" count="1" selected="0">
            <x v="30"/>
          </reference>
          <reference field="3" count="1" selected="0">
            <x v="30"/>
          </reference>
          <reference field="7" count="1" selected="0">
            <x v="184"/>
          </reference>
        </references>
      </pivotArea>
    </format>
    <format dxfId="376">
      <pivotArea outline="0" fieldPosition="0">
        <references count="4">
          <reference field="1" count="1" selected="0">
            <x v="13"/>
          </reference>
          <reference field="2" count="1" selected="0">
            <x v="30"/>
          </reference>
          <reference field="3" count="1" selected="0">
            <x v="30"/>
          </reference>
          <reference field="7" count="1" selected="0">
            <x v="617"/>
          </reference>
        </references>
      </pivotArea>
    </format>
    <format dxfId="375">
      <pivotArea outline="0" fieldPosition="0">
        <references count="4">
          <reference field="1" count="1" selected="0">
            <x v="12"/>
          </reference>
          <reference field="2" count="1" selected="0">
            <x v="30"/>
          </reference>
          <reference field="3" count="1" selected="0">
            <x v="30"/>
          </reference>
          <reference field="7" count="1" selected="0">
            <x v="461"/>
          </reference>
        </references>
      </pivotArea>
    </format>
    <format dxfId="374">
      <pivotArea outline="0" fieldPosition="0">
        <references count="4">
          <reference field="1" count="1" selected="0">
            <x v="13"/>
          </reference>
          <reference field="2" count="1" selected="0">
            <x v="30"/>
          </reference>
          <reference field="3" count="1" selected="0">
            <x v="30"/>
          </reference>
          <reference field="7" count="1" selected="0">
            <x v="458"/>
          </reference>
        </references>
      </pivotArea>
    </format>
    <format dxfId="373">
      <pivotArea outline="0" fieldPosition="0">
        <references count="4">
          <reference field="1" count="1" selected="0">
            <x v="12"/>
          </reference>
          <reference field="2" count="1" selected="0">
            <x v="30"/>
          </reference>
          <reference field="3" count="1" selected="0">
            <x v="30"/>
          </reference>
          <reference field="7" count="1" selected="0">
            <x v="461"/>
          </reference>
        </references>
      </pivotArea>
    </format>
    <format dxfId="372">
      <pivotArea outline="0" fieldPosition="0">
        <references count="4">
          <reference field="1" count="1" selected="0">
            <x v="13"/>
          </reference>
          <reference field="2" count="1" selected="0">
            <x v="30"/>
          </reference>
          <reference field="3" count="1" selected="0">
            <x v="30"/>
          </reference>
          <reference field="7" count="1" selected="0">
            <x v="23"/>
          </reference>
        </references>
      </pivotArea>
    </format>
    <format dxfId="371">
      <pivotArea outline="0" fieldPosition="0">
        <references count="4">
          <reference field="1" count="1" selected="0">
            <x v="11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179"/>
          </reference>
        </references>
      </pivotArea>
    </format>
    <format dxfId="370">
      <pivotArea outline="0" fieldPosition="0">
        <references count="4">
          <reference field="1" count="1" selected="0">
            <x v="12"/>
          </reference>
          <reference field="2" count="1" selected="0">
            <x v="33"/>
          </reference>
          <reference field="3" count="1" selected="0">
            <x v="39"/>
          </reference>
          <reference field="7" count="1" selected="0">
            <x v="1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gridDropZones="1" multipleFieldFilters="0" colHeaderCaption="Mes">
  <location ref="A4:N20" firstHeaderRow="1" firstDataRow="2" firstDataCol="3"/>
  <pivotFields count="16">
    <pivotField compact="0" outline="0" showAll="0"/>
    <pivotField axis="axisCol" compact="0" outline="0" showAll="0">
      <items count="14">
        <item x="0"/>
        <item x="2"/>
        <item x="3"/>
        <item x="4"/>
        <item x="1"/>
        <item x="5"/>
        <item x="6"/>
        <item x="7"/>
        <item x="8"/>
        <item x="9"/>
        <item x="10"/>
        <item x="11"/>
        <item x="12"/>
        <item t="default"/>
      </items>
    </pivotField>
    <pivotField axis="axisRow" compact="0" outline="0" multipleItemSelectionAllowed="1" showAll="0" sortType="ascending" defaultSubtotal="0">
      <items count="65">
        <item h="1" x="0"/>
        <item h="1" x="1"/>
        <item h="1" x="2"/>
        <item h="1" x="3"/>
        <item h="1" x="4"/>
        <item h="1" x="5"/>
        <item h="1" m="1" x="61"/>
        <item h="1" x="16"/>
        <item h="1" x="17"/>
        <item h="1" x="6"/>
        <item h="1" m="1" x="64"/>
        <item h="1" x="7"/>
        <item h="1" x="8"/>
        <item h="1" x="9"/>
        <item h="1" x="10"/>
        <item h="1" x="11"/>
        <item h="1" x="50"/>
        <item h="1" x="12"/>
        <item h="1" x="59"/>
        <item h="1" x="13"/>
        <item h="1" x="14"/>
        <item h="1" x="15"/>
        <item h="1" x="19"/>
        <item h="1" x="41"/>
        <item h="1" m="1" x="62"/>
        <item h="1" x="30"/>
        <item h="1" x="20"/>
        <item h="1" x="24"/>
        <item h="1" x="42"/>
        <item h="1" x="21"/>
        <item h="1" x="55"/>
        <item h="1" x="45"/>
        <item h="1" x="43"/>
        <item h="1" m="1" x="63"/>
        <item h="1" x="54"/>
        <item h="1" x="28"/>
        <item h="1" x="32"/>
        <item h="1" x="36"/>
        <item h="1" x="25"/>
        <item h="1" x="22"/>
        <item h="1" x="38"/>
        <item h="1" x="27"/>
        <item h="1" x="26"/>
        <item h="1" x="29"/>
        <item h="1" x="31"/>
        <item h="1" x="40"/>
        <item h="1" x="53"/>
        <item h="1" x="47"/>
        <item h="1" x="46"/>
        <item h="1" x="57"/>
        <item h="1" x="39"/>
        <item h="1" x="52"/>
        <item h="1" x="33"/>
        <item x="35"/>
        <item h="1" m="1" x="60"/>
        <item h="1" x="34"/>
        <item h="1" x="51"/>
        <item h="1" x="58"/>
        <item h="1" x="56"/>
        <item h="1" x="23"/>
        <item h="1" x="44"/>
        <item h="1" x="48"/>
        <item h="1" x="37"/>
        <item h="1" x="49"/>
        <item h="1" x="18"/>
      </items>
    </pivotField>
    <pivotField axis="axisRow" compact="0" outline="0" showAll="0" defaultSubtotal="0">
      <items count="62">
        <item sd="0" x="13"/>
        <item sd="0" x="29"/>
        <item sd="0" x="25"/>
        <item sd="0" x="35"/>
        <item x="24"/>
        <item sd="0" x="14"/>
        <item x="19"/>
        <item sd="0" x="10"/>
        <item sd="0" x="6"/>
        <item sd="0" x="17"/>
        <item sd="0" x="16"/>
        <item sd="0" x="0"/>
        <item sd="0" x="22"/>
        <item sd="0" x="2"/>
        <item sd="0" x="1"/>
        <item sd="0" x="7"/>
        <item sd="0" x="3"/>
        <item sd="0" x="26"/>
        <item sd="0" x="8"/>
        <item x="30"/>
        <item x="20"/>
        <item x="23"/>
        <item sd="0" x="34"/>
        <item x="21"/>
        <item sd="0" x="4"/>
        <item sd="0" x="5"/>
        <item x="12"/>
        <item sd="0" x="15"/>
        <item x="9"/>
        <item sd="0" x="31"/>
        <item sd="0" x="36"/>
        <item sd="0" x="41"/>
        <item sd="0" x="11"/>
        <item sd="0" x="27"/>
        <item sd="0" x="18"/>
        <item sd="0" x="37"/>
        <item x="38"/>
        <item sd="0" x="39"/>
        <item sd="0" x="40"/>
        <item sd="0" x="51"/>
        <item sd="0" x="28"/>
        <item sd="0" x="32"/>
        <item sd="0" x="43"/>
        <item x="54"/>
        <item sd="0" x="45"/>
        <item sd="0" x="46"/>
        <item x="42"/>
        <item x="33"/>
        <item m="1" x="58"/>
        <item sd="0" x="48"/>
        <item sd="0" x="49"/>
        <item sd="0" m="1" x="59"/>
        <item sd="0" x="50"/>
        <item sd="0" m="1" x="61"/>
        <item sd="0" x="47"/>
        <item x="52"/>
        <item x="53"/>
        <item m="1" x="57"/>
        <item x="44"/>
        <item x="55"/>
        <item m="1" x="60"/>
        <item x="56"/>
      </items>
    </pivotField>
    <pivotField dataField="1" compact="0" outline="0" showAll="0"/>
    <pivotField compact="0" outline="0" showAll="0"/>
    <pivotField compact="0" outline="0" showAll="0"/>
    <pivotField axis="axisRow" compact="0" outline="0" showAll="0" sortType="ascending">
      <items count="1128">
        <item x="1126"/>
        <item x="1091"/>
        <item x="57"/>
        <item x="192"/>
        <item x="1120"/>
        <item x="577"/>
        <item x="655"/>
        <item x="792"/>
        <item x="661"/>
        <item x="141"/>
        <item x="1046"/>
        <item x="1078"/>
        <item x="131"/>
        <item x="1096"/>
        <item x="884"/>
        <item x="38"/>
        <item x="10"/>
        <item x="298"/>
        <item x="330"/>
        <item x="22"/>
        <item x="108"/>
        <item x="579"/>
        <item x="195"/>
        <item x="456"/>
        <item x="895"/>
        <item x="862"/>
        <item x="802"/>
        <item x="0"/>
        <item x="1"/>
        <item x="2"/>
        <item x="3"/>
        <item x="67"/>
        <item x="923"/>
        <item x="556"/>
        <item x="270"/>
        <item x="690"/>
        <item x="746"/>
        <item x="679"/>
        <item x="722"/>
        <item x="625"/>
        <item x="866"/>
        <item x="993"/>
        <item x="999"/>
        <item x="814"/>
        <item x="1059"/>
        <item x="214"/>
        <item x="595"/>
        <item x="915"/>
        <item x="216"/>
        <item x="133"/>
        <item x="874"/>
        <item x="236"/>
        <item x="991"/>
        <item x="244"/>
        <item x="204"/>
        <item x="213"/>
        <item x="947"/>
        <item x="667"/>
        <item x="933"/>
        <item x="691"/>
        <item x="875"/>
        <item x="937"/>
        <item x="777"/>
        <item x="329"/>
        <item x="776"/>
        <item x="839"/>
        <item x="782"/>
        <item x="237"/>
        <item x="238"/>
        <item x="805"/>
        <item x="880"/>
        <item x="176"/>
        <item x="177"/>
        <item x="1012"/>
        <item x="1018"/>
        <item x="851"/>
        <item x="461"/>
        <item x="1033"/>
        <item x="837"/>
        <item x="458"/>
        <item x="783"/>
        <item x="1072"/>
        <item x="190"/>
        <item x="1017"/>
        <item x="463"/>
        <item x="499"/>
        <item x="239"/>
        <item x="205"/>
        <item x="494"/>
        <item x="707"/>
        <item x="833"/>
        <item x="210"/>
        <item x="879"/>
        <item x="178"/>
        <item x="215"/>
        <item x="652"/>
        <item x="688"/>
        <item x="780"/>
        <item x="681"/>
        <item x="680"/>
        <item x="781"/>
        <item x="878"/>
        <item x="924"/>
        <item x="820"/>
        <item x="869"/>
        <item x="472"/>
        <item x="987"/>
        <item x="1110"/>
        <item x="824"/>
        <item x="543"/>
        <item x="544"/>
        <item x="872"/>
        <item x="956"/>
        <item x="1116"/>
        <item x="1075"/>
        <item x="428"/>
        <item x="542"/>
        <item x="763"/>
        <item x="856"/>
        <item x="500"/>
        <item x="694"/>
        <item x="607"/>
        <item x="672"/>
        <item x="760"/>
        <item x="822"/>
        <item x="870"/>
        <item x="954"/>
        <item x="1073"/>
        <item x="673"/>
        <item x="762"/>
        <item x="741"/>
        <item x="342"/>
        <item x="77"/>
        <item x="82"/>
        <item x="37"/>
        <item x="65"/>
        <item x="66"/>
        <item x="169"/>
        <item x="221"/>
        <item x="222"/>
        <item x="45"/>
        <item x="1097"/>
        <item x="36"/>
        <item x="368"/>
        <item x="109"/>
        <item x="888"/>
        <item x="887"/>
        <item x="1111"/>
        <item x="1094"/>
        <item x="610"/>
        <item x="674"/>
        <item x="697"/>
        <item x="698"/>
        <item x="823"/>
        <item x="761"/>
        <item x="790"/>
        <item x="842"/>
        <item x="843"/>
        <item x="871"/>
        <item x="955"/>
        <item x="1008"/>
        <item x="1009"/>
        <item x="1074"/>
        <item x="1109"/>
        <item x="921"/>
        <item x="975"/>
        <item x="907"/>
        <item x="940"/>
        <item x="920"/>
        <item x="1043"/>
        <item x="1087"/>
        <item x="969"/>
        <item x="1071"/>
        <item x="1030"/>
        <item x="1081"/>
        <item x="965"/>
        <item x="1119"/>
        <item x="914"/>
        <item x="1083"/>
        <item x="1056"/>
        <item x="998"/>
        <item x="995"/>
        <item x="992"/>
        <item x="919"/>
        <item x="932"/>
        <item x="917"/>
        <item x="938"/>
        <item x="1022"/>
        <item x="968"/>
        <item x="905"/>
        <item x="1002"/>
        <item x="945"/>
        <item x="1019"/>
        <item x="1079"/>
        <item x="985"/>
        <item x="961"/>
        <item x="1001"/>
        <item x="1029"/>
        <item x="1031"/>
        <item x="1050"/>
        <item x="977"/>
        <item x="1038"/>
        <item x="903"/>
        <item x="996"/>
        <item x="916"/>
        <item x="976"/>
        <item x="984"/>
        <item x="948"/>
        <item x="910"/>
        <item x="1010"/>
        <item x="982"/>
        <item x="925"/>
        <item x="928"/>
        <item x="939"/>
        <item x="1021"/>
        <item x="1024"/>
        <item x="966"/>
        <item x="1045"/>
        <item x="1000"/>
        <item x="913"/>
        <item x="1086"/>
        <item x="1023"/>
        <item x="1027"/>
        <item x="912"/>
        <item x="1040"/>
        <item x="964"/>
        <item x="1057"/>
        <item x="936"/>
        <item x="918"/>
        <item x="904"/>
        <item x="906"/>
        <item x="902"/>
        <item x="1055"/>
        <item x="973"/>
        <item x="994"/>
        <item x="1044"/>
        <item x="926"/>
        <item x="1065"/>
        <item x="959"/>
        <item x="1011"/>
        <item x="944"/>
        <item x="978"/>
        <item x="979"/>
        <item x="1054"/>
        <item x="922"/>
        <item x="901"/>
        <item x="1058"/>
        <item x="934"/>
        <item x="980"/>
        <item x="1082"/>
        <item x="960"/>
        <item x="1016"/>
        <item x="941"/>
        <item x="983"/>
        <item x="989"/>
        <item x="1020"/>
        <item x="1037"/>
        <item x="967"/>
        <item x="974"/>
        <item x="997"/>
        <item x="909"/>
        <item x="971"/>
        <item x="970"/>
        <item x="943"/>
        <item x="1035"/>
        <item x="1034"/>
        <item x="1060"/>
        <item x="942"/>
        <item x="946"/>
        <item x="990"/>
        <item x="1013"/>
        <item x="1036"/>
        <item x="1042"/>
        <item x="1014"/>
        <item x="1028"/>
        <item x="1026"/>
        <item x="988"/>
        <item x="383"/>
        <item x="647"/>
        <item x="371"/>
        <item x="446"/>
        <item x="375"/>
        <item x="411"/>
        <item x="359"/>
        <item x="413"/>
        <item x="440"/>
        <item x="350"/>
        <item x="465"/>
        <item x="361"/>
        <item x="460"/>
        <item x="482"/>
        <item x="408"/>
        <item x="445"/>
        <item x="354"/>
        <item x="358"/>
        <item x="423"/>
        <item x="480"/>
        <item x="412"/>
        <item x="376"/>
        <item x="396"/>
        <item x="390"/>
        <item x="401"/>
        <item x="395"/>
        <item x="713"/>
        <item x="653"/>
        <item x="479"/>
        <item x="416"/>
        <item x="353"/>
        <item x="469"/>
        <item x="346"/>
        <item x="355"/>
        <item x="432"/>
        <item x="356"/>
        <item x="352"/>
        <item x="402"/>
        <item x="420"/>
        <item x="357"/>
        <item x="379"/>
        <item x="363"/>
        <item x="385"/>
        <item x="347"/>
        <item x="388"/>
        <item x="406"/>
        <item x="370"/>
        <item x="442"/>
        <item x="394"/>
        <item x="91"/>
        <item x="365"/>
        <item x="481"/>
        <item x="373"/>
        <item x="510"/>
        <item x="7"/>
        <item x="447"/>
        <item x="519"/>
        <item x="483"/>
        <item x="517"/>
        <item x="596"/>
        <item x="574"/>
        <item x="443"/>
        <item x="619"/>
        <item x="623"/>
        <item x="602"/>
        <item x="562"/>
        <item x="632"/>
        <item x="529"/>
        <item x="634"/>
        <item x="599"/>
        <item x="345"/>
        <item x="593"/>
        <item x="537"/>
        <item x="496"/>
        <item x="507"/>
        <item x="520"/>
        <item x="573"/>
        <item x="621"/>
        <item x="551"/>
        <item x="538"/>
        <item x="528"/>
        <item x="665"/>
        <item x="656"/>
        <item x="414"/>
        <item x="448"/>
        <item x="569"/>
        <item x="736"/>
        <item x="504"/>
        <item x="636"/>
        <item x="433"/>
        <item x="648"/>
        <item x="522"/>
        <item x="626"/>
        <item x="512"/>
        <item x="539"/>
        <item x="526"/>
        <item x="530"/>
        <item x="484"/>
        <item x="633"/>
        <item x="601"/>
        <item x="587"/>
        <item x="511"/>
        <item x="565"/>
        <item x="622"/>
        <item x="535"/>
        <item x="536"/>
        <item x="561"/>
        <item x="508"/>
        <item x="710"/>
        <item x="487"/>
        <item x="629"/>
        <item x="495"/>
        <item x="492"/>
        <item x="624"/>
        <item x="490"/>
        <item x="506"/>
        <item x="627"/>
        <item x="553"/>
        <item x="598"/>
        <item x="618"/>
        <item x="452"/>
        <item x="518"/>
        <item x="631"/>
        <item x="613"/>
        <item x="646"/>
        <item x="351"/>
        <item x="438"/>
        <item x="498"/>
        <item x="571"/>
        <item x="521"/>
        <item x="606"/>
        <item x="555"/>
        <item x="524"/>
        <item x="534"/>
        <item x="493"/>
        <item x="516"/>
        <item x="603"/>
        <item x="343"/>
        <item x="578"/>
        <item x="717"/>
        <item x="513"/>
        <item x="326"/>
        <item x="669"/>
        <item x="614"/>
        <item x="514"/>
        <item x="592"/>
        <item x="523"/>
        <item x="671"/>
        <item x="616"/>
        <item x="787"/>
        <item x="767"/>
        <item x="770"/>
        <item x="769"/>
        <item x="772"/>
        <item x="828"/>
        <item x="789"/>
        <item x="827"/>
        <item x="1006"/>
        <item x="885"/>
        <item x="826"/>
        <item x="788"/>
        <item x="771"/>
        <item x="829"/>
        <item x="886"/>
        <item x="768"/>
        <item x="695"/>
        <item x="786"/>
        <item x="766"/>
        <item x="785"/>
        <item x="883"/>
        <item x="1108"/>
        <item x="1005"/>
        <item x="129"/>
        <item x="155"/>
        <item x="813"/>
        <item x="43"/>
        <item x="567"/>
        <item x="32"/>
        <item x="935"/>
        <item x="72"/>
        <item x="170"/>
        <item x="70"/>
        <item x="816"/>
        <item x="739"/>
        <item x="663"/>
        <item x="1048"/>
        <item x="1102"/>
        <item x="890"/>
        <item x="33"/>
        <item x="50"/>
        <item x="24"/>
        <item x="20"/>
        <item x="5"/>
        <item x="49"/>
        <item x="17"/>
        <item x="47"/>
        <item x="14"/>
        <item x="46"/>
        <item x="100"/>
        <item x="1106"/>
        <item x="806"/>
        <item x="382"/>
        <item x="471"/>
        <item x="261"/>
        <item x="635"/>
        <item x="799"/>
        <item x="384"/>
        <item x="753"/>
        <item x="341"/>
        <item x="478"/>
        <item x="269"/>
        <item x="832"/>
        <item x="718"/>
        <item x="255"/>
        <item x="135"/>
        <item x="111"/>
        <item x="267"/>
        <item x="793"/>
        <item x="218"/>
        <item x="296"/>
        <item x="1025"/>
        <item x="98"/>
        <item x="591"/>
        <item x="796"/>
        <item x="340"/>
        <item x="795"/>
        <item x="184"/>
        <item x="254"/>
        <item x="105"/>
        <item x="505"/>
        <item x="444"/>
        <item x="405"/>
        <item x="1089"/>
        <item x="246"/>
        <item x="181"/>
        <item x="145"/>
        <item x="557"/>
        <item x="144"/>
        <item x="1088"/>
        <item x="558"/>
        <item x="164"/>
        <item x="124"/>
        <item x="303"/>
        <item x="811"/>
        <item x="335"/>
        <item x="418"/>
        <item x="486"/>
        <item x="747"/>
        <item x="861"/>
        <item x="684"/>
        <item x="387"/>
        <item x="299"/>
        <item x="233"/>
        <item x="206"/>
        <item x="253"/>
        <item x="260"/>
        <item x="152"/>
        <item x="893"/>
        <item x="96"/>
        <item x="137"/>
        <item x="138"/>
        <item x="121"/>
        <item x="150"/>
        <item x="188"/>
        <item x="189"/>
        <item x="136"/>
        <item x="134"/>
        <item x="217"/>
        <item x="812"/>
        <item x="132"/>
        <item x="876"/>
        <item x="127"/>
        <item x="362"/>
        <item x="220"/>
        <item x="459"/>
        <item x="797"/>
        <item x="727"/>
        <item x="174"/>
        <item x="449"/>
        <item x="257"/>
        <item x="1100"/>
        <item x="84"/>
        <item x="859"/>
        <item x="116"/>
        <item x="172"/>
        <item x="200"/>
        <item x="229"/>
        <item x="470"/>
        <item x="165"/>
        <item x="798"/>
        <item x="139"/>
        <item x="328"/>
        <item x="430"/>
        <item x="85"/>
        <item x="272"/>
        <item x="140"/>
        <item x="227"/>
        <item x="381"/>
        <item x="431"/>
        <item x="250"/>
        <item x="117"/>
        <item x="81"/>
        <item x="415"/>
        <item x="166"/>
        <item x="198"/>
        <item x="568"/>
        <item x="389"/>
        <item x="735"/>
        <item x="125"/>
        <item x="118"/>
        <item x="202"/>
        <item x="323"/>
        <item x="104"/>
        <item x="929"/>
        <item x="225"/>
        <item x="279"/>
        <item x="809"/>
        <item x="877"/>
        <item x="193"/>
        <item x="304"/>
        <item x="852"/>
        <item x="349"/>
        <item x="317"/>
        <item x="183"/>
        <item x="1101"/>
        <item x="302"/>
        <item x="162"/>
        <item x="1080"/>
        <item x="102"/>
        <item x="685"/>
        <item x="600"/>
        <item x="171"/>
        <item x="115"/>
        <item x="79"/>
        <item x="273"/>
        <item x="319"/>
        <item x="313"/>
        <item x="226"/>
        <item x="187"/>
        <item x="309"/>
        <item x="527"/>
        <item x="849"/>
        <item x="397"/>
        <item x="1066"/>
        <item x="86"/>
        <item x="336"/>
        <item x="281"/>
        <item x="563"/>
        <item x="110"/>
        <item x="94"/>
        <item x="197"/>
        <item x="186"/>
        <item x="399"/>
        <item x="400"/>
        <item x="276"/>
        <item x="439"/>
        <item x="560"/>
        <item x="219"/>
        <item x="377"/>
        <item x="409"/>
        <item x="659"/>
        <item x="252"/>
        <item x="182"/>
        <item x="305"/>
        <item x="234"/>
        <item x="422"/>
        <item x="462"/>
        <item x="262"/>
        <item x="73"/>
        <item x="419"/>
        <item x="366"/>
        <item x="311"/>
        <item x="794"/>
        <item x="559"/>
        <item x="392"/>
        <item x="1064"/>
        <item x="103"/>
        <item x="185"/>
        <item x="854"/>
        <item x="889"/>
        <item x="325"/>
        <item x="617"/>
        <item x="146"/>
        <item x="327"/>
        <item x="774"/>
        <item x="891"/>
        <item x="666"/>
        <item x="434"/>
        <item x="282"/>
        <item x="867"/>
        <item x="318"/>
        <item x="404"/>
        <item x="123"/>
        <item x="649"/>
        <item x="265"/>
        <item x="95"/>
        <item x="468"/>
        <item x="93"/>
        <item x="228"/>
        <item x="251"/>
        <item x="143"/>
        <item x="201"/>
        <item x="119"/>
        <item x="266"/>
        <item x="630"/>
        <item x="364"/>
        <item x="972"/>
        <item x="339"/>
        <item x="711"/>
        <item x="147"/>
        <item x="83"/>
        <item x="488"/>
        <item x="120"/>
        <item x="274"/>
        <item x="386"/>
        <item x="75"/>
        <item x="230"/>
        <item x="467"/>
        <item x="612"/>
        <item x="642"/>
        <item x="256"/>
        <item x="686"/>
        <item x="92"/>
        <item x="682"/>
        <item x="285"/>
        <item x="97"/>
        <item x="148"/>
        <item x="1105"/>
        <item x="380"/>
        <item x="306"/>
        <item x="808"/>
        <item x="284"/>
        <item x="815"/>
        <item x="74"/>
        <item x="240"/>
        <item x="161"/>
        <item x="1104"/>
        <item x="831"/>
        <item x="167"/>
        <item x="858"/>
        <item x="300"/>
        <item x="112"/>
        <item x="810"/>
        <item x="1032"/>
        <item x="453"/>
        <item x="99"/>
        <item x="838"/>
        <item x="429"/>
        <item x="393"/>
        <item x="708"/>
        <item x="744"/>
        <item x="714"/>
        <item x="78"/>
        <item x="620"/>
        <item x="168"/>
        <item x="307"/>
        <item x="855"/>
        <item x="308"/>
        <item x="231"/>
        <item x="173"/>
        <item x="275"/>
        <item x="126"/>
        <item x="314"/>
        <item x="280"/>
        <item x="191"/>
        <item x="196"/>
        <item x="657"/>
        <item x="232"/>
        <item x="594"/>
        <item x="175"/>
        <item x="76"/>
        <item x="114"/>
        <item x="90"/>
        <item x="107"/>
        <item x="709"/>
        <item x="113"/>
        <item x="436"/>
        <item x="670"/>
        <item x="283"/>
        <item x="316"/>
        <item x="754"/>
        <item x="163"/>
        <item x="497"/>
        <item x="194"/>
        <item x="615"/>
        <item x="372"/>
        <item x="728"/>
        <item x="485"/>
        <item x="208"/>
        <item x="19"/>
        <item x="693"/>
        <item x="841"/>
        <item x="1090"/>
        <item x="882"/>
        <item x="1077"/>
        <item x="1004"/>
        <item x="608"/>
        <item x="295"/>
        <item x="454"/>
        <item x="320"/>
        <item x="585"/>
        <item x="348"/>
        <item x="337"/>
        <item x="264"/>
        <item x="407"/>
        <item x="564"/>
        <item x="271"/>
        <item x="248"/>
        <item x="1041"/>
        <item x="1085"/>
        <item x="268"/>
        <item x="489"/>
        <item x="531"/>
        <item x="575"/>
        <item x="437"/>
        <item x="1052"/>
        <item x="532"/>
        <item x="533"/>
        <item x="457"/>
        <item x="752"/>
        <item x="153"/>
        <item x="1047"/>
        <item x="149"/>
        <item x="247"/>
        <item x="122"/>
        <item x="258"/>
        <item x="179"/>
        <item x="87"/>
        <item x="203"/>
        <item x="450"/>
        <item x="687"/>
        <item x="398"/>
        <item x="1061"/>
        <item x="572"/>
        <item x="696"/>
        <item x="11"/>
        <item x="724"/>
        <item x="779"/>
        <item x="645"/>
        <item x="640"/>
        <item x="427"/>
        <item x="676"/>
        <item x="737"/>
        <item x="706"/>
        <item x="726"/>
        <item x="732"/>
        <item x="757"/>
        <item x="734"/>
        <item x="730"/>
        <item x="742"/>
        <item x="748"/>
        <item x="705"/>
        <item x="756"/>
        <item x="700"/>
        <item x="773"/>
        <item x="701"/>
        <item x="715"/>
        <item x="725"/>
        <item x="702"/>
        <item x="750"/>
        <item x="723"/>
        <item x="743"/>
        <item x="731"/>
        <item x="758"/>
        <item x="703"/>
        <item x="729"/>
        <item x="720"/>
        <item x="738"/>
        <item x="39"/>
        <item x="58"/>
        <item x="48"/>
        <item x="106"/>
        <item x="21"/>
        <item x="30"/>
        <item x="755"/>
        <item x="899"/>
        <item x="1093"/>
        <item x="1092"/>
        <item x="751"/>
        <item x="321"/>
        <item x="297"/>
        <item x="589"/>
        <item x="643"/>
        <item x="417"/>
        <item x="42"/>
        <item x="1114"/>
        <item x="35"/>
        <item x="426"/>
        <item x="1115"/>
        <item x="425"/>
        <item x="897"/>
        <item x="1007"/>
        <item x="1076"/>
        <item x="369"/>
        <item x="898"/>
        <item x="68"/>
        <item x="154"/>
        <item x="292"/>
        <item x="873"/>
        <item x="424"/>
        <item x="692"/>
        <item x="840"/>
        <item x="881"/>
        <item x="1003"/>
        <item x="1107"/>
        <item x="1099"/>
        <item x="502"/>
        <item x="501"/>
        <item x="541"/>
        <item x="639"/>
        <item x="540"/>
        <item x="638"/>
        <item x="704"/>
        <item x="894"/>
        <item x="503"/>
        <item x="863"/>
        <item x="804"/>
        <item x="584"/>
        <item x="12"/>
        <item x="55"/>
        <item x="864"/>
        <item x="597"/>
        <item x="25"/>
        <item x="654"/>
        <item x="331"/>
        <item x="740"/>
        <item x="664"/>
        <item x="580"/>
        <item x="1049"/>
        <item x="900"/>
        <item x="865"/>
        <item x="570"/>
        <item x="391"/>
        <item x="451"/>
        <item x="525"/>
        <item x="644"/>
        <item x="324"/>
        <item x="1051"/>
        <item x="18"/>
        <item x="277"/>
        <item x="53"/>
        <item x="1039"/>
        <item x="857"/>
        <item x="818"/>
        <item x="817"/>
        <item x="819"/>
        <item x="16"/>
        <item x="1103"/>
        <item x="745"/>
        <item x="552"/>
        <item x="716"/>
        <item x="931"/>
        <item x="1068"/>
        <item x="586"/>
        <item x="662"/>
        <item x="749"/>
        <item x="628"/>
        <item x="611"/>
        <item x="712"/>
        <item x="509"/>
        <item x="588"/>
        <item x="80"/>
        <item x="8"/>
        <item x="360"/>
        <item x="1053"/>
        <item x="554"/>
        <item x="421"/>
        <item x="26"/>
        <item x="962"/>
        <item x="1069"/>
        <item x="951"/>
        <item x="981"/>
        <item x="930"/>
        <item x="1070"/>
        <item x="660"/>
        <item x="466"/>
        <item x="834"/>
        <item x="801"/>
        <item x="807"/>
        <item x="860"/>
        <item x="953"/>
        <item x="986"/>
        <item x="1084"/>
        <item x="952"/>
        <item x="242"/>
        <item x="245"/>
        <item x="249"/>
        <item x="775"/>
        <item x="835"/>
        <item x="209"/>
        <item x="243"/>
        <item x="322"/>
        <item x="821"/>
        <item x="927"/>
        <item x="868"/>
        <item x="441"/>
        <item x="604"/>
        <item x="1062"/>
        <item x="334"/>
        <item x="759"/>
        <item x="344"/>
        <item x="719"/>
        <item x="180"/>
        <item x="949"/>
        <item x="668"/>
        <item x="338"/>
        <item x="88"/>
        <item x="830"/>
        <item x="378"/>
        <item x="605"/>
        <item x="128"/>
        <item x="1063"/>
        <item x="689"/>
        <item x="235"/>
        <item x="259"/>
        <item x="199"/>
        <item x="651"/>
        <item x="721"/>
        <item x="566"/>
        <item x="435"/>
        <item x="89"/>
        <item x="310"/>
        <item x="515"/>
        <item x="315"/>
        <item x="650"/>
        <item x="590"/>
        <item x="241"/>
        <item x="34"/>
        <item x="6"/>
        <item x="52"/>
        <item x="957"/>
        <item x="1117"/>
        <item x="850"/>
        <item x="207"/>
        <item x="963"/>
        <item x="71"/>
        <item x="64"/>
        <item x="291"/>
        <item x="41"/>
        <item x="224"/>
        <item x="678"/>
        <item x="312"/>
        <item x="800"/>
        <item x="15"/>
        <item x="464"/>
        <item x="683"/>
        <item x="51"/>
        <item x="9"/>
        <item x="301"/>
        <item x="40"/>
        <item x="367"/>
        <item x="477"/>
        <item x="212"/>
        <item x="23"/>
        <item x="151"/>
        <item x="491"/>
        <item x="211"/>
        <item x="31"/>
        <item x="576"/>
        <item x="1112"/>
        <item x="101"/>
        <item x="658"/>
        <item x="892"/>
        <item x="836"/>
        <item x="1098"/>
        <item x="733"/>
        <item x="263"/>
        <item x="853"/>
        <item x="28"/>
        <item x="29"/>
        <item x="332"/>
        <item x="333"/>
        <item x="581"/>
        <item x="476"/>
        <item x="582"/>
        <item x="1125"/>
        <item x="1121"/>
        <item x="1123"/>
        <item x="1124"/>
        <item x="1015"/>
        <item x="1122"/>
        <item x="159"/>
        <item x="158"/>
        <item x="156"/>
        <item x="160"/>
        <item x="157"/>
        <item x="61"/>
        <item x="288"/>
        <item x="60"/>
        <item x="287"/>
        <item x="63"/>
        <item x="290"/>
        <item x="62"/>
        <item x="289"/>
        <item x="59"/>
        <item x="286"/>
        <item x="847"/>
        <item x="846"/>
        <item x="844"/>
        <item x="848"/>
        <item x="845"/>
        <item x="609"/>
        <item x="675"/>
        <item x="765"/>
        <item x="677"/>
        <item x="130"/>
        <item x="764"/>
        <item x="896"/>
        <item x="825"/>
        <item x="293"/>
        <item x="803"/>
        <item x="778"/>
        <item x="1118"/>
        <item x="583"/>
        <item x="908"/>
        <item x="950"/>
        <item x="1067"/>
        <item x="1113"/>
        <item x="278"/>
        <item x="410"/>
        <item x="142"/>
        <item x="294"/>
        <item x="69"/>
        <item x="44"/>
        <item x="784"/>
        <item x="1095"/>
        <item x="911"/>
        <item x="549"/>
        <item x="791"/>
        <item x="548"/>
        <item x="546"/>
        <item x="550"/>
        <item x="455"/>
        <item x="547"/>
        <item x="699"/>
        <item x="641"/>
        <item x="545"/>
        <item x="27"/>
        <item x="223"/>
        <item x="475"/>
        <item x="473"/>
        <item x="474"/>
        <item x="637"/>
        <item x="56"/>
        <item x="403"/>
        <item x="13"/>
        <item x="958"/>
        <item x="54"/>
        <item x="374"/>
        <item x="4"/>
        <item t="default"/>
      </items>
    </pivotField>
    <pivotField compact="0" outline="0" showAl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</pivotFields>
  <rowFields count="3">
    <field x="2"/>
    <field x="3"/>
    <field x="7"/>
  </rowFields>
  <rowItems count="15">
    <i>
      <x v="53"/>
      <x v="23"/>
      <x v="17"/>
    </i>
    <i r="2">
      <x v="767"/>
    </i>
    <i r="2">
      <x v="864"/>
    </i>
    <i r="2">
      <x v="870"/>
    </i>
    <i r="2">
      <x v="884"/>
    </i>
    <i r="2">
      <x v="885"/>
    </i>
    <i r="2">
      <x v="886"/>
    </i>
    <i r="2">
      <x v="893"/>
    </i>
    <i r="2">
      <x v="1055"/>
    </i>
    <i r="2">
      <x v="1056"/>
    </i>
    <i r="2">
      <x v="1085"/>
    </i>
    <i r="2">
      <x v="1088"/>
    </i>
    <i r="2">
      <x v="1099"/>
    </i>
    <i r="2">
      <x v="1101"/>
    </i>
    <i t="grand">
      <x/>
    </i>
  </rowItems>
  <colFields count="1">
    <field x="1"/>
  </colFields>
  <colItems count="11">
    <i>
      <x/>
    </i>
    <i>
      <x v="2"/>
    </i>
    <i>
      <x v="3"/>
    </i>
    <i>
      <x v="5"/>
    </i>
    <i>
      <x v="6"/>
    </i>
    <i>
      <x v="7"/>
    </i>
    <i>
      <x v="8"/>
    </i>
    <i>
      <x v="9"/>
    </i>
    <i>
      <x v="11"/>
    </i>
    <i>
      <x v="12"/>
    </i>
    <i t="grand">
      <x/>
    </i>
  </colItems>
  <dataFields count="1">
    <dataField name="Suma de Monto" fld="4" baseField="2" baseItem="8" numFmtId="38"/>
  </dataFields>
  <formats count="107">
    <format dxfId="367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28"/>
          </reference>
          <reference field="7" count="7" selected="0">
            <x v="138"/>
            <x v="139"/>
            <x v="142"/>
            <x v="143"/>
            <x v="456"/>
            <x v="901"/>
            <x v="1098"/>
          </reference>
        </references>
      </pivotArea>
    </format>
    <format dxfId="366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28"/>
          </reference>
          <reference field="7" count="1" selected="0">
            <x v="1115"/>
          </reference>
        </references>
      </pivotArea>
    </format>
    <format dxfId="365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28"/>
          </reference>
          <reference field="7" count="1" selected="0">
            <x v="901"/>
          </reference>
        </references>
      </pivotArea>
    </format>
    <format dxfId="364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28"/>
          </reference>
          <reference field="7" count="1" selected="0">
            <x v="27"/>
          </reference>
        </references>
      </pivotArea>
    </format>
    <format dxfId="363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28"/>
          </reference>
          <reference field="7" count="1" selected="0">
            <x v="1114"/>
          </reference>
        </references>
      </pivotArea>
    </format>
    <format dxfId="362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28"/>
          </reference>
          <reference field="7" count="6" selected="0">
            <x v="134"/>
            <x v="138"/>
            <x v="139"/>
            <x v="142"/>
            <x v="143"/>
            <x v="456"/>
          </reference>
        </references>
      </pivotArea>
    </format>
    <format dxfId="361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28"/>
          </reference>
          <reference field="7" count="1" selected="0">
            <x v="458"/>
          </reference>
        </references>
      </pivotArea>
    </format>
    <format dxfId="360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28"/>
          </reference>
          <reference field="7" count="1" selected="0">
            <x v="1114"/>
          </reference>
        </references>
      </pivotArea>
    </format>
    <format dxfId="359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28"/>
          </reference>
          <reference field="7" count="1" selected="0">
            <x v="456"/>
          </reference>
        </references>
      </pivotArea>
    </format>
    <format dxfId="358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28"/>
          </reference>
          <reference field="7" count="1" selected="0">
            <x v="137"/>
          </reference>
        </references>
      </pivotArea>
    </format>
    <format dxfId="357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28"/>
          </reference>
          <reference field="7" count="1" selected="0">
            <x v="1114"/>
          </reference>
        </references>
      </pivotArea>
    </format>
    <format dxfId="356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7"/>
          </reference>
          <reference field="7" count="2" selected="0">
            <x v="1045"/>
            <x v="1046"/>
          </reference>
        </references>
      </pivotArea>
    </format>
    <format dxfId="355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7"/>
          </reference>
          <reference field="7" count="1" selected="0">
            <x v="27"/>
          </reference>
        </references>
      </pivotArea>
    </format>
    <format dxfId="354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7"/>
          </reference>
          <reference field="7" count="1" selected="0">
            <x v="456"/>
          </reference>
        </references>
      </pivotArea>
    </format>
    <format dxfId="353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7"/>
          </reference>
          <reference field="7" count="2" selected="0">
            <x v="1045"/>
            <x v="1046"/>
          </reference>
        </references>
      </pivotArea>
    </format>
    <format dxfId="352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7"/>
          </reference>
          <reference field="7" count="1" selected="0">
            <x v="456"/>
          </reference>
        </references>
      </pivotArea>
    </format>
    <format dxfId="351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7"/>
          </reference>
          <reference field="7" count="1" selected="0">
            <x v="1046"/>
          </reference>
        </references>
      </pivotArea>
    </format>
    <format dxfId="350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7"/>
          </reference>
          <reference field="7" count="1" selected="0">
            <x v="1045"/>
          </reference>
        </references>
      </pivotArea>
    </format>
    <format dxfId="349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28"/>
          </reference>
          <reference field="7" count="2" selected="0">
            <x v="143"/>
            <x v="456"/>
          </reference>
        </references>
      </pivotArea>
    </format>
    <format dxfId="348">
      <pivotArea outline="0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28"/>
          </reference>
          <reference field="7" count="2" selected="0">
            <x v="1117"/>
            <x v="1118"/>
          </reference>
        </references>
      </pivotArea>
    </format>
    <format dxfId="347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28"/>
          </reference>
          <reference field="7" count="2" selected="0">
            <x v="143"/>
            <x v="456"/>
          </reference>
        </references>
      </pivotArea>
    </format>
    <format dxfId="346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28"/>
          </reference>
          <reference field="7" count="1" selected="0">
            <x v="115"/>
          </reference>
        </references>
      </pivotArea>
    </format>
    <format dxfId="345">
      <pivotArea outline="0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28"/>
          </reference>
          <reference field="7" count="2" selected="0">
            <x v="1117"/>
            <x v="1118"/>
          </reference>
        </references>
      </pivotArea>
    </format>
    <format dxfId="344">
      <pivotArea outline="0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28"/>
          </reference>
          <reference field="7" count="1" selected="0">
            <x v="456"/>
          </reference>
        </references>
      </pivotArea>
    </format>
    <format dxfId="343">
      <pivotArea outline="0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28"/>
          </reference>
          <reference field="7" count="4" selected="0">
            <x v="109"/>
            <x v="110"/>
            <x v="116"/>
            <x v="119"/>
          </reference>
        </references>
      </pivotArea>
    </format>
    <format dxfId="342">
      <pivotArea outline="0" fieldPosition="0">
        <references count="4">
          <reference field="1" count="1" selected="0">
            <x v="6"/>
          </reference>
          <reference field="2" count="0" selected="0"/>
          <reference field="3" count="1" selected="0">
            <x v="28"/>
          </reference>
          <reference field="7" count="1" selected="0">
            <x v="904"/>
          </reference>
        </references>
      </pivotArea>
    </format>
    <format dxfId="341">
      <pivotArea outline="0" fieldPosition="0">
        <references count="4">
          <reference field="1" count="1" selected="0">
            <x v="6"/>
          </reference>
          <reference field="2" count="0" selected="0"/>
          <reference field="3" count="1" selected="0">
            <x v="28"/>
          </reference>
          <reference field="7" count="2" selected="0">
            <x v="121"/>
            <x v="149"/>
          </reference>
        </references>
      </pivotArea>
    </format>
    <format dxfId="340">
      <pivotArea outline="0" fieldPosition="0">
        <references count="4">
          <reference field="1" count="1" selected="0">
            <x v="7"/>
          </reference>
          <reference field="2" count="0" selected="0"/>
          <reference field="3" count="1" selected="0">
            <x v="28"/>
          </reference>
          <reference field="7" count="1" selected="0">
            <x v="903"/>
          </reference>
        </references>
      </pivotArea>
    </format>
    <format dxfId="339">
      <pivotArea outline="0" fieldPosition="0">
        <references count="4">
          <reference field="1" count="1" selected="0">
            <x v="6"/>
          </reference>
          <reference field="2" count="0" selected="0"/>
          <reference field="3" count="1" selected="0">
            <x v="28"/>
          </reference>
          <reference field="7" count="1" selected="0">
            <x v="456"/>
          </reference>
        </references>
      </pivotArea>
    </format>
    <format dxfId="338">
      <pivotArea outline="0" fieldPosition="0">
        <references count="4">
          <reference field="1" count="1" selected="0">
            <x v="3"/>
          </reference>
          <reference field="2" count="1" selected="0">
            <x v="14"/>
          </reference>
          <reference field="3" count="1" selected="0">
            <x v="7"/>
          </reference>
          <reference field="7" count="2" selected="0">
            <x v="1047"/>
            <x v="1048"/>
          </reference>
        </references>
      </pivotArea>
    </format>
    <format dxfId="337">
      <pivotArea outline="0" fieldPosition="0">
        <references count="4">
          <reference field="1" count="1" selected="0">
            <x v="2"/>
          </reference>
          <reference field="2" count="1" selected="0">
            <x v="14"/>
          </reference>
          <reference field="3" count="1" selected="0">
            <x v="7"/>
          </reference>
          <reference field="7" count="1" selected="0">
            <x v="456"/>
          </reference>
        </references>
      </pivotArea>
    </format>
    <format dxfId="336">
      <pivotArea outline="0" collapsedLevelsAreSubtotals="1" fieldPosition="0">
        <references count="4">
          <reference field="1" count="4" selected="0">
            <x v="2"/>
            <x v="3"/>
            <x v="5"/>
            <x v="6"/>
          </reference>
          <reference field="2" count="0" selected="0"/>
          <reference field="3" count="1" selected="0">
            <x v="21"/>
          </reference>
          <reference field="7" count="2" selected="0">
            <x v="530"/>
            <x v="598"/>
          </reference>
        </references>
      </pivotArea>
    </format>
    <format dxfId="335">
      <pivotArea dataOnly="0" labelOnly="1" outline="0" fieldPosition="0">
        <references count="3">
          <reference field="2" count="0" selected="0"/>
          <reference field="3" count="1" selected="0">
            <x v="21"/>
          </reference>
          <reference field="7" count="2">
            <x v="530"/>
            <x v="598"/>
          </reference>
        </references>
      </pivotArea>
    </format>
    <format dxfId="334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3" selected="0">
            <x v="349"/>
            <x v="350"/>
            <x v="351"/>
          </reference>
        </references>
      </pivotArea>
    </format>
    <format dxfId="333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290"/>
          </reference>
        </references>
      </pivotArea>
    </format>
    <format dxfId="332">
      <pivotArea outline="0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332"/>
          </reference>
        </references>
      </pivotArea>
    </format>
    <format dxfId="331">
      <pivotArea outline="0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333"/>
          </reference>
        </references>
      </pivotArea>
    </format>
    <format dxfId="330">
      <pivotArea outline="0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334"/>
          </reference>
        </references>
      </pivotArea>
    </format>
    <format dxfId="329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280"/>
          </reference>
        </references>
      </pivotArea>
    </format>
    <format dxfId="328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338"/>
          </reference>
        </references>
      </pivotArea>
    </format>
    <format dxfId="327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335"/>
          </reference>
        </references>
      </pivotArea>
    </format>
    <format dxfId="326">
      <pivotArea outline="0" collapsedLevelsAreSubtotals="1" fieldPosition="0">
        <references count="4">
          <reference field="1" count="0" selected="0"/>
          <reference field="2" count="0" selected="0"/>
          <reference field="3" count="1" selected="0">
            <x v="23"/>
          </reference>
          <reference field="7" count="1" selected="0">
            <x v="285"/>
          </reference>
        </references>
      </pivotArea>
    </format>
    <format dxfId="325">
      <pivotArea outline="0" collapsedLevelsAreSubtotals="1" fieldPosition="0">
        <references count="4">
          <reference field="1" count="1" selected="0">
            <x v="2"/>
          </reference>
          <reference field="2" count="1" selected="0">
            <x v="28"/>
          </reference>
          <reference field="3" count="1" selected="0">
            <x v="21"/>
          </reference>
          <reference field="7" count="22" selected="0">
            <x v="776"/>
            <x v="777"/>
            <x v="778"/>
            <x v="779"/>
            <x v="780"/>
            <x v="781"/>
            <x v="782"/>
            <x v="783"/>
            <x v="784"/>
            <x v="787"/>
            <x v="788"/>
            <x v="789"/>
            <x v="790"/>
            <x v="791"/>
            <x v="793"/>
            <x v="794"/>
            <x v="795"/>
            <x v="811"/>
            <x v="815"/>
            <x v="816"/>
            <x v="818"/>
            <x v="1043"/>
          </reference>
        </references>
      </pivotArea>
    </format>
    <format dxfId="324">
      <pivotArea outline="0" collapsedLevelsAreSubtotals="1" fieldPosition="0">
        <references count="4">
          <reference field="1" count="1" selected="0">
            <x v="3"/>
          </reference>
          <reference field="2" count="1" selected="0">
            <x v="28"/>
          </reference>
          <reference field="3" count="1" selected="0">
            <x v="21"/>
          </reference>
          <reference field="7" count="1" selected="0">
            <x v="781"/>
          </reference>
        </references>
      </pivotArea>
    </format>
    <format dxfId="323">
      <pivotArea outline="0" collapsedLevelsAreSubtotals="1" fieldPosition="0">
        <references count="4">
          <reference field="1" count="1" selected="0">
            <x v="3"/>
          </reference>
          <reference field="2" count="1" selected="0">
            <x v="28"/>
          </reference>
          <reference field="3" count="1" selected="0">
            <x v="21"/>
          </reference>
          <reference field="7" count="1" selected="0">
            <x v="776"/>
          </reference>
        </references>
      </pivotArea>
    </format>
    <format dxfId="322">
      <pivotArea outline="0" collapsedLevelsAreSubtotals="1" fieldPosition="0">
        <references count="4">
          <reference field="1" count="1" selected="0">
            <x v="3"/>
          </reference>
          <reference field="2" count="1" selected="0">
            <x v="60"/>
          </reference>
          <reference field="3" count="1" selected="0">
            <x v="46"/>
          </reference>
          <reference field="7" count="1" selected="0">
            <x v="115"/>
          </reference>
        </references>
      </pivotArea>
    </format>
    <format dxfId="321">
      <pivotArea outline="0" collapsedLevelsAreSubtotals="1" fieldPosition="0">
        <references count="4">
          <reference field="1" count="1" selected="0">
            <x v="6"/>
          </reference>
          <reference field="2" count="1" selected="0">
            <x v="28"/>
          </reference>
          <reference field="3" count="1" selected="0">
            <x v="21"/>
          </reference>
          <reference field="7" count="5" selected="0">
            <x v="815"/>
            <x v="816"/>
            <x v="818"/>
            <x v="1043"/>
            <x v="1119"/>
          </reference>
        </references>
      </pivotArea>
    </format>
    <format dxfId="320">
      <pivotArea outline="0" collapsedLevelsAreSubtotals="1" fieldPosition="0">
        <references count="4">
          <reference field="1" count="1" selected="0">
            <x v="7"/>
          </reference>
          <reference field="2" count="1" selected="0">
            <x v="28"/>
          </reference>
          <reference field="3" count="1" selected="0">
            <x v="21"/>
          </reference>
          <reference field="7" count="1" selected="0">
            <x v="818"/>
          </reference>
        </references>
      </pivotArea>
    </format>
    <format dxfId="319">
      <pivotArea field="1" grandRow="1" outline="0" collapsedLevelsAreSubtotals="1" axis="axisCol" fieldPosition="0">
        <references count="1">
          <reference field="1" count="1" selected="0">
            <x v="2"/>
          </reference>
        </references>
      </pivotArea>
    </format>
    <format dxfId="318">
      <pivotArea outline="0" collapsedLevelsAreSubtotals="1" fieldPosition="0">
        <references count="4">
          <reference field="1" count="1" selected="0">
            <x v="7"/>
          </reference>
          <reference field="2" count="0" selected="0"/>
          <reference field="3" count="1" selected="0">
            <x v="28"/>
          </reference>
          <reference field="7" count="1" selected="0">
            <x v="456"/>
          </reference>
        </references>
      </pivotArea>
    </format>
    <format dxfId="317">
      <pivotArea outline="0" collapsedLevelsAreSubtotals="1" fieldPosition="0">
        <references count="4">
          <reference field="1" count="1" selected="0">
            <x v="7"/>
          </reference>
          <reference field="2" count="0" selected="0"/>
          <reference field="3" count="1" selected="0">
            <x v="28"/>
          </reference>
          <reference field="7" count="3" selected="0">
            <x v="150"/>
            <x v="151"/>
            <x v="152"/>
          </reference>
        </references>
      </pivotArea>
    </format>
    <format dxfId="316">
      <pivotArea outline="0" collapsedLevelsAreSubtotals="1" fieldPosition="0">
        <references count="4">
          <reference field="1" count="1" selected="0">
            <x v="7"/>
          </reference>
          <reference field="2" count="0" selected="0"/>
          <reference field="3" count="1" selected="0">
            <x v="28"/>
          </reference>
          <reference field="7" count="1" selected="0">
            <x v="128"/>
          </reference>
        </references>
      </pivotArea>
    </format>
    <format dxfId="315">
      <pivotArea outline="0" collapsedLevelsAreSubtotals="1" fieldPosition="0">
        <references count="4">
          <reference field="1" count="1" selected="0">
            <x v="7"/>
          </reference>
          <reference field="2" count="0" selected="0"/>
          <reference field="3" count="1" selected="0">
            <x v="28"/>
          </reference>
          <reference field="7" count="1" selected="0">
            <x v="122"/>
          </reference>
        </references>
      </pivotArea>
    </format>
    <format dxfId="314">
      <pivotArea outline="0" collapsedLevelsAreSubtotals="1" fieldPosition="0">
        <references count="4">
          <reference field="1" count="1" selected="0">
            <x v="7"/>
          </reference>
          <reference field="2" count="0" selected="0"/>
          <reference field="3" count="1" selected="0">
            <x v="28"/>
          </reference>
          <reference field="7" count="1" selected="0">
            <x v="120"/>
          </reference>
        </references>
      </pivotArea>
    </format>
    <format dxfId="313">
      <pivotArea outline="0" collapsedLevelsAreSubtotals="1" fieldPosition="0">
        <references count="4">
          <reference field="1" count="1" selected="0">
            <x v="8"/>
          </reference>
          <reference field="2" count="0" selected="0"/>
          <reference field="3" count="1" selected="0">
            <x v="28"/>
          </reference>
          <reference field="7" count="1" selected="0">
            <x v="902"/>
          </reference>
        </references>
      </pivotArea>
    </format>
    <format dxfId="312">
      <pivotArea outline="0" collapsedLevelsAreSubtotals="1" fieldPosition="0">
        <references count="4">
          <reference field="1" count="1" selected="0">
            <x v="10"/>
          </reference>
          <reference field="2" count="0" selected="0"/>
          <reference field="3" count="1" selected="0">
            <x v="28"/>
          </reference>
          <reference field="7" count="1" selected="0">
            <x v="907"/>
          </reference>
        </references>
      </pivotArea>
    </format>
    <format dxfId="311">
      <pivotArea outline="0" collapsedLevelsAreSubtotals="1" fieldPosition="0">
        <references count="4">
          <reference field="1" count="1" selected="0">
            <x v="9"/>
          </reference>
          <reference field="2" count="0" selected="0"/>
          <reference field="3" count="1" selected="0">
            <x v="28"/>
          </reference>
          <reference field="7" count="1" selected="0">
            <x v="456"/>
          </reference>
        </references>
      </pivotArea>
    </format>
    <format dxfId="310">
      <pivotArea outline="0" collapsedLevelsAreSubtotals="1" fieldPosition="0">
        <references count="4">
          <reference field="1" count="1" selected="0">
            <x v="9"/>
          </reference>
          <reference field="2" count="0" selected="0"/>
          <reference field="3" count="1" selected="0">
            <x v="28"/>
          </reference>
          <reference field="7" count="2" selected="0">
            <x v="156"/>
            <x v="157"/>
          </reference>
        </references>
      </pivotArea>
    </format>
    <format dxfId="309">
      <pivotArea outline="0" collapsedLevelsAreSubtotals="1" fieldPosition="0">
        <references count="4">
          <reference field="1" count="1" selected="0">
            <x v="9"/>
          </reference>
          <reference field="2" count="0" selected="0"/>
          <reference field="3" count="1" selected="0">
            <x v="28"/>
          </reference>
          <reference field="7" count="1" selected="0">
            <x v="153"/>
          </reference>
        </references>
      </pivotArea>
    </format>
    <format dxfId="308">
      <pivotArea outline="0" collapsedLevelsAreSubtotals="1" fieldPosition="0">
        <references count="4">
          <reference field="1" count="1" selected="0">
            <x v="9"/>
          </reference>
          <reference field="2" count="0" selected="0"/>
          <reference field="3" count="1" selected="0">
            <x v="28"/>
          </reference>
          <reference field="7" count="1" selected="0">
            <x v="124"/>
          </reference>
        </references>
      </pivotArea>
    </format>
    <format dxfId="307">
      <pivotArea outline="0" collapsedLevelsAreSubtotals="1" fieldPosition="0">
        <references count="4">
          <reference field="1" count="1" selected="0">
            <x v="9"/>
          </reference>
          <reference field="2" count="0" selected="0"/>
          <reference field="3" count="1" selected="0">
            <x v="28"/>
          </reference>
          <reference field="7" count="1" selected="0">
            <x v="118"/>
          </reference>
        </references>
      </pivotArea>
    </format>
    <format dxfId="306">
      <pivotArea outline="0" collapsedLevelsAreSubtotals="1" fieldPosition="0">
        <references count="4">
          <reference field="1" count="1" selected="0">
            <x v="9"/>
          </reference>
          <reference field="2" count="0" selected="0"/>
          <reference field="3" count="1" selected="0">
            <x v="28"/>
          </reference>
          <reference field="7" count="1" selected="0">
            <x v="108"/>
          </reference>
        </references>
      </pivotArea>
    </format>
    <format dxfId="305">
      <pivotArea outline="0" collapsedLevelsAreSubtotals="1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26"/>
          </reference>
          <reference field="7" count="1" selected="0">
            <x v="144"/>
          </reference>
        </references>
      </pivotArea>
    </format>
    <format dxfId="304">
      <pivotArea outline="0" collapsedLevelsAreSubtotals="1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26"/>
          </reference>
          <reference field="7" count="1" selected="0">
            <x v="30"/>
          </reference>
        </references>
      </pivotArea>
    </format>
    <format dxfId="303">
      <pivotArea outline="0" fieldPosition="0">
        <references count="4">
          <reference field="1" count="1" selected="0">
            <x v="9"/>
          </reference>
          <reference field="2" count="0" selected="0"/>
          <reference field="3" count="1" selected="0">
            <x v="28"/>
          </reference>
          <reference field="7" count="1" selected="0">
            <x v="902"/>
          </reference>
        </references>
      </pivotArea>
    </format>
    <format dxfId="302">
      <pivotArea outline="0" fieldPosition="0">
        <references count="4">
          <reference field="1" count="1" selected="0">
            <x v="8"/>
          </reference>
          <reference field="2" count="0" selected="0"/>
          <reference field="3" count="1" selected="0">
            <x v="28"/>
          </reference>
          <reference field="7" count="1" selected="0">
            <x v="456"/>
          </reference>
        </references>
      </pivotArea>
    </format>
    <format dxfId="301">
      <pivotArea outline="0" fieldPosition="0">
        <references count="4">
          <reference field="1" count="1" selected="0">
            <x v="8"/>
          </reference>
          <reference field="2" count="0" selected="0"/>
          <reference field="3" count="1" selected="0">
            <x v="28"/>
          </reference>
          <reference field="7" count="2" selected="0">
            <x v="154"/>
            <x v="155"/>
          </reference>
        </references>
      </pivotArea>
    </format>
    <format dxfId="300">
      <pivotArea outline="0" fieldPosition="0">
        <references count="4">
          <reference field="1" count="1" selected="0">
            <x v="8"/>
          </reference>
          <reference field="2" count="0" selected="0"/>
          <reference field="3" count="1" selected="0">
            <x v="28"/>
          </reference>
          <reference field="7" count="1" selected="0">
            <x v="129"/>
          </reference>
        </references>
      </pivotArea>
    </format>
    <format dxfId="299">
      <pivotArea outline="0" fieldPosition="0">
        <references count="4">
          <reference field="1" count="1" selected="0">
            <x v="8"/>
          </reference>
          <reference field="2" count="0" selected="0"/>
          <reference field="3" count="1" selected="0">
            <x v="28"/>
          </reference>
          <reference field="7" count="1" selected="0">
            <x v="123"/>
          </reference>
        </references>
      </pivotArea>
    </format>
    <format dxfId="298">
      <pivotArea outline="0" fieldPosition="0">
        <references count="4">
          <reference field="1" count="1" selected="0">
            <x v="8"/>
          </reference>
          <reference field="2" count="0" selected="0"/>
          <reference field="3" count="1" selected="0">
            <x v="28"/>
          </reference>
          <reference field="7" count="1" selected="0">
            <x v="117"/>
          </reference>
        </references>
      </pivotArea>
    </format>
    <format dxfId="297">
      <pivotArea outline="0" fieldPosition="0">
        <references count="4">
          <reference field="1" count="1" selected="0">
            <x v="11"/>
          </reference>
          <reference field="2" count="0" selected="0"/>
          <reference field="3" count="1" selected="0">
            <x v="28"/>
          </reference>
          <reference field="7" count="1" selected="0">
            <x v="906"/>
          </reference>
        </references>
      </pivotArea>
    </format>
    <format dxfId="296">
      <pivotArea outline="0" fieldPosition="0">
        <references count="4">
          <reference field="1" count="1" selected="0">
            <x v="10"/>
          </reference>
          <reference field="2" count="0" selected="0"/>
          <reference field="3" count="1" selected="0">
            <x v="28"/>
          </reference>
          <reference field="7" count="1" selected="0">
            <x v="456"/>
          </reference>
        </references>
      </pivotArea>
    </format>
    <format dxfId="295">
      <pivotArea outline="0" fieldPosition="0">
        <references count="4">
          <reference field="1" count="1" selected="0">
            <x v="10"/>
          </reference>
          <reference field="2" count="0" selected="0"/>
          <reference field="3" count="1" selected="0">
            <x v="28"/>
          </reference>
          <reference field="7" count="1" selected="0">
            <x v="158"/>
          </reference>
        </references>
      </pivotArea>
    </format>
    <format dxfId="294">
      <pivotArea outline="0" fieldPosition="0">
        <references count="4">
          <reference field="1" count="1" selected="0">
            <x v="10"/>
          </reference>
          <reference field="2" count="0" selected="0"/>
          <reference field="3" count="1" selected="0">
            <x v="28"/>
          </reference>
          <reference field="7" count="2" selected="0">
            <x v="145"/>
            <x v="146"/>
          </reference>
        </references>
      </pivotArea>
    </format>
    <format dxfId="293">
      <pivotArea outline="0" fieldPosition="0">
        <references count="4">
          <reference field="1" count="1" selected="0">
            <x v="10"/>
          </reference>
          <reference field="2" count="0" selected="0"/>
          <reference field="3" count="1" selected="0">
            <x v="28"/>
          </reference>
          <reference field="7" count="1" selected="0">
            <x v="125"/>
          </reference>
        </references>
      </pivotArea>
    </format>
    <format dxfId="292">
      <pivotArea outline="0" fieldPosition="0">
        <references count="4">
          <reference field="1" count="1" selected="0">
            <x v="10"/>
          </reference>
          <reference field="2" count="0" selected="0"/>
          <reference field="3" count="1" selected="0">
            <x v="28"/>
          </reference>
          <reference field="7" count="1" selected="0">
            <x v="111"/>
          </reference>
        </references>
      </pivotArea>
    </format>
    <format dxfId="291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23"/>
          </reference>
          <reference field="7" count="1" selected="0">
            <x v="1099"/>
          </reference>
        </references>
      </pivotArea>
    </format>
    <format dxfId="290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23"/>
          </reference>
          <reference field="7" count="1" selected="0">
            <x v="17"/>
          </reference>
        </references>
      </pivotArea>
    </format>
    <format dxfId="289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23"/>
          </reference>
          <reference field="7" count="1" selected="0">
            <x v="870"/>
          </reference>
        </references>
      </pivotArea>
    </format>
    <format dxfId="288">
      <pivotArea outline="0" fieldPosition="0">
        <references count="4">
          <reference field="1" count="1" selected="0">
            <x v="11"/>
          </reference>
          <reference field="2" count="1" selected="0">
            <x v="13"/>
          </reference>
          <reference field="3" count="1" selected="0">
            <x v="28"/>
          </reference>
          <reference field="7" count="1" selected="0">
            <x v="112"/>
          </reference>
        </references>
      </pivotArea>
    </format>
    <format dxfId="287">
      <pivotArea outline="0" fieldPosition="0">
        <references count="4">
          <reference field="1" count="1" selected="0">
            <x v="11"/>
          </reference>
          <reference field="2" count="1" selected="0">
            <x v="13"/>
          </reference>
          <reference field="3" count="1" selected="0">
            <x v="28"/>
          </reference>
          <reference field="7" count="1" selected="0">
            <x v="126"/>
          </reference>
        </references>
      </pivotArea>
    </format>
    <format dxfId="286">
      <pivotArea outline="0" fieldPosition="0">
        <references count="4">
          <reference field="1" count="1" selected="0">
            <x v="11"/>
          </reference>
          <reference field="2" count="1" selected="0">
            <x v="13"/>
          </reference>
          <reference field="3" count="1" selected="0">
            <x v="28"/>
          </reference>
          <reference field="7" count="3" selected="0">
            <x v="159"/>
            <x v="160"/>
            <x v="161"/>
          </reference>
        </references>
      </pivotArea>
    </format>
    <format dxfId="285">
      <pivotArea outline="0" fieldPosition="0">
        <references count="4">
          <reference field="1" count="1" selected="0">
            <x v="11"/>
          </reference>
          <reference field="2" count="1" selected="0">
            <x v="13"/>
          </reference>
          <reference field="3" count="1" selected="0">
            <x v="28"/>
          </reference>
          <reference field="7" count="1" selected="0">
            <x v="456"/>
          </reference>
        </references>
      </pivotArea>
    </format>
    <format dxfId="284">
      <pivotArea outline="0" fieldPosition="0">
        <references count="4">
          <reference field="1" count="1" selected="0">
            <x v="12"/>
          </reference>
          <reference field="2" count="1" selected="0">
            <x v="13"/>
          </reference>
          <reference field="3" count="1" selected="0">
            <x v="28"/>
          </reference>
          <reference field="7" count="1" selected="0">
            <x v="905"/>
          </reference>
        </references>
      </pivotArea>
    </format>
    <format dxfId="283">
      <pivotArea outline="0" fieldPosition="0">
        <references count="4">
          <reference field="1" count="8" selected="0">
            <x v="0"/>
            <x v="1"/>
            <x v="2"/>
            <x v="3"/>
            <x v="5"/>
            <x v="6"/>
            <x v="7"/>
            <x v="8"/>
          </reference>
          <reference field="2" count="0" selected="0"/>
          <reference field="3" count="1" selected="0">
            <x v="20"/>
          </reference>
          <reference field="7" count="3" selected="0">
            <x v="715"/>
            <x v="737"/>
            <x v="756"/>
          </reference>
        </references>
      </pivotArea>
    </format>
    <format dxfId="282">
      <pivotArea dataOnly="0" labelOnly="1" outline="0" fieldPosition="0">
        <references count="3">
          <reference field="2" count="0" selected="0"/>
          <reference field="3" count="1" selected="0">
            <x v="20"/>
          </reference>
          <reference field="7" count="3">
            <x v="715"/>
            <x v="737"/>
            <x v="756"/>
          </reference>
        </references>
      </pivotArea>
    </format>
    <format dxfId="281">
      <pivotArea dataOnly="0" outline="0" fieldPosition="0">
        <references count="1">
          <reference field="7" count="1">
            <x v="741"/>
          </reference>
        </references>
      </pivotArea>
    </format>
    <format dxfId="280">
      <pivotArea outline="0" fieldPosition="0">
        <references count="4">
          <reference field="1" count="1" selected="0">
            <x v="8"/>
          </reference>
          <reference field="2" count="0" selected="0"/>
          <reference field="3" count="1" selected="0">
            <x v="23"/>
          </reference>
          <reference field="7" count="1" selected="0">
            <x v="1080"/>
          </reference>
        </references>
      </pivotArea>
    </format>
    <format dxfId="279">
      <pivotArea outline="0" fieldPosition="0">
        <references count="4">
          <reference field="1" count="1" selected="0">
            <x v="9"/>
          </reference>
          <reference field="2" count="0" selected="0"/>
          <reference field="3" count="1" selected="0">
            <x v="23"/>
          </reference>
          <reference field="7" count="1" selected="0">
            <x v="893"/>
          </reference>
        </references>
      </pivotArea>
    </format>
    <format dxfId="278">
      <pivotArea outline="0" fieldPosition="0">
        <references count="4">
          <reference field="1" count="1" selected="0">
            <x v="9"/>
          </reference>
          <reference field="2" count="0" selected="0"/>
          <reference field="3" count="1" selected="0">
            <x v="23"/>
          </reference>
          <reference field="7" count="1" selected="0">
            <x v="1085"/>
          </reference>
        </references>
      </pivotArea>
    </format>
    <format dxfId="277">
      <pivotArea outline="0" fieldPosition="0">
        <references count="4">
          <reference field="1" count="1" selected="0">
            <x v="8"/>
          </reference>
          <reference field="2" count="0" selected="0"/>
          <reference field="3" count="1" selected="0">
            <x v="23"/>
          </reference>
          <reference field="7" count="1" selected="0">
            <x v="1088"/>
          </reference>
        </references>
      </pivotArea>
    </format>
    <format dxfId="276">
      <pivotArea outline="0" fieldPosition="0">
        <references count="3">
          <reference field="2" count="0" selected="0"/>
          <reference field="3" count="1" selected="0">
            <x v="26"/>
          </reference>
          <reference field="7" count="1" selected="0">
            <x v="1054"/>
          </reference>
        </references>
      </pivotArea>
    </format>
    <format dxfId="275">
      <pivotArea dataOnly="0" labelOnly="1" outline="0" fieldPosition="0">
        <references count="3">
          <reference field="2" count="0" selected="0"/>
          <reference field="3" count="1" selected="0">
            <x v="26"/>
          </reference>
          <reference field="7" count="1">
            <x v="1054"/>
          </reference>
        </references>
      </pivotArea>
    </format>
    <format dxfId="274">
      <pivotArea outline="0" fieldPosition="0">
        <references count="3">
          <reference field="2" count="0" selected="0"/>
          <reference field="3" count="1" selected="0">
            <x v="26"/>
          </reference>
          <reference field="7" count="1" selected="0">
            <x v="812"/>
          </reference>
        </references>
      </pivotArea>
    </format>
    <format dxfId="273">
      <pivotArea dataOnly="0" labelOnly="1" outline="0" offset="IV8" fieldPosition="0">
        <references count="1">
          <reference field="2" count="0"/>
        </references>
      </pivotArea>
    </format>
    <format dxfId="272">
      <pivotArea dataOnly="0" labelOnly="1" outline="0" offset="IV8" fieldPosition="0">
        <references count="2">
          <reference field="2" count="0" selected="0"/>
          <reference field="3" count="1">
            <x v="26"/>
          </reference>
        </references>
      </pivotArea>
    </format>
    <format dxfId="271">
      <pivotArea dataOnly="0" labelOnly="1" outline="0" fieldPosition="0">
        <references count="3">
          <reference field="2" count="0" selected="0"/>
          <reference field="3" count="1" selected="0">
            <x v="26"/>
          </reference>
          <reference field="7" count="1">
            <x v="812"/>
          </reference>
        </references>
      </pivotArea>
    </format>
    <format dxfId="270">
      <pivotArea outline="0" fieldPosition="0">
        <references count="3">
          <reference field="2" count="0" selected="0"/>
          <reference field="3" count="1" selected="0">
            <x v="26"/>
          </reference>
          <reference field="7" count="1" selected="0">
            <x v="861"/>
          </reference>
        </references>
      </pivotArea>
    </format>
    <format dxfId="269">
      <pivotArea dataOnly="0" labelOnly="1" outline="0" offset="IV10" fieldPosition="0">
        <references count="1">
          <reference field="2" count="0"/>
        </references>
      </pivotArea>
    </format>
    <format dxfId="268">
      <pivotArea dataOnly="0" labelOnly="1" outline="0" offset="IV10" fieldPosition="0">
        <references count="2">
          <reference field="2" count="0" selected="0"/>
          <reference field="3" count="1">
            <x v="26"/>
          </reference>
        </references>
      </pivotArea>
    </format>
    <format dxfId="267">
      <pivotArea dataOnly="0" labelOnly="1" outline="0" fieldPosition="0">
        <references count="3">
          <reference field="2" count="0" selected="0"/>
          <reference field="3" count="1" selected="0">
            <x v="26"/>
          </reference>
          <reference field="7" count="1">
            <x v="861"/>
          </reference>
        </references>
      </pivotArea>
    </format>
    <format dxfId="266">
      <pivotArea outline="0" fieldPosition="0">
        <references count="4">
          <reference field="1" count="9" selected="0">
            <x v="0"/>
            <x v="2"/>
            <x v="3"/>
            <x v="5"/>
            <x v="6"/>
            <x v="7"/>
            <x v="8"/>
            <x v="9"/>
            <x v="11"/>
          </reference>
          <reference field="2" count="0" selected="0"/>
          <reference field="3" count="1" selected="0">
            <x v="23"/>
          </reference>
          <reference field="7" count="1" selected="0">
            <x v="1056"/>
          </reference>
        </references>
      </pivotArea>
    </format>
    <format dxfId="265">
      <pivotArea dataOnly="0" labelOnly="1" outline="0" fieldPosition="0">
        <references count="3">
          <reference field="2" count="0" selected="0"/>
          <reference field="3" count="1" selected="0">
            <x v="23"/>
          </reference>
          <reference field="7" count="1">
            <x v="1056"/>
          </reference>
        </references>
      </pivotArea>
    </format>
    <format dxfId="264">
      <pivotArea outline="0" fieldPosition="0">
        <references count="3">
          <reference field="2" count="0" selected="0"/>
          <reference field="3" count="1" selected="0">
            <x v="23"/>
          </reference>
          <reference field="7" count="1" selected="0">
            <x v="1056"/>
          </reference>
        </references>
      </pivotArea>
    </format>
    <format dxfId="263">
      <pivotArea dataOnly="0" labelOnly="1" outline="0" offset="IV10" fieldPosition="0">
        <references count="1">
          <reference field="2" count="0"/>
        </references>
      </pivotArea>
    </format>
    <format dxfId="262">
      <pivotArea dataOnly="0" labelOnly="1" outline="0" offset="IV10" fieldPosition="0">
        <references count="2">
          <reference field="2" count="0" selected="0"/>
          <reference field="3" count="1">
            <x v="23"/>
          </reference>
        </references>
      </pivotArea>
    </format>
    <format dxfId="261">
      <pivotArea dataOnly="0" labelOnly="1" outline="0" fieldPosition="0">
        <references count="3">
          <reference field="2" count="0" selected="0"/>
          <reference field="3" count="1" selected="0">
            <x v="23"/>
          </reference>
          <reference field="7" count="1">
            <x v="105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000-000000000000}" name="TablaDinámica2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gridDropZones="1" multipleFieldFilters="0">
  <location ref="A4:O34" firstHeaderRow="1" firstDataRow="2" firstDataCol="2" rowPageCount="2" colPageCount="1"/>
  <pivotFields count="14">
    <pivotField compact="0" outline="0" showAll="0"/>
    <pivotField axis="axisCol" compact="0" outline="0" showAll="0" defaultSubtotal="0">
      <items count="13">
        <item x="0"/>
        <item x="2"/>
        <item x="3"/>
        <item x="4"/>
        <item x="1"/>
        <item x="5"/>
        <item x="6"/>
        <item x="7"/>
        <item x="8"/>
        <item x="9"/>
        <item x="10"/>
        <item x="11"/>
        <item x="12"/>
      </items>
    </pivotField>
    <pivotField axis="axisPage" compact="0" outline="0" multipleItemSelectionAllowed="1" showAll="0" sortType="ascending">
      <items count="60">
        <item h="1" x="53"/>
        <item h="1" x="0"/>
        <item h="1" x="1"/>
        <item h="1" x="51"/>
        <item h="1" x="2"/>
        <item h="1" x="3"/>
        <item h="1" x="46"/>
        <item h="1" x="6"/>
        <item h="1" x="7"/>
        <item h="1" x="8"/>
        <item h="1" x="11"/>
        <item h="1" x="12"/>
        <item h="1" x="13"/>
        <item h="1" x="14"/>
        <item h="1" x="15"/>
        <item h="1" x="16"/>
        <item h="1" x="17"/>
        <item h="1" x="52"/>
        <item h="1" x="18"/>
        <item h="1" x="19"/>
        <item h="1" x="20"/>
        <item h="1" x="50"/>
        <item h="1" x="48"/>
        <item h="1" x="55"/>
        <item h="1" x="21"/>
        <item h="1" x="22"/>
        <item h="1" x="4"/>
        <item x="29"/>
        <item h="1" x="27"/>
        <item h="1" x="5"/>
        <item h="1" x="44"/>
        <item h="1" x="45"/>
        <item h="1" x="25"/>
        <item h="1" m="1" x="57"/>
        <item h="1" x="9"/>
        <item h="1" x="10"/>
        <item h="1" x="26"/>
        <item h="1" x="41"/>
        <item h="1" x="42"/>
        <item h="1" x="32"/>
        <item h="1" x="33"/>
        <item h="1" x="34"/>
        <item h="1" x="35"/>
        <item h="1" x="36"/>
        <item h="1" x="37"/>
        <item h="1" x="40"/>
        <item h="1" x="38"/>
        <item h="1" x="24"/>
        <item h="1" x="39"/>
        <item h="1" x="30"/>
        <item h="1" x="43"/>
        <item h="1" x="31"/>
        <item h="1" x="28"/>
        <item h="1" x="56"/>
        <item h="1" x="49"/>
        <item h="1" x="47"/>
        <item h="1" x="54"/>
        <item h="1" m="1" x="58"/>
        <item h="1" x="23"/>
        <item t="default"/>
      </items>
    </pivotField>
    <pivotField axis="axisPage" compact="0" outline="0" showAll="0" defaultSubtotal="0">
      <items count="59">
        <item x="28"/>
        <item x="14"/>
        <item x="9"/>
        <item x="11"/>
        <item x="38"/>
        <item x="40"/>
        <item x="24"/>
        <item x="7"/>
        <item x="15"/>
        <item x="41"/>
        <item x="42"/>
        <item x="34"/>
        <item x="35"/>
        <item x="31"/>
        <item x="32"/>
        <item x="33"/>
        <item x="36"/>
        <item x="37"/>
        <item x="21"/>
        <item x="43"/>
        <item x="39"/>
        <item x="30"/>
        <item x="10"/>
        <item x="20"/>
        <item x="19"/>
        <item x="13"/>
        <item x="46"/>
        <item x="2"/>
        <item x="0"/>
        <item x="1"/>
        <item x="4"/>
        <item x="26"/>
        <item x="3"/>
        <item x="47"/>
        <item x="8"/>
        <item x="44"/>
        <item x="45"/>
        <item x="29"/>
        <item x="5"/>
        <item x="6"/>
        <item x="48"/>
        <item x="12"/>
        <item x="16"/>
        <item x="22"/>
        <item x="17"/>
        <item x="18"/>
        <item x="23"/>
        <item x="54"/>
        <item x="51"/>
        <item x="50"/>
        <item x="27"/>
        <item x="25"/>
        <item x="53"/>
        <item x="52"/>
        <item x="49"/>
        <item m="1" x="57"/>
        <item sd="0" m="1" x="58"/>
        <item x="56"/>
        <item x="55"/>
      </items>
    </pivotField>
    <pivotField dataField="1" compact="0" outline="0" showAll="0"/>
    <pivotField compact="0" outline="0" showAll="0"/>
    <pivotField compact="0" outline="0" showAll="0"/>
    <pivotField axis="axisRow" compact="0" outline="0" showAll="0" sortType="ascending">
      <items count="739">
        <item x="30"/>
        <item x="284"/>
        <item x="74"/>
        <item x="209"/>
        <item x="285"/>
        <item x="477"/>
        <item x="184"/>
        <item x="379"/>
        <item x="536"/>
        <item x="255"/>
        <item x="516"/>
        <item x="439"/>
        <item x="311"/>
        <item x="389"/>
        <item x="648"/>
        <item x="639"/>
        <item x="598"/>
        <item x="530"/>
        <item x="387"/>
        <item x="569"/>
        <item x="487"/>
        <item x="36"/>
        <item x="80"/>
        <item x="449"/>
        <item x="555"/>
        <item x="49"/>
        <item x="89"/>
        <item x="44"/>
        <item x="88"/>
        <item x="341"/>
        <item x="489"/>
        <item x="627"/>
        <item x="287"/>
        <item x="90"/>
        <item x="603"/>
        <item x="475"/>
        <item x="93"/>
        <item x="709"/>
        <item x="37"/>
        <item x="263"/>
        <item x="186"/>
        <item x="685"/>
        <item x="470"/>
        <item x="183"/>
        <item x="465"/>
        <item x="541"/>
        <item x="492"/>
        <item x="540"/>
        <item x="362"/>
        <item x="41"/>
        <item x="505"/>
        <item x="216"/>
        <item x="726"/>
        <item x="31"/>
        <item x="142"/>
        <item x="270"/>
        <item x="605"/>
        <item x="634"/>
        <item x="478"/>
        <item x="334"/>
        <item x="368"/>
        <item x="272"/>
        <item x="224"/>
        <item x="211"/>
        <item x="3"/>
        <item x="100"/>
        <item x="6"/>
        <item x="342"/>
        <item x="696"/>
        <item x="706"/>
        <item x="652"/>
        <item x="653"/>
        <item x="234"/>
        <item x="235"/>
        <item x="390"/>
        <item x="391"/>
        <item x="574"/>
        <item x="575"/>
        <item x="152"/>
        <item x="153"/>
        <item x="538"/>
        <item x="539"/>
        <item x="490"/>
        <item x="491"/>
        <item x="336"/>
        <item x="337"/>
        <item x="436"/>
        <item x="437"/>
        <item x="714"/>
        <item x="715"/>
        <item x="655"/>
        <item x="656"/>
        <item x="615"/>
        <item x="616"/>
        <item x="274"/>
        <item x="275"/>
        <item x="283"/>
        <item x="0"/>
        <item x="210"/>
        <item x="326"/>
        <item x="633"/>
        <item x="654"/>
        <item x="707"/>
        <item x="327"/>
        <item x="392"/>
        <item x="427"/>
        <item x="495"/>
        <item x="577"/>
        <item x="567"/>
        <item x="528"/>
        <item x="382"/>
        <item x="428"/>
        <item x="481"/>
        <item x="529"/>
        <item x="568"/>
        <item x="609"/>
        <item x="644"/>
        <item x="705"/>
        <item x="351"/>
        <item x="4"/>
        <item x="132"/>
        <item x="354"/>
        <item x="217"/>
        <item x="218"/>
        <item x="76"/>
        <item x="196"/>
        <item x="424"/>
        <item x="195"/>
        <item x="565"/>
        <item x="496"/>
        <item x="689"/>
        <item x="646"/>
        <item x="647"/>
        <item x="643"/>
        <item x="651"/>
        <item x="636"/>
        <item x="265"/>
        <item x="438"/>
        <item x="323"/>
        <item x="385"/>
        <item x="365"/>
        <item x="476"/>
        <item x="434"/>
        <item x="352"/>
        <item x="420"/>
        <item x="50"/>
        <item x="96"/>
        <item x="419"/>
        <item x="454"/>
        <item x="405"/>
        <item x="307"/>
        <item x="309"/>
        <item x="106"/>
        <item x="238"/>
        <item x="713"/>
        <item x="86"/>
        <item x="266"/>
        <item x="62"/>
        <item x="199"/>
        <item x="433"/>
        <item x="166"/>
        <item x="167"/>
        <item x="600"/>
        <item x="659"/>
        <item x="642"/>
        <item x="562"/>
        <item x="469"/>
        <item x="353"/>
        <item x="548"/>
        <item x="725"/>
        <item x="108"/>
        <item x="233"/>
        <item x="511"/>
        <item x="450"/>
        <item x="298"/>
        <item x="404"/>
        <item x="658"/>
        <item x="629"/>
        <item x="232"/>
        <item x="512"/>
        <item x="632"/>
        <item x="467"/>
        <item x="683"/>
        <item x="596"/>
        <item x="109"/>
        <item x="473"/>
        <item x="493"/>
        <item x="517"/>
        <item x="533"/>
        <item x="366"/>
        <item x="375"/>
        <item x="150"/>
        <item x="244"/>
        <item x="200"/>
        <item x="332"/>
        <item x="343"/>
        <item x="154"/>
        <item x="237"/>
        <item x="570"/>
        <item x="384"/>
        <item x="264"/>
        <item x="524"/>
        <item x="376"/>
        <item x="330"/>
        <item x="140"/>
        <item x="319"/>
        <item x="482"/>
        <item x="177"/>
        <item x="485"/>
        <item x="172"/>
        <item x="215"/>
        <item x="588"/>
        <item x="554"/>
        <item x="504"/>
        <item x="626"/>
        <item x="671"/>
        <item x="120"/>
        <item x="331"/>
        <item x="250"/>
        <item x="53"/>
        <item x="113"/>
        <item x="78"/>
        <item x="279"/>
        <item x="219"/>
        <item x="51"/>
        <item x="202"/>
        <item x="727"/>
        <item x="197"/>
        <item x="292"/>
        <item x="673"/>
        <item x="181"/>
        <item x="371"/>
        <item x="182"/>
        <item x="159"/>
        <item x="317"/>
        <item x="291"/>
        <item x="708"/>
        <item x="123"/>
        <item x="122"/>
        <item x="125"/>
        <item x="103"/>
        <item x="102"/>
        <item x="260"/>
        <item x="483"/>
        <item x="115"/>
        <item x="542"/>
        <item x="355"/>
        <item x="299"/>
        <item x="459"/>
        <item x="463"/>
        <item x="356"/>
        <item x="531"/>
        <item x="58"/>
        <item x="7"/>
        <item x="448"/>
        <item x="26"/>
        <item x="160"/>
        <item x="14"/>
        <item x="61"/>
        <item x="185"/>
        <item x="144"/>
        <item x="704"/>
        <item x="604"/>
        <item x="712"/>
        <item x="488"/>
        <item x="131"/>
        <item x="118"/>
        <item x="130"/>
        <item x="231"/>
        <item x="674"/>
        <item x="230"/>
        <item x="117"/>
        <item x="229"/>
        <item x="349"/>
        <item x="402"/>
        <item x="445"/>
        <item x="393"/>
        <item x="381"/>
        <item x="8"/>
        <item x="205"/>
        <item x="580"/>
        <item x="619"/>
        <item x="552"/>
        <item x="582"/>
        <item x="583"/>
        <item x="621"/>
        <item x="676"/>
        <item x="720"/>
        <item x="719"/>
        <item x="503"/>
        <item x="622"/>
        <item x="677"/>
        <item x="721"/>
        <item x="296"/>
        <item x="297"/>
        <item x="350"/>
        <item x="403"/>
        <item x="446"/>
        <item x="553"/>
        <item x="581"/>
        <item x="620"/>
        <item x="675"/>
        <item x="718"/>
        <item x="40"/>
        <item x="165"/>
        <item x="54"/>
        <item x="16"/>
        <item x="146"/>
        <item x="141"/>
        <item x="432"/>
        <item x="46"/>
        <item x="280"/>
        <item x="506"/>
        <item x="702"/>
        <item x="107"/>
        <item x="21"/>
        <item x="149"/>
        <item x="28"/>
        <item x="245"/>
        <item x="660"/>
        <item x="313"/>
        <item x="288"/>
        <item x="286"/>
        <item x="163"/>
        <item x="87"/>
        <item x="206"/>
        <item x="119"/>
        <item x="693"/>
        <item x="698"/>
        <item x="535"/>
        <item x="198"/>
        <item x="635"/>
        <item x="338"/>
        <item x="571"/>
        <item x="699"/>
        <item x="486"/>
        <item x="136"/>
        <item x="281"/>
        <item x="456"/>
        <item x="357"/>
        <item x="75"/>
        <item x="189"/>
        <item x="249"/>
        <item x="59"/>
        <item x="139"/>
        <item x="377"/>
        <item x="247"/>
        <item x="94"/>
        <item x="460"/>
        <item x="220"/>
        <item x="24"/>
        <item x="155"/>
        <item x="34"/>
        <item x="318"/>
        <item x="315"/>
        <item x="543"/>
        <item x="507"/>
        <item x="728"/>
        <item x="661"/>
        <item x="630"/>
        <item x="455"/>
        <item x="358"/>
        <item x="406"/>
        <item x="110"/>
        <item x="305"/>
        <item x="111"/>
        <item x="112"/>
        <item x="81"/>
        <item x="99"/>
        <item x="261"/>
        <item x="236"/>
        <item x="611"/>
        <item x="5"/>
        <item x="192"/>
        <item x="694"/>
        <item x="498"/>
        <item x="409"/>
        <item x="464"/>
        <item x="359"/>
        <item x="729"/>
        <item x="221"/>
        <item x="42"/>
        <item x="92"/>
        <item x="212"/>
        <item x="468"/>
        <item x="253"/>
        <item x="19"/>
        <item x="242"/>
        <item x="300"/>
        <item x="248"/>
        <item x="91"/>
        <item x="373"/>
        <item x="474"/>
        <item x="395"/>
        <item x="369"/>
        <item x="173"/>
        <item x="388"/>
        <item x="686"/>
        <item x="252"/>
        <item x="138"/>
        <item x="95"/>
        <item x="33"/>
        <item x="83"/>
        <item x="239"/>
        <item x="277"/>
        <item x="169"/>
        <item x="430"/>
        <item x="48"/>
        <item x="45"/>
        <item x="306"/>
        <item x="213"/>
        <item x="17"/>
        <item x="599"/>
        <item x="374"/>
        <item x="312"/>
        <item x="564"/>
        <item x="324"/>
        <item x="329"/>
        <item x="97"/>
        <item x="730"/>
        <item x="515"/>
        <item x="10"/>
        <item x="47"/>
        <item x="176"/>
        <item x="9"/>
        <item x="257"/>
        <item x="526"/>
        <item x="63"/>
        <item x="35"/>
        <item x="168"/>
        <item x="631"/>
        <item x="589"/>
        <item x="590"/>
        <item x="591"/>
        <item x="64"/>
        <item x="203"/>
        <item x="262"/>
        <item x="421"/>
        <item x="84"/>
        <item x="431"/>
        <item x="11"/>
        <item x="157"/>
        <item x="558"/>
        <item x="60"/>
        <item x="82"/>
        <item x="175"/>
        <item x="72"/>
        <item x="191"/>
        <item x="194"/>
        <item x="193"/>
        <item x="613"/>
        <item x="52"/>
        <item x="563"/>
        <item x="525"/>
        <item x="101"/>
        <item x="151"/>
        <item x="269"/>
        <item x="731"/>
        <item x="682"/>
        <item x="412"/>
        <item x="273"/>
        <item x="71"/>
        <item x="170"/>
        <item x="190"/>
        <item x="378"/>
        <item x="335"/>
        <item x="410"/>
        <item x="367"/>
        <item x="544"/>
        <item x="701"/>
        <item x="364"/>
        <item x="662"/>
        <item x="732"/>
        <item x="282"/>
        <item x="457"/>
        <item x="508"/>
        <item x="545"/>
        <item x="534"/>
        <item x="462"/>
        <item x="461"/>
        <item x="546"/>
        <item x="408"/>
        <item x="43"/>
        <item x="137"/>
        <item x="25"/>
        <item x="158"/>
        <item x="458"/>
        <item x="222"/>
        <item x="301"/>
        <item x="66"/>
        <item x="695"/>
        <item x="641"/>
        <item x="70"/>
        <item x="69"/>
        <item x="657"/>
        <item x="360"/>
        <item x="254"/>
        <item x="39"/>
        <item x="246"/>
        <item x="415"/>
        <item x="576"/>
        <item x="700"/>
        <item x="416"/>
        <item x="289"/>
        <item x="156"/>
        <item x="179"/>
        <item x="411"/>
        <item x="321"/>
        <item x="124"/>
        <item x="663"/>
        <item x="733"/>
        <item x="148"/>
        <item x="664"/>
        <item x="188"/>
        <item x="340"/>
        <item x="665"/>
        <item x="666"/>
        <item x="734"/>
        <item x="561"/>
        <item x="572"/>
        <item x="509"/>
        <item x="407"/>
        <item x="316"/>
        <item x="559"/>
        <item x="308"/>
        <item x="256"/>
        <item x="180"/>
        <item x="522"/>
        <item x="592"/>
        <item x="593"/>
        <item x="594"/>
        <item x="67"/>
        <item x="310"/>
        <item x="171"/>
        <item x="143"/>
        <item x="98"/>
        <item x="240"/>
        <item x="32"/>
        <item x="55"/>
        <item x="178"/>
        <item x="521"/>
        <item x="595"/>
        <item x="302"/>
        <item x="56"/>
        <item x="57"/>
        <item x="532"/>
        <item x="610"/>
        <item x="597"/>
        <item x="268"/>
        <item x="612"/>
        <item x="422"/>
        <item x="618"/>
        <item x="174"/>
        <item x="383"/>
        <item x="259"/>
        <item x="608"/>
        <item x="484"/>
        <item x="417"/>
        <item x="320"/>
        <item x="523"/>
        <item x="637"/>
        <item x="413"/>
        <item x="452"/>
        <item x="187"/>
        <item x="258"/>
        <item x="451"/>
        <item x="453"/>
        <item x="418"/>
        <item x="510"/>
        <item x="423"/>
        <item x="667"/>
        <item x="23"/>
        <item x="520"/>
        <item x="161"/>
        <item x="640"/>
        <item x="77"/>
        <item x="251"/>
        <item x="703"/>
        <item x="372"/>
        <item x="162"/>
        <item x="735"/>
        <item x="29"/>
        <item x="164"/>
        <item x="20"/>
        <item x="547"/>
        <item x="278"/>
        <item x="560"/>
        <item x="322"/>
        <item x="513"/>
        <item x="386"/>
        <item x="271"/>
        <item x="314"/>
        <item x="607"/>
        <item x="105"/>
        <item x="241"/>
        <item x="681"/>
        <item x="466"/>
        <item x="129"/>
        <item x="22"/>
        <item x="134"/>
        <item x="606"/>
        <item x="133"/>
        <item x="578"/>
        <item x="425"/>
        <item x="290"/>
        <item x="27"/>
        <item x="267"/>
        <item x="370"/>
        <item x="207"/>
        <item x="692"/>
        <item x="518"/>
        <item x="602"/>
        <item x="243"/>
        <item x="472"/>
        <item x="65"/>
        <item x="684"/>
        <item x="116"/>
        <item x="556"/>
        <item x="557"/>
        <item x="737"/>
        <item x="208"/>
        <item x="645"/>
        <item x="514"/>
        <item x="566"/>
        <item x="527"/>
        <item x="480"/>
        <item x="426"/>
        <item x="711"/>
        <item x="617"/>
        <item x="380"/>
        <item x="325"/>
        <item x="73"/>
        <item x="587"/>
        <item x="447"/>
        <item x="345"/>
        <item x="440"/>
        <item x="499"/>
        <item x="114"/>
        <item x="225"/>
        <item x="396"/>
        <item x="15"/>
        <item x="145"/>
        <item x="333"/>
        <item x="668"/>
        <item x="135"/>
        <item x="669"/>
        <item x="736"/>
        <item x="690"/>
        <item x="201"/>
        <item x="79"/>
        <item x="519"/>
        <item x="697"/>
        <item x="688"/>
        <item x="687"/>
        <item x="303"/>
        <item x="68"/>
        <item x="363"/>
        <item x="650"/>
        <item x="361"/>
        <item x="223"/>
        <item x="18"/>
        <item x="497"/>
        <item x="471"/>
        <item x="147"/>
        <item x="691"/>
        <item x="479"/>
        <item x="414"/>
        <item x="38"/>
        <item x="670"/>
        <item x="2"/>
        <item x="344"/>
        <item x="537"/>
        <item x="710"/>
        <item x="204"/>
        <item x="494"/>
        <item x="435"/>
        <item x="276"/>
        <item x="394"/>
        <item x="614"/>
        <item x="601"/>
        <item x="573"/>
        <item x="649"/>
        <item x="716"/>
        <item x="672"/>
        <item x="628"/>
        <item x="398"/>
        <item x="214"/>
        <item x="121"/>
        <item x="441"/>
        <item x="13"/>
        <item x="104"/>
        <item x="429"/>
        <item x="12"/>
        <item x="397"/>
        <item x="339"/>
        <item x="579"/>
        <item x="717"/>
        <item x="328"/>
        <item x="584"/>
        <item x="295"/>
        <item x="625"/>
        <item x="679"/>
        <item x="550"/>
        <item x="502"/>
        <item x="128"/>
        <item x="623"/>
        <item x="348"/>
        <item x="228"/>
        <item x="723"/>
        <item x="680"/>
        <item x="401"/>
        <item x="293"/>
        <item x="294"/>
        <item x="444"/>
        <item x="551"/>
        <item x="585"/>
        <item x="501"/>
        <item x="126"/>
        <item x="127"/>
        <item x="678"/>
        <item x="346"/>
        <item x="549"/>
        <item x="724"/>
        <item x="226"/>
        <item x="227"/>
        <item x="347"/>
        <item x="500"/>
        <item x="400"/>
        <item x="722"/>
        <item x="586"/>
        <item x="443"/>
        <item x="399"/>
        <item x="624"/>
        <item x="442"/>
        <item x="85"/>
        <item x="638"/>
        <item x="304"/>
        <item x="1"/>
        <item t="default"/>
      </items>
    </pivotField>
    <pivotField compact="0" outline="0" showAl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9">
        <item x="1"/>
        <item x="3"/>
        <item m="1" x="8"/>
        <item x="2"/>
        <item m="1" x="7"/>
        <item m="1" x="6"/>
        <item x="4"/>
        <item x="0"/>
        <item x="5"/>
      </items>
    </pivotField>
  </pivotFields>
  <rowFields count="2">
    <field x="13"/>
    <field x="7"/>
  </rowFields>
  <rowItems count="29">
    <i>
      <x v="7"/>
      <x v="44"/>
    </i>
    <i r="1">
      <x v="48"/>
    </i>
    <i r="1">
      <x v="49"/>
    </i>
    <i r="1">
      <x v="50"/>
    </i>
    <i r="1">
      <x v="51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 r="1">
      <x v="408"/>
    </i>
    <i r="1">
      <x v="410"/>
    </i>
    <i r="1">
      <x v="513"/>
    </i>
    <i r="1">
      <x v="584"/>
    </i>
    <i r="1">
      <x v="614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pageFields count="2">
    <pageField fld="2" hier="-1"/>
    <pageField fld="3" hier="-1"/>
  </pageFields>
  <dataFields count="1">
    <dataField name="Suma de Monto" fld="4" baseField="3" baseItem="27" numFmtId="38"/>
  </dataFields>
  <formats count="231">
    <format dxfId="259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44"/>
          </reference>
          <reference field="7" count="11" selected="0">
            <x v="2"/>
            <x v="3"/>
            <x v="97"/>
            <x v="218"/>
            <x v="322"/>
            <x v="340"/>
            <x v="341"/>
            <x v="342"/>
            <x v="563"/>
            <x v="564"/>
            <x v="669"/>
          </reference>
        </references>
      </pivotArea>
    </format>
    <format dxfId="258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4"/>
          </reference>
          <reference field="7" count="1" selected="0">
            <x v="563"/>
          </reference>
        </references>
      </pivotArea>
    </format>
    <format dxfId="257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4"/>
          </reference>
          <reference field="7" count="6" selected="0">
            <x v="3"/>
            <x v="97"/>
            <x v="218"/>
            <x v="322"/>
            <x v="340"/>
            <x v="341"/>
          </reference>
        </references>
      </pivotArea>
    </format>
    <format dxfId="256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4"/>
          </reference>
          <reference field="7" count="1" selected="0">
            <x v="98"/>
          </reference>
        </references>
      </pivotArea>
    </format>
    <format dxfId="255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44"/>
          </reference>
          <reference field="7" count="1" selected="0">
            <x v="564"/>
          </reference>
        </references>
      </pivotArea>
    </format>
    <format dxfId="254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44"/>
          </reference>
          <reference field="7" count="3" selected="0">
            <x v="97"/>
            <x v="218"/>
            <x v="322"/>
          </reference>
        </references>
      </pivotArea>
    </format>
    <format dxfId="253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44"/>
          </reference>
          <reference field="7" count="1" selected="0">
            <x v="98"/>
          </reference>
        </references>
      </pivotArea>
    </format>
    <format dxfId="252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1"/>
          </reference>
          <reference field="7" count="4" selected="0">
            <x v="97"/>
            <x v="170"/>
            <x v="620"/>
            <x v="631"/>
          </reference>
        </references>
      </pivotArea>
    </format>
    <format dxfId="251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1"/>
          </reference>
          <reference field="7" count="1" selected="0">
            <x v="620"/>
          </reference>
        </references>
      </pivotArea>
    </format>
    <format dxfId="250">
      <pivotArea outline="0" fieldPosition="0">
        <references count="4">
          <reference field="1" count="1" selected="0">
            <x v="0"/>
          </reference>
          <reference field="2" count="1" selected="0">
            <x v="14"/>
          </reference>
          <reference field="3" count="1" selected="0">
            <x v="8"/>
          </reference>
          <reference field="7" count="4" selected="0">
            <x v="97"/>
            <x v="170"/>
            <x v="620"/>
            <x v="631"/>
          </reference>
        </references>
      </pivotArea>
    </format>
    <format dxfId="249">
      <pivotArea outline="0" fieldPosition="0">
        <references count="4">
          <reference field="1" count="1" selected="0">
            <x v="1"/>
          </reference>
          <reference field="2" count="1" selected="0">
            <x v="14"/>
          </reference>
          <reference field="3" count="1" selected="0">
            <x v="8"/>
          </reference>
          <reference field="7" count="1" selected="0">
            <x v="620"/>
          </reference>
        </references>
      </pivotArea>
    </format>
    <format dxfId="248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42"/>
          </reference>
          <reference field="7" count="3" selected="0">
            <x v="97"/>
            <x v="170"/>
            <x v="340"/>
          </reference>
        </references>
      </pivotArea>
    </format>
    <format dxfId="247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2"/>
          </reference>
          <reference field="7" count="1" selected="0">
            <x v="340"/>
          </reference>
        </references>
      </pivotArea>
    </format>
    <format dxfId="246">
      <pivotArea outline="0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42"/>
          </reference>
          <reference field="7" count="1" selected="0">
            <x v="171"/>
          </reference>
        </references>
      </pivotArea>
    </format>
    <format dxfId="245">
      <pivotArea outline="0" fieldPosition="0">
        <references count="4">
          <reference field="1" count="1" selected="0">
            <x v="2"/>
          </reference>
          <reference field="2" count="1" selected="0">
            <x v="15"/>
          </reference>
          <reference field="3" count="1" selected="0">
            <x v="42"/>
          </reference>
          <reference field="7" count="1" selected="0">
            <x v="218"/>
          </reference>
        </references>
      </pivotArea>
    </format>
    <format dxfId="244">
      <pivotArea outline="0" fieldPosition="0">
        <references count="4">
          <reference field="1" count="3" selected="0">
            <x v="0"/>
            <x v="1"/>
            <x v="2"/>
          </reference>
          <reference field="2" count="1" selected="0">
            <x v="29"/>
          </reference>
          <reference field="3" count="1" selected="0">
            <x v="38"/>
          </reference>
          <reference field="7" count="8" selected="0">
            <x v="9"/>
            <x v="25"/>
            <x v="26"/>
            <x v="32"/>
            <x v="97"/>
            <x v="170"/>
            <x v="171"/>
            <x v="174"/>
          </reference>
        </references>
      </pivotArea>
    </format>
    <format dxfId="243">
      <pivotArea outline="0" fieldPosition="0">
        <references count="4">
          <reference field="1" count="2" selected="0">
            <x v="0"/>
            <x v="1"/>
          </reference>
          <reference field="2" count="1" selected="0">
            <x v="30"/>
          </reference>
          <reference field="3" count="1" selected="0">
            <x v="35"/>
          </reference>
          <reference field="7" count="3" selected="0">
            <x v="78"/>
            <x v="94"/>
            <x v="170"/>
          </reference>
        </references>
      </pivotArea>
    </format>
    <format dxfId="242">
      <pivotArea outline="0" fieldPosition="0">
        <references count="4">
          <reference field="1" count="1" selected="0">
            <x v="1"/>
          </reference>
          <reference field="2" count="1" selected="0">
            <x v="30"/>
          </reference>
          <reference field="3" count="1" selected="0">
            <x v="35"/>
          </reference>
          <reference field="7" count="1" selected="0">
            <x v="171"/>
          </reference>
        </references>
      </pivotArea>
    </format>
    <format dxfId="241">
      <pivotArea outline="0" fieldPosition="0">
        <references count="4">
          <reference field="1" count="1" selected="0">
            <x v="2"/>
          </reference>
          <reference field="2" count="1" selected="0">
            <x v="30"/>
          </reference>
          <reference field="3" count="1" selected="0">
            <x v="35"/>
          </reference>
          <reference field="7" count="1" selected="0">
            <x v="72"/>
          </reference>
        </references>
      </pivotArea>
    </format>
    <format dxfId="240">
      <pivotArea outline="0" fieldPosition="0">
        <references count="4">
          <reference field="1" count="1" selected="0">
            <x v="2"/>
          </reference>
          <reference field="2" count="1" selected="0">
            <x v="30"/>
          </reference>
          <reference field="3" count="1" selected="0">
            <x v="35"/>
          </reference>
          <reference field="7" count="4" selected="0">
            <x v="94"/>
            <x v="170"/>
            <x v="171"/>
            <x v="174"/>
          </reference>
        </references>
      </pivotArea>
    </format>
    <format dxfId="239">
      <pivotArea outline="0" fieldPosition="0">
        <references count="4">
          <reference field="1" count="1" selected="0">
            <x v="2"/>
          </reference>
          <reference field="2" count="1" selected="0">
            <x v="31"/>
          </reference>
          <reference field="3" count="1" selected="0">
            <x v="36"/>
          </reference>
          <reference field="7" count="4" selected="0">
            <x v="95"/>
            <x v="170"/>
            <x v="171"/>
            <x v="174"/>
          </reference>
        </references>
      </pivotArea>
    </format>
    <format dxfId="238">
      <pivotArea outline="0" fieldPosition="0">
        <references count="4">
          <reference field="1" count="2" selected="0">
            <x v="0"/>
            <x v="1"/>
          </reference>
          <reference field="2" count="1" selected="0">
            <x v="31"/>
          </reference>
          <reference field="3" count="1" selected="0">
            <x v="36"/>
          </reference>
          <reference field="7" count="3" selected="0">
            <x v="79"/>
            <x v="95"/>
            <x v="170"/>
          </reference>
        </references>
      </pivotArea>
    </format>
    <format dxfId="237">
      <pivotArea outline="0" fieldPosition="0">
        <references count="4">
          <reference field="1" count="1" selected="0">
            <x v="1"/>
          </reference>
          <reference field="2" count="1" selected="0">
            <x v="31"/>
          </reference>
          <reference field="3" count="1" selected="0">
            <x v="36"/>
          </reference>
          <reference field="7" count="1" selected="0">
            <x v="171"/>
          </reference>
        </references>
      </pivotArea>
    </format>
    <format dxfId="236">
      <pivotArea outline="0" fieldPosition="0">
        <references count="4">
          <reference field="1" count="1" selected="0">
            <x v="2"/>
          </reference>
          <reference field="2" count="1" selected="0">
            <x v="31"/>
          </reference>
          <reference field="3" count="1" selected="0">
            <x v="36"/>
          </reference>
          <reference field="7" count="1" selected="0">
            <x v="73"/>
          </reference>
        </references>
      </pivotArea>
    </format>
    <format dxfId="235">
      <pivotArea outline="0" fieldPosition="0">
        <references count="2">
          <reference field="1" count="1" selected="0">
            <x v="0"/>
          </reference>
          <reference field="2" count="1" selected="0" defaultSubtotal="1">
            <x v="27"/>
          </reference>
        </references>
      </pivotArea>
    </format>
    <format dxfId="234">
      <pivotArea outline="0" fieldPosition="0">
        <references count="4">
          <reference field="1" count="3" selected="0">
            <x v="1"/>
            <x v="2"/>
            <x v="3"/>
          </reference>
          <reference field="2" count="1" selected="0">
            <x v="27"/>
          </reference>
          <reference field="3" count="1" selected="0">
            <x v="37"/>
          </reference>
          <reference field="7" count="9" selected="0">
            <x v="43"/>
            <x v="49"/>
            <x v="170"/>
            <x v="171"/>
            <x v="174"/>
            <x v="184"/>
            <x v="408"/>
            <x v="612"/>
            <x v="737"/>
          </reference>
        </references>
      </pivotArea>
    </format>
    <format dxfId="233">
      <pivotArea outline="0" fieldPosition="0">
        <references count="4">
          <reference field="1" count="4" selected="0">
            <x v="0"/>
            <x v="1"/>
            <x v="2"/>
            <x v="3"/>
          </reference>
          <reference field="2" count="1" selected="0">
            <x v="26"/>
          </reference>
          <reference field="3" count="1" selected="0">
            <x v="30"/>
          </reference>
          <reference field="7" count="3" selected="0">
            <x v="0"/>
            <x v="97"/>
            <x v="184"/>
          </reference>
        </references>
      </pivotArea>
    </format>
    <format dxfId="232">
      <pivotArea outline="0" fieldPosition="0">
        <references count="4">
          <reference field="1" count="4" selected="0">
            <x v="0"/>
            <x v="1"/>
            <x v="2"/>
            <x v="3"/>
          </reference>
          <reference field="2" count="1" selected="0">
            <x v="28"/>
          </reference>
          <reference field="3" count="1" selected="0">
            <x v="50"/>
          </reference>
          <reference field="7" count="35" selected="0">
            <x v="51"/>
            <x v="145"/>
            <x v="146"/>
            <x v="157"/>
            <x v="158"/>
            <x v="170"/>
            <x v="171"/>
            <x v="174"/>
            <x v="224"/>
            <x v="225"/>
            <x v="227"/>
            <x v="233"/>
            <x v="257"/>
            <x v="260"/>
            <x v="278"/>
            <x v="279"/>
            <x v="315"/>
            <x v="316"/>
            <x v="330"/>
            <x v="350"/>
            <x v="351"/>
            <x v="399"/>
            <x v="403"/>
            <x v="410"/>
            <x v="434"/>
            <x v="435"/>
            <x v="438"/>
            <x v="440"/>
            <x v="441"/>
            <x v="446"/>
            <x v="447"/>
            <x v="489"/>
            <x v="575"/>
            <x v="576"/>
            <x v="598"/>
          </reference>
        </references>
      </pivotArea>
    </format>
    <format dxfId="231">
      <pivotArea outline="0" fieldPosition="0">
        <references count="4">
          <reference field="1" count="3" selected="0">
            <x v="0"/>
            <x v="1"/>
            <x v="2"/>
          </reference>
          <reference field="2" count="1" selected="0">
            <x v="32"/>
          </reference>
          <reference field="3" count="1" selected="0">
            <x v="51"/>
          </reference>
          <reference field="7" count="84" selected="0">
            <x v="36"/>
            <x v="38"/>
            <x v="40"/>
            <x v="53"/>
            <x v="54"/>
            <x v="65"/>
            <x v="66"/>
            <x v="119"/>
            <x v="120"/>
            <x v="124"/>
            <x v="125"/>
            <x v="127"/>
            <x v="152"/>
            <x v="153"/>
            <x v="155"/>
            <x v="160"/>
            <x v="170"/>
            <x v="171"/>
            <x v="174"/>
            <x v="255"/>
            <x v="256"/>
            <x v="258"/>
            <x v="259"/>
            <x v="303"/>
            <x v="304"/>
            <x v="308"/>
            <x v="317"/>
            <x v="318"/>
            <x v="323"/>
            <x v="343"/>
            <x v="344"/>
            <x v="346"/>
            <x v="347"/>
            <x v="352"/>
            <x v="368"/>
            <x v="369"/>
            <x v="370"/>
            <x v="386"/>
            <x v="400"/>
            <x v="401"/>
            <x v="404"/>
            <x v="405"/>
            <x v="411"/>
            <x v="418"/>
            <x v="421"/>
            <x v="422"/>
            <x v="423"/>
            <x v="444"/>
            <x v="445"/>
            <x v="448"/>
            <x v="451"/>
            <x v="454"/>
            <x v="455"/>
            <x v="473"/>
            <x v="484"/>
            <x v="485"/>
            <x v="492"/>
            <x v="497"/>
            <x v="498"/>
            <x v="504"/>
            <x v="505"/>
            <x v="511"/>
            <x v="513"/>
            <x v="525"/>
            <x v="534"/>
            <x v="537"/>
            <x v="538"/>
            <x v="539"/>
            <x v="543"/>
            <x v="548"/>
            <x v="552"/>
            <x v="583"/>
            <x v="585"/>
            <x v="601"/>
            <x v="605"/>
            <x v="606"/>
            <x v="608"/>
            <x v="640"/>
            <x v="641"/>
            <x v="648"/>
            <x v="649"/>
            <x v="655"/>
            <x v="667"/>
            <x v="734"/>
          </reference>
        </references>
      </pivotArea>
    </format>
    <format dxfId="230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278"/>
          </reference>
        </references>
      </pivotArea>
    </format>
    <format dxfId="229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440"/>
          </reference>
        </references>
      </pivotArea>
    </format>
    <format dxfId="228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257"/>
          </reference>
        </references>
      </pivotArea>
    </format>
    <format dxfId="227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315"/>
          </reference>
        </references>
      </pivotArea>
    </format>
    <format dxfId="226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598"/>
          </reference>
        </references>
      </pivotArea>
    </format>
    <format dxfId="225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350"/>
          </reference>
        </references>
      </pivotArea>
    </format>
    <format dxfId="224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146"/>
          </reference>
        </references>
      </pivotArea>
    </format>
    <format dxfId="223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224"/>
          </reference>
        </references>
      </pivotArea>
    </format>
    <format dxfId="222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157"/>
          </reference>
        </references>
      </pivotArea>
    </format>
    <format dxfId="221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434"/>
          </reference>
        </references>
      </pivotArea>
    </format>
    <format dxfId="220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489"/>
          </reference>
        </references>
      </pivotArea>
    </format>
    <format dxfId="219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446"/>
          </reference>
        </references>
      </pivotArea>
    </format>
    <format dxfId="218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575"/>
          </reference>
        </references>
      </pivotArea>
    </format>
    <format dxfId="217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402"/>
          </reference>
        </references>
      </pivotArea>
    </format>
    <format dxfId="216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438"/>
          </reference>
        </references>
      </pivotArea>
    </format>
    <format dxfId="215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145"/>
          </reference>
        </references>
      </pivotArea>
    </format>
    <format dxfId="214">
      <pivotArea outline="0" collapsedLevelsAreSubtotals="1" fieldPosition="0">
        <references count="3">
          <reference field="2" count="1" selected="0">
            <x v="27"/>
          </reference>
          <reference field="3" count="1" selected="0">
            <x v="37"/>
          </reference>
          <reference field="7" count="1" selected="0">
            <x v="408"/>
          </reference>
        </references>
      </pivotArea>
    </format>
    <format dxfId="213">
      <pivotArea dataOnly="0" labelOnly="1" outline="0" fieldPosition="0">
        <references count="3">
          <reference field="2" count="1" selected="0">
            <x v="27"/>
          </reference>
          <reference field="3" count="1" selected="0">
            <x v="37"/>
          </reference>
          <reference field="7" count="1">
            <x v="408"/>
          </reference>
        </references>
      </pivotArea>
    </format>
    <format dxfId="212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28"/>
          </reference>
          <reference field="3" count="1" selected="0">
            <x v="50"/>
          </reference>
          <reference field="7" count="18" selected="0">
            <x v="51"/>
            <x v="158"/>
            <x v="171"/>
            <x v="225"/>
            <x v="227"/>
            <x v="233"/>
            <x v="260"/>
            <x v="279"/>
            <x v="316"/>
            <x v="330"/>
            <x v="351"/>
            <x v="399"/>
            <x v="410"/>
            <x v="434"/>
            <x v="435"/>
            <x v="441"/>
            <x v="447"/>
            <x v="598"/>
          </reference>
        </references>
      </pivotArea>
    </format>
    <format dxfId="211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8">
            <x v="51"/>
            <x v="158"/>
            <x v="171"/>
            <x v="225"/>
            <x v="227"/>
            <x v="233"/>
            <x v="260"/>
            <x v="279"/>
            <x v="316"/>
            <x v="330"/>
            <x v="351"/>
            <x v="399"/>
            <x v="410"/>
            <x v="434"/>
            <x v="435"/>
            <x v="441"/>
            <x v="447"/>
            <x v="598"/>
          </reference>
        </references>
      </pivotArea>
    </format>
    <format dxfId="210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28"/>
          </reference>
          <reference field="3" count="1" selected="0">
            <x v="50"/>
          </reference>
          <reference field="7" count="1" selected="0">
            <x v="434"/>
          </reference>
        </references>
      </pivotArea>
    </format>
    <format dxfId="209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434"/>
          </reference>
        </references>
      </pivotArea>
    </format>
    <format dxfId="208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28"/>
          </reference>
          <reference field="3" count="1" selected="0">
            <x v="50"/>
          </reference>
          <reference field="7" count="1" selected="0">
            <x v="399"/>
          </reference>
        </references>
      </pivotArea>
    </format>
    <format dxfId="207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399"/>
          </reference>
        </references>
      </pivotArea>
    </format>
    <format dxfId="206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28"/>
          </reference>
          <reference field="3" count="1" selected="0">
            <x v="50"/>
          </reference>
          <reference field="7" count="1" selected="0">
            <x v="279"/>
          </reference>
        </references>
      </pivotArea>
    </format>
    <format dxfId="205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279"/>
          </reference>
        </references>
      </pivotArea>
    </format>
    <format dxfId="204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28"/>
          </reference>
          <reference field="3" count="1" selected="0">
            <x v="50"/>
          </reference>
          <reference field="7" count="1" selected="0">
            <x v="435"/>
          </reference>
        </references>
      </pivotArea>
    </format>
    <format dxfId="203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435"/>
          </reference>
        </references>
      </pivotArea>
    </format>
    <format dxfId="202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28"/>
          </reference>
          <reference field="3" count="1" selected="0">
            <x v="50"/>
          </reference>
          <reference field="7" count="1" selected="0">
            <x v="225"/>
          </reference>
        </references>
      </pivotArea>
    </format>
    <format dxfId="201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225"/>
          </reference>
        </references>
      </pivotArea>
    </format>
    <format dxfId="200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28"/>
          </reference>
          <reference field="3" count="1" selected="0">
            <x v="50"/>
          </reference>
          <reference field="7" count="1" selected="0">
            <x v="158"/>
          </reference>
        </references>
      </pivotArea>
    </format>
    <format dxfId="199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158"/>
          </reference>
        </references>
      </pivotArea>
    </format>
    <format dxfId="198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28"/>
          </reference>
          <reference field="3" count="1" selected="0">
            <x v="50"/>
          </reference>
          <reference field="7" count="1" selected="0">
            <x v="330"/>
          </reference>
        </references>
      </pivotArea>
    </format>
    <format dxfId="197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330"/>
          </reference>
        </references>
      </pivotArea>
    </format>
    <format dxfId="196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28"/>
          </reference>
          <reference field="3" count="1" selected="0">
            <x v="50"/>
          </reference>
          <reference field="7" count="1" selected="0">
            <x v="447"/>
          </reference>
        </references>
      </pivotArea>
    </format>
    <format dxfId="195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447"/>
          </reference>
        </references>
      </pivotArea>
    </format>
    <format dxfId="194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28"/>
          </reference>
          <reference field="3" count="1" selected="0">
            <x v="50"/>
          </reference>
          <reference field="7" count="1" selected="0">
            <x v="441"/>
          </reference>
        </references>
      </pivotArea>
    </format>
    <format dxfId="193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441"/>
          </reference>
        </references>
      </pivotArea>
    </format>
    <format dxfId="192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28"/>
          </reference>
          <reference field="3" count="1" selected="0">
            <x v="50"/>
          </reference>
          <reference field="7" count="1" selected="0">
            <x v="351"/>
          </reference>
        </references>
      </pivotArea>
    </format>
    <format dxfId="191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351"/>
          </reference>
        </references>
      </pivotArea>
    </format>
    <format dxfId="190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28"/>
          </reference>
          <reference field="3" count="1" selected="0">
            <x v="50"/>
          </reference>
          <reference field="7" count="1" selected="0">
            <x v="316"/>
          </reference>
        </references>
      </pivotArea>
    </format>
    <format dxfId="189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316"/>
          </reference>
        </references>
      </pivotArea>
    </format>
    <format dxfId="188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28"/>
          </reference>
          <reference field="3" count="1" selected="0">
            <x v="50"/>
          </reference>
          <reference field="7" count="1" selected="0">
            <x v="260"/>
          </reference>
        </references>
      </pivotArea>
    </format>
    <format dxfId="187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260"/>
          </reference>
        </references>
      </pivotArea>
    </format>
    <format dxfId="186">
      <pivotArea outline="0" collapsedLevelsAreSubtotals="1" fieldPosition="0">
        <references count="4">
          <reference field="1" count="1" selected="0">
            <x v="1"/>
          </reference>
          <reference field="2" count="1" selected="0">
            <x v="28"/>
          </reference>
          <reference field="3" count="1" selected="0">
            <x v="50"/>
          </reference>
          <reference field="7" count="1" selected="0">
            <x v="598"/>
          </reference>
        </references>
      </pivotArea>
    </format>
    <format dxfId="185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598"/>
          </reference>
        </references>
      </pivotArea>
    </format>
    <format dxfId="184">
      <pivotArea outline="0" collapsedLevelsAreSubtotals="1" fieldPosition="0">
        <references count="4">
          <reference field="1" count="0" selected="0"/>
          <reference field="2" count="1" selected="0">
            <x v="27"/>
          </reference>
          <reference field="3" count="1" selected="0">
            <x v="37"/>
          </reference>
          <reference field="7" count="1" selected="0">
            <x v="410"/>
          </reference>
        </references>
      </pivotArea>
    </format>
    <format dxfId="183">
      <pivotArea outline="0" collapsedLevelsAreSubtotals="1" fieldPosition="0">
        <references count="4">
          <reference field="1" count="0" selected="0"/>
          <reference field="2" count="1" selected="0">
            <x v="32"/>
          </reference>
          <reference field="3" count="1" selected="0">
            <x v="51"/>
          </reference>
          <reference field="7" count="35" selected="0">
            <x v="38"/>
            <x v="40"/>
            <x v="54"/>
            <x v="120"/>
            <x v="125"/>
            <x v="127"/>
            <x v="160"/>
            <x v="171"/>
            <x v="233"/>
            <x v="256"/>
            <x v="259"/>
            <x v="304"/>
            <x v="308"/>
            <x v="323"/>
            <x v="344"/>
            <x v="386"/>
            <x v="405"/>
            <x v="411"/>
            <x v="423"/>
            <x v="445"/>
            <x v="448"/>
            <x v="455"/>
            <x v="485"/>
            <x v="504"/>
            <x v="505"/>
            <x v="511"/>
            <x v="534"/>
            <x v="539"/>
            <x v="552"/>
            <x v="601"/>
            <x v="608"/>
            <x v="641"/>
            <x v="648"/>
            <x v="667"/>
            <x v="734"/>
          </reference>
        </references>
      </pivotArea>
    </format>
    <format dxfId="182">
      <pivotArea outline="0" collapsedLevelsAreSubtotals="1" fieldPosition="0">
        <references count="4">
          <reference field="1" count="0" selected="0"/>
          <reference field="2" count="1" selected="0">
            <x v="32"/>
          </reference>
          <reference field="3" count="1" selected="0">
            <x v="51"/>
          </reference>
          <reference field="7" count="1" selected="0">
            <x v="608"/>
          </reference>
        </references>
      </pivotArea>
    </format>
    <format dxfId="181">
      <pivotArea dataOnly="0" labelOnly="1" outline="0" fieldPosition="0">
        <references count="3">
          <reference field="2" count="1" selected="0">
            <x v="32"/>
          </reference>
          <reference field="3" count="1" selected="0">
            <x v="51"/>
          </reference>
          <reference field="7" count="1">
            <x v="608"/>
          </reference>
        </references>
      </pivotArea>
    </format>
    <format dxfId="180">
      <pivotArea outline="0" collapsedLevelsAreSubtotals="1" fieldPosition="0">
        <references count="4">
          <reference field="1" count="0" selected="0"/>
          <reference field="2" count="1" selected="0">
            <x v="32"/>
          </reference>
          <reference field="3" count="1" selected="0">
            <x v="51"/>
          </reference>
          <reference field="7" count="1" selected="0">
            <x v="734"/>
          </reference>
        </references>
      </pivotArea>
    </format>
    <format dxfId="179">
      <pivotArea dataOnly="0" labelOnly="1" outline="0" fieldPosition="0">
        <references count="3">
          <reference field="2" count="1" selected="0">
            <x v="32"/>
          </reference>
          <reference field="3" count="1" selected="0">
            <x v="51"/>
          </reference>
          <reference field="7" count="1">
            <x v="734"/>
          </reference>
        </references>
      </pivotArea>
    </format>
    <format dxfId="178">
      <pivotArea outline="0" collapsedLevelsAreSubtotals="1" fieldPosition="0">
        <references count="4">
          <reference field="1" count="0" selected="0"/>
          <reference field="2" count="1" selected="0">
            <x v="32"/>
          </reference>
          <reference field="3" count="1" selected="0">
            <x v="51"/>
          </reference>
          <reference field="7" count="1" selected="0">
            <x v="648"/>
          </reference>
        </references>
      </pivotArea>
    </format>
    <format dxfId="177">
      <pivotArea dataOnly="0" labelOnly="1" outline="0" fieldPosition="0">
        <references count="3">
          <reference field="2" count="1" selected="0">
            <x v="32"/>
          </reference>
          <reference field="3" count="1" selected="0">
            <x v="51"/>
          </reference>
          <reference field="7" count="1">
            <x v="648"/>
          </reference>
        </references>
      </pivotArea>
    </format>
    <format dxfId="176">
      <pivotArea outline="0" collapsedLevelsAreSubtotals="1" fieldPosition="0">
        <references count="4">
          <reference field="1" count="0" selected="0"/>
          <reference field="2" count="1" selected="0">
            <x v="32"/>
          </reference>
          <reference field="3" count="1" selected="0">
            <x v="51"/>
          </reference>
          <reference field="7" count="1" selected="0">
            <x v="125"/>
          </reference>
        </references>
      </pivotArea>
    </format>
    <format dxfId="175">
      <pivotArea dataOnly="0" labelOnly="1" outline="0" fieldPosition="0">
        <references count="3">
          <reference field="2" count="1" selected="0">
            <x v="32"/>
          </reference>
          <reference field="3" count="1" selected="0">
            <x v="51"/>
          </reference>
          <reference field="7" count="1">
            <x v="125"/>
          </reference>
        </references>
      </pivotArea>
    </format>
    <format dxfId="174">
      <pivotArea outline="0" collapsedLevelsAreSubtotals="1" fieldPosition="0">
        <references count="4">
          <reference field="1" count="0" selected="0"/>
          <reference field="2" count="1" selected="0">
            <x v="32"/>
          </reference>
          <reference field="3" count="1" selected="0">
            <x v="51"/>
          </reference>
          <reference field="7" count="1" selected="0">
            <x v="127"/>
          </reference>
        </references>
      </pivotArea>
    </format>
    <format dxfId="173">
      <pivotArea dataOnly="0" labelOnly="1" outline="0" fieldPosition="0">
        <references count="3">
          <reference field="2" count="1" selected="0">
            <x v="32"/>
          </reference>
          <reference field="3" count="1" selected="0">
            <x v="51"/>
          </reference>
          <reference field="7" count="1">
            <x v="127"/>
          </reference>
        </references>
      </pivotArea>
    </format>
    <format dxfId="172">
      <pivotArea outline="0" collapsedLevelsAreSubtotals="1" fieldPosition="0">
        <references count="4">
          <reference field="1" count="0" selected="0"/>
          <reference field="2" count="1" selected="0">
            <x v="32"/>
          </reference>
          <reference field="3" count="1" selected="0">
            <x v="51"/>
          </reference>
          <reference field="7" count="1" selected="0">
            <x v="448"/>
          </reference>
        </references>
      </pivotArea>
    </format>
    <format dxfId="171">
      <pivotArea dataOnly="0" labelOnly="1" outline="0" fieldPosition="0">
        <references count="3">
          <reference field="2" count="1" selected="0">
            <x v="32"/>
          </reference>
          <reference field="3" count="1" selected="0">
            <x v="51"/>
          </reference>
          <reference field="7" count="1">
            <x v="448"/>
          </reference>
        </references>
      </pivotArea>
    </format>
    <format dxfId="170">
      <pivotArea outline="0" collapsedLevelsAreSubtotals="1" fieldPosition="0">
        <references count="4">
          <reference field="1" count="0" selected="0"/>
          <reference field="2" count="1" selected="0">
            <x v="28"/>
          </reference>
          <reference field="3" count="1" selected="0">
            <x v="50"/>
          </reference>
          <reference field="7" count="16" selected="0">
            <x v="51"/>
            <x v="158"/>
            <x v="174"/>
            <x v="225"/>
            <x v="279"/>
            <x v="316"/>
            <x v="330"/>
            <x v="351"/>
            <x v="399"/>
            <x v="403"/>
            <x v="434"/>
            <x v="435"/>
            <x v="441"/>
            <x v="447"/>
            <x v="576"/>
            <x v="598"/>
          </reference>
        </references>
      </pivotArea>
    </format>
    <format dxfId="169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6">
            <x v="51"/>
            <x v="158"/>
            <x v="174"/>
            <x v="225"/>
            <x v="279"/>
            <x v="316"/>
            <x v="330"/>
            <x v="351"/>
            <x v="399"/>
            <x v="403"/>
            <x v="434"/>
            <x v="435"/>
            <x v="441"/>
            <x v="447"/>
            <x v="576"/>
            <x v="598"/>
          </reference>
        </references>
      </pivotArea>
    </format>
    <format dxfId="168">
      <pivotArea outline="0" collapsedLevelsAreSubtotals="1" fieldPosition="0">
        <references count="4">
          <reference field="1" count="0" selected="0"/>
          <reference field="2" count="1" selected="0">
            <x v="28"/>
          </reference>
          <reference field="3" count="1" selected="0">
            <x v="50"/>
          </reference>
          <reference field="7" count="1" selected="0">
            <x v="399"/>
          </reference>
        </references>
      </pivotArea>
    </format>
    <format dxfId="167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399"/>
          </reference>
        </references>
      </pivotArea>
    </format>
    <format dxfId="166">
      <pivotArea outline="0" collapsedLevelsAreSubtotals="1" fieldPosition="0">
        <references count="4">
          <reference field="1" count="0" selected="0"/>
          <reference field="2" count="1" selected="0">
            <x v="28"/>
          </reference>
          <reference field="3" count="1" selected="0">
            <x v="50"/>
          </reference>
          <reference field="7" count="1" selected="0">
            <x v="403"/>
          </reference>
        </references>
      </pivotArea>
    </format>
    <format dxfId="165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403"/>
          </reference>
        </references>
      </pivotArea>
    </format>
    <format dxfId="164">
      <pivotArea outline="0" collapsedLevelsAreSubtotals="1" fieldPosition="0">
        <references count="4">
          <reference field="1" count="0" selected="0"/>
          <reference field="2" count="1" selected="0">
            <x v="28"/>
          </reference>
          <reference field="3" count="1" selected="0">
            <x v="50"/>
          </reference>
          <reference field="7" count="1" selected="0">
            <x v="434"/>
          </reference>
        </references>
      </pivotArea>
    </format>
    <format dxfId="163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434"/>
          </reference>
        </references>
      </pivotArea>
    </format>
    <format dxfId="162">
      <pivotArea outline="0" collapsedLevelsAreSubtotals="1" fieldPosition="0">
        <references count="4">
          <reference field="1" count="0" selected="0"/>
          <reference field="2" count="1" selected="0">
            <x v="28"/>
          </reference>
          <reference field="3" count="1" selected="0">
            <x v="50"/>
          </reference>
          <reference field="7" count="1" selected="0">
            <x v="435"/>
          </reference>
        </references>
      </pivotArea>
    </format>
    <format dxfId="161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435"/>
          </reference>
        </references>
      </pivotArea>
    </format>
    <format dxfId="160">
      <pivotArea outline="0" collapsedLevelsAreSubtotals="1" fieldPosition="0">
        <references count="4">
          <reference field="1" count="0" selected="0"/>
          <reference field="2" count="1" selected="0">
            <x v="28"/>
          </reference>
          <reference field="3" count="1" selected="0">
            <x v="50"/>
          </reference>
          <reference field="7" count="1" selected="0">
            <x v="158"/>
          </reference>
        </references>
      </pivotArea>
    </format>
    <format dxfId="159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158"/>
          </reference>
        </references>
      </pivotArea>
    </format>
    <format dxfId="158">
      <pivotArea outline="0" collapsedLevelsAreSubtotals="1" fieldPosition="0">
        <references count="4">
          <reference field="1" count="0" selected="0"/>
          <reference field="2" count="1" selected="0">
            <x v="28"/>
          </reference>
          <reference field="3" count="1" selected="0">
            <x v="50"/>
          </reference>
          <reference field="7" count="1" selected="0">
            <x v="225"/>
          </reference>
        </references>
      </pivotArea>
    </format>
    <format dxfId="157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225"/>
          </reference>
        </references>
      </pivotArea>
    </format>
    <format dxfId="156">
      <pivotArea outline="0" collapsedLevelsAreSubtotals="1" fieldPosition="0">
        <references count="4">
          <reference field="1" count="0" selected="0"/>
          <reference field="2" count="1" selected="0">
            <x v="28"/>
          </reference>
          <reference field="3" count="1" selected="0">
            <x v="50"/>
          </reference>
          <reference field="7" count="1" selected="0">
            <x v="598"/>
          </reference>
        </references>
      </pivotArea>
    </format>
    <format dxfId="155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598"/>
          </reference>
        </references>
      </pivotArea>
    </format>
    <format dxfId="154">
      <pivotArea outline="0" collapsedLevelsAreSubtotals="1" fieldPosition="0">
        <references count="4">
          <reference field="1" count="0" selected="0"/>
          <reference field="2" count="1" selected="0">
            <x v="28"/>
          </reference>
          <reference field="3" count="1" selected="0">
            <x v="50"/>
          </reference>
          <reference field="7" count="1" selected="0">
            <x v="441"/>
          </reference>
        </references>
      </pivotArea>
    </format>
    <format dxfId="153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441"/>
          </reference>
        </references>
      </pivotArea>
    </format>
    <format dxfId="152">
      <pivotArea outline="0" collapsedLevelsAreSubtotals="1" fieldPosition="0">
        <references count="4">
          <reference field="1" count="0" selected="0"/>
          <reference field="2" count="1" selected="0">
            <x v="28"/>
          </reference>
          <reference field="3" count="1" selected="0">
            <x v="50"/>
          </reference>
          <reference field="7" count="1" selected="0">
            <x v="447"/>
          </reference>
        </references>
      </pivotArea>
    </format>
    <format dxfId="151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447"/>
          </reference>
        </references>
      </pivotArea>
    </format>
    <format dxfId="150">
      <pivotArea outline="0" collapsedLevelsAreSubtotals="1" fieldPosition="0">
        <references count="4">
          <reference field="1" count="0" selected="0"/>
          <reference field="2" count="1" selected="0">
            <x v="28"/>
          </reference>
          <reference field="3" count="1" selected="0">
            <x v="50"/>
          </reference>
          <reference field="7" count="1" selected="0">
            <x v="330"/>
          </reference>
        </references>
      </pivotArea>
    </format>
    <format dxfId="149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330"/>
          </reference>
        </references>
      </pivotArea>
    </format>
    <format dxfId="148">
      <pivotArea outline="0" collapsedLevelsAreSubtotals="1" fieldPosition="0">
        <references count="4">
          <reference field="1" count="0" selected="0"/>
          <reference field="2" count="1" selected="0">
            <x v="28"/>
          </reference>
          <reference field="3" count="1" selected="0">
            <x v="50"/>
          </reference>
          <reference field="7" count="2" selected="0">
            <x v="330"/>
            <x v="351"/>
          </reference>
        </references>
      </pivotArea>
    </format>
    <format dxfId="147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2">
            <x v="330"/>
            <x v="351"/>
          </reference>
        </references>
      </pivotArea>
    </format>
    <format dxfId="146">
      <pivotArea outline="0" collapsedLevelsAreSubtotals="1" fieldPosition="0">
        <references count="4">
          <reference field="1" count="0" selected="0"/>
          <reference field="2" count="1" selected="0">
            <x v="28"/>
          </reference>
          <reference field="3" count="1" selected="0">
            <x v="50"/>
          </reference>
          <reference field="7" count="1" selected="0">
            <x v="316"/>
          </reference>
        </references>
      </pivotArea>
    </format>
    <format dxfId="145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316"/>
          </reference>
        </references>
      </pivotArea>
    </format>
    <format dxfId="144">
      <pivotArea outline="0" collapsedLevelsAreSubtotals="1" fieldPosition="0">
        <references count="4">
          <reference field="1" count="0" selected="0"/>
          <reference field="2" count="1" selected="0">
            <x v="28"/>
          </reference>
          <reference field="3" count="1" selected="0">
            <x v="50"/>
          </reference>
          <reference field="7" count="1" selected="0">
            <x v="576"/>
          </reference>
        </references>
      </pivotArea>
    </format>
    <format dxfId="143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576"/>
          </reference>
        </references>
      </pivotArea>
    </format>
    <format dxfId="142">
      <pivotArea outline="0" collapsedLevelsAreSubtotals="1" fieldPosition="0">
        <references count="4">
          <reference field="1" count="0" selected="0"/>
          <reference field="2" count="1" selected="0">
            <x v="28"/>
          </reference>
          <reference field="3" count="1" selected="0">
            <x v="50"/>
          </reference>
          <reference field="7" count="2" selected="0">
            <x v="260"/>
            <x v="279"/>
          </reference>
        </references>
      </pivotArea>
    </format>
    <format dxfId="141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2">
            <x v="260"/>
            <x v="279"/>
          </reference>
        </references>
      </pivotArea>
    </format>
    <format dxfId="140">
      <pivotArea outline="0" collapsedLevelsAreSubtotals="1" fieldPosition="0">
        <references count="4">
          <reference field="1" count="1" selected="0">
            <x v="0"/>
          </reference>
          <reference field="2" count="1" selected="0">
            <x v="36"/>
          </reference>
          <reference field="3" count="1" selected="0">
            <x v="31"/>
          </reference>
          <reference field="7" count="1" selected="0">
            <x v="22"/>
          </reference>
        </references>
      </pivotArea>
    </format>
    <format dxfId="139">
      <pivotArea outline="0" fieldPosition="0">
        <references count="4">
          <reference field="1" count="2" selected="0">
            <x v="2"/>
            <x v="3"/>
          </reference>
          <reference field="2" count="1" selected="0">
            <x v="14"/>
          </reference>
          <reference field="3" count="1" selected="0">
            <x v="8"/>
          </reference>
          <reference field="7" count="2" selected="0">
            <x v="174"/>
            <x v="630"/>
          </reference>
        </references>
      </pivotArea>
    </format>
    <format dxfId="138">
      <pivotArea outline="0" fieldPosition="0">
        <references count="4">
          <reference field="1" count="2" selected="0">
            <x v="3"/>
            <x v="5"/>
          </reference>
          <reference field="2" count="1" selected="0">
            <x v="14"/>
          </reference>
          <reference field="3" count="1" selected="0">
            <x v="8"/>
          </reference>
          <reference field="7" count="2" selected="0">
            <x v="167"/>
            <x v="629"/>
          </reference>
        </references>
      </pivotArea>
    </format>
    <format dxfId="137">
      <pivotArea outline="0" fieldPosition="0">
        <references count="4">
          <reference field="1" count="3" selected="0">
            <x v="2"/>
            <x v="3"/>
            <x v="5"/>
          </reference>
          <reference field="2" count="1" selected="0">
            <x v="13"/>
          </reference>
          <reference field="3" count="1" selected="0">
            <x v="1"/>
          </reference>
          <reference field="7" count="4" selected="0">
            <x v="167"/>
            <x v="174"/>
            <x v="629"/>
            <x v="630"/>
          </reference>
        </references>
      </pivotArea>
    </format>
    <format dxfId="136">
      <pivotArea outline="0" fieldPosition="0">
        <references count="4">
          <reference field="1" count="1" selected="0">
            <x v="1"/>
          </reference>
          <reference field="2" count="1" selected="0">
            <x v="14"/>
          </reference>
          <reference field="3" count="1" selected="0">
            <x v="8"/>
          </reference>
          <reference field="7" count="1" selected="0">
            <x v="171"/>
          </reference>
        </references>
      </pivotArea>
    </format>
    <format dxfId="135">
      <pivotArea outline="0" fieldPosition="0">
        <references count="4">
          <reference field="1" count="1" selected="0">
            <x v="2"/>
          </reference>
          <reference field="2" count="1" selected="0">
            <x v="14"/>
          </reference>
          <reference field="3" count="1" selected="0">
            <x v="8"/>
          </reference>
          <reference field="7" count="1" selected="0">
            <x v="96"/>
          </reference>
        </references>
      </pivotArea>
    </format>
    <format dxfId="134">
      <pivotArea outline="0" fieldPosition="0">
        <references count="4">
          <reference field="1" count="1" selected="0">
            <x v="1"/>
          </reference>
          <reference field="2" count="1" selected="0">
            <x v="13"/>
          </reference>
          <reference field="3" count="1" selected="0">
            <x v="1"/>
          </reference>
          <reference field="7" count="1" selected="0">
            <x v="171"/>
          </reference>
        </references>
      </pivotArea>
    </format>
    <format dxfId="133">
      <pivotArea outline="0" fieldPosition="0">
        <references count="4">
          <reference field="1" count="1" selected="0">
            <x v="2"/>
          </reference>
          <reference field="2" count="1" selected="0">
            <x v="13"/>
          </reference>
          <reference field="3" count="1" selected="0">
            <x v="1"/>
          </reference>
          <reference field="7" count="1" selected="0">
            <x v="96"/>
          </reference>
        </references>
      </pivotArea>
    </format>
    <format dxfId="132">
      <pivotArea outline="0" fieldPosition="0">
        <references count="4">
          <reference field="1" count="1" selected="0">
            <x v="6"/>
          </reference>
          <reference field="2" count="1" selected="0">
            <x v="13"/>
          </reference>
          <reference field="3" count="1" selected="0">
            <x v="1"/>
          </reference>
          <reference field="7" count="1" selected="0">
            <x v="626"/>
          </reference>
        </references>
      </pivotArea>
    </format>
    <format dxfId="131">
      <pivotArea outline="0" fieldPosition="0">
        <references count="4">
          <reference field="1" count="1" selected="0">
            <x v="5"/>
          </reference>
          <reference field="2" count="1" selected="0">
            <x v="13"/>
          </reference>
          <reference field="3" count="1" selected="0">
            <x v="1"/>
          </reference>
          <reference field="7" count="1" selected="0">
            <x v="175"/>
          </reference>
        </references>
      </pivotArea>
    </format>
    <format dxfId="130">
      <pivotArea outline="0" fieldPosition="0">
        <references count="4">
          <reference field="1" count="1" selected="0">
            <x v="6"/>
          </reference>
          <reference field="2" count="1" selected="0">
            <x v="14"/>
          </reference>
          <reference field="3" count="1" selected="0">
            <x v="8"/>
          </reference>
          <reference field="7" count="1" selected="0">
            <x v="626"/>
          </reference>
        </references>
      </pivotArea>
    </format>
    <format dxfId="129">
      <pivotArea outline="0" fieldPosition="0">
        <references count="4">
          <reference field="1" count="1" selected="0">
            <x v="5"/>
          </reference>
          <reference field="2" count="1" selected="0">
            <x v="14"/>
          </reference>
          <reference field="3" count="1" selected="0">
            <x v="8"/>
          </reference>
          <reference field="7" count="1" selected="0">
            <x v="175"/>
          </reference>
        </references>
      </pivotArea>
    </format>
    <format dxfId="128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42"/>
          </reference>
          <reference field="7" count="1" selected="0">
            <x v="167"/>
          </reference>
        </references>
      </pivotArea>
    </format>
    <format dxfId="127">
      <pivotArea outline="0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42"/>
          </reference>
          <reference field="7" count="1" selected="0">
            <x v="110"/>
          </reference>
        </references>
      </pivotArea>
    </format>
    <format dxfId="126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42"/>
          </reference>
          <reference field="7" count="1" selected="0">
            <x v="174"/>
          </reference>
        </references>
      </pivotArea>
    </format>
    <format dxfId="125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42"/>
          </reference>
          <reference field="7" count="1" selected="0">
            <x v="99"/>
          </reference>
        </references>
      </pivotArea>
    </format>
    <format dxfId="124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42"/>
          </reference>
          <reference field="7" count="1" selected="0">
            <x v="103"/>
          </reference>
        </references>
      </pivotArea>
    </format>
    <format dxfId="123">
      <pivotArea outline="0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42"/>
          </reference>
          <reference field="7" count="1" selected="0">
            <x v="175"/>
          </reference>
        </references>
      </pivotArea>
    </format>
    <format dxfId="122">
      <pivotArea outline="0" fieldPosition="0">
        <references count="4">
          <reference field="1" count="1" selected="0">
            <x v="6"/>
          </reference>
          <reference field="2" count="0" selected="0"/>
          <reference field="3" count="1" selected="0">
            <x v="42"/>
          </reference>
          <reference field="7" count="1" selected="0">
            <x v="111"/>
          </reference>
        </references>
      </pivotArea>
    </format>
    <format dxfId="121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44"/>
          </reference>
          <reference field="7" count="1" selected="0">
            <x v="565"/>
          </reference>
        </references>
      </pivotArea>
    </format>
    <format dxfId="120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44"/>
          </reference>
          <reference field="7" count="1" selected="0">
            <x v="103"/>
          </reference>
        </references>
      </pivotArea>
    </format>
    <format dxfId="119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44"/>
          </reference>
          <reference field="7" count="1" selected="0">
            <x v="118"/>
          </reference>
        </references>
      </pivotArea>
    </format>
    <format dxfId="118">
      <pivotArea outline="0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44"/>
          </reference>
          <reference field="7" count="1" selected="0">
            <x v="562"/>
          </reference>
        </references>
      </pivotArea>
    </format>
    <format dxfId="117">
      <pivotArea outline="0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44"/>
          </reference>
          <reference field="7" count="1" selected="0">
            <x v="110"/>
          </reference>
        </references>
      </pivotArea>
    </format>
    <format dxfId="116">
      <pivotArea outline="0" fieldPosition="0">
        <references count="4">
          <reference field="1" count="1" selected="0">
            <x v="6"/>
          </reference>
          <reference field="2" count="0" selected="0"/>
          <reference field="3" count="1" selected="0">
            <x v="44"/>
          </reference>
          <reference field="7" count="1" selected="0">
            <x v="566"/>
          </reference>
        </references>
      </pivotArea>
    </format>
    <format dxfId="115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1">
            <x v="589"/>
          </reference>
        </references>
      </pivotArea>
    </format>
    <format dxfId="114">
      <pivotArea outline="0" fieldPosition="0">
        <references count="4">
          <reference field="1" count="0" selected="0"/>
          <reference field="2" count="0" selected="0"/>
          <reference field="3" count="1" selected="0">
            <x v="51"/>
          </reference>
          <reference field="7" count="3" selected="0">
            <x v="38"/>
            <x v="40"/>
            <x v="54"/>
          </reference>
        </references>
      </pivotArea>
    </format>
    <format dxfId="113">
      <pivotArea outline="0" fieldPosition="0">
        <references count="4">
          <reference field="1" count="0" selected="0"/>
          <reference field="2" count="0" selected="0"/>
          <reference field="3" count="1" selected="0">
            <x v="51"/>
          </reference>
          <reference field="7" count="2" selected="0">
            <x v="59"/>
            <x v="120"/>
          </reference>
        </references>
      </pivotArea>
    </format>
    <format dxfId="112">
      <pivotArea outline="0" fieldPosition="0">
        <references count="4">
          <reference field="1" count="0" selected="0"/>
          <reference field="2" count="0" selected="0"/>
          <reference field="3" count="1" selected="0">
            <x v="51"/>
          </reference>
          <reference field="7" count="3" selected="0">
            <x v="150"/>
            <x v="153"/>
            <x v="156"/>
          </reference>
        </references>
      </pivotArea>
    </format>
    <format dxfId="111">
      <pivotArea outline="0" fieldPosition="0">
        <references count="4">
          <reference field="1" count="0" selected="0"/>
          <reference field="2" count="0" selected="0"/>
          <reference field="3" count="1" selected="0">
            <x v="51"/>
          </reference>
          <reference field="7" count="1" selected="0">
            <x v="160"/>
          </reference>
        </references>
      </pivotArea>
    </format>
    <format dxfId="110">
      <pivotArea outline="0" fieldPosition="0">
        <references count="4">
          <reference field="1" count="0" selected="0"/>
          <reference field="2" count="0" selected="0"/>
          <reference field="3" count="1" selected="0">
            <x v="51"/>
          </reference>
          <reference field="7" count="13" selected="0">
            <x v="120"/>
            <x v="125"/>
            <x v="127"/>
            <x v="150"/>
            <x v="153"/>
            <x v="156"/>
            <x v="159"/>
            <x v="160"/>
            <x v="173"/>
            <x v="249"/>
            <x v="256"/>
            <x v="259"/>
            <x v="304"/>
          </reference>
        </references>
      </pivotArea>
    </format>
    <format dxfId="109">
      <pivotArea outline="0" fieldPosition="0">
        <references count="4">
          <reference field="1" count="0" selected="0"/>
          <reference field="2" count="0" selected="0"/>
          <reference field="3" count="1" selected="0">
            <x v="51"/>
          </reference>
          <reference field="7" count="1" selected="0">
            <x v="323"/>
          </reference>
        </references>
      </pivotArea>
    </format>
    <format dxfId="108">
      <pivotArea outline="0" fieldPosition="0">
        <references count="4">
          <reference field="1" count="0" selected="0"/>
          <reference field="2" count="0" selected="0"/>
          <reference field="3" count="1" selected="0">
            <x v="51"/>
          </reference>
          <reference field="7" count="1" selected="0">
            <x v="344"/>
          </reference>
        </references>
      </pivotArea>
    </format>
    <format dxfId="107">
      <pivotArea outline="0" fieldPosition="0">
        <references count="4">
          <reference field="1" count="0" selected="0"/>
          <reference field="2" count="0" selected="0"/>
          <reference field="3" count="1" selected="0">
            <x v="51"/>
          </reference>
          <reference field="7" count="2" selected="0">
            <x v="348"/>
            <x v="353"/>
          </reference>
        </references>
      </pivotArea>
    </format>
    <format dxfId="106">
      <pivotArea outline="0" fieldPosition="0">
        <references count="4">
          <reference field="1" count="0" selected="0"/>
          <reference field="2" count="0" selected="0"/>
          <reference field="3" count="1" selected="0">
            <x v="51"/>
          </reference>
          <reference field="7" count="7" selected="0">
            <x v="369"/>
            <x v="370"/>
            <x v="376"/>
            <x v="377"/>
            <x v="386"/>
            <x v="404"/>
            <x v="405"/>
          </reference>
        </references>
      </pivotArea>
    </format>
    <format dxfId="105">
      <pivotArea outline="0" fieldPosition="0">
        <references count="4">
          <reference field="1" count="0" selected="0"/>
          <reference field="2" count="0" selected="0"/>
          <reference field="3" count="1" selected="0">
            <x v="51"/>
          </reference>
          <reference field="7" count="12" selected="0">
            <x v="411"/>
            <x v="421"/>
            <x v="423"/>
            <x v="439"/>
            <x v="445"/>
            <x v="448"/>
            <x v="459"/>
            <x v="467"/>
            <x v="470"/>
            <x v="473"/>
            <x v="478"/>
            <x v="479"/>
          </reference>
        </references>
      </pivotArea>
    </format>
    <format dxfId="104">
      <pivotArea outline="0" fieldPosition="0">
        <references count="4">
          <reference field="1" count="0" selected="0"/>
          <reference field="2" count="0" selected="0"/>
          <reference field="3" count="1" selected="0">
            <x v="51"/>
          </reference>
          <reference field="7" count="7" selected="0">
            <x v="485"/>
            <x v="486"/>
            <x v="498"/>
            <x v="499"/>
            <x v="504"/>
            <x v="505"/>
            <x v="511"/>
          </reference>
        </references>
      </pivotArea>
    </format>
    <format dxfId="103">
      <pivotArea outline="0" fieldPosition="0">
        <references count="4">
          <reference field="1" count="0" selected="0"/>
          <reference field="2" count="0" selected="0"/>
          <reference field="3" count="1" selected="0">
            <x v="51"/>
          </reference>
          <reference field="7" count="8" selected="0">
            <x v="522"/>
            <x v="524"/>
            <x v="525"/>
            <x v="532"/>
            <x v="534"/>
            <x v="539"/>
            <x v="552"/>
            <x v="569"/>
          </reference>
        </references>
      </pivotArea>
    </format>
    <format dxfId="102">
      <pivotArea outline="0" fieldPosition="0">
        <references count="4">
          <reference field="1" count="0" selected="0"/>
          <reference field="2" count="0" selected="0"/>
          <reference field="3" count="1" selected="0">
            <x v="51"/>
          </reference>
          <reference field="7" count="9" selected="0">
            <x v="578"/>
            <x v="601"/>
            <x v="603"/>
            <x v="641"/>
            <x v="648"/>
            <x v="666"/>
            <x v="667"/>
            <x v="734"/>
            <x v="736"/>
          </reference>
        </references>
      </pivotArea>
    </format>
    <format dxfId="101">
      <pivotArea dataOnly="0" labelOnly="1" outline="0" fieldPosition="0">
        <references count="3">
          <reference field="2" count="1" selected="0">
            <x v="32"/>
          </reference>
          <reference field="3" count="1" selected="0">
            <x v="51"/>
          </reference>
          <reference field="7" count="1">
            <x v="478"/>
          </reference>
        </references>
      </pivotArea>
    </format>
    <format dxfId="100">
      <pivotArea outline="0" collapsedLevelsAreSubtotals="1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2" selected="0">
            <x v="44"/>
            <x v="50"/>
          </reference>
        </references>
      </pivotArea>
    </format>
    <format dxfId="99">
      <pivotArea dataOnly="0" labelOnly="1" outline="0" fieldPosition="0">
        <references count="3">
          <reference field="2" count="1" selected="0">
            <x v="28"/>
          </reference>
          <reference field="3" count="1" selected="0">
            <x v="50"/>
          </reference>
          <reference field="7" count="2">
            <x v="44"/>
            <x v="50"/>
          </reference>
        </references>
      </pivotArea>
    </format>
    <format dxfId="98">
      <pivotArea outline="0" collapsedLevelsAreSubtotals="1" fieldPosition="0">
        <references count="4">
          <reference field="1" count="1" selected="0">
            <x v="6"/>
          </reference>
          <reference field="2" count="0" selected="0"/>
          <reference field="3" count="1" selected="0">
            <x v="44"/>
          </reference>
          <reference field="7" count="1" selected="0">
            <x v="111"/>
          </reference>
        </references>
      </pivotArea>
    </format>
    <format dxfId="97">
      <pivotArea outline="0" collapsedLevelsAreSubtotals="1" fieldPosition="0">
        <references count="4">
          <reference field="1" count="1" selected="0">
            <x v="7"/>
          </reference>
          <reference field="2" count="0" selected="0"/>
          <reference field="3" count="1" selected="0">
            <x v="44"/>
          </reference>
          <reference field="7" count="1" selected="0">
            <x v="356"/>
          </reference>
        </references>
      </pivotArea>
    </format>
    <format dxfId="96">
      <pivotArea outline="0" collapsedLevelsAreSubtotals="1" fieldPosition="0">
        <references count="4">
          <reference field="1" count="1" selected="0">
            <x v="8"/>
          </reference>
          <reference field="2" count="0" selected="0"/>
          <reference field="3" count="1" selected="0">
            <x v="44"/>
          </reference>
          <reference field="7" count="1" selected="0">
            <x v="109"/>
          </reference>
        </references>
      </pivotArea>
    </format>
    <format dxfId="95">
      <pivotArea outline="0" collapsedLevelsAreSubtotals="1" fieldPosition="0">
        <references count="4">
          <reference field="1" count="1" selected="0">
            <x v="8"/>
          </reference>
          <reference field="2" count="0" selected="0"/>
          <reference field="3" count="1" selected="0">
            <x v="44"/>
          </reference>
          <reference field="7" count="1" selected="0">
            <x v="113"/>
          </reference>
        </references>
      </pivotArea>
    </format>
    <format dxfId="94">
      <pivotArea outline="0" collapsedLevelsAreSubtotals="1" fieldPosition="0">
        <references count="4">
          <reference field="1" count="1" selected="0">
            <x v="9"/>
          </reference>
          <reference field="2" count="0" selected="0"/>
          <reference field="3" count="1" selected="0">
            <x v="44"/>
          </reference>
          <reference field="7" count="1" selected="0">
            <x v="355"/>
          </reference>
        </references>
      </pivotArea>
    </format>
    <format dxfId="93">
      <pivotArea outline="0" collapsedLevelsAreSubtotals="1" fieldPosition="0">
        <references count="4">
          <reference field="1" count="1" selected="0">
            <x v="8"/>
          </reference>
          <reference field="2" count="0" selected="0"/>
          <reference field="3" count="1" selected="0">
            <x v="44"/>
          </reference>
          <reference field="7" count="1" selected="0">
            <x v="355"/>
          </reference>
        </references>
      </pivotArea>
    </format>
    <format dxfId="92">
      <pivotArea outline="0" collapsedLevelsAreSubtotals="1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44"/>
          </reference>
          <reference field="7" count="1" selected="0">
            <x v="104"/>
          </reference>
        </references>
      </pivotArea>
    </format>
    <format dxfId="91">
      <pivotArea outline="0" collapsedLevelsAreSubtotals="1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44"/>
          </reference>
          <reference field="7" count="1" selected="0">
            <x v="105"/>
          </reference>
        </references>
      </pivotArea>
    </format>
    <format dxfId="90">
      <pivotArea outline="0" collapsedLevelsAreSubtotals="1" fieldPosition="0">
        <references count="4">
          <reference field="1" count="1" selected="0">
            <x v="6"/>
          </reference>
          <reference field="2" count="0" selected="0"/>
          <reference field="3" count="1" selected="0">
            <x v="44"/>
          </reference>
          <reference field="7" count="1" selected="0">
            <x v="111"/>
          </reference>
        </references>
      </pivotArea>
    </format>
    <format dxfId="89">
      <pivotArea outline="0" collapsedLevelsAreSubtotals="1" fieldPosition="0">
        <references count="4">
          <reference field="1" count="1" selected="0">
            <x v="6"/>
          </reference>
          <reference field="2" count="0" selected="0"/>
          <reference field="3" count="1" selected="0">
            <x v="44"/>
          </reference>
          <reference field="7" count="1" selected="0">
            <x v="566"/>
          </reference>
        </references>
      </pivotArea>
    </format>
    <format dxfId="88">
      <pivotArea outline="0" collapsedLevelsAreSubtotals="1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44"/>
          </reference>
          <reference field="7" count="1" selected="0">
            <x v="562"/>
          </reference>
        </references>
      </pivotArea>
    </format>
    <format dxfId="87">
      <pivotArea outline="0" collapsedLevelsAreSubtotals="1" fieldPosition="0">
        <references count="4">
          <reference field="1" count="1" selected="0">
            <x v="5"/>
          </reference>
          <reference field="2" count="0" selected="0"/>
          <reference field="3" count="1" selected="0">
            <x v="44"/>
          </reference>
          <reference field="7" count="1" selected="0">
            <x v="110"/>
          </reference>
        </references>
      </pivotArea>
    </format>
    <format dxfId="86">
      <pivotArea outline="0" collapsedLevelsAreSubtotals="1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44"/>
          </reference>
          <reference field="7" count="1" selected="0">
            <x v="103"/>
          </reference>
        </references>
      </pivotArea>
    </format>
    <format dxfId="85">
      <pivotArea outline="0" collapsedLevelsAreSubtotals="1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44"/>
          </reference>
          <reference field="7" count="1" selected="0">
            <x v="118"/>
          </reference>
        </references>
      </pivotArea>
    </format>
    <format dxfId="84">
      <pivotArea outline="0" collapsedLevelsAreSubtotals="1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44"/>
          </reference>
          <reference field="7" count="1" selected="0">
            <x v="4"/>
          </reference>
        </references>
      </pivotArea>
    </format>
    <format dxfId="83">
      <pivotArea outline="0" collapsedLevelsAreSubtotals="1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44"/>
          </reference>
          <reference field="7" count="1" selected="0">
            <x v="1"/>
          </reference>
        </references>
      </pivotArea>
    </format>
    <format dxfId="82">
      <pivotArea outline="0" collapsedLevelsAreSubtotals="1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44"/>
          </reference>
          <reference field="7" count="2" selected="0">
            <x v="218"/>
            <x v="322"/>
          </reference>
        </references>
      </pivotArea>
    </format>
    <format dxfId="81">
      <pivotArea outline="0" collapsedLevelsAreSubtotals="1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44"/>
          </reference>
          <reference field="7" count="1" selected="0">
            <x v="564"/>
          </reference>
        </references>
      </pivotArea>
    </format>
    <format dxfId="80">
      <pivotArea outline="0" collapsedLevelsAreSubtotals="1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44"/>
          </reference>
          <reference field="7" count="1" selected="0">
            <x v="565"/>
          </reference>
        </references>
      </pivotArea>
    </format>
    <format dxfId="79">
      <pivotArea outline="0" collapsedLevelsAreSubtotals="1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4"/>
          </reference>
          <reference field="7" count="1" selected="0">
            <x v="340"/>
          </reference>
        </references>
      </pivotArea>
    </format>
    <format dxfId="78">
      <pivotArea outline="0" collapsedLevelsAreSubtotals="1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4"/>
          </reference>
          <reference field="7" count="1" selected="0">
            <x v="341"/>
          </reference>
        </references>
      </pivotArea>
    </format>
    <format dxfId="77">
      <pivotArea outline="0" collapsedLevelsAreSubtotals="1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4"/>
          </reference>
          <reference field="7" count="1" selected="0">
            <x v="563"/>
          </reference>
        </references>
      </pivotArea>
    </format>
    <format dxfId="76">
      <pivotArea outline="0" collapsedLevelsAreSubtotals="1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44"/>
          </reference>
          <reference field="7" count="1" selected="0">
            <x v="340"/>
          </reference>
        </references>
      </pivotArea>
    </format>
    <format dxfId="75">
      <pivotArea outline="0" collapsedLevelsAreSubtotals="1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4"/>
          </reference>
          <reference field="7" count="1" selected="0">
            <x v="98"/>
          </reference>
        </references>
      </pivotArea>
    </format>
    <format dxfId="74">
      <pivotArea outline="0" collapsedLevelsAreSubtotals="1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4"/>
          </reference>
          <reference field="7" count="1" selected="0">
            <x v="3"/>
          </reference>
        </references>
      </pivotArea>
    </format>
    <format dxfId="73">
      <pivotArea outline="0" collapsedLevelsAreSubtotals="1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44"/>
          </reference>
          <reference field="7" count="1" selected="0">
            <x v="2"/>
          </reference>
        </references>
      </pivotArea>
    </format>
    <format dxfId="72">
      <pivotArea outline="0" collapsedLevelsAreSubtotals="1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44"/>
          </reference>
          <reference field="7" count="1" selected="0">
            <x v="97"/>
          </reference>
        </references>
      </pivotArea>
    </format>
    <format dxfId="71">
      <pivotArea outline="0" collapsedLevelsAreSubtotals="1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44"/>
          </reference>
          <reference field="7" count="1" selected="0">
            <x v="669"/>
          </reference>
        </references>
      </pivotArea>
    </format>
    <format dxfId="70">
      <pivotArea outline="0" fieldPosition="0">
        <references count="4">
          <reference field="1" count="1" selected="0">
            <x v="6"/>
          </reference>
          <reference field="2" count="0" selected="0"/>
          <reference field="3" count="1" selected="0">
            <x v="42"/>
          </reference>
          <reference field="7" count="1" selected="0">
            <x v="173"/>
          </reference>
        </references>
      </pivotArea>
    </format>
    <format dxfId="69">
      <pivotArea outline="0" fieldPosition="0">
        <references count="4">
          <reference field="1" count="1" selected="0">
            <x v="7"/>
          </reference>
          <reference field="2" count="0" selected="0"/>
          <reference field="3" count="1" selected="0">
            <x v="42"/>
          </reference>
          <reference field="7" count="1" selected="0">
            <x v="112"/>
          </reference>
        </references>
      </pivotArea>
    </format>
    <format dxfId="68">
      <pivotArea outline="0" fieldPosition="0">
        <references count="4">
          <reference field="1" count="1" selected="0">
            <x v="7"/>
          </reference>
          <reference field="2" count="0" selected="0"/>
          <reference field="3" count="1" selected="0">
            <x v="42"/>
          </reference>
          <reference field="7" count="1" selected="0">
            <x v="172"/>
          </reference>
        </references>
      </pivotArea>
    </format>
    <format dxfId="67">
      <pivotArea outline="0" fieldPosition="0">
        <references count="4">
          <reference field="1" count="1" selected="0">
            <x v="8"/>
          </reference>
          <reference field="2" count="0" selected="0"/>
          <reference field="3" count="1" selected="0">
            <x v="42"/>
          </reference>
          <reference field="7" count="1" selected="0">
            <x v="113"/>
          </reference>
        </references>
      </pivotArea>
    </format>
    <format dxfId="66">
      <pivotArea outline="0" collapsedLevelsAreSubtotals="1" fieldPosition="0">
        <references count="4">
          <reference field="1" count="5" selected="0">
            <x v="0"/>
            <x v="1"/>
            <x v="2"/>
            <x v="3"/>
            <x v="5"/>
          </reference>
          <reference field="2" count="1" selected="0">
            <x v="5"/>
          </reference>
          <reference field="3" count="1" selected="0">
            <x v="32"/>
          </reference>
          <reference field="7" count="8" selected="0">
            <x v="97"/>
            <x v="136"/>
            <x v="366"/>
            <x v="634"/>
            <x v="636"/>
            <x v="637"/>
            <x v="638"/>
            <x v="639"/>
          </reference>
        </references>
      </pivotArea>
    </format>
    <format dxfId="65">
      <pivotArea outline="0" collapsedLevelsAreSubtotals="1" fieldPosition="0">
        <references count="4">
          <reference field="1" count="1" selected="0">
            <x v="9"/>
          </reference>
          <reference field="2" count="0" selected="0"/>
          <reference field="3" count="1" selected="0">
            <x v="44"/>
          </reference>
          <reference field="7" count="2" selected="0">
            <x v="108"/>
            <x v="114"/>
          </reference>
        </references>
      </pivotArea>
    </format>
    <format dxfId="64">
      <pivotArea outline="0" collapsedLevelsAreSubtotals="1" fieldPosition="0">
        <references count="4">
          <reference field="1" count="1" selected="0">
            <x v="10"/>
          </reference>
          <reference field="2" count="0" selected="0"/>
          <reference field="3" count="1" selected="0">
            <x v="44"/>
          </reference>
          <reference field="7" count="1" selected="0">
            <x v="359"/>
          </reference>
        </references>
      </pivotArea>
    </format>
    <format dxfId="63">
      <pivotArea outline="0" fieldPosition="0">
        <references count="5">
          <reference field="1" count="4" selected="0">
            <x v="3"/>
            <x v="5"/>
            <x v="6"/>
            <x v="7"/>
          </reference>
          <reference field="2" count="0" selected="0"/>
          <reference field="3" count="1" selected="0">
            <x v="38"/>
          </reference>
          <reference field="7" count="20" selected="0">
            <x v="8"/>
            <x v="9"/>
            <x v="10"/>
            <x v="11"/>
            <x v="13"/>
            <x v="16"/>
            <x v="25"/>
            <x v="26"/>
            <x v="29"/>
            <x v="30"/>
            <x v="32"/>
            <x v="97"/>
            <x v="167"/>
            <x v="168"/>
            <x v="170"/>
            <x v="171"/>
            <x v="172"/>
            <x v="173"/>
            <x v="174"/>
            <x v="175"/>
          </reference>
          <reference field="13" count="1" selected="0">
            <x v="7"/>
          </reference>
        </references>
      </pivotArea>
    </format>
    <format dxfId="62">
      <pivotArea outline="0" fieldPosition="0">
        <references count="5">
          <reference field="1" count="1" selected="0">
            <x v="8"/>
          </reference>
          <reference field="2" count="0" selected="0"/>
          <reference field="3" count="1" selected="0">
            <x v="38"/>
          </reference>
          <reference field="7" count="1" selected="0">
            <x v="10"/>
          </reference>
          <reference field="13" count="1" selected="0">
            <x v="7"/>
          </reference>
        </references>
      </pivotArea>
    </format>
    <format dxfId="61">
      <pivotArea outline="0" fieldPosition="0">
        <references count="5">
          <reference field="1" count="1" selected="0">
            <x v="8"/>
          </reference>
          <reference field="2" count="0" selected="0"/>
          <reference field="3" count="1" selected="0">
            <x v="38"/>
          </reference>
          <reference field="7" count="1" selected="0">
            <x v="168"/>
          </reference>
          <reference field="13" count="1" selected="0">
            <x v="7"/>
          </reference>
        </references>
      </pivotArea>
    </format>
    <format dxfId="60">
      <pivotArea outline="0" fieldPosition="0">
        <references count="5">
          <reference field="1" count="1" selected="0">
            <x v="8"/>
          </reference>
          <reference field="2" count="0" selected="0"/>
          <reference field="3" count="1" selected="0">
            <x v="38"/>
          </reference>
          <reference field="7" count="1" selected="0">
            <x v="8"/>
          </reference>
          <reference field="13" count="1" selected="0">
            <x v="7"/>
          </reference>
        </references>
      </pivotArea>
    </format>
    <format dxfId="59">
      <pivotArea outline="0" fieldPosition="0">
        <references count="5">
          <reference field="1" count="1" selected="0">
            <x v="9"/>
          </reference>
          <reference field="2" count="0" selected="0"/>
          <reference field="3" count="1" selected="0">
            <x v="38"/>
          </reference>
          <reference field="7" count="1" selected="0">
            <x v="168"/>
          </reference>
          <reference field="13" count="1" selected="0">
            <x v="7"/>
          </reference>
        </references>
      </pivotArea>
    </format>
    <format dxfId="58">
      <pivotArea outline="0" fieldPosition="0">
        <references count="5">
          <reference field="1" count="1" selected="0">
            <x v="10"/>
          </reference>
          <reference field="2" count="0" selected="0"/>
          <reference field="3" count="1" selected="0">
            <x v="38"/>
          </reference>
          <reference field="7" count="1" selected="0">
            <x v="16"/>
          </reference>
          <reference field="13" count="1" selected="0">
            <x v="7"/>
          </reference>
        </references>
      </pivotArea>
    </format>
    <format dxfId="57">
      <pivotArea outline="0" fieldPosition="0">
        <references count="5">
          <reference field="1" count="1" selected="0">
            <x v="10"/>
          </reference>
          <reference field="2" count="0" selected="0"/>
          <reference field="3" count="1" selected="0">
            <x v="38"/>
          </reference>
          <reference field="7" count="1" selected="0">
            <x v="177"/>
          </reference>
          <reference field="13" count="1" selected="0">
            <x v="7"/>
          </reference>
        </references>
      </pivotArea>
    </format>
    <format dxfId="56">
      <pivotArea outline="0" fieldPosition="0">
        <references count="5">
          <reference field="1" count="1" selected="0">
            <x v="11"/>
          </reference>
          <reference field="2" count="0" selected="0"/>
          <reference field="3" count="1" selected="0">
            <x v="38"/>
          </reference>
          <reference field="7" count="1" selected="0">
            <x v="15"/>
          </reference>
          <reference field="13" count="1" selected="0">
            <x v="7"/>
          </reference>
        </references>
      </pivotArea>
    </format>
    <format dxfId="55">
      <pivotArea outline="0" fieldPosition="0">
        <references count="5">
          <reference field="1" count="9" selected="0">
            <x v="0"/>
            <x v="1"/>
            <x v="2"/>
            <x v="3"/>
            <x v="5"/>
            <x v="6"/>
            <x v="7"/>
            <x v="8"/>
            <x v="9"/>
          </reference>
          <reference field="2" count="0" selected="0"/>
          <reference field="3" count="1" selected="0">
            <x v="38"/>
          </reference>
          <reference field="7" count="24" selected="0">
            <x v="8"/>
            <x v="9"/>
            <x v="10"/>
            <x v="11"/>
            <x v="13"/>
            <x v="14"/>
            <x v="15"/>
            <x v="16"/>
            <x v="25"/>
            <x v="26"/>
            <x v="29"/>
            <x v="30"/>
            <x v="32"/>
            <x v="97"/>
            <x v="167"/>
            <x v="168"/>
            <x v="170"/>
            <x v="171"/>
            <x v="172"/>
            <x v="173"/>
            <x v="174"/>
            <x v="175"/>
            <x v="176"/>
            <x v="177"/>
          </reference>
          <reference field="13" count="1" selected="0">
            <x v="7"/>
          </reference>
        </references>
      </pivotArea>
    </format>
    <format dxfId="54">
      <pivotArea outline="0" fieldPosition="0">
        <references count="5">
          <reference field="1" count="1" selected="0">
            <x v="10"/>
          </reference>
          <reference field="2" count="0" selected="0"/>
          <reference field="3" count="1" selected="0">
            <x v="38"/>
          </reference>
          <reference field="7" count="1" selected="0">
            <x v="16"/>
          </reference>
          <reference field="13" count="1" selected="0">
            <x v="7"/>
          </reference>
        </references>
      </pivotArea>
    </format>
    <format dxfId="53">
      <pivotArea outline="0" fieldPosition="0">
        <references count="5">
          <reference field="1" count="1" selected="0">
            <x v="6"/>
          </reference>
          <reference field="2" count="0" selected="0"/>
          <reference field="3" count="1" selected="0">
            <x v="1"/>
          </reference>
          <reference field="7" count="1" selected="0">
            <x v="173"/>
          </reference>
          <reference field="13" count="1" selected="0">
            <x v="7"/>
          </reference>
        </references>
      </pivotArea>
    </format>
    <format dxfId="52">
      <pivotArea outline="0" fieldPosition="0">
        <references count="5">
          <reference field="1" count="1" selected="0">
            <x v="7"/>
          </reference>
          <reference field="2" count="0" selected="0"/>
          <reference field="3" count="1" selected="0">
            <x v="1"/>
          </reference>
          <reference field="7" count="1" selected="0">
            <x v="625"/>
          </reference>
          <reference field="13" count="1" selected="0">
            <x v="7"/>
          </reference>
        </references>
      </pivotArea>
    </format>
    <format dxfId="51">
      <pivotArea outline="0" fieldPosition="0">
        <references count="5">
          <reference field="1" count="1" selected="0">
            <x v="7"/>
          </reference>
          <reference field="2" count="0" selected="0"/>
          <reference field="3" count="1" selected="0">
            <x v="1"/>
          </reference>
          <reference field="7" count="1" selected="0">
            <x v="172"/>
          </reference>
          <reference field="13" count="1" selected="0">
            <x v="7"/>
          </reference>
        </references>
      </pivotArea>
    </format>
    <format dxfId="50">
      <pivotArea outline="0" fieldPosition="0">
        <references count="5">
          <reference field="1" count="1" selected="0">
            <x v="8"/>
          </reference>
          <reference field="2" count="0" selected="0"/>
          <reference field="3" count="1" selected="0">
            <x v="1"/>
          </reference>
          <reference field="7" count="1" selected="0">
            <x v="624"/>
          </reference>
          <reference field="13" count="1" selected="0">
            <x v="7"/>
          </reference>
        </references>
      </pivotArea>
    </format>
    <format dxfId="49">
      <pivotArea outline="0" fieldPosition="0">
        <references count="5">
          <reference field="1" count="1" selected="0">
            <x v="8"/>
          </reference>
          <reference field="2" count="0" selected="0"/>
          <reference field="3" count="1" selected="0">
            <x v="1"/>
          </reference>
          <reference field="7" count="1" selected="0">
            <x v="168"/>
          </reference>
          <reference field="13" count="1" selected="0">
            <x v="7"/>
          </reference>
        </references>
      </pivotArea>
    </format>
    <format dxfId="48">
      <pivotArea outline="0" fieldPosition="0">
        <references count="5">
          <reference field="1" count="1" selected="0">
            <x v="9"/>
          </reference>
          <reference field="2" count="0" selected="0"/>
          <reference field="3" count="1" selected="0">
            <x v="1"/>
          </reference>
          <reference field="7" count="1" selected="0">
            <x v="623"/>
          </reference>
          <reference field="13" count="1" selected="0">
            <x v="7"/>
          </reference>
        </references>
      </pivotArea>
    </format>
    <format dxfId="47">
      <pivotArea outline="0" fieldPosition="0">
        <references count="5">
          <reference field="1" count="1" selected="0">
            <x v="9"/>
          </reference>
          <reference field="2" count="0" selected="0"/>
          <reference field="3" count="1" selected="0">
            <x v="1"/>
          </reference>
          <reference field="7" count="1" selected="0">
            <x v="168"/>
          </reference>
          <reference field="13" count="1" selected="0">
            <x v="7"/>
          </reference>
        </references>
      </pivotArea>
    </format>
    <format dxfId="46">
      <pivotArea outline="0" fieldPosition="0">
        <references count="5">
          <reference field="1" count="1" selected="0">
            <x v="10"/>
          </reference>
          <reference field="2" count="0" selected="0"/>
          <reference field="3" count="1" selected="0">
            <x v="1"/>
          </reference>
          <reference field="7" count="1" selected="0">
            <x v="628"/>
          </reference>
          <reference field="13" count="1" selected="0">
            <x v="7"/>
          </reference>
        </references>
      </pivotArea>
    </format>
    <format dxfId="45">
      <pivotArea outline="0" fieldPosition="0">
        <references count="5">
          <reference field="1" count="1" selected="0">
            <x v="10"/>
          </reference>
          <reference field="2" count="0" selected="0"/>
          <reference field="3" count="1" selected="0">
            <x v="1"/>
          </reference>
          <reference field="7" count="1" selected="0">
            <x v="177"/>
          </reference>
          <reference field="13" count="1" selected="0">
            <x v="7"/>
          </reference>
        </references>
      </pivotArea>
    </format>
    <format dxfId="44">
      <pivotArea outline="0" fieldPosition="0">
        <references count="5">
          <reference field="1" count="1" selected="0">
            <x v="11"/>
          </reference>
          <reference field="2" count="0" selected="0"/>
          <reference field="3" count="1" selected="0">
            <x v="1"/>
          </reference>
          <reference field="7" count="1" selected="0">
            <x v="70"/>
          </reference>
          <reference field="13" count="1" selected="0">
            <x v="7"/>
          </reference>
        </references>
      </pivotArea>
    </format>
    <format dxfId="43">
      <pivotArea outline="0" fieldPosition="0">
        <references count="5">
          <reference field="1" count="1" selected="0">
            <x v="6"/>
          </reference>
          <reference field="2" count="0" selected="0"/>
          <reference field="3" count="1" selected="0">
            <x v="49"/>
          </reference>
          <reference field="7" count="1" selected="0">
            <x v="596"/>
          </reference>
          <reference field="13" count="1" selected="0">
            <x v="7"/>
          </reference>
        </references>
      </pivotArea>
    </format>
    <format dxfId="42">
      <pivotArea outline="0" fieldPosition="0">
        <references count="5">
          <reference field="1" count="1" selected="0">
            <x v="7"/>
          </reference>
          <reference field="2" count="0" selected="0"/>
          <reference field="3" count="1" selected="0">
            <x v="49"/>
          </reference>
          <reference field="7" count="1" selected="0">
            <x v="106"/>
          </reference>
          <reference field="13" count="1" selected="0">
            <x v="7"/>
          </reference>
        </references>
      </pivotArea>
    </format>
    <format dxfId="41">
      <pivotArea outline="0" fieldPosition="0">
        <references count="5">
          <reference field="1" count="1" selected="0">
            <x v="1"/>
          </reference>
          <reference field="2" count="0" selected="0"/>
          <reference field="3" count="1" selected="0">
            <x v="49"/>
          </reference>
          <reference field="7" count="1" selected="0">
            <x v="98"/>
          </reference>
          <reference field="13" count="1" selected="0">
            <x v="7"/>
          </reference>
        </references>
      </pivotArea>
    </format>
    <format dxfId="40">
      <pivotArea outline="0" fieldPosition="0">
        <references count="5">
          <reference field="1" count="1" selected="0">
            <x v="2"/>
          </reference>
          <reference field="2" count="0" selected="0"/>
          <reference field="3" count="1" selected="0">
            <x v="49"/>
          </reference>
          <reference field="7" count="1" selected="0">
            <x v="342"/>
          </reference>
          <reference field="13" count="1" selected="0">
            <x v="7"/>
          </reference>
        </references>
      </pivotArea>
    </format>
    <format dxfId="39">
      <pivotArea outline="0" fieldPosition="0">
        <references count="3">
          <reference field="1" count="1" selected="0">
            <x v="10"/>
          </reference>
          <reference field="7" count="1" selected="0">
            <x v="115"/>
          </reference>
          <reference field="13" count="1" selected="0">
            <x v="7"/>
          </reference>
        </references>
      </pivotArea>
    </format>
    <format dxfId="38">
      <pivotArea outline="0" fieldPosition="0">
        <references count="3">
          <reference field="1" count="1" selected="0">
            <x v="10"/>
          </reference>
          <reference field="7" count="1" selected="0">
            <x v="100"/>
          </reference>
          <reference field="13" count="1" selected="0">
            <x v="7"/>
          </reference>
        </references>
      </pivotArea>
    </format>
    <format dxfId="37">
      <pivotArea outline="0" fieldPosition="0">
        <references count="3">
          <reference field="1" count="1" selected="0">
            <x v="11"/>
          </reference>
          <reference field="7" count="1" selected="0">
            <x v="358"/>
          </reference>
          <reference field="13" count="1" selected="0">
            <x v="7"/>
          </reference>
        </references>
      </pivotArea>
    </format>
    <format dxfId="36">
      <pivotArea outline="0" fieldPosition="0">
        <references count="3">
          <reference field="1" count="1" selected="0">
            <x v="11"/>
          </reference>
          <reference field="7" count="1" selected="0">
            <x v="101"/>
          </reference>
          <reference field="13" count="1" selected="0">
            <x v="7"/>
          </reference>
        </references>
      </pivotArea>
    </format>
    <format dxfId="35">
      <pivotArea outline="0" fieldPosition="0">
        <references count="3">
          <reference field="1" count="1" selected="0">
            <x v="11"/>
          </reference>
          <reference field="7" count="1" selected="0">
            <x v="116"/>
          </reference>
          <reference field="13" count="1" selected="0">
            <x v="7"/>
          </reference>
        </references>
      </pivotArea>
    </format>
    <format dxfId="34">
      <pivotArea outline="0" fieldPosition="0">
        <references count="3">
          <reference field="1" count="1" selected="0">
            <x v="12"/>
          </reference>
          <reference field="7" count="1" selected="0">
            <x v="357"/>
          </reference>
          <reference field="13" count="1" selected="0">
            <x v="7"/>
          </reference>
        </references>
      </pivotArea>
    </format>
    <format dxfId="33">
      <pivotArea outline="0" fieldPosition="0">
        <references count="3">
          <reference field="1" count="10" selected="0">
            <x v="2"/>
            <x v="3"/>
            <x v="5"/>
            <x v="6"/>
            <x v="7"/>
            <x v="8"/>
            <x v="9"/>
            <x v="10"/>
            <x v="11"/>
            <x v="12"/>
          </reference>
          <reference field="7" count="1" selected="0">
            <x v="364"/>
          </reference>
          <reference field="13" count="1" selected="0">
            <x v="7"/>
          </reference>
        </references>
      </pivotArea>
    </format>
    <format dxfId="32">
      <pivotArea outline="0" fieldPosition="0">
        <references count="3">
          <reference field="1" count="3" selected="0">
            <x v="10"/>
            <x v="11"/>
            <x v="12"/>
          </reference>
          <reference field="7" count="9" selected="0">
            <x v="31"/>
            <x v="228"/>
            <x v="364"/>
            <x v="632"/>
            <x v="633"/>
            <x v="682"/>
            <x v="683"/>
            <x v="684"/>
            <x v="685"/>
          </reference>
          <reference field="13" count="1" selected="0">
            <x v="7"/>
          </reference>
        </references>
      </pivotArea>
    </format>
    <format dxfId="31">
      <pivotArea outline="0" collapsedLevelsAreSubtotals="1" fieldPosition="0">
        <references count="4">
          <reference field="1" count="1" selected="0">
            <x v="7"/>
          </reference>
          <reference field="2" count="0" selected="0"/>
          <reference field="3" count="1" selected="0">
            <x v="44"/>
          </reference>
          <reference field="7" count="1" selected="0">
            <x v="112"/>
          </reference>
        </references>
      </pivotArea>
    </format>
    <format dxfId="30">
      <pivotArea outline="0" collapsedLevelsAreSubtotals="1" fieldPosition="0">
        <references count="4">
          <reference field="1" count="1" selected="0">
            <x v="7"/>
          </reference>
          <reference field="2" count="0" selected="0"/>
          <reference field="3" count="1" selected="0">
            <x v="44"/>
          </reference>
          <reference field="7" count="1" selected="0">
            <x v="106"/>
          </reference>
        </references>
      </pivotArea>
    </format>
    <format dxfId="29">
      <pivotArea outline="0" collapsedLevelsAreSubtotals="1" fieldPosition="0">
        <references count="4">
          <reference field="1" count="1" selected="0">
            <x v="7"/>
          </reference>
          <reference field="2" count="0" selected="0"/>
          <reference field="3" count="1" selected="0">
            <x v="44"/>
          </reference>
          <reference field="7" count="1" selected="0">
            <x v="35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700-000000000000}" name="TablaDinámica1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gridDropZones="1" multipleFieldFilters="0">
  <location ref="A3:P31" firstHeaderRow="1" firstDataRow="2" firstDataCol="3"/>
  <pivotFields count="9">
    <pivotField compact="0" outline="0" showAll="0"/>
    <pivotField axis="axisCol" compact="0" outline="0" showAll="0">
      <items count="15">
        <item x="0"/>
        <item x="2"/>
        <item x="3"/>
        <item x="4"/>
        <item x="1"/>
        <item x="5"/>
        <item x="6"/>
        <item x="7"/>
        <item x="8"/>
        <item x="9"/>
        <item m="1" x="13"/>
        <item x="10"/>
        <item x="11"/>
        <item x="12"/>
        <item t="default"/>
      </items>
    </pivotField>
    <pivotField axis="axisRow" compact="0" outline="0" showAll="0" sortType="ascending">
      <items count="78">
        <item h="1" x="53"/>
        <item h="1" x="0"/>
        <item h="1" x="1"/>
        <item h="1" x="51"/>
        <item h="1" x="2"/>
        <item h="1" x="3"/>
        <item h="1" x="46"/>
        <item h="1" m="1" x="71"/>
        <item h="1" x="6"/>
        <item h="1" x="7"/>
        <item h="1" x="8"/>
        <item h="1" x="11"/>
        <item h="1" x="12"/>
        <item h="1" x="13"/>
        <item h="1" m="1" x="57"/>
        <item h="1" x="14"/>
        <item h="1" x="15"/>
        <item h="1" x="16"/>
        <item h="1" x="17"/>
        <item h="1" x="52"/>
        <item h="1" x="18"/>
        <item h="1" m="1" x="63"/>
        <item h="1" x="19"/>
        <item h="1" x="20"/>
        <item h="1" m="1" x="60"/>
        <item h="1" x="50"/>
        <item x="48"/>
        <item h="1" x="54"/>
        <item h="1" x="21"/>
        <item h="1" x="22"/>
        <item h="1" x="4"/>
        <item h="1" x="29"/>
        <item h="1" x="27"/>
        <item h="1" x="5"/>
        <item h="1" x="44"/>
        <item h="1" x="45"/>
        <item h="1" m="1" x="76"/>
        <item h="1" x="25"/>
        <item h="1" m="1" x="67"/>
        <item h="1" x="9"/>
        <item h="1" x="10"/>
        <item h="1" m="1" x="58"/>
        <item h="1" x="26"/>
        <item h="1" m="1" x="68"/>
        <item h="1" m="1" x="62"/>
        <item h="1" m="1" x="72"/>
        <item h="1" m="1" x="59"/>
        <item h="1" x="41"/>
        <item h="1" x="42"/>
        <item h="1" x="32"/>
        <item h="1" x="33"/>
        <item h="1" x="34"/>
        <item h="1" x="35"/>
        <item h="1" x="36"/>
        <item h="1" x="37"/>
        <item h="1" m="1" x="65"/>
        <item h="1" m="1" x="70"/>
        <item h="1" x="40"/>
        <item h="1" x="38"/>
        <item h="1" x="24"/>
        <item h="1" x="39"/>
        <item h="1" x="30"/>
        <item h="1" x="43"/>
        <item h="1" x="31"/>
        <item h="1" x="28"/>
        <item h="1" m="1" x="64"/>
        <item h="1" x="55"/>
        <item h="1" m="1" x="61"/>
        <item h="1" m="1" x="75"/>
        <item h="1" x="49"/>
        <item h="1" m="1" x="74"/>
        <item h="1" x="47"/>
        <item h="1" m="1" x="66"/>
        <item h="1" m="1" x="69"/>
        <item h="1" x="56"/>
        <item h="1" m="1" x="73"/>
        <item h="1" x="23"/>
        <item t="default"/>
      </items>
    </pivotField>
    <pivotField axis="axisRow" compact="0" outline="0" showAll="0" defaultSubtotal="0">
      <items count="78">
        <item x="28"/>
        <item x="14"/>
        <item x="9"/>
        <item x="11"/>
        <item x="38"/>
        <item x="40"/>
        <item x="24"/>
        <item x="7"/>
        <item x="15"/>
        <item x="41"/>
        <item x="42"/>
        <item x="34"/>
        <item x="35"/>
        <item x="31"/>
        <item x="32"/>
        <item x="33"/>
        <item x="36"/>
        <item x="37"/>
        <item x="21"/>
        <item x="43"/>
        <item x="39"/>
        <item x="30"/>
        <item x="10"/>
        <item x="20"/>
        <item x="19"/>
        <item x="13"/>
        <item x="46"/>
        <item x="2"/>
        <item x="0"/>
        <item x="1"/>
        <item x="4"/>
        <item x="26"/>
        <item x="3"/>
        <item x="47"/>
        <item x="8"/>
        <item x="44"/>
        <item x="45"/>
        <item m="1" x="76"/>
        <item x="29"/>
        <item x="5"/>
        <item x="6"/>
        <item x="48"/>
        <item x="12"/>
        <item x="16"/>
        <item x="22"/>
        <item x="17"/>
        <item x="18"/>
        <item x="23"/>
        <item m="1" x="62"/>
        <item m="1" x="58"/>
        <item m="1" x="64"/>
        <item m="1" x="74"/>
        <item m="1" x="70"/>
        <item m="1" x="71"/>
        <item m="1" x="67"/>
        <item m="1" x="57"/>
        <item m="1" x="63"/>
        <item x="51"/>
        <item x="50"/>
        <item m="1" x="60"/>
        <item x="27"/>
        <item x="25"/>
        <item x="53"/>
        <item x="52"/>
        <item m="1" x="77"/>
        <item m="1" x="61"/>
        <item x="49"/>
        <item m="1" x="69"/>
        <item m="1" x="59"/>
        <item m="1" x="75"/>
        <item m="1" x="73"/>
        <item m="1" x="68"/>
        <item m="1" x="65"/>
        <item m="1" x="72"/>
        <item m="1" x="66"/>
        <item x="55"/>
        <item x="54"/>
        <item x="56"/>
      </items>
    </pivotField>
    <pivotField dataField="1" compact="0" outline="0" showAll="0"/>
    <pivotField compact="0" outline="0" showAll="0"/>
    <pivotField compact="0" outline="0" showAll="0"/>
    <pivotField axis="axisRow" compact="0" outline="0" showAll="0">
      <items count="742">
        <item x="30"/>
        <item x="74"/>
        <item x="209"/>
        <item x="184"/>
        <item x="255"/>
        <item x="36"/>
        <item x="80"/>
        <item x="49"/>
        <item x="89"/>
        <item x="44"/>
        <item x="88"/>
        <item x="287"/>
        <item x="90"/>
        <item x="93"/>
        <item x="37"/>
        <item x="263"/>
        <item x="186"/>
        <item x="183"/>
        <item x="41"/>
        <item x="216"/>
        <item x="31"/>
        <item x="142"/>
        <item x="270"/>
        <item x="272"/>
        <item x="211"/>
        <item x="3"/>
        <item x="100"/>
        <item x="6"/>
        <item x="234"/>
        <item x="235"/>
        <item x="152"/>
        <item x="153"/>
        <item x="274"/>
        <item x="275"/>
        <item x="283"/>
        <item x="0"/>
        <item x="4"/>
        <item x="132"/>
        <item x="76"/>
        <item x="196"/>
        <item x="195"/>
        <item x="50"/>
        <item x="96"/>
        <item x="106"/>
        <item x="238"/>
        <item x="86"/>
        <item x="266"/>
        <item x="62"/>
        <item x="199"/>
        <item x="166"/>
        <item x="167"/>
        <item x="109"/>
        <item x="150"/>
        <item x="244"/>
        <item x="200"/>
        <item x="154"/>
        <item x="237"/>
        <item x="264"/>
        <item x="140"/>
        <item x="177"/>
        <item x="172"/>
        <item x="215"/>
        <item x="120"/>
        <item x="250"/>
        <item x="53"/>
        <item x="113"/>
        <item x="78"/>
        <item x="279"/>
        <item x="51"/>
        <item x="202"/>
        <item x="197"/>
        <item x="159"/>
        <item x="102"/>
        <item x="260"/>
        <item x="115"/>
        <item x="58"/>
        <item x="7"/>
        <item x="26"/>
        <item x="160"/>
        <item x="14"/>
        <item x="61"/>
        <item x="185"/>
        <item x="144"/>
        <item x="131"/>
        <item x="130"/>
        <item x="230"/>
        <item x="117"/>
        <item x="229"/>
        <item x="8"/>
        <item x="205"/>
        <item x="296"/>
        <item x="297"/>
        <item x="40"/>
        <item x="165"/>
        <item x="54"/>
        <item x="16"/>
        <item x="146"/>
        <item x="141"/>
        <item x="46"/>
        <item x="280"/>
        <item x="107"/>
        <item x="21"/>
        <item x="149"/>
        <item x="28"/>
        <item x="245"/>
        <item x="288"/>
        <item x="286"/>
        <item x="163"/>
        <item x="87"/>
        <item x="206"/>
        <item x="119"/>
        <item x="198"/>
        <item x="136"/>
        <item x="281"/>
        <item x="75"/>
        <item x="189"/>
        <item x="249"/>
        <item x="59"/>
        <item x="139"/>
        <item x="247"/>
        <item x="94"/>
        <item x="24"/>
        <item x="155"/>
        <item x="34"/>
        <item x="110"/>
        <item x="111"/>
        <item x="112"/>
        <item x="81"/>
        <item x="99"/>
        <item x="261"/>
        <item x="236"/>
        <item x="5"/>
        <item x="192"/>
        <item x="42"/>
        <item x="92"/>
        <item x="212"/>
        <item x="253"/>
        <item x="19"/>
        <item x="242"/>
        <item x="248"/>
        <item x="91"/>
        <item x="173"/>
        <item x="252"/>
        <item x="138"/>
        <item x="95"/>
        <item x="33"/>
        <item x="83"/>
        <item x="239"/>
        <item x="277"/>
        <item x="169"/>
        <item x="48"/>
        <item x="45"/>
        <item x="213"/>
        <item x="17"/>
        <item x="97"/>
        <item x="10"/>
        <item x="47"/>
        <item x="176"/>
        <item x="9"/>
        <item x="257"/>
        <item x="63"/>
        <item x="35"/>
        <item x="168"/>
        <item x="64"/>
        <item x="203"/>
        <item x="262"/>
        <item x="84"/>
        <item x="11"/>
        <item x="157"/>
        <item x="60"/>
        <item x="82"/>
        <item x="175"/>
        <item x="72"/>
        <item x="191"/>
        <item x="194"/>
        <item x="193"/>
        <item x="52"/>
        <item x="101"/>
        <item x="151"/>
        <item x="269"/>
        <item x="273"/>
        <item x="71"/>
        <item x="170"/>
        <item x="190"/>
        <item x="282"/>
        <item x="43"/>
        <item x="137"/>
        <item x="25"/>
        <item x="158"/>
        <item x="66"/>
        <item x="70"/>
        <item x="69"/>
        <item x="254"/>
        <item x="39"/>
        <item x="246"/>
        <item x="289"/>
        <item x="156"/>
        <item x="179"/>
        <item x="148"/>
        <item x="188"/>
        <item x="256"/>
        <item x="67"/>
        <item x="171"/>
        <item x="143"/>
        <item x="98"/>
        <item x="240"/>
        <item x="32"/>
        <item x="55"/>
        <item x="178"/>
        <item x="56"/>
        <item x="57"/>
        <item x="268"/>
        <item x="174"/>
        <item x="259"/>
        <item x="187"/>
        <item x="258"/>
        <item x="23"/>
        <item x="161"/>
        <item x="77"/>
        <item x="251"/>
        <item x="162"/>
        <item x="29"/>
        <item x="164"/>
        <item x="20"/>
        <item x="278"/>
        <item x="271"/>
        <item x="105"/>
        <item x="241"/>
        <item x="129"/>
        <item x="22"/>
        <item x="134"/>
        <item x="133"/>
        <item x="290"/>
        <item x="27"/>
        <item x="267"/>
        <item x="207"/>
        <item x="243"/>
        <item x="116"/>
        <item x="208"/>
        <item x="73"/>
        <item x="114"/>
        <item x="225"/>
        <item x="15"/>
        <item x="145"/>
        <item x="135"/>
        <item x="201"/>
        <item x="79"/>
        <item x="68"/>
        <item x="18"/>
        <item x="147"/>
        <item x="38"/>
        <item x="2"/>
        <item x="204"/>
        <item x="276"/>
        <item x="214"/>
        <item x="121"/>
        <item x="13"/>
        <item x="104"/>
        <item x="12"/>
        <item x="295"/>
        <item x="228"/>
        <item x="293"/>
        <item x="294"/>
        <item x="226"/>
        <item x="227"/>
        <item x="85"/>
        <item x="1"/>
        <item x="210"/>
        <item x="108"/>
        <item x="233"/>
        <item x="298"/>
        <item x="103"/>
        <item x="126"/>
        <item x="127"/>
        <item x="128"/>
        <item x="118"/>
        <item x="231"/>
        <item x="122"/>
        <item x="123"/>
        <item x="124"/>
        <item x="125"/>
        <item x="217"/>
        <item x="218"/>
        <item x="219"/>
        <item x="220"/>
        <item x="221"/>
        <item x="222"/>
        <item x="223"/>
        <item x="299"/>
        <item x="300"/>
        <item x="301"/>
        <item x="302"/>
        <item x="303"/>
        <item x="304"/>
        <item x="232"/>
        <item x="180"/>
        <item x="181"/>
        <item x="182"/>
        <item x="224"/>
        <item x="291"/>
        <item x="292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65"/>
        <item x="324"/>
        <item x="325"/>
        <item x="326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6"/>
        <item x="347"/>
        <item x="348"/>
        <item x="349"/>
        <item x="350"/>
        <item x="351"/>
        <item x="352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3"/>
        <item x="394"/>
        <item x="395"/>
        <item x="399"/>
        <item x="400"/>
        <item x="401"/>
        <item x="402"/>
        <item x="403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9"/>
        <item x="430"/>
        <item x="431"/>
        <item x="409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345"/>
        <item x="397"/>
        <item x="398"/>
        <item x="353"/>
        <item x="404"/>
        <item x="450"/>
        <item x="327"/>
        <item x="428"/>
        <item x="451"/>
        <item x="452"/>
        <item x="453"/>
        <item x="284"/>
        <item x="285"/>
        <item x="392"/>
        <item x="427"/>
        <item x="466"/>
        <item x="354"/>
        <item x="355"/>
        <item x="356"/>
        <item x="357"/>
        <item x="358"/>
        <item x="359"/>
        <item x="360"/>
        <item x="361"/>
        <item x="405"/>
        <item x="406"/>
        <item x="407"/>
        <item x="408"/>
        <item x="410"/>
        <item x="411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7"/>
        <item x="468"/>
        <item x="469"/>
        <item x="470"/>
        <item x="471"/>
        <item x="472"/>
        <item x="473"/>
        <item x="474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465"/>
        <item x="505"/>
        <item x="506"/>
        <item x="507"/>
        <item x="508"/>
        <item x="509"/>
        <item x="510"/>
        <item x="511"/>
        <item x="475"/>
        <item x="512"/>
        <item x="513"/>
        <item x="514"/>
        <item x="515"/>
        <item x="517"/>
        <item x="516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7"/>
        <item x="579"/>
        <item x="580"/>
        <item x="581"/>
        <item x="582"/>
        <item x="583"/>
        <item x="584"/>
        <item x="585"/>
        <item x="586"/>
        <item x="548"/>
        <item x="549"/>
        <item x="550"/>
        <item x="551"/>
        <item x="587"/>
        <item x="588"/>
        <item x="589"/>
        <item x="590"/>
        <item x="591"/>
        <item x="592"/>
        <item x="593"/>
        <item x="594"/>
        <item x="595"/>
        <item x="576"/>
        <item x="578"/>
        <item x="596"/>
        <item x="597"/>
        <item x="265"/>
        <item x="396"/>
        <item x="305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50"/>
        <item x="651"/>
        <item x="652"/>
        <item x="653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54"/>
        <item x="671"/>
        <item x="672"/>
        <item x="673"/>
        <item x="674"/>
        <item x="675"/>
        <item x="676"/>
        <item x="677"/>
        <item x="681"/>
        <item x="682"/>
        <item x="683"/>
        <item x="649"/>
        <item x="678"/>
        <item x="679"/>
        <item x="680"/>
        <item x="684"/>
        <item x="685"/>
        <item x="686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15"/>
        <item x="687"/>
        <item x="737"/>
        <item x="738"/>
        <item x="739"/>
        <item x="740"/>
        <item t="default"/>
      </items>
    </pivotField>
    <pivotField compact="0" outline="0" showAll="0"/>
  </pivotFields>
  <rowFields count="3">
    <field x="2"/>
    <field x="3"/>
    <field x="7"/>
  </rowFields>
  <rowItems count="27">
    <i>
      <x v="26"/>
      <x v="41"/>
      <x v="74"/>
    </i>
    <i r="2">
      <x v="83"/>
    </i>
    <i r="2">
      <x v="86"/>
    </i>
    <i r="2">
      <x v="87"/>
    </i>
    <i r="2">
      <x v="90"/>
    </i>
    <i r="2">
      <x v="91"/>
    </i>
    <i r="2">
      <x v="228"/>
    </i>
    <i r="2">
      <x v="275"/>
    </i>
    <i r="2">
      <x v="276"/>
    </i>
    <i r="2">
      <x v="343"/>
    </i>
    <i r="2">
      <x v="383"/>
    </i>
    <i r="2">
      <x v="384"/>
    </i>
    <i r="2">
      <x v="417"/>
    </i>
    <i r="2">
      <x v="418"/>
    </i>
    <i r="2">
      <x v="545"/>
    </i>
    <i r="2">
      <x v="549"/>
    </i>
    <i r="2">
      <x v="573"/>
    </i>
    <i r="2">
      <x v="577"/>
    </i>
    <i r="2">
      <x v="581"/>
    </i>
    <i r="2">
      <x v="621"/>
    </i>
    <i r="2">
      <x v="625"/>
    </i>
    <i r="2">
      <x v="675"/>
    </i>
    <i r="2">
      <x v="683"/>
    </i>
    <i r="2">
      <x v="718"/>
    </i>
    <i r="2">
      <x v="722"/>
    </i>
    <i t="default">
      <x v="26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1"/>
    </i>
    <i>
      <x v="12"/>
    </i>
    <i>
      <x v="13"/>
    </i>
    <i t="grand">
      <x/>
    </i>
  </colItems>
  <dataFields count="1">
    <dataField name="Suma de Monto" fld="4" baseField="3" baseItem="27" numFmtId="38"/>
  </dataFields>
  <formats count="29">
    <format dxfId="28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45"/>
          </reference>
          <reference field="7" count="11" selected="0">
            <x v="1"/>
            <x v="2"/>
            <x v="35"/>
            <x v="63"/>
            <x v="106"/>
            <x v="114"/>
            <x v="115"/>
            <x v="116"/>
            <x v="214"/>
            <x v="215"/>
            <x v="251"/>
          </reference>
        </references>
      </pivotArea>
    </format>
    <format dxfId="27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5"/>
          </reference>
          <reference field="7" count="1" selected="0">
            <x v="214"/>
          </reference>
        </references>
      </pivotArea>
    </format>
    <format dxfId="26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5"/>
          </reference>
          <reference field="7" count="6" selected="0">
            <x v="2"/>
            <x v="35"/>
            <x v="63"/>
            <x v="106"/>
            <x v="114"/>
            <x v="115"/>
          </reference>
        </references>
      </pivotArea>
    </format>
    <format dxfId="25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5"/>
          </reference>
          <reference field="7" count="1" selected="0">
            <x v="267"/>
          </reference>
        </references>
      </pivotArea>
    </format>
    <format dxfId="24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45"/>
          </reference>
          <reference field="7" count="1" selected="0">
            <x v="215"/>
          </reference>
        </references>
      </pivotArea>
    </format>
    <format dxfId="23">
      <pivotArea outline="0" fieldPosition="0">
        <references count="4">
          <reference field="1" count="1" selected="0">
            <x v="2"/>
          </reference>
          <reference field="2" count="0" selected="0"/>
          <reference field="3" count="1" selected="0">
            <x v="45"/>
          </reference>
          <reference field="7" count="3" selected="0">
            <x v="35"/>
            <x v="63"/>
            <x v="106"/>
          </reference>
        </references>
      </pivotArea>
    </format>
    <format dxfId="22">
      <pivotArea outline="0" fieldPosition="0">
        <references count="4">
          <reference field="1" count="1" selected="0">
            <x v="3"/>
          </reference>
          <reference field="2" count="0" selected="0"/>
          <reference field="3" count="1" selected="0">
            <x v="45"/>
          </reference>
          <reference field="7" count="1" selected="0">
            <x v="267"/>
          </reference>
        </references>
      </pivotArea>
    </format>
    <format dxfId="21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1"/>
          </reference>
          <reference field="7" count="4" selected="0">
            <x v="35"/>
            <x v="238"/>
            <x v="239"/>
            <x v="268"/>
          </reference>
        </references>
      </pivotArea>
    </format>
    <format dxfId="20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1"/>
          </reference>
          <reference field="7" count="1" selected="0">
            <x v="238"/>
          </reference>
        </references>
      </pivotArea>
    </format>
    <format dxfId="19">
      <pivotArea outline="0" fieldPosition="0">
        <references count="4">
          <reference field="1" count="1" selected="0">
            <x v="0"/>
          </reference>
          <reference field="2" count="1" selected="0">
            <x v="16"/>
          </reference>
          <reference field="3" count="1" selected="0">
            <x v="8"/>
          </reference>
          <reference field="7" count="4" selected="0">
            <x v="35"/>
            <x v="238"/>
            <x v="239"/>
            <x v="268"/>
          </reference>
        </references>
      </pivotArea>
    </format>
    <format dxfId="18">
      <pivotArea outline="0" fieldPosition="0">
        <references count="4">
          <reference field="1" count="1" selected="0">
            <x v="1"/>
          </reference>
          <reference field="2" count="1" selected="0">
            <x v="16"/>
          </reference>
          <reference field="3" count="1" selected="0">
            <x v="8"/>
          </reference>
          <reference field="7" count="1" selected="0">
            <x v="238"/>
          </reference>
        </references>
      </pivotArea>
    </format>
    <format dxfId="17">
      <pivotArea outline="0" fieldPosition="0">
        <references count="4">
          <reference field="1" count="1" selected="0">
            <x v="0"/>
          </reference>
          <reference field="2" count="0" selected="0"/>
          <reference field="3" count="1" selected="0">
            <x v="43"/>
          </reference>
          <reference field="7" count="3" selected="0">
            <x v="35"/>
            <x v="114"/>
            <x v="268"/>
          </reference>
        </references>
      </pivotArea>
    </format>
    <format dxfId="16">
      <pivotArea outline="0" fieldPosition="0">
        <references count="4">
          <reference field="1" count="1" selected="0">
            <x v="1"/>
          </reference>
          <reference field="2" count="0" selected="0"/>
          <reference field="3" count="1" selected="0">
            <x v="43"/>
          </reference>
          <reference field="7" count="1" selected="0">
            <x v="114"/>
          </reference>
        </references>
      </pivotArea>
    </format>
    <format dxfId="15">
      <pivotArea outline="0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1" selected="0">
            <x v="43"/>
          </reference>
          <reference field="7" count="1" selected="0">
            <x v="269"/>
          </reference>
        </references>
      </pivotArea>
    </format>
    <format dxfId="14">
      <pivotArea outline="0" fieldPosition="0">
        <references count="4">
          <reference field="1" count="1" selected="0">
            <x v="2"/>
          </reference>
          <reference field="2" count="1" selected="0">
            <x v="17"/>
          </reference>
          <reference field="3" count="1" selected="0">
            <x v="43"/>
          </reference>
          <reference field="7" count="1" selected="0">
            <x v="63"/>
          </reference>
        </references>
      </pivotArea>
    </format>
    <format dxfId="13">
      <pivotArea outline="0" fieldPosition="0">
        <references count="4">
          <reference field="1" count="3" selected="0">
            <x v="0"/>
            <x v="1"/>
            <x v="2"/>
          </reference>
          <reference field="2" count="1" selected="0">
            <x v="33"/>
          </reference>
          <reference field="3" count="1" selected="0">
            <x v="39"/>
          </reference>
          <reference field="7" count="8" selected="0">
            <x v="4"/>
            <x v="7"/>
            <x v="8"/>
            <x v="11"/>
            <x v="35"/>
            <x v="268"/>
            <x v="269"/>
            <x v="270"/>
          </reference>
        </references>
      </pivotArea>
    </format>
    <format dxfId="12">
      <pivotArea outline="0" fieldPosition="0">
        <references count="4">
          <reference field="1" count="2" selected="0">
            <x v="0"/>
            <x v="1"/>
          </reference>
          <reference field="2" count="1" selected="0">
            <x v="34"/>
          </reference>
          <reference field="3" count="1" selected="0">
            <x v="35"/>
          </reference>
          <reference field="7" count="3" selected="0">
            <x v="30"/>
            <x v="32"/>
            <x v="268"/>
          </reference>
        </references>
      </pivotArea>
    </format>
    <format dxfId="11">
      <pivotArea outline="0" fieldPosition="0">
        <references count="4">
          <reference field="1" count="1" selected="0">
            <x v="1"/>
          </reference>
          <reference field="2" count="1" selected="0">
            <x v="34"/>
          </reference>
          <reference field="3" count="1" selected="0">
            <x v="35"/>
          </reference>
          <reference field="7" count="1" selected="0">
            <x v="269"/>
          </reference>
        </references>
      </pivotArea>
    </format>
    <format dxfId="10">
      <pivotArea outline="0" fieldPosition="0">
        <references count="4">
          <reference field="1" count="1" selected="0">
            <x v="2"/>
          </reference>
          <reference field="2" count="1" selected="0">
            <x v="34"/>
          </reference>
          <reference field="3" count="1" selected="0">
            <x v="35"/>
          </reference>
          <reference field="7" count="1" selected="0">
            <x v="28"/>
          </reference>
        </references>
      </pivotArea>
    </format>
    <format dxfId="9">
      <pivotArea outline="0" fieldPosition="0">
        <references count="4">
          <reference field="1" count="1" selected="0">
            <x v="2"/>
          </reference>
          <reference field="2" count="1" selected="0">
            <x v="34"/>
          </reference>
          <reference field="3" count="1" selected="0">
            <x v="35"/>
          </reference>
          <reference field="7" count="4" selected="0">
            <x v="32"/>
            <x v="268"/>
            <x v="269"/>
            <x v="270"/>
          </reference>
        </references>
      </pivotArea>
    </format>
    <format dxfId="8">
      <pivotArea outline="0" fieldPosition="0">
        <references count="4">
          <reference field="1" count="1" selected="0">
            <x v="2"/>
          </reference>
          <reference field="2" count="1" selected="0">
            <x v="35"/>
          </reference>
          <reference field="3" count="1" selected="0">
            <x v="36"/>
          </reference>
          <reference field="7" count="4" selected="0">
            <x v="33"/>
            <x v="268"/>
            <x v="269"/>
            <x v="270"/>
          </reference>
        </references>
      </pivotArea>
    </format>
    <format dxfId="7">
      <pivotArea outline="0" fieldPosition="0">
        <references count="4">
          <reference field="1" count="2" selected="0">
            <x v="0"/>
            <x v="1"/>
          </reference>
          <reference field="2" count="1" selected="0">
            <x v="35"/>
          </reference>
          <reference field="3" count="1" selected="0">
            <x v="36"/>
          </reference>
          <reference field="7" count="3" selected="0">
            <x v="31"/>
            <x v="33"/>
            <x v="268"/>
          </reference>
        </references>
      </pivotArea>
    </format>
    <format dxfId="6">
      <pivotArea outline="0" fieldPosition="0">
        <references count="4">
          <reference field="1" count="1" selected="0">
            <x v="1"/>
          </reference>
          <reference field="2" count="1" selected="0">
            <x v="35"/>
          </reference>
          <reference field="3" count="1" selected="0">
            <x v="36"/>
          </reference>
          <reference field="7" count="1" selected="0">
            <x v="269"/>
          </reference>
        </references>
      </pivotArea>
    </format>
    <format dxfId="5">
      <pivotArea outline="0" fieldPosition="0">
        <references count="4">
          <reference field="1" count="1" selected="0">
            <x v="2"/>
          </reference>
          <reference field="2" count="1" selected="0">
            <x v="35"/>
          </reference>
          <reference field="3" count="1" selected="0">
            <x v="36"/>
          </reference>
          <reference field="7" count="1" selected="0">
            <x v="29"/>
          </reference>
        </references>
      </pivotArea>
    </format>
    <format dxfId="4">
      <pivotArea outline="0" fieldPosition="0">
        <references count="2">
          <reference field="1" count="1" selected="0">
            <x v="0"/>
          </reference>
          <reference field="2" count="1" selected="0" defaultSubtotal="1">
            <x v="31"/>
          </reference>
        </references>
      </pivotArea>
    </format>
    <format dxfId="3">
      <pivotArea outline="0" fieldPosition="0">
        <references count="4">
          <reference field="1" count="3" selected="0">
            <x v="1"/>
            <x v="2"/>
            <x v="3"/>
          </reference>
          <reference field="2" count="1" selected="0">
            <x v="31"/>
          </reference>
          <reference field="3" count="1" selected="0">
            <x v="38"/>
          </reference>
          <reference field="7" count="9" selected="0">
            <x v="17"/>
            <x v="18"/>
            <x v="51"/>
            <x v="151"/>
            <x v="236"/>
            <x v="266"/>
            <x v="268"/>
            <x v="269"/>
            <x v="270"/>
          </reference>
        </references>
      </pivotArea>
    </format>
    <format dxfId="2">
      <pivotArea outline="0" fieldPosition="0">
        <references count="4">
          <reference field="1" count="4" selected="0">
            <x v="0"/>
            <x v="1"/>
            <x v="2"/>
            <x v="3"/>
          </reference>
          <reference field="2" count="1" selected="0">
            <x v="30"/>
          </reference>
          <reference field="3" count="1" selected="0">
            <x v="30"/>
          </reference>
          <reference field="7" count="3" selected="0">
            <x v="0"/>
            <x v="35"/>
            <x v="51"/>
          </reference>
        </references>
      </pivotArea>
    </format>
    <format dxfId="1">
      <pivotArea outline="0" fieldPosition="0">
        <references count="4">
          <reference field="1" count="4" selected="0">
            <x v="0"/>
            <x v="1"/>
            <x v="2"/>
            <x v="3"/>
          </reference>
          <reference field="2" count="1" selected="0">
            <x v="32"/>
          </reference>
          <reference field="3" count="1" selected="0">
            <x v="60"/>
          </reference>
          <reference field="7" count="35" selected="0">
            <x v="19"/>
            <x v="41"/>
            <x v="42"/>
            <x v="47"/>
            <x v="48"/>
            <x v="68"/>
            <x v="69"/>
            <x v="70"/>
            <x v="71"/>
            <x v="79"/>
            <x v="82"/>
            <x v="88"/>
            <x v="89"/>
            <x v="101"/>
            <x v="102"/>
            <x v="111"/>
            <x v="121"/>
            <x v="122"/>
            <x v="143"/>
            <x v="147"/>
            <x v="152"/>
            <x v="163"/>
            <x v="164"/>
            <x v="166"/>
            <x v="167"/>
            <x v="168"/>
            <x v="172"/>
            <x v="173"/>
            <x v="189"/>
            <x v="218"/>
            <x v="219"/>
            <x v="229"/>
            <x v="268"/>
            <x v="269"/>
            <x v="270"/>
          </reference>
        </references>
      </pivotArea>
    </format>
    <format dxfId="0">
      <pivotArea outline="0" fieldPosition="0">
        <references count="4">
          <reference field="1" count="3" selected="0">
            <x v="0"/>
            <x v="1"/>
            <x v="2"/>
          </reference>
          <reference field="2" count="1" selected="0">
            <x v="37"/>
          </reference>
          <reference field="3" count="1" selected="0">
            <x v="61"/>
          </reference>
          <reference field="7" count="84" selected="0">
            <x v="13"/>
            <x v="14"/>
            <x v="16"/>
            <x v="20"/>
            <x v="21"/>
            <x v="26"/>
            <x v="27"/>
            <x v="36"/>
            <x v="37"/>
            <x v="38"/>
            <x v="39"/>
            <x v="40"/>
            <x v="43"/>
            <x v="44"/>
            <x v="45"/>
            <x v="49"/>
            <x v="77"/>
            <x v="78"/>
            <x v="80"/>
            <x v="81"/>
            <x v="92"/>
            <x v="93"/>
            <x v="97"/>
            <x v="103"/>
            <x v="104"/>
            <x v="107"/>
            <x v="117"/>
            <x v="118"/>
            <x v="119"/>
            <x v="120"/>
            <x v="123"/>
            <x v="128"/>
            <x v="129"/>
            <x v="130"/>
            <x v="137"/>
            <x v="144"/>
            <x v="145"/>
            <x v="148"/>
            <x v="149"/>
            <x v="153"/>
            <x v="154"/>
            <x v="155"/>
            <x v="156"/>
            <x v="157"/>
            <x v="170"/>
            <x v="171"/>
            <x v="174"/>
            <x v="176"/>
            <x v="177"/>
            <x v="178"/>
            <x v="184"/>
            <x v="187"/>
            <x v="188"/>
            <x v="190"/>
            <x v="193"/>
            <x v="194"/>
            <x v="196"/>
            <x v="197"/>
            <x v="198"/>
            <x v="199"/>
            <x v="200"/>
            <x v="203"/>
            <x v="206"/>
            <x v="207"/>
            <x v="208"/>
            <x v="209"/>
            <x v="211"/>
            <x v="212"/>
            <x v="223"/>
            <x v="224"/>
            <x v="231"/>
            <x v="233"/>
            <x v="234"/>
            <x v="235"/>
            <x v="242"/>
            <x v="243"/>
            <x v="245"/>
            <x v="246"/>
            <x v="247"/>
            <x v="250"/>
            <x v="265"/>
            <x v="268"/>
            <x v="269"/>
            <x v="27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_3" displayName="Tabla_3" ref="A1:P8588" totalsRowShown="0" headerRowDxfId="574">
  <autoFilter ref="A1:P8588" xr:uid="{00000000-0009-0000-0100-000003000000}"/>
  <tableColumns count="16">
    <tableColumn id="1" xr3:uid="{00000000-0010-0000-0000-000001000000}" name="Fecha" dataDxfId="573"/>
    <tableColumn id="2" xr3:uid="{00000000-0010-0000-0000-000002000000}" name="Mes" dataDxfId="572"/>
    <tableColumn id="3" xr3:uid="{00000000-0010-0000-0000-000003000000}" name="Código" dataDxfId="571"/>
    <tableColumn id="4" xr3:uid="{00000000-0010-0000-0000-000004000000}" name="Cuenta" dataDxfId="570"/>
    <tableColumn id="5" xr3:uid="{00000000-0010-0000-0000-000005000000}" name="Monto" dataDxfId="569"/>
    <tableColumn id="6" xr3:uid="{00000000-0010-0000-0000-000006000000}" name="Debe" dataDxfId="568"/>
    <tableColumn id="7" xr3:uid="{00000000-0010-0000-0000-000007000000}" name="Haber" dataDxfId="567"/>
    <tableColumn id="8" xr3:uid="{00000000-0010-0000-0000-000008000000}" name="Glosa" dataDxfId="566"/>
    <tableColumn id="9" xr3:uid="{00000000-0010-0000-0000-000009000000}" name="C. Costo" dataDxfId="565"/>
    <tableColumn id="10" xr3:uid="{00000000-0010-0000-0000-00000A000000}" name="RUT Proveedor" dataDxfId="564"/>
    <tableColumn id="11" xr3:uid="{00000000-0010-0000-0000-00000B000000}" name="Nombre Proveedor" dataDxfId="563"/>
    <tableColumn id="12" xr3:uid="{00000000-0010-0000-0000-00000C000000}" name="N° Factura" dataDxfId="562"/>
    <tableColumn id="13" xr3:uid="{00000000-0010-0000-0000-00000D000000}" name="Det. Servicio" dataDxfId="561"/>
    <tableColumn id="14" xr3:uid="{00000000-0010-0000-0000-00000E000000}" name="Detalle" dataDxfId="560"/>
    <tableColumn id="15" xr3:uid="{9A054BD9-C6CE-402A-A774-D96C150634C4}" name="Columna1" dataDxfId="559"/>
    <tableColumn id="16" xr3:uid="{3CD231F0-236D-4AE5-85C4-0C4F8075EDEA}" name="Columna2" dataDxfId="55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0E5068A-5178-4592-BF32-09F74B533DA2}" name="Tabla4" displayName="Tabla4" ref="A1:P19" totalsRowShown="0">
  <autoFilter ref="A1:P19" xr:uid="{80E5068A-5178-4592-BF32-09F74B533DA2}"/>
  <sortState xmlns:xlrd2="http://schemas.microsoft.com/office/spreadsheetml/2017/richdata2" ref="A2:P19">
    <sortCondition ref="A1:A19"/>
  </sortState>
  <tableColumns count="16">
    <tableColumn id="1" xr3:uid="{21599CED-564E-442B-9639-2772A9B88F2F}" name="Fecha" dataDxfId="369"/>
    <tableColumn id="2" xr3:uid="{A8D3C0C3-4F6A-46F2-AD79-F95E908289E7}" name="Mes"/>
    <tableColumn id="3" xr3:uid="{8E543B3A-72C6-4132-B989-CDFF7FF16817}" name="Código"/>
    <tableColumn id="4" xr3:uid="{11F2B20E-3A5F-4745-8F49-CE359E41A210}" name="Cuenta"/>
    <tableColumn id="5" xr3:uid="{91891620-0A61-4C1C-B714-622AF136F147}" name="Monto" dataDxfId="368"/>
    <tableColumn id="6" xr3:uid="{F64D3CC9-8B79-47BB-AA1B-B37C94F507F4}" name="Debe"/>
    <tableColumn id="7" xr3:uid="{4A972820-2579-4CD2-BE70-6734AA55A9E5}" name="Haber"/>
    <tableColumn id="8" xr3:uid="{89F1C97B-9D5F-4B09-82DB-263DF44A7CB9}" name="Glosa"/>
    <tableColumn id="9" xr3:uid="{C9E3C987-9E14-4D72-BB94-3E69369EE129}" name="C. Costo"/>
    <tableColumn id="10" xr3:uid="{5CCBA904-7BE9-4D28-9498-D147D3720B51}" name="RUT Proveedor"/>
    <tableColumn id="11" xr3:uid="{D08ADE6F-D600-449A-92ED-F865FD806474}" name="Nombre Proveedor"/>
    <tableColumn id="12" xr3:uid="{DD2D418E-F73B-4FFB-A393-8682C2962A1E}" name="N° Factura"/>
    <tableColumn id="13" xr3:uid="{5DA5CF50-A3FA-47F7-AAF7-B96AD885F114}" name="Det. Servicio"/>
    <tableColumn id="14" xr3:uid="{C89EFE2E-340F-464E-9DDB-DCE8F77356F7}" name="Detalle"/>
    <tableColumn id="15" xr3:uid="{7D0AA83B-71E1-46C4-AB37-65A3B0DE4A3D}" name="Columna1"/>
    <tableColumn id="16" xr3:uid="{F1806F28-4844-4A45-82AD-6DB425650A98}" name="Columna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8FD067D-4180-4FAB-B256-5BD10FE8CCB9}" name="Tabla5" displayName="Tabla5" ref="A1:N2" totalsRowShown="0">
  <autoFilter ref="A1:N2" xr:uid="{F8FD067D-4180-4FAB-B256-5BD10FE8CCB9}"/>
  <tableColumns count="14">
    <tableColumn id="1" xr3:uid="{B35601A0-0D65-47C1-9A95-BC4733E7FFDA}" name="Fecha" dataDxfId="260"/>
    <tableColumn id="2" xr3:uid="{53E3841B-CC62-4C72-8D45-8387339199F1}" name="Mes"/>
    <tableColumn id="3" xr3:uid="{856171E3-624C-41F8-9DCE-D32026E7EF6E}" name="Código"/>
    <tableColumn id="4" xr3:uid="{13EC1930-B0FD-40BF-A9DB-4D484F1E2B1E}" name="Cuenta"/>
    <tableColumn id="5" xr3:uid="{6D8F5F68-F5A0-4ED9-A1E0-CA0750AAB5B7}" name="Monto"/>
    <tableColumn id="6" xr3:uid="{B437C9B2-52DE-410B-B4AE-C25559C9BEC8}" name="Debe"/>
    <tableColumn id="7" xr3:uid="{C4E5F4ED-D72C-409C-A9FF-70ACD0A6206D}" name="Haber"/>
    <tableColumn id="8" xr3:uid="{31D57EF2-AD11-46B4-9F84-6904295FA5AF}" name="Glosa"/>
    <tableColumn id="9" xr3:uid="{B182D15E-F487-48EA-BB1D-D73E7D9FBAD1}" name="C. Costo"/>
    <tableColumn id="10" xr3:uid="{8C031274-753C-4E79-9B56-0C999868BBED}" name="RUT Proveedor"/>
    <tableColumn id="11" xr3:uid="{268E54C2-A5D9-4E71-9E33-25CF961095FE}" name="Nombre Proveedor"/>
    <tableColumn id="12" xr3:uid="{4A02BF04-393E-455A-AF6B-BCA94035A3E4}" name="N° Factura"/>
    <tableColumn id="13" xr3:uid="{1D473F1B-FB45-4735-B6AC-A1D4ADDFA26B}" name="Det. Servicio"/>
    <tableColumn id="14" xr3:uid="{AC4DB9FF-66BE-42BC-962D-D2ABF51D9C53}" name="Detall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javascript:void(0);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;" TargetMode="External"/><Relationship Id="rId18" Type="http://schemas.openxmlformats.org/officeDocument/2006/relationships/hyperlink" Target="javascript:void(0);" TargetMode="External"/><Relationship Id="rId26" Type="http://schemas.openxmlformats.org/officeDocument/2006/relationships/hyperlink" Target="javascript:void(0);" TargetMode="External"/><Relationship Id="rId39" Type="http://schemas.openxmlformats.org/officeDocument/2006/relationships/hyperlink" Target="javascript:void(0);" TargetMode="External"/><Relationship Id="rId21" Type="http://schemas.openxmlformats.org/officeDocument/2006/relationships/hyperlink" Target="javascript:void(0);" TargetMode="External"/><Relationship Id="rId34" Type="http://schemas.openxmlformats.org/officeDocument/2006/relationships/hyperlink" Target="javascript:void(0);" TargetMode="External"/><Relationship Id="rId42" Type="http://schemas.openxmlformats.org/officeDocument/2006/relationships/hyperlink" Target="javascript:void(0);" TargetMode="External"/><Relationship Id="rId47" Type="http://schemas.openxmlformats.org/officeDocument/2006/relationships/hyperlink" Target="javascript:void(0);" TargetMode="External"/><Relationship Id="rId50" Type="http://schemas.openxmlformats.org/officeDocument/2006/relationships/hyperlink" Target="javascript:void(0);" TargetMode="External"/><Relationship Id="rId55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6" Type="http://schemas.openxmlformats.org/officeDocument/2006/relationships/hyperlink" Target="javascript:void(0);" TargetMode="External"/><Relationship Id="rId29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24" Type="http://schemas.openxmlformats.org/officeDocument/2006/relationships/hyperlink" Target="javascript:void(0);" TargetMode="External"/><Relationship Id="rId32" Type="http://schemas.openxmlformats.org/officeDocument/2006/relationships/hyperlink" Target="javascript:void(0);" TargetMode="External"/><Relationship Id="rId37" Type="http://schemas.openxmlformats.org/officeDocument/2006/relationships/hyperlink" Target="javascript:void(0);" TargetMode="External"/><Relationship Id="rId40" Type="http://schemas.openxmlformats.org/officeDocument/2006/relationships/hyperlink" Target="javascript:void(0);" TargetMode="External"/><Relationship Id="rId45" Type="http://schemas.openxmlformats.org/officeDocument/2006/relationships/hyperlink" Target="javascript:void(0);" TargetMode="External"/><Relationship Id="rId53" Type="http://schemas.openxmlformats.org/officeDocument/2006/relationships/hyperlink" Target="javascript:void(0);" TargetMode="External"/><Relationship Id="rId58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61" Type="http://schemas.openxmlformats.org/officeDocument/2006/relationships/drawing" Target="../drawings/drawing1.xml"/><Relationship Id="rId19" Type="http://schemas.openxmlformats.org/officeDocument/2006/relationships/hyperlink" Target="javascript:void(0);" TargetMode="External"/><Relationship Id="rId14" Type="http://schemas.openxmlformats.org/officeDocument/2006/relationships/hyperlink" Target="javascript:void(0);" TargetMode="External"/><Relationship Id="rId22" Type="http://schemas.openxmlformats.org/officeDocument/2006/relationships/hyperlink" Target="javascript:void(0);" TargetMode="External"/><Relationship Id="rId27" Type="http://schemas.openxmlformats.org/officeDocument/2006/relationships/hyperlink" Target="javascript:void(0);" TargetMode="External"/><Relationship Id="rId30" Type="http://schemas.openxmlformats.org/officeDocument/2006/relationships/hyperlink" Target="javascript:void(0);" TargetMode="External"/><Relationship Id="rId35" Type="http://schemas.openxmlformats.org/officeDocument/2006/relationships/hyperlink" Target="javascript:void(0);" TargetMode="External"/><Relationship Id="rId43" Type="http://schemas.openxmlformats.org/officeDocument/2006/relationships/hyperlink" Target="javascript:void(0);" TargetMode="External"/><Relationship Id="rId48" Type="http://schemas.openxmlformats.org/officeDocument/2006/relationships/hyperlink" Target="javascript:void(0);" TargetMode="External"/><Relationship Id="rId56" Type="http://schemas.openxmlformats.org/officeDocument/2006/relationships/hyperlink" Target="javascript:void(0);" TargetMode="External"/><Relationship Id="rId8" Type="http://schemas.openxmlformats.org/officeDocument/2006/relationships/hyperlink" Target="javascript:void(0);" TargetMode="External"/><Relationship Id="rId51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17" Type="http://schemas.openxmlformats.org/officeDocument/2006/relationships/hyperlink" Target="javascript:void(0);" TargetMode="External"/><Relationship Id="rId25" Type="http://schemas.openxmlformats.org/officeDocument/2006/relationships/hyperlink" Target="javascript:void(0);" TargetMode="External"/><Relationship Id="rId33" Type="http://schemas.openxmlformats.org/officeDocument/2006/relationships/hyperlink" Target="javascript:void(0);" TargetMode="External"/><Relationship Id="rId38" Type="http://schemas.openxmlformats.org/officeDocument/2006/relationships/hyperlink" Target="javascript:void(0);" TargetMode="External"/><Relationship Id="rId46" Type="http://schemas.openxmlformats.org/officeDocument/2006/relationships/hyperlink" Target="javascript:void(0);" TargetMode="External"/><Relationship Id="rId59" Type="http://schemas.openxmlformats.org/officeDocument/2006/relationships/hyperlink" Target="javascript:void(0);" TargetMode="External"/><Relationship Id="rId20" Type="http://schemas.openxmlformats.org/officeDocument/2006/relationships/hyperlink" Target="javascript:void(0);" TargetMode="External"/><Relationship Id="rId41" Type="http://schemas.openxmlformats.org/officeDocument/2006/relationships/hyperlink" Target="javascript:void(0);" TargetMode="External"/><Relationship Id="rId54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5" Type="http://schemas.openxmlformats.org/officeDocument/2006/relationships/hyperlink" Target="javascript:void(0);" TargetMode="External"/><Relationship Id="rId23" Type="http://schemas.openxmlformats.org/officeDocument/2006/relationships/hyperlink" Target="javascript:void(0);" TargetMode="External"/><Relationship Id="rId28" Type="http://schemas.openxmlformats.org/officeDocument/2006/relationships/hyperlink" Target="javascript:void(0);" TargetMode="External"/><Relationship Id="rId36" Type="http://schemas.openxmlformats.org/officeDocument/2006/relationships/hyperlink" Target="javascript:void(0);" TargetMode="External"/><Relationship Id="rId49" Type="http://schemas.openxmlformats.org/officeDocument/2006/relationships/hyperlink" Target="javascript:void(0);" TargetMode="External"/><Relationship Id="rId57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31" Type="http://schemas.openxmlformats.org/officeDocument/2006/relationships/hyperlink" Target="javascript:void(0);" TargetMode="External"/><Relationship Id="rId44" Type="http://schemas.openxmlformats.org/officeDocument/2006/relationships/hyperlink" Target="javascript:void(0);" TargetMode="External"/><Relationship Id="rId52" Type="http://schemas.openxmlformats.org/officeDocument/2006/relationships/hyperlink" Target="javascript:void(0);" TargetMode="External"/><Relationship Id="rId60" Type="http://schemas.openxmlformats.org/officeDocument/2006/relationships/printerSettings" Target="../printerSettings/printerSettings6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13" Type="http://schemas.openxmlformats.org/officeDocument/2006/relationships/hyperlink" Target="javascript:void(0);" TargetMode="External"/><Relationship Id="rId18" Type="http://schemas.openxmlformats.org/officeDocument/2006/relationships/hyperlink" Target="javascript:void(0);" TargetMode="External"/><Relationship Id="rId26" Type="http://schemas.openxmlformats.org/officeDocument/2006/relationships/printerSettings" Target="../printerSettings/printerSettings7.bin"/><Relationship Id="rId3" Type="http://schemas.openxmlformats.org/officeDocument/2006/relationships/hyperlink" Target="javascript:void(0);" TargetMode="External"/><Relationship Id="rId21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17" Type="http://schemas.openxmlformats.org/officeDocument/2006/relationships/hyperlink" Target="javascript:void(0);" TargetMode="External"/><Relationship Id="rId25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6" Type="http://schemas.openxmlformats.org/officeDocument/2006/relationships/hyperlink" Target="javascript:void(0);" TargetMode="External"/><Relationship Id="rId20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24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5" Type="http://schemas.openxmlformats.org/officeDocument/2006/relationships/hyperlink" Target="javascript:void(0);" TargetMode="External"/><Relationship Id="rId23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19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Relationship Id="rId14" Type="http://schemas.openxmlformats.org/officeDocument/2006/relationships/hyperlink" Target="javascript:void(0);" TargetMode="External"/><Relationship Id="rId22" Type="http://schemas.openxmlformats.org/officeDocument/2006/relationships/hyperlink" Target="javascript:void(0);" TargetMode="External"/><Relationship Id="rId27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 filterMode="1">
    <tabColor rgb="FFFFFF00"/>
  </sheetPr>
  <dimension ref="A1:S116"/>
  <sheetViews>
    <sheetView topLeftCell="A12" zoomScale="120" zoomScaleNormal="120" zoomScaleSheetLayoutView="90" workbookViewId="0">
      <selection activeCell="I12" sqref="B1:I1048576"/>
    </sheetView>
  </sheetViews>
  <sheetFormatPr baseColWidth="10" defaultColWidth="3.19921875" defaultRowHeight="13.6" x14ac:dyDescent="0.25"/>
  <cols>
    <col min="1" max="1" width="4.09765625" style="45" customWidth="1"/>
    <col min="2" max="2" width="22.59765625" style="45" customWidth="1"/>
    <col min="3" max="3" width="8.59765625" style="45" customWidth="1"/>
    <col min="4" max="4" width="8.296875" style="45" customWidth="1"/>
    <col min="5" max="5" width="8.69921875" style="45" customWidth="1"/>
    <col min="6" max="7" width="8.59765625" style="45" customWidth="1"/>
    <col min="8" max="8" width="8.59765625" style="39" customWidth="1"/>
    <col min="9" max="10" width="8.59765625" style="39" bestFit="1" customWidth="1"/>
    <col min="11" max="11" width="8.8984375" style="39" customWidth="1"/>
    <col min="12" max="12" width="8.296875" style="39" bestFit="1" customWidth="1"/>
    <col min="13" max="13" width="8.8984375" style="39" customWidth="1"/>
    <col min="14" max="14" width="9.09765625" style="39" bestFit="1" customWidth="1"/>
    <col min="15" max="15" width="1.19921875" style="39" bestFit="1" customWidth="1"/>
    <col min="16" max="16" width="13.19921875" style="39" bestFit="1" customWidth="1"/>
    <col min="17" max="17" width="3.19921875" style="45"/>
    <col min="18" max="18" width="9" style="45" bestFit="1" customWidth="1"/>
    <col min="19" max="19" width="7.59765625" style="45" bestFit="1" customWidth="1"/>
    <col min="20" max="16384" width="3.19921875" style="45"/>
  </cols>
  <sheetData>
    <row r="1" spans="1:19" ht="28.55" customHeight="1" x14ac:dyDescent="0.4">
      <c r="A1" s="44"/>
      <c r="B1" s="587" t="s">
        <v>1790</v>
      </c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9"/>
    </row>
    <row r="2" spans="1:19" ht="29.25" customHeight="1" x14ac:dyDescent="0.3">
      <c r="A2" s="44"/>
      <c r="B2" s="590" t="s">
        <v>411</v>
      </c>
      <c r="C2" s="591"/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2"/>
      <c r="R2" s="45" t="s">
        <v>2564</v>
      </c>
    </row>
    <row r="3" spans="1:19" ht="14.95" customHeight="1" x14ac:dyDescent="0.25">
      <c r="A3" s="44"/>
      <c r="B3" s="46"/>
      <c r="C3" s="44"/>
      <c r="D3" s="44"/>
    </row>
    <row r="4" spans="1:19" ht="14.95" customHeight="1" x14ac:dyDescent="0.25">
      <c r="A4" s="44"/>
      <c r="B4" s="46"/>
      <c r="C4" s="44">
        <v>1</v>
      </c>
      <c r="D4" s="44">
        <v>2</v>
      </c>
      <c r="E4" s="45">
        <v>3</v>
      </c>
      <c r="F4" s="45">
        <v>4</v>
      </c>
      <c r="G4" s="45">
        <v>5</v>
      </c>
      <c r="H4" s="39">
        <v>6</v>
      </c>
      <c r="I4" s="39">
        <v>7</v>
      </c>
      <c r="J4" s="39">
        <v>8</v>
      </c>
      <c r="K4" s="39">
        <v>9</v>
      </c>
      <c r="L4" s="39">
        <v>10</v>
      </c>
      <c r="M4" s="39">
        <v>11</v>
      </c>
      <c r="N4" s="39">
        <v>12</v>
      </c>
    </row>
    <row r="5" spans="1:19" ht="14.95" customHeight="1" x14ac:dyDescent="0.25">
      <c r="A5" s="44"/>
      <c r="B5" s="59" t="s">
        <v>667</v>
      </c>
      <c r="C5" s="60" t="s">
        <v>9</v>
      </c>
      <c r="D5" s="60" t="s">
        <v>10</v>
      </c>
      <c r="E5" s="60" t="s">
        <v>11</v>
      </c>
      <c r="F5" s="60" t="s">
        <v>12</v>
      </c>
      <c r="G5" s="60" t="s">
        <v>13</v>
      </c>
      <c r="H5" s="61" t="s">
        <v>14</v>
      </c>
      <c r="I5" s="61" t="s">
        <v>8</v>
      </c>
      <c r="J5" s="61" t="s">
        <v>5</v>
      </c>
      <c r="K5" s="61" t="s">
        <v>105</v>
      </c>
      <c r="L5" s="61" t="s">
        <v>15</v>
      </c>
      <c r="M5" s="144" t="s">
        <v>16</v>
      </c>
      <c r="N5" s="61" t="s">
        <v>17</v>
      </c>
      <c r="O5" s="47"/>
      <c r="P5" s="61" t="s">
        <v>3</v>
      </c>
    </row>
    <row r="6" spans="1:19" ht="14.95" customHeight="1" x14ac:dyDescent="0.25"/>
    <row r="7" spans="1:19" ht="14.95" customHeight="1" x14ac:dyDescent="0.25">
      <c r="A7" s="44"/>
      <c r="B7" s="48" t="s">
        <v>22</v>
      </c>
      <c r="C7" s="48">
        <f t="shared" ref="C7:N7" si="0">SUM(C8:C23)</f>
        <v>3036658</v>
      </c>
      <c r="D7" s="48">
        <f t="shared" si="0"/>
        <v>2269965</v>
      </c>
      <c r="E7" s="48">
        <f t="shared" si="0"/>
        <v>5931807</v>
      </c>
      <c r="F7" s="48">
        <f t="shared" si="0"/>
        <v>6237667</v>
      </c>
      <c r="G7" s="48">
        <f t="shared" si="0"/>
        <v>7871268</v>
      </c>
      <c r="H7" s="48">
        <f t="shared" si="0"/>
        <v>6044447</v>
      </c>
      <c r="I7" s="48">
        <f t="shared" si="0"/>
        <v>5425228</v>
      </c>
      <c r="J7" s="48">
        <f>SUM(J8:J23)</f>
        <v>5776026</v>
      </c>
      <c r="K7" s="48">
        <f t="shared" si="0"/>
        <v>5182281</v>
      </c>
      <c r="L7" s="48">
        <f t="shared" si="0"/>
        <v>4768701</v>
      </c>
      <c r="M7" s="48">
        <f t="shared" si="0"/>
        <v>15614636</v>
      </c>
      <c r="N7" s="48">
        <f t="shared" si="0"/>
        <v>20695293</v>
      </c>
      <c r="O7" s="47"/>
      <c r="P7" s="48">
        <f>SUM(P8:P23)</f>
        <v>88853977</v>
      </c>
    </row>
    <row r="8" spans="1:19" ht="14.95" customHeight="1" x14ac:dyDescent="0.25">
      <c r="A8" s="45">
        <v>3110</v>
      </c>
      <c r="B8" s="189" t="str">
        <f>VLOOKUP(A8,Plan!A:B,2,0)</f>
        <v>Colectas Normales</v>
      </c>
      <c r="C8" s="78">
        <f>-SUMIFS('Diario Adm'!$E:$E,'Diario Adm'!$B:$B,C$4,'Diario Adm'!$C:$C,$A8)</f>
        <v>2654930</v>
      </c>
      <c r="D8" s="78">
        <f>-SUMIFS('Diario Adm'!$E:$E,'Diario Adm'!$B:$B,D$4,'Diario Adm'!$C:$C,$A8)</f>
        <v>1871965</v>
      </c>
      <c r="E8" s="78">
        <f>-SUMIFS('Diario Adm'!$E:$E,'Diario Adm'!$B:$B,E$4,'Diario Adm'!$C:$C,$A8)</f>
        <v>5151915</v>
      </c>
      <c r="F8" s="78">
        <f>-SUMIFS('Diario Adm'!$E:$E,'Diario Adm'!$B:$B,F$4,'Diario Adm'!$C:$C,$A8)</f>
        <v>3933324</v>
      </c>
      <c r="G8" s="78">
        <f>-SUMIFS('Diario Adm'!$E:$E,'Diario Adm'!$B:$B,G$4,'Diario Adm'!$C:$C,$A8)</f>
        <v>4256634</v>
      </c>
      <c r="H8" s="78">
        <f>-SUMIFS('Diario Adm'!$E:$E,'Diario Adm'!$B:$B,H$4,'Diario Adm'!$C:$C,$A8)</f>
        <v>3144210</v>
      </c>
      <c r="I8" s="78">
        <f>-SUMIFS('Diario Adm'!$E:$E,'Diario Adm'!$B:$B,I$4,'Diario Adm'!$C:$C,$A8)</f>
        <v>3739224</v>
      </c>
      <c r="J8" s="78">
        <f>-SUMIFS('Diario Adm'!$E:$E,'Diario Adm'!$B:$B,J$4,'Diario Adm'!$C:$C,$A8)</f>
        <v>4174974</v>
      </c>
      <c r="K8" s="78">
        <f>-SUMIFS('Diario Adm'!$E:$E,'Diario Adm'!$B:$B,K$4,'Diario Adm'!$C:$C,$A8)</f>
        <v>4174611</v>
      </c>
      <c r="L8" s="78">
        <f>-SUMIFS('Diario Adm'!$E:$E,'Diario Adm'!$B:$B,L$4,'Diario Adm'!$C:$C,$A8)</f>
        <v>4213983</v>
      </c>
      <c r="M8" s="78">
        <f>-SUMIFS('Diario Adm'!$E:$E,'Diario Adm'!$B:$B,M$4,'Diario Adm'!$C:$C,$A8)</f>
        <v>5787823</v>
      </c>
      <c r="N8" s="78">
        <f>-SUMIFS('Diario Adm'!$E:$E,'Diario Adm'!$B:$B,N$4,'Diario Adm'!$C:$C,$A8)</f>
        <v>8537924</v>
      </c>
      <c r="P8" s="50">
        <f t="shared" ref="P8:P23" si="1">SUM(C8:N8)</f>
        <v>51641517</v>
      </c>
    </row>
    <row r="9" spans="1:19" ht="14.95" customHeight="1" x14ac:dyDescent="0.25">
      <c r="A9" s="45">
        <v>3120</v>
      </c>
      <c r="B9" s="190" t="str">
        <f>VLOOKUP(A9,Plan!A:B,2,0)</f>
        <v>Colectas Especiales</v>
      </c>
      <c r="C9" s="78">
        <f>-SUMIFS('Diario Adm'!$E:$E,'Diario Adm'!$B:$B,C$4,'Diario Adm'!$C:$C,$A9)</f>
        <v>0</v>
      </c>
      <c r="D9" s="78">
        <f>-SUMIFS('Diario Adm'!$E:$E,'Diario Adm'!$B:$B,D$4,'Diario Adm'!$C:$C,$A9)</f>
        <v>128000</v>
      </c>
      <c r="E9" s="78">
        <f>-SUMIFS('Diario Adm'!$E:$E,'Diario Adm'!$B:$B,E$4,'Diario Adm'!$C:$C,$A9)</f>
        <v>125000</v>
      </c>
      <c r="F9" s="78">
        <f>-SUMIFS('Diario Adm'!$E:$E,'Diario Adm'!$B:$B,F$4,'Diario Adm'!$C:$C,$A9)</f>
        <v>0</v>
      </c>
      <c r="G9" s="78">
        <f>-SUMIFS('Diario Adm'!$E:$E,'Diario Adm'!$B:$B,G$4,'Diario Adm'!$C:$C,$A9)</f>
        <v>0</v>
      </c>
      <c r="H9" s="78">
        <f>-SUMIFS('Diario Adm'!$E:$E,'Diario Adm'!$B:$B,H$4,'Diario Adm'!$C:$C,$A9)</f>
        <v>0</v>
      </c>
      <c r="I9" s="78">
        <f>-SUMIFS('Diario Adm'!$E:$E,'Diario Adm'!$B:$B,I$4,'Diario Adm'!$C:$C,$A9)</f>
        <v>0</v>
      </c>
      <c r="J9" s="78">
        <f>-SUMIFS('Diario Adm'!$E:$E,'Diario Adm'!$B:$B,J$4,'Diario Adm'!$C:$C,$A9)</f>
        <v>0</v>
      </c>
      <c r="K9" s="78">
        <f>-SUMIFS('Diario Adm'!$E:$E,'Diario Adm'!$B:$B,K$4,'Diario Adm'!$C:$C,$A9)</f>
        <v>0</v>
      </c>
      <c r="L9" s="78">
        <f>-SUMIFS('Diario Adm'!$E:$E,'Diario Adm'!$B:$B,L$4,'Diario Adm'!$C:$C,$A9)</f>
        <v>0</v>
      </c>
      <c r="M9" s="78">
        <f>-SUMIFS('Diario Adm'!$E:$E,'Diario Adm'!$B:$B,M$4,'Diario Adm'!$C:$C,$A9)</f>
        <v>0</v>
      </c>
      <c r="N9" s="78">
        <f>-SUMIFS('Diario Adm'!$E:$E,'Diario Adm'!$B:$B,N$4,'Diario Adm'!$C:$C,$A9)</f>
        <v>0</v>
      </c>
      <c r="P9" s="50">
        <f t="shared" si="1"/>
        <v>253000</v>
      </c>
    </row>
    <row r="10" spans="1:19" ht="14.95" hidden="1" customHeight="1" x14ac:dyDescent="0.25">
      <c r="A10" s="45">
        <v>3220</v>
      </c>
      <c r="B10" s="190" t="s">
        <v>160</v>
      </c>
      <c r="C10" s="78">
        <f>-SUMIFS('Diario Adm'!$E:$E,'Diario Adm'!$B:$B,C$4,'Diario Adm'!$C:$C,$A10)</f>
        <v>0</v>
      </c>
      <c r="D10" s="78">
        <f>-SUMIFS('Diario Adm'!$E:$E,'Diario Adm'!$B:$B,D$4,'Diario Adm'!$C:$C,$A10)</f>
        <v>0</v>
      </c>
      <c r="E10" s="78">
        <f>-SUMIFS('Diario Adm'!$E:$E,'Diario Adm'!$B:$B,E$4,'Diario Adm'!$C:$C,$A10)</f>
        <v>0</v>
      </c>
      <c r="F10" s="78">
        <f>-SUMIFS('Diario Adm'!$E:$E,'Diario Adm'!$B:$B,F$4,'Diario Adm'!$C:$C,$A10)</f>
        <v>0</v>
      </c>
      <c r="G10" s="78">
        <f>-SUMIFS('Diario Adm'!$E:$E,'Diario Adm'!$B:$B,G$4,'Diario Adm'!$C:$C,$A10)</f>
        <v>0</v>
      </c>
      <c r="H10" s="78">
        <f>-SUMIFS('Diario Adm'!$E:$E,'Diario Adm'!$B:$B,H$4,'Diario Adm'!$C:$C,$A10)</f>
        <v>0</v>
      </c>
      <c r="I10" s="78">
        <f>-SUMIFS('Diario Adm'!$E:$E,'Diario Adm'!$B:$B,I$4,'Diario Adm'!$C:$C,$A10)</f>
        <v>0</v>
      </c>
      <c r="J10" s="78">
        <f>-SUMIFS('Diario Adm'!$E:$E,'Diario Adm'!$B:$B,J$4,'Diario Adm'!$C:$C,$A10)</f>
        <v>0</v>
      </c>
      <c r="K10" s="78">
        <f>-SUMIFS('Diario Adm'!$E:$E,'Diario Adm'!$B:$B,K$4,'Diario Adm'!$C:$C,$A10)</f>
        <v>0</v>
      </c>
      <c r="L10" s="78">
        <f>-SUMIFS('Diario Adm'!$E:$E,'Diario Adm'!$B:$B,L$4,'Diario Adm'!$C:$C,$A10)</f>
        <v>0</v>
      </c>
      <c r="M10" s="78">
        <f>-SUMIFS('Diario Adm'!$E:$E,'Diario Adm'!$B:$B,M$4,'Diario Adm'!$C:$C,$A10)</f>
        <v>0</v>
      </c>
      <c r="N10" s="78">
        <f>-SUMIFS('Diario Adm'!$E:$E,'Diario Adm'!$B:$B,N$4,'Diario Adm'!$C:$C,$A10)</f>
        <v>0</v>
      </c>
      <c r="P10" s="50">
        <f t="shared" si="1"/>
        <v>0</v>
      </c>
    </row>
    <row r="11" spans="1:19" ht="14.95" hidden="1" customHeight="1" x14ac:dyDescent="0.25">
      <c r="A11" s="45">
        <v>3230</v>
      </c>
      <c r="B11" s="190" t="str">
        <f>VLOOKUP(A11,Plan!A:B,2,0)</f>
        <v>Aportes STM</v>
      </c>
      <c r="C11" s="78">
        <f>-SUMIFS('Diario Adm'!$E:$E,'Diario Adm'!$B:$B,C$4,'Diario Adm'!$C:$C,$A11)</f>
        <v>0</v>
      </c>
      <c r="D11" s="78">
        <f>-SUMIFS('Diario Adm'!$E:$E,'Diario Adm'!$B:$B,D$4,'Diario Adm'!$C:$C,$A11)</f>
        <v>0</v>
      </c>
      <c r="E11" s="78">
        <f>-SUMIFS('Diario Adm'!$E:$E,'Diario Adm'!$B:$B,E$4,'Diario Adm'!$C:$C,$A11)</f>
        <v>0</v>
      </c>
      <c r="F11" s="78">
        <f>-SUMIFS('Diario Adm'!$E:$E,'Diario Adm'!$B:$B,F$4,'Diario Adm'!$C:$C,$A11)</f>
        <v>0</v>
      </c>
      <c r="G11" s="78">
        <f>-SUMIFS('Diario Adm'!$E:$E,'Diario Adm'!$B:$B,G$4,'Diario Adm'!$C:$C,$A11)</f>
        <v>0</v>
      </c>
      <c r="H11" s="78">
        <f>-SUMIFS('Diario Adm'!$E:$E,'Diario Adm'!$B:$B,H$4,'Diario Adm'!$C:$C,$A11)</f>
        <v>0</v>
      </c>
      <c r="I11" s="78">
        <f>-SUMIFS('Diario Adm'!$E:$E,'Diario Adm'!$B:$B,I$4,'Diario Adm'!$C:$C,$A11)</f>
        <v>0</v>
      </c>
      <c r="J11" s="78">
        <f>-SUMIFS('Diario Adm'!$E:$E,'Diario Adm'!$B:$B,J$4,'Diario Adm'!$C:$C,$A11)</f>
        <v>0</v>
      </c>
      <c r="K11" s="78">
        <f>-SUMIFS('Diario Adm'!$E:$E,'Diario Adm'!$B:$B,K$4,'Diario Adm'!$C:$C,$A11)</f>
        <v>0</v>
      </c>
      <c r="L11" s="78">
        <f>-SUMIFS('Diario Adm'!$E:$E,'Diario Adm'!$B:$B,L$4,'Diario Adm'!$C:$C,$A11)</f>
        <v>0</v>
      </c>
      <c r="M11" s="78">
        <f>-SUMIFS('Diario Adm'!$E:$E,'Diario Adm'!$B:$B,M$4,'Diario Adm'!$C:$C,$A11)</f>
        <v>0</v>
      </c>
      <c r="N11" s="78">
        <f>-SUMIFS('Diario Adm'!$E:$E,'Diario Adm'!$B:$B,N$4,'Diario Adm'!$C:$C,$A11)</f>
        <v>0</v>
      </c>
      <c r="P11" s="50">
        <f>SUM(C11:N11)</f>
        <v>0</v>
      </c>
    </row>
    <row r="12" spans="1:19" ht="14.95" customHeight="1" x14ac:dyDescent="0.25">
      <c r="A12" s="45">
        <v>3320</v>
      </c>
      <c r="B12" s="190" t="s">
        <v>163</v>
      </c>
      <c r="C12" s="78">
        <f>-SUMIFS('Diario Adm'!$E:$E,'Diario Adm'!$B:$B,C$4,'Diario Adm'!$C:$C,$A12)</f>
        <v>5000</v>
      </c>
      <c r="D12" s="78">
        <f>-SUMIFS('Diario Adm'!$E:$E,'Diario Adm'!$B:$B,D$4,'Diario Adm'!$C:$C,$A12)</f>
        <v>40000</v>
      </c>
      <c r="E12" s="78">
        <f>-SUMIFS('Diario Adm'!$E:$E,'Diario Adm'!$B:$B,E$4,'Diario Adm'!$C:$C,$A12)</f>
        <v>164588</v>
      </c>
      <c r="F12" s="78">
        <f>-SUMIFS('Diario Adm'!$E:$E,'Diario Adm'!$B:$B,F$4,'Diario Adm'!$C:$C,$A12)</f>
        <v>0</v>
      </c>
      <c r="G12" s="78">
        <f>-SUMIFS('Diario Adm'!$E:$E,'Diario Adm'!$B:$B,G$4,'Diario Adm'!$C:$C,$A12)</f>
        <v>0</v>
      </c>
      <c r="H12" s="78">
        <f>-SUMIFS('Diario Adm'!$E:$E,'Diario Adm'!$B:$B,H$4,'Diario Adm'!$C:$C,$A12)</f>
        <v>0</v>
      </c>
      <c r="I12" s="78">
        <f>-SUMIFS('Diario Adm'!$E:$E,'Diario Adm'!$B:$B,I$4,'Diario Adm'!$C:$C,$A12)</f>
        <v>0</v>
      </c>
      <c r="J12" s="78">
        <f>-SUMIFS('Diario Adm'!$E:$E,'Diario Adm'!$B:$B,J$4,'Diario Adm'!$C:$C,$A12)</f>
        <v>98791</v>
      </c>
      <c r="K12" s="78">
        <f>-SUMIFS('Diario Adm'!$E:$E,'Diario Adm'!$B:$B,K$4,'Diario Adm'!$C:$C,$A12)</f>
        <v>0</v>
      </c>
      <c r="L12" s="78">
        <f>-SUMIFS('Diario Adm'!$E:$E,'Diario Adm'!$B:$B,L$4,'Diario Adm'!$C:$C,$A12)</f>
        <v>15000</v>
      </c>
      <c r="M12" s="78">
        <f>-SUMIFS('Diario Adm'!$E:$E,'Diario Adm'!$B:$B,M$4,'Diario Adm'!$C:$C,$A12)</f>
        <v>100000</v>
      </c>
      <c r="N12" s="78">
        <f>-SUMIFS('Diario Adm'!$E:$E,'Diario Adm'!$B:$B,N$4,'Diario Adm'!$C:$C,$A12)</f>
        <v>10000</v>
      </c>
      <c r="P12" s="50">
        <f t="shared" si="1"/>
        <v>433379</v>
      </c>
    </row>
    <row r="13" spans="1:19" ht="14.95" customHeight="1" x14ac:dyDescent="0.25">
      <c r="A13" s="45">
        <v>3340</v>
      </c>
      <c r="B13" s="190" t="str">
        <f>VLOOKUP(A13,Plan!A:B,2,0)</f>
        <v>Misas</v>
      </c>
      <c r="C13" s="78">
        <f>-SUMIFS('Diario Adm'!$E:$E,'Diario Adm'!$B:$B,C$4,'Diario Adm'!$C:$C,$A13)</f>
        <v>114728</v>
      </c>
      <c r="D13" s="78">
        <f>-SUMIFS('Diario Adm'!$E:$E,'Diario Adm'!$B:$B,D$4,'Diario Adm'!$C:$C,$A13)</f>
        <v>110000</v>
      </c>
      <c r="E13" s="78">
        <f>-SUMIFS('Diario Adm'!$E:$E,'Diario Adm'!$B:$B,E$4,'Diario Adm'!$C:$C,$A13)</f>
        <v>91054</v>
      </c>
      <c r="F13" s="78">
        <f>-SUMIFS('Diario Adm'!$E:$E,'Diario Adm'!$B:$B,F$4,'Diario Adm'!$C:$C,$A13)</f>
        <v>109343</v>
      </c>
      <c r="G13" s="78">
        <f>-SUMIFS('Diario Adm'!$E:$E,'Diario Adm'!$B:$B,G$4,'Diario Adm'!$C:$C,$A13)</f>
        <v>342271</v>
      </c>
      <c r="H13" s="78">
        <f>-SUMIFS('Diario Adm'!$E:$E,'Diario Adm'!$B:$B,H$4,'Diario Adm'!$C:$C,$A13)</f>
        <v>153685</v>
      </c>
      <c r="I13" s="78">
        <f>-SUMIFS('Diario Adm'!$E:$E,'Diario Adm'!$B:$B,I$4,'Diario Adm'!$C:$C,$A13)</f>
        <v>121458</v>
      </c>
      <c r="J13" s="78">
        <f>-SUMIFS('Diario Adm'!$E:$E,'Diario Adm'!$B:$B,J$4,'Diario Adm'!$C:$C,$A13)</f>
        <v>82427</v>
      </c>
      <c r="K13" s="78">
        <f>-SUMIFS('Diario Adm'!$E:$E,'Diario Adm'!$B:$B,K$4,'Diario Adm'!$C:$C,$A13)</f>
        <v>126718</v>
      </c>
      <c r="L13" s="78">
        <f>-SUMIFS('Diario Adm'!$E:$E,'Diario Adm'!$B:$B,L$4,'Diario Adm'!$C:$C,$A13)</f>
        <v>74718</v>
      </c>
      <c r="M13" s="78">
        <f>-SUMIFS('Diario Adm'!$E:$E,'Diario Adm'!$B:$B,M$4,'Diario Adm'!$C:$C,$A13)</f>
        <v>78965</v>
      </c>
      <c r="N13" s="78">
        <f>-SUMIFS('Diario Adm'!$E:$E,'Diario Adm'!$B:$B,N$4,'Diario Adm'!$C:$C,$A13)</f>
        <v>99496</v>
      </c>
      <c r="P13" s="50">
        <f t="shared" si="1"/>
        <v>1504863</v>
      </c>
    </row>
    <row r="14" spans="1:19" ht="14.95" customHeight="1" x14ac:dyDescent="0.25">
      <c r="A14" s="45">
        <v>3350</v>
      </c>
      <c r="B14" s="190" t="str">
        <f>VLOOKUP(A14,Plan!A:B,2,0)</f>
        <v>Bautizos</v>
      </c>
      <c r="C14" s="78">
        <f>-SUMIFS('Diario Adm'!$E:$E,'Diario Adm'!$B:$B,C$4,'Diario Adm'!$C:$C,$A14)</f>
        <v>162000</v>
      </c>
      <c r="D14" s="78">
        <f>-SUMIFS('Diario Adm'!$E:$E,'Diario Adm'!$B:$B,D$4,'Diario Adm'!$C:$C,$A14)</f>
        <v>20000</v>
      </c>
      <c r="E14" s="78">
        <f>-SUMIFS('Diario Adm'!$E:$E,'Diario Adm'!$B:$B,E$4,'Diario Adm'!$C:$C,$A14)</f>
        <v>154000</v>
      </c>
      <c r="F14" s="78">
        <f>-SUMIFS('Diario Adm'!$E:$E,'Diario Adm'!$B:$B,F$4,'Diario Adm'!$C:$C,$A14)</f>
        <v>15000</v>
      </c>
      <c r="G14" s="78">
        <f>-SUMIFS('Diario Adm'!$E:$E,'Diario Adm'!$B:$B,G$4,'Diario Adm'!$C:$C,$A14)</f>
        <v>123000</v>
      </c>
      <c r="H14" s="78">
        <f>-SUMIFS('Diario Adm'!$E:$E,'Diario Adm'!$B:$B,H$4,'Diario Adm'!$C:$C,$A14)</f>
        <v>70000</v>
      </c>
      <c r="I14" s="78">
        <f>-SUMIFS('Diario Adm'!$E:$E,'Diario Adm'!$B:$B,I$4,'Diario Adm'!$C:$C,$A14)</f>
        <v>200000</v>
      </c>
      <c r="J14" s="78">
        <f>-SUMIFS('Diario Adm'!$E:$E,'Diario Adm'!$B:$B,J$4,'Diario Adm'!$C:$C,$A14)</f>
        <v>154940</v>
      </c>
      <c r="K14" s="78">
        <f>-SUMIFS('Diario Adm'!$E:$E,'Diario Adm'!$B:$B,K$4,'Diario Adm'!$C:$C,$A14)</f>
        <v>167691</v>
      </c>
      <c r="L14" s="78">
        <f>-SUMIFS('Diario Adm'!$E:$E,'Diario Adm'!$B:$B,L$4,'Diario Adm'!$C:$C,$A14)</f>
        <v>155000</v>
      </c>
      <c r="M14" s="78">
        <f>-SUMIFS('Diario Adm'!$E:$E,'Diario Adm'!$B:$B,M$4,'Diario Adm'!$C:$C,$A14)</f>
        <v>215000</v>
      </c>
      <c r="N14" s="78">
        <f>-SUMIFS('Diario Adm'!$E:$E,'Diario Adm'!$B:$B,N$4,'Diario Adm'!$C:$C,$A14)</f>
        <v>100000</v>
      </c>
      <c r="P14" s="267">
        <f t="shared" si="1"/>
        <v>1536631</v>
      </c>
    </row>
    <row r="15" spans="1:19" ht="14.95" customHeight="1" x14ac:dyDescent="0.25">
      <c r="A15" s="45">
        <v>3360</v>
      </c>
      <c r="B15" s="190" t="str">
        <f>VLOOKUP(A15,Plan!A:B,2,0)</f>
        <v>Otros</v>
      </c>
      <c r="C15" s="78">
        <f>-SUMIFS('Diario Adm'!$E:$E,'Diario Adm'!$B:$B,C$4,'Diario Adm'!$C:$C,$A15)</f>
        <v>0</v>
      </c>
      <c r="D15" s="78">
        <f>-SUMIFS('Diario Adm'!$E:$E,'Diario Adm'!$B:$B,D$4,'Diario Adm'!$C:$C,$A15)</f>
        <v>0</v>
      </c>
      <c r="E15" s="78">
        <f>-SUMIFS('Diario Adm'!$E:$E,'Diario Adm'!$B:$B,E$4,'Diario Adm'!$C:$C,$A15)</f>
        <v>145250</v>
      </c>
      <c r="F15" s="78">
        <f>-SUMIFS('Diario Adm'!$E:$E,'Diario Adm'!$B:$B,F$4,'Diario Adm'!$C:$C,$A15)</f>
        <v>175000</v>
      </c>
      <c r="G15" s="78">
        <f>-SUMIFS('Diario Adm'!$E:$E,'Diario Adm'!$B:$B,G$4,'Diario Adm'!$C:$C,$A15)</f>
        <v>417750</v>
      </c>
      <c r="H15" s="78">
        <f>-SUMIFS('Diario Adm'!$E:$E,'Diario Adm'!$B:$B,H$4,'Diario Adm'!$C:$C,$A15)</f>
        <v>530000</v>
      </c>
      <c r="I15" s="78">
        <f>-SUMIFS('Diario Adm'!$E:$E,'Diario Adm'!$B:$B,I$4,'Diario Adm'!$C:$C,$A15)</f>
        <v>-155000</v>
      </c>
      <c r="J15" s="78">
        <f>-SUMIFS('Diario Adm'!$E:$E,'Diario Adm'!$B:$B,J$4,'Diario Adm'!$C:$C,$A15)</f>
        <v>165000</v>
      </c>
      <c r="K15" s="78">
        <f>-SUMIFS('Diario Adm'!$E:$E,'Diario Adm'!$B:$B,K$4,'Diario Adm'!$C:$C,$A15)</f>
        <v>215000</v>
      </c>
      <c r="L15" s="78">
        <f>-SUMIFS('Diario Adm'!$E:$E,'Diario Adm'!$B:$B,L$4,'Diario Adm'!$C:$C,$A15)</f>
        <v>175000</v>
      </c>
      <c r="M15" s="78">
        <f>-SUMIFS('Diario Adm'!$E:$E,'Diario Adm'!$B:$B,M$4,'Diario Adm'!$C:$C,$A15)</f>
        <v>125000</v>
      </c>
      <c r="N15" s="78">
        <f>-SUMIFS('Diario Adm'!$E:$E,'Diario Adm'!$B:$B,N$4,'Diario Adm'!$C:$C,$A15)</f>
        <v>380000</v>
      </c>
      <c r="P15" s="267">
        <f t="shared" si="1"/>
        <v>2173000</v>
      </c>
      <c r="R15" s="44">
        <f>+P15-P82</f>
        <v>0</v>
      </c>
      <c r="S15" s="39"/>
    </row>
    <row r="16" spans="1:19" ht="14.95" hidden="1" customHeight="1" x14ac:dyDescent="0.25">
      <c r="A16" s="45">
        <v>3440</v>
      </c>
      <c r="B16" s="190" t="str">
        <f>VLOOKUP(A16,Plan!A:B,2,0)</f>
        <v>Pastoral Liturgia</v>
      </c>
      <c r="C16" s="78">
        <f>-SUMIFS('Diario Adm'!$E:$E,'Diario Adm'!$B:$B,C$4,'Diario Adm'!$C:$C,$A16)</f>
        <v>0</v>
      </c>
      <c r="D16" s="78">
        <f>-SUMIFS('Diario Adm'!$E:$E,'Diario Adm'!$B:$B,D$4,'Diario Adm'!$C:$C,$A16)</f>
        <v>0</v>
      </c>
      <c r="E16" s="78">
        <f>-SUMIFS('Diario Adm'!$E:$E,'Diario Adm'!$B:$B,E$4,'Diario Adm'!$C:$C,$A16)</f>
        <v>0</v>
      </c>
      <c r="F16" s="78">
        <f>-SUMIFS('Diario Adm'!$E:$E,'Diario Adm'!$B:$B,F$4,'Diario Adm'!$C:$C,$A16)</f>
        <v>0</v>
      </c>
      <c r="G16" s="78">
        <f>-SUMIFS('Diario Adm'!$E:$E,'Diario Adm'!$B:$B,G$4,'Diario Adm'!$C:$C,$A16)</f>
        <v>0</v>
      </c>
      <c r="H16" s="78">
        <f>-SUMIFS('Diario Adm'!$E:$E,'Diario Adm'!$B:$B,H$4,'Diario Adm'!$C:$C,$A16)</f>
        <v>0</v>
      </c>
      <c r="I16" s="78">
        <f>-SUMIFS('Diario Adm'!$E:$E,'Diario Adm'!$B:$B,I$4,'Diario Adm'!$C:$C,$A16)</f>
        <v>0</v>
      </c>
      <c r="J16" s="78">
        <f>-SUMIFS('Diario Adm'!$E:$E,'Diario Adm'!$B:$B,J$4,'Diario Adm'!$C:$C,$A16)</f>
        <v>0</v>
      </c>
      <c r="K16" s="78">
        <f>-SUMIFS('Diario Adm'!$E:$E,'Diario Adm'!$B:$B,K$4,'Diario Adm'!$C:$C,$A16)</f>
        <v>0</v>
      </c>
      <c r="L16" s="78">
        <f>-SUMIFS('Diario Adm'!$E:$E,'Diario Adm'!$B:$B,L$4,'Diario Adm'!$C:$C,$A16)</f>
        <v>0</v>
      </c>
      <c r="M16" s="78">
        <f>-SUMIFS('Diario Adm'!$E:$E,'Diario Adm'!$B:$B,M$4,'Diario Adm'!$C:$C,$A16)</f>
        <v>0</v>
      </c>
      <c r="N16" s="78">
        <f>-SUMIFS('Diario Adm'!$E:$E,'Diario Adm'!$B:$B,N$4,'Diario Adm'!$C:$C,$A16)</f>
        <v>0</v>
      </c>
      <c r="P16" s="50">
        <f t="shared" si="1"/>
        <v>0</v>
      </c>
    </row>
    <row r="17" spans="1:19" ht="14.95" hidden="1" customHeight="1" x14ac:dyDescent="0.25">
      <c r="A17" s="45">
        <v>3430</v>
      </c>
      <c r="B17" s="190" t="str">
        <f>VLOOKUP(A17,Plan!A:B,2,0)</f>
        <v>Pastoral Bautismal</v>
      </c>
      <c r="C17" s="78">
        <f>-SUMIFS('Diario Adm'!$E:$E,'Diario Adm'!$B:$B,C$4,'Diario Adm'!$C:$C,$A17)</f>
        <v>0</v>
      </c>
      <c r="D17" s="78">
        <f>-SUMIFS('Diario Adm'!$E:$E,'Diario Adm'!$B:$B,D$4,'Diario Adm'!$C:$C,$A17)</f>
        <v>0</v>
      </c>
      <c r="E17" s="78">
        <f>-SUMIFS('Diario Adm'!$E:$E,'Diario Adm'!$B:$B,E$4,'Diario Adm'!$C:$C,$A17)</f>
        <v>0</v>
      </c>
      <c r="F17" s="78">
        <f>-SUMIFS('Diario Adm'!$E:$E,'Diario Adm'!$B:$B,F$4,'Diario Adm'!$C:$C,$A17)</f>
        <v>0</v>
      </c>
      <c r="G17" s="78">
        <f>-SUMIFS('Diario Adm'!$E:$E,'Diario Adm'!$B:$B,G$4,'Diario Adm'!$C:$C,$A17)</f>
        <v>0</v>
      </c>
      <c r="H17" s="78">
        <f>-SUMIFS('Diario Adm'!$E:$E,'Diario Adm'!$B:$B,H$4,'Diario Adm'!$C:$C,$A17)</f>
        <v>0</v>
      </c>
      <c r="I17" s="78">
        <f>-SUMIFS('Diario Adm'!$E:$E,'Diario Adm'!$B:$B,I$4,'Diario Adm'!$C:$C,$A17)</f>
        <v>0</v>
      </c>
      <c r="J17" s="78">
        <f>-SUMIFS('Diario Adm'!$E:$E,'Diario Adm'!$B:$B,J$4,'Diario Adm'!$C:$C,$A17)</f>
        <v>0</v>
      </c>
      <c r="K17" s="78">
        <f>-SUMIFS('Diario Adm'!$E:$E,'Diario Adm'!$B:$B,K$4,'Diario Adm'!$C:$C,$A17)</f>
        <v>0</v>
      </c>
      <c r="L17" s="78">
        <f>-SUMIFS('Diario Adm'!$E:$E,'Diario Adm'!$B:$B,L$4,'Diario Adm'!$C:$C,$A17)</f>
        <v>0</v>
      </c>
      <c r="M17" s="78">
        <f>-SUMIFS('Diario Adm'!$E:$E,'Diario Adm'!$B:$B,M$4,'Diario Adm'!$C:$C,$A17)</f>
        <v>0</v>
      </c>
      <c r="N17" s="78">
        <f>-SUMIFS('Diario Adm'!$E:$E,'Diario Adm'!$B:$B,N$4,'Diario Adm'!$C:$C,$A17)</f>
        <v>0</v>
      </c>
      <c r="P17" s="267">
        <f t="shared" si="1"/>
        <v>0</v>
      </c>
    </row>
    <row r="18" spans="1:19" s="387" customFormat="1" ht="14.95" customHeight="1" x14ac:dyDescent="0.25">
      <c r="A18" s="387">
        <v>3450</v>
      </c>
      <c r="B18" s="388" t="str">
        <f>VLOOKUP(A18,Plan!A:B,2,0)</f>
        <v>Pastoral Social</v>
      </c>
      <c r="C18" s="78">
        <f>-SUMIFS('Diario Adm'!$E:$E,'Diario Adm'!$B:$B,C$4,'Diario Adm'!$C:$C,$A18)</f>
        <v>100000</v>
      </c>
      <c r="D18" s="78">
        <f>-SUMIFS('Diario Adm'!$E:$E,'Diario Adm'!$B:$B,D$4,'Diario Adm'!$C:$C,$A18)</f>
        <v>100000</v>
      </c>
      <c r="E18" s="78">
        <f>-SUMIFS('Diario Adm'!$E:$E,'Diario Adm'!$B:$B,E$4,'Diario Adm'!$C:$C,$A18)</f>
        <v>100000</v>
      </c>
      <c r="F18" s="78">
        <f>-SUMIFS('Diario Adm'!$E:$E,'Diario Adm'!$B:$B,F$4,'Diario Adm'!$C:$C,$A18)</f>
        <v>2005000</v>
      </c>
      <c r="G18" s="78">
        <f>-SUMIFS('Diario Adm'!$E:$E,'Diario Adm'!$B:$B,G$4,'Diario Adm'!$C:$C,$A18)</f>
        <v>2704811</v>
      </c>
      <c r="H18" s="78">
        <f>-SUMIFS('Diario Adm'!$E:$E,'Diario Adm'!$B:$B,H$4,'Diario Adm'!$C:$C,$A18)</f>
        <v>2134240</v>
      </c>
      <c r="I18" s="78">
        <f>-SUMIFS('Diario Adm'!$E:$E,'Diario Adm'!$B:$B,I$4,'Diario Adm'!$C:$C,$A18)</f>
        <v>1505624</v>
      </c>
      <c r="J18" s="78">
        <f>-SUMIFS('Diario Adm'!$E:$E,'Diario Adm'!$B:$B,J$4,'Diario Adm'!$C:$C,$A18)</f>
        <v>1018242</v>
      </c>
      <c r="K18" s="78">
        <f>-SUMIFS('Diario Adm'!$E:$E,'Diario Adm'!$B:$B,K$4,'Diario Adm'!$C:$C,$A18)</f>
        <v>498261</v>
      </c>
      <c r="L18" s="78">
        <f>-SUMIFS('Diario Adm'!$E:$E,'Diario Adm'!$B:$B,L$4,'Diario Adm'!$C:$C,$A18)</f>
        <v>135000</v>
      </c>
      <c r="M18" s="78">
        <f>-SUMIFS('Diario Adm'!$E:$E,'Diario Adm'!$B:$B,M$4,'Diario Adm'!$C:$C,$A18)</f>
        <v>120000</v>
      </c>
      <c r="N18" s="78">
        <f>-SUMIFS('Diario Adm'!$E:$E,'Diario Adm'!$B:$B,N$4,'Diario Adm'!$C:$C,$A18)</f>
        <v>100000</v>
      </c>
      <c r="O18" s="389"/>
      <c r="P18" s="390">
        <f>SUM(C18:N18)</f>
        <v>10521178</v>
      </c>
      <c r="R18" s="391">
        <f>+P18-P66</f>
        <v>0</v>
      </c>
    </row>
    <row r="19" spans="1:19" s="387" customFormat="1" ht="14.95" customHeight="1" x14ac:dyDescent="0.25">
      <c r="A19" s="387">
        <v>3451</v>
      </c>
      <c r="B19" s="388" t="str">
        <f>VLOOKUP(A19,Plan!A:B,2,0)</f>
        <v>Ayuda Solidaria</v>
      </c>
      <c r="C19" s="78">
        <f>-SUMIFS('Diario Adm'!$E:$E,'Diario Adm'!$B:$B,C$4,'Diario Adm'!$C:$C,$A19)</f>
        <v>0</v>
      </c>
      <c r="D19" s="78">
        <f>-SUMIFS('Diario Adm'!$E:$E,'Diario Adm'!$B:$B,D$4,'Diario Adm'!$C:$C,$A19)</f>
        <v>0</v>
      </c>
      <c r="E19" s="78">
        <f>-SUMIFS('Diario Adm'!$E:$E,'Diario Adm'!$B:$B,E$4,'Diario Adm'!$C:$C,$A19)</f>
        <v>0</v>
      </c>
      <c r="F19" s="78">
        <f>-SUMIFS('Diario Adm'!$E:$E,'Diario Adm'!$B:$B,F$4,'Diario Adm'!$C:$C,$A19)</f>
        <v>0</v>
      </c>
      <c r="G19" s="78">
        <f>-SUMIFS('Diario Adm'!$E:$E,'Diario Adm'!$B:$B,G$4,'Diario Adm'!$C:$C,$A19)</f>
        <v>0</v>
      </c>
      <c r="H19" s="78">
        <f>-SUMIFS('Diario Adm'!$E:$E,'Diario Adm'!$B:$B,H$4,'Diario Adm'!$C:$C,$A19)</f>
        <v>0</v>
      </c>
      <c r="I19" s="78">
        <f>-SUMIFS('Diario Adm'!$E:$E,'Diario Adm'!$B:$B,I$4,'Diario Adm'!$C:$C,$A19)</f>
        <v>0</v>
      </c>
      <c r="J19" s="78">
        <f>-SUMIFS('Diario Adm'!$E:$E,'Diario Adm'!$B:$B,J$4,'Diario Adm'!$C:$C,$A19)</f>
        <v>0</v>
      </c>
      <c r="K19" s="78">
        <f>-SUMIFS('Diario Adm'!$E:$E,'Diario Adm'!$B:$B,K$4,'Diario Adm'!$C:$C,$A19)</f>
        <v>0</v>
      </c>
      <c r="L19" s="78">
        <f>-SUMIFS('Diario Adm'!$E:$E,'Diario Adm'!$B:$B,L$4,'Diario Adm'!$C:$C,$A19)</f>
        <v>0</v>
      </c>
      <c r="M19" s="78">
        <f>-SUMIFS('Diario Adm'!$E:$E,'Diario Adm'!$B:$B,M$4,'Diario Adm'!$C:$C,$A19)</f>
        <v>0</v>
      </c>
      <c r="N19" s="78">
        <f>-SUMIFS('Diario Adm'!$E:$E,'Diario Adm'!$B:$B,N$4,'Diario Adm'!$C:$C,$A19)</f>
        <v>0</v>
      </c>
      <c r="O19" s="389"/>
      <c r="P19" s="390">
        <f>SUM(C19:N19)</f>
        <v>0</v>
      </c>
      <c r="R19" s="391"/>
    </row>
    <row r="20" spans="1:19" s="387" customFormat="1" ht="14.95" customHeight="1" x14ac:dyDescent="0.25">
      <c r="A20" s="387">
        <v>3453</v>
      </c>
      <c r="B20" s="388" t="str">
        <f>VLOOKUP(A20,Plan!A:B,2,0)</f>
        <v>Cajas de navidad</v>
      </c>
      <c r="C20" s="78">
        <f>-SUMIFS('Diario Adm'!$E:$E,'Diario Adm'!$B:$B,C$4,'Diario Adm'!$C:$C,$A20)</f>
        <v>0</v>
      </c>
      <c r="D20" s="78">
        <f>-SUMIFS('Diario Adm'!$E:$E,'Diario Adm'!$B:$B,D$4,'Diario Adm'!$C:$C,$A20)</f>
        <v>0</v>
      </c>
      <c r="E20" s="78">
        <f>-SUMIFS('Diario Adm'!$E:$E,'Diario Adm'!$B:$B,E$4,'Diario Adm'!$C:$C,$A20)</f>
        <v>0</v>
      </c>
      <c r="F20" s="78">
        <f>-SUMIFS('Diario Adm'!$E:$E,'Diario Adm'!$B:$B,F$4,'Diario Adm'!$C:$C,$A20)</f>
        <v>0</v>
      </c>
      <c r="G20" s="78">
        <f>-SUMIFS('Diario Adm'!$E:$E,'Diario Adm'!$B:$B,G$4,'Diario Adm'!$C:$C,$A20)</f>
        <v>0</v>
      </c>
      <c r="H20" s="78">
        <f>-SUMIFS('Diario Adm'!$E:$E,'Diario Adm'!$B:$B,H$4,'Diario Adm'!$C:$C,$A20)</f>
        <v>0</v>
      </c>
      <c r="I20" s="78">
        <f>-SUMIFS('Diario Adm'!$E:$E,'Diario Adm'!$B:$B,I$4,'Diario Adm'!$C:$C,$A20)</f>
        <v>0</v>
      </c>
      <c r="J20" s="78">
        <f>-SUMIFS('Diario Adm'!$E:$E,'Diario Adm'!$B:$B,J$4,'Diario Adm'!$C:$C,$A20)</f>
        <v>0</v>
      </c>
      <c r="K20" s="78">
        <f>-SUMIFS('Diario Adm'!$E:$E,'Diario Adm'!$B:$B,K$4,'Diario Adm'!$C:$C,$A20)</f>
        <v>0</v>
      </c>
      <c r="L20" s="78">
        <f>-SUMIFS('Diario Adm'!$E:$E,'Diario Adm'!$B:$B,L$4,'Diario Adm'!$C:$C,$A20)</f>
        <v>0</v>
      </c>
      <c r="M20" s="78">
        <f>-SUMIFS('Diario Adm'!$E:$E,'Diario Adm'!$B:$B,M$4,'Diario Adm'!$C:$C,$A20)</f>
        <v>9094041</v>
      </c>
      <c r="N20" s="78">
        <f>-SUMIFS('Diario Adm'!$E:$E,'Diario Adm'!$B:$B,N$4,'Diario Adm'!$C:$C,$A20)</f>
        <v>10589649</v>
      </c>
      <c r="O20" s="389"/>
      <c r="P20" s="390">
        <f t="shared" si="1"/>
        <v>19683690</v>
      </c>
      <c r="R20" s="394"/>
      <c r="S20" s="389"/>
    </row>
    <row r="21" spans="1:19" s="387" customFormat="1" ht="14.95" hidden="1" customHeight="1" x14ac:dyDescent="0.25">
      <c r="A21" s="387">
        <v>3460</v>
      </c>
      <c r="B21" s="388" t="str">
        <f>VLOOKUP(A21,Plan!A:B,2,0)</f>
        <v>Pastoral Salud</v>
      </c>
      <c r="C21" s="78">
        <f>-SUMIFS('Diario Adm'!$E:$E,'Diario Adm'!$B:$B,C$4,'Diario Adm'!$C:$C,$A21)</f>
        <v>0</v>
      </c>
      <c r="D21" s="78">
        <f>-SUMIFS('Diario Adm'!$E:$E,'Diario Adm'!$B:$B,D$4,'Diario Adm'!$C:$C,$A21)</f>
        <v>0</v>
      </c>
      <c r="E21" s="78">
        <f>-SUMIFS('Diario Adm'!$E:$E,'Diario Adm'!$B:$B,E$4,'Diario Adm'!$C:$C,$A21)</f>
        <v>0</v>
      </c>
      <c r="F21" s="78">
        <f>-SUMIFS('Diario Adm'!$E:$E,'Diario Adm'!$B:$B,F$4,'Diario Adm'!$C:$C,$A21)</f>
        <v>0</v>
      </c>
      <c r="G21" s="78">
        <f>-SUMIFS('Diario Adm'!$E:$E,'Diario Adm'!$B:$B,G$4,'Diario Adm'!$C:$C,$A21)</f>
        <v>0</v>
      </c>
      <c r="H21" s="78">
        <f>-SUMIFS('Diario Adm'!$E:$E,'Diario Adm'!$B:$B,H$4,'Diario Adm'!$C:$C,$A21)</f>
        <v>0</v>
      </c>
      <c r="I21" s="78">
        <f>-SUMIFS('Diario Adm'!$E:$E,'Diario Adm'!$B:$B,I$4,'Diario Adm'!$C:$C,$A21)</f>
        <v>0</v>
      </c>
      <c r="J21" s="78">
        <f>-SUMIFS('Diario Adm'!$E:$E,'Diario Adm'!$B:$B,J$4,'Diario Adm'!$C:$C,$A21)</f>
        <v>0</v>
      </c>
      <c r="K21" s="78">
        <f>-SUMIFS('Diario Adm'!$E:$E,'Diario Adm'!$B:$B,K$4,'Diario Adm'!$C:$C,$A21)</f>
        <v>0</v>
      </c>
      <c r="L21" s="78">
        <f>-SUMIFS('Diario Adm'!$E:$E,'Diario Adm'!$B:$B,L$4,'Diario Adm'!$C:$C,$A21)</f>
        <v>0</v>
      </c>
      <c r="M21" s="78">
        <f>-SUMIFS('Diario Adm'!$E:$E,'Diario Adm'!$B:$B,M$4,'Diario Adm'!$C:$C,$A21)</f>
        <v>0</v>
      </c>
      <c r="N21" s="78">
        <f>-SUMIFS('Diario Adm'!$E:$E,'Diario Adm'!$B:$B,N$4,'Diario Adm'!$C:$C,$A21)</f>
        <v>0</v>
      </c>
      <c r="O21" s="389"/>
      <c r="P21" s="390">
        <f t="shared" si="1"/>
        <v>0</v>
      </c>
    </row>
    <row r="22" spans="1:19" s="387" customFormat="1" ht="14.95" customHeight="1" x14ac:dyDescent="0.25">
      <c r="A22" s="387">
        <v>3520</v>
      </c>
      <c r="B22" s="392" t="str">
        <f>VLOOKUP(A22,Plan!A:B,2,0)</f>
        <v>Otros Ingreso</v>
      </c>
      <c r="C22" s="78">
        <f>-SUMIFS('Diario Adm'!$E:$E,'Diario Adm'!$B:$B,C$4,'Diario Adm'!$C:$C,$A22)</f>
        <v>0</v>
      </c>
      <c r="D22" s="78">
        <f>-SUMIFS('Diario Adm'!$E:$E,'Diario Adm'!$B:$B,D$4,'Diario Adm'!$C:$C,$A22)</f>
        <v>0</v>
      </c>
      <c r="E22" s="78">
        <f>-SUMIFS('Diario Adm'!$E:$E,'Diario Adm'!$B:$B,E$4,'Diario Adm'!$C:$C,$A22)</f>
        <v>0</v>
      </c>
      <c r="F22" s="78">
        <f>-SUMIFS('Diario Adm'!$E:$E,'Diario Adm'!$B:$B,F$4,'Diario Adm'!$C:$C,$A22)</f>
        <v>0</v>
      </c>
      <c r="G22" s="78">
        <f>-SUMIFS('Diario Adm'!$E:$E,'Diario Adm'!$B:$B,G$4,'Diario Adm'!$C:$C,$A22)</f>
        <v>26802</v>
      </c>
      <c r="H22" s="78">
        <f>-SUMIFS('Diario Adm'!$E:$E,'Diario Adm'!$B:$B,H$4,'Diario Adm'!$C:$C,$A22)</f>
        <v>12312</v>
      </c>
      <c r="I22" s="78">
        <f>-SUMIFS('Diario Adm'!$E:$E,'Diario Adm'!$B:$B,I$4,'Diario Adm'!$C:$C,$A22)</f>
        <v>13922</v>
      </c>
      <c r="J22" s="78">
        <f>-SUMIFS('Diario Adm'!$E:$E,'Diario Adm'!$B:$B,J$4,'Diario Adm'!$C:$C,$A22)</f>
        <v>81652</v>
      </c>
      <c r="K22" s="78">
        <f>-SUMIFS('Diario Adm'!$E:$E,'Diario Adm'!$B:$B,K$4,'Diario Adm'!$C:$C,$A22)</f>
        <v>0</v>
      </c>
      <c r="L22" s="78">
        <f>-SUMIFS('Diario Adm'!$E:$E,'Diario Adm'!$B:$B,L$4,'Diario Adm'!$C:$C,$A22)</f>
        <v>0</v>
      </c>
      <c r="M22" s="78">
        <f>-SUMIFS('Diario Adm'!$E:$E,'Diario Adm'!$B:$B,M$4,'Diario Adm'!$C:$C,$A22)</f>
        <v>93807</v>
      </c>
      <c r="N22" s="78">
        <f>-SUMIFS('Diario Adm'!$E:$E,'Diario Adm'!$B:$B,N$4,'Diario Adm'!$C:$C,$A22)</f>
        <v>878224</v>
      </c>
      <c r="O22" s="389"/>
      <c r="P22" s="390">
        <f>SUM(C22:N22)</f>
        <v>1106719</v>
      </c>
      <c r="Q22" s="387" t="s">
        <v>2202</v>
      </c>
    </row>
    <row r="23" spans="1:19" s="387" customFormat="1" ht="14.95" hidden="1" customHeight="1" x14ac:dyDescent="0.25">
      <c r="A23" s="387">
        <v>3451</v>
      </c>
      <c r="B23" s="392" t="str">
        <f>VLOOKUP(A23,Plan!A:B,2,0)</f>
        <v>Ayuda Solidaria</v>
      </c>
      <c r="C23" s="78">
        <f>-SUMIFS('Diario Adm'!$E:$E,'Diario Adm'!$B:$B,C$4,'Diario Adm'!$C:$C,$A23)</f>
        <v>0</v>
      </c>
      <c r="D23" s="78">
        <f>-SUMIFS('Diario Adm'!$E:$E,'Diario Adm'!$B:$B,D$4,'Diario Adm'!$C:$C,$A23)</f>
        <v>0</v>
      </c>
      <c r="E23" s="78">
        <f>-SUMIFS('Diario Adm'!$E:$E,'Diario Adm'!$B:$B,E$4,'Diario Adm'!$C:$C,$A23)</f>
        <v>0</v>
      </c>
      <c r="F23" s="78">
        <f>-SUMIFS('Diario Adm'!$E:$E,'Diario Adm'!$B:$B,F$4,'Diario Adm'!$C:$C,$A23)</f>
        <v>0</v>
      </c>
      <c r="G23" s="78">
        <f>-SUMIFS('Diario Adm'!$E:$E,'Diario Adm'!$B:$B,G$4,'Diario Adm'!$C:$C,$A23)</f>
        <v>0</v>
      </c>
      <c r="H23" s="78">
        <f>-SUMIFS('Diario Adm'!$E:$E,'Diario Adm'!$B:$B,H$4,'Diario Adm'!$C:$C,$A23)</f>
        <v>0</v>
      </c>
      <c r="I23" s="78">
        <f>-SUMIFS('Diario Adm'!$E:$E,'Diario Adm'!$B:$B,I$4,'Diario Adm'!$C:$C,$A23)</f>
        <v>0</v>
      </c>
      <c r="J23" s="78">
        <f>-SUMIFS('Diario Adm'!$E:$E,'Diario Adm'!$B:$B,J$4,'Diario Adm'!$C:$C,$A23)</f>
        <v>0</v>
      </c>
      <c r="K23" s="78">
        <f>-SUMIFS('Diario Adm'!$E:$E,'Diario Adm'!$B:$B,K$4,'Diario Adm'!$C:$C,$A23)</f>
        <v>0</v>
      </c>
      <c r="L23" s="78">
        <f>-SUMIFS('Diario Adm'!$E:$E,'Diario Adm'!$B:$B,L$4,'Diario Adm'!$C:$C,$A23)</f>
        <v>0</v>
      </c>
      <c r="M23" s="78">
        <f>-SUMIFS('Diario Adm'!$E:$E,'Diario Adm'!$B:$B,M$4,'Diario Adm'!$C:$C,$A23)</f>
        <v>0</v>
      </c>
      <c r="N23" s="78">
        <f>-SUMIFS('Diario Adm'!$E:$E,'Diario Adm'!$B:$B,N$4,'Diario Adm'!$C:$C,$A23)</f>
        <v>0</v>
      </c>
      <c r="O23" s="389"/>
      <c r="P23" s="390">
        <f t="shared" si="1"/>
        <v>0</v>
      </c>
    </row>
    <row r="24" spans="1:19" s="57" customFormat="1" ht="14.95" customHeight="1" x14ac:dyDescent="0.25">
      <c r="B24" s="48" t="s">
        <v>1</v>
      </c>
      <c r="C24" s="52">
        <f t="shared" ref="C24:N24" si="2">SUM(C25:C99)</f>
        <v>6797871</v>
      </c>
      <c r="D24" s="52">
        <f t="shared" si="2"/>
        <v>6403864</v>
      </c>
      <c r="E24" s="52">
        <f t="shared" si="2"/>
        <v>6494241</v>
      </c>
      <c r="F24" s="52">
        <f t="shared" si="2"/>
        <v>7264734</v>
      </c>
      <c r="G24" s="52">
        <f t="shared" si="2"/>
        <v>9629842</v>
      </c>
      <c r="H24" s="52">
        <f t="shared" si="2"/>
        <v>8800449</v>
      </c>
      <c r="I24" s="52">
        <f t="shared" si="2"/>
        <v>9013274</v>
      </c>
      <c r="J24" s="52">
        <f>SUM(J25:J99)</f>
        <v>8591261</v>
      </c>
      <c r="K24" s="52">
        <f t="shared" si="2"/>
        <v>7090920</v>
      </c>
      <c r="L24" s="52">
        <f t="shared" si="2"/>
        <v>6685590</v>
      </c>
      <c r="M24" s="52">
        <f t="shared" si="2"/>
        <v>6775258</v>
      </c>
      <c r="N24" s="52">
        <f t="shared" si="2"/>
        <v>33565485</v>
      </c>
      <c r="O24" s="47" t="s">
        <v>48</v>
      </c>
      <c r="P24" s="53">
        <f>SUM(P25:P99)</f>
        <v>117112789</v>
      </c>
    </row>
    <row r="25" spans="1:19" ht="14.95" hidden="1" customHeight="1" x14ac:dyDescent="0.25">
      <c r="A25" s="162">
        <v>4210</v>
      </c>
      <c r="B25" s="189" t="str">
        <f>VLOOKUP(A25,Plan!A:B,2,0)</f>
        <v>Sueldos</v>
      </c>
      <c r="C25" s="78">
        <f>SUMIFS('Diario Adm'!$E:$E,'Diario Adm'!$B:$B,C$4,'Diario Adm'!$C:$C,$A25)</f>
        <v>0</v>
      </c>
      <c r="D25" s="78">
        <f>SUMIFS('Diario Adm'!$E:$E,'Diario Adm'!$B:$B,D$4,'Diario Adm'!$C:$C,$A25)</f>
        <v>0</v>
      </c>
      <c r="E25" s="78">
        <f>SUMIFS('Diario Adm'!$E:$E,'Diario Adm'!$B:$B,E$4,'Diario Adm'!$C:$C,$A25)</f>
        <v>0</v>
      </c>
      <c r="F25" s="78">
        <f>SUMIFS('Diario Adm'!$E:$E,'Diario Adm'!$B:$B,F$4,'Diario Adm'!$C:$C,$A25)</f>
        <v>-1118210</v>
      </c>
      <c r="G25" s="78">
        <f>SUMIFS('Diario Adm'!$E:$E,'Diario Adm'!$B:$B,G$4,'Diario Adm'!$C:$C,$A25)</f>
        <v>1118210</v>
      </c>
      <c r="H25" s="78">
        <f>SUMIFS('Diario Adm'!$E:$E,'Diario Adm'!$B:$B,H$4,'Diario Adm'!$C:$C,$A25)</f>
        <v>0</v>
      </c>
      <c r="I25" s="78">
        <f>SUMIFS('Diario Adm'!$E:$E,'Diario Adm'!$B:$B,I$4,'Diario Adm'!$C:$C,$A25)</f>
        <v>0</v>
      </c>
      <c r="J25" s="78">
        <f>SUMIFS('Diario Adm'!$E:$E,'Diario Adm'!$B:$B,J$4,'Diario Adm'!$C:$C,$A25)</f>
        <v>0</v>
      </c>
      <c r="K25" s="78">
        <f>SUMIFS('Diario Adm'!$E:$E,'Diario Adm'!$B:$B,K$4,'Diario Adm'!$C:$C,$A25)</f>
        <v>0</v>
      </c>
      <c r="L25" s="78">
        <f>SUMIFS('Diario Adm'!$E:$E,'Diario Adm'!$B:$B,L$4,'Diario Adm'!$C:$C,$A25)</f>
        <v>0</v>
      </c>
      <c r="M25" s="78">
        <f>SUMIFS('Diario Adm'!$E:$E,'Diario Adm'!$B:$B,M$4,'Diario Adm'!$C:$C,$A25)</f>
        <v>0</v>
      </c>
      <c r="N25" s="78">
        <f>SUMIFS('Diario Adm'!$E:$E,'Diario Adm'!$B:$B,N$4,'Diario Adm'!$C:$C,$A25)</f>
        <v>0</v>
      </c>
      <c r="O25" s="55" t="s">
        <v>48</v>
      </c>
      <c r="P25" s="145">
        <f t="shared" ref="P25:P37" si="3">SUM(C25:O25)</f>
        <v>0</v>
      </c>
    </row>
    <row r="26" spans="1:19" ht="14.95" hidden="1" customHeight="1" x14ac:dyDescent="0.25">
      <c r="A26" s="174">
        <v>4211</v>
      </c>
      <c r="B26" s="190" t="str">
        <f>VLOOKUP(A26,Plan!A:B,2,0)</f>
        <v>Auxiliares de Aseo</v>
      </c>
      <c r="C26" s="78">
        <f>SUMIFS('Diario Adm'!$E:$E,'Diario Adm'!$B:$B,C$4,'Diario Adm'!$C:$C,$A26)</f>
        <v>0</v>
      </c>
      <c r="D26" s="78">
        <f>SUMIFS('Diario Adm'!$E:$E,'Diario Adm'!$B:$B,D$4,'Diario Adm'!$C:$C,$A26)</f>
        <v>0</v>
      </c>
      <c r="E26" s="78">
        <f>SUMIFS('Diario Adm'!$E:$E,'Diario Adm'!$B:$B,E$4,'Diario Adm'!$C:$C,$A26)</f>
        <v>0</v>
      </c>
      <c r="F26" s="78">
        <f>SUMIFS('Diario Adm'!$E:$E,'Diario Adm'!$B:$B,F$4,'Diario Adm'!$C:$C,$A26)</f>
        <v>0</v>
      </c>
      <c r="G26" s="78">
        <f>SUMIFS('Diario Adm'!$E:$E,'Diario Adm'!$B:$B,G$4,'Diario Adm'!$C:$C,$A26)</f>
        <v>0</v>
      </c>
      <c r="H26" s="78">
        <f>SUMIFS('Diario Adm'!$E:$E,'Diario Adm'!$B:$B,H$4,'Diario Adm'!$C:$C,$A26)</f>
        <v>0</v>
      </c>
      <c r="I26" s="78">
        <f>SUMIFS('Diario Adm'!$E:$E,'Diario Adm'!$B:$B,I$4,'Diario Adm'!$C:$C,$A26)</f>
        <v>0</v>
      </c>
      <c r="J26" s="78">
        <f>SUMIFS('Diario Adm'!$E:$E,'Diario Adm'!$B:$B,J$4,'Diario Adm'!$C:$C,$A26)</f>
        <v>0</v>
      </c>
      <c r="K26" s="78">
        <f>SUMIFS('Diario Adm'!$E:$E,'Diario Adm'!$B:$B,K$4,'Diario Adm'!$C:$C,$A26)</f>
        <v>0</v>
      </c>
      <c r="L26" s="78">
        <f>SUMIFS('Diario Adm'!$E:$E,'Diario Adm'!$B:$B,L$4,'Diario Adm'!$C:$C,$A26)</f>
        <v>0</v>
      </c>
      <c r="M26" s="78">
        <f>SUMIFS('Diario Adm'!$E:$E,'Diario Adm'!$B:$B,M$4,'Diario Adm'!$C:$C,$A26)</f>
        <v>0</v>
      </c>
      <c r="N26" s="78">
        <f>SUMIFS('Diario Adm'!$E:$E,'Diario Adm'!$B:$B,N$4,'Diario Adm'!$C:$C,$A26)</f>
        <v>0</v>
      </c>
      <c r="O26" s="55" t="s">
        <v>48</v>
      </c>
      <c r="P26" s="145">
        <f t="shared" si="3"/>
        <v>0</v>
      </c>
    </row>
    <row r="27" spans="1:19" ht="14.95" hidden="1" customHeight="1" x14ac:dyDescent="0.25">
      <c r="A27" s="174">
        <v>4213</v>
      </c>
      <c r="B27" s="190" t="str">
        <f>VLOOKUP(A27,Plan!A:B,2,0)</f>
        <v>Secretarias y Administración</v>
      </c>
      <c r="C27" s="78">
        <f>SUMIFS('Diario Adm'!$E:$E,'Diario Adm'!$B:$B,C$4,'Diario Adm'!$C:$C,$A27)</f>
        <v>0</v>
      </c>
      <c r="D27" s="78">
        <f>SUMIFS('Diario Adm'!$E:$E,'Diario Adm'!$B:$B,D$4,'Diario Adm'!$C:$C,$A27)</f>
        <v>0</v>
      </c>
      <c r="E27" s="78">
        <f>SUMIFS('Diario Adm'!$E:$E,'Diario Adm'!$B:$B,E$4,'Diario Adm'!$C:$C,$A27)</f>
        <v>0</v>
      </c>
      <c r="F27" s="78">
        <f>SUMIFS('Diario Adm'!$E:$E,'Diario Adm'!$B:$B,F$4,'Diario Adm'!$C:$C,$A27)</f>
        <v>0</v>
      </c>
      <c r="G27" s="78">
        <f>SUMIFS('Diario Adm'!$E:$E,'Diario Adm'!$B:$B,G$4,'Diario Adm'!$C:$C,$A27)</f>
        <v>0</v>
      </c>
      <c r="H27" s="78">
        <f>SUMIFS('Diario Adm'!$E:$E,'Diario Adm'!$B:$B,H$4,'Diario Adm'!$C:$C,$A27)</f>
        <v>0</v>
      </c>
      <c r="I27" s="78">
        <f>SUMIFS('Diario Adm'!$E:$E,'Diario Adm'!$B:$B,I$4,'Diario Adm'!$C:$C,$A27)</f>
        <v>0</v>
      </c>
      <c r="J27" s="78">
        <f>SUMIFS('Diario Adm'!$E:$E,'Diario Adm'!$B:$B,J$4,'Diario Adm'!$C:$C,$A27)</f>
        <v>0</v>
      </c>
      <c r="K27" s="78">
        <f>SUMIFS('Diario Adm'!$E:$E,'Diario Adm'!$B:$B,K$4,'Diario Adm'!$C:$C,$A27)</f>
        <v>0</v>
      </c>
      <c r="L27" s="78">
        <f>SUMIFS('Diario Adm'!$E:$E,'Diario Adm'!$B:$B,L$4,'Diario Adm'!$C:$C,$A27)</f>
        <v>0</v>
      </c>
      <c r="M27" s="78">
        <f>SUMIFS('Diario Adm'!$E:$E,'Diario Adm'!$B:$B,M$4,'Diario Adm'!$C:$C,$A27)</f>
        <v>0</v>
      </c>
      <c r="N27" s="78">
        <f>SUMIFS('Diario Adm'!$E:$E,'Diario Adm'!$B:$B,N$4,'Diario Adm'!$C:$C,$A27)</f>
        <v>0</v>
      </c>
      <c r="O27" s="55" t="s">
        <v>48</v>
      </c>
      <c r="P27" s="145">
        <f t="shared" si="3"/>
        <v>0</v>
      </c>
    </row>
    <row r="28" spans="1:19" ht="14.95" hidden="1" customHeight="1" x14ac:dyDescent="0.25">
      <c r="A28" s="162">
        <v>4230</v>
      </c>
      <c r="B28" s="190" t="str">
        <f>VLOOKUP(A28,Plan!A:B,2,0)</f>
        <v>Cotizaciones</v>
      </c>
      <c r="C28" s="78">
        <f>SUMIFS('Diario Adm'!$E:$E,'Diario Adm'!$B:$B,C$4,'Diario Adm'!$C:$C,$A28)</f>
        <v>0</v>
      </c>
      <c r="D28" s="78">
        <f>SUMIFS('Diario Adm'!$E:$E,'Diario Adm'!$B:$B,D$4,'Diario Adm'!$C:$C,$A28)</f>
        <v>0</v>
      </c>
      <c r="E28" s="78">
        <f>SUMIFS('Diario Adm'!$E:$E,'Diario Adm'!$B:$B,E$4,'Diario Adm'!$C:$C,$A28)</f>
        <v>0</v>
      </c>
      <c r="F28" s="78">
        <f>SUMIFS('Diario Adm'!$E:$E,'Diario Adm'!$B:$B,F$4,'Diario Adm'!$C:$C,$A28)</f>
        <v>0</v>
      </c>
      <c r="G28" s="78">
        <f>SUMIFS('Diario Adm'!$E:$E,'Diario Adm'!$B:$B,G$4,'Diario Adm'!$C:$C,$A28)</f>
        <v>0</v>
      </c>
      <c r="H28" s="78">
        <f>SUMIFS('Diario Adm'!$E:$E,'Diario Adm'!$B:$B,H$4,'Diario Adm'!$C:$C,$A28)</f>
        <v>0</v>
      </c>
      <c r="I28" s="78">
        <f>SUMIFS('Diario Adm'!$E:$E,'Diario Adm'!$B:$B,I$4,'Diario Adm'!$C:$C,$A28)</f>
        <v>0</v>
      </c>
      <c r="J28" s="78">
        <f>SUMIFS('Diario Adm'!$E:$E,'Diario Adm'!$B:$B,J$4,'Diario Adm'!$C:$C,$A28)</f>
        <v>0</v>
      </c>
      <c r="K28" s="78">
        <f>SUMIFS('Diario Adm'!$E:$E,'Diario Adm'!$B:$B,K$4,'Diario Adm'!$C:$C,$A28)</f>
        <v>0</v>
      </c>
      <c r="L28" s="78">
        <f>SUMIFS('Diario Adm'!$E:$E,'Diario Adm'!$B:$B,L$4,'Diario Adm'!$C:$C,$A28)</f>
        <v>0</v>
      </c>
      <c r="M28" s="78">
        <f>SUMIFS('Diario Adm'!$E:$E,'Diario Adm'!$B:$B,M$4,'Diario Adm'!$C:$C,$A28)</f>
        <v>0</v>
      </c>
      <c r="N28" s="78">
        <f>SUMIFS('Diario Adm'!$E:$E,'Diario Adm'!$B:$B,N$4,'Diario Adm'!$C:$C,$A28)</f>
        <v>0</v>
      </c>
      <c r="O28" s="55" t="s">
        <v>48</v>
      </c>
      <c r="P28" s="145">
        <f t="shared" si="3"/>
        <v>0</v>
      </c>
    </row>
    <row r="29" spans="1:19" ht="14.95" customHeight="1" x14ac:dyDescent="0.25">
      <c r="A29" s="174">
        <v>4231</v>
      </c>
      <c r="B29" s="190" t="str">
        <f>VLOOKUP(A29,Plan!A:B,2,0)</f>
        <v>Auxiliares, secretarias y administración</v>
      </c>
      <c r="C29" s="78">
        <f>SUMIFS('Diario Adm'!$E:$E,'Diario Adm'!$B:$B,C$4,'Diario Adm'!$C:$C,$A29)</f>
        <v>3041200</v>
      </c>
      <c r="D29" s="78">
        <f>SUMIFS('Diario Adm'!$E:$E,'Diario Adm'!$B:$B,D$4,'Diario Adm'!$C:$C,$A29)</f>
        <v>3135528</v>
      </c>
      <c r="E29" s="78">
        <f>SUMIFS('Diario Adm'!$E:$E,'Diario Adm'!$B:$B,E$4,'Diario Adm'!$C:$C,$A29)</f>
        <v>3082593</v>
      </c>
      <c r="F29" s="78">
        <f>SUMIFS('Diario Adm'!$E:$E,'Diario Adm'!$B:$B,F$4,'Diario Adm'!$C:$C,$A29)</f>
        <v>3117687</v>
      </c>
      <c r="G29" s="78">
        <f>SUMIFS('Diario Adm'!$E:$E,'Diario Adm'!$B:$B,G$4,'Diario Adm'!$C:$C,$A29)</f>
        <v>3037484</v>
      </c>
      <c r="H29" s="78">
        <f>SUMIFS('Diario Adm'!$E:$E,'Diario Adm'!$B:$B,H$4,'Diario Adm'!$C:$C,$A29)</f>
        <v>3042484</v>
      </c>
      <c r="I29" s="78">
        <f>SUMIFS('Diario Adm'!$E:$E,'Diario Adm'!$B:$B,I$4,'Diario Adm'!$C:$C,$A29)</f>
        <v>3112070</v>
      </c>
      <c r="J29" s="78">
        <f>SUMIFS('Diario Adm'!$E:$E,'Diario Adm'!$B:$B,J$4,'Diario Adm'!$C:$C,$A29)</f>
        <v>3110777</v>
      </c>
      <c r="K29" s="78">
        <f>SUMIFS('Diario Adm'!$E:$E,'Diario Adm'!$B:$B,K$4,'Diario Adm'!$C:$C,$A29)</f>
        <v>3110777</v>
      </c>
      <c r="L29" s="78">
        <f>SUMIFS('Diario Adm'!$E:$E,'Diario Adm'!$B:$B,L$4,'Diario Adm'!$C:$C,$A29)</f>
        <v>3103697</v>
      </c>
      <c r="M29" s="78">
        <f>SUMIFS('Diario Adm'!$E:$E,'Diario Adm'!$B:$B,M$4,'Diario Adm'!$C:$C,$A29)</f>
        <v>3132889</v>
      </c>
      <c r="N29" s="78">
        <f>SUMIFS('Diario Adm'!$E:$E,'Diario Adm'!$B:$B,N$4,'Diario Adm'!$C:$C,$A29)</f>
        <v>3169702</v>
      </c>
      <c r="O29" s="55" t="s">
        <v>48</v>
      </c>
      <c r="P29" s="145">
        <f t="shared" si="3"/>
        <v>37196888</v>
      </c>
    </row>
    <row r="30" spans="1:19" ht="14.95" hidden="1" customHeight="1" x14ac:dyDescent="0.25">
      <c r="A30" s="174">
        <v>4232</v>
      </c>
      <c r="B30" s="190" t="str">
        <f>VLOOKUP(A30,Plan!A:B,2,0)</f>
        <v>Sacerdote</v>
      </c>
      <c r="C30" s="78">
        <f>SUMIFS('Diario Adm'!$E:$E,'Diario Adm'!$B:$B,C$4,'Diario Adm'!$C:$C,$A30)</f>
        <v>0</v>
      </c>
      <c r="D30" s="78">
        <f>SUMIFS('Diario Adm'!$E:$E,'Diario Adm'!$B:$B,D$4,'Diario Adm'!$C:$C,$A30)</f>
        <v>0</v>
      </c>
      <c r="E30" s="78">
        <f>SUMIFS('Diario Adm'!$E:$E,'Diario Adm'!$B:$B,E$4,'Diario Adm'!$C:$C,$A30)</f>
        <v>0</v>
      </c>
      <c r="F30" s="78">
        <f>SUMIFS('Diario Adm'!$E:$E,'Diario Adm'!$B:$B,F$4,'Diario Adm'!$C:$C,$A30)</f>
        <v>0</v>
      </c>
      <c r="G30" s="78">
        <f>SUMIFS('Diario Adm'!$E:$E,'Diario Adm'!$B:$B,G$4,'Diario Adm'!$C:$C,$A30)</f>
        <v>0</v>
      </c>
      <c r="H30" s="78">
        <f>SUMIFS('Diario Adm'!$E:$E,'Diario Adm'!$B:$B,H$4,'Diario Adm'!$C:$C,$A30)</f>
        <v>0</v>
      </c>
      <c r="I30" s="78">
        <f>SUMIFS('Diario Adm'!$E:$E,'Diario Adm'!$B:$B,I$4,'Diario Adm'!$C:$C,$A30)</f>
        <v>0</v>
      </c>
      <c r="J30" s="78">
        <f>SUMIFS('Diario Adm'!$E:$E,'Diario Adm'!$B:$B,J$4,'Diario Adm'!$C:$C,$A30)</f>
        <v>0</v>
      </c>
      <c r="K30" s="78">
        <f>SUMIFS('Diario Adm'!$E:$E,'Diario Adm'!$B:$B,K$4,'Diario Adm'!$C:$C,$A30)</f>
        <v>0</v>
      </c>
      <c r="L30" s="78">
        <f>SUMIFS('Diario Adm'!$E:$E,'Diario Adm'!$B:$B,L$4,'Diario Adm'!$C:$C,$A30)</f>
        <v>0</v>
      </c>
      <c r="M30" s="78">
        <f>SUMIFS('Diario Adm'!$E:$E,'Diario Adm'!$B:$B,M$4,'Diario Adm'!$C:$C,$A30)</f>
        <v>0</v>
      </c>
      <c r="N30" s="78">
        <f>SUMIFS('Diario Adm'!$E:$E,'Diario Adm'!$B:$B,N$4,'Diario Adm'!$C:$C,$A30)</f>
        <v>0</v>
      </c>
      <c r="O30" s="55" t="s">
        <v>48</v>
      </c>
      <c r="P30" s="145">
        <f t="shared" si="3"/>
        <v>0</v>
      </c>
    </row>
    <row r="31" spans="1:19" ht="14.95" customHeight="1" x14ac:dyDescent="0.25">
      <c r="A31" s="174">
        <v>9011</v>
      </c>
      <c r="B31" s="190" t="str">
        <f>VLOOKUP(A31,Plan!A:B,2,0)</f>
        <v>Sueldo Sacerdotes</v>
      </c>
      <c r="C31" s="78">
        <f>SUMIFS('Diario Adm'!$E:$E,'Diario Adm'!$B:$B,C$4,'Diario Adm'!$C:$C,$A31)</f>
        <v>907876</v>
      </c>
      <c r="D31" s="78">
        <f>SUMIFS('Diario Adm'!$E:$E,'Diario Adm'!$B:$B,D$4,'Diario Adm'!$C:$C,$A31)</f>
        <v>908849</v>
      </c>
      <c r="E31" s="78">
        <f>SUMIFS('Diario Adm'!$E:$E,'Diario Adm'!$B:$B,E$4,'Diario Adm'!$C:$C,$A31)</f>
        <v>909484</v>
      </c>
      <c r="F31" s="78">
        <f>SUMIFS('Diario Adm'!$E:$E,'Diario Adm'!$B:$B,F$4,'Diario Adm'!$C:$C,$A31)</f>
        <v>907010</v>
      </c>
      <c r="G31" s="78">
        <f>SUMIFS('Diario Adm'!$E:$E,'Diario Adm'!$B:$B,G$4,'Diario Adm'!$C:$C,$A31)</f>
        <v>907706</v>
      </c>
      <c r="H31" s="78">
        <f>SUMIFS('Diario Adm'!$E:$E,'Diario Adm'!$B:$B,H$4,'Diario Adm'!$C:$C,$A31)</f>
        <v>908269</v>
      </c>
      <c r="I31" s="78">
        <f>SUMIFS('Diario Adm'!$E:$E,'Diario Adm'!$B:$B,I$4,'Diario Adm'!$C:$C,$A31)</f>
        <v>910865</v>
      </c>
      <c r="J31" s="78">
        <f>SUMIFS('Diario Adm'!$E:$E,'Diario Adm'!$B:$B,J$4,'Diario Adm'!$C:$C,$A31)</f>
        <v>911915</v>
      </c>
      <c r="K31" s="78">
        <f>SUMIFS('Diario Adm'!$E:$E,'Diario Adm'!$B:$B,K$4,'Diario Adm'!$C:$C,$A31)</f>
        <v>912822</v>
      </c>
      <c r="L31" s="78">
        <f>SUMIFS('Diario Adm'!$E:$E,'Diario Adm'!$B:$B,L$4,'Diario Adm'!$C:$C,$A31)</f>
        <v>914490</v>
      </c>
      <c r="M31" s="78">
        <f>SUMIFS('Diario Adm'!$E:$E,'Diario Adm'!$B:$B,M$4,'Diario Adm'!$C:$C,$A31)</f>
        <v>913611</v>
      </c>
      <c r="N31" s="78">
        <f>SUMIFS('Diario Adm'!$E:$E,'Diario Adm'!$B:$B,N$4,'Diario Adm'!$C:$C,$A31)</f>
        <v>914939</v>
      </c>
      <c r="O31" s="55" t="s">
        <v>48</v>
      </c>
      <c r="P31" s="145">
        <f t="shared" si="3"/>
        <v>10927836</v>
      </c>
    </row>
    <row r="32" spans="1:19" ht="14.95" hidden="1" customHeight="1" x14ac:dyDescent="0.25">
      <c r="A32" s="174">
        <v>9012</v>
      </c>
      <c r="B32" s="190" t="str">
        <f>VLOOKUP(A32,Plan!A:B,2,0)</f>
        <v>Sueldo Nana</v>
      </c>
      <c r="C32" s="78">
        <f>SUMIFS('Diario Adm'!$E:$E,'Diario Adm'!$B:$B,C$4,'Diario Adm'!$C:$C,$A32)</f>
        <v>0</v>
      </c>
      <c r="D32" s="78">
        <f>SUMIFS('Diario Adm'!$E:$E,'Diario Adm'!$B:$B,D$4,'Diario Adm'!$C:$C,$A32)</f>
        <v>0</v>
      </c>
      <c r="E32" s="78">
        <f>SUMIFS('Diario Adm'!$E:$E,'Diario Adm'!$B:$B,E$4,'Diario Adm'!$C:$C,$A32)</f>
        <v>0</v>
      </c>
      <c r="F32" s="78">
        <f>SUMIFS('Diario Adm'!$E:$E,'Diario Adm'!$B:$B,F$4,'Diario Adm'!$C:$C,$A32)</f>
        <v>0</v>
      </c>
      <c r="G32" s="78">
        <f>SUMIFS('Diario Adm'!$E:$E,'Diario Adm'!$B:$B,G$4,'Diario Adm'!$C:$C,$A32)</f>
        <v>0</v>
      </c>
      <c r="H32" s="78">
        <f>SUMIFS('Diario Adm'!$E:$E,'Diario Adm'!$B:$B,H$4,'Diario Adm'!$C:$C,$A32)</f>
        <v>0</v>
      </c>
      <c r="I32" s="78">
        <f>SUMIFS('Diario Adm'!$E:$E,'Diario Adm'!$B:$B,I$4,'Diario Adm'!$C:$C,$A32)</f>
        <v>0</v>
      </c>
      <c r="J32" s="78">
        <f>SUMIFS('Diario Adm'!$E:$E,'Diario Adm'!$B:$B,J$4,'Diario Adm'!$C:$C,$A32)</f>
        <v>0</v>
      </c>
      <c r="K32" s="78">
        <f>SUMIFS('Diario Adm'!$E:$E,'Diario Adm'!$B:$B,K$4,'Diario Adm'!$C:$C,$A32)</f>
        <v>0</v>
      </c>
      <c r="L32" s="78">
        <f>SUMIFS('Diario Adm'!$E:$E,'Diario Adm'!$B:$B,L$4,'Diario Adm'!$C:$C,$A32)</f>
        <v>0</v>
      </c>
      <c r="M32" s="78">
        <f>SUMIFS('Diario Adm'!$E:$E,'Diario Adm'!$B:$B,M$4,'Diario Adm'!$C:$C,$A32)</f>
        <v>0</v>
      </c>
      <c r="N32" s="78">
        <f>SUMIFS('Diario Adm'!$E:$E,'Diario Adm'!$B:$B,N$4,'Diario Adm'!$C:$C,$A32)</f>
        <v>0</v>
      </c>
      <c r="O32" s="55" t="s">
        <v>48</v>
      </c>
      <c r="P32" s="145">
        <f t="shared" si="3"/>
        <v>0</v>
      </c>
    </row>
    <row r="33" spans="1:17" ht="14.95" hidden="1" customHeight="1" x14ac:dyDescent="0.25">
      <c r="A33" s="174">
        <v>9013</v>
      </c>
      <c r="B33" s="190" t="str">
        <f>VLOOKUP(A33,Plan!A:B,2,0)</f>
        <v>Sueldo Jardinero</v>
      </c>
      <c r="C33" s="78">
        <f>SUMIFS('Diario Adm'!$E:$E,'Diario Adm'!$B:$B,C$4,'Diario Adm'!$C:$C,$A33)</f>
        <v>0</v>
      </c>
      <c r="D33" s="78">
        <f>SUMIFS('Diario Adm'!$E:$E,'Diario Adm'!$B:$B,D$4,'Diario Adm'!$C:$C,$A33)</f>
        <v>0</v>
      </c>
      <c r="E33" s="78">
        <f>SUMIFS('Diario Adm'!$E:$E,'Diario Adm'!$B:$B,E$4,'Diario Adm'!$C:$C,$A33)</f>
        <v>0</v>
      </c>
      <c r="F33" s="78">
        <f>SUMIFS('Diario Adm'!$E:$E,'Diario Adm'!$B:$B,F$4,'Diario Adm'!$C:$C,$A33)</f>
        <v>0</v>
      </c>
      <c r="G33" s="78">
        <f>SUMIFS('Diario Adm'!$E:$E,'Diario Adm'!$B:$B,G$4,'Diario Adm'!$C:$C,$A33)</f>
        <v>0</v>
      </c>
      <c r="H33" s="78">
        <f>SUMIFS('Diario Adm'!$E:$E,'Diario Adm'!$B:$B,H$4,'Diario Adm'!$C:$C,$A33)</f>
        <v>0</v>
      </c>
      <c r="I33" s="78">
        <f>SUMIFS('Diario Adm'!$E:$E,'Diario Adm'!$B:$B,I$4,'Diario Adm'!$C:$C,$A33)</f>
        <v>0</v>
      </c>
      <c r="J33" s="78">
        <f>SUMIFS('Diario Adm'!$E:$E,'Diario Adm'!$B:$B,J$4,'Diario Adm'!$C:$C,$A33)</f>
        <v>0</v>
      </c>
      <c r="K33" s="78">
        <f>SUMIFS('Diario Adm'!$E:$E,'Diario Adm'!$B:$B,K$4,'Diario Adm'!$C:$C,$A33)</f>
        <v>0</v>
      </c>
      <c r="L33" s="78">
        <f>SUMIFS('Diario Adm'!$E:$E,'Diario Adm'!$B:$B,L$4,'Diario Adm'!$C:$C,$A33)</f>
        <v>0</v>
      </c>
      <c r="M33" s="78">
        <f>SUMIFS('Diario Adm'!$E:$E,'Diario Adm'!$B:$B,M$4,'Diario Adm'!$C:$C,$A33)</f>
        <v>0</v>
      </c>
      <c r="N33" s="78">
        <f>SUMIFS('Diario Adm'!$E:$E,'Diario Adm'!$B:$B,N$4,'Diario Adm'!$C:$C,$A33)</f>
        <v>0</v>
      </c>
      <c r="O33" s="55" t="s">
        <v>48</v>
      </c>
      <c r="P33" s="145">
        <f t="shared" si="3"/>
        <v>0</v>
      </c>
    </row>
    <row r="34" spans="1:17" ht="14.95" hidden="1" customHeight="1" x14ac:dyDescent="0.25">
      <c r="A34" s="162">
        <v>4220</v>
      </c>
      <c r="B34" s="190" t="str">
        <f>VLOOKUP(A34,Plan!A:B,2,0)</f>
        <v>Honorarios</v>
      </c>
      <c r="C34" s="78">
        <f>SUMIFS('Diario Adm'!$E:$E,'Diario Adm'!$B:$B,C$4,'Diario Adm'!$C:$C,$A34)</f>
        <v>0</v>
      </c>
      <c r="D34" s="78">
        <f>SUMIFS('Diario Adm'!$E:$E,'Diario Adm'!$B:$B,D$4,'Diario Adm'!$C:$C,$A34)</f>
        <v>0</v>
      </c>
      <c r="E34" s="78">
        <f>SUMIFS('Diario Adm'!$E:$E,'Diario Adm'!$B:$B,E$4,'Diario Adm'!$C:$C,$A34)</f>
        <v>0</v>
      </c>
      <c r="F34" s="78">
        <f>SUMIFS('Diario Adm'!$E:$E,'Diario Adm'!$B:$B,F$4,'Diario Adm'!$C:$C,$A34)</f>
        <v>0</v>
      </c>
      <c r="G34" s="78">
        <f>SUMIFS('Diario Adm'!$E:$E,'Diario Adm'!$B:$B,G$4,'Diario Adm'!$C:$C,$A34)</f>
        <v>0</v>
      </c>
      <c r="H34" s="78">
        <f>SUMIFS('Diario Adm'!$E:$E,'Diario Adm'!$B:$B,H$4,'Diario Adm'!$C:$C,$A34)</f>
        <v>0</v>
      </c>
      <c r="I34" s="78">
        <f>SUMIFS('Diario Adm'!$E:$E,'Diario Adm'!$B:$B,I$4,'Diario Adm'!$C:$C,$A34)</f>
        <v>0</v>
      </c>
      <c r="J34" s="78">
        <f>SUMIFS('Diario Adm'!$E:$E,'Diario Adm'!$B:$B,J$4,'Diario Adm'!$C:$C,$A34)</f>
        <v>0</v>
      </c>
      <c r="K34" s="78">
        <f>SUMIFS('Diario Adm'!$E:$E,'Diario Adm'!$B:$B,K$4,'Diario Adm'!$C:$C,$A34)</f>
        <v>0</v>
      </c>
      <c r="L34" s="78">
        <f>SUMIFS('Diario Adm'!$E:$E,'Diario Adm'!$B:$B,L$4,'Diario Adm'!$C:$C,$A34)</f>
        <v>0</v>
      </c>
      <c r="M34" s="78">
        <f>SUMIFS('Diario Adm'!$E:$E,'Diario Adm'!$B:$B,M$4,'Diario Adm'!$C:$C,$A34)</f>
        <v>0</v>
      </c>
      <c r="N34" s="78">
        <f>SUMIFS('Diario Adm'!$E:$E,'Diario Adm'!$B:$B,N$4,'Diario Adm'!$C:$C,$A34)</f>
        <v>0</v>
      </c>
      <c r="O34" s="55" t="s">
        <v>48</v>
      </c>
      <c r="P34" s="145">
        <f t="shared" si="3"/>
        <v>0</v>
      </c>
    </row>
    <row r="35" spans="1:17" ht="14.95" customHeight="1" x14ac:dyDescent="0.25">
      <c r="A35" s="174">
        <v>4221</v>
      </c>
      <c r="B35" s="190" t="str">
        <f>VLOOKUP(A35,Plan!A:B,2,0)</f>
        <v xml:space="preserve">          Contables-Administración</v>
      </c>
      <c r="C35" s="78">
        <f>SUMIFS('Diario Adm'!$E:$E,'Diario Adm'!$B:$B,C$4,'Diario Adm'!$C:$C,$A35)</f>
        <v>0</v>
      </c>
      <c r="D35" s="78">
        <f>SUMIFS('Diario Adm'!$E:$E,'Diario Adm'!$B:$B,D$4,'Diario Adm'!$C:$C,$A35)</f>
        <v>0</v>
      </c>
      <c r="E35" s="78">
        <f>SUMIFS('Diario Adm'!$E:$E,'Diario Adm'!$B:$B,E$4,'Diario Adm'!$C:$C,$A35)</f>
        <v>0</v>
      </c>
      <c r="F35" s="78">
        <f>SUMIFS('Diario Adm'!$E:$E,'Diario Adm'!$B:$B,F$4,'Diario Adm'!$C:$C,$A35)</f>
        <v>0</v>
      </c>
      <c r="G35" s="78">
        <f>SUMIFS('Diario Adm'!$E:$E,'Diario Adm'!$B:$B,G$4,'Diario Adm'!$C:$C,$A35)</f>
        <v>0</v>
      </c>
      <c r="H35" s="78">
        <f>SUMIFS('Diario Adm'!$E:$E,'Diario Adm'!$B:$B,H$4,'Diario Adm'!$C:$C,$A35)</f>
        <v>0</v>
      </c>
      <c r="I35" s="78">
        <f>SUMIFS('Diario Adm'!$E:$E,'Diario Adm'!$B:$B,I$4,'Diario Adm'!$C:$C,$A35)</f>
        <v>0</v>
      </c>
      <c r="J35" s="78">
        <f>SUMIFS('Diario Adm'!$E:$E,'Diario Adm'!$B:$B,J$4,'Diario Adm'!$C:$C,$A35)</f>
        <v>0</v>
      </c>
      <c r="K35" s="78">
        <f>SUMIFS('Diario Adm'!$E:$E,'Diario Adm'!$B:$B,K$4,'Diario Adm'!$C:$C,$A35)</f>
        <v>0</v>
      </c>
      <c r="L35" s="78">
        <f>SUMIFS('Diario Adm'!$E:$E,'Diario Adm'!$B:$B,L$4,'Diario Adm'!$C:$C,$A35)</f>
        <v>0</v>
      </c>
      <c r="M35" s="78">
        <f>SUMIFS('Diario Adm'!$E:$E,'Diario Adm'!$B:$B,M$4,'Diario Adm'!$C:$C,$A35)</f>
        <v>1800000</v>
      </c>
      <c r="N35" s="78">
        <f>SUMIFS('Diario Adm'!$E:$E,'Diario Adm'!$B:$B,N$4,'Diario Adm'!$C:$C,$A35)</f>
        <v>1500000</v>
      </c>
      <c r="O35" s="55" t="s">
        <v>48</v>
      </c>
      <c r="P35" s="145">
        <f t="shared" si="3"/>
        <v>3300000</v>
      </c>
    </row>
    <row r="36" spans="1:17" ht="14.95" customHeight="1" x14ac:dyDescent="0.25">
      <c r="A36" s="174">
        <v>4223</v>
      </c>
      <c r="B36" s="190" t="str">
        <f>VLOOKUP(A36,Plan!A:B,2,0)</f>
        <v xml:space="preserve">         Comunicaciones</v>
      </c>
      <c r="C36" s="78">
        <f>SUMIFS('Diario Adm'!$E:$E,'Diario Adm'!$B:$B,C$4,'Diario Adm'!$C:$C,$A36)</f>
        <v>672268</v>
      </c>
      <c r="D36" s="78">
        <f>SUMIFS('Diario Adm'!$E:$E,'Diario Adm'!$B:$B,D$4,'Diario Adm'!$C:$C,$A36)</f>
        <v>338983</v>
      </c>
      <c r="E36" s="78">
        <f>SUMIFS('Diario Adm'!$E:$E,'Diario Adm'!$B:$B,E$4,'Diario Adm'!$C:$C,$A36)</f>
        <v>338983</v>
      </c>
      <c r="F36" s="78">
        <f>SUMIFS('Diario Adm'!$E:$E,'Diario Adm'!$B:$B,F$4,'Diario Adm'!$C:$C,$A36)</f>
        <v>338983</v>
      </c>
      <c r="G36" s="78">
        <f>SUMIFS('Diario Adm'!$E:$E,'Diario Adm'!$B:$B,G$4,'Diario Adm'!$C:$C,$A36)</f>
        <v>338983</v>
      </c>
      <c r="H36" s="78">
        <f>SUMIFS('Diario Adm'!$E:$E,'Diario Adm'!$B:$B,H$4,'Diario Adm'!$C:$C,$A36)</f>
        <v>468474</v>
      </c>
      <c r="I36" s="78">
        <f>SUMIFS('Diario Adm'!$E:$E,'Diario Adm'!$B:$B,I$4,'Diario Adm'!$C:$C,$A36)</f>
        <v>903954</v>
      </c>
      <c r="J36" s="78">
        <f>SUMIFS('Diario Adm'!$E:$E,'Diario Adm'!$B:$B,J$4,'Diario Adm'!$C:$C,$A36)</f>
        <v>517427</v>
      </c>
      <c r="K36" s="78">
        <f>SUMIFS('Diario Adm'!$E:$E,'Diario Adm'!$B:$B,K$4,'Diario Adm'!$C:$C,$A36)</f>
        <v>451977</v>
      </c>
      <c r="L36" s="78">
        <f>SUMIFS('Diario Adm'!$E:$E,'Diario Adm'!$B:$B,L$4,'Diario Adm'!$C:$C,$A36)</f>
        <v>551977</v>
      </c>
      <c r="M36" s="78">
        <f>SUMIFS('Diario Adm'!$E:$E,'Diario Adm'!$B:$B,M$4,'Diario Adm'!$C:$C,$A36)</f>
        <v>338983</v>
      </c>
      <c r="N36" s="78">
        <f>SUMIFS('Diario Adm'!$E:$E,'Diario Adm'!$B:$B,N$4,'Diario Adm'!$C:$C,$A36)</f>
        <v>706977</v>
      </c>
      <c r="O36" s="55" t="s">
        <v>48</v>
      </c>
      <c r="P36" s="145">
        <f t="shared" si="3"/>
        <v>5967969</v>
      </c>
    </row>
    <row r="37" spans="1:17" ht="14.95" customHeight="1" x14ac:dyDescent="0.25">
      <c r="A37" s="174">
        <v>4224</v>
      </c>
      <c r="B37" s="190" t="str">
        <f>VLOOKUP(A37,Plan!A:B,2,0)</f>
        <v xml:space="preserve">         Jardinero</v>
      </c>
      <c r="C37" s="78">
        <f>SUMIFS('Diario Adm'!$E:$E,'Diario Adm'!$B:$B,C$4,'Diario Adm'!$C:$C,$A37)</f>
        <v>96046</v>
      </c>
      <c r="D37" s="78">
        <f>SUMIFS('Diario Adm'!$E:$E,'Diario Adm'!$B:$B,D$4,'Diario Adm'!$C:$C,$A37)</f>
        <v>0</v>
      </c>
      <c r="E37" s="78">
        <f>SUMIFS('Diario Adm'!$E:$E,'Diario Adm'!$B:$B,E$4,'Diario Adm'!$C:$C,$A37)</f>
        <v>0</v>
      </c>
      <c r="F37" s="78">
        <f>SUMIFS('Diario Adm'!$E:$E,'Diario Adm'!$B:$B,F$4,'Diario Adm'!$C:$C,$A37)</f>
        <v>0</v>
      </c>
      <c r="G37" s="78">
        <f>SUMIFS('Diario Adm'!$E:$E,'Diario Adm'!$B:$B,G$4,'Diario Adm'!$C:$C,$A37)</f>
        <v>33898</v>
      </c>
      <c r="H37" s="78">
        <f>SUMIFS('Diario Adm'!$E:$E,'Diario Adm'!$B:$B,H$4,'Diario Adm'!$C:$C,$A37)</f>
        <v>0</v>
      </c>
      <c r="I37" s="78">
        <f>SUMIFS('Diario Adm'!$E:$E,'Diario Adm'!$B:$B,I$4,'Diario Adm'!$C:$C,$A37)</f>
        <v>33898</v>
      </c>
      <c r="J37" s="78">
        <f>SUMIFS('Diario Adm'!$E:$E,'Diario Adm'!$B:$B,J$4,'Diario Adm'!$C:$C,$A37)</f>
        <v>60000</v>
      </c>
      <c r="K37" s="78">
        <f>SUMIFS('Diario Adm'!$E:$E,'Diario Adm'!$B:$B,K$4,'Diario Adm'!$C:$C,$A37)</f>
        <v>33898</v>
      </c>
      <c r="L37" s="78">
        <f>SUMIFS('Diario Adm'!$E:$E,'Diario Adm'!$B:$B,L$4,'Diario Adm'!$C:$C,$A37)</f>
        <v>50847</v>
      </c>
      <c r="M37" s="78">
        <f>SUMIFS('Diario Adm'!$E:$E,'Diario Adm'!$B:$B,M$4,'Diario Adm'!$C:$C,$A37)</f>
        <v>123148</v>
      </c>
      <c r="N37" s="78">
        <f>SUMIFS('Diario Adm'!$E:$E,'Diario Adm'!$B:$B,N$4,'Diario Adm'!$C:$C,$A37)</f>
        <v>16949</v>
      </c>
      <c r="O37" s="55" t="s">
        <v>48</v>
      </c>
      <c r="P37" s="145">
        <f t="shared" si="3"/>
        <v>448684</v>
      </c>
    </row>
    <row r="38" spans="1:17" ht="14.95" customHeight="1" x14ac:dyDescent="0.25">
      <c r="A38" s="162">
        <v>4310</v>
      </c>
      <c r="B38" s="190" t="str">
        <f>VLOOKUP(A38,Plan!A:B,2,0)</f>
        <v>Arriendos / Dividendos</v>
      </c>
      <c r="C38" s="78">
        <f>SUMIFS('Diario Adm'!$E:$E,'Diario Adm'!$B:$B,C$4,'Diario Adm'!$C:$C,$A38)</f>
        <v>793874</v>
      </c>
      <c r="D38" s="78">
        <f>SUMIFS('Diario Adm'!$E:$E,'Diario Adm'!$B:$B,D$4,'Diario Adm'!$C:$C,$A38)</f>
        <v>793874</v>
      </c>
      <c r="E38" s="78">
        <f>SUMIFS('Diario Adm'!$E:$E,'Diario Adm'!$B:$B,E$4,'Diario Adm'!$C:$C,$A38)</f>
        <v>793274</v>
      </c>
      <c r="F38" s="78">
        <f>SUMIFS('Diario Adm'!$E:$E,'Diario Adm'!$B:$B,F$4,'Diario Adm'!$C:$C,$A38)</f>
        <v>802153</v>
      </c>
      <c r="G38" s="78">
        <f>SUMIFS('Diario Adm'!$E:$E,'Diario Adm'!$B:$B,G$4,'Diario Adm'!$C:$C,$A38)</f>
        <v>802153</v>
      </c>
      <c r="H38" s="78">
        <f>SUMIFS('Diario Adm'!$E:$E,'Diario Adm'!$B:$B,H$4,'Diario Adm'!$C:$C,$A38)</f>
        <v>802153</v>
      </c>
      <c r="I38" s="78">
        <f>SUMIFS('Diario Adm'!$E:$E,'Diario Adm'!$B:$B,I$4,'Diario Adm'!$C:$C,$A38)</f>
        <v>810698</v>
      </c>
      <c r="J38" s="78">
        <f>SUMIFS('Diario Adm'!$E:$E,'Diario Adm'!$B:$B,J$4,'Diario Adm'!$C:$C,$A38)</f>
        <v>810698</v>
      </c>
      <c r="K38" s="78">
        <f>SUMIFS('Diario Adm'!$E:$E,'Diario Adm'!$B:$B,K$4,'Diario Adm'!$C:$C,$A38)</f>
        <v>810698</v>
      </c>
      <c r="L38" s="78">
        <f>SUMIFS('Diario Adm'!$E:$E,'Diario Adm'!$B:$B,L$4,'Diario Adm'!$C:$C,$A38)</f>
        <v>821027</v>
      </c>
      <c r="M38" s="78">
        <f>SUMIFS('Diario Adm'!$E:$E,'Diario Adm'!$B:$B,M$4,'Diario Adm'!$C:$C,$A38)</f>
        <v>821027</v>
      </c>
      <c r="N38" s="78">
        <f>SUMIFS('Diario Adm'!$E:$E,'Diario Adm'!$B:$B,N$4,'Diario Adm'!$C:$C,$A38)</f>
        <v>821027</v>
      </c>
      <c r="O38" s="55" t="s">
        <v>48</v>
      </c>
      <c r="P38" s="145">
        <f>SUM(C38:O38)</f>
        <v>9682656</v>
      </c>
    </row>
    <row r="39" spans="1:17" ht="14.95" hidden="1" customHeight="1" x14ac:dyDescent="0.25">
      <c r="A39" s="162">
        <v>4320</v>
      </c>
      <c r="B39" s="190" t="str">
        <f>VLOOKUP(A39,Plan!A:B,2,0)</f>
        <v>Servicios</v>
      </c>
      <c r="C39" s="78">
        <f>SUMIFS('Diario Adm'!$E:$E,'Diario Adm'!$B:$B,C$4,'Diario Adm'!$C:$C,$A39)</f>
        <v>0</v>
      </c>
      <c r="D39" s="78">
        <f>SUMIFS('Diario Adm'!$E:$E,'Diario Adm'!$B:$B,D$4,'Diario Adm'!$C:$C,$A39)</f>
        <v>0</v>
      </c>
      <c r="E39" s="78">
        <f>SUMIFS('Diario Adm'!$E:$E,'Diario Adm'!$B:$B,E$4,'Diario Adm'!$C:$C,$A39)</f>
        <v>0</v>
      </c>
      <c r="F39" s="78">
        <f>SUMIFS('Diario Adm'!$E:$E,'Diario Adm'!$B:$B,F$4,'Diario Adm'!$C:$C,$A39)</f>
        <v>0</v>
      </c>
      <c r="G39" s="78">
        <f>SUMIFS('Diario Adm'!$E:$E,'Diario Adm'!$B:$B,G$4,'Diario Adm'!$C:$C,$A39)</f>
        <v>0</v>
      </c>
      <c r="H39" s="78">
        <f>SUMIFS('Diario Adm'!$E:$E,'Diario Adm'!$B:$B,H$4,'Diario Adm'!$C:$C,$A39)</f>
        <v>0</v>
      </c>
      <c r="I39" s="78">
        <f>SUMIFS('Diario Adm'!$E:$E,'Diario Adm'!$B:$B,I$4,'Diario Adm'!$C:$C,$A39)</f>
        <v>0</v>
      </c>
      <c r="J39" s="78">
        <f>SUMIFS('Diario Adm'!$E:$E,'Diario Adm'!$B:$B,J$4,'Diario Adm'!$C:$C,$A39)</f>
        <v>0</v>
      </c>
      <c r="K39" s="78">
        <f>SUMIFS('Diario Adm'!$E:$E,'Diario Adm'!$B:$B,K$4,'Diario Adm'!$C:$C,$A39)</f>
        <v>0</v>
      </c>
      <c r="L39" s="78">
        <f>SUMIFS('Diario Adm'!$E:$E,'Diario Adm'!$B:$B,L$4,'Diario Adm'!$C:$C,$A39)</f>
        <v>0</v>
      </c>
      <c r="M39" s="78">
        <f>SUMIFS('Diario Adm'!$E:$E,'Diario Adm'!$B:$B,M$4,'Diario Adm'!$C:$C,$A39)</f>
        <v>0</v>
      </c>
      <c r="N39" s="78">
        <f>SUMIFS('Diario Adm'!$E:$E,'Diario Adm'!$B:$B,N$4,'Diario Adm'!$C:$C,$A39)</f>
        <v>0</v>
      </c>
      <c r="O39" s="55"/>
      <c r="P39" s="146">
        <f t="shared" ref="P39:P68" si="4">SUM(C39:N39)</f>
        <v>0</v>
      </c>
    </row>
    <row r="40" spans="1:17" ht="14.95" customHeight="1" x14ac:dyDescent="0.25">
      <c r="A40" s="162">
        <v>4321</v>
      </c>
      <c r="B40" s="190" t="str">
        <f>VLOOKUP(A40,Plan!A:B,2,0)</f>
        <v>Electricidad</v>
      </c>
      <c r="C40" s="78">
        <f>SUMIFS('Diario Adm'!$E:$E,'Diario Adm'!$B:$B,C$4,'Diario Adm'!$C:$C,$A40)</f>
        <v>67557</v>
      </c>
      <c r="D40" s="78">
        <f>SUMIFS('Diario Adm'!$E:$E,'Diario Adm'!$B:$B,D$4,'Diario Adm'!$C:$C,$A40)</f>
        <v>0</v>
      </c>
      <c r="E40" s="78">
        <f>SUMIFS('Diario Adm'!$E:$E,'Diario Adm'!$B:$B,E$4,'Diario Adm'!$C:$C,$A40)</f>
        <v>17907</v>
      </c>
      <c r="F40" s="78">
        <f>SUMIFS('Diario Adm'!$E:$E,'Diario Adm'!$B:$B,F$4,'Diario Adm'!$C:$C,$A40)</f>
        <v>9412</v>
      </c>
      <c r="G40" s="78">
        <f>SUMIFS('Diario Adm'!$E:$E,'Diario Adm'!$B:$B,G$4,'Diario Adm'!$C:$C,$A40)</f>
        <v>0</v>
      </c>
      <c r="H40" s="78">
        <f>SUMIFS('Diario Adm'!$E:$E,'Diario Adm'!$B:$B,H$4,'Diario Adm'!$C:$C,$A40)</f>
        <v>0</v>
      </c>
      <c r="I40" s="78">
        <f>SUMIFS('Diario Adm'!$E:$E,'Diario Adm'!$B:$B,I$4,'Diario Adm'!$C:$C,$A40)</f>
        <v>0</v>
      </c>
      <c r="J40" s="78">
        <f>SUMIFS('Diario Adm'!$E:$E,'Diario Adm'!$B:$B,J$4,'Diario Adm'!$C:$C,$A40)</f>
        <v>8300</v>
      </c>
      <c r="K40" s="78">
        <f>SUMIFS('Diario Adm'!$E:$E,'Diario Adm'!$B:$B,K$4,'Diario Adm'!$C:$C,$A40)</f>
        <v>0</v>
      </c>
      <c r="L40" s="78">
        <f>SUMIFS('Diario Adm'!$E:$E,'Diario Adm'!$B:$B,L$4,'Diario Adm'!$C:$C,$A40)</f>
        <v>6630</v>
      </c>
      <c r="M40" s="78">
        <f>SUMIFS('Diario Adm'!$E:$E,'Diario Adm'!$B:$B,M$4,'Diario Adm'!$C:$C,$A40)</f>
        <v>9652</v>
      </c>
      <c r="N40" s="78">
        <f>SUMIFS('Diario Adm'!$E:$E,'Diario Adm'!$B:$B,N$4,'Diario Adm'!$C:$C,$A40)</f>
        <v>6504</v>
      </c>
      <c r="O40" s="55"/>
      <c r="P40" s="146">
        <f t="shared" si="4"/>
        <v>125962</v>
      </c>
    </row>
    <row r="41" spans="1:17" ht="14.95" customHeight="1" x14ac:dyDescent="0.25">
      <c r="A41" s="162">
        <v>4322</v>
      </c>
      <c r="B41" s="190" t="str">
        <f>VLOOKUP(A41,Plan!A:B,2,0)</f>
        <v>Agua</v>
      </c>
      <c r="C41" s="78">
        <f>SUMIFS('Diario Adm'!$E:$E,'Diario Adm'!$B:$B,C$4,'Diario Adm'!$C:$C,$A41)</f>
        <v>0</v>
      </c>
      <c r="D41" s="78">
        <f>SUMIFS('Diario Adm'!$E:$E,'Diario Adm'!$B:$B,D$4,'Diario Adm'!$C:$C,$A41)</f>
        <v>57577</v>
      </c>
      <c r="E41" s="78">
        <f>SUMIFS('Diario Adm'!$E:$E,'Diario Adm'!$B:$B,E$4,'Diario Adm'!$C:$C,$A41)</f>
        <v>43012</v>
      </c>
      <c r="F41" s="78">
        <f>SUMIFS('Diario Adm'!$E:$E,'Diario Adm'!$B:$B,F$4,'Diario Adm'!$C:$C,$A41)</f>
        <v>47141</v>
      </c>
      <c r="G41" s="78">
        <f>SUMIFS('Diario Adm'!$E:$E,'Diario Adm'!$B:$B,G$4,'Diario Adm'!$C:$C,$A41)</f>
        <v>52131</v>
      </c>
      <c r="H41" s="78">
        <f>SUMIFS('Diario Adm'!$E:$E,'Diario Adm'!$B:$B,H$4,'Diario Adm'!$C:$C,$A41)</f>
        <v>35633</v>
      </c>
      <c r="I41" s="78">
        <f>SUMIFS('Diario Adm'!$E:$E,'Diario Adm'!$B:$B,I$4,'Diario Adm'!$C:$C,$A41)</f>
        <v>25705</v>
      </c>
      <c r="J41" s="78">
        <f>SUMIFS('Diario Adm'!$E:$E,'Diario Adm'!$B:$B,J$4,'Diario Adm'!$C:$C,$A41)</f>
        <v>8553</v>
      </c>
      <c r="K41" s="78">
        <f>SUMIFS('Diario Adm'!$E:$E,'Diario Adm'!$B:$B,K$4,'Diario Adm'!$C:$C,$A41)</f>
        <v>16377</v>
      </c>
      <c r="L41" s="78">
        <f>SUMIFS('Diario Adm'!$E:$E,'Diario Adm'!$B:$B,L$4,'Diario Adm'!$C:$C,$A41)</f>
        <v>12499</v>
      </c>
      <c r="M41" s="78">
        <f>SUMIFS('Diario Adm'!$E:$E,'Diario Adm'!$B:$B,M$4,'Diario Adm'!$C:$C,$A41)</f>
        <v>26612</v>
      </c>
      <c r="N41" s="78">
        <f>SUMIFS('Diario Adm'!$E:$E,'Diario Adm'!$B:$B,N$4,'Diario Adm'!$C:$C,$A41)</f>
        <v>32317</v>
      </c>
      <c r="O41" s="55"/>
      <c r="P41" s="146">
        <f t="shared" si="4"/>
        <v>357557</v>
      </c>
    </row>
    <row r="42" spans="1:17" ht="14.95" customHeight="1" x14ac:dyDescent="0.25">
      <c r="A42" s="162">
        <v>4323</v>
      </c>
      <c r="B42" s="190" t="str">
        <f>VLOOKUP(A42,Plan!A:B,2,0)</f>
        <v>Telefonía, Internet (VTR, Entel)</v>
      </c>
      <c r="C42" s="78">
        <f>SUMIFS('Diario Adm'!$E:$E,'Diario Adm'!$B:$B,C$4,'Diario Adm'!$C:$C,$A42)</f>
        <v>77259</v>
      </c>
      <c r="D42" s="78">
        <f>SUMIFS('Diario Adm'!$E:$E,'Diario Adm'!$B:$B,D$4,'Diario Adm'!$C:$C,$A42)</f>
        <v>78109</v>
      </c>
      <c r="E42" s="78">
        <f>SUMIFS('Diario Adm'!$E:$E,'Diario Adm'!$B:$B,E$4,'Diario Adm'!$C:$C,$A42)</f>
        <v>58645</v>
      </c>
      <c r="F42" s="78">
        <f>SUMIFS('Diario Adm'!$E:$E,'Diario Adm'!$B:$B,F$4,'Diario Adm'!$C:$C,$A42)</f>
        <v>51645</v>
      </c>
      <c r="G42" s="78">
        <f>SUMIFS('Diario Adm'!$E:$E,'Diario Adm'!$B:$B,G$4,'Diario Adm'!$C:$C,$A42)</f>
        <v>56145</v>
      </c>
      <c r="H42" s="78">
        <f>SUMIFS('Diario Adm'!$E:$E,'Diario Adm'!$B:$B,H$4,'Diario Adm'!$C:$C,$A42)</f>
        <v>56145</v>
      </c>
      <c r="I42" s="78">
        <f>SUMIFS('Diario Adm'!$E:$E,'Diario Adm'!$B:$B,I$4,'Diario Adm'!$C:$C,$A42)</f>
        <v>56145</v>
      </c>
      <c r="J42" s="78">
        <f>SUMIFS('Diario Adm'!$E:$E,'Diario Adm'!$B:$B,J$4,'Diario Adm'!$C:$C,$A42)</f>
        <v>56946</v>
      </c>
      <c r="K42" s="78">
        <f>SUMIFS('Diario Adm'!$E:$E,'Diario Adm'!$B:$B,K$4,'Diario Adm'!$C:$C,$A42)</f>
        <v>56946</v>
      </c>
      <c r="L42" s="78">
        <f>SUMIFS('Diario Adm'!$E:$E,'Diario Adm'!$B:$B,L$4,'Diario Adm'!$C:$C,$A42)</f>
        <v>56946</v>
      </c>
      <c r="M42" s="78">
        <f>SUMIFS('Diario Adm'!$E:$E,'Diario Adm'!$B:$B,M$4,'Diario Adm'!$C:$C,$A42)</f>
        <v>56946</v>
      </c>
      <c r="N42" s="78">
        <f>SUMIFS('Diario Adm'!$E:$E,'Diario Adm'!$B:$B,N$4,'Diario Adm'!$C:$C,$A42)</f>
        <v>56946</v>
      </c>
      <c r="O42" s="55"/>
      <c r="P42" s="146">
        <f t="shared" si="4"/>
        <v>718823</v>
      </c>
    </row>
    <row r="43" spans="1:17" ht="14.95" customHeight="1" x14ac:dyDescent="0.25">
      <c r="A43" s="162">
        <v>4324</v>
      </c>
      <c r="B43" s="190" t="str">
        <f>VLOOKUP(A43,Plan!A:B,2,0)</f>
        <v>Gas</v>
      </c>
      <c r="C43" s="78">
        <f>SUMIFS('Diario Adm'!$E:$E,'Diario Adm'!$B:$B,C$4,'Diario Adm'!$C:$C,$A43)</f>
        <v>2813</v>
      </c>
      <c r="D43" s="78">
        <f>SUMIFS('Diario Adm'!$E:$E,'Diario Adm'!$B:$B,D$4,'Diario Adm'!$C:$C,$A43)</f>
        <v>4195</v>
      </c>
      <c r="E43" s="78">
        <f>SUMIFS('Diario Adm'!$E:$E,'Diario Adm'!$B:$B,E$4,'Diario Adm'!$C:$C,$A43)</f>
        <v>1472</v>
      </c>
      <c r="F43" s="78">
        <f>SUMIFS('Diario Adm'!$E:$E,'Diario Adm'!$B:$B,F$4,'Diario Adm'!$C:$C,$A43)</f>
        <v>1484</v>
      </c>
      <c r="G43" s="78">
        <f>SUMIFS('Diario Adm'!$E:$E,'Diario Adm'!$B:$B,G$4,'Diario Adm'!$C:$C,$A43)</f>
        <v>1501</v>
      </c>
      <c r="H43" s="78">
        <f>SUMIFS('Diario Adm'!$E:$E,'Diario Adm'!$B:$B,H$4,'Diario Adm'!$C:$C,$A43)</f>
        <v>1516</v>
      </c>
      <c r="I43" s="78">
        <f>SUMIFS('Diario Adm'!$E:$E,'Diario Adm'!$B:$B,I$4,'Diario Adm'!$C:$C,$A43)</f>
        <v>8896</v>
      </c>
      <c r="J43" s="78">
        <f>SUMIFS('Diario Adm'!$E:$E,'Diario Adm'!$B:$B,J$4,'Diario Adm'!$C:$C,$A43)</f>
        <v>21582</v>
      </c>
      <c r="K43" s="78">
        <f>SUMIFS('Diario Adm'!$E:$E,'Diario Adm'!$B:$B,K$4,'Diario Adm'!$C:$C,$A43)</f>
        <v>10371</v>
      </c>
      <c r="L43" s="78">
        <f>SUMIFS('Diario Adm'!$E:$E,'Diario Adm'!$B:$B,L$4,'Diario Adm'!$C:$C,$A43)</f>
        <v>13507</v>
      </c>
      <c r="M43" s="78">
        <f>SUMIFS('Diario Adm'!$E:$E,'Diario Adm'!$B:$B,M$4,'Diario Adm'!$C:$C,$A43)</f>
        <v>5141</v>
      </c>
      <c r="N43" s="78">
        <f>SUMIFS('Diario Adm'!$E:$E,'Diario Adm'!$B:$B,N$4,'Diario Adm'!$C:$C,$A43)</f>
        <v>3433</v>
      </c>
      <c r="O43" s="55"/>
      <c r="P43" s="146">
        <f t="shared" si="4"/>
        <v>75911</v>
      </c>
    </row>
    <row r="44" spans="1:17" ht="14.95" customHeight="1" x14ac:dyDescent="0.25">
      <c r="A44" s="162">
        <v>4325</v>
      </c>
      <c r="B44" s="190" t="str">
        <f>VLOOKUP(A44,Plan!A:B,2,0)</f>
        <v>Alarma (ADT)</v>
      </c>
      <c r="C44" s="78">
        <f>SUMIFS('Diario Adm'!$E:$E,'Diario Adm'!$B:$B,C$4,'Diario Adm'!$C:$C,$A44)</f>
        <v>42441</v>
      </c>
      <c r="D44" s="78">
        <f>SUMIFS('Diario Adm'!$E:$E,'Diario Adm'!$B:$B,D$4,'Diario Adm'!$C:$C,$A44)</f>
        <v>42525</v>
      </c>
      <c r="E44" s="78">
        <f>SUMIFS('Diario Adm'!$E:$E,'Diario Adm'!$B:$B,E$4,'Diario Adm'!$C:$C,$A44)</f>
        <v>42770</v>
      </c>
      <c r="F44" s="78">
        <f>SUMIFS('Diario Adm'!$E:$E,'Diario Adm'!$B:$B,F$4,'Diario Adm'!$C:$C,$A44)</f>
        <v>0</v>
      </c>
      <c r="G44" s="78">
        <f>SUMIFS('Diario Adm'!$E:$E,'Diario Adm'!$B:$B,G$4,'Diario Adm'!$C:$C,$A44)</f>
        <v>43067</v>
      </c>
      <c r="H44" s="78">
        <f>SUMIFS('Diario Adm'!$E:$E,'Diario Adm'!$B:$B,H$4,'Diario Adm'!$C:$C,$A44)</f>
        <v>43241</v>
      </c>
      <c r="I44" s="78">
        <f>SUMIFS('Diario Adm'!$E:$E,'Diario Adm'!$B:$B,I$4,'Diario Adm'!$C:$C,$A44)</f>
        <v>43381</v>
      </c>
      <c r="J44" s="78">
        <f>SUMIFS('Diario Adm'!$E:$E,'Diario Adm'!$B:$B,J$4,'Diario Adm'!$C:$C,$A44)</f>
        <v>43448</v>
      </c>
      <c r="K44" s="78">
        <f>SUMIFS('Diario Adm'!$E:$E,'Diario Adm'!$B:$B,K$4,'Diario Adm'!$C:$C,$A44)</f>
        <v>43716</v>
      </c>
      <c r="L44" s="78">
        <f>SUMIFS('Diario Adm'!$E:$E,'Diario Adm'!$B:$B,L$4,'Diario Adm'!$C:$C,$A44)</f>
        <v>43935</v>
      </c>
      <c r="M44" s="78">
        <f>SUMIFS('Diario Adm'!$E:$E,'Diario Adm'!$B:$B,M$4,'Diario Adm'!$C:$C,$A44)</f>
        <v>44373</v>
      </c>
      <c r="N44" s="78">
        <f>SUMIFS('Diario Adm'!$E:$E,'Diario Adm'!$B:$B,N$4,'Diario Adm'!$C:$C,$A44)</f>
        <v>44933</v>
      </c>
      <c r="O44" s="55"/>
      <c r="P44" s="146">
        <f t="shared" si="4"/>
        <v>477830</v>
      </c>
    </row>
    <row r="45" spans="1:17" x14ac:dyDescent="0.25">
      <c r="A45" s="162">
        <v>4326</v>
      </c>
      <c r="B45" s="190" t="str">
        <f>VLOOKUP(A45,Plan!A:B,2,0)</f>
        <v>Seguros</v>
      </c>
      <c r="C45" s="78">
        <f>SUMIFS('Diario Adm'!$E:$E,'Diario Adm'!$B:$B,C$4,'Diario Adm'!$C:$C,$A45)</f>
        <v>49980</v>
      </c>
      <c r="D45" s="78">
        <f>SUMIFS('Diario Adm'!$E:$E,'Diario Adm'!$B:$B,D$4,'Diario Adm'!$C:$C,$A45)</f>
        <v>50253</v>
      </c>
      <c r="E45" s="78">
        <f>SUMIFS('Diario Adm'!$E:$E,'Diario Adm'!$B:$B,E$4,'Diario Adm'!$C:$C,$A45)</f>
        <v>50455</v>
      </c>
      <c r="F45" s="78">
        <f>SUMIFS('Diario Adm'!$E:$E,'Diario Adm'!$B:$B,F$4,'Diario Adm'!$C:$C,$A45)</f>
        <v>42919</v>
      </c>
      <c r="G45" s="78">
        <f>SUMIFS('Diario Adm'!$E:$E,'Diario Adm'!$B:$B,G$4,'Diario Adm'!$C:$C,$A45)</f>
        <v>0</v>
      </c>
      <c r="H45" s="78">
        <f>SUMIFS('Diario Adm'!$E:$E,'Diario Adm'!$B:$B,H$4,'Diario Adm'!$C:$C,$A45)</f>
        <v>0</v>
      </c>
      <c r="I45" s="78">
        <f>SUMIFS('Diario Adm'!$E:$E,'Diario Adm'!$B:$B,I$4,'Diario Adm'!$C:$C,$A45)</f>
        <v>89262</v>
      </c>
      <c r="J45" s="78">
        <f>SUMIFS('Diario Adm'!$E:$E,'Diario Adm'!$B:$B,J$4,'Diario Adm'!$C:$C,$A45)</f>
        <v>51323</v>
      </c>
      <c r="K45" s="78">
        <f>SUMIFS('Diario Adm'!$E:$E,'Diario Adm'!$B:$B,K$4,'Diario Adm'!$C:$C,$A45)</f>
        <v>51645</v>
      </c>
      <c r="L45" s="78">
        <f>SUMIFS('Diario Adm'!$E:$E,'Diario Adm'!$B:$B,L$4,'Diario Adm'!$C:$C,$A45)</f>
        <v>52047</v>
      </c>
      <c r="M45" s="78">
        <f>SUMIFS('Diario Adm'!$E:$E,'Diario Adm'!$B:$B,M$4,'Diario Adm'!$C:$C,$A45)</f>
        <v>52710</v>
      </c>
      <c r="N45" s="78">
        <f>SUMIFS('Diario Adm'!$E:$E,'Diario Adm'!$B:$B,N$4,'Diario Adm'!$C:$C,$A45)</f>
        <v>53183</v>
      </c>
      <c r="O45" s="55"/>
      <c r="P45" s="146">
        <f t="shared" si="4"/>
        <v>543777</v>
      </c>
      <c r="Q45" s="45" t="s">
        <v>2201</v>
      </c>
    </row>
    <row r="46" spans="1:17" ht="14.95" hidden="1" customHeight="1" x14ac:dyDescent="0.25">
      <c r="A46" s="162">
        <v>4327</v>
      </c>
      <c r="B46" s="190" t="str">
        <f>VLOOKUP(A46,Plan!A:B,2,0)</f>
        <v>Sistemas Comp.</v>
      </c>
      <c r="C46" s="78">
        <f>SUMIFS('Diario Adm'!$E:$E,'Diario Adm'!$B:$B,C$4,'Diario Adm'!$C:$C,$A46)</f>
        <v>0</v>
      </c>
      <c r="D46" s="78">
        <f>SUMIFS('Diario Adm'!$E:$E,'Diario Adm'!$B:$B,D$4,'Diario Adm'!$C:$C,$A46)</f>
        <v>0</v>
      </c>
      <c r="E46" s="78">
        <f>SUMIFS('Diario Adm'!$E:$E,'Diario Adm'!$B:$B,E$4,'Diario Adm'!$C:$C,$A46)</f>
        <v>0</v>
      </c>
      <c r="F46" s="78">
        <f>SUMIFS('Diario Adm'!$E:$E,'Diario Adm'!$B:$B,F$4,'Diario Adm'!$C:$C,$A46)</f>
        <v>0</v>
      </c>
      <c r="G46" s="78">
        <f>SUMIFS('Diario Adm'!$E:$E,'Diario Adm'!$B:$B,G$4,'Diario Adm'!$C:$C,$A46)</f>
        <v>0</v>
      </c>
      <c r="H46" s="78">
        <f>SUMIFS('Diario Adm'!$E:$E,'Diario Adm'!$B:$B,H$4,'Diario Adm'!$C:$C,$A46)</f>
        <v>0</v>
      </c>
      <c r="I46" s="78">
        <f>SUMIFS('Diario Adm'!$E:$E,'Diario Adm'!$B:$B,I$4,'Diario Adm'!$C:$C,$A46)</f>
        <v>0</v>
      </c>
      <c r="J46" s="78">
        <f>SUMIFS('Diario Adm'!$E:$E,'Diario Adm'!$B:$B,J$4,'Diario Adm'!$C:$C,$A46)</f>
        <v>0</v>
      </c>
      <c r="K46" s="78">
        <f>SUMIFS('Diario Adm'!$E:$E,'Diario Adm'!$B:$B,K$4,'Diario Adm'!$C:$C,$A46)</f>
        <v>0</v>
      </c>
      <c r="L46" s="78">
        <f>SUMIFS('Diario Adm'!$E:$E,'Diario Adm'!$B:$B,L$4,'Diario Adm'!$C:$C,$A46)</f>
        <v>0</v>
      </c>
      <c r="M46" s="78">
        <f>SUMIFS('Diario Adm'!$E:$E,'Diario Adm'!$B:$B,M$4,'Diario Adm'!$C:$C,$A46)</f>
        <v>0</v>
      </c>
      <c r="N46" s="78">
        <f>SUMIFS('Diario Adm'!$E:$E,'Diario Adm'!$B:$B,N$4,'Diario Adm'!$C:$C,$A46)</f>
        <v>0</v>
      </c>
      <c r="O46" s="55"/>
      <c r="P46" s="146">
        <f t="shared" si="4"/>
        <v>0</v>
      </c>
    </row>
    <row r="47" spans="1:17" ht="14.95" hidden="1" customHeight="1" x14ac:dyDescent="0.25">
      <c r="A47" s="162">
        <v>4330</v>
      </c>
      <c r="B47" s="190" t="str">
        <f>VLOOKUP(A47,Plan!A:B,2,0)</f>
        <v>Correo</v>
      </c>
      <c r="C47" s="78">
        <f>SUMIFS('Diario Adm'!$E:$E,'Diario Adm'!$B:$B,C$4,'Diario Adm'!$C:$C,$A47)</f>
        <v>0</v>
      </c>
      <c r="D47" s="78">
        <f>SUMIFS('Diario Adm'!$E:$E,'Diario Adm'!$B:$B,D$4,'Diario Adm'!$C:$C,$A47)</f>
        <v>0</v>
      </c>
      <c r="E47" s="78">
        <f>SUMIFS('Diario Adm'!$E:$E,'Diario Adm'!$B:$B,E$4,'Diario Adm'!$C:$C,$A47)</f>
        <v>0</v>
      </c>
      <c r="F47" s="78">
        <f>SUMIFS('Diario Adm'!$E:$E,'Diario Adm'!$B:$B,F$4,'Diario Adm'!$C:$C,$A47)</f>
        <v>0</v>
      </c>
      <c r="G47" s="78">
        <f>SUMIFS('Diario Adm'!$E:$E,'Diario Adm'!$B:$B,G$4,'Diario Adm'!$C:$C,$A47)</f>
        <v>0</v>
      </c>
      <c r="H47" s="78">
        <f>SUMIFS('Diario Adm'!$E:$E,'Diario Adm'!$B:$B,H$4,'Diario Adm'!$C:$C,$A47)</f>
        <v>0</v>
      </c>
      <c r="I47" s="78">
        <f>SUMIFS('Diario Adm'!$E:$E,'Diario Adm'!$B:$B,I$4,'Diario Adm'!$C:$C,$A47)</f>
        <v>0</v>
      </c>
      <c r="J47" s="78">
        <f>SUMIFS('Diario Adm'!$E:$E,'Diario Adm'!$B:$B,J$4,'Diario Adm'!$C:$C,$A47)</f>
        <v>0</v>
      </c>
      <c r="K47" s="78">
        <f>SUMIFS('Diario Adm'!$E:$E,'Diario Adm'!$B:$B,K$4,'Diario Adm'!$C:$C,$A47)</f>
        <v>0</v>
      </c>
      <c r="L47" s="78">
        <f>SUMIFS('Diario Adm'!$E:$E,'Diario Adm'!$B:$B,L$4,'Diario Adm'!$C:$C,$A47)</f>
        <v>0</v>
      </c>
      <c r="M47" s="78">
        <f>SUMIFS('Diario Adm'!$E:$E,'Diario Adm'!$B:$B,M$4,'Diario Adm'!$C:$C,$A47)</f>
        <v>0</v>
      </c>
      <c r="N47" s="78">
        <f>SUMIFS('Diario Adm'!$E:$E,'Diario Adm'!$B:$B,N$4,'Diario Adm'!$C:$C,$A47)</f>
        <v>0</v>
      </c>
      <c r="O47" s="55"/>
      <c r="P47" s="146">
        <f t="shared" si="4"/>
        <v>0</v>
      </c>
    </row>
    <row r="48" spans="1:17" ht="14.95" hidden="1" customHeight="1" x14ac:dyDescent="0.25">
      <c r="A48" s="162">
        <v>4332</v>
      </c>
      <c r="B48" s="190" t="str">
        <f>VLOOKUP(A48,Plan!A:B,2,0)</f>
        <v>Oficina</v>
      </c>
      <c r="C48" s="78">
        <f>SUMIFS('Diario Adm'!$E:$E,'Diario Adm'!$B:$B,C$4,'Diario Adm'!$C:$C,$A48)</f>
        <v>0</v>
      </c>
      <c r="D48" s="78">
        <f>SUMIFS('Diario Adm'!$E:$E,'Diario Adm'!$B:$B,D$4,'Diario Adm'!$C:$C,$A48)</f>
        <v>0</v>
      </c>
      <c r="E48" s="78">
        <f>SUMIFS('Diario Adm'!$E:$E,'Diario Adm'!$B:$B,E$4,'Diario Adm'!$C:$C,$A48)</f>
        <v>0</v>
      </c>
      <c r="F48" s="78">
        <f>SUMIFS('Diario Adm'!$E:$E,'Diario Adm'!$B:$B,F$4,'Diario Adm'!$C:$C,$A48)</f>
        <v>0</v>
      </c>
      <c r="G48" s="78">
        <f>SUMIFS('Diario Adm'!$E:$E,'Diario Adm'!$B:$B,G$4,'Diario Adm'!$C:$C,$A48)</f>
        <v>0</v>
      </c>
      <c r="H48" s="78">
        <f>SUMIFS('Diario Adm'!$E:$E,'Diario Adm'!$B:$B,H$4,'Diario Adm'!$C:$C,$A48)</f>
        <v>0</v>
      </c>
      <c r="I48" s="78">
        <f>SUMIFS('Diario Adm'!$E:$E,'Diario Adm'!$B:$B,I$4,'Diario Adm'!$C:$C,$A48)</f>
        <v>0</v>
      </c>
      <c r="J48" s="78">
        <f>SUMIFS('Diario Adm'!$E:$E,'Diario Adm'!$B:$B,J$4,'Diario Adm'!$C:$C,$A48)</f>
        <v>0</v>
      </c>
      <c r="K48" s="78">
        <f>SUMIFS('Diario Adm'!$E:$E,'Diario Adm'!$B:$B,K$4,'Diario Adm'!$C:$C,$A48)</f>
        <v>0</v>
      </c>
      <c r="L48" s="78">
        <f>SUMIFS('Diario Adm'!$E:$E,'Diario Adm'!$B:$B,L$4,'Diario Adm'!$C:$C,$A48)</f>
        <v>0</v>
      </c>
      <c r="M48" s="78">
        <f>SUMIFS('Diario Adm'!$E:$E,'Diario Adm'!$B:$B,M$4,'Diario Adm'!$C:$C,$A48)</f>
        <v>0</v>
      </c>
      <c r="N48" s="78">
        <f>SUMIFS('Diario Adm'!$E:$E,'Diario Adm'!$B:$B,N$4,'Diario Adm'!$C:$C,$A48)</f>
        <v>0</v>
      </c>
      <c r="O48" s="55"/>
      <c r="P48" s="146">
        <f t="shared" si="4"/>
        <v>0</v>
      </c>
    </row>
    <row r="49" spans="1:16" s="387" customFormat="1" ht="14.95" customHeight="1" x14ac:dyDescent="0.25">
      <c r="A49" s="367">
        <v>4340</v>
      </c>
      <c r="B49" s="388" t="str">
        <f>VLOOKUP(A49,Plan!A:B,2,0)</f>
        <v>Caja Chica</v>
      </c>
      <c r="C49" s="78">
        <f>SUMIFS('Diario Adm'!$E:$E,'Diario Adm'!$B:$B,C$4,'Diario Adm'!$C:$C,$A49)</f>
        <v>0</v>
      </c>
      <c r="D49" s="78">
        <f>SUMIFS('Diario Adm'!$E:$E,'Diario Adm'!$B:$B,D$4,'Diario Adm'!$C:$C,$A49)</f>
        <v>55360</v>
      </c>
      <c r="E49" s="78">
        <f>SUMIFS('Diario Adm'!$E:$E,'Diario Adm'!$B:$B,E$4,'Diario Adm'!$C:$C,$A49)</f>
        <v>234988</v>
      </c>
      <c r="F49" s="78">
        <f>SUMIFS('Diario Adm'!$E:$E,'Diario Adm'!$B:$B,F$4,'Diario Adm'!$C:$C,$A49)</f>
        <v>57440</v>
      </c>
      <c r="G49" s="78">
        <f>SUMIFS('Diario Adm'!$E:$E,'Diario Adm'!$B:$B,G$4,'Diario Adm'!$C:$C,$A49)</f>
        <v>0</v>
      </c>
      <c r="H49" s="78">
        <f>SUMIFS('Diario Adm'!$E:$E,'Diario Adm'!$B:$B,H$4,'Diario Adm'!$C:$C,$A49)</f>
        <v>0</v>
      </c>
      <c r="I49" s="548">
        <f>SUMIFS('Diario Adm'!$E:$E,'Diario Adm'!$B:$B,I$4,'Diario Adm'!$C:$C,$A49)</f>
        <v>241768</v>
      </c>
      <c r="J49" s="548">
        <f>SUMIFS('Diario Adm'!$E:$E,'Diario Adm'!$B:$B,J$4,'Diario Adm'!$C:$C,$A49)</f>
        <v>0</v>
      </c>
      <c r="K49" s="548">
        <f>SUMIFS('Diario Adm'!$E:$E,'Diario Adm'!$B:$B,K$4,'Diario Adm'!$C:$C,$A49)</f>
        <v>234444</v>
      </c>
      <c r="L49" s="548">
        <f>SUMIFS('Diario Adm'!$E:$E,'Diario Adm'!$B:$B,L$4,'Diario Adm'!$C:$C,$A49)</f>
        <v>0</v>
      </c>
      <c r="M49" s="548">
        <f>SUMIFS('Diario Adm'!$E:$E,'Diario Adm'!$B:$B,M$4,'Diario Adm'!$C:$C,$A49)</f>
        <v>242565</v>
      </c>
      <c r="N49" s="548">
        <f>SUMIFS('Diario Adm'!$E:$E,'Diario Adm'!$B:$B,N$4,'Diario Adm'!$C:$C,$A49)</f>
        <v>259008</v>
      </c>
      <c r="O49" s="393"/>
      <c r="P49" s="205">
        <f t="shared" si="4"/>
        <v>1325573</v>
      </c>
    </row>
    <row r="50" spans="1:16" ht="14.95" hidden="1" customHeight="1" x14ac:dyDescent="0.25">
      <c r="A50" s="162">
        <v>4350</v>
      </c>
      <c r="B50" s="190" t="str">
        <f>VLOOKUP(A50,Plan!A:B,2,0)</f>
        <v>Reuniones</v>
      </c>
      <c r="C50" s="78">
        <f>SUMIFS('Diario Adm'!$E:$E,'Diario Adm'!$B:$B,C$4,'Diario Adm'!$C:$C,$A50)</f>
        <v>0</v>
      </c>
      <c r="D50" s="78">
        <f>SUMIFS('Diario Adm'!$E:$E,'Diario Adm'!$B:$B,D$4,'Diario Adm'!$C:$C,$A50)</f>
        <v>0</v>
      </c>
      <c r="E50" s="78">
        <f>SUMIFS('Diario Adm'!$E:$E,'Diario Adm'!$B:$B,E$4,'Diario Adm'!$C:$C,$A50)</f>
        <v>0</v>
      </c>
      <c r="F50" s="78">
        <f>SUMIFS('Diario Adm'!$E:$E,'Diario Adm'!$B:$B,F$4,'Diario Adm'!$C:$C,$A50)</f>
        <v>0</v>
      </c>
      <c r="G50" s="78">
        <f>SUMIFS('Diario Adm'!$E:$E,'Diario Adm'!$B:$B,G$4,'Diario Adm'!$C:$C,$A50)</f>
        <v>0</v>
      </c>
      <c r="H50" s="78">
        <f>SUMIFS('Diario Adm'!$E:$E,'Diario Adm'!$B:$B,H$4,'Diario Adm'!$C:$C,$A50)</f>
        <v>0</v>
      </c>
      <c r="I50" s="78">
        <f>SUMIFS('Diario Adm'!$E:$E,'Diario Adm'!$B:$B,I$4,'Diario Adm'!$C:$C,$A50)</f>
        <v>0</v>
      </c>
      <c r="J50" s="78">
        <f>SUMIFS('Diario Adm'!$E:$E,'Diario Adm'!$B:$B,J$4,'Diario Adm'!$C:$C,$A50)</f>
        <v>0</v>
      </c>
      <c r="K50" s="78">
        <f>SUMIFS('Diario Adm'!$E:$E,'Diario Adm'!$B:$B,K$4,'Diario Adm'!$C:$C,$A50)</f>
        <v>0</v>
      </c>
      <c r="L50" s="78">
        <f>SUMIFS('Diario Adm'!$E:$E,'Diario Adm'!$B:$B,L$4,'Diario Adm'!$C:$C,$A50)</f>
        <v>0</v>
      </c>
      <c r="M50" s="78">
        <f>SUMIFS('Diario Adm'!$E:$E,'Diario Adm'!$B:$B,M$4,'Diario Adm'!$C:$C,$A50)</f>
        <v>0</v>
      </c>
      <c r="N50" s="78">
        <f>SUMIFS('Diario Adm'!$E:$E,'Diario Adm'!$B:$B,N$4,'Diario Adm'!$C:$C,$A50)</f>
        <v>0</v>
      </c>
      <c r="O50" s="55"/>
      <c r="P50" s="146">
        <f t="shared" si="4"/>
        <v>0</v>
      </c>
    </row>
    <row r="51" spans="1:16" ht="14.95" hidden="1" customHeight="1" x14ac:dyDescent="0.25">
      <c r="A51" s="162">
        <v>4361</v>
      </c>
      <c r="B51" s="190" t="str">
        <f>VLOOKUP(A51,Plan!A:B,2,0)</f>
        <v>Vacaciones</v>
      </c>
      <c r="C51" s="78">
        <f>SUMIFS('Diario Adm'!$E:$E,'Diario Adm'!$B:$B,C$4,'Diario Adm'!$C:$C,$A51)</f>
        <v>0</v>
      </c>
      <c r="D51" s="78">
        <f>SUMIFS('Diario Adm'!$E:$E,'Diario Adm'!$B:$B,D$4,'Diario Adm'!$C:$C,$A51)</f>
        <v>0</v>
      </c>
      <c r="E51" s="78">
        <f>SUMIFS('Diario Adm'!$E:$E,'Diario Adm'!$B:$B,E$4,'Diario Adm'!$C:$C,$A51)</f>
        <v>0</v>
      </c>
      <c r="F51" s="78">
        <f>SUMIFS('Diario Adm'!$E:$E,'Diario Adm'!$B:$B,F$4,'Diario Adm'!$C:$C,$A51)</f>
        <v>0</v>
      </c>
      <c r="G51" s="78">
        <f>SUMIFS('Diario Adm'!$E:$E,'Diario Adm'!$B:$B,G$4,'Diario Adm'!$C:$C,$A51)</f>
        <v>0</v>
      </c>
      <c r="H51" s="78">
        <f>SUMIFS('Diario Adm'!$E:$E,'Diario Adm'!$B:$B,H$4,'Diario Adm'!$C:$C,$A51)</f>
        <v>0</v>
      </c>
      <c r="I51" s="78">
        <f>SUMIFS('Diario Adm'!$E:$E,'Diario Adm'!$B:$B,I$4,'Diario Adm'!$C:$C,$A51)</f>
        <v>0</v>
      </c>
      <c r="J51" s="78">
        <f>SUMIFS('Diario Adm'!$E:$E,'Diario Adm'!$B:$B,J$4,'Diario Adm'!$C:$C,$A51)</f>
        <v>0</v>
      </c>
      <c r="K51" s="78">
        <f>SUMIFS('Diario Adm'!$E:$E,'Diario Adm'!$B:$B,K$4,'Diario Adm'!$C:$C,$A51)</f>
        <v>0</v>
      </c>
      <c r="L51" s="78">
        <f>SUMIFS('Diario Adm'!$E:$E,'Diario Adm'!$B:$B,L$4,'Diario Adm'!$C:$C,$A51)</f>
        <v>0</v>
      </c>
      <c r="M51" s="78">
        <f>SUMIFS('Diario Adm'!$E:$E,'Diario Adm'!$B:$B,M$4,'Diario Adm'!$C:$C,$A51)</f>
        <v>0</v>
      </c>
      <c r="N51" s="78">
        <f>SUMIFS('Diario Adm'!$E:$E,'Diario Adm'!$B:$B,N$4,'Diario Adm'!$C:$C,$A51)</f>
        <v>0</v>
      </c>
      <c r="O51" s="55"/>
      <c r="P51" s="146">
        <f t="shared" si="4"/>
        <v>0</v>
      </c>
    </row>
    <row r="52" spans="1:16" ht="14.95" hidden="1" customHeight="1" x14ac:dyDescent="0.25">
      <c r="A52" s="162">
        <v>4370</v>
      </c>
      <c r="B52" s="190">
        <f>VLOOKUP(A52,Plan!A:B,2,0)</f>
        <v>0</v>
      </c>
      <c r="C52" s="78">
        <f>SUMIFS('Diario Adm'!$E:$E,'Diario Adm'!$B:$B,C$4,'Diario Adm'!$C:$C,$A52)</f>
        <v>0</v>
      </c>
      <c r="D52" s="78">
        <f>SUMIFS('Diario Adm'!$E:$E,'Diario Adm'!$B:$B,D$4,'Diario Adm'!$C:$C,$A52)</f>
        <v>0</v>
      </c>
      <c r="E52" s="78">
        <f>SUMIFS('Diario Adm'!$E:$E,'Diario Adm'!$B:$B,E$4,'Diario Adm'!$C:$C,$A52)</f>
        <v>0</v>
      </c>
      <c r="F52" s="78">
        <f>SUMIFS('Diario Adm'!$E:$E,'Diario Adm'!$B:$B,F$4,'Diario Adm'!$C:$C,$A52)</f>
        <v>0</v>
      </c>
      <c r="G52" s="78">
        <f>SUMIFS('Diario Adm'!$E:$E,'Diario Adm'!$B:$B,G$4,'Diario Adm'!$C:$C,$A52)</f>
        <v>0</v>
      </c>
      <c r="H52" s="78">
        <f>SUMIFS('Diario Adm'!$E:$E,'Diario Adm'!$B:$B,H$4,'Diario Adm'!$C:$C,$A52)</f>
        <v>0</v>
      </c>
      <c r="I52" s="78">
        <f>SUMIFS('Diario Adm'!$E:$E,'Diario Adm'!$B:$B,I$4,'Diario Adm'!$C:$C,$A52)</f>
        <v>0</v>
      </c>
      <c r="J52" s="78">
        <f>SUMIFS('Diario Adm'!$E:$E,'Diario Adm'!$B:$B,J$4,'Diario Adm'!$C:$C,$A52)</f>
        <v>0</v>
      </c>
      <c r="K52" s="78">
        <f>SUMIFS('Diario Adm'!$E:$E,'Diario Adm'!$B:$B,K$4,'Diario Adm'!$C:$C,$A52)</f>
        <v>0</v>
      </c>
      <c r="L52" s="78">
        <f>SUMIFS('Diario Adm'!$E:$E,'Diario Adm'!$B:$B,L$4,'Diario Adm'!$C:$C,$A52)</f>
        <v>0</v>
      </c>
      <c r="M52" s="78">
        <f>SUMIFS('Diario Adm'!$E:$E,'Diario Adm'!$B:$B,M$4,'Diario Adm'!$C:$C,$A52)</f>
        <v>0</v>
      </c>
      <c r="N52" s="78">
        <f>SUMIFS('Diario Adm'!$E:$E,'Diario Adm'!$B:$B,N$4,'Diario Adm'!$C:$C,$A52)</f>
        <v>0</v>
      </c>
      <c r="O52" s="55"/>
      <c r="P52" s="146">
        <f t="shared" si="4"/>
        <v>0</v>
      </c>
    </row>
    <row r="53" spans="1:16" ht="14.95" customHeight="1" x14ac:dyDescent="0.25">
      <c r="A53" s="170">
        <v>4410</v>
      </c>
      <c r="B53" s="190" t="str">
        <f>VLOOKUP(A53,Plan!A:B,2,0)</f>
        <v>Librería</v>
      </c>
      <c r="C53" s="78">
        <f>SUMIFS('Diario Adm'!$E:$E,'Diario Adm'!$B:$B,C$4,'Diario Adm'!$C:$C,$A53)</f>
        <v>0</v>
      </c>
      <c r="D53" s="78">
        <f>SUMIFS('Diario Adm'!$E:$E,'Diario Adm'!$B:$B,D$4,'Diario Adm'!$C:$C,$A53)</f>
        <v>0</v>
      </c>
      <c r="E53" s="78">
        <f>SUMIFS('Diario Adm'!$E:$E,'Diario Adm'!$B:$B,E$4,'Diario Adm'!$C:$C,$A53)</f>
        <v>0</v>
      </c>
      <c r="F53" s="78">
        <f>SUMIFS('Diario Adm'!$E:$E,'Diario Adm'!$B:$B,F$4,'Diario Adm'!$C:$C,$A53)</f>
        <v>0</v>
      </c>
      <c r="G53" s="78">
        <f>SUMIFS('Diario Adm'!$E:$E,'Diario Adm'!$B:$B,G$4,'Diario Adm'!$C:$C,$A53)</f>
        <v>0</v>
      </c>
      <c r="H53" s="78">
        <f>SUMIFS('Diario Adm'!$E:$E,'Diario Adm'!$B:$B,H$4,'Diario Adm'!$C:$C,$A53)</f>
        <v>0</v>
      </c>
      <c r="I53" s="78">
        <f>SUMIFS('Diario Adm'!$E:$E,'Diario Adm'!$B:$B,I$4,'Diario Adm'!$C:$C,$A53)</f>
        <v>0</v>
      </c>
      <c r="J53" s="78">
        <f>SUMIFS('Diario Adm'!$E:$E,'Diario Adm'!$B:$B,J$4,'Diario Adm'!$C:$C,$A53)</f>
        <v>0</v>
      </c>
      <c r="K53" s="78">
        <f>SUMIFS('Diario Adm'!$E:$E,'Diario Adm'!$B:$B,K$4,'Diario Adm'!$C:$C,$A53)</f>
        <v>0</v>
      </c>
      <c r="L53" s="78">
        <f>SUMIFS('Diario Adm'!$E:$E,'Diario Adm'!$B:$B,L$4,'Diario Adm'!$C:$C,$A53)</f>
        <v>229250</v>
      </c>
      <c r="M53" s="78">
        <f>SUMIFS('Diario Adm'!$E:$E,'Diario Adm'!$B:$B,M$4,'Diario Adm'!$C:$C,$A53)</f>
        <v>0</v>
      </c>
      <c r="N53" s="78">
        <f>SUMIFS('Diario Adm'!$E:$E,'Diario Adm'!$B:$B,N$4,'Diario Adm'!$C:$C,$A53)</f>
        <v>0</v>
      </c>
      <c r="O53" s="55"/>
      <c r="P53" s="146">
        <f t="shared" si="4"/>
        <v>229250</v>
      </c>
    </row>
    <row r="54" spans="1:16" ht="14.95" customHeight="1" x14ac:dyDescent="0.25">
      <c r="A54" s="170">
        <v>4420</v>
      </c>
      <c r="B54" s="190" t="str">
        <f>VLOOKUP(A54,Plan!A:B,2,0)</f>
        <v>Aseo y Limpieza</v>
      </c>
      <c r="C54" s="78">
        <f>SUMIFS('Diario Adm'!$E:$E,'Diario Adm'!$B:$B,C$4,'Diario Adm'!$C:$C,$A54)</f>
        <v>0</v>
      </c>
      <c r="D54" s="78">
        <f>SUMIFS('Diario Adm'!$E:$E,'Diario Adm'!$B:$B,D$4,'Diario Adm'!$C:$C,$A54)</f>
        <v>0</v>
      </c>
      <c r="E54" s="78">
        <f>SUMIFS('Diario Adm'!$E:$E,'Diario Adm'!$B:$B,E$4,'Diario Adm'!$C:$C,$A54)</f>
        <v>0</v>
      </c>
      <c r="F54" s="78">
        <f>SUMIFS('Diario Adm'!$E:$E,'Diario Adm'!$B:$B,F$4,'Diario Adm'!$C:$C,$A54)</f>
        <v>0</v>
      </c>
      <c r="G54" s="78">
        <f>SUMIFS('Diario Adm'!$E:$E,'Diario Adm'!$B:$B,G$4,'Diario Adm'!$C:$C,$A54)</f>
        <v>20000</v>
      </c>
      <c r="H54" s="78">
        <f>SUMIFS('Diario Adm'!$E:$E,'Diario Adm'!$B:$B,H$4,'Diario Adm'!$C:$C,$A54)</f>
        <v>0</v>
      </c>
      <c r="I54" s="78">
        <f>SUMIFS('Diario Adm'!$E:$E,'Diario Adm'!$B:$B,I$4,'Diario Adm'!$C:$C,$A54)</f>
        <v>0</v>
      </c>
      <c r="J54" s="78">
        <f>SUMIFS('Diario Adm'!$E:$E,'Diario Adm'!$B:$B,J$4,'Diario Adm'!$C:$C,$A54)</f>
        <v>0</v>
      </c>
      <c r="K54" s="78">
        <f>SUMIFS('Diario Adm'!$E:$E,'Diario Adm'!$B:$B,K$4,'Diario Adm'!$C:$C,$A54)</f>
        <v>20320</v>
      </c>
      <c r="L54" s="78">
        <f>SUMIFS('Diario Adm'!$E:$E,'Diario Adm'!$B:$B,L$4,'Diario Adm'!$C:$C,$A54)</f>
        <v>30000</v>
      </c>
      <c r="M54" s="78">
        <f>SUMIFS('Diario Adm'!$E:$E,'Diario Adm'!$B:$B,M$4,'Diario Adm'!$C:$C,$A54)</f>
        <v>0</v>
      </c>
      <c r="N54" s="78">
        <f>SUMIFS('Diario Adm'!$E:$E,'Diario Adm'!$B:$B,N$4,'Diario Adm'!$C:$C,$A54)</f>
        <v>0</v>
      </c>
      <c r="O54" s="55"/>
      <c r="P54" s="146">
        <f t="shared" si="4"/>
        <v>70320</v>
      </c>
    </row>
    <row r="55" spans="1:16" s="268" customFormat="1" ht="14.95" customHeight="1" x14ac:dyDescent="0.25">
      <c r="A55" s="162">
        <v>4430</v>
      </c>
      <c r="B55" s="270" t="str">
        <f>VLOOKUP(A55,Plan!A:B,2,0)</f>
        <v>Varios</v>
      </c>
      <c r="C55" s="78">
        <f>SUMIFS('Diario Adm'!$E:$E,'Diario Adm'!$B:$B,C$4,'Diario Adm'!$C:$C,$A55)</f>
        <v>0</v>
      </c>
      <c r="D55" s="78">
        <f>SUMIFS('Diario Adm'!$E:$E,'Diario Adm'!$B:$B,D$4,'Diario Adm'!$C:$C,$A55)</f>
        <v>0</v>
      </c>
      <c r="E55" s="78">
        <f>SUMIFS('Diario Adm'!$E:$E,'Diario Adm'!$B:$B,E$4,'Diario Adm'!$C:$C,$A55)</f>
        <v>0</v>
      </c>
      <c r="F55" s="78">
        <f>SUMIFS('Diario Adm'!$E:$E,'Diario Adm'!$B:$B,F$4,'Diario Adm'!$C:$C,$A55)</f>
        <v>0</v>
      </c>
      <c r="G55" s="78">
        <f>SUMIFS('Diario Adm'!$E:$E,'Diario Adm'!$B:$B,G$4,'Diario Adm'!$C:$C,$A55)</f>
        <v>54999</v>
      </c>
      <c r="H55" s="78">
        <f>SUMIFS('Diario Adm'!$E:$E,'Diario Adm'!$B:$B,H$4,'Diario Adm'!$C:$C,$A55)</f>
        <v>0</v>
      </c>
      <c r="I55" s="78">
        <f>SUMIFS('Diario Adm'!$E:$E,'Diario Adm'!$B:$B,I$4,'Diario Adm'!$C:$C,$A55)</f>
        <v>0</v>
      </c>
      <c r="J55" s="78">
        <f>SUMIFS('Diario Adm'!$E:$E,'Diario Adm'!$B:$B,J$4,'Diario Adm'!$C:$C,$A55)</f>
        <v>30290</v>
      </c>
      <c r="K55" s="78">
        <f>SUMIFS('Diario Adm'!$E:$E,'Diario Adm'!$B:$B,K$4,'Diario Adm'!$C:$C,$A55)</f>
        <v>0</v>
      </c>
      <c r="L55" s="78">
        <f>SUMIFS('Diario Adm'!$E:$E,'Diario Adm'!$B:$B,L$4,'Diario Adm'!$C:$C,$A55)</f>
        <v>0</v>
      </c>
      <c r="M55" s="78">
        <f>SUMIFS('Diario Adm'!$E:$E,'Diario Adm'!$B:$B,M$4,'Diario Adm'!$C:$C,$A55)</f>
        <v>0</v>
      </c>
      <c r="N55" s="78">
        <f>SUMIFS('Diario Adm'!$E:$E,'Diario Adm'!$B:$B,N$4,'Diario Adm'!$C:$C,$A55)</f>
        <v>329990</v>
      </c>
      <c r="O55" s="271"/>
      <c r="P55" s="269">
        <f t="shared" si="4"/>
        <v>415279</v>
      </c>
    </row>
    <row r="56" spans="1:16" ht="14.95" customHeight="1" x14ac:dyDescent="0.25">
      <c r="A56" s="162">
        <v>4510</v>
      </c>
      <c r="B56" s="190" t="str">
        <f>VLOOKUP(A56,Plan!A:B,2,0)</f>
        <v>Oficina Parroquial</v>
      </c>
      <c r="C56" s="78">
        <f>SUMIFS('Diario Adm'!$E:$E,'Diario Adm'!$B:$B,C$4,'Diario Adm'!$C:$C,$A56)</f>
        <v>0</v>
      </c>
      <c r="D56" s="78">
        <f>SUMIFS('Diario Adm'!$E:$E,'Diario Adm'!$B:$B,D$4,'Diario Adm'!$C:$C,$A56)</f>
        <v>0</v>
      </c>
      <c r="E56" s="78">
        <f>SUMIFS('Diario Adm'!$E:$E,'Diario Adm'!$B:$B,E$4,'Diario Adm'!$C:$C,$A56)</f>
        <v>0</v>
      </c>
      <c r="F56" s="78">
        <f>SUMIFS('Diario Adm'!$E:$E,'Diario Adm'!$B:$B,F$4,'Diario Adm'!$C:$C,$A56)</f>
        <v>0</v>
      </c>
      <c r="G56" s="78">
        <f>SUMIFS('Diario Adm'!$E:$E,'Diario Adm'!$B:$B,G$4,'Diario Adm'!$C:$C,$A56)</f>
        <v>0</v>
      </c>
      <c r="H56" s="78">
        <f>SUMIFS('Diario Adm'!$E:$E,'Diario Adm'!$B:$B,H$4,'Diario Adm'!$C:$C,$A56)</f>
        <v>0</v>
      </c>
      <c r="I56" s="78">
        <f>SUMIFS('Diario Adm'!$E:$E,'Diario Adm'!$B:$B,I$4,'Diario Adm'!$C:$C,$A56)</f>
        <v>0</v>
      </c>
      <c r="J56" s="78">
        <f>SUMIFS('Diario Adm'!$E:$E,'Diario Adm'!$B:$B,J$4,'Diario Adm'!$C:$C,$A56)</f>
        <v>0</v>
      </c>
      <c r="K56" s="78">
        <f>SUMIFS('Diario Adm'!$E:$E,'Diario Adm'!$B:$B,K$4,'Diario Adm'!$C:$C,$A56)</f>
        <v>0</v>
      </c>
      <c r="L56" s="78">
        <f>SUMIFS('Diario Adm'!$E:$E,'Diario Adm'!$B:$B,L$4,'Diario Adm'!$C:$C,$A56)</f>
        <v>0</v>
      </c>
      <c r="M56" s="78">
        <f>SUMIFS('Diario Adm'!$E:$E,'Diario Adm'!$B:$B,M$4,'Diario Adm'!$C:$C,$A56)</f>
        <v>0</v>
      </c>
      <c r="N56" s="78">
        <f>SUMIFS('Diario Adm'!$E:$E,'Diario Adm'!$B:$B,N$4,'Diario Adm'!$C:$C,$A56)</f>
        <v>460761</v>
      </c>
      <c r="O56" s="55"/>
      <c r="P56" s="146">
        <f t="shared" si="4"/>
        <v>460761</v>
      </c>
    </row>
    <row r="57" spans="1:16" ht="14.95" hidden="1" customHeight="1" x14ac:dyDescent="0.25">
      <c r="A57" s="162">
        <v>4520</v>
      </c>
      <c r="B57" s="190" t="str">
        <f>VLOOKUP(A57,Plan!A:B,2,0)</f>
        <v>Templo</v>
      </c>
      <c r="C57" s="78">
        <f>SUMIFS('Diario Adm'!$E:$E,'Diario Adm'!$B:$B,C$4,'Diario Adm'!$C:$C,$A57)</f>
        <v>0</v>
      </c>
      <c r="D57" s="78">
        <f>SUMIFS('Diario Adm'!$E:$E,'Diario Adm'!$B:$B,D$4,'Diario Adm'!$C:$C,$A57)</f>
        <v>0</v>
      </c>
      <c r="E57" s="78">
        <f>SUMIFS('Diario Adm'!$E:$E,'Diario Adm'!$B:$B,E$4,'Diario Adm'!$C:$C,$A57)</f>
        <v>0</v>
      </c>
      <c r="F57" s="78">
        <f>SUMIFS('Diario Adm'!$E:$E,'Diario Adm'!$B:$B,F$4,'Diario Adm'!$C:$C,$A57)</f>
        <v>0</v>
      </c>
      <c r="G57" s="78">
        <f>SUMIFS('Diario Adm'!$E:$E,'Diario Adm'!$B:$B,G$4,'Diario Adm'!$C:$C,$A57)</f>
        <v>0</v>
      </c>
      <c r="H57" s="78">
        <f>SUMIFS('Diario Adm'!$E:$E,'Diario Adm'!$B:$B,H$4,'Diario Adm'!$C:$C,$A57)</f>
        <v>0</v>
      </c>
      <c r="I57" s="78">
        <f>SUMIFS('Diario Adm'!$E:$E,'Diario Adm'!$B:$B,I$4,'Diario Adm'!$C:$C,$A57)</f>
        <v>0</v>
      </c>
      <c r="J57" s="78">
        <f>SUMIFS('Diario Adm'!$E:$E,'Diario Adm'!$B:$B,J$4,'Diario Adm'!$C:$C,$A57)</f>
        <v>0</v>
      </c>
      <c r="K57" s="78">
        <f>SUMIFS('Diario Adm'!$E:$E,'Diario Adm'!$B:$B,K$4,'Diario Adm'!$C:$C,$A57)</f>
        <v>0</v>
      </c>
      <c r="L57" s="78">
        <f>SUMIFS('Diario Adm'!$E:$E,'Diario Adm'!$B:$B,L$4,'Diario Adm'!$C:$C,$A57)</f>
        <v>0</v>
      </c>
      <c r="M57" s="78">
        <f>SUMIFS('Diario Adm'!$E:$E,'Diario Adm'!$B:$B,M$4,'Diario Adm'!$C:$C,$A57)</f>
        <v>0</v>
      </c>
      <c r="N57" s="78">
        <f>SUMIFS('Diario Adm'!$E:$E,'Diario Adm'!$B:$B,N$4,'Diario Adm'!$C:$C,$A57)</f>
        <v>0</v>
      </c>
      <c r="O57" s="55"/>
      <c r="P57" s="146">
        <f t="shared" si="4"/>
        <v>0</v>
      </c>
    </row>
    <row r="58" spans="1:16" ht="14.95" hidden="1" customHeight="1" x14ac:dyDescent="0.25">
      <c r="A58" s="162">
        <v>4530</v>
      </c>
      <c r="B58" s="190" t="str">
        <f>VLOOKUP(A58,Plan!A:B,2,0)</f>
        <v>Casa Sacerdote</v>
      </c>
      <c r="C58" s="78">
        <f>SUMIFS('Diario Adm'!$E:$E,'Diario Adm'!$B:$B,C$4,'Diario Adm'!$C:$C,$A58)</f>
        <v>0</v>
      </c>
      <c r="D58" s="78">
        <f>SUMIFS('Diario Adm'!$E:$E,'Diario Adm'!$B:$B,D$4,'Diario Adm'!$C:$C,$A58)</f>
        <v>0</v>
      </c>
      <c r="E58" s="78">
        <f>SUMIFS('Diario Adm'!$E:$E,'Diario Adm'!$B:$B,E$4,'Diario Adm'!$C:$C,$A58)</f>
        <v>0</v>
      </c>
      <c r="F58" s="78">
        <f>SUMIFS('Diario Adm'!$E:$E,'Diario Adm'!$B:$B,F$4,'Diario Adm'!$C:$C,$A58)</f>
        <v>0</v>
      </c>
      <c r="G58" s="78">
        <f>SUMIFS('Diario Adm'!$E:$E,'Diario Adm'!$B:$B,G$4,'Diario Adm'!$C:$C,$A58)</f>
        <v>0</v>
      </c>
      <c r="H58" s="78">
        <f>SUMIFS('Diario Adm'!$E:$E,'Diario Adm'!$B:$B,H$4,'Diario Adm'!$C:$C,$A58)</f>
        <v>0</v>
      </c>
      <c r="I58" s="78">
        <f>SUMIFS('Diario Adm'!$E:$E,'Diario Adm'!$B:$B,I$4,'Diario Adm'!$C:$C,$A58)</f>
        <v>0</v>
      </c>
      <c r="J58" s="78">
        <f>SUMIFS('Diario Adm'!$E:$E,'Diario Adm'!$B:$B,J$4,'Diario Adm'!$C:$C,$A58)</f>
        <v>0</v>
      </c>
      <c r="K58" s="78">
        <f>SUMIFS('Diario Adm'!$E:$E,'Diario Adm'!$B:$B,K$4,'Diario Adm'!$C:$C,$A58)</f>
        <v>0</v>
      </c>
      <c r="L58" s="78">
        <f>SUMIFS('Diario Adm'!$E:$E,'Diario Adm'!$B:$B,L$4,'Diario Adm'!$C:$C,$A58)</f>
        <v>0</v>
      </c>
      <c r="M58" s="78">
        <f>SUMIFS('Diario Adm'!$E:$E,'Diario Adm'!$B:$B,M$4,'Diario Adm'!$C:$C,$A58)</f>
        <v>0</v>
      </c>
      <c r="N58" s="78">
        <f>SUMIFS('Diario Adm'!$E:$E,'Diario Adm'!$B:$B,N$4,'Diario Adm'!$C:$C,$A58)</f>
        <v>0</v>
      </c>
      <c r="O58" s="55"/>
      <c r="P58" s="146">
        <f>SUM(C58:N58)</f>
        <v>0</v>
      </c>
    </row>
    <row r="59" spans="1:16" ht="14.95" hidden="1" customHeight="1" x14ac:dyDescent="0.25">
      <c r="A59" s="162">
        <v>4610</v>
      </c>
      <c r="B59" s="190" t="str">
        <f>VLOOKUP(A59,Plan!A:B,2,0)</f>
        <v>Pastoral Familiar</v>
      </c>
      <c r="C59" s="78">
        <f>SUMIFS('Diario Adm'!$E:$E,'Diario Adm'!$B:$B,C$4,'Diario Adm'!$C:$C,$A59)</f>
        <v>0</v>
      </c>
      <c r="D59" s="78">
        <f>SUMIFS('Diario Adm'!$E:$E,'Diario Adm'!$B:$B,D$4,'Diario Adm'!$C:$C,$A59)</f>
        <v>0</v>
      </c>
      <c r="E59" s="78">
        <f>SUMIFS('Diario Adm'!$E:$E,'Diario Adm'!$B:$B,E$4,'Diario Adm'!$C:$C,$A59)</f>
        <v>0</v>
      </c>
      <c r="F59" s="78">
        <f>SUMIFS('Diario Adm'!$E:$E,'Diario Adm'!$B:$B,F$4,'Diario Adm'!$C:$C,$A59)</f>
        <v>0</v>
      </c>
      <c r="G59" s="78">
        <f>SUMIFS('Diario Adm'!$E:$E,'Diario Adm'!$B:$B,G$4,'Diario Adm'!$C:$C,$A59)</f>
        <v>0</v>
      </c>
      <c r="H59" s="78">
        <f>SUMIFS('Diario Adm'!$E:$E,'Diario Adm'!$B:$B,H$4,'Diario Adm'!$C:$C,$A59)</f>
        <v>0</v>
      </c>
      <c r="I59" s="78">
        <f>SUMIFS('Diario Adm'!$E:$E,'Diario Adm'!$B:$B,I$4,'Diario Adm'!$C:$C,$A59)</f>
        <v>0</v>
      </c>
      <c r="J59" s="78">
        <f>SUMIFS('Diario Adm'!$E:$E,'Diario Adm'!$B:$B,J$4,'Diario Adm'!$C:$C,$A59)</f>
        <v>0</v>
      </c>
      <c r="K59" s="78">
        <f>SUMIFS('Diario Adm'!$E:$E,'Diario Adm'!$B:$B,K$4,'Diario Adm'!$C:$C,$A59)</f>
        <v>0</v>
      </c>
      <c r="L59" s="78">
        <f>SUMIFS('Diario Adm'!$E:$E,'Diario Adm'!$B:$B,L$4,'Diario Adm'!$C:$C,$A59)</f>
        <v>0</v>
      </c>
      <c r="M59" s="78">
        <f>SUMIFS('Diario Adm'!$E:$E,'Diario Adm'!$B:$B,M$4,'Diario Adm'!$C:$C,$A59)</f>
        <v>0</v>
      </c>
      <c r="N59" s="78">
        <f>SUMIFS('Diario Adm'!$E:$E,'Diario Adm'!$B:$B,N$4,'Diario Adm'!$C:$C,$A59)</f>
        <v>0</v>
      </c>
      <c r="O59" s="55"/>
      <c r="P59" s="146">
        <f t="shared" si="4"/>
        <v>0</v>
      </c>
    </row>
    <row r="60" spans="1:16" ht="14.95" hidden="1" customHeight="1" x14ac:dyDescent="0.25">
      <c r="A60" s="162">
        <v>4620</v>
      </c>
      <c r="B60" s="190" t="str">
        <f>VLOOKUP(A60,Plan!A:B,2,0)</f>
        <v>Pastoral Novios</v>
      </c>
      <c r="C60" s="78">
        <f>SUMIFS('Diario Adm'!$E:$E,'Diario Adm'!$B:$B,C$4,'Diario Adm'!$C:$C,$A60)</f>
        <v>0</v>
      </c>
      <c r="D60" s="78">
        <f>SUMIFS('Diario Adm'!$E:$E,'Diario Adm'!$B:$B,D$4,'Diario Adm'!$C:$C,$A60)</f>
        <v>0</v>
      </c>
      <c r="E60" s="78">
        <f>SUMIFS('Diario Adm'!$E:$E,'Diario Adm'!$B:$B,E$4,'Diario Adm'!$C:$C,$A60)</f>
        <v>0</v>
      </c>
      <c r="F60" s="78">
        <f>SUMIFS('Diario Adm'!$E:$E,'Diario Adm'!$B:$B,F$4,'Diario Adm'!$C:$C,$A60)</f>
        <v>0</v>
      </c>
      <c r="G60" s="78">
        <f>SUMIFS('Diario Adm'!$E:$E,'Diario Adm'!$B:$B,G$4,'Diario Adm'!$C:$C,$A60)</f>
        <v>0</v>
      </c>
      <c r="H60" s="78">
        <f>SUMIFS('Diario Adm'!$E:$E,'Diario Adm'!$B:$B,H$4,'Diario Adm'!$C:$C,$A60)</f>
        <v>0</v>
      </c>
      <c r="I60" s="78">
        <f>SUMIFS('Diario Adm'!$E:$E,'Diario Adm'!$B:$B,I$4,'Diario Adm'!$C:$C,$A60)</f>
        <v>0</v>
      </c>
      <c r="J60" s="78">
        <f>SUMIFS('Diario Adm'!$E:$E,'Diario Adm'!$B:$B,J$4,'Diario Adm'!$C:$C,$A60)</f>
        <v>0</v>
      </c>
      <c r="K60" s="78">
        <f>SUMIFS('Diario Adm'!$E:$E,'Diario Adm'!$B:$B,K$4,'Diario Adm'!$C:$C,$A60)</f>
        <v>0</v>
      </c>
      <c r="L60" s="78">
        <f>SUMIFS('Diario Adm'!$E:$E,'Diario Adm'!$B:$B,L$4,'Diario Adm'!$C:$C,$A60)</f>
        <v>0</v>
      </c>
      <c r="M60" s="78">
        <f>SUMIFS('Diario Adm'!$E:$E,'Diario Adm'!$B:$B,M$4,'Diario Adm'!$C:$C,$A60)</f>
        <v>0</v>
      </c>
      <c r="N60" s="78">
        <f>SUMIFS('Diario Adm'!$E:$E,'Diario Adm'!$B:$B,N$4,'Diario Adm'!$C:$C,$A60)</f>
        <v>0</v>
      </c>
      <c r="O60" s="55"/>
      <c r="P60" s="146">
        <f t="shared" si="4"/>
        <v>0</v>
      </c>
    </row>
    <row r="61" spans="1:16" ht="14.95" hidden="1" customHeight="1" x14ac:dyDescent="0.25">
      <c r="A61" s="162">
        <v>4630</v>
      </c>
      <c r="B61" s="190" t="str">
        <f>VLOOKUP(A61,Plan!A:B,2,0)</f>
        <v>Pastoral Bautismal</v>
      </c>
      <c r="C61" s="78">
        <f>SUMIFS('Diario Adm'!$E:$E,'Diario Adm'!$B:$B,C$4,'Diario Adm'!$C:$C,$A61)</f>
        <v>0</v>
      </c>
      <c r="D61" s="78">
        <f>SUMIFS('Diario Adm'!$E:$E,'Diario Adm'!$B:$B,D$4,'Diario Adm'!$C:$C,$A61)</f>
        <v>0</v>
      </c>
      <c r="E61" s="78">
        <f>SUMIFS('Diario Adm'!$E:$E,'Diario Adm'!$B:$B,E$4,'Diario Adm'!$C:$C,$A61)</f>
        <v>0</v>
      </c>
      <c r="F61" s="78">
        <f>SUMIFS('Diario Adm'!$E:$E,'Diario Adm'!$B:$B,F$4,'Diario Adm'!$C:$C,$A61)</f>
        <v>0</v>
      </c>
      <c r="G61" s="78">
        <f>SUMIFS('Diario Adm'!$E:$E,'Diario Adm'!$B:$B,G$4,'Diario Adm'!$C:$C,$A61)</f>
        <v>0</v>
      </c>
      <c r="H61" s="78">
        <f>SUMIFS('Diario Adm'!$E:$E,'Diario Adm'!$B:$B,H$4,'Diario Adm'!$C:$C,$A61)</f>
        <v>0</v>
      </c>
      <c r="I61" s="78">
        <f>SUMIFS('Diario Adm'!$E:$E,'Diario Adm'!$B:$B,I$4,'Diario Adm'!$C:$C,$A61)</f>
        <v>0</v>
      </c>
      <c r="J61" s="78">
        <f>SUMIFS('Diario Adm'!$E:$E,'Diario Adm'!$B:$B,J$4,'Diario Adm'!$C:$C,$A61)</f>
        <v>0</v>
      </c>
      <c r="K61" s="78">
        <f>SUMIFS('Diario Adm'!$E:$E,'Diario Adm'!$B:$B,K$4,'Diario Adm'!$C:$C,$A61)</f>
        <v>0</v>
      </c>
      <c r="L61" s="78">
        <f>SUMIFS('Diario Adm'!$E:$E,'Diario Adm'!$B:$B,L$4,'Diario Adm'!$C:$C,$A61)</f>
        <v>0</v>
      </c>
      <c r="M61" s="78">
        <f>SUMIFS('Diario Adm'!$E:$E,'Diario Adm'!$B:$B,M$4,'Diario Adm'!$C:$C,$A61)</f>
        <v>0</v>
      </c>
      <c r="N61" s="78">
        <f>SUMIFS('Diario Adm'!$E:$E,'Diario Adm'!$B:$B,N$4,'Diario Adm'!$C:$C,$A61)</f>
        <v>0</v>
      </c>
      <c r="O61" s="55"/>
      <c r="P61" s="146">
        <f t="shared" si="4"/>
        <v>0</v>
      </c>
    </row>
    <row r="62" spans="1:16" ht="14.95" hidden="1" customHeight="1" x14ac:dyDescent="0.25">
      <c r="A62" s="162">
        <v>4640</v>
      </c>
      <c r="B62" s="190" t="str">
        <f>VLOOKUP(A62,Plan!A:B,2,0)</f>
        <v>Pastoral Liturgia</v>
      </c>
      <c r="C62" s="78">
        <f>SUMIFS('Diario Adm'!$E:$E,'Diario Adm'!$B:$B,C$4,'Diario Adm'!$C:$C,$A62)</f>
        <v>0</v>
      </c>
      <c r="D62" s="78">
        <f>SUMIFS('Diario Adm'!$E:$E,'Diario Adm'!$B:$B,D$4,'Diario Adm'!$C:$C,$A62)</f>
        <v>0</v>
      </c>
      <c r="E62" s="78">
        <f>SUMIFS('Diario Adm'!$E:$E,'Diario Adm'!$B:$B,E$4,'Diario Adm'!$C:$C,$A62)</f>
        <v>0</v>
      </c>
      <c r="F62" s="78">
        <f>SUMIFS('Diario Adm'!$E:$E,'Diario Adm'!$B:$B,F$4,'Diario Adm'!$C:$C,$A62)</f>
        <v>0</v>
      </c>
      <c r="G62" s="78">
        <f>SUMIFS('Diario Adm'!$E:$E,'Diario Adm'!$B:$B,G$4,'Diario Adm'!$C:$C,$A62)</f>
        <v>0</v>
      </c>
      <c r="H62" s="78">
        <f>SUMIFS('Diario Adm'!$E:$E,'Diario Adm'!$B:$B,H$4,'Diario Adm'!$C:$C,$A62)</f>
        <v>0</v>
      </c>
      <c r="I62" s="78">
        <f>SUMIFS('Diario Adm'!$E:$E,'Diario Adm'!$B:$B,I$4,'Diario Adm'!$C:$C,$A62)</f>
        <v>0</v>
      </c>
      <c r="J62" s="78">
        <f>SUMIFS('Diario Adm'!$E:$E,'Diario Adm'!$B:$B,J$4,'Diario Adm'!$C:$C,$A62)</f>
        <v>0</v>
      </c>
      <c r="K62" s="78">
        <f>SUMIFS('Diario Adm'!$E:$E,'Diario Adm'!$B:$B,K$4,'Diario Adm'!$C:$C,$A62)</f>
        <v>0</v>
      </c>
      <c r="L62" s="78">
        <f>SUMIFS('Diario Adm'!$E:$E,'Diario Adm'!$B:$B,L$4,'Diario Adm'!$C:$C,$A62)</f>
        <v>0</v>
      </c>
      <c r="M62" s="78">
        <f>SUMIFS('Diario Adm'!$E:$E,'Diario Adm'!$B:$B,M$4,'Diario Adm'!$C:$C,$A62)</f>
        <v>0</v>
      </c>
      <c r="N62" s="78">
        <f>SUMIFS('Diario Adm'!$E:$E,'Diario Adm'!$B:$B,N$4,'Diario Adm'!$C:$C,$A62)</f>
        <v>0</v>
      </c>
      <c r="O62" s="55"/>
      <c r="P62" s="146">
        <f t="shared" si="4"/>
        <v>0</v>
      </c>
    </row>
    <row r="63" spans="1:16" ht="14.95" customHeight="1" x14ac:dyDescent="0.25">
      <c r="A63" s="162">
        <v>4641</v>
      </c>
      <c r="B63" s="190" t="str">
        <f>VLOOKUP(A63,Plan!A:B,2,0)</f>
        <v xml:space="preserve">             Capellanías </v>
      </c>
      <c r="C63" s="78">
        <f>SUMIFS('Diario Adm'!$E:$E,'Diario Adm'!$B:$B,C$4,'Diario Adm'!$C:$C,$A63)</f>
        <v>0</v>
      </c>
      <c r="D63" s="78">
        <f>SUMIFS('Diario Adm'!$E:$E,'Diario Adm'!$B:$B,D$4,'Diario Adm'!$C:$C,$A63)</f>
        <v>455000</v>
      </c>
      <c r="E63" s="78">
        <f>SUMIFS('Diario Adm'!$E:$E,'Diario Adm'!$B:$B,E$4,'Diario Adm'!$C:$C,$A63)</f>
        <v>203390</v>
      </c>
      <c r="F63" s="78">
        <f>SUMIFS('Diario Adm'!$E:$E,'Diario Adm'!$B:$B,F$4,'Diario Adm'!$C:$C,$A63)</f>
        <v>0</v>
      </c>
      <c r="G63" s="78">
        <f>SUMIFS('Diario Adm'!$E:$E,'Diario Adm'!$B:$B,G$4,'Diario Adm'!$C:$C,$A63)</f>
        <v>0</v>
      </c>
      <c r="H63" s="78">
        <f>SUMIFS('Diario Adm'!$E:$E,'Diario Adm'!$B:$B,H$4,'Diario Adm'!$C:$C,$A63)</f>
        <v>0</v>
      </c>
      <c r="I63" s="78">
        <f>SUMIFS('Diario Adm'!$E:$E,'Diario Adm'!$B:$B,I$4,'Diario Adm'!$C:$C,$A63)</f>
        <v>60000</v>
      </c>
      <c r="J63" s="78">
        <f>SUMIFS('Diario Adm'!$E:$E,'Diario Adm'!$B:$B,J$4,'Diario Adm'!$C:$C,$A63)</f>
        <v>635000</v>
      </c>
      <c r="K63" s="78">
        <f>SUMIFS('Diario Adm'!$E:$E,'Diario Adm'!$B:$B,K$4,'Diario Adm'!$C:$C,$A63)</f>
        <v>140000</v>
      </c>
      <c r="L63" s="78">
        <f>SUMIFS('Diario Adm'!$E:$E,'Diario Adm'!$B:$B,L$4,'Diario Adm'!$C:$C,$A63)</f>
        <v>125000</v>
      </c>
      <c r="M63" s="78">
        <f>SUMIFS('Diario Adm'!$E:$E,'Diario Adm'!$B:$B,M$4,'Diario Adm'!$C:$C,$A63)</f>
        <v>80000</v>
      </c>
      <c r="N63" s="78">
        <f>SUMIFS('Diario Adm'!$E:$E,'Diario Adm'!$B:$B,N$4,'Diario Adm'!$C:$C,$A63)</f>
        <v>50000</v>
      </c>
      <c r="O63" s="55"/>
      <c r="P63" s="146">
        <f t="shared" si="4"/>
        <v>1748390</v>
      </c>
    </row>
    <row r="64" spans="1:16" ht="14.95" customHeight="1" x14ac:dyDescent="0.25">
      <c r="A64" s="162">
        <v>4642</v>
      </c>
      <c r="B64" s="190" t="str">
        <f>VLOOKUP(A64,Plan!A:B,2,0)</f>
        <v xml:space="preserve">             Misas (Hojas, vino, hostias, coro)</v>
      </c>
      <c r="C64" s="78">
        <f>SUMIFS('Diario Adm'!$E:$E,'Diario Adm'!$B:$B,C$4,'Diario Adm'!$C:$C,$A64)</f>
        <v>0</v>
      </c>
      <c r="D64" s="78">
        <f>SUMIFS('Diario Adm'!$E:$E,'Diario Adm'!$B:$B,D$4,'Diario Adm'!$C:$C,$A64)</f>
        <v>0</v>
      </c>
      <c r="E64" s="78">
        <f>SUMIFS('Diario Adm'!$E:$E,'Diario Adm'!$B:$B,E$4,'Diario Adm'!$C:$C,$A64)</f>
        <v>0</v>
      </c>
      <c r="F64" s="78">
        <f>SUMIFS('Diario Adm'!$E:$E,'Diario Adm'!$B:$B,F$4,'Diario Adm'!$C:$C,$A64)</f>
        <v>0</v>
      </c>
      <c r="G64" s="78">
        <f>SUMIFS('Diario Adm'!$E:$E,'Diario Adm'!$B:$B,G$4,'Diario Adm'!$C:$C,$A64)</f>
        <v>0</v>
      </c>
      <c r="H64" s="78">
        <f>SUMIFS('Diario Adm'!$E:$E,'Diario Adm'!$B:$B,H$4,'Diario Adm'!$C:$C,$A64)</f>
        <v>0</v>
      </c>
      <c r="I64" s="78">
        <f>SUMIFS('Diario Adm'!$E:$E,'Diario Adm'!$B:$B,I$4,'Diario Adm'!$C:$C,$A64)</f>
        <v>0</v>
      </c>
      <c r="J64" s="78">
        <f>SUMIFS('Diario Adm'!$E:$E,'Diario Adm'!$B:$B,J$4,'Diario Adm'!$C:$C,$A64)</f>
        <v>0</v>
      </c>
      <c r="K64" s="78">
        <f>SUMIFS('Diario Adm'!$E:$E,'Diario Adm'!$B:$B,K$4,'Diario Adm'!$C:$C,$A64)</f>
        <v>0</v>
      </c>
      <c r="L64" s="78">
        <f>SUMIFS('Diario Adm'!$E:$E,'Diario Adm'!$B:$B,L$4,'Diario Adm'!$C:$C,$A64)</f>
        <v>35000</v>
      </c>
      <c r="M64" s="78">
        <f>SUMIFS('Diario Adm'!$E:$E,'Diario Adm'!$B:$B,M$4,'Diario Adm'!$C:$C,$A64)</f>
        <v>120000</v>
      </c>
      <c r="N64" s="78">
        <f>SUMIFS('Diario Adm'!$E:$E,'Diario Adm'!$B:$B,N$4,'Diario Adm'!$C:$C,$A64)</f>
        <v>0</v>
      </c>
      <c r="O64" s="55"/>
      <c r="P64" s="146">
        <f t="shared" si="4"/>
        <v>155000</v>
      </c>
    </row>
    <row r="65" spans="1:18" ht="14.95" customHeight="1" x14ac:dyDescent="0.25">
      <c r="A65" s="162">
        <v>4643</v>
      </c>
      <c r="B65" s="190" t="str">
        <f>VLOOKUP(A65,Plan!A:B,2,0)</f>
        <v xml:space="preserve">             Otros</v>
      </c>
      <c r="C65" s="78">
        <f>SUMIFS('Diario Adm'!$E:$E,'Diario Adm'!$B:$B,C$4,'Diario Adm'!$C:$C,$A65)</f>
        <v>100000</v>
      </c>
      <c r="D65" s="78">
        <f>SUMIFS('Diario Adm'!$E:$E,'Diario Adm'!$B:$B,D$4,'Diario Adm'!$C:$C,$A65)</f>
        <v>0</v>
      </c>
      <c r="E65" s="78">
        <f>SUMIFS('Diario Adm'!$E:$E,'Diario Adm'!$B:$B,E$4,'Diario Adm'!$C:$C,$A65)</f>
        <v>0</v>
      </c>
      <c r="F65" s="78">
        <f>SUMIFS('Diario Adm'!$E:$E,'Diario Adm'!$B:$B,F$4,'Diario Adm'!$C:$C,$A65)</f>
        <v>0</v>
      </c>
      <c r="G65" s="78">
        <f>SUMIFS('Diario Adm'!$E:$E,'Diario Adm'!$B:$B,G$4,'Diario Adm'!$C:$C,$A65)</f>
        <v>40000</v>
      </c>
      <c r="H65" s="78">
        <f>SUMIFS('Diario Adm'!$E:$E,'Diario Adm'!$B:$B,H$4,'Diario Adm'!$C:$C,$A65)</f>
        <v>260000</v>
      </c>
      <c r="I65" s="78">
        <f>SUMIFS('Diario Adm'!$E:$E,'Diario Adm'!$B:$B,I$4,'Diario Adm'!$C:$C,$A65)</f>
        <v>340000</v>
      </c>
      <c r="J65" s="78">
        <f>SUMIFS('Diario Adm'!$E:$E,'Diario Adm'!$B:$B,J$4,'Diario Adm'!$C:$C,$A65)</f>
        <v>80000</v>
      </c>
      <c r="K65" s="78">
        <f>SUMIFS('Diario Adm'!$E:$E,'Diario Adm'!$B:$B,K$4,'Diario Adm'!$C:$C,$A65)</f>
        <v>120000</v>
      </c>
      <c r="L65" s="78">
        <f>SUMIFS('Diario Adm'!$E:$E,'Diario Adm'!$B:$B,L$4,'Diario Adm'!$C:$C,$A65)</f>
        <v>160000</v>
      </c>
      <c r="M65" s="78">
        <f>SUMIFS('Diario Adm'!$E:$E,'Diario Adm'!$B:$B,M$4,'Diario Adm'!$C:$C,$A65)</f>
        <v>572994</v>
      </c>
      <c r="N65" s="78">
        <f>SUMIFS('Diario Adm'!$E:$E,'Diario Adm'!$B:$B,N$4,'Diario Adm'!$C:$C,$A65)</f>
        <v>285300</v>
      </c>
      <c r="O65" s="55"/>
      <c r="P65" s="146">
        <f t="shared" si="4"/>
        <v>1958294</v>
      </c>
    </row>
    <row r="66" spans="1:18" s="387" customFormat="1" ht="14.95" customHeight="1" x14ac:dyDescent="0.25">
      <c r="A66" s="367">
        <v>4650</v>
      </c>
      <c r="B66" s="388" t="str">
        <f>VLOOKUP(A66,Plan!A:B,2,0)</f>
        <v>Pastoral Social</v>
      </c>
      <c r="C66" s="78">
        <f>SUMIFS('Diario Adm'!$E:$E,'Diario Adm'!$B:$B,C$4,'Diario Adm'!$C:$C,$A66)</f>
        <v>420000</v>
      </c>
      <c r="D66" s="78">
        <f>SUMIFS('Diario Adm'!$E:$E,'Diario Adm'!$B:$B,D$4,'Diario Adm'!$C:$C,$A66)</f>
        <v>0</v>
      </c>
      <c r="E66" s="78">
        <f>SUMIFS('Diario Adm'!$E:$E,'Diario Adm'!$B:$B,E$4,'Diario Adm'!$C:$C,$A66)</f>
        <v>150000</v>
      </c>
      <c r="F66" s="78">
        <f>SUMIFS('Diario Adm'!$E:$E,'Diario Adm'!$B:$B,F$4,'Diario Adm'!$C:$C,$A66)</f>
        <v>2280000</v>
      </c>
      <c r="G66" s="78">
        <f>SUMIFS('Diario Adm'!$E:$E,'Diario Adm'!$B:$B,G$4,'Diario Adm'!$C:$C,$A66)</f>
        <v>2350000</v>
      </c>
      <c r="H66" s="78">
        <f>SUMIFS('Diario Adm'!$E:$E,'Diario Adm'!$B:$B,H$4,'Diario Adm'!$C:$C,$A66)</f>
        <v>2350000</v>
      </c>
      <c r="I66" s="78">
        <f>SUMIFS('Diario Adm'!$E:$E,'Diario Adm'!$B:$B,I$4,'Diario Adm'!$C:$C,$A66)</f>
        <v>1950000</v>
      </c>
      <c r="J66" s="78">
        <f>SUMIFS('Diario Adm'!$E:$E,'Diario Adm'!$B:$B,J$4,'Diario Adm'!$C:$C,$A66)</f>
        <v>1315242</v>
      </c>
      <c r="K66" s="78">
        <f>SUMIFS('Diario Adm'!$E:$E,'Diario Adm'!$B:$B,K$4,'Diario Adm'!$C:$C,$A66)</f>
        <v>195000</v>
      </c>
      <c r="L66" s="78">
        <f>SUMIFS('Diario Adm'!$E:$E,'Diario Adm'!$B:$B,L$4,'Diario Adm'!$C:$C,$A66)</f>
        <v>0</v>
      </c>
      <c r="M66" s="78">
        <f>SUMIFS('Diario Adm'!$E:$E,'Diario Adm'!$B:$B,M$4,'Diario Adm'!$C:$C,$A66)</f>
        <v>-2076559</v>
      </c>
      <c r="N66" s="78">
        <f>SUMIFS('Diario Adm'!$E:$E,'Diario Adm'!$B:$B,N$4,'Diario Adm'!$C:$C,$A66)</f>
        <v>1587495</v>
      </c>
      <c r="O66" s="393"/>
      <c r="P66" s="205">
        <f t="shared" si="4"/>
        <v>10521178</v>
      </c>
      <c r="R66" s="391"/>
    </row>
    <row r="67" spans="1:18" s="387" customFormat="1" ht="14.95" hidden="1" customHeight="1" x14ac:dyDescent="0.25">
      <c r="A67" s="367">
        <v>4651</v>
      </c>
      <c r="B67" s="388" t="str">
        <f>VLOOKUP(A67,Plan!A:B,2,0)</f>
        <v xml:space="preserve">             Becas</v>
      </c>
      <c r="C67" s="78">
        <f>SUMIFS('Diario Adm'!$E:$E,'Diario Adm'!$B:$B,C$4,'Diario Adm'!$C:$C,$A67)</f>
        <v>0</v>
      </c>
      <c r="D67" s="78">
        <f>SUMIFS('Diario Adm'!$E:$E,'Diario Adm'!$B:$B,D$4,'Diario Adm'!$C:$C,$A67)</f>
        <v>0</v>
      </c>
      <c r="E67" s="78">
        <f>SUMIFS('Diario Adm'!$E:$E,'Diario Adm'!$B:$B,E$4,'Diario Adm'!$C:$C,$A67)</f>
        <v>0</v>
      </c>
      <c r="F67" s="78">
        <f>SUMIFS('Diario Adm'!$E:$E,'Diario Adm'!$B:$B,F$4,'Diario Adm'!$C:$C,$A67)</f>
        <v>0</v>
      </c>
      <c r="G67" s="78">
        <f>SUMIFS('Diario Adm'!$E:$E,'Diario Adm'!$B:$B,G$4,'Diario Adm'!$C:$C,$A67)</f>
        <v>0</v>
      </c>
      <c r="H67" s="78">
        <f>SUMIFS('Diario Adm'!$E:$E,'Diario Adm'!$B:$B,H$4,'Diario Adm'!$C:$C,$A67)</f>
        <v>0</v>
      </c>
      <c r="I67" s="78">
        <f>SUMIFS('Diario Adm'!$E:$E,'Diario Adm'!$B:$B,I$4,'Diario Adm'!$C:$C,$A67)</f>
        <v>0</v>
      </c>
      <c r="J67" s="78">
        <f>SUMIFS('Diario Adm'!$E:$E,'Diario Adm'!$B:$B,J$4,'Diario Adm'!$C:$C,$A67)</f>
        <v>0</v>
      </c>
      <c r="K67" s="78">
        <f>SUMIFS('Diario Adm'!$E:$E,'Diario Adm'!$B:$B,K$4,'Diario Adm'!$C:$C,$A67)</f>
        <v>0</v>
      </c>
      <c r="L67" s="78">
        <f>SUMIFS('Diario Adm'!$E:$E,'Diario Adm'!$B:$B,L$4,'Diario Adm'!$C:$C,$A67)</f>
        <v>0</v>
      </c>
      <c r="M67" s="78">
        <f>SUMIFS('Diario Adm'!$E:$E,'Diario Adm'!$B:$B,M$4,'Diario Adm'!$C:$C,$A67)</f>
        <v>0</v>
      </c>
      <c r="N67" s="78">
        <f>SUMIFS('Diario Adm'!$E:$E,'Diario Adm'!$B:$B,N$4,'Diario Adm'!$C:$C,$A67)</f>
        <v>0</v>
      </c>
      <c r="O67" s="393"/>
      <c r="P67" s="205">
        <f t="shared" si="4"/>
        <v>0</v>
      </c>
      <c r="R67" s="391"/>
    </row>
    <row r="68" spans="1:18" s="387" customFormat="1" ht="14.3" hidden="1" customHeight="1" x14ac:dyDescent="0.25">
      <c r="A68" s="367">
        <v>4652</v>
      </c>
      <c r="B68" s="388" t="str">
        <f>VLOOKUP(A68,Plan!A:B,2,0)</f>
        <v xml:space="preserve">             Cerro Navia </v>
      </c>
      <c r="C68" s="78">
        <f>SUMIFS('Diario Adm'!$E:$E,'Diario Adm'!$B:$B,C$4,'Diario Adm'!$C:$C,$A68)</f>
        <v>0</v>
      </c>
      <c r="D68" s="78">
        <f>SUMIFS('Diario Adm'!$E:$E,'Diario Adm'!$B:$B,D$4,'Diario Adm'!$C:$C,$A68)</f>
        <v>0</v>
      </c>
      <c r="E68" s="78">
        <f>SUMIFS('Diario Adm'!$E:$E,'Diario Adm'!$B:$B,E$4,'Diario Adm'!$C:$C,$A68)</f>
        <v>0</v>
      </c>
      <c r="F68" s="78">
        <f>SUMIFS('Diario Adm'!$E:$E,'Diario Adm'!$B:$B,F$4,'Diario Adm'!$C:$C,$A68)</f>
        <v>0</v>
      </c>
      <c r="G68" s="78">
        <f>SUMIFS('Diario Adm'!$E:$E,'Diario Adm'!$B:$B,G$4,'Diario Adm'!$C:$C,$A68)</f>
        <v>0</v>
      </c>
      <c r="H68" s="78">
        <f>SUMIFS('Diario Adm'!$E:$E,'Diario Adm'!$B:$B,H$4,'Diario Adm'!$C:$C,$A68)</f>
        <v>0</v>
      </c>
      <c r="I68" s="78">
        <f>SUMIFS('Diario Adm'!$E:$E,'Diario Adm'!$B:$B,I$4,'Diario Adm'!$C:$C,$A68)</f>
        <v>0</v>
      </c>
      <c r="J68" s="78">
        <f>SUMIFS('Diario Adm'!$E:$E,'Diario Adm'!$B:$B,J$4,'Diario Adm'!$C:$C,$A68)</f>
        <v>0</v>
      </c>
      <c r="K68" s="78">
        <f>SUMIFS('Diario Adm'!$E:$E,'Diario Adm'!$B:$B,K$4,'Diario Adm'!$C:$C,$A68)</f>
        <v>0</v>
      </c>
      <c r="L68" s="78">
        <f>SUMIFS('Diario Adm'!$E:$E,'Diario Adm'!$B:$B,L$4,'Diario Adm'!$C:$C,$A68)</f>
        <v>0</v>
      </c>
      <c r="M68" s="78">
        <f>SUMIFS('Diario Adm'!$E:$E,'Diario Adm'!$B:$B,M$4,'Diario Adm'!$C:$C,$A68)</f>
        <v>0</v>
      </c>
      <c r="N68" s="78">
        <f>SUMIFS('Diario Adm'!$E:$E,'Diario Adm'!$B:$B,N$4,'Diario Adm'!$C:$C,$A68)</f>
        <v>0</v>
      </c>
      <c r="O68" s="393"/>
      <c r="P68" s="205">
        <f t="shared" si="4"/>
        <v>0</v>
      </c>
    </row>
    <row r="69" spans="1:18" s="387" customFormat="1" ht="14.3" customHeight="1" x14ac:dyDescent="0.25">
      <c r="A69" s="367">
        <v>4653</v>
      </c>
      <c r="B69" s="388" t="str">
        <f>VLOOKUP(A69,Plan!A:B,2,0)</f>
        <v xml:space="preserve">            Ayuda Solidaria</v>
      </c>
      <c r="C69" s="78">
        <f>SUMIFS('Diario Adm'!$E:$E,'Diario Adm'!$B:$B,C$4,'Diario Adm'!$C:$C,$A69)</f>
        <v>0</v>
      </c>
      <c r="D69" s="78">
        <f>SUMIFS('Diario Adm'!$E:$E,'Diario Adm'!$B:$B,D$4,'Diario Adm'!$C:$C,$A69)</f>
        <v>0</v>
      </c>
      <c r="E69" s="78">
        <f>SUMIFS('Diario Adm'!$E:$E,'Diario Adm'!$B:$B,E$4,'Diario Adm'!$C:$C,$A69)</f>
        <v>0</v>
      </c>
      <c r="F69" s="78">
        <f>SUMIFS('Diario Adm'!$E:$E,'Diario Adm'!$B:$B,F$4,'Diario Adm'!$C:$C,$A69)</f>
        <v>0</v>
      </c>
      <c r="G69" s="78">
        <f>SUMIFS('Diario Adm'!$E:$E,'Diario Adm'!$B:$B,G$4,'Diario Adm'!$C:$C,$A69)</f>
        <v>0</v>
      </c>
      <c r="H69" s="78">
        <f>SUMIFS('Diario Adm'!$E:$E,'Diario Adm'!$B:$B,H$4,'Diario Adm'!$C:$C,$A69)</f>
        <v>0</v>
      </c>
      <c r="I69" s="78">
        <f>SUMIFS('Diario Adm'!$E:$E,'Diario Adm'!$B:$B,I$4,'Diario Adm'!$C:$C,$A69)</f>
        <v>0</v>
      </c>
      <c r="J69" s="78">
        <f>SUMIFS('Diario Adm'!$E:$E,'Diario Adm'!$B:$B,J$4,'Diario Adm'!$C:$C,$A69)</f>
        <v>0</v>
      </c>
      <c r="K69" s="78">
        <f>SUMIFS('Diario Adm'!$E:$E,'Diario Adm'!$B:$B,K$4,'Diario Adm'!$C:$C,$A69)</f>
        <v>0</v>
      </c>
      <c r="L69" s="78">
        <f>SUMIFS('Diario Adm'!$E:$E,'Diario Adm'!$B:$B,L$4,'Diario Adm'!$C:$C,$A69)</f>
        <v>0</v>
      </c>
      <c r="M69" s="78">
        <f>SUMIFS('Diario Adm'!$E:$E,'Diario Adm'!$B:$B,M$4,'Diario Adm'!$C:$C,$A69)</f>
        <v>0</v>
      </c>
      <c r="N69" s="78">
        <f>SUMIFS('Diario Adm'!$E:$E,'Diario Adm'!$B:$B,N$4,'Diario Adm'!$C:$C,$A69)</f>
        <v>0</v>
      </c>
      <c r="O69" s="393"/>
      <c r="P69" s="205">
        <f t="shared" ref="P69:P88" si="5">SUM(C69:N69)</f>
        <v>0</v>
      </c>
    </row>
    <row r="70" spans="1:18" ht="14.3" hidden="1" customHeight="1" x14ac:dyDescent="0.25">
      <c r="A70" s="162">
        <v>4660</v>
      </c>
      <c r="B70" s="190" t="str">
        <f>VLOOKUP(A70,Plan!A:B,2,0)</f>
        <v>Pastoral Salud</v>
      </c>
      <c r="C70" s="78">
        <f>SUMIFS('Diario Adm'!$E:$E,'Diario Adm'!$B:$B,C$4,'Diario Adm'!$C:$C,$A70)</f>
        <v>0</v>
      </c>
      <c r="D70" s="78">
        <f>SUMIFS('Diario Adm'!$E:$E,'Diario Adm'!$B:$B,D$4,'Diario Adm'!$C:$C,$A70)</f>
        <v>0</v>
      </c>
      <c r="E70" s="78">
        <f>SUMIFS('Diario Adm'!$E:$E,'Diario Adm'!$B:$B,E$4,'Diario Adm'!$C:$C,$A70)</f>
        <v>0</v>
      </c>
      <c r="F70" s="78">
        <f>SUMIFS('Diario Adm'!$E:$E,'Diario Adm'!$B:$B,F$4,'Diario Adm'!$C:$C,$A70)</f>
        <v>0</v>
      </c>
      <c r="G70" s="78">
        <f>SUMIFS('Diario Adm'!$E:$E,'Diario Adm'!$B:$B,G$4,'Diario Adm'!$C:$C,$A70)</f>
        <v>0</v>
      </c>
      <c r="H70" s="78">
        <f>SUMIFS('Diario Adm'!$E:$E,'Diario Adm'!$B:$B,H$4,'Diario Adm'!$C:$C,$A70)</f>
        <v>0</v>
      </c>
      <c r="I70" s="78">
        <f>SUMIFS('Diario Adm'!$E:$E,'Diario Adm'!$B:$B,I$4,'Diario Adm'!$C:$C,$A70)</f>
        <v>0</v>
      </c>
      <c r="J70" s="78">
        <f>SUMIFS('Diario Adm'!$E:$E,'Diario Adm'!$B:$B,J$4,'Diario Adm'!$C:$C,$A70)</f>
        <v>0</v>
      </c>
      <c r="K70" s="78">
        <f>SUMIFS('Diario Adm'!$E:$E,'Diario Adm'!$B:$B,K$4,'Diario Adm'!$C:$C,$A70)</f>
        <v>0</v>
      </c>
      <c r="L70" s="78">
        <f>SUMIFS('Diario Adm'!$E:$E,'Diario Adm'!$B:$B,L$4,'Diario Adm'!$C:$C,$A70)</f>
        <v>0</v>
      </c>
      <c r="M70" s="78">
        <f>SUMIFS('Diario Adm'!$E:$E,'Diario Adm'!$B:$B,M$4,'Diario Adm'!$C:$C,$A70)</f>
        <v>0</v>
      </c>
      <c r="N70" s="78">
        <f>SUMIFS('Diario Adm'!$E:$E,'Diario Adm'!$B:$B,N$4,'Diario Adm'!$C:$C,$A70)</f>
        <v>0</v>
      </c>
      <c r="O70" s="55"/>
      <c r="P70" s="146">
        <f t="shared" si="5"/>
        <v>0</v>
      </c>
    </row>
    <row r="71" spans="1:18" ht="14.3" hidden="1" customHeight="1" x14ac:dyDescent="0.25">
      <c r="A71" s="162">
        <v>4670</v>
      </c>
      <c r="B71" s="190" t="str">
        <f>VLOOKUP(A71,Plan!A:B,2,0)</f>
        <v>Pastoral Juvenil</v>
      </c>
      <c r="C71" s="78">
        <f>SUMIFS('Diario Adm'!$E:$E,'Diario Adm'!$B:$B,C$4,'Diario Adm'!$C:$C,$A71)</f>
        <v>0</v>
      </c>
      <c r="D71" s="78">
        <f>SUMIFS('Diario Adm'!$E:$E,'Diario Adm'!$B:$B,D$4,'Diario Adm'!$C:$C,$A71)</f>
        <v>0</v>
      </c>
      <c r="E71" s="78">
        <f>SUMIFS('Diario Adm'!$E:$E,'Diario Adm'!$B:$B,E$4,'Diario Adm'!$C:$C,$A71)</f>
        <v>0</v>
      </c>
      <c r="F71" s="78">
        <f>SUMIFS('Diario Adm'!$E:$E,'Diario Adm'!$B:$B,F$4,'Diario Adm'!$C:$C,$A71)</f>
        <v>0</v>
      </c>
      <c r="G71" s="78">
        <f>SUMIFS('Diario Adm'!$E:$E,'Diario Adm'!$B:$B,G$4,'Diario Adm'!$C:$C,$A71)</f>
        <v>0</v>
      </c>
      <c r="H71" s="78">
        <f>SUMIFS('Diario Adm'!$E:$E,'Diario Adm'!$B:$B,H$4,'Diario Adm'!$C:$C,$A71)</f>
        <v>0</v>
      </c>
      <c r="I71" s="78">
        <f>SUMIFS('Diario Adm'!$E:$E,'Diario Adm'!$B:$B,I$4,'Diario Adm'!$C:$C,$A71)</f>
        <v>0</v>
      </c>
      <c r="J71" s="78">
        <f>SUMIFS('Diario Adm'!$E:$E,'Diario Adm'!$B:$B,J$4,'Diario Adm'!$C:$C,$A71)</f>
        <v>0</v>
      </c>
      <c r="K71" s="78">
        <f>SUMIFS('Diario Adm'!$E:$E,'Diario Adm'!$B:$B,K$4,'Diario Adm'!$C:$C,$A71)</f>
        <v>0</v>
      </c>
      <c r="L71" s="78">
        <f>SUMIFS('Diario Adm'!$E:$E,'Diario Adm'!$B:$B,L$4,'Diario Adm'!$C:$C,$A71)</f>
        <v>0</v>
      </c>
      <c r="M71" s="78">
        <f>SUMIFS('Diario Adm'!$E:$E,'Diario Adm'!$B:$B,M$4,'Diario Adm'!$C:$C,$A71)</f>
        <v>0</v>
      </c>
      <c r="N71" s="78">
        <f>SUMIFS('Diario Adm'!$E:$E,'Diario Adm'!$B:$B,N$4,'Diario Adm'!$C:$C,$A71)</f>
        <v>0</v>
      </c>
      <c r="O71" s="55"/>
      <c r="P71" s="146">
        <f t="shared" si="5"/>
        <v>0</v>
      </c>
    </row>
    <row r="72" spans="1:18" ht="14.3" customHeight="1" x14ac:dyDescent="0.25">
      <c r="A72" s="162">
        <v>4680</v>
      </c>
      <c r="B72" s="190" t="str">
        <f>VLOOKUP(A72,Plan!A:B,2,0)</f>
        <v>Pastoral Comunicacional</v>
      </c>
      <c r="C72" s="78">
        <f>SUMIFS('Diario Adm'!$E:$E,'Diario Adm'!$B:$B,C$4,'Diario Adm'!$C:$C,$A72)</f>
        <v>477848</v>
      </c>
      <c r="D72" s="78">
        <f>SUMIFS('Diario Adm'!$E:$E,'Diario Adm'!$B:$B,D$4,'Diario Adm'!$C:$C,$A72)</f>
        <v>477893</v>
      </c>
      <c r="E72" s="78">
        <f>SUMIFS('Diario Adm'!$E:$E,'Diario Adm'!$B:$B,E$4,'Diario Adm'!$C:$C,$A72)</f>
        <v>478099</v>
      </c>
      <c r="F72" s="78">
        <f>SUMIFS('Diario Adm'!$E:$E,'Diario Adm'!$B:$B,F$4,'Diario Adm'!$C:$C,$A72)</f>
        <v>478498</v>
      </c>
      <c r="G72" s="78">
        <f>SUMIFS('Diario Adm'!$E:$E,'Diario Adm'!$B:$B,G$4,'Diario Adm'!$C:$C,$A72)</f>
        <v>478358</v>
      </c>
      <c r="H72" s="78">
        <f>SUMIFS('Diario Adm'!$E:$E,'Diario Adm'!$B:$B,H$4,'Diario Adm'!$C:$C,$A72)</f>
        <v>369248</v>
      </c>
      <c r="I72" s="78">
        <f>SUMIFS('Diario Adm'!$E:$E,'Diario Adm'!$B:$B,I$4,'Diario Adm'!$C:$C,$A72)</f>
        <v>423803</v>
      </c>
      <c r="J72" s="78">
        <f>SUMIFS('Diario Adm'!$E:$E,'Diario Adm'!$B:$B,J$4,'Diario Adm'!$C:$C,$A72)</f>
        <v>424803</v>
      </c>
      <c r="K72" s="78">
        <f>SUMIFS('Diario Adm'!$E:$E,'Diario Adm'!$B:$B,K$4,'Diario Adm'!$C:$C,$A72)</f>
        <v>423803</v>
      </c>
      <c r="L72" s="78">
        <f>SUMIFS('Diario Adm'!$E:$E,'Diario Adm'!$B:$B,L$4,'Diario Adm'!$C:$C,$A72)</f>
        <v>426538</v>
      </c>
      <c r="M72" s="78">
        <f>SUMIFS('Diario Adm'!$E:$E,'Diario Adm'!$B:$B,M$4,'Diario Adm'!$C:$C,$A72)</f>
        <v>425803</v>
      </c>
      <c r="N72" s="78">
        <f>SUMIFS('Diario Adm'!$E:$E,'Diario Adm'!$B:$B,N$4,'Diario Adm'!$C:$C,$A72)</f>
        <v>424762</v>
      </c>
      <c r="O72" s="55"/>
      <c r="P72" s="146">
        <f t="shared" si="5"/>
        <v>5309456</v>
      </c>
    </row>
    <row r="73" spans="1:18" ht="14.3" hidden="1" customHeight="1" x14ac:dyDescent="0.25">
      <c r="A73" s="162">
        <v>4654</v>
      </c>
      <c r="B73" s="190" t="str">
        <f>VLOOKUP(A73,Plan!A:B,2,0)</f>
        <v xml:space="preserve">            Parroquia Santa Maria</v>
      </c>
      <c r="C73" s="78">
        <f>SUMIFS('Diario Adm'!$E:$E,'Diario Adm'!$B:$B,C$4,'Diario Adm'!$C:$C,$A73)</f>
        <v>0</v>
      </c>
      <c r="D73" s="78">
        <f>SUMIFS('Diario Adm'!$E:$E,'Diario Adm'!$B:$B,D$4,'Diario Adm'!$C:$C,$A73)</f>
        <v>0</v>
      </c>
      <c r="E73" s="78">
        <f>SUMIFS('Diario Adm'!$E:$E,'Diario Adm'!$B:$B,E$4,'Diario Adm'!$C:$C,$A73)</f>
        <v>0</v>
      </c>
      <c r="F73" s="78">
        <f>SUMIFS('Diario Adm'!$E:$E,'Diario Adm'!$B:$B,F$4,'Diario Adm'!$C:$C,$A73)</f>
        <v>0</v>
      </c>
      <c r="G73" s="78">
        <f>SUMIFS('Diario Adm'!$E:$E,'Diario Adm'!$B:$B,G$4,'Diario Adm'!$C:$C,$A73)</f>
        <v>0</v>
      </c>
      <c r="H73" s="78">
        <f>SUMIFS('Diario Adm'!$E:$E,'Diario Adm'!$B:$B,H$4,'Diario Adm'!$C:$C,$A73)</f>
        <v>0</v>
      </c>
      <c r="I73" s="78">
        <f>SUMIFS('Diario Adm'!$E:$E,'Diario Adm'!$B:$B,I$4,'Diario Adm'!$C:$C,$A73)</f>
        <v>0</v>
      </c>
      <c r="J73" s="78">
        <f>SUMIFS('Diario Adm'!$E:$E,'Diario Adm'!$B:$B,J$4,'Diario Adm'!$C:$C,$A73)</f>
        <v>0</v>
      </c>
      <c r="K73" s="78">
        <f>SUMIFS('Diario Adm'!$E:$E,'Diario Adm'!$B:$B,K$4,'Diario Adm'!$C:$C,$A73)</f>
        <v>0</v>
      </c>
      <c r="L73" s="78">
        <f>SUMIFS('Diario Adm'!$E:$E,'Diario Adm'!$B:$B,L$4,'Diario Adm'!$C:$C,$A73)</f>
        <v>0</v>
      </c>
      <c r="M73" s="78">
        <f>SUMIFS('Diario Adm'!$E:$E,'Diario Adm'!$B:$B,M$4,'Diario Adm'!$C:$C,$A73)</f>
        <v>0</v>
      </c>
      <c r="N73" s="78">
        <f>SUMIFS('Diario Adm'!$E:$E,'Diario Adm'!$B:$B,N$4,'Diario Adm'!$C:$C,$A73)</f>
        <v>0</v>
      </c>
      <c r="O73" s="55"/>
      <c r="P73" s="205">
        <f>SUM(C73:N73)</f>
        <v>0</v>
      </c>
    </row>
    <row r="74" spans="1:18" ht="14.3" customHeight="1" x14ac:dyDescent="0.25">
      <c r="A74" s="170">
        <v>4810</v>
      </c>
      <c r="B74" s="190" t="str">
        <f>VLOOKUP(A74,Plan!A:B,2,0)</f>
        <v>Encuentros y convivencias</v>
      </c>
      <c r="C74" s="78">
        <f>SUMIFS('Diario Adm'!$E:$E,'Diario Adm'!$B:$B,C$4,'Diario Adm'!$C:$C,$A74)</f>
        <v>0</v>
      </c>
      <c r="D74" s="78">
        <f>SUMIFS('Diario Adm'!$E:$E,'Diario Adm'!$B:$B,D$4,'Diario Adm'!$C:$C,$A74)</f>
        <v>0</v>
      </c>
      <c r="E74" s="78">
        <f>SUMIFS('Diario Adm'!$E:$E,'Diario Adm'!$B:$B,E$4,'Diario Adm'!$C:$C,$A74)</f>
        <v>0</v>
      </c>
      <c r="F74" s="78">
        <f>SUMIFS('Diario Adm'!$E:$E,'Diario Adm'!$B:$B,F$4,'Diario Adm'!$C:$C,$A74)</f>
        <v>0</v>
      </c>
      <c r="G74" s="78">
        <f>SUMIFS('Diario Adm'!$E:$E,'Diario Adm'!$B:$B,G$4,'Diario Adm'!$C:$C,$A74)</f>
        <v>0</v>
      </c>
      <c r="H74" s="78">
        <f>SUMIFS('Diario Adm'!$E:$E,'Diario Adm'!$B:$B,H$4,'Diario Adm'!$C:$C,$A74)</f>
        <v>0</v>
      </c>
      <c r="I74" s="78">
        <f>SUMIFS('Diario Adm'!$E:$E,'Diario Adm'!$B:$B,I$4,'Diario Adm'!$C:$C,$A74)</f>
        <v>0</v>
      </c>
      <c r="J74" s="78">
        <f>SUMIFS('Diario Adm'!$E:$E,'Diario Adm'!$B:$B,J$4,'Diario Adm'!$C:$C,$A74)</f>
        <v>0</v>
      </c>
      <c r="K74" s="78">
        <f>SUMIFS('Diario Adm'!$E:$E,'Diario Adm'!$B:$B,K$4,'Diario Adm'!$C:$C,$A74)</f>
        <v>0</v>
      </c>
      <c r="L74" s="78">
        <f>SUMIFS('Diario Adm'!$E:$E,'Diario Adm'!$B:$B,L$4,'Diario Adm'!$C:$C,$A74)</f>
        <v>30900</v>
      </c>
      <c r="M74" s="78">
        <f>SUMIFS('Diario Adm'!$E:$E,'Diario Adm'!$B:$B,M$4,'Diario Adm'!$C:$C,$A74)</f>
        <v>0</v>
      </c>
      <c r="N74" s="78">
        <f>SUMIFS('Diario Adm'!$E:$E,'Diario Adm'!$B:$B,N$4,'Diario Adm'!$C:$C,$A74)</f>
        <v>0</v>
      </c>
      <c r="O74" s="55"/>
      <c r="P74" s="146">
        <f t="shared" si="5"/>
        <v>30900</v>
      </c>
    </row>
    <row r="75" spans="1:18" ht="14.3" customHeight="1" x14ac:dyDescent="0.25">
      <c r="A75" s="170">
        <v>4820</v>
      </c>
      <c r="B75" s="190" t="str">
        <f>VLOOKUP(A75,Plan!A:B,2,0)</f>
        <v>Navidad</v>
      </c>
      <c r="C75" s="78">
        <f>SUMIFS('Diario Adm'!$E:$E,'Diario Adm'!$B:$B,C$4,'Diario Adm'!$C:$C,$A75)</f>
        <v>0</v>
      </c>
      <c r="D75" s="78">
        <f>SUMIFS('Diario Adm'!$E:$E,'Diario Adm'!$B:$B,D$4,'Diario Adm'!$C:$C,$A75)</f>
        <v>0</v>
      </c>
      <c r="E75" s="78">
        <f>SUMIFS('Diario Adm'!$E:$E,'Diario Adm'!$B:$B,E$4,'Diario Adm'!$C:$C,$A75)</f>
        <v>0</v>
      </c>
      <c r="F75" s="78">
        <f>SUMIFS('Diario Adm'!$E:$E,'Diario Adm'!$B:$B,F$4,'Diario Adm'!$C:$C,$A75)</f>
        <v>0</v>
      </c>
      <c r="G75" s="78">
        <f>SUMIFS('Diario Adm'!$E:$E,'Diario Adm'!$B:$B,G$4,'Diario Adm'!$C:$C,$A75)</f>
        <v>0</v>
      </c>
      <c r="H75" s="78">
        <f>SUMIFS('Diario Adm'!$E:$E,'Diario Adm'!$B:$B,H$4,'Diario Adm'!$C:$C,$A75)</f>
        <v>0</v>
      </c>
      <c r="I75" s="78">
        <f>SUMIFS('Diario Adm'!$E:$E,'Diario Adm'!$B:$B,I$4,'Diario Adm'!$C:$C,$A75)</f>
        <v>0</v>
      </c>
      <c r="J75" s="78">
        <f>SUMIFS('Diario Adm'!$E:$E,'Diario Adm'!$B:$B,J$4,'Diario Adm'!$C:$C,$A75)</f>
        <v>0</v>
      </c>
      <c r="K75" s="78">
        <f>SUMIFS('Diario Adm'!$E:$E,'Diario Adm'!$B:$B,K$4,'Diario Adm'!$C:$C,$A75)</f>
        <v>0</v>
      </c>
      <c r="L75" s="78">
        <f>SUMIFS('Diario Adm'!$E:$E,'Diario Adm'!$B:$B,L$4,'Diario Adm'!$C:$C,$A75)</f>
        <v>0</v>
      </c>
      <c r="M75" s="78">
        <f>SUMIFS('Diario Adm'!$E:$E,'Diario Adm'!$B:$B,M$4,'Diario Adm'!$C:$C,$A75)</f>
        <v>0</v>
      </c>
      <c r="N75" s="78">
        <f>SUMIFS('Diario Adm'!$E:$E,'Diario Adm'!$B:$B,N$4,'Diario Adm'!$C:$C,$A75)</f>
        <v>1775408</v>
      </c>
      <c r="O75" s="55"/>
      <c r="P75" s="146">
        <f t="shared" si="5"/>
        <v>1775408</v>
      </c>
      <c r="R75" s="34"/>
    </row>
    <row r="76" spans="1:18" ht="14.3" hidden="1" customHeight="1" x14ac:dyDescent="0.25">
      <c r="A76" s="170">
        <v>4821</v>
      </c>
      <c r="B76" s="190" t="str">
        <f>VLOOKUP(A76,Plan!A:B,2,0)</f>
        <v>Regalos Navidad</v>
      </c>
      <c r="C76" s="78">
        <f>SUMIFS('Diario Adm'!$E:$E,'Diario Adm'!$B:$B,C$4,'Diario Adm'!$C:$C,$A76)</f>
        <v>0</v>
      </c>
      <c r="D76" s="78">
        <f>SUMIFS('Diario Adm'!$E:$E,'Diario Adm'!$B:$B,D$4,'Diario Adm'!$C:$C,$A76)</f>
        <v>0</v>
      </c>
      <c r="E76" s="78">
        <f>SUMIFS('Diario Adm'!$E:$E,'Diario Adm'!$B:$B,E$4,'Diario Adm'!$C:$C,$A76)</f>
        <v>0</v>
      </c>
      <c r="F76" s="78">
        <f>SUMIFS('Diario Adm'!$E:$E,'Diario Adm'!$B:$B,F$4,'Diario Adm'!$C:$C,$A76)</f>
        <v>0</v>
      </c>
      <c r="G76" s="78">
        <f>SUMIFS('Diario Adm'!$E:$E,'Diario Adm'!$B:$B,G$4,'Diario Adm'!$C:$C,$A76)</f>
        <v>0</v>
      </c>
      <c r="H76" s="78">
        <f>SUMIFS('Diario Adm'!$E:$E,'Diario Adm'!$B:$B,H$4,'Diario Adm'!$C:$C,$A76)</f>
        <v>0</v>
      </c>
      <c r="I76" s="78">
        <f>SUMIFS('Diario Adm'!$E:$E,'Diario Adm'!$B:$B,I$4,'Diario Adm'!$C:$C,$A76)</f>
        <v>0</v>
      </c>
      <c r="J76" s="78">
        <f>SUMIFS('Diario Adm'!$E:$E,'Diario Adm'!$B:$B,J$4,'Diario Adm'!$C:$C,$A76)</f>
        <v>0</v>
      </c>
      <c r="K76" s="78">
        <f>SUMIFS('Diario Adm'!$E:$E,'Diario Adm'!$B:$B,K$4,'Diario Adm'!$C:$C,$A76)</f>
        <v>0</v>
      </c>
      <c r="L76" s="78">
        <f>SUMIFS('Diario Adm'!$E:$E,'Diario Adm'!$B:$B,L$4,'Diario Adm'!$C:$C,$A76)</f>
        <v>0</v>
      </c>
      <c r="M76" s="78">
        <f>SUMIFS('Diario Adm'!$E:$E,'Diario Adm'!$B:$B,M$4,'Diario Adm'!$C:$C,$A76)</f>
        <v>0</v>
      </c>
      <c r="N76" s="78">
        <f>SUMIFS('Diario Adm'!$E:$E,'Diario Adm'!$B:$B,N$4,'Diario Adm'!$C:$C,$A76)</f>
        <v>0</v>
      </c>
      <c r="O76" s="55"/>
      <c r="P76" s="146">
        <f>SUM(C76:N76)</f>
        <v>0</v>
      </c>
    </row>
    <row r="77" spans="1:18" ht="14.3" customHeight="1" x14ac:dyDescent="0.25">
      <c r="A77" s="170">
        <v>4822</v>
      </c>
      <c r="B77" s="190" t="str">
        <f>VLOOKUP(A77,Plan!A:B,2,0)</f>
        <v>Caja de Navidad</v>
      </c>
      <c r="C77" s="78">
        <f>SUMIFS('Diario Adm'!$E:$E,'Diario Adm'!$B:$B,C$4,'Diario Adm'!$C:$C,$A77)</f>
        <v>0</v>
      </c>
      <c r="D77" s="78">
        <f>SUMIFS('Diario Adm'!$E:$E,'Diario Adm'!$B:$B,D$4,'Diario Adm'!$C:$C,$A77)</f>
        <v>0</v>
      </c>
      <c r="E77" s="78">
        <f>SUMIFS('Diario Adm'!$E:$E,'Diario Adm'!$B:$B,E$4,'Diario Adm'!$C:$C,$A77)</f>
        <v>0</v>
      </c>
      <c r="F77" s="78">
        <f>SUMIFS('Diario Adm'!$E:$E,'Diario Adm'!$B:$B,F$4,'Diario Adm'!$C:$C,$A77)</f>
        <v>0</v>
      </c>
      <c r="G77" s="78">
        <f>SUMIFS('Diario Adm'!$E:$E,'Diario Adm'!$B:$B,G$4,'Diario Adm'!$C:$C,$A77)</f>
        <v>0</v>
      </c>
      <c r="H77" s="78">
        <f>SUMIFS('Diario Adm'!$E:$E,'Diario Adm'!$B:$B,H$4,'Diario Adm'!$C:$C,$A77)</f>
        <v>0</v>
      </c>
      <c r="I77" s="78">
        <f>SUMIFS('Diario Adm'!$E:$E,'Diario Adm'!$B:$B,I$4,'Diario Adm'!$C:$C,$A77)</f>
        <v>0</v>
      </c>
      <c r="J77" s="78">
        <f>SUMIFS('Diario Adm'!$E:$E,'Diario Adm'!$B:$B,J$4,'Diario Adm'!$C:$C,$A77)</f>
        <v>0</v>
      </c>
      <c r="K77" s="78">
        <f>SUMIFS('Diario Adm'!$E:$E,'Diario Adm'!$B:$B,K$4,'Diario Adm'!$C:$C,$A77)</f>
        <v>0</v>
      </c>
      <c r="L77" s="78">
        <f>SUMIFS('Diario Adm'!$E:$E,'Diario Adm'!$B:$B,L$4,'Diario Adm'!$C:$C,$A77)</f>
        <v>0</v>
      </c>
      <c r="M77" s="78">
        <f>SUMIFS('Diario Adm'!$E:$E,'Diario Adm'!$B:$B,M$4,'Diario Adm'!$C:$C,$A77)</f>
        <v>59000</v>
      </c>
      <c r="N77" s="78">
        <f>SUMIFS('Diario Adm'!$E:$E,'Diario Adm'!$B:$B,N$4,'Diario Adm'!$C:$C,$A77)</f>
        <v>19768000</v>
      </c>
      <c r="O77" s="55"/>
      <c r="P77" s="146">
        <f>SUM(C77:N77)</f>
        <v>19827000</v>
      </c>
    </row>
    <row r="78" spans="1:18" ht="14.3" hidden="1" customHeight="1" x14ac:dyDescent="0.25">
      <c r="A78" s="170">
        <v>4830</v>
      </c>
      <c r="B78" s="190" t="str">
        <f>VLOOKUP(A78,Plan!A:B,2,0)</f>
        <v>Dia San Alberto Hurtado</v>
      </c>
      <c r="C78" s="78">
        <f>SUMIFS('Diario Adm'!$E:$E,'Diario Adm'!$B:$B,C$4,'Diario Adm'!$C:$C,$A78)</f>
        <v>0</v>
      </c>
      <c r="D78" s="78">
        <f>SUMIFS('Diario Adm'!$E:$E,'Diario Adm'!$B:$B,D$4,'Diario Adm'!$C:$C,$A78)</f>
        <v>0</v>
      </c>
      <c r="E78" s="78">
        <f>SUMIFS('Diario Adm'!$E:$E,'Diario Adm'!$B:$B,E$4,'Diario Adm'!$C:$C,$A78)</f>
        <v>0</v>
      </c>
      <c r="F78" s="78">
        <f>SUMIFS('Diario Adm'!$E:$E,'Diario Adm'!$B:$B,F$4,'Diario Adm'!$C:$C,$A78)</f>
        <v>0</v>
      </c>
      <c r="G78" s="78">
        <f>SUMIFS('Diario Adm'!$E:$E,'Diario Adm'!$B:$B,G$4,'Diario Adm'!$C:$C,$A78)</f>
        <v>0</v>
      </c>
      <c r="H78" s="78">
        <f>SUMIFS('Diario Adm'!$E:$E,'Diario Adm'!$B:$B,H$4,'Diario Adm'!$C:$C,$A78)</f>
        <v>0</v>
      </c>
      <c r="I78" s="78">
        <f>SUMIFS('Diario Adm'!$E:$E,'Diario Adm'!$B:$B,I$4,'Diario Adm'!$C:$C,$A78)</f>
        <v>0</v>
      </c>
      <c r="J78" s="78">
        <f>SUMIFS('Diario Adm'!$E:$E,'Diario Adm'!$B:$B,J$4,'Diario Adm'!$C:$C,$A78)</f>
        <v>0</v>
      </c>
      <c r="K78" s="78">
        <f>SUMIFS('Diario Adm'!$E:$E,'Diario Adm'!$B:$B,K$4,'Diario Adm'!$C:$C,$A78)</f>
        <v>0</v>
      </c>
      <c r="L78" s="78">
        <f>SUMIFS('Diario Adm'!$E:$E,'Diario Adm'!$B:$B,L$4,'Diario Adm'!$C:$C,$A78)</f>
        <v>0</v>
      </c>
      <c r="M78" s="78">
        <f>SUMIFS('Diario Adm'!$E:$E,'Diario Adm'!$B:$B,M$4,'Diario Adm'!$C:$C,$A78)</f>
        <v>0</v>
      </c>
      <c r="N78" s="78">
        <f>SUMIFS('Diario Adm'!$E:$E,'Diario Adm'!$B:$B,N$4,'Diario Adm'!$C:$C,$A78)</f>
        <v>0</v>
      </c>
      <c r="O78" s="55"/>
      <c r="P78" s="146">
        <f t="shared" si="5"/>
        <v>0</v>
      </c>
    </row>
    <row r="79" spans="1:18" ht="14.3" hidden="1" customHeight="1" x14ac:dyDescent="0.25">
      <c r="A79" s="170">
        <v>4840</v>
      </c>
      <c r="B79" s="190" t="str">
        <f>VLOOKUP(A79,Plan!A:B,2,0)</f>
        <v>Mes de Maria</v>
      </c>
      <c r="C79" s="78">
        <f>SUMIFS('Diario Adm'!$E:$E,'Diario Adm'!$B:$B,C$4,'Diario Adm'!$C:$C,$A79)</f>
        <v>0</v>
      </c>
      <c r="D79" s="78">
        <f>SUMIFS('Diario Adm'!$E:$E,'Diario Adm'!$B:$B,D$4,'Diario Adm'!$C:$C,$A79)</f>
        <v>0</v>
      </c>
      <c r="E79" s="78">
        <f>SUMIFS('Diario Adm'!$E:$E,'Diario Adm'!$B:$B,E$4,'Diario Adm'!$C:$C,$A79)</f>
        <v>0</v>
      </c>
      <c r="F79" s="78">
        <f>SUMIFS('Diario Adm'!$E:$E,'Diario Adm'!$B:$B,F$4,'Diario Adm'!$C:$C,$A79)</f>
        <v>0</v>
      </c>
      <c r="G79" s="78">
        <f>SUMIFS('Diario Adm'!$E:$E,'Diario Adm'!$B:$B,G$4,'Diario Adm'!$C:$C,$A79)</f>
        <v>0</v>
      </c>
      <c r="H79" s="78">
        <f>SUMIFS('Diario Adm'!$E:$E,'Diario Adm'!$B:$B,H$4,'Diario Adm'!$C:$C,$A79)</f>
        <v>0</v>
      </c>
      <c r="I79" s="78">
        <f>SUMIFS('Diario Adm'!$E:$E,'Diario Adm'!$B:$B,I$4,'Diario Adm'!$C:$C,$A79)</f>
        <v>0</v>
      </c>
      <c r="J79" s="78">
        <f>SUMIFS('Diario Adm'!$E:$E,'Diario Adm'!$B:$B,J$4,'Diario Adm'!$C:$C,$A79)</f>
        <v>0</v>
      </c>
      <c r="K79" s="78">
        <f>SUMIFS('Diario Adm'!$E:$E,'Diario Adm'!$B:$B,K$4,'Diario Adm'!$C:$C,$A79)</f>
        <v>0</v>
      </c>
      <c r="L79" s="78">
        <f>SUMIFS('Diario Adm'!$E:$E,'Diario Adm'!$B:$B,L$4,'Diario Adm'!$C:$C,$A79)</f>
        <v>0</v>
      </c>
      <c r="M79" s="78">
        <f>SUMIFS('Diario Adm'!$E:$E,'Diario Adm'!$B:$B,M$4,'Diario Adm'!$C:$C,$A79)</f>
        <v>0</v>
      </c>
      <c r="N79" s="78">
        <f>SUMIFS('Diario Adm'!$E:$E,'Diario Adm'!$B:$B,N$4,'Diario Adm'!$C:$C,$A79)</f>
        <v>0</v>
      </c>
      <c r="O79" s="55"/>
      <c r="P79" s="146">
        <f t="shared" si="5"/>
        <v>0</v>
      </c>
    </row>
    <row r="80" spans="1:18" s="268" customFormat="1" ht="14.3" hidden="1" customHeight="1" x14ac:dyDescent="0.25">
      <c r="A80" s="162">
        <v>4850</v>
      </c>
      <c r="B80" s="270" t="str">
        <f>VLOOKUP(A80,Plan!A:B,2,0)</f>
        <v>Semana Santa</v>
      </c>
      <c r="C80" s="78">
        <f>SUMIFS('Diario Adm'!$E:$E,'Diario Adm'!$B:$B,C$4,'Diario Adm'!$C:$C,$A80)</f>
        <v>0</v>
      </c>
      <c r="D80" s="78">
        <f>SUMIFS('Diario Adm'!$E:$E,'Diario Adm'!$B:$B,D$4,'Diario Adm'!$C:$C,$A80)</f>
        <v>0</v>
      </c>
      <c r="E80" s="78">
        <f>SUMIFS('Diario Adm'!$E:$E,'Diario Adm'!$B:$B,E$4,'Diario Adm'!$C:$C,$A80)</f>
        <v>0</v>
      </c>
      <c r="F80" s="78">
        <f>SUMIFS('Diario Adm'!$E:$E,'Diario Adm'!$B:$B,F$4,'Diario Adm'!$C:$C,$A80)</f>
        <v>0</v>
      </c>
      <c r="G80" s="78">
        <f>SUMIFS('Diario Adm'!$E:$E,'Diario Adm'!$B:$B,G$4,'Diario Adm'!$C:$C,$A80)</f>
        <v>0</v>
      </c>
      <c r="H80" s="78">
        <f>SUMIFS('Diario Adm'!$E:$E,'Diario Adm'!$B:$B,H$4,'Diario Adm'!$C:$C,$A80)</f>
        <v>0</v>
      </c>
      <c r="I80" s="78">
        <f>SUMIFS('Diario Adm'!$E:$E,'Diario Adm'!$B:$B,I$4,'Diario Adm'!$C:$C,$A80)</f>
        <v>0</v>
      </c>
      <c r="J80" s="78">
        <f>SUMIFS('Diario Adm'!$E:$E,'Diario Adm'!$B:$B,J$4,'Diario Adm'!$C:$C,$A80)</f>
        <v>0</v>
      </c>
      <c r="K80" s="78">
        <f>SUMIFS('Diario Adm'!$E:$E,'Diario Adm'!$B:$B,K$4,'Diario Adm'!$C:$C,$A80)</f>
        <v>0</v>
      </c>
      <c r="L80" s="78">
        <f>SUMIFS('Diario Adm'!$E:$E,'Diario Adm'!$B:$B,L$4,'Diario Adm'!$C:$C,$A80)</f>
        <v>0</v>
      </c>
      <c r="M80" s="78">
        <f>SUMIFS('Diario Adm'!$E:$E,'Diario Adm'!$B:$B,M$4,'Diario Adm'!$C:$C,$A80)</f>
        <v>0</v>
      </c>
      <c r="N80" s="78">
        <f>SUMIFS('Diario Adm'!$E:$E,'Diario Adm'!$B:$B,N$4,'Diario Adm'!$C:$C,$A80)</f>
        <v>0</v>
      </c>
      <c r="O80" s="271"/>
      <c r="P80" s="269">
        <f t="shared" si="5"/>
        <v>0</v>
      </c>
    </row>
    <row r="81" spans="1:19" ht="14.3" customHeight="1" x14ac:dyDescent="0.25">
      <c r="A81" s="168">
        <v>4860</v>
      </c>
      <c r="B81" s="190" t="str">
        <f>VLOOKUP(A81,Plan!A:B,2,0)</f>
        <v>Otros</v>
      </c>
      <c r="C81" s="78">
        <f>SUMIFS('Diario Adm'!$E:$E,'Diario Adm'!$B:$B,C$4,'Diario Adm'!$C:$C,$A81)</f>
        <v>48709</v>
      </c>
      <c r="D81" s="78">
        <f>SUMIFS('Diario Adm'!$E:$E,'Diario Adm'!$B:$B,D$4,'Diario Adm'!$C:$C,$A81)</f>
        <v>5718</v>
      </c>
      <c r="E81" s="78">
        <f>SUMIFS('Diario Adm'!$E:$E,'Diario Adm'!$B:$B,E$4,'Diario Adm'!$C:$C,$A81)</f>
        <v>89169</v>
      </c>
      <c r="F81" s="78">
        <f>SUMIFS('Diario Adm'!$E:$E,'Diario Adm'!$B:$B,F$4,'Diario Adm'!$C:$C,$A81)</f>
        <v>3322</v>
      </c>
      <c r="G81" s="78">
        <f>SUMIFS('Diario Adm'!$E:$E,'Diario Adm'!$B:$B,G$4,'Diario Adm'!$C:$C,$A81)</f>
        <v>2457</v>
      </c>
      <c r="H81" s="78">
        <f>SUMIFS('Diario Adm'!$E:$E,'Diario Adm'!$B:$B,H$4,'Diario Adm'!$C:$C,$A81)</f>
        <v>4229</v>
      </c>
      <c r="I81" s="78">
        <f>SUMIFS('Diario Adm'!$E:$E,'Diario Adm'!$B:$B,I$4,'Diario Adm'!$C:$C,$A81)</f>
        <v>2829</v>
      </c>
      <c r="J81" s="78">
        <f>SUMIFS('Diario Adm'!$E:$E,'Diario Adm'!$B:$B,J$4,'Diario Adm'!$C:$C,$A81)</f>
        <v>4957</v>
      </c>
      <c r="K81" s="78">
        <f>SUMIFS('Diario Adm'!$E:$E,'Diario Adm'!$B:$B,K$4,'Diario Adm'!$C:$C,$A81)</f>
        <v>28126</v>
      </c>
      <c r="L81" s="78">
        <f>SUMIFS('Diario Adm'!$E:$E,'Diario Adm'!$B:$B,L$4,'Diario Adm'!$C:$C,$A81)</f>
        <v>21300</v>
      </c>
      <c r="M81" s="78">
        <f>SUMIFS('Diario Adm'!$E:$E,'Diario Adm'!$B:$B,M$4,'Diario Adm'!$C:$C,$A81)</f>
        <v>26363</v>
      </c>
      <c r="N81" s="78">
        <f>SUMIFS('Diario Adm'!$E:$E,'Diario Adm'!$B:$B,N$4,'Diario Adm'!$C:$C,$A81)</f>
        <v>592851</v>
      </c>
      <c r="O81" s="55"/>
      <c r="P81" s="146">
        <f t="shared" si="5"/>
        <v>830030</v>
      </c>
    </row>
    <row r="82" spans="1:19" ht="14.3" customHeight="1" x14ac:dyDescent="0.25">
      <c r="A82" s="168">
        <v>4861</v>
      </c>
      <c r="B82" s="190" t="str">
        <f>VLOOKUP(A82,Plan!A:B,2,0)</f>
        <v>Curso Biblia</v>
      </c>
      <c r="C82" s="78">
        <f>SUMIFS('Diario Adm'!$E:$E,'Diario Adm'!$B:$B,C$4,'Diario Adm'!$C:$C,$A82)</f>
        <v>0</v>
      </c>
      <c r="D82" s="78">
        <f>SUMIFS('Diario Adm'!$E:$E,'Diario Adm'!$B:$B,D$4,'Diario Adm'!$C:$C,$A82)</f>
        <v>0</v>
      </c>
      <c r="E82" s="78">
        <f>SUMIFS('Diario Adm'!$E:$E,'Diario Adm'!$B:$B,E$4,'Diario Adm'!$C:$C,$A82)</f>
        <v>0</v>
      </c>
      <c r="F82" s="78">
        <f>SUMIFS('Diario Adm'!$E:$E,'Diario Adm'!$B:$B,F$4,'Diario Adm'!$C:$C,$A82)</f>
        <v>245250</v>
      </c>
      <c r="G82" s="78">
        <f>SUMIFS('Diario Adm'!$E:$E,'Diario Adm'!$B:$B,G$4,'Diario Adm'!$C:$C,$A82)</f>
        <v>292750</v>
      </c>
      <c r="H82" s="78">
        <f>SUMIFS('Diario Adm'!$E:$E,'Diario Adm'!$B:$B,H$4,'Diario Adm'!$C:$C,$A82)</f>
        <v>0</v>
      </c>
      <c r="I82" s="78">
        <f>SUMIFS('Diario Adm'!$E:$E,'Diario Adm'!$B:$B,I$4,'Diario Adm'!$C:$C,$A82)</f>
        <v>0</v>
      </c>
      <c r="J82" s="78">
        <f>SUMIFS('Diario Adm'!$E:$E,'Diario Adm'!$B:$B,J$4,'Diario Adm'!$C:$C,$A82)</f>
        <v>500000</v>
      </c>
      <c r="K82" s="78">
        <f>SUMIFS('Diario Adm'!$E:$E,'Diario Adm'!$B:$B,K$4,'Diario Adm'!$C:$C,$A82)</f>
        <v>430000</v>
      </c>
      <c r="L82" s="78">
        <f>SUMIFS('Diario Adm'!$E:$E,'Diario Adm'!$B:$B,L$4,'Diario Adm'!$C:$C,$A82)</f>
        <v>0</v>
      </c>
      <c r="M82" s="78">
        <f>SUMIFS('Diario Adm'!$E:$E,'Diario Adm'!$B:$B,M$4,'Diario Adm'!$C:$C,$A82)</f>
        <v>0</v>
      </c>
      <c r="N82" s="78">
        <f>SUMIFS('Diario Adm'!$E:$E,'Diario Adm'!$B:$B,N$4,'Diario Adm'!$C:$C,$A82)</f>
        <v>705000</v>
      </c>
      <c r="O82" s="55"/>
      <c r="P82" s="146">
        <f>SUM(C82:N82)</f>
        <v>2173000</v>
      </c>
      <c r="R82" s="39">
        <f>+P15</f>
        <v>2173000</v>
      </c>
      <c r="S82" s="44">
        <f>+R82-P82</f>
        <v>0</v>
      </c>
    </row>
    <row r="83" spans="1:19" ht="14.3" hidden="1" customHeight="1" x14ac:dyDescent="0.25">
      <c r="A83" s="170">
        <v>4910</v>
      </c>
      <c r="B83" s="190" t="str">
        <f>VLOOKUP(A83,Plan!A:B,2,0)</f>
        <v>Casa de Dios</v>
      </c>
      <c r="C83" s="78">
        <f>SUMIFS('Diario Adm'!$E:$E,'Diario Adm'!$B:$B,C$4,'Diario Adm'!$C:$C,$A83)</f>
        <v>0</v>
      </c>
      <c r="D83" s="78">
        <f>SUMIFS('Diario Adm'!$E:$E,'Diario Adm'!$B:$B,D$4,'Diario Adm'!$C:$C,$A83)</f>
        <v>0</v>
      </c>
      <c r="E83" s="78">
        <f>SUMIFS('Diario Adm'!$E:$E,'Diario Adm'!$B:$B,E$4,'Diario Adm'!$C:$C,$A83)</f>
        <v>0</v>
      </c>
      <c r="F83" s="78">
        <f>SUMIFS('Diario Adm'!$E:$E,'Diario Adm'!$B:$B,F$4,'Diario Adm'!$C:$C,$A83)</f>
        <v>0</v>
      </c>
      <c r="G83" s="78">
        <f>SUMIFS('Diario Adm'!$E:$E,'Diario Adm'!$B:$B,G$4,'Diario Adm'!$C:$C,$A83)</f>
        <v>0</v>
      </c>
      <c r="H83" s="78">
        <f>SUMIFS('Diario Adm'!$E:$E,'Diario Adm'!$B:$B,H$4,'Diario Adm'!$C:$C,$A83)</f>
        <v>0</v>
      </c>
      <c r="I83" s="78">
        <f>SUMIFS('Diario Adm'!$E:$E,'Diario Adm'!$B:$B,I$4,'Diario Adm'!$C:$C,$A83)</f>
        <v>0</v>
      </c>
      <c r="J83" s="78">
        <f>SUMIFS('Diario Adm'!$E:$E,'Diario Adm'!$B:$B,J$4,'Diario Adm'!$C:$C,$A83)</f>
        <v>0</v>
      </c>
      <c r="K83" s="78">
        <f>SUMIFS('Diario Adm'!$E:$E,'Diario Adm'!$B:$B,K$4,'Diario Adm'!$C:$C,$A83)</f>
        <v>0</v>
      </c>
      <c r="L83" s="78">
        <f>SUMIFS('Diario Adm'!$E:$E,'Diario Adm'!$B:$B,L$4,'Diario Adm'!$C:$C,$A83)</f>
        <v>0</v>
      </c>
      <c r="M83" s="78">
        <f>SUMIFS('Diario Adm'!$E:$E,'Diario Adm'!$B:$B,M$4,'Diario Adm'!$C:$C,$A83)</f>
        <v>0</v>
      </c>
      <c r="N83" s="78">
        <f>SUMIFS('Diario Adm'!$E:$E,'Diario Adm'!$B:$B,N$4,'Diario Adm'!$C:$C,$A83)</f>
        <v>0</v>
      </c>
      <c r="O83" s="55"/>
      <c r="P83" s="146">
        <f t="shared" si="5"/>
        <v>0</v>
      </c>
    </row>
    <row r="84" spans="1:19" ht="14.3" hidden="1" customHeight="1" x14ac:dyDescent="0.25">
      <c r="A84" s="170">
        <v>4920</v>
      </c>
      <c r="B84" s="190" t="str">
        <f>VLOOKUP(A84,Plan!A:B,2,0)</f>
        <v>Incami</v>
      </c>
      <c r="C84" s="78">
        <f>SUMIFS('Diario Adm'!$E:$E,'Diario Adm'!$B:$B,C$4,'Diario Adm'!$C:$C,$A84)</f>
        <v>0</v>
      </c>
      <c r="D84" s="78">
        <f>SUMIFS('Diario Adm'!$E:$E,'Diario Adm'!$B:$B,D$4,'Diario Adm'!$C:$C,$A84)</f>
        <v>0</v>
      </c>
      <c r="E84" s="78">
        <f>SUMIFS('Diario Adm'!$E:$E,'Diario Adm'!$B:$B,E$4,'Diario Adm'!$C:$C,$A84)</f>
        <v>0</v>
      </c>
      <c r="F84" s="78">
        <f>SUMIFS('Diario Adm'!$E:$E,'Diario Adm'!$B:$B,F$4,'Diario Adm'!$C:$C,$A84)</f>
        <v>0</v>
      </c>
      <c r="G84" s="78">
        <f>SUMIFS('Diario Adm'!$E:$E,'Diario Adm'!$B:$B,G$4,'Diario Adm'!$C:$C,$A84)</f>
        <v>0</v>
      </c>
      <c r="H84" s="78">
        <f>SUMIFS('Diario Adm'!$E:$E,'Diario Adm'!$B:$B,H$4,'Diario Adm'!$C:$C,$A84)</f>
        <v>0</v>
      </c>
      <c r="I84" s="78">
        <f>SUMIFS('Diario Adm'!$E:$E,'Diario Adm'!$B:$B,I$4,'Diario Adm'!$C:$C,$A84)</f>
        <v>0</v>
      </c>
      <c r="J84" s="78">
        <f>SUMIFS('Diario Adm'!$E:$E,'Diario Adm'!$B:$B,J$4,'Diario Adm'!$C:$C,$A84)</f>
        <v>0</v>
      </c>
      <c r="K84" s="78">
        <f>SUMIFS('Diario Adm'!$E:$E,'Diario Adm'!$B:$B,K$4,'Diario Adm'!$C:$C,$A84)</f>
        <v>0</v>
      </c>
      <c r="L84" s="78">
        <f>SUMIFS('Diario Adm'!$E:$E,'Diario Adm'!$B:$B,L$4,'Diario Adm'!$C:$C,$A84)</f>
        <v>0</v>
      </c>
      <c r="M84" s="78">
        <f>SUMIFS('Diario Adm'!$E:$E,'Diario Adm'!$B:$B,M$4,'Diario Adm'!$C:$C,$A84)</f>
        <v>0</v>
      </c>
      <c r="N84" s="78">
        <f>SUMIFS('Diario Adm'!$E:$E,'Diario Adm'!$B:$B,N$4,'Diario Adm'!$C:$C,$A84)</f>
        <v>0</v>
      </c>
      <c r="O84" s="55"/>
      <c r="P84" s="146">
        <f t="shared" si="5"/>
        <v>0</v>
      </c>
    </row>
    <row r="85" spans="1:19" ht="14.3" hidden="1" customHeight="1" x14ac:dyDescent="0.25">
      <c r="A85" s="170">
        <v>4930</v>
      </c>
      <c r="B85" s="190" t="str">
        <f>VLOOKUP(A85,Plan!A:B,2,0)</f>
        <v>Obras Misionales</v>
      </c>
      <c r="C85" s="78">
        <f>SUMIFS('Diario Adm'!$E:$E,'Diario Adm'!$B:$B,C$4,'Diario Adm'!$C:$C,$A85)</f>
        <v>0</v>
      </c>
      <c r="D85" s="78">
        <f>SUMIFS('Diario Adm'!$E:$E,'Diario Adm'!$B:$B,D$4,'Diario Adm'!$C:$C,$A85)</f>
        <v>0</v>
      </c>
      <c r="E85" s="78">
        <f>SUMIFS('Diario Adm'!$E:$E,'Diario Adm'!$B:$B,E$4,'Diario Adm'!$C:$C,$A85)</f>
        <v>0</v>
      </c>
      <c r="F85" s="78">
        <f>SUMIFS('Diario Adm'!$E:$E,'Diario Adm'!$B:$B,F$4,'Diario Adm'!$C:$C,$A85)</f>
        <v>0</v>
      </c>
      <c r="G85" s="78">
        <f>SUMIFS('Diario Adm'!$E:$E,'Diario Adm'!$B:$B,G$4,'Diario Adm'!$C:$C,$A85)</f>
        <v>0</v>
      </c>
      <c r="H85" s="78">
        <f>SUMIFS('Diario Adm'!$E:$E,'Diario Adm'!$B:$B,H$4,'Diario Adm'!$C:$C,$A85)</f>
        <v>0</v>
      </c>
      <c r="I85" s="78">
        <f>SUMIFS('Diario Adm'!$E:$E,'Diario Adm'!$B:$B,I$4,'Diario Adm'!$C:$C,$A85)</f>
        <v>0</v>
      </c>
      <c r="J85" s="78">
        <f>SUMIFS('Diario Adm'!$E:$E,'Diario Adm'!$B:$B,J$4,'Diario Adm'!$C:$C,$A85)</f>
        <v>0</v>
      </c>
      <c r="K85" s="78">
        <f>SUMIFS('Diario Adm'!$E:$E,'Diario Adm'!$B:$B,K$4,'Diario Adm'!$C:$C,$A85)</f>
        <v>0</v>
      </c>
      <c r="L85" s="78">
        <f>SUMIFS('Diario Adm'!$E:$E,'Diario Adm'!$B:$B,L$4,'Diario Adm'!$C:$C,$A85)</f>
        <v>0</v>
      </c>
      <c r="M85" s="78">
        <f>SUMIFS('Diario Adm'!$E:$E,'Diario Adm'!$B:$B,M$4,'Diario Adm'!$C:$C,$A85)</f>
        <v>0</v>
      </c>
      <c r="N85" s="78">
        <f>SUMIFS('Diario Adm'!$E:$E,'Diario Adm'!$B:$B,N$4,'Diario Adm'!$C:$C,$A85)</f>
        <v>0</v>
      </c>
      <c r="O85" s="55"/>
      <c r="P85" s="146">
        <f t="shared" si="5"/>
        <v>0</v>
      </c>
    </row>
    <row r="86" spans="1:19" ht="14.3" hidden="1" customHeight="1" x14ac:dyDescent="0.25">
      <c r="A86" s="170">
        <v>4940</v>
      </c>
      <c r="B86" s="190" t="str">
        <f>VLOOKUP(A86,Plan!A:B,2,0)</f>
        <v>Seminario Mayor</v>
      </c>
      <c r="C86" s="78">
        <f>SUMIFS('Diario Adm'!$E:$E,'Diario Adm'!$B:$B,C$4,'Diario Adm'!$C:$C,$A86)</f>
        <v>0</v>
      </c>
      <c r="D86" s="78">
        <f>SUMIFS('Diario Adm'!$E:$E,'Diario Adm'!$B:$B,D$4,'Diario Adm'!$C:$C,$A86)</f>
        <v>0</v>
      </c>
      <c r="E86" s="78">
        <f>SUMIFS('Diario Adm'!$E:$E,'Diario Adm'!$B:$B,E$4,'Diario Adm'!$C:$C,$A86)</f>
        <v>0</v>
      </c>
      <c r="F86" s="78">
        <f>SUMIFS('Diario Adm'!$E:$E,'Diario Adm'!$B:$B,F$4,'Diario Adm'!$C:$C,$A86)</f>
        <v>0</v>
      </c>
      <c r="G86" s="78">
        <f>SUMIFS('Diario Adm'!$E:$E,'Diario Adm'!$B:$B,G$4,'Diario Adm'!$C:$C,$A86)</f>
        <v>0</v>
      </c>
      <c r="H86" s="78">
        <f>SUMIFS('Diario Adm'!$E:$E,'Diario Adm'!$B:$B,H$4,'Diario Adm'!$C:$C,$A86)</f>
        <v>0</v>
      </c>
      <c r="I86" s="78">
        <f>SUMIFS('Diario Adm'!$E:$E,'Diario Adm'!$B:$B,I$4,'Diario Adm'!$C:$C,$A86)</f>
        <v>0</v>
      </c>
      <c r="J86" s="78">
        <f>SUMIFS('Diario Adm'!$E:$E,'Diario Adm'!$B:$B,J$4,'Diario Adm'!$C:$C,$A86)</f>
        <v>0</v>
      </c>
      <c r="K86" s="78">
        <f>SUMIFS('Diario Adm'!$E:$E,'Diario Adm'!$B:$B,K$4,'Diario Adm'!$C:$C,$A86)</f>
        <v>0</v>
      </c>
      <c r="L86" s="78">
        <f>SUMIFS('Diario Adm'!$E:$E,'Diario Adm'!$B:$B,L$4,'Diario Adm'!$C:$C,$A86)</f>
        <v>0</v>
      </c>
      <c r="M86" s="78">
        <f>SUMIFS('Diario Adm'!$E:$E,'Diario Adm'!$B:$B,M$4,'Diario Adm'!$C:$C,$A86)</f>
        <v>0</v>
      </c>
      <c r="N86" s="78">
        <f>SUMIFS('Diario Adm'!$E:$E,'Diario Adm'!$B:$B,N$4,'Diario Adm'!$C:$C,$A86)</f>
        <v>0</v>
      </c>
      <c r="O86" s="55"/>
      <c r="P86" s="146">
        <f t="shared" si="5"/>
        <v>0</v>
      </c>
    </row>
    <row r="87" spans="1:19" ht="14.3" hidden="1" customHeight="1" x14ac:dyDescent="0.25">
      <c r="A87" s="170">
        <v>4941</v>
      </c>
      <c r="B87" s="190" t="str">
        <f>VLOOKUP(A87,Plan!A:B,2,0)</f>
        <v>Obolo de San Pedro</v>
      </c>
      <c r="C87" s="78">
        <f>SUMIFS('Diario Adm'!$E:$E,'Diario Adm'!$B:$B,C$4,'Diario Adm'!$C:$C,$A87)</f>
        <v>0</v>
      </c>
      <c r="D87" s="78">
        <f>SUMIFS('Diario Adm'!$E:$E,'Diario Adm'!$B:$B,D$4,'Diario Adm'!$C:$C,$A87)</f>
        <v>0</v>
      </c>
      <c r="E87" s="78">
        <f>SUMIFS('Diario Adm'!$E:$E,'Diario Adm'!$B:$B,E$4,'Diario Adm'!$C:$C,$A87)</f>
        <v>0</v>
      </c>
      <c r="F87" s="78">
        <f>SUMIFS('Diario Adm'!$E:$E,'Diario Adm'!$B:$B,F$4,'Diario Adm'!$C:$C,$A87)</f>
        <v>0</v>
      </c>
      <c r="G87" s="78">
        <f>SUMIFS('Diario Adm'!$E:$E,'Diario Adm'!$B:$B,G$4,'Diario Adm'!$C:$C,$A87)</f>
        <v>0</v>
      </c>
      <c r="H87" s="78">
        <f>SUMIFS('Diario Adm'!$E:$E,'Diario Adm'!$B:$B,H$4,'Diario Adm'!$C:$C,$A87)</f>
        <v>0</v>
      </c>
      <c r="I87" s="78">
        <f>SUMIFS('Diario Adm'!$E:$E,'Diario Adm'!$B:$B,I$4,'Diario Adm'!$C:$C,$A87)</f>
        <v>0</v>
      </c>
      <c r="J87" s="78">
        <f>SUMIFS('Diario Adm'!$E:$E,'Diario Adm'!$B:$B,J$4,'Diario Adm'!$C:$C,$A87)</f>
        <v>0</v>
      </c>
      <c r="K87" s="78">
        <f>SUMIFS('Diario Adm'!$E:$E,'Diario Adm'!$B:$B,K$4,'Diario Adm'!$C:$C,$A87)</f>
        <v>0</v>
      </c>
      <c r="L87" s="78">
        <f>SUMIFS('Diario Adm'!$E:$E,'Diario Adm'!$B:$B,L$4,'Diario Adm'!$C:$C,$A87)</f>
        <v>0</v>
      </c>
      <c r="M87" s="78">
        <f>SUMIFS('Diario Adm'!$E:$E,'Diario Adm'!$B:$B,M$4,'Diario Adm'!$C:$C,$A87)</f>
        <v>0</v>
      </c>
      <c r="N87" s="78">
        <f>SUMIFS('Diario Adm'!$E:$E,'Diario Adm'!$B:$B,N$4,'Diario Adm'!$C:$C,$A87)</f>
        <v>0</v>
      </c>
      <c r="O87" s="55"/>
      <c r="P87" s="146">
        <f>SUM(C87:N87)</f>
        <v>0</v>
      </c>
    </row>
    <row r="88" spans="1:19" ht="14.3" customHeight="1" x14ac:dyDescent="0.25">
      <c r="A88" s="170">
        <v>4950</v>
      </c>
      <c r="B88" s="190" t="str">
        <f>VLOOKUP(A88,Plan!A:B,2,0)</f>
        <v>Cuaresma</v>
      </c>
      <c r="C88" s="78">
        <f>SUMIFS('Diario Adm'!$E:$E,'Diario Adm'!$B:$B,C$4,'Diario Adm'!$C:$C,$A88)</f>
        <v>0</v>
      </c>
      <c r="D88" s="78">
        <f>SUMIFS('Diario Adm'!$E:$E,'Diario Adm'!$B:$B,D$4,'Diario Adm'!$C:$C,$A88)</f>
        <v>0</v>
      </c>
      <c r="E88" s="78">
        <f>SUMIFS('Diario Adm'!$E:$E,'Diario Adm'!$B:$B,E$4,'Diario Adm'!$C:$C,$A88)</f>
        <v>0</v>
      </c>
      <c r="F88" s="78">
        <f>SUMIFS('Diario Adm'!$E:$E,'Diario Adm'!$B:$B,F$4,'Diario Adm'!$C:$C,$A88)</f>
        <v>0</v>
      </c>
      <c r="G88" s="78">
        <f>SUMIFS('Diario Adm'!$E:$E,'Diario Adm'!$B:$B,G$4,'Diario Adm'!$C:$C,$A88)</f>
        <v>0</v>
      </c>
      <c r="H88" s="78">
        <f>SUMIFS('Diario Adm'!$E:$E,'Diario Adm'!$B:$B,H$4,'Diario Adm'!$C:$C,$A88)</f>
        <v>459057</v>
      </c>
      <c r="I88" s="78">
        <f>SUMIFS('Diario Adm'!$E:$E,'Diario Adm'!$B:$B,I$4,'Diario Adm'!$C:$C,$A88)</f>
        <v>0</v>
      </c>
      <c r="J88" s="78">
        <f>SUMIFS('Diario Adm'!$E:$E,'Diario Adm'!$B:$B,J$4,'Diario Adm'!$C:$C,$A88)</f>
        <v>0</v>
      </c>
      <c r="K88" s="78">
        <f>SUMIFS('Diario Adm'!$E:$E,'Diario Adm'!$B:$B,K$4,'Diario Adm'!$C:$C,$A88)</f>
        <v>0</v>
      </c>
      <c r="L88" s="78">
        <f>SUMIFS('Diario Adm'!$E:$E,'Diario Adm'!$B:$B,L$4,'Diario Adm'!$C:$C,$A88)</f>
        <v>0</v>
      </c>
      <c r="M88" s="78">
        <f>SUMIFS('Diario Adm'!$E:$E,'Diario Adm'!$B:$B,M$4,'Diario Adm'!$C:$C,$A88)</f>
        <v>0</v>
      </c>
      <c r="N88" s="78">
        <f>SUMIFS('Diario Adm'!$E:$E,'Diario Adm'!$B:$B,N$4,'Diario Adm'!$C:$C,$A88)</f>
        <v>0</v>
      </c>
      <c r="O88" s="55"/>
      <c r="P88" s="146">
        <f t="shared" si="5"/>
        <v>459057</v>
      </c>
    </row>
    <row r="89" spans="1:19" ht="14.3" hidden="1" customHeight="1" x14ac:dyDescent="0.25">
      <c r="A89" s="170">
        <v>4960</v>
      </c>
      <c r="B89" s="190" t="str">
        <f>VLOOKUP(A89,Plan!A:B,2,0)</f>
        <v>Fundacion San Carlos de Apoquindo</v>
      </c>
      <c r="C89" s="78">
        <f>SUMIFS('Diario Adm'!$E:$E,'Diario Adm'!$B:$B,C$4,'Diario Adm'!$C:$C,$A89)</f>
        <v>0</v>
      </c>
      <c r="D89" s="78">
        <f>SUMIFS('Diario Adm'!$E:$E,'Diario Adm'!$B:$B,D$4,'Diario Adm'!$C:$C,$A89)</f>
        <v>0</v>
      </c>
      <c r="E89" s="78">
        <f>SUMIFS('Diario Adm'!$E:$E,'Diario Adm'!$B:$B,E$4,'Diario Adm'!$C:$C,$A89)</f>
        <v>0</v>
      </c>
      <c r="F89" s="78">
        <f>SUMIFS('Diario Adm'!$E:$E,'Diario Adm'!$B:$B,F$4,'Diario Adm'!$C:$C,$A89)</f>
        <v>0</v>
      </c>
      <c r="G89" s="78">
        <f>SUMIFS('Diario Adm'!$E:$E,'Diario Adm'!$B:$B,G$4,'Diario Adm'!$C:$C,$A89)</f>
        <v>0</v>
      </c>
      <c r="H89" s="78">
        <f>SUMIFS('Diario Adm'!$E:$E,'Diario Adm'!$B:$B,H$4,'Diario Adm'!$C:$C,$A89)</f>
        <v>0</v>
      </c>
      <c r="I89" s="78">
        <f>SUMIFS('Diario Adm'!$E:$E,'Diario Adm'!$B:$B,I$4,'Diario Adm'!$C:$C,$A89)</f>
        <v>0</v>
      </c>
      <c r="J89" s="78">
        <f>SUMIFS('Diario Adm'!$E:$E,'Diario Adm'!$B:$B,J$4,'Diario Adm'!$C:$C,$A89)</f>
        <v>0</v>
      </c>
      <c r="K89" s="78">
        <f>SUMIFS('Diario Adm'!$E:$E,'Diario Adm'!$B:$B,K$4,'Diario Adm'!$C:$C,$A89)</f>
        <v>0</v>
      </c>
      <c r="L89" s="78">
        <f>SUMIFS('Diario Adm'!$E:$E,'Diario Adm'!$B:$B,L$4,'Diario Adm'!$C:$C,$A89)</f>
        <v>0</v>
      </c>
      <c r="M89" s="78">
        <f>SUMIFS('Diario Adm'!$E:$E,'Diario Adm'!$B:$B,M$4,'Diario Adm'!$C:$C,$A89)</f>
        <v>0</v>
      </c>
      <c r="N89" s="78">
        <f>SUMIFS('Diario Adm'!$E:$E,'Diario Adm'!$B:$B,N$4,'Diario Adm'!$C:$C,$A89)</f>
        <v>0</v>
      </c>
      <c r="O89" s="55"/>
      <c r="P89" s="146">
        <f>SUM(C89:N89)</f>
        <v>0</v>
      </c>
    </row>
    <row r="90" spans="1:19" ht="14.3" hidden="1" customHeight="1" x14ac:dyDescent="0.25">
      <c r="A90" s="170">
        <v>4970</v>
      </c>
      <c r="B90" s="190" t="str">
        <f>VLOOKUP(A90,Plan!A:B,2,0)</f>
        <v>Santos Lugares</v>
      </c>
      <c r="C90" s="78">
        <f>SUMIFS('Diario Adm'!$E:$E,'Diario Adm'!$B:$B,C$4,'Diario Adm'!$C:$C,$A90)</f>
        <v>0</v>
      </c>
      <c r="D90" s="78">
        <f>SUMIFS('Diario Adm'!$E:$E,'Diario Adm'!$B:$B,D$4,'Diario Adm'!$C:$C,$A90)</f>
        <v>0</v>
      </c>
      <c r="E90" s="78">
        <f>SUMIFS('Diario Adm'!$E:$E,'Diario Adm'!$B:$B,E$4,'Diario Adm'!$C:$C,$A90)</f>
        <v>0</v>
      </c>
      <c r="F90" s="78">
        <f>SUMIFS('Diario Adm'!$E:$E,'Diario Adm'!$B:$B,F$4,'Diario Adm'!$C:$C,$A90)</f>
        <v>0</v>
      </c>
      <c r="G90" s="78">
        <f>SUMIFS('Diario Adm'!$E:$E,'Diario Adm'!$B:$B,G$4,'Diario Adm'!$C:$C,$A90)</f>
        <v>0</v>
      </c>
      <c r="H90" s="78">
        <f>SUMIFS('Diario Adm'!$E:$E,'Diario Adm'!$B:$B,H$4,'Diario Adm'!$C:$C,$A90)</f>
        <v>0</v>
      </c>
      <c r="I90" s="78">
        <f>SUMIFS('Diario Adm'!$E:$E,'Diario Adm'!$B:$B,I$4,'Diario Adm'!$C:$C,$A90)</f>
        <v>0</v>
      </c>
      <c r="J90" s="78">
        <f>SUMIFS('Diario Adm'!$E:$E,'Diario Adm'!$B:$B,J$4,'Diario Adm'!$C:$C,$A90)</f>
        <v>0</v>
      </c>
      <c r="K90" s="78">
        <f>SUMIFS('Diario Adm'!$E:$E,'Diario Adm'!$B:$B,K$4,'Diario Adm'!$C:$C,$A90)</f>
        <v>0</v>
      </c>
      <c r="L90" s="78">
        <f>SUMIFS('Diario Adm'!$E:$E,'Diario Adm'!$B:$B,L$4,'Diario Adm'!$C:$C,$A90)</f>
        <v>0</v>
      </c>
      <c r="M90" s="78">
        <f>SUMIFS('Diario Adm'!$E:$E,'Diario Adm'!$B:$B,M$4,'Diario Adm'!$C:$C,$A90)</f>
        <v>0</v>
      </c>
      <c r="N90" s="78">
        <f>SUMIFS('Diario Adm'!$E:$E,'Diario Adm'!$B:$B,N$4,'Diario Adm'!$C:$C,$A90)</f>
        <v>0</v>
      </c>
      <c r="O90" s="55"/>
      <c r="P90" s="146">
        <f>SUM(C90:N90)</f>
        <v>0</v>
      </c>
    </row>
    <row r="91" spans="1:19" ht="14.3" hidden="1" customHeight="1" x14ac:dyDescent="0.25">
      <c r="A91" s="170">
        <v>4980</v>
      </c>
      <c r="B91" s="190" t="str">
        <f>VLOOKUP(A91,Plan!A:B,2,0)</f>
        <v>Colecta Obalo de San Pedro</v>
      </c>
      <c r="C91" s="78">
        <f>SUMIFS('Diario Adm'!$E:$E,'Diario Adm'!$B:$B,C$4,'Diario Adm'!$C:$C,$A91)</f>
        <v>0</v>
      </c>
      <c r="D91" s="78">
        <f>SUMIFS('Diario Adm'!$E:$E,'Diario Adm'!$B:$B,D$4,'Diario Adm'!$C:$C,$A91)</f>
        <v>0</v>
      </c>
      <c r="E91" s="78">
        <f>SUMIFS('Diario Adm'!$E:$E,'Diario Adm'!$B:$B,E$4,'Diario Adm'!$C:$C,$A91)</f>
        <v>0</v>
      </c>
      <c r="F91" s="78">
        <f>SUMIFS('Diario Adm'!$E:$E,'Diario Adm'!$B:$B,F$4,'Diario Adm'!$C:$C,$A91)</f>
        <v>0</v>
      </c>
      <c r="G91" s="78">
        <f>SUMIFS('Diario Adm'!$E:$E,'Diario Adm'!$B:$B,G$4,'Diario Adm'!$C:$C,$A91)</f>
        <v>0</v>
      </c>
      <c r="H91" s="78">
        <f>SUMIFS('Diario Adm'!$E:$E,'Diario Adm'!$B:$B,H$4,'Diario Adm'!$C:$C,$A91)</f>
        <v>0</v>
      </c>
      <c r="I91" s="78">
        <f>SUMIFS('Diario Adm'!$E:$E,'Diario Adm'!$B:$B,I$4,'Diario Adm'!$C:$C,$A91)</f>
        <v>0</v>
      </c>
      <c r="J91" s="78">
        <f>SUMIFS('Diario Adm'!$E:$E,'Diario Adm'!$B:$B,J$4,'Diario Adm'!$C:$C,$A91)</f>
        <v>0</v>
      </c>
      <c r="K91" s="78">
        <f>SUMIFS('Diario Adm'!$E:$E,'Diario Adm'!$B:$B,K$4,'Diario Adm'!$C:$C,$A91)</f>
        <v>0</v>
      </c>
      <c r="L91" s="78">
        <f>SUMIFS('Diario Adm'!$E:$E,'Diario Adm'!$B:$B,L$4,'Diario Adm'!$C:$C,$A91)</f>
        <v>0</v>
      </c>
      <c r="M91" s="78">
        <f>SUMIFS('Diario Adm'!$E:$E,'Diario Adm'!$B:$B,M$4,'Diario Adm'!$C:$C,$A91)</f>
        <v>0</v>
      </c>
      <c r="N91" s="78">
        <f>SUMIFS('Diario Adm'!$E:$E,'Diario Adm'!$B:$B,N$4,'Diario Adm'!$C:$C,$A91)</f>
        <v>0</v>
      </c>
      <c r="O91" s="55"/>
      <c r="P91" s="146">
        <f>SUM(C91:N91)</f>
        <v>0</v>
      </c>
    </row>
    <row r="92" spans="1:19" ht="14.95" hidden="1" customHeight="1" x14ac:dyDescent="0.25">
      <c r="A92" s="170">
        <v>9021</v>
      </c>
      <c r="B92" s="190" t="str">
        <f>VLOOKUP(A92,Plan!A:B,2,0)</f>
        <v>Luz</v>
      </c>
      <c r="C92" s="78">
        <f>SUMIFS('Diario Adm'!$E:$E,'Diario Adm'!$B:$B,C$4,'Diario Adm'!$C:$C,$A92)</f>
        <v>0</v>
      </c>
      <c r="D92" s="78">
        <f>SUMIFS('Diario Adm'!$E:$E,'Diario Adm'!$B:$B,D$4,'Diario Adm'!$C:$C,$A92)</f>
        <v>0</v>
      </c>
      <c r="E92" s="78">
        <f>SUMIFS('Diario Adm'!$E:$E,'Diario Adm'!$B:$B,E$4,'Diario Adm'!$C:$C,$A92)</f>
        <v>0</v>
      </c>
      <c r="F92" s="78">
        <f>SUMIFS('Diario Adm'!$E:$E,'Diario Adm'!$B:$B,F$4,'Diario Adm'!$C:$C,$A92)</f>
        <v>0</v>
      </c>
      <c r="G92" s="78">
        <f>SUMIFS('Diario Adm'!$E:$E,'Diario Adm'!$B:$B,G$4,'Diario Adm'!$C:$C,$A92)</f>
        <v>0</v>
      </c>
      <c r="H92" s="78">
        <f>SUMIFS('Diario Adm'!$E:$E,'Diario Adm'!$B:$B,H$4,'Diario Adm'!$C:$C,$A92)</f>
        <v>0</v>
      </c>
      <c r="I92" s="78">
        <f>SUMIFS('Diario Adm'!$E:$E,'Diario Adm'!$B:$B,I$4,'Diario Adm'!$C:$C,$A92)</f>
        <v>0</v>
      </c>
      <c r="J92" s="78">
        <f>SUMIFS('Diario Adm'!$E:$E,'Diario Adm'!$B:$B,J$4,'Diario Adm'!$C:$C,$A92)</f>
        <v>0</v>
      </c>
      <c r="K92" s="78">
        <f>SUMIFS('Diario Adm'!$E:$E,'Diario Adm'!$B:$B,K$4,'Diario Adm'!$C:$C,$A92)</f>
        <v>0</v>
      </c>
      <c r="L92" s="78">
        <f>SUMIFS('Diario Adm'!$E:$E,'Diario Adm'!$B:$B,L$4,'Diario Adm'!$C:$C,$A92)</f>
        <v>0</v>
      </c>
      <c r="M92" s="78">
        <f>SUMIFS('Diario Adm'!$E:$E,'Diario Adm'!$B:$B,M$4,'Diario Adm'!$C:$C,$A92)</f>
        <v>0</v>
      </c>
      <c r="N92" s="78">
        <f>SUMIFS('Diario Adm'!$E:$E,'Diario Adm'!$B:$B,N$4,'Diario Adm'!$C:$C,$A92)</f>
        <v>0</v>
      </c>
      <c r="O92" s="55"/>
      <c r="P92" s="146">
        <f t="shared" ref="P92:P99" si="6">SUM(C92:N92)</f>
        <v>0</v>
      </c>
    </row>
    <row r="93" spans="1:19" ht="14.95" hidden="1" customHeight="1" x14ac:dyDescent="0.25">
      <c r="A93" s="170">
        <v>9022</v>
      </c>
      <c r="B93" s="190" t="str">
        <f>VLOOKUP(A93,Plan!A:B,2,0)</f>
        <v>Agua</v>
      </c>
      <c r="C93" s="78">
        <f>SUMIFS('Diario Adm'!$E:$E,'Diario Adm'!$B:$B,C$4,'Diario Adm'!$C:$C,$A93)</f>
        <v>0</v>
      </c>
      <c r="D93" s="78">
        <f>SUMIFS('Diario Adm'!$E:$E,'Diario Adm'!$B:$B,D$4,'Diario Adm'!$C:$C,$A93)</f>
        <v>0</v>
      </c>
      <c r="E93" s="78">
        <f>SUMIFS('Diario Adm'!$E:$E,'Diario Adm'!$B:$B,E$4,'Diario Adm'!$C:$C,$A93)</f>
        <v>0</v>
      </c>
      <c r="F93" s="78">
        <f>SUMIFS('Diario Adm'!$E:$E,'Diario Adm'!$B:$B,F$4,'Diario Adm'!$C:$C,$A93)</f>
        <v>0</v>
      </c>
      <c r="G93" s="78">
        <f>SUMIFS('Diario Adm'!$E:$E,'Diario Adm'!$B:$B,G$4,'Diario Adm'!$C:$C,$A93)</f>
        <v>0</v>
      </c>
      <c r="H93" s="78">
        <f>SUMIFS('Diario Adm'!$E:$E,'Diario Adm'!$B:$B,H$4,'Diario Adm'!$C:$C,$A93)</f>
        <v>0</v>
      </c>
      <c r="I93" s="78">
        <f>SUMIFS('Diario Adm'!$E:$E,'Diario Adm'!$B:$B,I$4,'Diario Adm'!$C:$C,$A93)</f>
        <v>0</v>
      </c>
      <c r="J93" s="78">
        <f>SUMIFS('Diario Adm'!$E:$E,'Diario Adm'!$B:$B,J$4,'Diario Adm'!$C:$C,$A93)</f>
        <v>0</v>
      </c>
      <c r="K93" s="78">
        <f>SUMIFS('Diario Adm'!$E:$E,'Diario Adm'!$B:$B,K$4,'Diario Adm'!$C:$C,$A93)</f>
        <v>0</v>
      </c>
      <c r="L93" s="78">
        <f>SUMIFS('Diario Adm'!$E:$E,'Diario Adm'!$B:$B,L$4,'Diario Adm'!$C:$C,$A93)</f>
        <v>0</v>
      </c>
      <c r="M93" s="78">
        <f>SUMIFS('Diario Adm'!$E:$E,'Diario Adm'!$B:$B,M$4,'Diario Adm'!$C:$C,$A93)</f>
        <v>0</v>
      </c>
      <c r="N93" s="78">
        <f>SUMIFS('Diario Adm'!$E:$E,'Diario Adm'!$B:$B,N$4,'Diario Adm'!$C:$C,$A93)</f>
        <v>0</v>
      </c>
      <c r="O93" s="55"/>
      <c r="P93" s="146">
        <f t="shared" si="6"/>
        <v>0</v>
      </c>
    </row>
    <row r="94" spans="1:19" ht="14.95" hidden="1" customHeight="1" x14ac:dyDescent="0.25">
      <c r="A94" s="170">
        <v>9023</v>
      </c>
      <c r="B94" s="190" t="str">
        <f>VLOOKUP(A94,Plan!A:B,2,0)</f>
        <v>ADT</v>
      </c>
      <c r="C94" s="78">
        <f>SUMIFS('Diario Adm'!$E:$E,'Diario Adm'!$B:$B,C$4,'Diario Adm'!$C:$C,$A94)</f>
        <v>0</v>
      </c>
      <c r="D94" s="78">
        <f>SUMIFS('Diario Adm'!$E:$E,'Diario Adm'!$B:$B,D$4,'Diario Adm'!$C:$C,$A94)</f>
        <v>0</v>
      </c>
      <c r="E94" s="78">
        <f>SUMIFS('Diario Adm'!$E:$E,'Diario Adm'!$B:$B,E$4,'Diario Adm'!$C:$C,$A94)</f>
        <v>0</v>
      </c>
      <c r="F94" s="78">
        <f>SUMIFS('Diario Adm'!$E:$E,'Diario Adm'!$B:$B,F$4,'Diario Adm'!$C:$C,$A94)</f>
        <v>0</v>
      </c>
      <c r="G94" s="78">
        <f>SUMIFS('Diario Adm'!$E:$E,'Diario Adm'!$B:$B,G$4,'Diario Adm'!$C:$C,$A94)</f>
        <v>0</v>
      </c>
      <c r="H94" s="78">
        <f>SUMIFS('Diario Adm'!$E:$E,'Diario Adm'!$B:$B,H$4,'Diario Adm'!$C:$C,$A94)</f>
        <v>0</v>
      </c>
      <c r="I94" s="78">
        <f>SUMIFS('Diario Adm'!$E:$E,'Diario Adm'!$B:$B,I$4,'Diario Adm'!$C:$C,$A94)</f>
        <v>0</v>
      </c>
      <c r="J94" s="78">
        <f>SUMIFS('Diario Adm'!$E:$E,'Diario Adm'!$B:$B,J$4,'Diario Adm'!$C:$C,$A94)</f>
        <v>0</v>
      </c>
      <c r="K94" s="78">
        <f>SUMIFS('Diario Adm'!$E:$E,'Diario Adm'!$B:$B,K$4,'Diario Adm'!$C:$C,$A94)</f>
        <v>0</v>
      </c>
      <c r="L94" s="78">
        <f>SUMIFS('Diario Adm'!$E:$E,'Diario Adm'!$B:$B,L$4,'Diario Adm'!$C:$C,$A94)</f>
        <v>0</v>
      </c>
      <c r="M94" s="78">
        <f>SUMIFS('Diario Adm'!$E:$E,'Diario Adm'!$B:$B,M$4,'Diario Adm'!$C:$C,$A94)</f>
        <v>0</v>
      </c>
      <c r="N94" s="78">
        <f>SUMIFS('Diario Adm'!$E:$E,'Diario Adm'!$B:$B,N$4,'Diario Adm'!$C:$C,$A94)</f>
        <v>0</v>
      </c>
      <c r="O94" s="55"/>
      <c r="P94" s="146">
        <f t="shared" si="6"/>
        <v>0</v>
      </c>
    </row>
    <row r="95" spans="1:19" ht="14.95" hidden="1" customHeight="1" x14ac:dyDescent="0.25">
      <c r="A95" s="170">
        <v>9024</v>
      </c>
      <c r="B95" s="190" t="str">
        <f>VLOOKUP(A95,Plan!A:B,2,0)</f>
        <v>VTR</v>
      </c>
      <c r="C95" s="78">
        <f>SUMIFS('Diario Adm'!$E:$E,'Diario Adm'!$B:$B,C$4,'Diario Adm'!$C:$C,$A95)</f>
        <v>0</v>
      </c>
      <c r="D95" s="78">
        <f>SUMIFS('Diario Adm'!$E:$E,'Diario Adm'!$B:$B,D$4,'Diario Adm'!$C:$C,$A95)</f>
        <v>0</v>
      </c>
      <c r="E95" s="78">
        <f>SUMIFS('Diario Adm'!$E:$E,'Diario Adm'!$B:$B,E$4,'Diario Adm'!$C:$C,$A95)</f>
        <v>0</v>
      </c>
      <c r="F95" s="78">
        <f>SUMIFS('Diario Adm'!$E:$E,'Diario Adm'!$B:$B,F$4,'Diario Adm'!$C:$C,$A95)</f>
        <v>0</v>
      </c>
      <c r="G95" s="78">
        <f>SUMIFS('Diario Adm'!$E:$E,'Diario Adm'!$B:$B,G$4,'Diario Adm'!$C:$C,$A95)</f>
        <v>0</v>
      </c>
      <c r="H95" s="78">
        <f>SUMIFS('Diario Adm'!$E:$E,'Diario Adm'!$B:$B,H$4,'Diario Adm'!$C:$C,$A95)</f>
        <v>0</v>
      </c>
      <c r="I95" s="78">
        <f>SUMIFS('Diario Adm'!$E:$E,'Diario Adm'!$B:$B,I$4,'Diario Adm'!$C:$C,$A95)</f>
        <v>0</v>
      </c>
      <c r="J95" s="78">
        <f>SUMIFS('Diario Adm'!$E:$E,'Diario Adm'!$B:$B,J$4,'Diario Adm'!$C:$C,$A95)</f>
        <v>0</v>
      </c>
      <c r="K95" s="78">
        <f>SUMIFS('Diario Adm'!$E:$E,'Diario Adm'!$B:$B,K$4,'Diario Adm'!$C:$C,$A95)</f>
        <v>0</v>
      </c>
      <c r="L95" s="78">
        <f>SUMIFS('Diario Adm'!$E:$E,'Diario Adm'!$B:$B,L$4,'Diario Adm'!$C:$C,$A95)</f>
        <v>0</v>
      </c>
      <c r="M95" s="78">
        <f>SUMIFS('Diario Adm'!$E:$E,'Diario Adm'!$B:$B,M$4,'Diario Adm'!$C:$C,$A95)</f>
        <v>0</v>
      </c>
      <c r="N95" s="78">
        <f>SUMIFS('Diario Adm'!$E:$E,'Diario Adm'!$B:$B,N$4,'Diario Adm'!$C:$C,$A95)</f>
        <v>0</v>
      </c>
      <c r="O95" s="55"/>
      <c r="P95" s="146">
        <f t="shared" si="6"/>
        <v>0</v>
      </c>
    </row>
    <row r="96" spans="1:19" ht="14.95" hidden="1" customHeight="1" x14ac:dyDescent="0.25">
      <c r="A96" s="170">
        <v>9025</v>
      </c>
      <c r="B96" s="190" t="str">
        <f>VLOOKUP(A96,Plan!A:B,2,0)</f>
        <v>Gas</v>
      </c>
      <c r="C96" s="78">
        <f>SUMIFS('Diario Adm'!$E:$E,'Diario Adm'!$B:$B,C$4,'Diario Adm'!$C:$C,$A96)</f>
        <v>0</v>
      </c>
      <c r="D96" s="78">
        <f>SUMIFS('Diario Adm'!$E:$E,'Diario Adm'!$B:$B,D$4,'Diario Adm'!$C:$C,$A96)</f>
        <v>0</v>
      </c>
      <c r="E96" s="78">
        <f>SUMIFS('Diario Adm'!$E:$E,'Diario Adm'!$B:$B,E$4,'Diario Adm'!$C:$C,$A96)</f>
        <v>0</v>
      </c>
      <c r="F96" s="78">
        <f>SUMIFS('Diario Adm'!$E:$E,'Diario Adm'!$B:$B,F$4,'Diario Adm'!$C:$C,$A96)</f>
        <v>0</v>
      </c>
      <c r="G96" s="78">
        <f>SUMIFS('Diario Adm'!$E:$E,'Diario Adm'!$B:$B,G$4,'Diario Adm'!$C:$C,$A96)</f>
        <v>0</v>
      </c>
      <c r="H96" s="78">
        <f>SUMIFS('Diario Adm'!$E:$E,'Diario Adm'!$B:$B,H$4,'Diario Adm'!$C:$C,$A96)</f>
        <v>0</v>
      </c>
      <c r="I96" s="78">
        <f>SUMIFS('Diario Adm'!$E:$E,'Diario Adm'!$B:$B,I$4,'Diario Adm'!$C:$C,$A96)</f>
        <v>0</v>
      </c>
      <c r="J96" s="78">
        <f>SUMIFS('Diario Adm'!$E:$E,'Diario Adm'!$B:$B,J$4,'Diario Adm'!$C:$C,$A96)</f>
        <v>0</v>
      </c>
      <c r="K96" s="78">
        <f>SUMIFS('Diario Adm'!$E:$E,'Diario Adm'!$B:$B,K$4,'Diario Adm'!$C:$C,$A96)</f>
        <v>0</v>
      </c>
      <c r="L96" s="78">
        <f>SUMIFS('Diario Adm'!$E:$E,'Diario Adm'!$B:$B,L$4,'Diario Adm'!$C:$C,$A96)</f>
        <v>0</v>
      </c>
      <c r="M96" s="78">
        <f>SUMIFS('Diario Adm'!$E:$E,'Diario Adm'!$B:$B,M$4,'Diario Adm'!$C:$C,$A96)</f>
        <v>0</v>
      </c>
      <c r="N96" s="78">
        <f>SUMIFS('Diario Adm'!$E:$E,'Diario Adm'!$B:$B,N$4,'Diario Adm'!$C:$C,$A96)</f>
        <v>0</v>
      </c>
      <c r="O96" s="55"/>
      <c r="P96" s="146">
        <f t="shared" si="6"/>
        <v>0</v>
      </c>
    </row>
    <row r="97" spans="1:16" ht="14.95" hidden="1" customHeight="1" x14ac:dyDescent="0.25">
      <c r="A97" s="170">
        <v>9040</v>
      </c>
      <c r="B97" s="190" t="str">
        <f>VLOOKUP(A97,Plan!A:B,2,0)</f>
        <v>Mantención y arreglos</v>
      </c>
      <c r="C97" s="78">
        <f>SUMIFS('Diario Adm'!$E:$E,'Diario Adm'!$B:$B,C$4,'Diario Adm'!$C:$C,$A97)</f>
        <v>0</v>
      </c>
      <c r="D97" s="78">
        <f>SUMIFS('Diario Adm'!$E:$E,'Diario Adm'!$B:$B,D$4,'Diario Adm'!$C:$C,$A97)</f>
        <v>0</v>
      </c>
      <c r="E97" s="78">
        <f>SUMIFS('Diario Adm'!$E:$E,'Diario Adm'!$B:$B,E$4,'Diario Adm'!$C:$C,$A97)</f>
        <v>0</v>
      </c>
      <c r="F97" s="78">
        <f>SUMIFS('Diario Adm'!$E:$E,'Diario Adm'!$B:$B,F$4,'Diario Adm'!$C:$C,$A97)</f>
        <v>0</v>
      </c>
      <c r="G97" s="78">
        <f>SUMIFS('Diario Adm'!$E:$E,'Diario Adm'!$B:$B,G$4,'Diario Adm'!$C:$C,$A97)</f>
        <v>0</v>
      </c>
      <c r="H97" s="78">
        <f>SUMIFS('Diario Adm'!$E:$E,'Diario Adm'!$B:$B,H$4,'Diario Adm'!$C:$C,$A97)</f>
        <v>0</v>
      </c>
      <c r="I97" s="78">
        <f>SUMIFS('Diario Adm'!$E:$E,'Diario Adm'!$B:$B,I$4,'Diario Adm'!$C:$C,$A97)</f>
        <v>0</v>
      </c>
      <c r="J97" s="78">
        <f>SUMIFS('Diario Adm'!$E:$E,'Diario Adm'!$B:$B,J$4,'Diario Adm'!$C:$C,$A97)</f>
        <v>0</v>
      </c>
      <c r="K97" s="78">
        <f>SUMIFS('Diario Adm'!$E:$E,'Diario Adm'!$B:$B,K$4,'Diario Adm'!$C:$C,$A97)</f>
        <v>0</v>
      </c>
      <c r="L97" s="78">
        <f>SUMIFS('Diario Adm'!$E:$E,'Diario Adm'!$B:$B,L$4,'Diario Adm'!$C:$C,$A97)</f>
        <v>0</v>
      </c>
      <c r="M97" s="78">
        <f>SUMIFS('Diario Adm'!$E:$E,'Diario Adm'!$B:$B,M$4,'Diario Adm'!$C:$C,$A97)</f>
        <v>0</v>
      </c>
      <c r="N97" s="78">
        <f>SUMIFS('Diario Adm'!$E:$E,'Diario Adm'!$B:$B,N$4,'Diario Adm'!$C:$C,$A97)</f>
        <v>0</v>
      </c>
      <c r="O97" s="55"/>
      <c r="P97" s="146">
        <f>SUM(C97:N97)</f>
        <v>0</v>
      </c>
    </row>
    <row r="98" spans="1:16" ht="14.95" hidden="1" customHeight="1" x14ac:dyDescent="0.25">
      <c r="A98" s="170">
        <v>9041</v>
      </c>
      <c r="B98" s="190" t="str">
        <f>VLOOKUP(A98,Plan!A:B,2,0)</f>
        <v>Arriendo Casa Sacerdotes</v>
      </c>
      <c r="C98" s="78">
        <f>SUMIFS('Diario Adm'!$E:$E,'Diario Adm'!$B:$B,C$4,'Diario Adm'!$C:$C,$A98)</f>
        <v>0</v>
      </c>
      <c r="D98" s="78">
        <f>SUMIFS('Diario Adm'!$E:$E,'Diario Adm'!$B:$B,D$4,'Diario Adm'!$C:$C,$A98)</f>
        <v>0</v>
      </c>
      <c r="E98" s="78">
        <f>SUMIFS('Diario Adm'!$E:$E,'Diario Adm'!$B:$B,E$4,'Diario Adm'!$C:$C,$A98)</f>
        <v>0</v>
      </c>
      <c r="F98" s="78">
        <f>SUMIFS('Diario Adm'!$E:$E,'Diario Adm'!$B:$B,F$4,'Diario Adm'!$C:$C,$A98)</f>
        <v>0</v>
      </c>
      <c r="G98" s="78">
        <f>SUMIFS('Diario Adm'!$E:$E,'Diario Adm'!$B:$B,G$4,'Diario Adm'!$C:$C,$A98)</f>
        <v>0</v>
      </c>
      <c r="H98" s="78">
        <f>SUMIFS('Diario Adm'!$E:$E,'Diario Adm'!$B:$B,H$4,'Diario Adm'!$C:$C,$A98)</f>
        <v>0</v>
      </c>
      <c r="I98" s="78">
        <f>SUMIFS('Diario Adm'!$E:$E,'Diario Adm'!$B:$B,I$4,'Diario Adm'!$C:$C,$A98)</f>
        <v>0</v>
      </c>
      <c r="J98" s="78">
        <f>SUMIFS('Diario Adm'!$E:$E,'Diario Adm'!$B:$B,J$4,'Diario Adm'!$C:$C,$A98)</f>
        <v>0</v>
      </c>
      <c r="K98" s="78">
        <f>SUMIFS('Diario Adm'!$E:$E,'Diario Adm'!$B:$B,K$4,'Diario Adm'!$C:$C,$A98)</f>
        <v>0</v>
      </c>
      <c r="L98" s="78">
        <f>SUMIFS('Diario Adm'!$E:$E,'Diario Adm'!$B:$B,L$4,'Diario Adm'!$C:$C,$A98)</f>
        <v>0</v>
      </c>
      <c r="M98" s="78">
        <f>SUMIFS('Diario Adm'!$E:$E,'Diario Adm'!$B:$B,M$4,'Diario Adm'!$C:$C,$A98)</f>
        <v>0</v>
      </c>
      <c r="N98" s="78">
        <f>SUMIFS('Diario Adm'!$E:$E,'Diario Adm'!$B:$B,N$4,'Diario Adm'!$C:$C,$A98)</f>
        <v>0</v>
      </c>
      <c r="O98" s="55"/>
      <c r="P98" s="146">
        <f>SUM(C98:N98)</f>
        <v>0</v>
      </c>
    </row>
    <row r="99" spans="1:16" ht="14.95" hidden="1" customHeight="1" x14ac:dyDescent="0.25">
      <c r="A99" s="170">
        <v>9042</v>
      </c>
      <c r="B99" s="190" t="str">
        <f>VLOOKUP(A99,Plan!A:B,2,0)</f>
        <v>Aporte a Casa Sacerdotes</v>
      </c>
      <c r="C99" s="78">
        <f>SUMIFS('Diario Adm'!$E:$E,'Diario Adm'!$B:$B,C$4,'Diario Adm'!$C:$C,$A99)</f>
        <v>0</v>
      </c>
      <c r="D99" s="78">
        <f>SUMIFS('Diario Adm'!$E:$E,'Diario Adm'!$B:$B,D$4,'Diario Adm'!$C:$C,$A99)</f>
        <v>0</v>
      </c>
      <c r="E99" s="78">
        <f>SUMIFS('Diario Adm'!$E:$E,'Diario Adm'!$B:$B,E$4,'Diario Adm'!$C:$C,$A99)</f>
        <v>0</v>
      </c>
      <c r="F99" s="78">
        <f>SUMIFS('Diario Adm'!$E:$E,'Diario Adm'!$B:$B,F$4,'Diario Adm'!$C:$C,$A99)</f>
        <v>0</v>
      </c>
      <c r="G99" s="78">
        <f>SUMIFS('Diario Adm'!$E:$E,'Diario Adm'!$B:$B,G$4,'Diario Adm'!$C:$C,$A99)</f>
        <v>0</v>
      </c>
      <c r="H99" s="78">
        <f>SUMIFS('Diario Adm'!$E:$E,'Diario Adm'!$B:$B,H$4,'Diario Adm'!$C:$C,$A99)</f>
        <v>0</v>
      </c>
      <c r="I99" s="78">
        <f>SUMIFS('Diario Adm'!$E:$E,'Diario Adm'!$B:$B,I$4,'Diario Adm'!$C:$C,$A99)</f>
        <v>0</v>
      </c>
      <c r="J99" s="78">
        <f>SUMIFS('Diario Adm'!$E:$E,'Diario Adm'!$B:$B,J$4,'Diario Adm'!$C:$C,$A99)</f>
        <v>0</v>
      </c>
      <c r="K99" s="78">
        <f>SUMIFS('Diario Adm'!$E:$E,'Diario Adm'!$B:$B,K$4,'Diario Adm'!$C:$C,$A99)</f>
        <v>0</v>
      </c>
      <c r="L99" s="78">
        <f>SUMIFS('Diario Adm'!$E:$E,'Diario Adm'!$B:$B,L$4,'Diario Adm'!$C:$C,$A99)</f>
        <v>0</v>
      </c>
      <c r="M99" s="78">
        <f>SUMIFS('Diario Adm'!$E:$E,'Diario Adm'!$B:$B,M$4,'Diario Adm'!$C:$C,$A99)</f>
        <v>0</v>
      </c>
      <c r="N99" s="78">
        <f>SUMIFS('Diario Adm'!$E:$E,'Diario Adm'!$B:$B,N$4,'Diario Adm'!$C:$C,$A99)</f>
        <v>0</v>
      </c>
      <c r="O99" s="55"/>
      <c r="P99" s="146">
        <f t="shared" si="6"/>
        <v>0</v>
      </c>
    </row>
    <row r="100" spans="1:16" s="57" customFormat="1" ht="14.95" customHeight="1" x14ac:dyDescent="0.25">
      <c r="A100" s="54">
        <v>929</v>
      </c>
      <c r="B100" s="48" t="s">
        <v>23</v>
      </c>
      <c r="C100" s="146">
        <f t="shared" ref="C100:N100" si="7">+C7-C24</f>
        <v>-3761213</v>
      </c>
      <c r="D100" s="146">
        <f t="shared" si="7"/>
        <v>-4133899</v>
      </c>
      <c r="E100" s="51">
        <f t="shared" si="7"/>
        <v>-562434</v>
      </c>
      <c r="F100" s="48">
        <f t="shared" si="7"/>
        <v>-1027067</v>
      </c>
      <c r="G100" s="48">
        <f t="shared" si="7"/>
        <v>-1758574</v>
      </c>
      <c r="H100" s="48">
        <f t="shared" si="7"/>
        <v>-2756002</v>
      </c>
      <c r="I100" s="48">
        <f t="shared" si="7"/>
        <v>-3588046</v>
      </c>
      <c r="J100" s="48">
        <f>+J7-J24</f>
        <v>-2815235</v>
      </c>
      <c r="K100" s="48">
        <f t="shared" si="7"/>
        <v>-1908639</v>
      </c>
      <c r="L100" s="48">
        <f t="shared" si="7"/>
        <v>-1916889</v>
      </c>
      <c r="M100" s="48">
        <f t="shared" si="7"/>
        <v>8839378</v>
      </c>
      <c r="N100" s="48">
        <f t="shared" si="7"/>
        <v>-12870192</v>
      </c>
      <c r="O100" s="47"/>
      <c r="P100" s="48">
        <f>+P7-P24</f>
        <v>-28258812</v>
      </c>
    </row>
    <row r="101" spans="1:16" ht="14.95" customHeight="1" x14ac:dyDescent="0.25">
      <c r="A101" s="44"/>
      <c r="B101" s="49"/>
      <c r="C101" s="149" t="s">
        <v>48</v>
      </c>
      <c r="D101" s="148" t="s">
        <v>48</v>
      </c>
      <c r="E101" s="44" t="s">
        <v>48</v>
      </c>
      <c r="F101" s="44"/>
      <c r="G101" s="44"/>
      <c r="P101" s="58"/>
    </row>
    <row r="102" spans="1:16" s="57" customFormat="1" ht="14.95" hidden="1" customHeight="1" x14ac:dyDescent="0.25">
      <c r="A102" s="56"/>
      <c r="B102" s="48" t="s">
        <v>7</v>
      </c>
      <c r="C102" s="48">
        <f>+C103</f>
        <v>0</v>
      </c>
      <c r="D102" s="48">
        <f t="shared" ref="D102:N102" si="8">+D103</f>
        <v>0</v>
      </c>
      <c r="E102" s="48">
        <f t="shared" si="8"/>
        <v>0</v>
      </c>
      <c r="F102" s="48">
        <f t="shared" si="8"/>
        <v>0</v>
      </c>
      <c r="G102" s="48">
        <f t="shared" si="8"/>
        <v>0</v>
      </c>
      <c r="H102" s="48">
        <f t="shared" si="8"/>
        <v>0</v>
      </c>
      <c r="I102" s="48">
        <f t="shared" si="8"/>
        <v>0</v>
      </c>
      <c r="J102" s="48">
        <f t="shared" si="8"/>
        <v>0</v>
      </c>
      <c r="K102" s="48">
        <f t="shared" si="8"/>
        <v>0</v>
      </c>
      <c r="L102" s="48">
        <f t="shared" si="8"/>
        <v>0</v>
      </c>
      <c r="M102" s="48">
        <f t="shared" si="8"/>
        <v>0</v>
      </c>
      <c r="N102" s="48">
        <f t="shared" si="8"/>
        <v>0</v>
      </c>
      <c r="O102" s="47"/>
      <c r="P102" s="48">
        <f>+P103</f>
        <v>0</v>
      </c>
    </row>
    <row r="103" spans="1:16" ht="14.95" hidden="1" customHeight="1" x14ac:dyDescent="0.25">
      <c r="A103" s="54">
        <v>6001</v>
      </c>
      <c r="B103" s="147" t="str">
        <f>VLOOKUP(A103,Plan!A:B,2,0)</f>
        <v>Intereses Financieros Administración</v>
      </c>
      <c r="C103" s="510">
        <f>SUMIFS('Diario Adm'!$E:$E,'Diario Adm'!$B:$B,C$4,'Diario Adm'!$C:$C,$A103)</f>
        <v>0</v>
      </c>
      <c r="D103" s="511">
        <f>SUMIFS('Diario Adm'!$E:$E,'Diario Adm'!$B:$B,D$4,'Diario Adm'!$C:$C,$A103)</f>
        <v>0</v>
      </c>
      <c r="E103" s="511">
        <f>SUMIFS('Diario Adm'!$E:$E,'Diario Adm'!$B:$B,E$4,'Diario Adm'!$C:$C,$A103)</f>
        <v>0</v>
      </c>
      <c r="F103" s="511">
        <f>SUMIFS('Diario Adm'!$E:$E,'Diario Adm'!$B:$B,F$4,'Diario Adm'!$C:$C,$A103)</f>
        <v>0</v>
      </c>
      <c r="G103" s="511">
        <f>SUMIFS('Diario Adm'!$E:$E,'Diario Adm'!$B:$B,G$4,'Diario Adm'!$C:$C,$A103)</f>
        <v>0</v>
      </c>
      <c r="H103" s="511">
        <f>SUMIFS('Diario Adm'!$E:$E,'Diario Adm'!$B:$B,H$4,'Diario Adm'!$C:$C,$A103)</f>
        <v>0</v>
      </c>
      <c r="I103" s="511">
        <f>SUMIFS('Diario Adm'!$E:$E,'Diario Adm'!$B:$B,I$4,'Diario Adm'!$C:$C,$A103)</f>
        <v>0</v>
      </c>
      <c r="J103" s="511">
        <f>SUMIFS('Diario Adm'!$E:$E,'Diario Adm'!$B:$B,J$4,'Diario Adm'!$C:$C,$A103)</f>
        <v>0</v>
      </c>
      <c r="K103" s="511">
        <f>SUMIFS('Diario Adm'!$E:$E,'Diario Adm'!$B:$B,K$4,'Diario Adm'!$C:$C,$A103)</f>
        <v>0</v>
      </c>
      <c r="L103" s="511">
        <f>SUMIFS('Diario Adm'!$E:$E,'Diario Adm'!$B:$B,L$4,'Diario Adm'!$C:$C,$A103)</f>
        <v>0</v>
      </c>
      <c r="M103" s="511">
        <f>SUMIFS('Diario Adm'!$E:$E,'Diario Adm'!$B:$B,M$4,'Diario Adm'!$C:$C,$A103)</f>
        <v>0</v>
      </c>
      <c r="N103" s="511">
        <f>SUMIFS('Diario Adm'!$E:$E,'Diario Adm'!$B:$B,N$4,'Diario Adm'!$C:$C,$A103)</f>
        <v>0</v>
      </c>
      <c r="P103" s="40">
        <f>SUM(C103:N103)</f>
        <v>0</v>
      </c>
    </row>
    <row r="104" spans="1:16" ht="14.95" customHeight="1" x14ac:dyDescent="0.25">
      <c r="B104" s="56"/>
      <c r="C104" s="44"/>
      <c r="D104" s="44"/>
      <c r="E104" s="44"/>
      <c r="F104" s="44"/>
      <c r="G104" s="44"/>
    </row>
    <row r="105" spans="1:16" ht="14.95" customHeight="1" x14ac:dyDescent="0.25">
      <c r="B105" s="62" t="s">
        <v>49</v>
      </c>
      <c r="C105" s="63">
        <f t="shared" ref="C105:N105" si="9">+C100+C102</f>
        <v>-3761213</v>
      </c>
      <c r="D105" s="63">
        <f t="shared" si="9"/>
        <v>-4133899</v>
      </c>
      <c r="E105" s="62">
        <f t="shared" si="9"/>
        <v>-562434</v>
      </c>
      <c r="F105" s="62">
        <f t="shared" si="9"/>
        <v>-1027067</v>
      </c>
      <c r="G105" s="62">
        <f t="shared" si="9"/>
        <v>-1758574</v>
      </c>
      <c r="H105" s="62">
        <f t="shared" si="9"/>
        <v>-2756002</v>
      </c>
      <c r="I105" s="62">
        <f t="shared" si="9"/>
        <v>-3588046</v>
      </c>
      <c r="J105" s="62">
        <f t="shared" si="9"/>
        <v>-2815235</v>
      </c>
      <c r="K105" s="62">
        <f t="shared" si="9"/>
        <v>-1908639</v>
      </c>
      <c r="L105" s="62">
        <f t="shared" si="9"/>
        <v>-1916889</v>
      </c>
      <c r="M105" s="62">
        <f t="shared" si="9"/>
        <v>8839378</v>
      </c>
      <c r="N105" s="62">
        <f t="shared" si="9"/>
        <v>-12870192</v>
      </c>
      <c r="O105" s="47"/>
      <c r="P105" s="326">
        <f>+P100+P102</f>
        <v>-28258812</v>
      </c>
    </row>
    <row r="106" spans="1:16" x14ac:dyDescent="0.25">
      <c r="B106" s="44"/>
      <c r="C106" s="56"/>
      <c r="D106" s="56"/>
      <c r="E106" s="56"/>
      <c r="F106" s="56"/>
      <c r="G106" s="56"/>
      <c r="H106" s="47"/>
      <c r="I106" s="47"/>
      <c r="J106" s="47"/>
      <c r="K106" s="47"/>
      <c r="L106" s="47"/>
      <c r="M106" s="47"/>
      <c r="N106" s="47"/>
      <c r="O106" s="47"/>
      <c r="P106" s="47"/>
    </row>
    <row r="107" spans="1:16" x14ac:dyDescent="0.25">
      <c r="B107" s="44"/>
      <c r="C107" s="56"/>
      <c r="D107" s="56"/>
      <c r="E107" s="56"/>
      <c r="F107" s="56"/>
      <c r="G107" s="56"/>
      <c r="H107" s="47"/>
      <c r="I107" s="47"/>
      <c r="J107" s="47"/>
      <c r="K107" s="47"/>
      <c r="L107" s="47"/>
      <c r="M107" s="47"/>
      <c r="N107" s="47"/>
      <c r="O107" s="47"/>
      <c r="P107" s="47"/>
    </row>
    <row r="108" spans="1:16" x14ac:dyDescent="0.25">
      <c r="B108" s="44"/>
      <c r="C108" s="56"/>
      <c r="D108" s="56"/>
      <c r="E108" s="56"/>
      <c r="F108" s="56"/>
      <c r="G108" s="56"/>
      <c r="H108" s="47">
        <f>+H88-P9</f>
        <v>206057</v>
      </c>
      <c r="I108" s="47"/>
      <c r="J108" s="47"/>
      <c r="K108" s="47"/>
      <c r="L108" s="47"/>
      <c r="M108" s="47"/>
      <c r="N108" s="47"/>
      <c r="O108" s="47"/>
      <c r="P108" s="47"/>
    </row>
    <row r="109" spans="1:16" ht="13.75" customHeight="1" x14ac:dyDescent="0.25">
      <c r="B109" s="44"/>
      <c r="C109" s="44" t="s">
        <v>48</v>
      </c>
      <c r="D109" s="44"/>
      <c r="E109" s="56"/>
      <c r="F109" s="56"/>
      <c r="G109" s="56"/>
      <c r="H109" s="47"/>
      <c r="I109" s="47"/>
      <c r="J109" s="47"/>
      <c r="K109" s="47"/>
      <c r="L109" s="47"/>
      <c r="M109" s="47"/>
      <c r="N109" s="47"/>
      <c r="O109" s="47"/>
      <c r="P109" s="47"/>
    </row>
    <row r="110" spans="1:16" ht="13.75" customHeight="1" x14ac:dyDescent="0.25">
      <c r="B110" s="44"/>
      <c r="C110" s="44" t="s">
        <v>48</v>
      </c>
      <c r="D110" s="44"/>
      <c r="E110" s="56"/>
      <c r="F110" s="56"/>
      <c r="G110" s="56"/>
      <c r="H110" s="47"/>
      <c r="I110" s="47"/>
      <c r="J110" s="47"/>
      <c r="K110" s="47"/>
      <c r="L110" s="47"/>
      <c r="M110" s="47"/>
      <c r="N110" s="47"/>
      <c r="O110" s="47"/>
      <c r="P110" s="47"/>
    </row>
    <row r="111" spans="1:16" ht="13.75" customHeight="1" x14ac:dyDescent="0.25">
      <c r="B111" s="44"/>
      <c r="C111" s="44" t="s">
        <v>48</v>
      </c>
      <c r="D111" s="44"/>
      <c r="E111" s="56"/>
      <c r="F111" s="56"/>
      <c r="G111" s="56"/>
      <c r="H111" s="47"/>
      <c r="I111" s="47"/>
      <c r="J111" s="47"/>
      <c r="K111" s="47"/>
      <c r="L111" s="47"/>
      <c r="M111" s="47"/>
      <c r="N111" s="47"/>
      <c r="O111" s="47"/>
      <c r="P111" s="47"/>
    </row>
    <row r="112" spans="1:16" ht="13.75" customHeight="1" x14ac:dyDescent="0.25">
      <c r="B112" s="44"/>
      <c r="C112" s="44" t="s">
        <v>48</v>
      </c>
      <c r="D112" s="44"/>
      <c r="E112" s="56"/>
      <c r="F112" s="56"/>
      <c r="G112" s="56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1:16" ht="13.75" customHeight="1" x14ac:dyDescent="0.25">
      <c r="B113" s="44"/>
      <c r="C113" s="44"/>
      <c r="D113" s="44"/>
      <c r="E113" s="56"/>
      <c r="F113" s="56"/>
      <c r="G113" s="56"/>
      <c r="H113" s="47"/>
      <c r="I113" s="47"/>
      <c r="J113" s="47"/>
      <c r="K113" s="47"/>
      <c r="L113" s="47"/>
      <c r="M113" s="47"/>
      <c r="N113" s="47"/>
      <c r="O113" s="47"/>
      <c r="P113" s="47"/>
    </row>
    <row r="114" spans="1:16" ht="13.75" customHeight="1" x14ac:dyDescent="0.25">
      <c r="B114" s="44"/>
      <c r="C114" s="44"/>
      <c r="D114" s="44"/>
      <c r="E114" s="56"/>
      <c r="F114" s="56"/>
      <c r="G114" s="56"/>
      <c r="H114" s="47"/>
      <c r="I114" s="47"/>
      <c r="J114" s="47"/>
      <c r="K114" s="47"/>
      <c r="L114" s="47"/>
      <c r="M114" s="47"/>
      <c r="N114" s="47"/>
      <c r="O114" s="47"/>
      <c r="P114" s="47"/>
    </row>
    <row r="116" spans="1:16" x14ac:dyDescent="0.25">
      <c r="A116" s="44"/>
      <c r="B116" s="56"/>
      <c r="C116" s="44"/>
      <c r="D116" s="44"/>
      <c r="E116" s="56"/>
      <c r="F116" s="56"/>
      <c r="G116" s="56"/>
      <c r="H116" s="47"/>
      <c r="I116" s="47"/>
      <c r="J116" s="47"/>
      <c r="K116" s="47"/>
      <c r="L116" s="47"/>
      <c r="M116" s="47"/>
      <c r="N116" s="47"/>
      <c r="O116" s="47"/>
      <c r="P116" s="47"/>
    </row>
  </sheetData>
  <autoFilter ref="P5:P105" xr:uid="{00000000-0009-0000-0000-000000000000}">
    <filterColumn colId="0">
      <filters blank="1">
        <filter val="1.038.000"/>
        <filter val="1.082.443"/>
        <filter val="1.217.018"/>
        <filter val="1.325.573"/>
        <filter val="1.504.863"/>
        <filter val="1.536.631"/>
        <filter val="1.958.294"/>
        <filter val="10.521.178"/>
        <filter val="10.927.836"/>
        <filter val="114.369.317"/>
        <filter val="125.962"/>
        <filter val="155.000"/>
        <filter val="19.683.690"/>
        <filter val="19.827.000"/>
        <filter val="2.173.000"/>
        <filter val="2.178.390"/>
        <filter val="2.489.250"/>
        <filter val="228.495"/>
        <filter val="229.250"/>
        <filter val="248.000"/>
        <filter val="-26.393.564"/>
        <filter val="30.900"/>
        <filter val="329.990"/>
        <filter val="357.557"/>
        <filter val="359.434"/>
        <filter val="37.196.888"/>
        <filter val="433.379"/>
        <filter val="459.057"/>
        <filter val="477.830"/>
        <filter val="5.309.456"/>
        <filter val="5.450.542"/>
        <filter val="51.646.517"/>
        <filter val="543.777"/>
        <filter val="626.050"/>
        <filter val="675.000"/>
        <filter val="70.320"/>
        <filter val="718.823"/>
        <filter val="75.911"/>
        <filter val="87.975.753"/>
        <filter val="9.451.110"/>
        <filter val="9.682.656"/>
      </filters>
    </filterColumn>
  </autoFilter>
  <mergeCells count="2">
    <mergeCell ref="B1:P1"/>
    <mergeCell ref="B2:P2"/>
  </mergeCells>
  <phoneticPr fontId="6" type="noConversion"/>
  <printOptions horizontalCentered="1" verticalCentered="1"/>
  <pageMargins left="0.35433070866141736" right="0.35433070866141736" top="0.39370078740157483" bottom="0.39370078740157483" header="0" footer="0"/>
  <pageSetup scale="80" orientation="landscape" horizontalDpi="1200" verticalDpi="1200" r:id="rId1"/>
  <headerFooter alignWithMargins="0">
    <oddFooter>&amp;L&amp;F&amp;R&amp;A</oddFooter>
  </headerFooter>
  <rowBreaks count="1" manualBreakCount="1">
    <brk id="52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-0.249977111117893"/>
  </sheetPr>
  <dimension ref="A3:O11"/>
  <sheetViews>
    <sheetView zoomScale="68" zoomScaleNormal="68" workbookViewId="0">
      <selection activeCell="D16" sqref="D16"/>
    </sheetView>
  </sheetViews>
  <sheetFormatPr baseColWidth="10" defaultRowHeight="15.65" x14ac:dyDescent="0.25"/>
  <cols>
    <col min="1" max="1" width="15.296875" bestFit="1" customWidth="1"/>
    <col min="2" max="2" width="37.19921875" bestFit="1" customWidth="1"/>
    <col min="3" max="14" width="10.8984375" bestFit="1" customWidth="1"/>
    <col min="15" max="15" width="12.8984375" bestFit="1" customWidth="1"/>
    <col min="16" max="17" width="12.296875" bestFit="1" customWidth="1"/>
  </cols>
  <sheetData>
    <row r="3" spans="1:15" x14ac:dyDescent="0.25">
      <c r="A3" s="410" t="s">
        <v>1130</v>
      </c>
      <c r="C3" s="410" t="s">
        <v>112</v>
      </c>
    </row>
    <row r="4" spans="1:15" x14ac:dyDescent="0.25">
      <c r="A4" s="410" t="s">
        <v>124</v>
      </c>
      <c r="B4" s="410" t="s">
        <v>113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  <c r="O4" t="s">
        <v>409</v>
      </c>
    </row>
    <row r="5" spans="1:15" x14ac:dyDescent="0.25">
      <c r="A5">
        <v>141</v>
      </c>
      <c r="B5" t="s">
        <v>378</v>
      </c>
      <c r="C5" s="264">
        <v>119974557</v>
      </c>
      <c r="D5" s="264">
        <v>2596808</v>
      </c>
      <c r="E5" s="264">
        <v>613738</v>
      </c>
      <c r="F5" s="264">
        <v>4442985</v>
      </c>
      <c r="G5" s="264">
        <v>1095679</v>
      </c>
      <c r="H5" s="264">
        <v>474852</v>
      </c>
      <c r="I5" s="264">
        <v>1534404</v>
      </c>
      <c r="J5" s="264">
        <v>5114110</v>
      </c>
      <c r="K5" s="264">
        <v>2311647</v>
      </c>
      <c r="L5" s="264">
        <v>282209</v>
      </c>
      <c r="M5" s="264">
        <v>490325</v>
      </c>
      <c r="N5" s="264">
        <v>-494120</v>
      </c>
      <c r="O5" s="264">
        <v>138437194</v>
      </c>
    </row>
    <row r="6" spans="1:15" x14ac:dyDescent="0.25">
      <c r="A6" t="s">
        <v>1276</v>
      </c>
      <c r="C6" s="264">
        <v>119974557</v>
      </c>
      <c r="D6" s="264">
        <v>2596808</v>
      </c>
      <c r="E6" s="264">
        <v>613738</v>
      </c>
      <c r="F6" s="264">
        <v>4442985</v>
      </c>
      <c r="G6" s="264">
        <v>1095679</v>
      </c>
      <c r="H6" s="264">
        <v>474852</v>
      </c>
      <c r="I6" s="264">
        <v>1534404</v>
      </c>
      <c r="J6" s="264">
        <v>5114110</v>
      </c>
      <c r="K6" s="264">
        <v>2311647</v>
      </c>
      <c r="L6" s="264">
        <v>282209</v>
      </c>
      <c r="M6" s="264">
        <v>490325</v>
      </c>
      <c r="N6" s="264">
        <v>-494120</v>
      </c>
      <c r="O6" s="264">
        <v>138437194</v>
      </c>
    </row>
    <row r="7" spans="1:15" x14ac:dyDescent="0.25">
      <c r="A7">
        <v>216</v>
      </c>
      <c r="B7" t="s">
        <v>645</v>
      </c>
      <c r="C7" s="264">
        <v>-2076084</v>
      </c>
      <c r="D7" s="264">
        <v>-92000</v>
      </c>
      <c r="E7" s="264">
        <v>-146000</v>
      </c>
      <c r="F7" s="264">
        <v>-184046</v>
      </c>
      <c r="G7" s="264">
        <v>-233522</v>
      </c>
      <c r="H7" s="264">
        <v>-45000</v>
      </c>
      <c r="I7" s="264">
        <v>-49000</v>
      </c>
      <c r="J7" s="264">
        <v>-180000</v>
      </c>
      <c r="K7" s="264">
        <v>-170500</v>
      </c>
      <c r="L7" s="264">
        <v>-55500</v>
      </c>
      <c r="M7" s="264">
        <v>-26000</v>
      </c>
      <c r="N7" s="264">
        <v>3257652</v>
      </c>
      <c r="O7" s="264">
        <v>0</v>
      </c>
    </row>
    <row r="8" spans="1:15" x14ac:dyDescent="0.25">
      <c r="A8" t="s">
        <v>1277</v>
      </c>
      <c r="C8" s="264">
        <v>-2076084</v>
      </c>
      <c r="D8" s="264">
        <v>-92000</v>
      </c>
      <c r="E8" s="264">
        <v>-146000</v>
      </c>
      <c r="F8" s="264">
        <v>-184046</v>
      </c>
      <c r="G8" s="264">
        <v>-233522</v>
      </c>
      <c r="H8" s="264">
        <v>-45000</v>
      </c>
      <c r="I8" s="264">
        <v>-49000</v>
      </c>
      <c r="J8" s="264">
        <v>-180000</v>
      </c>
      <c r="K8" s="264">
        <v>-170500</v>
      </c>
      <c r="L8" s="264">
        <v>-55500</v>
      </c>
      <c r="M8" s="264">
        <v>-26000</v>
      </c>
      <c r="N8" s="264">
        <v>3257652</v>
      </c>
      <c r="O8" s="264">
        <v>0</v>
      </c>
    </row>
    <row r="9" spans="1:15" x14ac:dyDescent="0.25">
      <c r="A9">
        <v>217</v>
      </c>
      <c r="B9" t="s">
        <v>646</v>
      </c>
      <c r="C9" s="264">
        <v>-595000</v>
      </c>
      <c r="D9" s="264"/>
      <c r="E9" s="264"/>
      <c r="F9" s="264">
        <v>-20000</v>
      </c>
      <c r="G9" s="264">
        <v>-70000</v>
      </c>
      <c r="H9" s="264">
        <v>-60000</v>
      </c>
      <c r="I9" s="264">
        <v>-20000</v>
      </c>
      <c r="J9" s="264"/>
      <c r="K9" s="264"/>
      <c r="L9" s="264"/>
      <c r="M9" s="264"/>
      <c r="N9" s="264">
        <v>765000</v>
      </c>
      <c r="O9" s="264">
        <v>0</v>
      </c>
    </row>
    <row r="10" spans="1:15" x14ac:dyDescent="0.25">
      <c r="A10" t="s">
        <v>1278</v>
      </c>
      <c r="C10" s="380">
        <v>-595000</v>
      </c>
      <c r="D10" s="380"/>
      <c r="E10" s="380"/>
      <c r="F10" s="380">
        <v>-20000</v>
      </c>
      <c r="G10" s="380">
        <v>-70000</v>
      </c>
      <c r="H10" s="380">
        <v>-60000</v>
      </c>
      <c r="I10" s="380">
        <v>-20000</v>
      </c>
      <c r="J10" s="380"/>
      <c r="K10" s="380"/>
      <c r="L10" s="380"/>
      <c r="M10" s="380"/>
      <c r="N10" s="380">
        <v>765000</v>
      </c>
      <c r="O10" s="264">
        <v>0</v>
      </c>
    </row>
    <row r="11" spans="1:15" x14ac:dyDescent="0.25">
      <c r="A11" t="s">
        <v>409</v>
      </c>
      <c r="C11" s="264">
        <v>117303473</v>
      </c>
      <c r="D11" s="264">
        <v>2504808</v>
      </c>
      <c r="E11" s="264">
        <v>467738</v>
      </c>
      <c r="F11" s="264">
        <v>4238939</v>
      </c>
      <c r="G11" s="264">
        <v>792157</v>
      </c>
      <c r="H11" s="264">
        <v>369852</v>
      </c>
      <c r="I11" s="264">
        <v>1465404</v>
      </c>
      <c r="J11" s="264">
        <v>4934110</v>
      </c>
      <c r="K11" s="264">
        <v>2141147</v>
      </c>
      <c r="L11" s="264">
        <v>226709</v>
      </c>
      <c r="M11" s="264">
        <v>464325</v>
      </c>
      <c r="N11" s="264">
        <v>3528532</v>
      </c>
      <c r="O11" s="264">
        <v>138437194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3:F156"/>
  <sheetViews>
    <sheetView zoomScale="70" zoomScaleNormal="70" workbookViewId="0">
      <selection activeCell="E18" sqref="E18"/>
    </sheetView>
  </sheetViews>
  <sheetFormatPr baseColWidth="10" defaultRowHeight="15.65" x14ac:dyDescent="0.25"/>
  <cols>
    <col min="1" max="1" width="15" bestFit="1" customWidth="1"/>
    <col min="2" max="2" width="46" bestFit="1" customWidth="1"/>
    <col min="3" max="3" width="50.3984375" bestFit="1" customWidth="1"/>
    <col min="4" max="4" width="11.3984375" bestFit="1" customWidth="1"/>
    <col min="5" max="6" width="12.3984375" bestFit="1" customWidth="1"/>
    <col min="7" max="15" width="11.3984375" bestFit="1" customWidth="1"/>
    <col min="16" max="16" width="12.3984375" bestFit="1" customWidth="1"/>
  </cols>
  <sheetData>
    <row r="3" spans="1:5" x14ac:dyDescent="0.25">
      <c r="A3" s="410" t="s">
        <v>1130</v>
      </c>
      <c r="D3" s="410" t="s">
        <v>112</v>
      </c>
    </row>
    <row r="4" spans="1:5" x14ac:dyDescent="0.25">
      <c r="A4" s="410" t="s">
        <v>124</v>
      </c>
      <c r="B4" s="410" t="s">
        <v>113</v>
      </c>
      <c r="C4" s="410" t="s">
        <v>116</v>
      </c>
      <c r="D4">
        <v>12</v>
      </c>
      <c r="E4" t="s">
        <v>409</v>
      </c>
    </row>
    <row r="5" spans="1:5" x14ac:dyDescent="0.25">
      <c r="A5">
        <v>1130</v>
      </c>
      <c r="B5" t="s">
        <v>248</v>
      </c>
      <c r="C5" t="s">
        <v>1788</v>
      </c>
      <c r="D5" s="464">
        <v>-875000</v>
      </c>
      <c r="E5" s="264">
        <v>-875000</v>
      </c>
    </row>
    <row r="6" spans="1:5" x14ac:dyDescent="0.25">
      <c r="C6" t="s">
        <v>1687</v>
      </c>
      <c r="D6" s="464">
        <v>-25000</v>
      </c>
      <c r="E6" s="264">
        <v>-25000</v>
      </c>
    </row>
    <row r="7" spans="1:5" x14ac:dyDescent="0.25">
      <c r="B7" t="s">
        <v>2111</v>
      </c>
      <c r="D7" s="264">
        <v>-900000</v>
      </c>
      <c r="E7" s="264">
        <v>-900000</v>
      </c>
    </row>
    <row r="8" spans="1:5" x14ac:dyDescent="0.25">
      <c r="A8">
        <v>1216</v>
      </c>
      <c r="B8" t="s">
        <v>249</v>
      </c>
      <c r="C8" t="s">
        <v>1641</v>
      </c>
      <c r="D8" s="476">
        <v>-30000</v>
      </c>
      <c r="E8" s="264">
        <v>-30000</v>
      </c>
    </row>
    <row r="9" spans="1:5" x14ac:dyDescent="0.25">
      <c r="C9" t="s">
        <v>2531</v>
      </c>
      <c r="D9" s="264">
        <v>632000</v>
      </c>
      <c r="E9" s="264">
        <v>632000</v>
      </c>
    </row>
    <row r="10" spans="1:5" x14ac:dyDescent="0.25">
      <c r="C10" t="s">
        <v>1042</v>
      </c>
      <c r="D10" s="264">
        <v>-60000</v>
      </c>
      <c r="E10" s="264">
        <v>-60000</v>
      </c>
    </row>
    <row r="11" spans="1:5" x14ac:dyDescent="0.25">
      <c r="C11" t="s">
        <v>1017</v>
      </c>
      <c r="D11" s="476">
        <v>-30000</v>
      </c>
      <c r="E11" s="264">
        <v>-30000</v>
      </c>
    </row>
    <row r="12" spans="1:5" x14ac:dyDescent="0.25">
      <c r="C12" t="s">
        <v>1687</v>
      </c>
      <c r="D12" s="264">
        <v>-512000</v>
      </c>
      <c r="E12" s="264">
        <v>-512000</v>
      </c>
    </row>
    <row r="13" spans="1:5" x14ac:dyDescent="0.25">
      <c r="B13" t="s">
        <v>1898</v>
      </c>
      <c r="D13" s="464">
        <v>0</v>
      </c>
      <c r="E13" s="380">
        <v>0</v>
      </c>
    </row>
    <row r="14" spans="1:5" x14ac:dyDescent="0.25">
      <c r="A14">
        <v>1217</v>
      </c>
      <c r="B14" t="s">
        <v>1274</v>
      </c>
      <c r="C14" t="s">
        <v>2400</v>
      </c>
      <c r="D14" s="264">
        <v>-5000</v>
      </c>
      <c r="E14" s="264">
        <v>-5000</v>
      </c>
    </row>
    <row r="15" spans="1:5" x14ac:dyDescent="0.25">
      <c r="C15" t="s">
        <v>1028</v>
      </c>
      <c r="D15" s="264">
        <v>-20000</v>
      </c>
      <c r="E15" s="264">
        <v>-20000</v>
      </c>
    </row>
    <row r="16" spans="1:5" x14ac:dyDescent="0.25">
      <c r="C16" t="s">
        <v>2531</v>
      </c>
      <c r="D16" s="264">
        <v>970000</v>
      </c>
      <c r="E16" s="264">
        <v>970000</v>
      </c>
    </row>
    <row r="17" spans="2:5" x14ac:dyDescent="0.25">
      <c r="C17" t="s">
        <v>1031</v>
      </c>
      <c r="D17" s="264">
        <v>-60000</v>
      </c>
      <c r="E17" s="264">
        <v>-60000</v>
      </c>
    </row>
    <row r="18" spans="2:5" x14ac:dyDescent="0.25">
      <c r="C18" t="s">
        <v>975</v>
      </c>
      <c r="D18" s="264">
        <v>-48000</v>
      </c>
      <c r="E18" s="264">
        <v>-48000</v>
      </c>
    </row>
    <row r="19" spans="2:5" x14ac:dyDescent="0.25">
      <c r="C19" t="s">
        <v>1035</v>
      </c>
      <c r="D19" s="264">
        <v>-20000</v>
      </c>
      <c r="E19" s="264">
        <v>-20000</v>
      </c>
    </row>
    <row r="20" spans="2:5" x14ac:dyDescent="0.25">
      <c r="C20" t="s">
        <v>980</v>
      </c>
      <c r="D20" s="264">
        <v>-25000</v>
      </c>
      <c r="E20" s="264">
        <v>-25000</v>
      </c>
    </row>
    <row r="21" spans="2:5" x14ac:dyDescent="0.25">
      <c r="C21" t="s">
        <v>1700</v>
      </c>
      <c r="D21" s="264">
        <v>-160000</v>
      </c>
      <c r="E21" s="264">
        <v>-160000</v>
      </c>
    </row>
    <row r="22" spans="2:5" x14ac:dyDescent="0.25">
      <c r="C22" t="s">
        <v>987</v>
      </c>
      <c r="D22" s="264">
        <v>-120000</v>
      </c>
      <c r="E22" s="264">
        <v>-120000</v>
      </c>
    </row>
    <row r="23" spans="2:5" x14ac:dyDescent="0.25">
      <c r="C23" t="s">
        <v>969</v>
      </c>
      <c r="D23" s="264">
        <v>-25000</v>
      </c>
      <c r="E23" s="264">
        <v>-25000</v>
      </c>
    </row>
    <row r="24" spans="2:5" x14ac:dyDescent="0.25">
      <c r="C24" t="s">
        <v>1048</v>
      </c>
      <c r="D24" s="264">
        <v>-30000</v>
      </c>
      <c r="E24" s="264">
        <v>-30000</v>
      </c>
    </row>
    <row r="25" spans="2:5" x14ac:dyDescent="0.25">
      <c r="C25" t="s">
        <v>550</v>
      </c>
      <c r="D25" s="264">
        <v>-65000</v>
      </c>
      <c r="E25" s="264">
        <v>-65000</v>
      </c>
    </row>
    <row r="26" spans="2:5" x14ac:dyDescent="0.25">
      <c r="C26" t="s">
        <v>1032</v>
      </c>
      <c r="D26" s="264">
        <v>-30000</v>
      </c>
      <c r="E26" s="264">
        <v>-30000</v>
      </c>
    </row>
    <row r="27" spans="2:5" x14ac:dyDescent="0.25">
      <c r="C27" t="s">
        <v>1020</v>
      </c>
      <c r="D27" s="264">
        <v>-12000</v>
      </c>
      <c r="E27" s="264">
        <v>-12000</v>
      </c>
    </row>
    <row r="28" spans="2:5" x14ac:dyDescent="0.25">
      <c r="C28" t="s">
        <v>1938</v>
      </c>
      <c r="D28" s="264">
        <v>-21000</v>
      </c>
      <c r="E28" s="264">
        <v>-21000</v>
      </c>
    </row>
    <row r="29" spans="2:5" x14ac:dyDescent="0.25">
      <c r="C29" t="s">
        <v>2376</v>
      </c>
      <c r="D29" s="264">
        <v>-19000</v>
      </c>
      <c r="E29" s="264">
        <v>-19000</v>
      </c>
    </row>
    <row r="30" spans="2:5" x14ac:dyDescent="0.25">
      <c r="C30" t="s">
        <v>1061</v>
      </c>
      <c r="D30" s="264">
        <v>-150000</v>
      </c>
      <c r="E30" s="264">
        <v>-150000</v>
      </c>
    </row>
    <row r="31" spans="2:5" x14ac:dyDescent="0.25">
      <c r="C31" t="s">
        <v>797</v>
      </c>
      <c r="D31" s="264">
        <v>-160000</v>
      </c>
      <c r="E31" s="264">
        <v>-160000</v>
      </c>
    </row>
    <row r="32" spans="2:5" x14ac:dyDescent="0.25">
      <c r="B32" t="s">
        <v>1899</v>
      </c>
      <c r="D32" s="464">
        <v>0</v>
      </c>
      <c r="E32" s="464">
        <v>0</v>
      </c>
    </row>
    <row r="33" spans="1:6" x14ac:dyDescent="0.25">
      <c r="A33">
        <v>1218</v>
      </c>
      <c r="B33" t="s">
        <v>250</v>
      </c>
      <c r="C33" t="s">
        <v>2337</v>
      </c>
      <c r="D33" s="264">
        <v>-667584</v>
      </c>
      <c r="E33" s="264">
        <v>-667584</v>
      </c>
    </row>
    <row r="34" spans="1:6" x14ac:dyDescent="0.25">
      <c r="C34" t="s">
        <v>2531</v>
      </c>
      <c r="D34" s="264">
        <v>12179316</v>
      </c>
      <c r="E34" s="264">
        <v>12179316</v>
      </c>
    </row>
    <row r="35" spans="1:6" x14ac:dyDescent="0.25">
      <c r="B35" t="s">
        <v>1900</v>
      </c>
      <c r="D35" s="264">
        <v>11511732</v>
      </c>
      <c r="E35" s="264">
        <v>11511732</v>
      </c>
    </row>
    <row r="36" spans="1:6" x14ac:dyDescent="0.25">
      <c r="A36">
        <v>1222</v>
      </c>
      <c r="B36" t="s">
        <v>1275</v>
      </c>
      <c r="C36" t="s">
        <v>1788</v>
      </c>
      <c r="D36" s="264">
        <v>-890000</v>
      </c>
      <c r="E36" s="264">
        <v>-890000</v>
      </c>
    </row>
    <row r="37" spans="1:6" x14ac:dyDescent="0.25">
      <c r="C37" t="s">
        <v>997</v>
      </c>
      <c r="D37" s="264">
        <v>-70000</v>
      </c>
      <c r="E37" s="264">
        <v>-70000</v>
      </c>
    </row>
    <row r="38" spans="1:6" x14ac:dyDescent="0.25">
      <c r="C38" t="s">
        <v>1016</v>
      </c>
      <c r="D38" s="264">
        <v>-17000</v>
      </c>
      <c r="E38" s="264">
        <v>-17000</v>
      </c>
    </row>
    <row r="39" spans="1:6" x14ac:dyDescent="0.25">
      <c r="C39" t="s">
        <v>2366</v>
      </c>
      <c r="D39" s="264">
        <v>-100000</v>
      </c>
      <c r="E39" s="264">
        <v>-100000</v>
      </c>
      <c r="F39" t="s">
        <v>2121</v>
      </c>
    </row>
    <row r="40" spans="1:6" x14ac:dyDescent="0.25">
      <c r="C40" t="s">
        <v>973</v>
      </c>
      <c r="D40" s="264">
        <v>-10000</v>
      </c>
      <c r="E40" s="264">
        <v>-10000</v>
      </c>
    </row>
    <row r="41" spans="1:6" ht="14.45" customHeight="1" x14ac:dyDescent="0.25">
      <c r="C41" t="s">
        <v>1703</v>
      </c>
      <c r="D41" s="264">
        <v>-22000</v>
      </c>
      <c r="E41" s="264">
        <v>-22000</v>
      </c>
    </row>
    <row r="42" spans="1:6" x14ac:dyDescent="0.25">
      <c r="C42" t="s">
        <v>963</v>
      </c>
      <c r="D42" s="264">
        <v>-20000</v>
      </c>
      <c r="E42" s="264">
        <v>-20000</v>
      </c>
    </row>
    <row r="43" spans="1:6" x14ac:dyDescent="0.25">
      <c r="C43" t="s">
        <v>1025</v>
      </c>
      <c r="D43" s="264">
        <v>-20000</v>
      </c>
      <c r="E43" s="264">
        <v>-20000</v>
      </c>
    </row>
    <row r="44" spans="1:6" x14ac:dyDescent="0.25">
      <c r="C44" t="s">
        <v>1024</v>
      </c>
      <c r="D44" s="264">
        <v>-50000</v>
      </c>
      <c r="E44" s="264">
        <v>-50000</v>
      </c>
    </row>
    <row r="45" spans="1:6" x14ac:dyDescent="0.25">
      <c r="C45" t="s">
        <v>1669</v>
      </c>
      <c r="D45" s="264">
        <v>-30000</v>
      </c>
      <c r="E45" s="264">
        <v>-30000</v>
      </c>
    </row>
    <row r="46" spans="1:6" x14ac:dyDescent="0.25">
      <c r="C46" t="s">
        <v>1082</v>
      </c>
      <c r="D46" s="264">
        <v>-60000</v>
      </c>
      <c r="E46" s="264">
        <v>-60000</v>
      </c>
    </row>
    <row r="47" spans="1:6" x14ac:dyDescent="0.25">
      <c r="C47" t="s">
        <v>999</v>
      </c>
      <c r="D47" s="264">
        <v>-40000</v>
      </c>
      <c r="E47" s="264">
        <v>-40000</v>
      </c>
    </row>
    <row r="48" spans="1:6" x14ac:dyDescent="0.25">
      <c r="C48" t="s">
        <v>2162</v>
      </c>
      <c r="D48" s="264">
        <v>-35000</v>
      </c>
      <c r="E48" s="264">
        <v>-35000</v>
      </c>
    </row>
    <row r="49" spans="3:5" x14ac:dyDescent="0.25">
      <c r="C49" s="428" t="s">
        <v>2244</v>
      </c>
      <c r="D49" s="464">
        <v>-30000</v>
      </c>
      <c r="E49" s="464">
        <v>-30000</v>
      </c>
    </row>
    <row r="50" spans="3:5" x14ac:dyDescent="0.25">
      <c r="C50" t="s">
        <v>2531</v>
      </c>
      <c r="D50" s="264">
        <v>3572000</v>
      </c>
      <c r="E50" s="264">
        <v>3572000</v>
      </c>
    </row>
    <row r="51" spans="3:5" x14ac:dyDescent="0.25">
      <c r="C51" t="s">
        <v>2439</v>
      </c>
      <c r="D51" s="264">
        <v>-8000</v>
      </c>
      <c r="E51" s="264">
        <v>-8000</v>
      </c>
    </row>
    <row r="52" spans="3:5" x14ac:dyDescent="0.25">
      <c r="C52" t="s">
        <v>1631</v>
      </c>
      <c r="D52" s="264">
        <v>-40000</v>
      </c>
      <c r="E52" s="264">
        <v>-40000</v>
      </c>
    </row>
    <row r="53" spans="3:5" x14ac:dyDescent="0.25">
      <c r="C53" t="s">
        <v>992</v>
      </c>
      <c r="D53" s="264">
        <v>-60000</v>
      </c>
      <c r="E53" s="264">
        <v>-60000</v>
      </c>
    </row>
    <row r="54" spans="3:5" x14ac:dyDescent="0.25">
      <c r="C54" t="s">
        <v>1015</v>
      </c>
      <c r="D54" s="264">
        <v>-30000</v>
      </c>
      <c r="E54" s="264">
        <v>-30000</v>
      </c>
    </row>
    <row r="55" spans="3:5" x14ac:dyDescent="0.25">
      <c r="C55" t="s">
        <v>2385</v>
      </c>
      <c r="D55" s="264">
        <v>-45000</v>
      </c>
      <c r="E55" s="264">
        <v>-45000</v>
      </c>
    </row>
    <row r="56" spans="3:5" x14ac:dyDescent="0.25">
      <c r="C56" t="s">
        <v>998</v>
      </c>
      <c r="D56" s="264">
        <v>-20000</v>
      </c>
      <c r="E56" s="264">
        <v>-20000</v>
      </c>
    </row>
    <row r="57" spans="3:5" x14ac:dyDescent="0.25">
      <c r="C57" t="s">
        <v>2383</v>
      </c>
      <c r="D57" s="264">
        <v>-50000</v>
      </c>
      <c r="E57" s="264">
        <v>-50000</v>
      </c>
    </row>
    <row r="58" spans="3:5" x14ac:dyDescent="0.25">
      <c r="C58" t="s">
        <v>995</v>
      </c>
      <c r="D58" s="264">
        <v>-50000</v>
      </c>
      <c r="E58" s="264">
        <v>-50000</v>
      </c>
    </row>
    <row r="59" spans="3:5" x14ac:dyDescent="0.25">
      <c r="C59" t="s">
        <v>970</v>
      </c>
      <c r="D59" s="264">
        <v>-30000</v>
      </c>
      <c r="E59" s="264">
        <v>-30000</v>
      </c>
    </row>
    <row r="60" spans="3:5" x14ac:dyDescent="0.25">
      <c r="C60" t="s">
        <v>743</v>
      </c>
      <c r="D60" s="264">
        <v>-50000</v>
      </c>
      <c r="E60" s="264">
        <v>-50000</v>
      </c>
    </row>
    <row r="61" spans="3:5" x14ac:dyDescent="0.25">
      <c r="C61" t="s">
        <v>1078</v>
      </c>
      <c r="D61" s="264">
        <v>-7000</v>
      </c>
      <c r="E61" s="264">
        <v>-7000</v>
      </c>
    </row>
    <row r="62" spans="3:5" x14ac:dyDescent="0.25">
      <c r="C62" t="s">
        <v>1045</v>
      </c>
      <c r="D62" s="264">
        <v>-10000</v>
      </c>
      <c r="E62" s="264">
        <v>-10000</v>
      </c>
    </row>
    <row r="63" spans="3:5" x14ac:dyDescent="0.25">
      <c r="C63" t="s">
        <v>1517</v>
      </c>
      <c r="D63" s="264">
        <v>-10000</v>
      </c>
      <c r="E63" s="264">
        <v>-10000</v>
      </c>
    </row>
    <row r="64" spans="3:5" x14ac:dyDescent="0.25">
      <c r="C64" t="s">
        <v>2443</v>
      </c>
      <c r="D64" s="264">
        <v>-30000</v>
      </c>
      <c r="E64" s="264">
        <v>-30000</v>
      </c>
    </row>
    <row r="65" spans="3:5" x14ac:dyDescent="0.25">
      <c r="C65" t="s">
        <v>547</v>
      </c>
      <c r="D65" s="264">
        <v>-50000</v>
      </c>
      <c r="E65" s="264">
        <v>-50000</v>
      </c>
    </row>
    <row r="66" spans="3:5" x14ac:dyDescent="0.25">
      <c r="C66" t="s">
        <v>2367</v>
      </c>
      <c r="D66" s="264">
        <v>-70000</v>
      </c>
      <c r="E66" s="264">
        <v>-70000</v>
      </c>
    </row>
    <row r="67" spans="3:5" x14ac:dyDescent="0.25">
      <c r="C67" t="s">
        <v>1002</v>
      </c>
      <c r="D67" s="264">
        <v>-150000</v>
      </c>
      <c r="E67" s="264">
        <v>-150000</v>
      </c>
    </row>
    <row r="68" spans="3:5" x14ac:dyDescent="0.25">
      <c r="C68" t="s">
        <v>548</v>
      </c>
      <c r="D68" s="264">
        <v>-20000</v>
      </c>
      <c r="E68" s="264">
        <v>-20000</v>
      </c>
    </row>
    <row r="69" spans="3:5" x14ac:dyDescent="0.25">
      <c r="C69" t="s">
        <v>2431</v>
      </c>
      <c r="D69" s="264">
        <v>-30000</v>
      </c>
      <c r="E69" s="264">
        <v>-30000</v>
      </c>
    </row>
    <row r="70" spans="3:5" x14ac:dyDescent="0.25">
      <c r="C70" t="s">
        <v>1009</v>
      </c>
      <c r="D70" s="264">
        <v>-40000</v>
      </c>
      <c r="E70" s="264">
        <v>-40000</v>
      </c>
    </row>
    <row r="71" spans="3:5" x14ac:dyDescent="0.25">
      <c r="C71" t="s">
        <v>2123</v>
      </c>
      <c r="D71" s="264">
        <v>-17000</v>
      </c>
      <c r="E71" s="264">
        <v>-17000</v>
      </c>
    </row>
    <row r="72" spans="3:5" x14ac:dyDescent="0.25">
      <c r="C72" t="s">
        <v>1770</v>
      </c>
      <c r="D72" s="264">
        <v>-150000</v>
      </c>
      <c r="E72" s="264">
        <v>-150000</v>
      </c>
    </row>
    <row r="73" spans="3:5" x14ac:dyDescent="0.25">
      <c r="C73" t="s">
        <v>1008</v>
      </c>
      <c r="D73" s="264">
        <v>-12000</v>
      </c>
      <c r="E73" s="264">
        <v>-12000</v>
      </c>
    </row>
    <row r="74" spans="3:5" x14ac:dyDescent="0.25">
      <c r="C74" t="s">
        <v>1023</v>
      </c>
      <c r="D74" s="264">
        <v>-25000</v>
      </c>
      <c r="E74" s="264">
        <v>-25000</v>
      </c>
    </row>
    <row r="75" spans="3:5" x14ac:dyDescent="0.25">
      <c r="C75" t="s">
        <v>983</v>
      </c>
      <c r="D75" s="264">
        <v>-20000</v>
      </c>
      <c r="E75" s="264">
        <v>-20000</v>
      </c>
    </row>
    <row r="76" spans="3:5" x14ac:dyDescent="0.25">
      <c r="C76" t="s">
        <v>2506</v>
      </c>
      <c r="D76" s="264">
        <v>-20000</v>
      </c>
      <c r="E76" s="264">
        <v>-20000</v>
      </c>
    </row>
    <row r="77" spans="3:5" x14ac:dyDescent="0.25">
      <c r="C77" t="s">
        <v>1719</v>
      </c>
      <c r="D77" s="264">
        <v>-5000</v>
      </c>
      <c r="E77" s="264">
        <v>-5000</v>
      </c>
    </row>
    <row r="78" spans="3:5" x14ac:dyDescent="0.25">
      <c r="C78" t="s">
        <v>2382</v>
      </c>
      <c r="D78" s="264">
        <v>-5000</v>
      </c>
      <c r="E78" s="264">
        <v>-5000</v>
      </c>
    </row>
    <row r="79" spans="3:5" x14ac:dyDescent="0.25">
      <c r="C79" t="s">
        <v>1716</v>
      </c>
      <c r="D79" s="264">
        <v>-15000</v>
      </c>
      <c r="E79" s="264">
        <v>-15000</v>
      </c>
    </row>
    <row r="80" spans="3:5" x14ac:dyDescent="0.25">
      <c r="C80" t="s">
        <v>2460</v>
      </c>
      <c r="D80" s="264">
        <v>-17000</v>
      </c>
      <c r="E80" s="264">
        <v>-17000</v>
      </c>
    </row>
    <row r="81" spans="3:5" x14ac:dyDescent="0.25">
      <c r="C81" t="s">
        <v>1099</v>
      </c>
      <c r="D81" s="264">
        <v>-15000</v>
      </c>
      <c r="E81" s="264">
        <v>-15000</v>
      </c>
    </row>
    <row r="82" spans="3:5" x14ac:dyDescent="0.25">
      <c r="C82" t="s">
        <v>688</v>
      </c>
      <c r="D82" s="264">
        <v>-15000</v>
      </c>
      <c r="E82" s="264">
        <v>-15000</v>
      </c>
    </row>
    <row r="83" spans="3:5" x14ac:dyDescent="0.25">
      <c r="C83" s="428" t="s">
        <v>2344</v>
      </c>
      <c r="D83" s="464">
        <v>-20000</v>
      </c>
      <c r="E83" s="464">
        <v>-20000</v>
      </c>
    </row>
    <row r="84" spans="3:5" x14ac:dyDescent="0.25">
      <c r="C84" t="s">
        <v>1756</v>
      </c>
      <c r="D84" s="264">
        <v>-15000</v>
      </c>
      <c r="E84" s="264">
        <v>-15000</v>
      </c>
    </row>
    <row r="85" spans="3:5" x14ac:dyDescent="0.25">
      <c r="C85" t="s">
        <v>988</v>
      </c>
      <c r="D85" s="264">
        <v>-30000</v>
      </c>
      <c r="E85" s="264">
        <v>-30000</v>
      </c>
    </row>
    <row r="86" spans="3:5" x14ac:dyDescent="0.25">
      <c r="C86" t="s">
        <v>1012</v>
      </c>
      <c r="D86" s="264">
        <v>-30000</v>
      </c>
      <c r="E86" s="264">
        <v>-30000</v>
      </c>
    </row>
    <row r="87" spans="3:5" x14ac:dyDescent="0.25">
      <c r="C87" t="s">
        <v>2461</v>
      </c>
      <c r="D87" s="264">
        <v>-10000</v>
      </c>
      <c r="E87" s="264">
        <v>-10000</v>
      </c>
    </row>
    <row r="88" spans="3:5" x14ac:dyDescent="0.25">
      <c r="C88" t="s">
        <v>979</v>
      </c>
      <c r="D88" s="264">
        <v>-15000</v>
      </c>
      <c r="E88" s="264">
        <v>-15000</v>
      </c>
    </row>
    <row r="89" spans="3:5" x14ac:dyDescent="0.25">
      <c r="C89" s="428" t="s">
        <v>2261</v>
      </c>
      <c r="D89" s="464">
        <v>-15000</v>
      </c>
      <c r="E89" s="464">
        <v>-15000</v>
      </c>
    </row>
    <row r="90" spans="3:5" x14ac:dyDescent="0.25">
      <c r="C90" s="428" t="s">
        <v>2292</v>
      </c>
      <c r="D90" s="464">
        <v>-30000</v>
      </c>
      <c r="E90" s="464">
        <v>-30000</v>
      </c>
    </row>
    <row r="91" spans="3:5" x14ac:dyDescent="0.25">
      <c r="C91" t="s">
        <v>2462</v>
      </c>
      <c r="D91" s="264">
        <v>-50000</v>
      </c>
      <c r="E91" s="264">
        <v>-50000</v>
      </c>
    </row>
    <row r="92" spans="3:5" x14ac:dyDescent="0.25">
      <c r="C92" t="s">
        <v>1679</v>
      </c>
      <c r="D92" s="264">
        <v>-75000</v>
      </c>
      <c r="E92" s="264">
        <v>-75000</v>
      </c>
    </row>
    <row r="93" spans="3:5" x14ac:dyDescent="0.25">
      <c r="C93" t="s">
        <v>1066</v>
      </c>
      <c r="D93" s="264">
        <v>-30000</v>
      </c>
      <c r="E93" s="264">
        <v>-30000</v>
      </c>
    </row>
    <row r="94" spans="3:5" x14ac:dyDescent="0.25">
      <c r="C94" t="s">
        <v>1673</v>
      </c>
      <c r="D94" s="264">
        <v>-12000</v>
      </c>
      <c r="E94" s="264">
        <v>-12000</v>
      </c>
    </row>
    <row r="95" spans="3:5" x14ac:dyDescent="0.25">
      <c r="C95" t="s">
        <v>974</v>
      </c>
      <c r="D95" s="264">
        <v>-50000</v>
      </c>
      <c r="E95" s="264">
        <v>-50000</v>
      </c>
    </row>
    <row r="96" spans="3:5" x14ac:dyDescent="0.25">
      <c r="C96" t="s">
        <v>1011</v>
      </c>
      <c r="D96" s="264">
        <v>-45000</v>
      </c>
      <c r="E96" s="264">
        <v>-45000</v>
      </c>
    </row>
    <row r="97" spans="3:5" x14ac:dyDescent="0.25">
      <c r="C97" t="s">
        <v>1007</v>
      </c>
      <c r="D97" s="264">
        <v>-20000</v>
      </c>
      <c r="E97" s="264">
        <v>-20000</v>
      </c>
    </row>
    <row r="98" spans="3:5" x14ac:dyDescent="0.25">
      <c r="C98" s="428" t="s">
        <v>2198</v>
      </c>
      <c r="D98" s="464">
        <v>-10000</v>
      </c>
      <c r="E98" s="464">
        <v>-10000</v>
      </c>
    </row>
    <row r="99" spans="3:5" x14ac:dyDescent="0.25">
      <c r="C99" t="s">
        <v>2384</v>
      </c>
      <c r="D99" s="264">
        <v>-45000</v>
      </c>
      <c r="E99" s="264">
        <v>-45000</v>
      </c>
    </row>
    <row r="100" spans="3:5" x14ac:dyDescent="0.25">
      <c r="C100" t="s">
        <v>1724</v>
      </c>
      <c r="D100" s="264">
        <v>-60000</v>
      </c>
      <c r="E100" s="264">
        <v>-60000</v>
      </c>
    </row>
    <row r="101" spans="3:5" x14ac:dyDescent="0.25">
      <c r="C101" t="s">
        <v>964</v>
      </c>
      <c r="D101" s="264">
        <v>-40000</v>
      </c>
      <c r="E101" s="264">
        <v>-40000</v>
      </c>
    </row>
    <row r="102" spans="3:5" x14ac:dyDescent="0.25">
      <c r="C102" t="s">
        <v>2373</v>
      </c>
      <c r="D102" s="264">
        <v>-40000</v>
      </c>
      <c r="E102" s="264">
        <v>-40000</v>
      </c>
    </row>
    <row r="103" spans="3:5" x14ac:dyDescent="0.25">
      <c r="C103" t="s">
        <v>1990</v>
      </c>
      <c r="D103" s="264">
        <v>-30000</v>
      </c>
      <c r="E103" s="264">
        <v>-30000</v>
      </c>
    </row>
    <row r="104" spans="3:5" x14ac:dyDescent="0.25">
      <c r="C104" t="s">
        <v>976</v>
      </c>
      <c r="D104" s="264">
        <v>-40000</v>
      </c>
      <c r="E104" s="264">
        <v>-40000</v>
      </c>
    </row>
    <row r="105" spans="3:5" x14ac:dyDescent="0.25">
      <c r="C105" t="s">
        <v>2217</v>
      </c>
      <c r="D105" s="264">
        <v>-60000</v>
      </c>
      <c r="E105" s="264">
        <v>-60000</v>
      </c>
    </row>
    <row r="106" spans="3:5" x14ac:dyDescent="0.25">
      <c r="C106" t="s">
        <v>2459</v>
      </c>
      <c r="D106" s="264">
        <v>-10000</v>
      </c>
      <c r="E106" s="264">
        <v>-10000</v>
      </c>
    </row>
    <row r="107" spans="3:5" x14ac:dyDescent="0.25">
      <c r="C107" t="s">
        <v>1030</v>
      </c>
      <c r="D107" s="264">
        <v>-20000</v>
      </c>
      <c r="E107" s="264">
        <v>-20000</v>
      </c>
    </row>
    <row r="108" spans="3:5" x14ac:dyDescent="0.25">
      <c r="C108" t="s">
        <v>1715</v>
      </c>
      <c r="D108" s="264">
        <v>-100000</v>
      </c>
      <c r="E108" s="264">
        <v>-100000</v>
      </c>
    </row>
    <row r="109" spans="3:5" x14ac:dyDescent="0.25">
      <c r="C109" t="s">
        <v>1876</v>
      </c>
      <c r="D109" s="264">
        <v>-30000</v>
      </c>
      <c r="E109" s="264">
        <v>-30000</v>
      </c>
    </row>
    <row r="110" spans="3:5" x14ac:dyDescent="0.25">
      <c r="C110" t="s">
        <v>2372</v>
      </c>
      <c r="D110" s="264">
        <v>-25000</v>
      </c>
      <c r="E110" s="264">
        <v>-25000</v>
      </c>
    </row>
    <row r="111" spans="3:5" x14ac:dyDescent="0.25">
      <c r="C111" t="s">
        <v>981</v>
      </c>
      <c r="D111" s="264">
        <v>-25000</v>
      </c>
      <c r="E111" s="264">
        <v>-25000</v>
      </c>
    </row>
    <row r="112" spans="3:5" x14ac:dyDescent="0.25">
      <c r="C112" t="s">
        <v>1033</v>
      </c>
      <c r="D112" s="264">
        <v>-20000</v>
      </c>
      <c r="E112" s="264">
        <v>-20000</v>
      </c>
    </row>
    <row r="113" spans="1:5" x14ac:dyDescent="0.25">
      <c r="C113" t="s">
        <v>2328</v>
      </c>
      <c r="D113" s="264">
        <v>-30000</v>
      </c>
      <c r="E113" s="264">
        <v>-30000</v>
      </c>
    </row>
    <row r="114" spans="1:5" x14ac:dyDescent="0.25">
      <c r="C114" t="s">
        <v>675</v>
      </c>
      <c r="D114" s="264">
        <v>-30000</v>
      </c>
      <c r="E114" s="264">
        <v>-30000</v>
      </c>
    </row>
    <row r="115" spans="1:5" x14ac:dyDescent="0.25">
      <c r="B115" t="s">
        <v>2108</v>
      </c>
      <c r="D115" s="264">
        <v>0</v>
      </c>
      <c r="E115" s="264">
        <v>0</v>
      </c>
    </row>
    <row r="116" spans="1:5" x14ac:dyDescent="0.25">
      <c r="A116">
        <v>3210</v>
      </c>
      <c r="B116" t="s">
        <v>159</v>
      </c>
      <c r="C116" t="s">
        <v>2396</v>
      </c>
      <c r="D116" s="264">
        <v>-40151</v>
      </c>
      <c r="E116" s="264">
        <v>-40151</v>
      </c>
    </row>
    <row r="117" spans="1:5" x14ac:dyDescent="0.25">
      <c r="C117" t="s">
        <v>2438</v>
      </c>
      <c r="D117" s="264">
        <v>-3000000</v>
      </c>
      <c r="E117" s="264">
        <v>-3000000</v>
      </c>
    </row>
    <row r="118" spans="1:5" x14ac:dyDescent="0.25">
      <c r="C118" t="s">
        <v>2324</v>
      </c>
      <c r="D118" s="264">
        <v>-50000</v>
      </c>
      <c r="E118" s="264">
        <v>-50000</v>
      </c>
    </row>
    <row r="119" spans="1:5" x14ac:dyDescent="0.25">
      <c r="C119" t="s">
        <v>1761</v>
      </c>
      <c r="D119" s="264">
        <v>-15000</v>
      </c>
      <c r="E119" s="264">
        <v>-15000</v>
      </c>
    </row>
    <row r="120" spans="1:5" x14ac:dyDescent="0.25">
      <c r="C120" t="s">
        <v>1671</v>
      </c>
      <c r="D120" s="264">
        <v>-30000</v>
      </c>
      <c r="E120" s="264">
        <v>-30000</v>
      </c>
    </row>
    <row r="121" spans="1:5" x14ac:dyDescent="0.25">
      <c r="C121" t="s">
        <v>2395</v>
      </c>
      <c r="D121" s="264">
        <v>-73740</v>
      </c>
      <c r="E121" s="264">
        <v>-73740</v>
      </c>
    </row>
    <row r="122" spans="1:5" x14ac:dyDescent="0.25">
      <c r="C122" t="s">
        <v>1236</v>
      </c>
      <c r="D122" s="264">
        <v>-20000</v>
      </c>
      <c r="E122" s="264">
        <v>-20000</v>
      </c>
    </row>
    <row r="123" spans="1:5" x14ac:dyDescent="0.25">
      <c r="C123" t="s">
        <v>2399</v>
      </c>
      <c r="D123" s="264">
        <v>-774010</v>
      </c>
      <c r="E123" s="264">
        <v>-774010</v>
      </c>
    </row>
    <row r="124" spans="1:5" x14ac:dyDescent="0.25">
      <c r="C124" t="s">
        <v>1036</v>
      </c>
      <c r="D124" s="264">
        <v>-10000</v>
      </c>
      <c r="E124" s="264">
        <v>-10000</v>
      </c>
    </row>
    <row r="125" spans="1:5" x14ac:dyDescent="0.25">
      <c r="C125" t="s">
        <v>2379</v>
      </c>
      <c r="D125" s="264">
        <v>-96751</v>
      </c>
      <c r="E125" s="264">
        <v>-96751</v>
      </c>
    </row>
    <row r="126" spans="1:5" x14ac:dyDescent="0.25">
      <c r="C126" t="s">
        <v>2380</v>
      </c>
      <c r="D126" s="264">
        <v>-100000000</v>
      </c>
      <c r="E126" s="264">
        <v>-100000000</v>
      </c>
    </row>
    <row r="127" spans="1:5" x14ac:dyDescent="0.25">
      <c r="C127" t="s">
        <v>733</v>
      </c>
      <c r="D127" s="264">
        <v>-50000</v>
      </c>
      <c r="E127" s="264">
        <v>-50000</v>
      </c>
    </row>
    <row r="128" spans="1:5" x14ac:dyDescent="0.25">
      <c r="C128" t="s">
        <v>1440</v>
      </c>
      <c r="D128" s="264">
        <v>-15000</v>
      </c>
      <c r="E128" s="264">
        <v>-15000</v>
      </c>
    </row>
    <row r="129" spans="3:5" x14ac:dyDescent="0.25">
      <c r="C129" t="s">
        <v>1021</v>
      </c>
      <c r="D129" s="264">
        <v>-200000</v>
      </c>
      <c r="E129" s="264">
        <v>-200000</v>
      </c>
    </row>
    <row r="130" spans="3:5" x14ac:dyDescent="0.25">
      <c r="C130" t="s">
        <v>2375</v>
      </c>
      <c r="D130" s="264">
        <v>-500000</v>
      </c>
      <c r="E130" s="264">
        <v>-500000</v>
      </c>
    </row>
    <row r="131" spans="3:5" x14ac:dyDescent="0.25">
      <c r="C131" t="s">
        <v>1052</v>
      </c>
      <c r="D131" s="264">
        <v>-400000</v>
      </c>
      <c r="E131" s="264">
        <v>-400000</v>
      </c>
    </row>
    <row r="132" spans="3:5" x14ac:dyDescent="0.25">
      <c r="C132" t="s">
        <v>1668</v>
      </c>
      <c r="D132" s="264">
        <v>-3000000</v>
      </c>
      <c r="E132" s="264">
        <v>-3000000</v>
      </c>
    </row>
    <row r="133" spans="3:5" x14ac:dyDescent="0.25">
      <c r="C133" t="s">
        <v>2161</v>
      </c>
      <c r="D133" s="264">
        <v>-50000</v>
      </c>
      <c r="E133" s="264">
        <v>-50000</v>
      </c>
    </row>
    <row r="134" spans="3:5" x14ac:dyDescent="0.25">
      <c r="C134" t="s">
        <v>1726</v>
      </c>
      <c r="D134" s="264">
        <v>-100000</v>
      </c>
      <c r="E134" s="264">
        <v>-100000</v>
      </c>
    </row>
    <row r="135" spans="3:5" x14ac:dyDescent="0.25">
      <c r="C135" t="s">
        <v>1991</v>
      </c>
      <c r="D135" s="264">
        <v>-70000</v>
      </c>
      <c r="E135" s="264">
        <v>-70000</v>
      </c>
    </row>
    <row r="136" spans="3:5" x14ac:dyDescent="0.25">
      <c r="C136" t="s">
        <v>1001</v>
      </c>
      <c r="D136" s="264">
        <v>-40000</v>
      </c>
      <c r="E136" s="264">
        <v>-40000</v>
      </c>
    </row>
    <row r="137" spans="3:5" x14ac:dyDescent="0.25">
      <c r="C137" t="s">
        <v>1022</v>
      </c>
      <c r="D137" s="264">
        <v>-20000</v>
      </c>
      <c r="E137" s="264">
        <v>-20000</v>
      </c>
    </row>
    <row r="138" spans="3:5" x14ac:dyDescent="0.25">
      <c r="C138" t="s">
        <v>1003</v>
      </c>
      <c r="D138" s="264">
        <v>-60000</v>
      </c>
      <c r="E138" s="264">
        <v>-60000</v>
      </c>
    </row>
    <row r="139" spans="3:5" x14ac:dyDescent="0.25">
      <c r="C139" t="s">
        <v>968</v>
      </c>
      <c r="D139" s="264">
        <v>-35000</v>
      </c>
      <c r="E139" s="264">
        <v>-35000</v>
      </c>
    </row>
    <row r="140" spans="3:5" x14ac:dyDescent="0.25">
      <c r="C140" t="s">
        <v>2381</v>
      </c>
      <c r="D140" s="264">
        <v>-10000000</v>
      </c>
      <c r="E140" s="264">
        <v>-10000000</v>
      </c>
    </row>
    <row r="141" spans="3:5" x14ac:dyDescent="0.25">
      <c r="C141" t="s">
        <v>1104</v>
      </c>
      <c r="D141" s="264">
        <v>-14000</v>
      </c>
      <c r="E141" s="264">
        <v>-14000</v>
      </c>
    </row>
    <row r="142" spans="3:5" x14ac:dyDescent="0.25">
      <c r="C142" t="s">
        <v>1050</v>
      </c>
      <c r="D142" s="264">
        <v>-73000</v>
      </c>
      <c r="E142" s="264">
        <v>-73000</v>
      </c>
    </row>
    <row r="143" spans="3:5" x14ac:dyDescent="0.25">
      <c r="C143" t="s">
        <v>2170</v>
      </c>
      <c r="D143" s="264">
        <v>-500000</v>
      </c>
      <c r="E143" s="264">
        <v>-500000</v>
      </c>
    </row>
    <row r="144" spans="3:5" x14ac:dyDescent="0.25">
      <c r="C144" t="s">
        <v>993</v>
      </c>
      <c r="D144" s="264">
        <v>-45000</v>
      </c>
      <c r="E144" s="264">
        <v>-45000</v>
      </c>
    </row>
    <row r="145" spans="1:5" x14ac:dyDescent="0.25">
      <c r="C145" t="s">
        <v>2501</v>
      </c>
      <c r="D145" s="264">
        <v>-100000</v>
      </c>
      <c r="E145" s="264">
        <v>-100000</v>
      </c>
    </row>
    <row r="146" spans="1:5" x14ac:dyDescent="0.25">
      <c r="C146" t="s">
        <v>996</v>
      </c>
      <c r="D146" s="264">
        <v>-30000</v>
      </c>
      <c r="E146" s="264">
        <v>-30000</v>
      </c>
    </row>
    <row r="147" spans="1:5" x14ac:dyDescent="0.25">
      <c r="C147" t="s">
        <v>1051</v>
      </c>
      <c r="D147" s="264">
        <v>-40000</v>
      </c>
      <c r="E147" s="264">
        <v>-40000</v>
      </c>
    </row>
    <row r="148" spans="1:5" x14ac:dyDescent="0.25">
      <c r="C148" t="s">
        <v>965</v>
      </c>
      <c r="D148" s="264">
        <v>-100000</v>
      </c>
      <c r="E148" s="264">
        <v>-100000</v>
      </c>
    </row>
    <row r="149" spans="1:5" x14ac:dyDescent="0.25">
      <c r="C149" t="s">
        <v>1994</v>
      </c>
      <c r="D149" s="264">
        <v>-200000</v>
      </c>
      <c r="E149" s="264">
        <v>-200000</v>
      </c>
    </row>
    <row r="150" spans="1:5" x14ac:dyDescent="0.25">
      <c r="C150" t="s">
        <v>1695</v>
      </c>
      <c r="D150" s="264">
        <v>-100000</v>
      </c>
      <c r="E150" s="264">
        <v>-100000</v>
      </c>
    </row>
    <row r="151" spans="1:5" x14ac:dyDescent="0.25">
      <c r="C151" t="s">
        <v>966</v>
      </c>
      <c r="D151" s="264">
        <v>-50000</v>
      </c>
      <c r="E151" s="264">
        <v>-50000</v>
      </c>
    </row>
    <row r="152" spans="1:5" x14ac:dyDescent="0.25">
      <c r="C152" t="s">
        <v>2371</v>
      </c>
      <c r="D152" s="264">
        <v>-14512</v>
      </c>
      <c r="E152" s="264">
        <v>-14512</v>
      </c>
    </row>
    <row r="153" spans="1:5" x14ac:dyDescent="0.25">
      <c r="C153" t="s">
        <v>978</v>
      </c>
      <c r="D153" s="264">
        <v>-30000</v>
      </c>
      <c r="E153" s="264">
        <v>-30000</v>
      </c>
    </row>
    <row r="154" spans="1:5" x14ac:dyDescent="0.25">
      <c r="C154" t="s">
        <v>2397</v>
      </c>
      <c r="D154" s="264">
        <v>-1425114</v>
      </c>
      <c r="E154" s="264">
        <v>-1425114</v>
      </c>
    </row>
    <row r="155" spans="1:5" x14ac:dyDescent="0.25">
      <c r="B155" t="s">
        <v>2196</v>
      </c>
      <c r="D155" s="264">
        <v>-121371278</v>
      </c>
      <c r="E155" s="264">
        <v>-121371278</v>
      </c>
    </row>
    <row r="156" spans="1:5" x14ac:dyDescent="0.25">
      <c r="A156" t="s">
        <v>409</v>
      </c>
      <c r="D156" s="264">
        <v>-110759546</v>
      </c>
      <c r="E156" s="264">
        <v>-110759546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2">
    <tabColor rgb="FF002060"/>
  </sheetPr>
  <dimension ref="B2:N206"/>
  <sheetViews>
    <sheetView zoomScale="80" zoomScaleNormal="80" workbookViewId="0">
      <selection activeCell="J1" sqref="J1"/>
    </sheetView>
  </sheetViews>
  <sheetFormatPr baseColWidth="10" defaultColWidth="10.796875" defaultRowHeight="15.65" x14ac:dyDescent="0.25"/>
  <cols>
    <col min="1" max="1" width="7.8984375" bestFit="1" customWidth="1"/>
    <col min="2" max="2" width="4.8984375" bestFit="1" customWidth="1"/>
    <col min="3" max="3" width="37.59765625" bestFit="1" customWidth="1"/>
    <col min="4" max="5" width="13.59765625" style="155" bestFit="1" customWidth="1"/>
    <col min="6" max="8" width="12.3984375" style="155" bestFit="1" customWidth="1"/>
    <col min="9" max="9" width="13.19921875" style="155" customWidth="1"/>
    <col min="10" max="10" width="11.796875" style="155" bestFit="1" customWidth="1"/>
    <col min="11" max="11" width="10.8984375" style="155" bestFit="1" customWidth="1"/>
    <col min="12" max="12" width="11.09765625" bestFit="1" customWidth="1"/>
  </cols>
  <sheetData>
    <row r="2" spans="2:11" x14ac:dyDescent="0.25">
      <c r="C2" s="625" t="s">
        <v>411</v>
      </c>
      <c r="D2" s="625"/>
      <c r="E2" s="625"/>
      <c r="F2" s="625"/>
      <c r="G2" s="625"/>
      <c r="H2" s="625"/>
      <c r="I2" s="625"/>
      <c r="J2" s="625"/>
      <c r="K2" s="625"/>
    </row>
    <row r="3" spans="2:11" x14ac:dyDescent="0.25">
      <c r="H3" s="550"/>
    </row>
    <row r="4" spans="2:11" x14ac:dyDescent="0.25">
      <c r="C4" s="625" t="s">
        <v>2524</v>
      </c>
      <c r="D4" s="625"/>
      <c r="E4" s="625"/>
      <c r="F4" s="625"/>
      <c r="G4" s="625"/>
      <c r="H4" s="625"/>
      <c r="I4" s="625"/>
      <c r="J4" s="625"/>
      <c r="K4" s="625"/>
    </row>
    <row r="7" spans="2:11" s="368" customFormat="1" x14ac:dyDescent="0.25">
      <c r="C7" s="551"/>
      <c r="D7" s="552"/>
      <c r="E7" s="552"/>
      <c r="F7" s="624" t="s">
        <v>144</v>
      </c>
      <c r="G7" s="624"/>
      <c r="H7" s="624" t="s">
        <v>145</v>
      </c>
      <c r="I7" s="624"/>
      <c r="J7" s="624" t="s">
        <v>143</v>
      </c>
      <c r="K7" s="624"/>
    </row>
    <row r="8" spans="2:11" s="368" customFormat="1" x14ac:dyDescent="0.25">
      <c r="B8" s="368" t="s">
        <v>147</v>
      </c>
      <c r="C8" s="553" t="s">
        <v>146</v>
      </c>
      <c r="D8" s="554" t="s">
        <v>135</v>
      </c>
      <c r="E8" s="554" t="s">
        <v>136</v>
      </c>
      <c r="F8" s="555" t="s">
        <v>137</v>
      </c>
      <c r="G8" s="555" t="s">
        <v>138</v>
      </c>
      <c r="H8" s="555" t="s">
        <v>139</v>
      </c>
      <c r="I8" s="555" t="s">
        <v>140</v>
      </c>
      <c r="J8" s="555" t="s">
        <v>141</v>
      </c>
      <c r="K8" s="555" t="s">
        <v>142</v>
      </c>
    </row>
    <row r="9" spans="2:11" x14ac:dyDescent="0.25">
      <c r="B9">
        <v>110</v>
      </c>
      <c r="C9" s="556" t="str">
        <f>VLOOKUP(B9,Plan!A:B,2,0)</f>
        <v>Disponible Administración</v>
      </c>
      <c r="D9" s="557">
        <f>SUMIF('Diario Adm'!$C:$C,$B9,'Diario Adm'!F:F)+SUMIF('Diario Cali'!$C:$C,$B9,'Diario Cali'!F:F)</f>
        <v>126714987</v>
      </c>
      <c r="E9" s="557">
        <f>SUMIF('Diario Adm'!$C:$C,$B9,'Diario Adm'!G:G)+SUMIF('Diario Cali'!$C:$C,$B9,'Diario Cali'!G:G)</f>
        <v>124169671</v>
      </c>
      <c r="F9" s="557">
        <f t="shared" ref="F9:F19" si="0">IF(D9&gt;E9,D9-E9,0)</f>
        <v>2545316</v>
      </c>
      <c r="G9" s="557">
        <f t="shared" ref="G9:G19" si="1">IF(E9&gt;D9,E9-D9,0)</f>
        <v>0</v>
      </c>
      <c r="H9" s="557">
        <f t="shared" ref="H9:I19" si="2">+F9</f>
        <v>2545316</v>
      </c>
      <c r="I9" s="557">
        <f t="shared" si="2"/>
        <v>0</v>
      </c>
      <c r="J9" s="557">
        <v>0</v>
      </c>
      <c r="K9" s="557">
        <v>0</v>
      </c>
    </row>
    <row r="10" spans="2:11" x14ac:dyDescent="0.25">
      <c r="B10">
        <v>115</v>
      </c>
      <c r="C10" s="159" t="str">
        <f>VLOOKUP(B10,Plan!A:B,2,0)</f>
        <v>Disponible Cali B.Chile</v>
      </c>
      <c r="D10" s="386">
        <f>SUMIF('Diario Adm'!$C:$C,$B10,'Diario Adm'!F:F)+SUMIF('Diario Cali'!$C:$C,$B10,'Diario Cali'!F:F)</f>
        <v>572327062</v>
      </c>
      <c r="E10" s="386">
        <f>SUMIF('Diario Adm'!$C:$C,$B10,'Diario Adm'!G:G)+SUMIF('Diario Cali'!$C:$C,$B10,'Diario Cali'!G:G)</f>
        <v>563526471</v>
      </c>
      <c r="F10" s="386">
        <f t="shared" si="0"/>
        <v>8800591</v>
      </c>
      <c r="G10" s="386">
        <f t="shared" si="1"/>
        <v>0</v>
      </c>
      <c r="H10" s="386">
        <f t="shared" si="2"/>
        <v>8800591</v>
      </c>
      <c r="I10" s="386">
        <f t="shared" si="2"/>
        <v>0</v>
      </c>
      <c r="J10" s="386">
        <v>0</v>
      </c>
      <c r="K10" s="386">
        <v>0</v>
      </c>
    </row>
    <row r="11" spans="2:11" x14ac:dyDescent="0.25">
      <c r="B11">
        <v>116</v>
      </c>
      <c r="C11" s="159" t="str">
        <f>VLOOKUP(B11,Plan!A:B,2,0)</f>
        <v>Disponible CALI Security</v>
      </c>
      <c r="D11" s="386">
        <f>SUMIF('Diario Adm'!$C:$C,$B11,'Diario Adm'!F:F)+SUMIF('Diario Cali'!$C:$C,$B11,'Diario Cali'!F:F)</f>
        <v>2697926631</v>
      </c>
      <c r="E11" s="386">
        <f>SUMIF('Diario Adm'!$C:$C,$B11,'Diario Adm'!G:G)+SUMIF('Diario Cali'!$C:$C,$B11,'Diario Cali'!G:G)</f>
        <v>2697165786</v>
      </c>
      <c r="F11" s="386">
        <f t="shared" si="0"/>
        <v>760845</v>
      </c>
      <c r="G11" s="386">
        <f t="shared" si="1"/>
        <v>0</v>
      </c>
      <c r="H11" s="386">
        <f t="shared" si="2"/>
        <v>760845</v>
      </c>
      <c r="I11" s="386">
        <f t="shared" si="2"/>
        <v>0</v>
      </c>
      <c r="J11" s="386">
        <v>0</v>
      </c>
      <c r="K11" s="386">
        <v>0</v>
      </c>
    </row>
    <row r="12" spans="2:11" x14ac:dyDescent="0.25">
      <c r="B12">
        <v>112</v>
      </c>
      <c r="C12" s="159" t="str">
        <f>VLOOKUP(B12,Plan!A:B,2,0)</f>
        <v>Fondo por Rendir Cali</v>
      </c>
      <c r="D12" s="386">
        <f>SUMIF('Diario Adm'!$C:$C,$B12,'Diario Adm'!F:F)+SUMIF('Diario Cali'!$C:$C,$B12,'Diario Cali'!F:F)</f>
        <v>0</v>
      </c>
      <c r="E12" s="386">
        <f>SUMIF('Diario Adm'!$C:$C,$B12,'Diario Adm'!G:G)+SUMIF('Diario Cali'!$C:$C,$B12,'Diario Cali'!G:G)</f>
        <v>0</v>
      </c>
      <c r="F12" s="386">
        <f t="shared" si="0"/>
        <v>0</v>
      </c>
      <c r="G12" s="386">
        <f t="shared" si="1"/>
        <v>0</v>
      </c>
      <c r="H12" s="386">
        <f t="shared" si="2"/>
        <v>0</v>
      </c>
      <c r="I12" s="386">
        <f t="shared" si="2"/>
        <v>0</v>
      </c>
      <c r="J12" s="386">
        <v>0</v>
      </c>
      <c r="K12" s="386">
        <v>0</v>
      </c>
    </row>
    <row r="13" spans="2:11" x14ac:dyDescent="0.25">
      <c r="B13">
        <v>113</v>
      </c>
      <c r="C13" s="159" t="str">
        <f>VLOOKUP(B13,Plan!A:B,2,0)</f>
        <v>Depósito a plazo Cali Banco Santander</v>
      </c>
      <c r="D13" s="386">
        <f>SUMIF('Diario Adm'!$C:$C,$B13,'Diario Adm'!F:F)+SUMIF('Diario Cali'!$C:$C,$B13,'Diario Cali'!F:F)</f>
        <v>1370406910</v>
      </c>
      <c r="E13" s="386">
        <f>SUMIF('Diario Adm'!$C:$C,$B13,'Diario Adm'!G:G)+SUMIF('Diario Cali'!$C:$C,$B13,'Diario Cali'!G:G)</f>
        <v>1122406910</v>
      </c>
      <c r="F13" s="386">
        <f t="shared" si="0"/>
        <v>248000000</v>
      </c>
      <c r="G13" s="386">
        <f t="shared" si="1"/>
        <v>0</v>
      </c>
      <c r="H13" s="386">
        <f t="shared" si="2"/>
        <v>248000000</v>
      </c>
      <c r="I13" s="386">
        <f t="shared" si="2"/>
        <v>0</v>
      </c>
      <c r="J13" s="386">
        <v>0</v>
      </c>
      <c r="K13" s="386">
        <v>0</v>
      </c>
    </row>
    <row r="14" spans="2:11" x14ac:dyDescent="0.25">
      <c r="B14">
        <v>114</v>
      </c>
      <c r="C14" s="159" t="str">
        <f>VLOOKUP(B14,Plan!A:B,2,0)</f>
        <v>Fondo por Rendir Admistración</v>
      </c>
      <c r="D14" s="386">
        <f>SUMIF('Diario Adm'!$C$1:$C$8588,$B14,'Diario Adm'!F$1:F$8588)+SUMIF('Diario Cali'!$C:$C,$B14,'Diario Cali'!F:F)</f>
        <v>200000</v>
      </c>
      <c r="E14" s="386">
        <f>SUMIF('Diario Adm'!$C$1:$C$8588,$B14,'Diario Adm'!G$1:G$8588)+SUMIF('Diario Cali'!$C:$C,$B14,'Diario Cali'!G:G)</f>
        <v>0</v>
      </c>
      <c r="F14" s="386">
        <f>IF(D14&gt;E14,D14-E14,0)</f>
        <v>200000</v>
      </c>
      <c r="G14" s="386">
        <f>IF(E14&gt;D14,E14-D14,0)</f>
        <v>0</v>
      </c>
      <c r="H14" s="386">
        <f>+F14</f>
        <v>200000</v>
      </c>
      <c r="I14" s="386">
        <f>+G14</f>
        <v>0</v>
      </c>
      <c r="J14" s="386">
        <v>0</v>
      </c>
      <c r="K14" s="386">
        <v>0</v>
      </c>
    </row>
    <row r="15" spans="2:11" x14ac:dyDescent="0.25">
      <c r="B15">
        <v>117</v>
      </c>
      <c r="C15" s="159" t="str">
        <f>VLOOKUP(B15,Plan!A:B,2,0)</f>
        <v>Disponible CALI Santander</v>
      </c>
      <c r="D15" s="386">
        <f>SUMIF('Diario Adm'!$C$1:$C$8588,$B15,'Diario Adm'!F$1:F$8588)+SUMIF('Diario Cali'!$C:$C,$B15,'Diario Cali'!F:F)</f>
        <v>1588291910</v>
      </c>
      <c r="E15" s="386">
        <f>SUMIF('Diario Adm'!$C$1:$C$8588,$B15,'Diario Adm'!G$1:G$8588)+SUMIF('Diario Cali'!$C:$C,$B15,'Diario Cali'!G:G)</f>
        <v>1586775732</v>
      </c>
      <c r="F15" s="386">
        <f>IF(D15&gt;E15,D15-E15,0)</f>
        <v>1516178</v>
      </c>
      <c r="G15" s="386">
        <f>IF(E15&gt;D15,E15-D15,0)</f>
        <v>0</v>
      </c>
      <c r="H15" s="386">
        <f>+F15</f>
        <v>1516178</v>
      </c>
      <c r="I15" s="386">
        <f>+G15</f>
        <v>0</v>
      </c>
      <c r="J15" s="386">
        <v>0</v>
      </c>
      <c r="K15" s="386">
        <v>0</v>
      </c>
    </row>
    <row r="16" spans="2:11" x14ac:dyDescent="0.25">
      <c r="B16">
        <v>120</v>
      </c>
      <c r="C16" s="159" t="str">
        <f>VLOOKUP(B16,Plan!A:B,2,0)</f>
        <v>Fondo Mutuo Administración</v>
      </c>
      <c r="D16" s="386">
        <f>SUMIF('Diario Adm'!$C:$C,$B16,'Diario Adm'!F:F)+SUMIF('Diario Cali'!$C:$C,$B16,'Diario Cali'!F:F)</f>
        <v>210</v>
      </c>
      <c r="E16" s="386">
        <f>SUMIF('Diario Adm'!$C:$C,$B16,'Diario Adm'!G:G)+SUMIF('Diario Cali'!$C:$C,$B16,'Diario Cali'!G:G)</f>
        <v>210</v>
      </c>
      <c r="F16" s="386">
        <f t="shared" si="0"/>
        <v>0</v>
      </c>
      <c r="G16" s="386">
        <f t="shared" si="1"/>
        <v>0</v>
      </c>
      <c r="H16" s="386">
        <f t="shared" si="2"/>
        <v>0</v>
      </c>
      <c r="I16" s="386">
        <f t="shared" si="2"/>
        <v>0</v>
      </c>
      <c r="J16" s="386">
        <v>0</v>
      </c>
      <c r="K16" s="386">
        <v>0</v>
      </c>
    </row>
    <row r="17" spans="2:14" x14ac:dyDescent="0.25">
      <c r="B17">
        <v>118</v>
      </c>
      <c r="C17" s="159" t="str">
        <f>VLOOKUP(B17,Plan!A:B,2,0)</f>
        <v>Depósito a plazo Cali Banco Security</v>
      </c>
      <c r="D17" s="386">
        <f>SUMIF('Diario Adm'!$C:$C,$B17,'Diario Adm'!F:F)+SUMIF('Diario Cali'!$C:$C,$B17,'Diario Cali'!F:F)</f>
        <v>1176060413</v>
      </c>
      <c r="E17" s="386">
        <f>SUMIF('Diario Adm'!$C:$C,$B17,'Diario Adm'!G:G)+SUMIF('Diario Cali'!$C:$C,$B17,'Diario Cali'!G:G)</f>
        <v>1176060413</v>
      </c>
      <c r="F17" s="386">
        <f t="shared" si="0"/>
        <v>0</v>
      </c>
      <c r="G17" s="386">
        <f t="shared" si="1"/>
        <v>0</v>
      </c>
      <c r="H17" s="386">
        <f t="shared" si="2"/>
        <v>0</v>
      </c>
      <c r="I17" s="386">
        <f t="shared" si="2"/>
        <v>0</v>
      </c>
      <c r="J17" s="386">
        <v>0</v>
      </c>
      <c r="K17" s="386">
        <v>0</v>
      </c>
      <c r="L17" s="155"/>
    </row>
    <row r="18" spans="2:14" s="418" customFormat="1" x14ac:dyDescent="0.25">
      <c r="B18" s="418">
        <v>119</v>
      </c>
      <c r="C18" s="462" t="str">
        <f>VLOOKUP(B18,Plan!A:B,2,0)</f>
        <v>FM Cali Banco Security</v>
      </c>
      <c r="D18" s="463">
        <f>SUMIF('Diario Adm'!$C:$C,$B18,'Diario Adm'!F:F)+SUMIF('Diario Cali'!$C:$C,$B18,'Diario Cali'!F:F)</f>
        <v>897170754</v>
      </c>
      <c r="E18" s="463">
        <f>SUMIF('Diario Adm'!$C:$C,$B18,'Diario Adm'!G:G)+SUMIF('Diario Cali'!$C:$C,$B18,'Diario Cali'!G:G)</f>
        <v>897170754</v>
      </c>
      <c r="F18" s="463">
        <f>IF(D18&gt;E18,D18-E18,0)</f>
        <v>0</v>
      </c>
      <c r="G18" s="463">
        <f>IF(E18&gt;D18,E18-D18,0)</f>
        <v>0</v>
      </c>
      <c r="H18" s="463">
        <f>+F18</f>
        <v>0</v>
      </c>
      <c r="I18" s="463">
        <f>+G18</f>
        <v>0</v>
      </c>
      <c r="J18" s="463">
        <v>0</v>
      </c>
      <c r="K18" s="463">
        <v>0</v>
      </c>
      <c r="L18" s="573"/>
    </row>
    <row r="19" spans="2:14" x14ac:dyDescent="0.25">
      <c r="B19">
        <v>125</v>
      </c>
      <c r="C19" s="159" t="str">
        <f>VLOOKUP(B19,Plan!A:B,2,0)</f>
        <v>Depósito a plazo Cali</v>
      </c>
      <c r="D19" s="386">
        <f>SUMIF('Diario Adm'!$C:$C,$B19,'Diario Adm'!F:F)+SUMIF('Diario Cali'!$C:$C,$B19,'Diario Cali'!F:F)</f>
        <v>0</v>
      </c>
      <c r="E19" s="386">
        <f>SUMIF('Diario Adm'!$C:$C,$B19,'Diario Adm'!G:G)+SUMIF('Diario Cali'!$C:$C,$B19,'Diario Cali'!G:G)</f>
        <v>0</v>
      </c>
      <c r="F19" s="386">
        <f t="shared" si="0"/>
        <v>0</v>
      </c>
      <c r="G19" s="386">
        <f t="shared" si="1"/>
        <v>0</v>
      </c>
      <c r="H19" s="386">
        <f t="shared" si="2"/>
        <v>0</v>
      </c>
      <c r="I19" s="386">
        <f t="shared" si="2"/>
        <v>0</v>
      </c>
      <c r="J19" s="386">
        <v>0</v>
      </c>
      <c r="K19" s="386">
        <v>0</v>
      </c>
      <c r="L19" s="155"/>
    </row>
    <row r="20" spans="2:14" s="418" customFormat="1" x14ac:dyDescent="0.25">
      <c r="B20" s="418">
        <v>1130</v>
      </c>
      <c r="C20" s="462" t="str">
        <f>VLOOKUP(B20,Plan!A:B,2,0)</f>
        <v>Disponible Ch. Fecha</v>
      </c>
      <c r="D20" s="463">
        <f>SUMIF('Diario Adm'!$C:$C,$B20,'Diario Adm'!F:F)+SUMIF('Diario Cali'!$C:$C,$B20,'Diario Cali'!F:F)</f>
        <v>1481000</v>
      </c>
      <c r="E20" s="463">
        <f>SUMIF('Diario Adm'!$C:$C,$B20,'Diario Adm'!G:G)+SUMIF('Diario Cali'!$C:$C,$B20,'Diario Cali'!G:G)</f>
        <v>1481000</v>
      </c>
      <c r="F20" s="463">
        <f t="shared" ref="F20:F26" si="3">IF(D20&gt;E20,D20-E20,0)</f>
        <v>0</v>
      </c>
      <c r="G20" s="463">
        <f t="shared" ref="G20:G26" si="4">IF(E20&gt;D20,E20-D20,0)</f>
        <v>0</v>
      </c>
      <c r="H20" s="463">
        <f t="shared" ref="H20:I24" si="5">+F20</f>
        <v>0</v>
      </c>
      <c r="I20" s="463">
        <f t="shared" si="5"/>
        <v>0</v>
      </c>
      <c r="J20" s="463">
        <v>0</v>
      </c>
      <c r="K20" s="463">
        <v>0</v>
      </c>
      <c r="L20" s="573"/>
    </row>
    <row r="21" spans="2:14" x14ac:dyDescent="0.25">
      <c r="B21">
        <v>1216</v>
      </c>
      <c r="C21" s="159" t="str">
        <f>VLOOKUP(B21,Plan!A:B,2,0)</f>
        <v>Otros Valores Recaudadoras</v>
      </c>
      <c r="D21" s="386">
        <f>SUMIF('Diario Adm'!$C:$C,$B21,'Diario Adm'!F:F)+SUMIF('Diario Cali'!$C:$C,$B21,'Diario Cali'!F:F)</f>
        <v>6609000</v>
      </c>
      <c r="E21" s="386">
        <f>SUMIF('Diario Adm'!$C:$C,$B21,'Diario Adm'!G:G)+SUMIF('Diario Cali'!$C:$C,$B21,'Diario Cali'!G:G)</f>
        <v>6609000</v>
      </c>
      <c r="F21" s="386">
        <f t="shared" si="3"/>
        <v>0</v>
      </c>
      <c r="G21" s="386">
        <f t="shared" si="4"/>
        <v>0</v>
      </c>
      <c r="H21" s="386">
        <f t="shared" si="5"/>
        <v>0</v>
      </c>
      <c r="I21" s="386">
        <f t="shared" si="5"/>
        <v>0</v>
      </c>
      <c r="J21" s="386">
        <v>0</v>
      </c>
      <c r="K21" s="386">
        <v>0</v>
      </c>
    </row>
    <row r="22" spans="2:14" x14ac:dyDescent="0.25">
      <c r="B22">
        <v>1217</v>
      </c>
      <c r="C22" s="159" t="str">
        <f>VLOOKUP(B22,Plan!A:B,2,0)</f>
        <v>Otros Valores -Oficina y Transferencias (248)</v>
      </c>
      <c r="D22" s="386">
        <f>SUMIF('Diario Adm'!$C:$C,$B22,'Diario Adm'!F:F)+SUMIF('Diario Cali'!$C:$C,$B22,'Diario Cali'!F:F)</f>
        <v>15098666</v>
      </c>
      <c r="E22" s="386">
        <f>SUMIF('Diario Adm'!$C:$C,$B22,'Diario Adm'!G:G)+SUMIF('Diario Cali'!$C:$C,$B22,'Diario Cali'!G:G)</f>
        <v>15098666</v>
      </c>
      <c r="F22" s="386">
        <f t="shared" si="3"/>
        <v>0</v>
      </c>
      <c r="G22" s="386">
        <f t="shared" si="4"/>
        <v>0</v>
      </c>
      <c r="H22" s="386">
        <f>+F22</f>
        <v>0</v>
      </c>
      <c r="I22" s="386">
        <f t="shared" si="5"/>
        <v>0</v>
      </c>
      <c r="J22" s="386">
        <v>0</v>
      </c>
      <c r="K22" s="386">
        <v>0</v>
      </c>
      <c r="L22" s="156"/>
    </row>
    <row r="23" spans="2:14" s="418" customFormat="1" x14ac:dyDescent="0.25">
      <c r="B23" s="477">
        <v>1218</v>
      </c>
      <c r="C23" s="574" t="str">
        <f>VLOOKUP(B23,Plan!A:B,2,0)</f>
        <v>Otros Valores Tarjeta de Credito</v>
      </c>
      <c r="D23" s="575">
        <f>SUMIF('Diario Adm'!$C:$C,$B23,'Diario Adm'!F:F)+SUMIF('Diario Cali'!$C:$C,$B23,'Diario Cali'!F:F)</f>
        <v>142096747</v>
      </c>
      <c r="E23" s="575">
        <f>SUMIF('Diario Adm'!$C:$C,$B23,'Diario Adm'!G:G)+SUMIF('Diario Cali'!$C:$C,$B23,'Diario Cali'!G:G)</f>
        <v>129932715</v>
      </c>
      <c r="F23" s="575">
        <f t="shared" si="3"/>
        <v>12164032</v>
      </c>
      <c r="G23" s="575">
        <f t="shared" si="4"/>
        <v>0</v>
      </c>
      <c r="H23" s="575">
        <f t="shared" si="5"/>
        <v>12164032</v>
      </c>
      <c r="I23" s="575">
        <f t="shared" si="5"/>
        <v>0</v>
      </c>
      <c r="J23" s="575">
        <v>0</v>
      </c>
      <c r="K23" s="576">
        <v>0</v>
      </c>
      <c r="L23" s="477" t="s">
        <v>2121</v>
      </c>
      <c r="N23" s="573"/>
    </row>
    <row r="24" spans="2:14" s="418" customFormat="1" x14ac:dyDescent="0.25">
      <c r="B24" s="418">
        <v>1219</v>
      </c>
      <c r="C24" s="462" t="str">
        <f>VLOOKUP(B24,Plan!A:B,2,0)</f>
        <v>Otros Valores Arzobispado (248)</v>
      </c>
      <c r="D24" s="463">
        <f>SUMIF('Diario Adm'!$C:$C,$B24,'Diario Adm'!F:F)+SUMIF('Diario Cali'!$C:$C,$B24,'Diario Cali'!F:F)</f>
        <v>26056077</v>
      </c>
      <c r="E24" s="463">
        <f>SUMIF('Diario Adm'!$C:$C,$B24,'Diario Adm'!G:G)+SUMIF('Diario Cali'!$C:$C,$B24,'Diario Cali'!G:G)</f>
        <v>26056077</v>
      </c>
      <c r="F24" s="463">
        <f t="shared" si="3"/>
        <v>0</v>
      </c>
      <c r="G24" s="463">
        <f t="shared" si="4"/>
        <v>0</v>
      </c>
      <c r="H24" s="463">
        <f t="shared" si="5"/>
        <v>0</v>
      </c>
      <c r="I24" s="463">
        <f t="shared" si="5"/>
        <v>0</v>
      </c>
      <c r="J24" s="463">
        <v>0</v>
      </c>
      <c r="K24" s="463">
        <v>0</v>
      </c>
      <c r="L24" s="477" t="s">
        <v>2121</v>
      </c>
      <c r="N24" s="573"/>
    </row>
    <row r="25" spans="2:14" s="418" customFormat="1" x14ac:dyDescent="0.25">
      <c r="B25" s="418">
        <v>1220</v>
      </c>
      <c r="C25" s="462" t="str">
        <f>VLOOKUP(B25,Plan!A:B,2,0)</f>
        <v>Otros Valores Arzobispado (249)</v>
      </c>
      <c r="D25" s="463">
        <f>SUMIF('Diario Adm'!$C:$C,$B25,'Diario Adm'!F:F)+SUMIF('Diario Cali'!$C:$C,$B25,'Diario Cali'!F:F)</f>
        <v>22829493</v>
      </c>
      <c r="E25" s="463">
        <f>SUMIF('Diario Adm'!$C:$C,$B25,'Diario Adm'!G:G)+SUMIF('Diario Cali'!$C:$C,$B25,'Diario Cali'!G:G)</f>
        <v>22829493</v>
      </c>
      <c r="F25" s="463">
        <f t="shared" si="3"/>
        <v>0</v>
      </c>
      <c r="G25" s="463">
        <f t="shared" si="4"/>
        <v>0</v>
      </c>
      <c r="H25" s="463">
        <f t="shared" ref="H25:I29" si="6">+F25</f>
        <v>0</v>
      </c>
      <c r="I25" s="463">
        <f t="shared" si="6"/>
        <v>0</v>
      </c>
      <c r="J25" s="463">
        <v>0</v>
      </c>
      <c r="K25" s="463">
        <v>0</v>
      </c>
      <c r="L25" s="477" t="s">
        <v>2121</v>
      </c>
    </row>
    <row r="26" spans="2:14" x14ac:dyDescent="0.25">
      <c r="B26">
        <v>1221</v>
      </c>
      <c r="C26" s="159" t="str">
        <f>VLOOKUP(B26,Plan!A:B,2,0)</f>
        <v>Valores por Cobrar Arzobispado Año Anterior</v>
      </c>
      <c r="D26" s="386">
        <f>SUMIF('Diario Adm'!$C:$C,$B26,'Diario Adm'!F:F)+SUMIF('Diario Cali'!$C:$C,$B26,'Diario Cali'!F:F)</f>
        <v>0</v>
      </c>
      <c r="E26" s="386">
        <f>SUMIF('Diario Adm'!$C:$C,$B26,'Diario Adm'!G:G)+SUMIF('Diario Cali'!$C:$C,$B26,'Diario Cali'!G:G)</f>
        <v>0</v>
      </c>
      <c r="F26" s="386">
        <f t="shared" si="3"/>
        <v>0</v>
      </c>
      <c r="G26" s="386">
        <f t="shared" si="4"/>
        <v>0</v>
      </c>
      <c r="H26" s="386">
        <f t="shared" si="6"/>
        <v>0</v>
      </c>
      <c r="I26" s="386">
        <f t="shared" si="6"/>
        <v>0</v>
      </c>
      <c r="J26" s="386">
        <v>0</v>
      </c>
      <c r="K26" s="386">
        <v>0</v>
      </c>
    </row>
    <row r="27" spans="2:14" x14ac:dyDescent="0.25">
      <c r="B27">
        <v>1222</v>
      </c>
      <c r="C27" s="159" t="str">
        <f>VLOOKUP(B27,Plan!A:B,2,0)</f>
        <v>Otros Valores -Oficina y Transferencias (249)</v>
      </c>
      <c r="D27" s="386">
        <f>SUMIF('Diario Adm'!$C$1:$C$8588,$B27,'Diario Adm'!F$1:F$8588)+SUMIF('Diario Cali'!$C:$C,$B27,'Diario Cali'!F:F)</f>
        <v>35422500</v>
      </c>
      <c r="E27" s="386">
        <f>SUMIF('Diario Adm'!$C:$C,$B27,'Diario Adm'!G:G)+SUMIF('Diario Cali'!$C:$C,$B27,'Diario Cali'!G:G)</f>
        <v>35422500</v>
      </c>
      <c r="F27" s="386">
        <f>IF(D27&gt;E27,D27-E27,0)</f>
        <v>0</v>
      </c>
      <c r="G27" s="386">
        <f>IF(E27&gt;D27,E27-D27,0)</f>
        <v>0</v>
      </c>
      <c r="H27" s="386">
        <f>+F27</f>
        <v>0</v>
      </c>
      <c r="I27" s="386">
        <f>+G27</f>
        <v>0</v>
      </c>
      <c r="J27" s="386">
        <v>0</v>
      </c>
      <c r="K27" s="386">
        <v>0</v>
      </c>
    </row>
    <row r="28" spans="2:14" x14ac:dyDescent="0.25">
      <c r="B28">
        <v>1223</v>
      </c>
      <c r="C28" s="159" t="e">
        <f>VLOOKUP(B28,Plan!A:B,2,0)</f>
        <v>#N/A</v>
      </c>
      <c r="D28" s="386">
        <f>SUMIF('Diario Adm'!$C:$C,$B28,'Diario Adm'!F:F)+SUMIF('Diario Cali'!$C:$C,$B28,'Diario Cali'!F:F)</f>
        <v>0</v>
      </c>
      <c r="E28" s="386">
        <f>SUMIF('Diario Adm'!$C:$C,$B28,'Diario Adm'!G:G)+SUMIF('Diario Cali'!$C:$C,$B28,'Diario Cali'!G:G)</f>
        <v>0</v>
      </c>
      <c r="F28" s="386">
        <f>IF(D28&gt;E28,D28-E28,0)</f>
        <v>0</v>
      </c>
      <c r="G28" s="386">
        <f>IF(E28&gt;D28,E28-D28,0)</f>
        <v>0</v>
      </c>
      <c r="H28" s="386">
        <f t="shared" ref="H28" si="7">+F28</f>
        <v>0</v>
      </c>
      <c r="I28" s="386">
        <f t="shared" ref="I28" si="8">+G28</f>
        <v>0</v>
      </c>
      <c r="J28" s="386">
        <v>0</v>
      </c>
      <c r="K28" s="386">
        <v>0</v>
      </c>
      <c r="L28" t="s">
        <v>2121</v>
      </c>
    </row>
    <row r="29" spans="2:14" x14ac:dyDescent="0.25">
      <c r="B29">
        <v>130</v>
      </c>
      <c r="C29" s="159" t="str">
        <f>VLOOKUP(B29,Plan!A:B,2,0)</f>
        <v>Garantias Administración</v>
      </c>
      <c r="D29" s="386">
        <f>SUMIF('Diario Adm'!$C:$C,$B29,'Diario Adm'!F:F)+SUMIF('Diario Cali'!$C:$C,$B29,'Diario Cali'!F:F)</f>
        <v>590000</v>
      </c>
      <c r="E29" s="386">
        <f>SUMIF('Diario Adm'!$C:$C,$B29,'Diario Adm'!G:G)+SUMIF('Diario Cali'!$C:$C,$B29,'Diario Cali'!G:G)</f>
        <v>0</v>
      </c>
      <c r="F29" s="386">
        <f>IF(D29&gt;E29,D29-E29,0)</f>
        <v>590000</v>
      </c>
      <c r="G29" s="386">
        <f>IF(E29&gt;D29,E29-D29,0)</f>
        <v>0</v>
      </c>
      <c r="H29" s="386">
        <f t="shared" si="6"/>
        <v>590000</v>
      </c>
      <c r="I29" s="386">
        <f t="shared" si="6"/>
        <v>0</v>
      </c>
      <c r="J29" s="386">
        <v>0</v>
      </c>
      <c r="K29" s="386">
        <v>0</v>
      </c>
      <c r="L29" t="s">
        <v>2121</v>
      </c>
    </row>
    <row r="30" spans="2:14" x14ac:dyDescent="0.25">
      <c r="B30">
        <v>131</v>
      </c>
      <c r="C30" s="159" t="str">
        <f>VLOOKUP(B30,Plan!A:B,2,0)</f>
        <v>Arriendos Anticipados</v>
      </c>
      <c r="D30" s="386">
        <f>SUMIF('Diario Adm'!$C:$C,$B30,'Diario Adm'!F:F)+SUMIF('Diario Cali'!$C:$C,$B30,'Diario Cali'!F:F)</f>
        <v>0</v>
      </c>
      <c r="E30" s="386">
        <f>SUMIF('Diario Adm'!$C:$C,$B30,'Diario Adm'!G:G)+SUMIF('Diario Cali'!$C:$C,$B30,'Diario Cali'!G:G)</f>
        <v>0</v>
      </c>
      <c r="F30" s="386">
        <f t="shared" ref="F30:F68" si="9">IF(D30&gt;E30,D30-E30,0)</f>
        <v>0</v>
      </c>
      <c r="G30" s="386">
        <f t="shared" ref="G30:G68" si="10">IF(E30&gt;D30,E30-D30,0)</f>
        <v>0</v>
      </c>
      <c r="H30" s="386">
        <f t="shared" ref="H30:H57" si="11">+F30</f>
        <v>0</v>
      </c>
      <c r="I30" s="386">
        <f t="shared" ref="I30:I57" si="12">+G30</f>
        <v>0</v>
      </c>
      <c r="J30" s="386">
        <v>0</v>
      </c>
      <c r="K30" s="386">
        <v>0</v>
      </c>
    </row>
    <row r="31" spans="2:14" s="418" customFormat="1" x14ac:dyDescent="0.25">
      <c r="B31" s="418">
        <v>132</v>
      </c>
      <c r="C31" s="462" t="str">
        <f>VLOOKUP(B31,Plan!A:B,2,0)</f>
        <v>Préstamos  Fundación Administración</v>
      </c>
      <c r="D31" s="463">
        <f>SUMIF('Diario Adm'!$C:$C,$B31,'Diario Adm'!F:F)+SUMIF('Diario Cali'!$C:$C,$B31,'Diario Cali'!F:F)</f>
        <v>2758035</v>
      </c>
      <c r="E31" s="463">
        <f>SUMIF('Diario Adm'!$C:$C,$B31,'Diario Adm'!G:G)+SUMIF('Diario Cali'!$C:$C,$B31,'Diario Cali'!G:G)</f>
        <v>2758035</v>
      </c>
      <c r="F31" s="463">
        <f t="shared" si="9"/>
        <v>0</v>
      </c>
      <c r="G31" s="463">
        <f t="shared" si="10"/>
        <v>0</v>
      </c>
      <c r="H31" s="463">
        <f t="shared" si="11"/>
        <v>0</v>
      </c>
      <c r="I31" s="463">
        <f t="shared" si="12"/>
        <v>0</v>
      </c>
      <c r="J31" s="463">
        <v>0</v>
      </c>
      <c r="K31" s="463">
        <v>0</v>
      </c>
      <c r="L31" s="477" t="s">
        <v>2121</v>
      </c>
    </row>
    <row r="32" spans="2:14" x14ac:dyDescent="0.25">
      <c r="B32">
        <v>133</v>
      </c>
      <c r="C32" s="159" t="str">
        <f>VLOOKUP(B32,Plan!A:B,2,0)</f>
        <v>Préstamos  Fundación Cali</v>
      </c>
      <c r="D32" s="386">
        <f>SUMIF('Diario Adm'!$C:$C,$B32,'Diario Adm'!F:F)+SUMIF('Diario Cali'!$C:$C,$B32,'Diario Cali'!F:F)</f>
        <v>3000000</v>
      </c>
      <c r="E32" s="386">
        <f>SUMIF('Diario Adm'!$C:$C,$B32,'Diario Adm'!G:G)+SUMIF('Diario Cali'!$C:$C,$B32,'Diario Cali'!G:G)</f>
        <v>3000000</v>
      </c>
      <c r="F32" s="386">
        <f t="shared" si="9"/>
        <v>0</v>
      </c>
      <c r="G32" s="386">
        <f t="shared" si="10"/>
        <v>0</v>
      </c>
      <c r="H32" s="386">
        <f t="shared" si="11"/>
        <v>0</v>
      </c>
      <c r="I32" s="386">
        <f t="shared" si="12"/>
        <v>0</v>
      </c>
      <c r="J32" s="386">
        <v>0</v>
      </c>
      <c r="K32" s="386">
        <v>0</v>
      </c>
    </row>
    <row r="33" spans="2:12" x14ac:dyDescent="0.25">
      <c r="B33">
        <v>135</v>
      </c>
      <c r="C33" s="159" t="str">
        <f>VLOOKUP(B33,Plan!A:B,2,0)</f>
        <v>Arquitectura</v>
      </c>
      <c r="D33" s="386">
        <f>SUMIF('Diario Adm'!$C:$C,$B33,'Diario Adm'!F:F)+SUMIF('Diario Cali'!$C:$C,$B33,'Diario Cali'!F:F)</f>
        <v>48693684</v>
      </c>
      <c r="E33" s="386">
        <f>SUMIF('Diario Adm'!$C:$C,$B33,'Diario Adm'!G:G)+SUMIF('Diario Cali'!$C:$C,$B33,'Diario Cali'!G:G)</f>
        <v>0</v>
      </c>
      <c r="F33" s="386">
        <f t="shared" si="9"/>
        <v>48693684</v>
      </c>
      <c r="G33" s="386">
        <f t="shared" si="10"/>
        <v>0</v>
      </c>
      <c r="H33" s="386">
        <f t="shared" si="11"/>
        <v>48693684</v>
      </c>
      <c r="I33" s="386">
        <f t="shared" si="12"/>
        <v>0</v>
      </c>
      <c r="J33" s="386">
        <v>0</v>
      </c>
      <c r="K33" s="386">
        <v>0</v>
      </c>
    </row>
    <row r="34" spans="2:12" x14ac:dyDescent="0.25">
      <c r="B34">
        <v>136</v>
      </c>
      <c r="C34" s="159" t="str">
        <f>VLOOKUP(B34,Plan!A:B,2,0)</f>
        <v>Obras en Construcción</v>
      </c>
      <c r="D34" s="386">
        <f>SUMIF('Diario Adm'!$C:$C,$B34,'Diario Adm'!F:F)+SUMIF('Diario Cali'!$C:$C,$B34,'Diario Cali'!F:F)</f>
        <v>2893526942</v>
      </c>
      <c r="E34" s="386">
        <f>SUMIF('Diario Adm'!$C:$C,$B34,'Diario Adm'!G:G)+SUMIF('Diario Cali'!$C:$C,$B34,'Diario Cali'!G:G)</f>
        <v>0</v>
      </c>
      <c r="F34" s="386">
        <f t="shared" si="9"/>
        <v>2893526942</v>
      </c>
      <c r="G34" s="386">
        <f t="shared" si="10"/>
        <v>0</v>
      </c>
      <c r="H34" s="386">
        <f t="shared" si="11"/>
        <v>2893526942</v>
      </c>
      <c r="I34" s="386">
        <f t="shared" si="12"/>
        <v>0</v>
      </c>
      <c r="J34" s="386">
        <v>0</v>
      </c>
      <c r="K34" s="386">
        <v>0</v>
      </c>
    </row>
    <row r="35" spans="2:12" x14ac:dyDescent="0.25">
      <c r="B35">
        <v>1361</v>
      </c>
      <c r="C35" s="159" t="str">
        <f>VLOOKUP(B35,Plan!A:B,2,0)</f>
        <v>Adicionales Obras en Construcción</v>
      </c>
      <c r="D35" s="386">
        <f>SUMIF('Diario Adm'!$C:$C,$B35,'Diario Adm'!F:F)+SUMIF('Diario Cali'!$C:$C,$B35,'Diario Cali'!F:F)</f>
        <v>35168415</v>
      </c>
      <c r="E35" s="386">
        <f>SUMIF('Diario Adm'!$C:$C,$B35,'Diario Adm'!G:G)+SUMIF('Diario Cali'!$C:$C,$B35,'Diario Cali'!G:G)</f>
        <v>0</v>
      </c>
      <c r="F35" s="386">
        <f>IF(D35&gt;E35,D35-E35,0)</f>
        <v>35168415</v>
      </c>
      <c r="G35" s="386">
        <f>IF(E35&gt;D35,E35-D35,0)</f>
        <v>0</v>
      </c>
      <c r="H35" s="386">
        <f t="shared" ref="H35:I38" si="13">+F35</f>
        <v>35168415</v>
      </c>
      <c r="I35" s="386">
        <f t="shared" si="13"/>
        <v>0</v>
      </c>
      <c r="J35" s="386">
        <v>0</v>
      </c>
      <c r="K35" s="386">
        <v>0</v>
      </c>
    </row>
    <row r="36" spans="2:12" x14ac:dyDescent="0.25">
      <c r="B36">
        <v>1362</v>
      </c>
      <c r="C36" s="159" t="str">
        <f>VLOOKUP(B36,Plan!A:B,2,0)</f>
        <v>Contribuciones</v>
      </c>
      <c r="D36" s="386">
        <f>SUMIF('Diario Adm'!$C:$C,$B36,'Diario Adm'!F:F)+SUMIF('Diario Cali'!$C:$C,$B36,'Diario Cali'!F:F)</f>
        <v>7277007</v>
      </c>
      <c r="E36" s="386">
        <f>SUMIF('Diario Adm'!$C:$C,$B36,'Diario Adm'!G:G)+SUMIF('Diario Cali'!$C:$C,$B36,'Diario Cali'!G:G)</f>
        <v>0</v>
      </c>
      <c r="F36" s="386">
        <f>IF(D36&gt;E36,D36-E36,0)</f>
        <v>7277007</v>
      </c>
      <c r="G36" s="386">
        <f>IF(E36&gt;D36,E36-D36,0)</f>
        <v>0</v>
      </c>
      <c r="H36" s="386">
        <f t="shared" si="13"/>
        <v>7277007</v>
      </c>
      <c r="I36" s="386">
        <f t="shared" si="13"/>
        <v>0</v>
      </c>
      <c r="J36" s="386">
        <v>0</v>
      </c>
      <c r="K36" s="386">
        <v>0</v>
      </c>
    </row>
    <row r="37" spans="2:12" s="428" customFormat="1" x14ac:dyDescent="0.25">
      <c r="B37" s="428">
        <v>137</v>
      </c>
      <c r="C37" s="365" t="str">
        <f>VLOOKUP(B37,Plan!A:B,2,0)</f>
        <v>Anticipo Construcción</v>
      </c>
      <c r="D37" s="366">
        <f>SUMIF('Diario Adm'!$C:$C,$B37,'Diario Adm'!F:F)+SUMIF('Diario Cali'!$C:$C,$B37,'Diario Cali'!F:F)</f>
        <v>440591658</v>
      </c>
      <c r="E37" s="366">
        <f>SUMIF('Diario Adm'!$C:$C,$B37,'Diario Adm'!G:G)+SUMIF('Diario Cali'!$C:$C,$B37,'Diario Cali'!G:G)</f>
        <v>212485323</v>
      </c>
      <c r="F37" s="366">
        <f>IF(D37&gt;E37,D37-E37,0)</f>
        <v>228106335</v>
      </c>
      <c r="G37" s="366">
        <f>IF(E37&gt;D37,E37-D37,0)</f>
        <v>0</v>
      </c>
      <c r="H37" s="366">
        <f t="shared" si="13"/>
        <v>228106335</v>
      </c>
      <c r="I37" s="366">
        <f t="shared" si="13"/>
        <v>0</v>
      </c>
      <c r="J37" s="366">
        <v>0</v>
      </c>
      <c r="K37" s="366">
        <v>0</v>
      </c>
    </row>
    <row r="38" spans="2:12" x14ac:dyDescent="0.25">
      <c r="B38">
        <v>138</v>
      </c>
      <c r="C38" s="159" t="str">
        <f>VLOOKUP(B38,Plan!A:B,2,0)</f>
        <v>Proyectos Especialidades</v>
      </c>
      <c r="D38" s="386">
        <f>SUMIF('Diario Adm'!$C:$C,$B38,'Diario Adm'!F:F)+SUMIF('Diario Cali'!$C:$C,$B38,'Diario Cali'!F:F)</f>
        <v>148852001</v>
      </c>
      <c r="E38" s="386">
        <f>SUMIF('Diario Adm'!$C:$C,$B38,'Diario Adm'!G:G)+SUMIF('Diario Cali'!$C:$C,$B38,'Diario Cali'!G:G)</f>
        <v>26701746</v>
      </c>
      <c r="F38" s="386">
        <f>IF(D38&gt;E38,D38-E38,0)</f>
        <v>122150255</v>
      </c>
      <c r="G38" s="386">
        <f>IF(E38&gt;D38,E38-D38,0)</f>
        <v>0</v>
      </c>
      <c r="H38" s="386">
        <f t="shared" si="13"/>
        <v>122150255</v>
      </c>
      <c r="I38" s="386">
        <f t="shared" si="13"/>
        <v>0</v>
      </c>
      <c r="J38" s="386">
        <v>0</v>
      </c>
      <c r="K38" s="386">
        <v>0</v>
      </c>
    </row>
    <row r="39" spans="2:12" x14ac:dyDescent="0.25">
      <c r="B39">
        <v>140</v>
      </c>
      <c r="C39" s="159" t="str">
        <f>VLOOKUP(B39,Plan!A:B,2,0)</f>
        <v>Provisión Cuentas por cobrar</v>
      </c>
      <c r="D39" s="386">
        <f>SUMIF('Diario Adm'!$C:$C,$B39,'Diario Adm'!F:F)+SUMIF('Diario Cali'!$C:$C,$B39,'Diario Cali'!F:F)</f>
        <v>3900000</v>
      </c>
      <c r="E39" s="386">
        <f>SUMIF('Diario Adm'!$C:$C,$B39,'Diario Adm'!G:G)+SUMIF('Diario Cali'!$C:$C,$B39,'Diario Cali'!G:G)</f>
        <v>0</v>
      </c>
      <c r="F39" s="386">
        <f t="shared" si="9"/>
        <v>3900000</v>
      </c>
      <c r="G39" s="386">
        <f t="shared" si="10"/>
        <v>0</v>
      </c>
      <c r="H39" s="386">
        <f t="shared" si="11"/>
        <v>3900000</v>
      </c>
      <c r="I39" s="386">
        <f t="shared" si="12"/>
        <v>0</v>
      </c>
      <c r="J39" s="386">
        <v>0</v>
      </c>
      <c r="K39" s="386">
        <v>0</v>
      </c>
    </row>
    <row r="40" spans="2:12" x14ac:dyDescent="0.25">
      <c r="B40">
        <v>141</v>
      </c>
      <c r="C40" s="159" t="str">
        <f>VLOOKUP(B40,Plan!A:B,2,0)</f>
        <v>Cuentas por Cobrar a Administración</v>
      </c>
      <c r="D40" s="386">
        <f>SUMIF('Diario Adm'!$C:$C,$B40,'Diario Adm'!F:F)+SUMIF('Diario Cali'!$C:$C,$B40,'Diario Cali'!F:F)</f>
        <v>143813372</v>
      </c>
      <c r="E40" s="386">
        <f>SUMIF('Diario Adm'!$C:$C,$B40,'Diario Adm'!G:G)+SUMIF('Diario Cali'!$C:$C,$B40,'Diario Cali'!G:G)</f>
        <v>5376178</v>
      </c>
      <c r="F40" s="386">
        <f t="shared" si="9"/>
        <v>138437194</v>
      </c>
      <c r="G40" s="386">
        <f t="shared" si="10"/>
        <v>0</v>
      </c>
      <c r="H40" s="386">
        <f t="shared" si="11"/>
        <v>138437194</v>
      </c>
      <c r="I40" s="386">
        <f t="shared" si="12"/>
        <v>0</v>
      </c>
      <c r="J40" s="386">
        <v>0</v>
      </c>
      <c r="K40" s="386">
        <v>0</v>
      </c>
      <c r="L40" s="155"/>
    </row>
    <row r="41" spans="2:12" x14ac:dyDescent="0.25">
      <c r="B41">
        <v>142</v>
      </c>
      <c r="C41" s="159" t="str">
        <f>VLOOKUP(B41,Plan!A:B,2,0)</f>
        <v>Cuentas por Cobrar a CALI (Colectas)</v>
      </c>
      <c r="D41" s="386">
        <f>SUMIF('Diario Adm'!$C:$C,$B41,'Diario Adm'!F:F)+SUMIF('Diario Cali'!$C:$C,$B41,'Diario Cali'!F:F)</f>
        <v>3446152</v>
      </c>
      <c r="E41" s="386">
        <f>SUMIF('Diario Adm'!$C:$C,$B41,'Diario Adm'!G:G)+SUMIF('Diario Cali'!$C:$C,$B41,'Diario Cali'!G:G)</f>
        <v>3446152</v>
      </c>
      <c r="F41" s="386">
        <f>IF(D41&gt;E41,D41-E41,0)</f>
        <v>0</v>
      </c>
      <c r="G41" s="386">
        <f>IF(E41&gt;D41,E41-D41,0)</f>
        <v>0</v>
      </c>
      <c r="H41" s="386">
        <f>+F41</f>
        <v>0</v>
      </c>
      <c r="I41" s="386">
        <f>+G41</f>
        <v>0</v>
      </c>
      <c r="J41" s="386">
        <v>0</v>
      </c>
      <c r="K41" s="386">
        <v>0</v>
      </c>
      <c r="L41" s="155"/>
    </row>
    <row r="42" spans="2:12" x14ac:dyDescent="0.25">
      <c r="B42">
        <v>143</v>
      </c>
      <c r="C42" s="159" t="str">
        <f>VLOOKUP(B42,Plan!A:B,2,0)</f>
        <v>Cuentas por Cobrar a CALI (Canastas)</v>
      </c>
      <c r="D42" s="386">
        <f>SUMIF('Diario Adm'!$C:$C,$B42,'Diario Adm'!F:F)+SUMIF('Diario Cali'!$C:$C,$B42,'Diario Cali'!F:F)</f>
        <v>765000</v>
      </c>
      <c r="E42" s="386">
        <f>SUMIF('Diario Adm'!$C:$C,$B42,'Diario Adm'!G:G)+SUMIF('Diario Cali'!$C:$C,$B42,'Diario Cali'!G:G)</f>
        <v>765000</v>
      </c>
      <c r="F42" s="386">
        <f>IF(D42&gt;E42,D42-E42,0)</f>
        <v>0</v>
      </c>
      <c r="G42" s="386">
        <f>IF(E42&gt;D42,E42-D42,0)</f>
        <v>0</v>
      </c>
      <c r="H42" s="386">
        <f>+F42</f>
        <v>0</v>
      </c>
      <c r="I42" s="386">
        <f>+G42</f>
        <v>0</v>
      </c>
      <c r="J42" s="386">
        <v>0</v>
      </c>
      <c r="K42" s="386">
        <v>0</v>
      </c>
      <c r="L42" s="155"/>
    </row>
    <row r="43" spans="2:12" x14ac:dyDescent="0.25">
      <c r="B43">
        <v>146</v>
      </c>
      <c r="C43" s="159" t="str">
        <f>VLOOKUP(B43,Plan!A:B,2,0)</f>
        <v>Equipos de Oficina</v>
      </c>
      <c r="D43" s="386">
        <f>SUMIF('Diario Adm'!$C:$C,$B43,'Diario Adm'!F:F)+SUMIF('Diario Cali'!$C:$C,$B43,'Diario Cali'!F:F)</f>
        <v>0</v>
      </c>
      <c r="E43" s="386">
        <f>SUMIF('Diario Adm'!$C:$C,$B43,'Diario Adm'!G:G)+SUMIF('Diario Cali'!$C:$C,$B43,'Diario Cali'!G:G)</f>
        <v>0</v>
      </c>
      <c r="F43" s="386">
        <f t="shared" si="9"/>
        <v>0</v>
      </c>
      <c r="G43" s="386">
        <f t="shared" si="10"/>
        <v>0</v>
      </c>
      <c r="H43" s="386">
        <f t="shared" si="11"/>
        <v>0</v>
      </c>
      <c r="I43" s="386">
        <f t="shared" si="12"/>
        <v>0</v>
      </c>
      <c r="J43" s="386">
        <v>0</v>
      </c>
      <c r="K43" s="386">
        <v>0</v>
      </c>
    </row>
    <row r="44" spans="2:12" s="418" customFormat="1" x14ac:dyDescent="0.25">
      <c r="B44" s="418">
        <v>201</v>
      </c>
      <c r="C44" s="462" t="str">
        <f>VLOOKUP(B44,Plan!A:B,2,0)</f>
        <v>1% por pagar</v>
      </c>
      <c r="D44" s="463">
        <f>SUMIF('Diario Adm'!$C:$C,$B44,'Diario Adm'!F:F)+SUMIF('Diario Cali'!$C:$C,$B44,'Diario Cali'!F:F)</f>
        <v>1908900</v>
      </c>
      <c r="E44" s="463">
        <f>SUMIF('Diario Adm'!$C:$C,$B44,'Diario Adm'!G:G)+SUMIF('Diario Cali'!$C:$C,$B44,'Diario Cali'!G:G)</f>
        <v>2086366</v>
      </c>
      <c r="F44" s="463">
        <f t="shared" si="9"/>
        <v>0</v>
      </c>
      <c r="G44" s="463">
        <f t="shared" si="10"/>
        <v>177466</v>
      </c>
      <c r="H44" s="463">
        <f t="shared" si="11"/>
        <v>0</v>
      </c>
      <c r="I44" s="463">
        <f t="shared" si="12"/>
        <v>177466</v>
      </c>
      <c r="J44" s="463">
        <v>0</v>
      </c>
      <c r="K44" s="463">
        <v>0</v>
      </c>
      <c r="L44" s="477" t="s">
        <v>2121</v>
      </c>
    </row>
    <row r="45" spans="2:12" s="418" customFormat="1" x14ac:dyDescent="0.25">
      <c r="B45" s="418">
        <v>202</v>
      </c>
      <c r="C45" s="462" t="str">
        <f>VLOOKUP(B45,Plan!A:B,2,0)</f>
        <v>Arzobispado por pagar</v>
      </c>
      <c r="D45" s="463">
        <f>SUMIF('Diario Adm'!$C:$C,$B45,'Diario Adm'!F:F)+SUMIF('Diario Cali'!$C:$C,$B45,'Diario Cali'!F:F)</f>
        <v>37984789.469999999</v>
      </c>
      <c r="E45" s="463">
        <f>SUMIF('Diario Adm'!$C:$C,$B45,'Diario Adm'!G:G)+SUMIF('Diario Cali'!$C:$C,$B45,'Diario Cali'!G:G)</f>
        <v>40984158</v>
      </c>
      <c r="F45" s="463">
        <f t="shared" si="9"/>
        <v>0</v>
      </c>
      <c r="G45" s="463">
        <f t="shared" si="10"/>
        <v>2999368.5300000012</v>
      </c>
      <c r="H45" s="463">
        <f t="shared" si="11"/>
        <v>0</v>
      </c>
      <c r="I45" s="463">
        <f t="shared" si="12"/>
        <v>2999368.5300000012</v>
      </c>
      <c r="J45" s="463">
        <v>0</v>
      </c>
      <c r="K45" s="463">
        <v>0</v>
      </c>
      <c r="L45" s="477" t="s">
        <v>2121</v>
      </c>
    </row>
    <row r="46" spans="2:12" s="418" customFormat="1" x14ac:dyDescent="0.25">
      <c r="B46" s="418">
        <v>203</v>
      </c>
      <c r="C46" s="462" t="str">
        <f>VLOOKUP(B46,Plan!A:B,2,0)</f>
        <v>Recaudadoras por pagar</v>
      </c>
      <c r="D46" s="463">
        <f>SUMIF('Diario Adm'!$C:$C,$B46,'Diario Adm'!F:F)+SUMIF('Diario Cali'!$C:$C,$B46,'Diario Cali'!F:F)</f>
        <v>795720</v>
      </c>
      <c r="E46" s="463">
        <f>SUMIF('Diario Adm'!$C:$C,$B46,'Diario Adm'!G:G)+SUMIF('Diario Cali'!$C:$C,$B46,'Diario Cali'!G:G)</f>
        <v>871488</v>
      </c>
      <c r="F46" s="463">
        <f t="shared" si="9"/>
        <v>0</v>
      </c>
      <c r="G46" s="463">
        <f t="shared" si="10"/>
        <v>75768</v>
      </c>
      <c r="H46" s="463">
        <f t="shared" si="11"/>
        <v>0</v>
      </c>
      <c r="I46" s="463">
        <f t="shared" si="12"/>
        <v>75768</v>
      </c>
      <c r="J46" s="463">
        <v>0</v>
      </c>
      <c r="K46" s="463">
        <v>0</v>
      </c>
      <c r="L46" s="477" t="s">
        <v>2121</v>
      </c>
    </row>
    <row r="47" spans="2:12" s="418" customFormat="1" x14ac:dyDescent="0.25">
      <c r="B47" s="418">
        <v>204</v>
      </c>
      <c r="C47" s="462" t="str">
        <f>VLOOKUP(B47,Plan!A:B,2,0)</f>
        <v>Retención Honorarios Cali</v>
      </c>
      <c r="D47" s="463">
        <f>SUMIF('Diario Adm'!$C:$C,$B47,'Diario Adm'!F:F)+SUMIF('Diario Cali'!$C:$C,$B47,'Diario Cali'!F:F)</f>
        <v>855330</v>
      </c>
      <c r="E47" s="463">
        <f>SUMIF('Diario Adm'!$C:$C,$B47,'Diario Adm'!G:G)+SUMIF('Diario Cali'!$C:$C,$B47,'Diario Cali'!G:G)</f>
        <v>902483</v>
      </c>
      <c r="F47" s="463">
        <f t="shared" si="9"/>
        <v>0</v>
      </c>
      <c r="G47" s="463">
        <f t="shared" si="10"/>
        <v>47153</v>
      </c>
      <c r="H47" s="463">
        <f t="shared" si="11"/>
        <v>0</v>
      </c>
      <c r="I47" s="463">
        <f t="shared" si="12"/>
        <v>47153</v>
      </c>
      <c r="J47" s="463">
        <v>0</v>
      </c>
      <c r="K47" s="463">
        <v>0</v>
      </c>
      <c r="L47" s="477" t="s">
        <v>2121</v>
      </c>
    </row>
    <row r="48" spans="2:12" x14ac:dyDescent="0.25">
      <c r="B48">
        <v>205</v>
      </c>
      <c r="C48" s="159" t="str">
        <f>VLOOKUP(B48,Plan!A:B,2,0)</f>
        <v>Honorarios por pagar Cali</v>
      </c>
      <c r="D48" s="386">
        <f>SUMIF('Diario Adm'!$C:$C,$B48,'Diario Adm'!F:F)+SUMIF('Diario Cali'!$C:$C,$B48,'Diario Cali'!F:F)</f>
        <v>1200000</v>
      </c>
      <c r="E48" s="386">
        <f>SUMIF('Diario Adm'!$C:$C,$B48,'Diario Adm'!G:G)+SUMIF('Diario Cali'!$C:$C,$B48,'Diario Cali'!G:G)</f>
        <v>1200000</v>
      </c>
      <c r="F48" s="386">
        <f>IF(D48&gt;E48,D48-E48,0)</f>
        <v>0</v>
      </c>
      <c r="G48" s="386">
        <f>IF(E48&gt;D48,E48-D48,0)</f>
        <v>0</v>
      </c>
      <c r="H48" s="386">
        <f>+F48</f>
        <v>0</v>
      </c>
      <c r="I48" s="386">
        <f>+G48</f>
        <v>0</v>
      </c>
      <c r="J48" s="386">
        <v>0</v>
      </c>
      <c r="K48" s="386">
        <v>0</v>
      </c>
    </row>
    <row r="49" spans="2:12" s="418" customFormat="1" ht="12.6" customHeight="1" x14ac:dyDescent="0.25">
      <c r="B49" s="418">
        <v>210</v>
      </c>
      <c r="C49" s="462" t="str">
        <f>VLOOKUP(B49,Plan!A:B,2,0)</f>
        <v>Retenciones Construcción</v>
      </c>
      <c r="D49" s="463">
        <f>SUMIF('Diario Adm'!$C:$C,$B49,'Diario Adm'!F:F)+SUMIF('Diario Cali'!$C:$C,$B49,'Diario Cali'!F:F)</f>
        <v>0</v>
      </c>
      <c r="E49" s="463">
        <f>SUMIF('Diario Adm'!$C:$C,$B49,'Diario Adm'!G:G)+SUMIF('Diario Cali'!$C:$C,$B49,'Diario Cali'!G:G)</f>
        <v>120720265.3176</v>
      </c>
      <c r="F49" s="463">
        <f>IF(D49&gt;E49,D49-E49,0)</f>
        <v>0</v>
      </c>
      <c r="G49" s="463">
        <f>IF(E49&gt;D49,E49-D49,0)</f>
        <v>120720265.3176</v>
      </c>
      <c r="H49" s="463">
        <f>+F49</f>
        <v>0</v>
      </c>
      <c r="I49" s="463">
        <f>+G49</f>
        <v>120720265.3176</v>
      </c>
      <c r="J49" s="463">
        <v>0</v>
      </c>
      <c r="K49" s="463">
        <v>0</v>
      </c>
    </row>
    <row r="50" spans="2:12" x14ac:dyDescent="0.25">
      <c r="B50">
        <v>215</v>
      </c>
      <c r="C50" s="159" t="str">
        <f>VLOOKUP(B50,Plan!A:B,2,0)</f>
        <v>Cuenta por Pagar a Cali</v>
      </c>
      <c r="D50" s="386">
        <f>SUMIF('Diario Adm'!$C:$C,$B50,'Diario Adm'!F:F)+SUMIF('Diario Cali'!$C:$C,$B50,'Diario Cali'!F:F)</f>
        <v>5423068</v>
      </c>
      <c r="E50" s="386">
        <f>SUMIF('Diario Adm'!$C:$C,$B50,'Diario Adm'!G:G)+SUMIF('Diario Cali'!$C:$C,$B50,'Diario Cali'!G:G)</f>
        <v>143860262</v>
      </c>
      <c r="F50" s="386">
        <f t="shared" si="9"/>
        <v>0</v>
      </c>
      <c r="G50" s="386">
        <f t="shared" si="10"/>
        <v>138437194</v>
      </c>
      <c r="H50" s="386">
        <f t="shared" si="11"/>
        <v>0</v>
      </c>
      <c r="I50" s="386">
        <f t="shared" si="12"/>
        <v>138437194</v>
      </c>
      <c r="J50" s="386">
        <v>0</v>
      </c>
      <c r="K50" s="386">
        <v>0</v>
      </c>
      <c r="L50" s="584">
        <f>+H40+H41+H42-I50-I51-I52</f>
        <v>0</v>
      </c>
    </row>
    <row r="51" spans="2:12" x14ac:dyDescent="0.25">
      <c r="B51">
        <v>216</v>
      </c>
      <c r="C51" s="159" t="str">
        <f>VLOOKUP(B51,Plan!A:B,2,0)</f>
        <v>Cuenta por Pagar a Administración Colectas</v>
      </c>
      <c r="D51" s="386">
        <f>SUMIF('Diario Adm'!$C:$C,$B51,'Diario Adm'!F:F)+SUMIF('Diario Cali'!$C:$C,$B51,'Diario Cali'!F:F)</f>
        <v>3280652</v>
      </c>
      <c r="E51" s="386">
        <f>SUMIF('Diario Adm'!$C:$C,$B51,'Diario Adm'!G:G)+SUMIF('Diario Cali'!$C:$C,$B51,'Diario Cali'!G:G)</f>
        <v>3280652</v>
      </c>
      <c r="F51" s="386">
        <f>IF(D51&gt;E51,D51-E51,0)</f>
        <v>0</v>
      </c>
      <c r="G51" s="386">
        <f>IF(E51&gt;D51,E51-D51,0)</f>
        <v>0</v>
      </c>
      <c r="H51" s="386">
        <f>+F51</f>
        <v>0</v>
      </c>
      <c r="I51" s="386">
        <f>+G51</f>
        <v>0</v>
      </c>
      <c r="J51" s="386">
        <v>0</v>
      </c>
      <c r="K51" s="386">
        <v>0</v>
      </c>
    </row>
    <row r="52" spans="2:12" x14ac:dyDescent="0.25">
      <c r="B52">
        <v>217</v>
      </c>
      <c r="C52" s="159" t="str">
        <f>VLOOKUP(B52,Plan!A:B,2,0)</f>
        <v>Cuenta por Pagar a Administración Canastas</v>
      </c>
      <c r="D52" s="386">
        <f>SUMIF('Diario Adm'!$C:$C,$B52,'Diario Adm'!F:F)+SUMIF('Diario Cali'!$C:$C,$B52,'Diario Cali'!F:F)</f>
        <v>765000</v>
      </c>
      <c r="E52" s="386">
        <f>SUMIF('Diario Adm'!$C:$C,$B52,'Diario Adm'!G:G)+SUMIF('Diario Cali'!$C:$C,$B52,'Diario Cali'!G:G)</f>
        <v>765000</v>
      </c>
      <c r="F52" s="386">
        <f>IF(D52&gt;E52,D52-E52,0)</f>
        <v>0</v>
      </c>
      <c r="G52" s="386">
        <f>IF(E52&gt;D52,E52-D52,0)</f>
        <v>0</v>
      </c>
      <c r="H52" s="386">
        <f>+F52</f>
        <v>0</v>
      </c>
      <c r="I52" s="386">
        <f>+G52</f>
        <v>0</v>
      </c>
      <c r="J52" s="386">
        <v>0</v>
      </c>
      <c r="K52" s="386">
        <v>0</v>
      </c>
    </row>
    <row r="53" spans="2:12" x14ac:dyDescent="0.25">
      <c r="B53">
        <v>220</v>
      </c>
      <c r="C53" s="159" t="str">
        <f>VLOOKUP(B53,Plan!A:B,2,0)</f>
        <v>Fondos Pastoral Juvenil</v>
      </c>
      <c r="D53" s="386">
        <f>SUMIF('Diario Adm'!$C:$C,$B53,'Diario Adm'!F:F)+SUMIF('Diario Cali'!$C:$C,$B53,'Diario Cali'!F:F)</f>
        <v>878224</v>
      </c>
      <c r="E53" s="386">
        <f>SUMIF('Diario Adm'!$C:$C,$B53,'Diario Adm'!G:G)+SUMIF('Diario Cali'!$C:$C,$B53,'Diario Cali'!G:G)</f>
        <v>878224</v>
      </c>
      <c r="F53" s="386">
        <f t="shared" si="9"/>
        <v>0</v>
      </c>
      <c r="G53" s="386">
        <f t="shared" si="10"/>
        <v>0</v>
      </c>
      <c r="H53" s="386">
        <f t="shared" si="11"/>
        <v>0</v>
      </c>
      <c r="I53" s="386">
        <f t="shared" si="12"/>
        <v>0</v>
      </c>
      <c r="J53" s="386">
        <v>0</v>
      </c>
      <c r="K53" s="386">
        <v>0</v>
      </c>
    </row>
    <row r="54" spans="2:12" s="418" customFormat="1" ht="15.65" customHeight="1" x14ac:dyDescent="0.25">
      <c r="B54" s="418">
        <v>222</v>
      </c>
      <c r="C54" s="462" t="str">
        <f>VLOOKUP(B54,Plan!A:B,2,0)</f>
        <v>Honorarios por pagar Administración</v>
      </c>
      <c r="D54" s="463">
        <f>SUMIF('Diario Adm'!$C:$C,$B54,'Diario Adm'!F:F)+SUMIF('Diario Cali'!$C:$C,$B54,'Diario Cali'!F:F)</f>
        <v>751363</v>
      </c>
      <c r="E54" s="463">
        <f>SUMIF('Diario Adm'!$C:$C,$B54,'Diario Adm'!G:G)+SUMIF('Diario Cali'!$C:$C,$B54,'Diario Cali'!G:G)</f>
        <v>751363</v>
      </c>
      <c r="F54" s="463">
        <f>IF(D54&gt;E54,D54-E54,0)</f>
        <v>0</v>
      </c>
      <c r="G54" s="463">
        <f>IF(E54&gt;D54,E54-D54,0)</f>
        <v>0</v>
      </c>
      <c r="H54" s="463">
        <f>+F54</f>
        <v>0</v>
      </c>
      <c r="I54" s="463">
        <f>+G54</f>
        <v>0</v>
      </c>
      <c r="J54" s="463">
        <v>0</v>
      </c>
      <c r="K54" s="463">
        <v>0</v>
      </c>
      <c r="L54" s="477"/>
    </row>
    <row r="55" spans="2:12" s="418" customFormat="1" x14ac:dyDescent="0.25">
      <c r="B55" s="418">
        <v>223</v>
      </c>
      <c r="C55" s="462" t="str">
        <f>VLOOKUP(B55,Plan!A:B,2,0)</f>
        <v>Ret. Hon.  e Impto. Unico Administración</v>
      </c>
      <c r="D55" s="463">
        <f>SUMIF('Diario Adm'!$C:$C,$B55,'Diario Adm'!F:F)+SUMIF('Diario Cali'!$C:$C,$B55,'Diario Cali'!F:F)</f>
        <v>1287357</v>
      </c>
      <c r="E55" s="463">
        <f>SUMIF('Diario Adm'!$C:$C,$B55,'Diario Adm'!G:G)+SUMIF('Diario Cali'!$C:$C,$B55,'Diario Cali'!G:G)</f>
        <v>1551480</v>
      </c>
      <c r="F55" s="463">
        <f>IF(D55&gt;E55,D55-E55,0)</f>
        <v>0</v>
      </c>
      <c r="G55" s="463">
        <f>IF(E55&gt;D55,E55-D55,0)</f>
        <v>264123</v>
      </c>
      <c r="H55" s="463">
        <f>+F55</f>
        <v>0</v>
      </c>
      <c r="I55" s="463">
        <f>+G55</f>
        <v>264123</v>
      </c>
      <c r="J55" s="463">
        <v>0</v>
      </c>
      <c r="K55" s="463">
        <v>0</v>
      </c>
      <c r="L55" s="573" t="s">
        <v>2121</v>
      </c>
    </row>
    <row r="56" spans="2:12" s="418" customFormat="1" ht="15.65" customHeight="1" x14ac:dyDescent="0.25">
      <c r="B56" s="418">
        <v>224</v>
      </c>
      <c r="C56" s="462" t="str">
        <f>VLOOKUP(B56,Plan!A:B,2,0)</f>
        <v>Cotizaciones por Pagar</v>
      </c>
      <c r="D56" s="463">
        <f>SUMIF('Diario Adm'!$C:$C,$B56,'Diario Adm'!F:F)+SUMIF('Diario Cali'!$C:$C,$B56,'Diario Cali'!F:F)</f>
        <v>7156126</v>
      </c>
      <c r="E56" s="463">
        <f>SUMIF('Diario Adm'!$C:$C,$B56,'Diario Adm'!G:G)+SUMIF('Diario Cali'!$C:$C,$B56,'Diario Cali'!G:G)</f>
        <v>7963377</v>
      </c>
      <c r="F56" s="463">
        <f t="shared" si="9"/>
        <v>0</v>
      </c>
      <c r="G56" s="463">
        <f t="shared" si="10"/>
        <v>807251</v>
      </c>
      <c r="H56" s="463">
        <f t="shared" si="11"/>
        <v>0</v>
      </c>
      <c r="I56" s="463">
        <f t="shared" si="12"/>
        <v>807251</v>
      </c>
      <c r="J56" s="463">
        <v>0</v>
      </c>
      <c r="K56" s="463">
        <v>0</v>
      </c>
      <c r="L56" s="477" t="s">
        <v>2540</v>
      </c>
    </row>
    <row r="57" spans="2:12" ht="15.65" customHeight="1" x14ac:dyDescent="0.25">
      <c r="B57">
        <v>225</v>
      </c>
      <c r="C57" s="159" t="str">
        <f>VLOOKUP(B57,Plan!A:B,2,0)</f>
        <v>Sueldos por Pagar</v>
      </c>
      <c r="D57" s="386">
        <f>SUMIF('Diario Adm'!$C:$C,$B57,'Diario Adm'!F:F)+SUMIF('Diario Cali'!$C:$C,$B57,'Diario Cali'!F:F)</f>
        <v>40638516</v>
      </c>
      <c r="E57" s="386">
        <f>SUMIF('Diario Adm'!$C:$C,$B57,'Diario Adm'!G:G)+SUMIF('Diario Cali'!$C:$C,$B57,'Diario Cali'!G:G)</f>
        <v>40638516</v>
      </c>
      <c r="F57" s="386">
        <f t="shared" si="9"/>
        <v>0</v>
      </c>
      <c r="G57" s="386">
        <f t="shared" si="10"/>
        <v>0</v>
      </c>
      <c r="H57" s="386">
        <f t="shared" si="11"/>
        <v>0</v>
      </c>
      <c r="I57" s="386">
        <f t="shared" si="12"/>
        <v>0</v>
      </c>
      <c r="J57" s="386">
        <v>0</v>
      </c>
      <c r="K57" s="386">
        <v>0</v>
      </c>
    </row>
    <row r="58" spans="2:12" x14ac:dyDescent="0.25">
      <c r="B58">
        <v>226</v>
      </c>
      <c r="C58" s="159" t="str">
        <f>VLOOKUP(B58,Plan!A:B,2,0)</f>
        <v>Provisión Honorarios Administración</v>
      </c>
      <c r="D58" s="386">
        <f>SUMIF('Diario Adm'!$C:$C,$B58,'Diario Adm'!F:F)+SUMIF('Diario Cali'!$C:$C,$B58,'Diario Cali'!F:F)</f>
        <v>380550</v>
      </c>
      <c r="E58" s="386">
        <f>SUMIF('Diario Adm'!$C:$C,$B58,'Diario Adm'!G:G)+SUMIF('Diario Cali'!$C:$C,$B58,'Diario Cali'!G:G)</f>
        <v>380550</v>
      </c>
      <c r="F58" s="386">
        <f t="shared" si="9"/>
        <v>0</v>
      </c>
      <c r="G58" s="386">
        <f t="shared" si="10"/>
        <v>0</v>
      </c>
      <c r="H58" s="386">
        <f t="shared" ref="H58:I63" si="14">+F58</f>
        <v>0</v>
      </c>
      <c r="I58" s="386">
        <f t="shared" si="14"/>
        <v>0</v>
      </c>
      <c r="J58" s="386">
        <v>0</v>
      </c>
      <c r="K58" s="386">
        <v>0</v>
      </c>
    </row>
    <row r="59" spans="2:12" s="418" customFormat="1" ht="15.65" customHeight="1" x14ac:dyDescent="0.25">
      <c r="B59" s="418">
        <v>227</v>
      </c>
      <c r="C59" s="462" t="str">
        <f>VLOOKUP(B59,Plan!A:B,2,0)</f>
        <v>Provisión Honorarios Cali</v>
      </c>
      <c r="D59" s="463">
        <f>SUMIF('Diario Adm'!$C:$C,$B59,'Diario Adm'!F:F)+SUMIF('Diario Cali'!$C:$C,$B59,'Diario Cali'!F:F)</f>
        <v>438983</v>
      </c>
      <c r="E59" s="463">
        <f>SUMIF('Diario Adm'!$C:$C,$B59,'Diario Adm'!G:G)+SUMIF('Diario Cali'!$C:$C,$B59,'Diario Cali'!G:G)</f>
        <v>438983</v>
      </c>
      <c r="F59" s="463">
        <f t="shared" si="9"/>
        <v>0</v>
      </c>
      <c r="G59" s="463">
        <f t="shared" si="10"/>
        <v>0</v>
      </c>
      <c r="H59" s="463">
        <f t="shared" si="14"/>
        <v>0</v>
      </c>
      <c r="I59" s="463">
        <f t="shared" si="14"/>
        <v>0</v>
      </c>
      <c r="J59" s="463">
        <v>0</v>
      </c>
      <c r="K59" s="463">
        <v>0</v>
      </c>
    </row>
    <row r="60" spans="2:12" x14ac:dyDescent="0.25">
      <c r="B60">
        <v>228</v>
      </c>
      <c r="C60" s="159" t="str">
        <f>VLOOKUP(B60,Plan!A:B,2,0)</f>
        <v>Proveedores CALI</v>
      </c>
      <c r="D60" s="386">
        <f>SUMIF('Diario Adm'!$C:$C,$B60,'Diario Adm'!F:F)+SUMIF('Diario Cali'!$C:$C,$B60,'Diario Cali'!F:F)</f>
        <v>1691102928</v>
      </c>
      <c r="E60" s="386">
        <f>SUMIF('Diario Adm'!$C:$C,$B60,'Diario Adm'!G:G)+SUMIF('Diario Cali'!$C:$C,$B60,'Diario Cali'!G:G)</f>
        <v>1691102928</v>
      </c>
      <c r="F60" s="386">
        <f>IF(D60&gt;E60,D60-E60,0)</f>
        <v>0</v>
      </c>
      <c r="G60" s="386">
        <f>IF(E60&gt;D60,E60-D60,0)</f>
        <v>0</v>
      </c>
      <c r="H60" s="386">
        <f t="shared" ref="H60:I62" si="15">+F60</f>
        <v>0</v>
      </c>
      <c r="I60" s="386">
        <f t="shared" si="15"/>
        <v>0</v>
      </c>
      <c r="J60" s="386">
        <v>0</v>
      </c>
      <c r="K60" s="386">
        <v>0</v>
      </c>
    </row>
    <row r="61" spans="2:12" s="418" customFormat="1" x14ac:dyDescent="0.25">
      <c r="B61" s="418">
        <v>229</v>
      </c>
      <c r="C61" s="462" t="str">
        <f>VLOOKUP(B61,Plan!A:B,2,0)</f>
        <v>Provisiones Administración</v>
      </c>
      <c r="D61" s="463">
        <f>SUMIF('Diario Adm'!$C:$C,$B61,'Diario Adm'!F:F)+SUMIF('Diario Cali'!$C:$C,$B61,'Diario Cali'!F:F)</f>
        <v>4919293</v>
      </c>
      <c r="E61" s="463">
        <f>SUMIF('Diario Adm'!$C:$C,$B61,'Diario Adm'!G:G)+SUMIF('Diario Cali'!$C:$C,$B61,'Diario Cali'!G:G)</f>
        <v>6394293</v>
      </c>
      <c r="F61" s="463">
        <f>IF(D61&gt;E61,D61-E61,0)</f>
        <v>0</v>
      </c>
      <c r="G61" s="463">
        <f>IF(E61&gt;D61,E61-D61,0)</f>
        <v>1475000</v>
      </c>
      <c r="H61" s="463">
        <f t="shared" si="15"/>
        <v>0</v>
      </c>
      <c r="I61" s="463">
        <f t="shared" si="15"/>
        <v>1475000</v>
      </c>
      <c r="J61" s="463">
        <v>0</v>
      </c>
      <c r="K61" s="463">
        <v>0</v>
      </c>
    </row>
    <row r="62" spans="2:12" s="418" customFormat="1" x14ac:dyDescent="0.25">
      <c r="B62" s="418">
        <v>230</v>
      </c>
      <c r="C62" s="462" t="str">
        <f>VLOOKUP(B62,Plan!A:B,2,0)</f>
        <v>Proveedores Administración</v>
      </c>
      <c r="D62" s="463">
        <f>SUMIF('Diario Adm'!$C:$C,$B62,'Diario Adm'!F:F)+SUMIF('Diario Cali'!$C:$C,$B62,'Diario Cali'!F:F)</f>
        <v>535500</v>
      </c>
      <c r="E62" s="463">
        <f>SUMIF('Diario Adm'!$C:$C,$B62,'Diario Adm'!G:G)+SUMIF('Diario Cali'!$C:$C,$B62,'Diario Cali'!G:G)</f>
        <v>535500</v>
      </c>
      <c r="F62" s="463">
        <f>IF(D62&gt;E62,D62-E62,0)</f>
        <v>0</v>
      </c>
      <c r="G62" s="463">
        <f>IF(E62&gt;D62,E62-D62,0)</f>
        <v>0</v>
      </c>
      <c r="H62" s="463">
        <f t="shared" si="15"/>
        <v>0</v>
      </c>
      <c r="I62" s="463">
        <f t="shared" si="15"/>
        <v>0</v>
      </c>
      <c r="J62" s="463">
        <v>0</v>
      </c>
      <c r="K62" s="463">
        <v>0</v>
      </c>
      <c r="L62" s="418" t="s">
        <v>2121</v>
      </c>
    </row>
    <row r="63" spans="2:12" ht="14.45" customHeight="1" x14ac:dyDescent="0.25">
      <c r="B63">
        <v>231</v>
      </c>
      <c r="C63" s="159" t="str">
        <f>VLOOKUP(B63,Plan!A:B,2,0)</f>
        <v xml:space="preserve"> Fondos Pastoral Social</v>
      </c>
      <c r="D63" s="386">
        <f>SUMIF('Diario Adm'!$C:$C,$B63,'Diario Adm'!F:F)+SUMIF('Diario Cali'!$C:$C,$B63,'Diario Cali'!F:F)</f>
        <v>2076559</v>
      </c>
      <c r="E63" s="386">
        <f>SUMIF('Diario Adm'!$C:$C,$B63,'Diario Adm'!G:G)+SUMIF('Diario Cali'!$C:$C,$B63,'Diario Cali'!G:G)</f>
        <v>3664054</v>
      </c>
      <c r="F63" s="386">
        <f t="shared" si="9"/>
        <v>0</v>
      </c>
      <c r="G63" s="386">
        <f t="shared" si="10"/>
        <v>1587495</v>
      </c>
      <c r="H63" s="386">
        <f t="shared" si="14"/>
        <v>0</v>
      </c>
      <c r="I63" s="386">
        <f t="shared" si="14"/>
        <v>1587495</v>
      </c>
      <c r="J63" s="386">
        <v>0</v>
      </c>
      <c r="K63" s="386">
        <v>0</v>
      </c>
      <c r="L63" s="155"/>
    </row>
    <row r="64" spans="2:12" ht="14.45" customHeight="1" x14ac:dyDescent="0.25">
      <c r="B64">
        <v>233</v>
      </c>
      <c r="C64" s="159" t="str">
        <f>VLOOKUP(B64,Plan!A:B,2,0)</f>
        <v>Otras Provisiones (Proyecto Especificos)</v>
      </c>
      <c r="D64" s="386">
        <f>SUMIF('Diario Adm'!$C:$C,$B64,'Diario Adm'!F:F)+SUMIF('Diario Cali'!$C:$C,$B64,'Diario Cali'!F:F)</f>
        <v>0</v>
      </c>
      <c r="E64" s="386">
        <f>SUMIF('Diario Adm'!$C:$C,$B64,'Diario Adm'!G:G)+SUMIF('Diario Cali'!$C:$C,$B64,'Diario Cali'!G:G)</f>
        <v>5908333</v>
      </c>
      <c r="F64" s="386">
        <f t="shared" ref="F64" si="16">IF(D64&gt;E64,D64-E64,0)</f>
        <v>0</v>
      </c>
      <c r="G64" s="386">
        <f t="shared" ref="G64" si="17">IF(E64&gt;D64,E64-D64,0)</f>
        <v>5908333</v>
      </c>
      <c r="H64" s="386">
        <f t="shared" ref="H64" si="18">+F64</f>
        <v>0</v>
      </c>
      <c r="I64" s="386">
        <f t="shared" ref="I64" si="19">+G64</f>
        <v>5908333</v>
      </c>
      <c r="J64" s="386">
        <v>0</v>
      </c>
      <c r="K64" s="386">
        <v>0</v>
      </c>
      <c r="L64" s="155"/>
    </row>
    <row r="65" spans="2:11" x14ac:dyDescent="0.25">
      <c r="B65">
        <v>300</v>
      </c>
      <c r="C65" s="159" t="str">
        <f>VLOOKUP(B65,Plan!A:B,2,0)</f>
        <v>Capital Administración</v>
      </c>
      <c r="D65" s="386">
        <f>SUMIF('Diario Adm'!$C:$C,$B65,'Diario Adm'!F:F)+SUMIF('Diario Cali'!$C:$C,$B65,'Diario Cali'!F:F)</f>
        <v>0</v>
      </c>
      <c r="E65" s="386">
        <f>SUMIF('Diario Adm'!$C:$C,$B65,'Diario Adm'!G:G)+SUMIF('Diario Cali'!$C:$C,$B65,'Diario Cali'!G:G)</f>
        <v>11530679</v>
      </c>
      <c r="F65" s="386">
        <f t="shared" si="9"/>
        <v>0</v>
      </c>
      <c r="G65" s="386">
        <f t="shared" si="10"/>
        <v>11530679</v>
      </c>
      <c r="H65" s="386">
        <f t="shared" ref="H65:I68" si="20">+F65</f>
        <v>0</v>
      </c>
      <c r="I65" s="386">
        <f t="shared" si="20"/>
        <v>11530679</v>
      </c>
      <c r="J65" s="386">
        <v>0</v>
      </c>
      <c r="K65" s="386">
        <v>0</v>
      </c>
    </row>
    <row r="66" spans="2:11" x14ac:dyDescent="0.25">
      <c r="B66">
        <v>301</v>
      </c>
      <c r="C66" s="159" t="str">
        <f>VLOOKUP(B66,Plan!A:B,2,0)</f>
        <v>Capital Cali</v>
      </c>
      <c r="D66" s="386">
        <f>SUMIF('Diario Adm'!$C:$C,$B66,'Diario Adm'!F:F)+SUMIF('Diario Cali'!$C:$C,$B66,'Diario Cali'!F:F)</f>
        <v>0</v>
      </c>
      <c r="E66" s="386">
        <f>SUMIF('Diario Adm'!$C:$C,$B66,'Diario Adm'!G:G)+SUMIF('Diario Cali'!$C:$C,$B66,'Diario Cali'!G:G)</f>
        <v>684178804</v>
      </c>
      <c r="F66" s="386">
        <f t="shared" si="9"/>
        <v>0</v>
      </c>
      <c r="G66" s="386">
        <f t="shared" si="10"/>
        <v>684178804</v>
      </c>
      <c r="H66" s="386">
        <f t="shared" si="20"/>
        <v>0</v>
      </c>
      <c r="I66" s="386">
        <f t="shared" si="20"/>
        <v>684178804</v>
      </c>
      <c r="J66" s="386">
        <v>0</v>
      </c>
      <c r="K66" s="386">
        <v>0</v>
      </c>
    </row>
    <row r="67" spans="2:11" x14ac:dyDescent="0.25">
      <c r="B67">
        <v>310</v>
      </c>
      <c r="C67" s="159" t="str">
        <f>VLOOKUP(B67,Plan!A:B,2,0)</f>
        <v>Resultado Acumulado Cali</v>
      </c>
      <c r="D67" s="386">
        <f>SUMIF('Diario Adm'!$C:$C,$B67,'Diario Adm'!F:F)+SUMIF('Diario Cali'!$C:$C,$B67,'Diario Cali'!F:F)</f>
        <v>0</v>
      </c>
      <c r="E67" s="386">
        <f>SUMIF('Diario Adm'!$C:$C,$B67,'Diario Adm'!G:G)+SUMIF('Diario Cali'!$C:$C,$B67,'Diario Cali'!G:G)</f>
        <v>2338583640</v>
      </c>
      <c r="F67" s="386">
        <f t="shared" si="9"/>
        <v>0</v>
      </c>
      <c r="G67" s="386">
        <f t="shared" si="10"/>
        <v>2338583640</v>
      </c>
      <c r="H67" s="386">
        <f t="shared" si="20"/>
        <v>0</v>
      </c>
      <c r="I67" s="386">
        <f t="shared" si="20"/>
        <v>2338583640</v>
      </c>
      <c r="J67" s="386">
        <v>0</v>
      </c>
      <c r="K67" s="386">
        <v>0</v>
      </c>
    </row>
    <row r="68" spans="2:11" x14ac:dyDescent="0.25">
      <c r="B68">
        <v>311</v>
      </c>
      <c r="C68" s="159" t="str">
        <f>VLOOKUP(B68,Plan!A:B,2,0)</f>
        <v>Resultado Acumulado Adm.</v>
      </c>
      <c r="D68" s="386">
        <f>SUMIF('Diario Adm'!$C:$C,$B68,'Diario Adm'!F:F)+SUMIF('Diario Cali'!$C:$C,$B68,'Diario Cali'!F:F)</f>
        <v>118607614</v>
      </c>
      <c r="E68" s="386">
        <f>SUMIF('Diario Adm'!$C:$C,$B68,'Diario Adm'!G:G)+SUMIF('Diario Cali'!$C:$C,$B68,'Diario Cali'!G:G)</f>
        <v>0</v>
      </c>
      <c r="F68" s="386">
        <f t="shared" si="9"/>
        <v>118607614</v>
      </c>
      <c r="G68" s="386">
        <f t="shared" si="10"/>
        <v>0</v>
      </c>
      <c r="H68" s="386">
        <f t="shared" si="20"/>
        <v>118607614</v>
      </c>
      <c r="I68" s="386">
        <f t="shared" si="20"/>
        <v>0</v>
      </c>
      <c r="J68" s="386">
        <v>0</v>
      </c>
      <c r="K68" s="386">
        <v>0</v>
      </c>
    </row>
    <row r="69" spans="2:11" x14ac:dyDescent="0.25">
      <c r="B69" s="162">
        <v>3110</v>
      </c>
      <c r="C69" s="159" t="str">
        <f>VLOOKUP(B69,Plan!A:B,2,0)</f>
        <v>Colectas Normales</v>
      </c>
      <c r="D69" s="386">
        <f>SUMIF('Diario Adm'!$C:$C,$B69,'Diario Adm'!F:F)+SUMIF('Diario Cali'!$C:$C,$B69,'Diario Cali'!F:F)</f>
        <v>0</v>
      </c>
      <c r="E69" s="386">
        <f>SUMIF('Diario Adm'!$C:$C,$B69,'Diario Adm'!G:G)+SUMIF('Diario Cali'!$C:$C,$B69,'Diario Cali'!G:G)</f>
        <v>51641517</v>
      </c>
      <c r="F69" s="386">
        <f t="shared" ref="F69:F110" si="21">IF(D69&gt;E69,D69-E69,0)</f>
        <v>0</v>
      </c>
      <c r="G69" s="386">
        <f t="shared" ref="G69:G110" si="22">IF(E69&gt;D69,E69-D69,0)</f>
        <v>51641517</v>
      </c>
      <c r="H69" s="386">
        <v>0</v>
      </c>
      <c r="I69" s="386">
        <v>0</v>
      </c>
      <c r="J69" s="386">
        <f>+F69</f>
        <v>0</v>
      </c>
      <c r="K69" s="386">
        <f>+G69</f>
        <v>51641517</v>
      </c>
    </row>
    <row r="70" spans="2:11" x14ac:dyDescent="0.25">
      <c r="B70" s="162">
        <v>3120</v>
      </c>
      <c r="C70" s="159" t="str">
        <f>VLOOKUP(B70,Plan!A:B,2,0)</f>
        <v>Colectas Especiales</v>
      </c>
      <c r="D70" s="386">
        <f>SUMIF('Diario Adm'!$C:$C,$B70,'Diario Adm'!F:F)+SUMIF('Diario Cali'!$C:$C,$B70,'Diario Cali'!F:F)</f>
        <v>0</v>
      </c>
      <c r="E70" s="386">
        <f>SUMIF('Diario Adm'!$C:$C,$B70,'Diario Adm'!G:G)+SUMIF('Diario Cali'!$C:$C,$B70,'Diario Cali'!G:G)</f>
        <v>253000</v>
      </c>
      <c r="F70" s="386">
        <f t="shared" si="21"/>
        <v>0</v>
      </c>
      <c r="G70" s="386">
        <f t="shared" si="22"/>
        <v>253000</v>
      </c>
      <c r="H70" s="386">
        <v>0</v>
      </c>
      <c r="I70" s="386">
        <v>0</v>
      </c>
      <c r="J70" s="386">
        <f t="shared" ref="J70:J139" si="23">+F70</f>
        <v>0</v>
      </c>
      <c r="K70" s="386">
        <f t="shared" ref="K70:K139" si="24">+G70</f>
        <v>253000</v>
      </c>
    </row>
    <row r="71" spans="2:11" x14ac:dyDescent="0.25">
      <c r="B71" s="162">
        <v>3210</v>
      </c>
      <c r="C71" s="159" t="str">
        <f>VLOOKUP(B71,Plan!A:B,2,0)</f>
        <v>Donacion Construccion</v>
      </c>
      <c r="D71" s="386">
        <f>SUMIF('Diario Adm'!$C:$C,$B71,'Diario Adm'!F:F)+SUMIF('Diario Cali'!$C:$C,$B71,'Diario Cali'!F:F)</f>
        <v>30106860</v>
      </c>
      <c r="E71" s="386">
        <f>SUMIF('Diario Adm'!$C:$C,$B71,'Diario Adm'!G:G)+SUMIF('Diario Cali'!$C:$C,$B71,'Diario Cali'!G:G)</f>
        <v>415092422</v>
      </c>
      <c r="F71" s="386">
        <f t="shared" si="21"/>
        <v>0</v>
      </c>
      <c r="G71" s="386">
        <f t="shared" si="22"/>
        <v>384985562</v>
      </c>
      <c r="H71" s="386">
        <v>0</v>
      </c>
      <c r="I71" s="386">
        <v>0</v>
      </c>
      <c r="J71" s="386">
        <f t="shared" si="23"/>
        <v>0</v>
      </c>
      <c r="K71" s="386">
        <f t="shared" si="24"/>
        <v>384985562</v>
      </c>
    </row>
    <row r="72" spans="2:11" x14ac:dyDescent="0.25">
      <c r="B72" s="162">
        <v>3220</v>
      </c>
      <c r="C72" s="159" t="str">
        <f>VLOOKUP(B72,Plan!A:B,2,0)</f>
        <v>Otras Donaciones</v>
      </c>
      <c r="D72" s="386">
        <f>SUMIF('Diario Adm'!$C:$C,$B72,'Diario Adm'!F:F)+SUMIF('Diario Cali'!$C:$C,$B72,'Diario Cali'!F:F)</f>
        <v>0</v>
      </c>
      <c r="E72" s="386">
        <f>SUMIF('Diario Adm'!$C:$C,$B72,'Diario Adm'!G:G)+SUMIF('Diario Cali'!$C:$C,$B72,'Diario Cali'!G:G)</f>
        <v>0</v>
      </c>
      <c r="F72" s="386">
        <f t="shared" si="21"/>
        <v>0</v>
      </c>
      <c r="G72" s="386">
        <f t="shared" si="22"/>
        <v>0</v>
      </c>
      <c r="H72" s="386">
        <v>0</v>
      </c>
      <c r="I72" s="386">
        <v>0</v>
      </c>
      <c r="J72" s="386">
        <f t="shared" si="23"/>
        <v>0</v>
      </c>
      <c r="K72" s="386">
        <f t="shared" si="24"/>
        <v>0</v>
      </c>
    </row>
    <row r="73" spans="2:11" x14ac:dyDescent="0.25">
      <c r="B73" s="162">
        <v>3230</v>
      </c>
      <c r="C73" s="159" t="str">
        <f>VLOOKUP(B73,Plan!A:B,2,0)</f>
        <v>Aportes STM</v>
      </c>
      <c r="D73" s="386">
        <f>SUMIF('Diario Adm'!$C:$C,$B73,'Diario Adm'!F:F)+SUMIF('Diario Cali'!$C:$C,$B73,'Diario Cali'!F:F)</f>
        <v>0</v>
      </c>
      <c r="E73" s="386">
        <f>SUMIF('Diario Adm'!$C:$C,$B73,'Diario Adm'!G:G)+SUMIF('Diario Cali'!$C:$C,$B73,'Diario Cali'!G:G)</f>
        <v>0</v>
      </c>
      <c r="F73" s="386">
        <f>IF(D73&gt;E73,D73-E73,0)</f>
        <v>0</v>
      </c>
      <c r="G73" s="386">
        <f>IF(E73&gt;D73,E73-D73,0)</f>
        <v>0</v>
      </c>
      <c r="H73" s="386">
        <v>0</v>
      </c>
      <c r="I73" s="386">
        <v>0</v>
      </c>
      <c r="J73" s="386">
        <f>+F73</f>
        <v>0</v>
      </c>
      <c r="K73" s="386">
        <f>+G73</f>
        <v>0</v>
      </c>
    </row>
    <row r="74" spans="2:11" x14ac:dyDescent="0.25">
      <c r="B74" s="162">
        <v>3310</v>
      </c>
      <c r="C74" s="159" t="str">
        <f>VLOOKUP(B74,Plan!A:B,2,0)</f>
        <v>Librería</v>
      </c>
      <c r="D74" s="386">
        <f>SUMIF('Diario Adm'!$C:$C,$B74,'Diario Adm'!F:F)+SUMIF('Diario Cali'!$C:$C,$B74,'Diario Cali'!F:F)</f>
        <v>0</v>
      </c>
      <c r="E74" s="386">
        <f>SUMIF('Diario Adm'!$C:$C,$B74,'Diario Adm'!G:G)+SUMIF('Diario Cali'!$C:$C,$B74,'Diario Cali'!G:G)</f>
        <v>0</v>
      </c>
      <c r="F74" s="386">
        <f t="shared" si="21"/>
        <v>0</v>
      </c>
      <c r="G74" s="386">
        <f t="shared" si="22"/>
        <v>0</v>
      </c>
      <c r="H74" s="386">
        <v>0</v>
      </c>
      <c r="I74" s="386">
        <v>0</v>
      </c>
      <c r="J74" s="386">
        <f t="shared" si="23"/>
        <v>0</v>
      </c>
      <c r="K74" s="386">
        <f t="shared" si="24"/>
        <v>0</v>
      </c>
    </row>
    <row r="75" spans="2:11" x14ac:dyDescent="0.25">
      <c r="B75" s="162">
        <v>3320</v>
      </c>
      <c r="C75" s="159" t="str">
        <f>VLOOKUP(B75,Plan!A:B,2,0)</f>
        <v>Matrimonios</v>
      </c>
      <c r="D75" s="386">
        <f>SUMIF('Diario Adm'!$C:$C,$B75,'Diario Adm'!F:F)+SUMIF('Diario Cali'!$C:$C,$B75,'Diario Cali'!F:F)</f>
        <v>0</v>
      </c>
      <c r="E75" s="386">
        <f>SUMIF('Diario Adm'!$C:$C,$B75,'Diario Adm'!G:G)+SUMIF('Diario Cali'!$C:$C,$B75,'Diario Cali'!G:G)</f>
        <v>433379</v>
      </c>
      <c r="F75" s="386">
        <f t="shared" si="21"/>
        <v>0</v>
      </c>
      <c r="G75" s="386">
        <f t="shared" si="22"/>
        <v>433379</v>
      </c>
      <c r="H75" s="386">
        <v>0</v>
      </c>
      <c r="I75" s="386">
        <v>0</v>
      </c>
      <c r="J75" s="386">
        <f t="shared" si="23"/>
        <v>0</v>
      </c>
      <c r="K75" s="386">
        <f t="shared" si="24"/>
        <v>433379</v>
      </c>
    </row>
    <row r="76" spans="2:11" x14ac:dyDescent="0.25">
      <c r="B76" s="162">
        <v>3350</v>
      </c>
      <c r="C76" s="159" t="str">
        <f>VLOOKUP(B76,Plan!A:B,2,0)</f>
        <v>Bautizos</v>
      </c>
      <c r="D76" s="386">
        <f>SUMIF('Diario Adm'!$C:$C,$B76,'Diario Adm'!F:F)+SUMIF('Diario Cali'!$C:$C,$B76,'Diario Cali'!F:F)</f>
        <v>0</v>
      </c>
      <c r="E76" s="386">
        <f>SUMIF('Diario Adm'!$C:$C,$B76,'Diario Adm'!G:G)+SUMIF('Diario Cali'!$C:$C,$B76,'Diario Cali'!G:G)</f>
        <v>1536631</v>
      </c>
      <c r="F76" s="386">
        <f t="shared" si="21"/>
        <v>0</v>
      </c>
      <c r="G76" s="386">
        <f t="shared" si="22"/>
        <v>1536631</v>
      </c>
      <c r="H76" s="386">
        <v>0</v>
      </c>
      <c r="I76" s="386">
        <v>0</v>
      </c>
      <c r="J76" s="386">
        <f t="shared" si="23"/>
        <v>0</v>
      </c>
      <c r="K76" s="386">
        <f t="shared" si="24"/>
        <v>1536631</v>
      </c>
    </row>
    <row r="77" spans="2:11" x14ac:dyDescent="0.25">
      <c r="B77" s="162">
        <v>3360</v>
      </c>
      <c r="C77" s="159" t="str">
        <f>VLOOKUP(B77,Plan!A:B,2,0)</f>
        <v>Otros</v>
      </c>
      <c r="D77" s="386">
        <f>SUMIF('Diario Adm'!$C:$C,$B77,'Diario Adm'!F:F)+SUMIF('Diario Cali'!$C:$C,$B77,'Diario Cali'!F:F)</f>
        <v>1160000</v>
      </c>
      <c r="E77" s="386">
        <f>SUMIF('Diario Adm'!$C:$C,$B77,'Diario Adm'!G:G)+SUMIF('Diario Cali'!$C:$C,$B77,'Diario Cali'!G:G)</f>
        <v>3333000</v>
      </c>
      <c r="F77" s="386">
        <f>IF(D77&gt;E77,D77-E77,0)</f>
        <v>0</v>
      </c>
      <c r="G77" s="386">
        <f>IF(E77&gt;D77,E77-D77,0)</f>
        <v>2173000</v>
      </c>
      <c r="H77" s="386">
        <v>0</v>
      </c>
      <c r="I77" s="386">
        <v>0</v>
      </c>
      <c r="J77" s="386">
        <f>+F77</f>
        <v>0</v>
      </c>
      <c r="K77" s="386">
        <f>+G77</f>
        <v>2173000</v>
      </c>
    </row>
    <row r="78" spans="2:11" x14ac:dyDescent="0.25">
      <c r="B78" s="162">
        <v>3340</v>
      </c>
      <c r="C78" s="159" t="str">
        <f>VLOOKUP(B78,Plan!A:B,2,0)</f>
        <v>Misas</v>
      </c>
      <c r="D78" s="386">
        <f>SUMIF('Diario Adm'!$C:$C,$B78,'Diario Adm'!F:F)+SUMIF('Diario Cali'!$C:$C,$B78,'Diario Cali'!F:F)</f>
        <v>0</v>
      </c>
      <c r="E78" s="386">
        <f>SUMIF('Diario Adm'!$C:$C,$B78,'Diario Adm'!G:G)+SUMIF('Diario Cali'!$C:$C,$B78,'Diario Cali'!G:G)</f>
        <v>1504863</v>
      </c>
      <c r="F78" s="386">
        <f t="shared" si="21"/>
        <v>0</v>
      </c>
      <c r="G78" s="386">
        <f t="shared" si="22"/>
        <v>1504863</v>
      </c>
      <c r="H78" s="386">
        <v>0</v>
      </c>
      <c r="I78" s="386">
        <v>0</v>
      </c>
      <c r="J78" s="386">
        <f t="shared" si="23"/>
        <v>0</v>
      </c>
      <c r="K78" s="386">
        <f t="shared" si="24"/>
        <v>1504863</v>
      </c>
    </row>
    <row r="79" spans="2:11" x14ac:dyDescent="0.25">
      <c r="B79" s="162">
        <v>3410</v>
      </c>
      <c r="C79" s="159" t="str">
        <f>VLOOKUP(B79,Plan!A:B,2,0)</f>
        <v>Pastoral Familiar</v>
      </c>
      <c r="D79" s="386">
        <f>SUMIF('Diario Adm'!$C:$C,$B79,'Diario Adm'!F:F)+SUMIF('Diario Cali'!$C:$C,$B79,'Diario Cali'!F:F)</f>
        <v>0</v>
      </c>
      <c r="E79" s="386">
        <f>SUMIF('Diario Adm'!$C:$C,$B79,'Diario Adm'!G:G)+SUMIF('Diario Cali'!$C:$C,$B79,'Diario Cali'!G:G)</f>
        <v>0</v>
      </c>
      <c r="F79" s="386">
        <f t="shared" si="21"/>
        <v>0</v>
      </c>
      <c r="G79" s="386">
        <f t="shared" si="22"/>
        <v>0</v>
      </c>
      <c r="H79" s="386">
        <v>0</v>
      </c>
      <c r="I79" s="386">
        <v>0</v>
      </c>
      <c r="J79" s="386">
        <f t="shared" si="23"/>
        <v>0</v>
      </c>
      <c r="K79" s="386">
        <f t="shared" si="24"/>
        <v>0</v>
      </c>
    </row>
    <row r="80" spans="2:11" x14ac:dyDescent="0.25">
      <c r="B80" s="162">
        <v>3420</v>
      </c>
      <c r="C80" s="159" t="str">
        <f>VLOOKUP(B80,Plan!A:B,2,0)</f>
        <v>Pastoral Novios</v>
      </c>
      <c r="D80" s="386">
        <f>SUMIF('Diario Adm'!$C:$C,$B80,'Diario Adm'!F:F)+SUMIF('Diario Cali'!$C:$C,$B80,'Diario Cali'!F:F)</f>
        <v>0</v>
      </c>
      <c r="E80" s="386">
        <f>SUMIF('Diario Adm'!$C:$C,$B80,'Diario Adm'!G:G)+SUMIF('Diario Cali'!$C:$C,$B80,'Diario Cali'!G:G)</f>
        <v>0</v>
      </c>
      <c r="F80" s="386">
        <f t="shared" si="21"/>
        <v>0</v>
      </c>
      <c r="G80" s="386">
        <f t="shared" si="22"/>
        <v>0</v>
      </c>
      <c r="H80" s="386">
        <v>0</v>
      </c>
      <c r="I80" s="386">
        <v>0</v>
      </c>
      <c r="J80" s="386">
        <f t="shared" si="23"/>
        <v>0</v>
      </c>
      <c r="K80" s="386">
        <f t="shared" si="24"/>
        <v>0</v>
      </c>
    </row>
    <row r="81" spans="2:11" x14ac:dyDescent="0.25">
      <c r="B81" s="162">
        <v>3430</v>
      </c>
      <c r="C81" s="159" t="str">
        <f>VLOOKUP(B81,Plan!A:B,2,0)</f>
        <v>Pastoral Bautismal</v>
      </c>
      <c r="D81" s="386">
        <f>SUMIF('Diario Adm'!$C:$C,$B81,'Diario Adm'!F:F)+SUMIF('Diario Cali'!$C:$C,$B81,'Diario Cali'!F:F)</f>
        <v>0</v>
      </c>
      <c r="E81" s="386">
        <f>SUMIF('Diario Adm'!$C:$C,$B81,'Diario Adm'!G:G)+SUMIF('Diario Cali'!$C:$C,$B81,'Diario Cali'!G:G)</f>
        <v>0</v>
      </c>
      <c r="F81" s="386">
        <f t="shared" si="21"/>
        <v>0</v>
      </c>
      <c r="G81" s="386">
        <f t="shared" si="22"/>
        <v>0</v>
      </c>
      <c r="H81" s="386">
        <v>0</v>
      </c>
      <c r="I81" s="386">
        <v>0</v>
      </c>
      <c r="J81" s="386">
        <f t="shared" si="23"/>
        <v>0</v>
      </c>
      <c r="K81" s="386">
        <f t="shared" si="24"/>
        <v>0</v>
      </c>
    </row>
    <row r="82" spans="2:11" x14ac:dyDescent="0.25">
      <c r="B82" s="162">
        <v>3440</v>
      </c>
      <c r="C82" s="159" t="str">
        <f>VLOOKUP(B82,Plan!A:B,2,0)</f>
        <v>Pastoral Liturgia</v>
      </c>
      <c r="D82" s="386">
        <f>SUMIF('Diario Adm'!$C:$C,$B82,'Diario Adm'!F:F)+SUMIF('Diario Cali'!$C:$C,$B82,'Diario Cali'!F:F)</f>
        <v>0</v>
      </c>
      <c r="E82" s="386">
        <f>SUMIF('Diario Adm'!$C:$C,$B82,'Diario Adm'!G:G)+SUMIF('Diario Cali'!$C:$C,$B82,'Diario Cali'!G:G)</f>
        <v>0</v>
      </c>
      <c r="F82" s="386">
        <f t="shared" si="21"/>
        <v>0</v>
      </c>
      <c r="G82" s="386">
        <f t="shared" si="22"/>
        <v>0</v>
      </c>
      <c r="H82" s="386">
        <v>0</v>
      </c>
      <c r="I82" s="386">
        <v>0</v>
      </c>
      <c r="J82" s="386">
        <f t="shared" si="23"/>
        <v>0</v>
      </c>
      <c r="K82" s="386">
        <f t="shared" si="24"/>
        <v>0</v>
      </c>
    </row>
    <row r="83" spans="2:11" x14ac:dyDescent="0.25">
      <c r="B83" s="162">
        <v>3450</v>
      </c>
      <c r="C83" s="159" t="str">
        <f>VLOOKUP(B83,Plan!A:B,2,0)</f>
        <v>Pastoral Social</v>
      </c>
      <c r="D83" s="386">
        <f>SUMIF('Diario Adm'!$C:$C,$B83,'Diario Adm'!F:F)+SUMIF('Diario Cali'!$C:$C,$B83,'Diario Cali'!F:F)</f>
        <v>0</v>
      </c>
      <c r="E83" s="386">
        <f>SUMIF('Diario Adm'!$C:$C,$B83,'Diario Adm'!G:G)+SUMIF('Diario Cali'!$C:$C,$B83,'Diario Cali'!G:G)</f>
        <v>10521178</v>
      </c>
      <c r="F83" s="386">
        <f t="shared" si="21"/>
        <v>0</v>
      </c>
      <c r="G83" s="386">
        <f t="shared" si="22"/>
        <v>10521178</v>
      </c>
      <c r="H83" s="386">
        <v>0</v>
      </c>
      <c r="I83" s="386">
        <v>0</v>
      </c>
      <c r="J83" s="386">
        <f t="shared" si="23"/>
        <v>0</v>
      </c>
      <c r="K83" s="386">
        <f t="shared" si="24"/>
        <v>10521178</v>
      </c>
    </row>
    <row r="84" spans="2:11" x14ac:dyDescent="0.25">
      <c r="B84" s="165">
        <v>3451</v>
      </c>
      <c r="C84" s="159" t="str">
        <f>VLOOKUP(B84,Plan!A:B,2,0)</f>
        <v>Ayuda Solidaria</v>
      </c>
      <c r="D84" s="386">
        <f>SUMIF('Diario Adm'!$C:$C,$B84,'Diario Adm'!F:F)+SUMIF('Diario Cali'!$C:$C,$B84,'Diario Cali'!F:F)</f>
        <v>0</v>
      </c>
      <c r="E84" s="386">
        <f>SUMIF('Diario Adm'!$C:$C,$B84,'Diario Adm'!G:G)+SUMIF('Diario Cali'!$C:$C,$B84,'Diario Cali'!G:G)</f>
        <v>0</v>
      </c>
      <c r="F84" s="386">
        <f t="shared" si="21"/>
        <v>0</v>
      </c>
      <c r="G84" s="386">
        <f t="shared" si="22"/>
        <v>0</v>
      </c>
      <c r="H84" s="386">
        <v>0</v>
      </c>
      <c r="I84" s="386">
        <v>0</v>
      </c>
      <c r="J84" s="386">
        <f t="shared" si="23"/>
        <v>0</v>
      </c>
      <c r="K84" s="386">
        <f t="shared" si="24"/>
        <v>0</v>
      </c>
    </row>
    <row r="85" spans="2:11" x14ac:dyDescent="0.25">
      <c r="B85" s="165">
        <v>3452</v>
      </c>
      <c r="C85" s="159" t="str">
        <f>VLOOKUP(B85,Plan!A:B,2,0)</f>
        <v>Becas</v>
      </c>
      <c r="D85" s="386">
        <f>SUMIF('Diario Adm'!$C:$C,$B85,'Diario Adm'!F:F)+SUMIF('Diario Cali'!$C:$C,$B85,'Diario Cali'!F:F)</f>
        <v>0</v>
      </c>
      <c r="E85" s="386">
        <f>SUMIF('Diario Adm'!$C:$C,$B85,'Diario Adm'!G:G)+SUMIF('Diario Cali'!$C:$C,$B85,'Diario Cali'!G:G)</f>
        <v>0</v>
      </c>
      <c r="F85" s="386">
        <f t="shared" si="21"/>
        <v>0</v>
      </c>
      <c r="G85" s="386">
        <f t="shared" si="22"/>
        <v>0</v>
      </c>
      <c r="H85" s="386">
        <v>0</v>
      </c>
      <c r="I85" s="386">
        <v>0</v>
      </c>
      <c r="J85" s="386">
        <f t="shared" si="23"/>
        <v>0</v>
      </c>
      <c r="K85" s="386">
        <f t="shared" si="24"/>
        <v>0</v>
      </c>
    </row>
    <row r="86" spans="2:11" x14ac:dyDescent="0.25">
      <c r="B86" s="165">
        <v>3453</v>
      </c>
      <c r="C86" s="159" t="str">
        <f>VLOOKUP(B86,Plan!A:B,2,0)</f>
        <v>Cajas de navidad</v>
      </c>
      <c r="D86" s="386">
        <f>SUMIF('Diario Adm'!$C:$C,$B86,'Diario Adm'!F:F)+SUMIF('Diario Cali'!$C:$C,$B86,'Diario Cali'!F:F)</f>
        <v>0</v>
      </c>
      <c r="E86" s="386">
        <f>SUMIF('Diario Adm'!$C:$C,$B86,'Diario Adm'!G:G)+SUMIF('Diario Cali'!$C:$C,$B86,'Diario Cali'!G:G)</f>
        <v>19683690</v>
      </c>
      <c r="F86" s="386">
        <f>IF(D86&gt;E86,D86-E86,0)</f>
        <v>0</v>
      </c>
      <c r="G86" s="386">
        <f>IF(E86&gt;D86,E86-D86,0)</f>
        <v>19683690</v>
      </c>
      <c r="H86" s="386">
        <v>0</v>
      </c>
      <c r="I86" s="386">
        <v>0</v>
      </c>
      <c r="J86" s="386">
        <f>+F86</f>
        <v>0</v>
      </c>
      <c r="K86" s="386">
        <f>+G86</f>
        <v>19683690</v>
      </c>
    </row>
    <row r="87" spans="2:11" x14ac:dyDescent="0.25">
      <c r="B87" s="162">
        <v>3460</v>
      </c>
      <c r="C87" s="159" t="str">
        <f>VLOOKUP(B87,Plan!A:B,2,0)</f>
        <v>Pastoral Salud</v>
      </c>
      <c r="D87" s="386">
        <f>SUMIF('Diario Adm'!$C:$C,$B87,'Diario Adm'!F:F)+SUMIF('Diario Cali'!$C:$C,$B87,'Diario Cali'!F:F)</f>
        <v>0</v>
      </c>
      <c r="E87" s="386">
        <f>SUMIF('Diario Adm'!$C:$C,$B87,'Diario Adm'!G:G)+SUMIF('Diario Cali'!$C:$C,$B87,'Diario Cali'!G:G)</f>
        <v>0</v>
      </c>
      <c r="F87" s="386">
        <f t="shared" si="21"/>
        <v>0</v>
      </c>
      <c r="G87" s="386">
        <f t="shared" si="22"/>
        <v>0</v>
      </c>
      <c r="H87" s="386">
        <v>0</v>
      </c>
      <c r="I87" s="386">
        <v>0</v>
      </c>
      <c r="J87" s="386">
        <f t="shared" si="23"/>
        <v>0</v>
      </c>
      <c r="K87" s="386">
        <f t="shared" si="24"/>
        <v>0</v>
      </c>
    </row>
    <row r="88" spans="2:11" x14ac:dyDescent="0.25">
      <c r="B88" s="162">
        <v>3470</v>
      </c>
      <c r="C88" s="159" t="str">
        <f>VLOOKUP(B88,Plan!A:B,2,0)</f>
        <v>Pastoral Juvenil</v>
      </c>
      <c r="D88" s="386">
        <f>SUMIF('Diario Adm'!$C:$C,$B88,'Diario Adm'!F:F)+SUMIF('Diario Cali'!$C:$C,$B88,'Diario Cali'!F:F)</f>
        <v>0</v>
      </c>
      <c r="E88" s="386">
        <f>SUMIF('Diario Adm'!$C:$C,$B88,'Diario Adm'!G:G)+SUMIF('Diario Cali'!$C:$C,$B88,'Diario Cali'!G:G)</f>
        <v>0</v>
      </c>
      <c r="F88" s="386">
        <f t="shared" si="21"/>
        <v>0</v>
      </c>
      <c r="G88" s="386">
        <f t="shared" si="22"/>
        <v>0</v>
      </c>
      <c r="H88" s="386">
        <v>0</v>
      </c>
      <c r="I88" s="386">
        <v>0</v>
      </c>
      <c r="J88" s="386">
        <f t="shared" si="23"/>
        <v>0</v>
      </c>
      <c r="K88" s="386">
        <f t="shared" si="24"/>
        <v>0</v>
      </c>
    </row>
    <row r="89" spans="2:11" x14ac:dyDescent="0.25">
      <c r="B89" s="162">
        <v>3480</v>
      </c>
      <c r="C89" s="159" t="str">
        <f>VLOOKUP(B89,Plan!A:B,2,0)</f>
        <v>Pastoral Comunicacional</v>
      </c>
      <c r="D89" s="386">
        <f>SUMIF('Diario Adm'!$C:$C,$B89,'Diario Adm'!F:F)+SUMIF('Diario Cali'!$C:$C,$B89,'Diario Cali'!F:F)</f>
        <v>0</v>
      </c>
      <c r="E89" s="386">
        <f>SUMIF('Diario Adm'!$C:$C,$B89,'Diario Adm'!G:G)+SUMIF('Diario Cali'!$C:$C,$B89,'Diario Cali'!G:G)</f>
        <v>0</v>
      </c>
      <c r="F89" s="386">
        <f t="shared" si="21"/>
        <v>0</v>
      </c>
      <c r="G89" s="386">
        <f t="shared" si="22"/>
        <v>0</v>
      </c>
      <c r="H89" s="386">
        <v>0</v>
      </c>
      <c r="I89" s="386">
        <v>0</v>
      </c>
      <c r="J89" s="386">
        <f t="shared" si="23"/>
        <v>0</v>
      </c>
      <c r="K89" s="386">
        <f t="shared" si="24"/>
        <v>0</v>
      </c>
    </row>
    <row r="90" spans="2:11" x14ac:dyDescent="0.25">
      <c r="B90" s="162">
        <v>3510</v>
      </c>
      <c r="C90" s="159" t="str">
        <f>VLOOKUP(B90,Plan!A:B,2,0)</f>
        <v>Venta activos</v>
      </c>
      <c r="D90" s="386">
        <f>SUMIF('Diario Adm'!$C:$C,$B90,'Diario Adm'!F:F)+SUMIF('Diario Cali'!$C:$C,$B90,'Diario Cali'!F:F)</f>
        <v>0</v>
      </c>
      <c r="E90" s="386">
        <f>SUMIF('Diario Adm'!$C:$C,$B90,'Diario Adm'!G:G)+SUMIF('Diario Cali'!$C:$C,$B90,'Diario Cali'!G:G)</f>
        <v>0</v>
      </c>
      <c r="F90" s="386">
        <f t="shared" si="21"/>
        <v>0</v>
      </c>
      <c r="G90" s="386">
        <f t="shared" si="22"/>
        <v>0</v>
      </c>
      <c r="H90" s="386">
        <v>0</v>
      </c>
      <c r="I90" s="386">
        <v>0</v>
      </c>
      <c r="J90" s="386">
        <f t="shared" si="23"/>
        <v>0</v>
      </c>
      <c r="K90" s="386">
        <f t="shared" si="24"/>
        <v>0</v>
      </c>
    </row>
    <row r="91" spans="2:11" x14ac:dyDescent="0.25">
      <c r="B91" s="162">
        <v>3520</v>
      </c>
      <c r="C91" s="159" t="str">
        <f>VLOOKUP(B91,Plan!A:B,2,0)</f>
        <v>Otros Ingreso</v>
      </c>
      <c r="D91" s="386">
        <f>SUMIF('Diario Adm'!$C:$C,$B91,'Diario Adm'!F:F)+SUMIF('Diario Cali'!$C:$C,$B91,'Diario Cali'!F:F)</f>
        <v>80000</v>
      </c>
      <c r="E91" s="386">
        <f>SUMIF('Diario Adm'!$C:$C,$B91,'Diario Adm'!G:G)+SUMIF('Diario Cali'!$C:$C,$B91,'Diario Cali'!G:G)</f>
        <v>1186719</v>
      </c>
      <c r="F91" s="386">
        <f t="shared" si="21"/>
        <v>0</v>
      </c>
      <c r="G91" s="386">
        <f t="shared" si="22"/>
        <v>1106719</v>
      </c>
      <c r="H91" s="386">
        <v>0</v>
      </c>
      <c r="I91" s="386">
        <v>0</v>
      </c>
      <c r="J91" s="386">
        <f t="shared" si="23"/>
        <v>0</v>
      </c>
      <c r="K91" s="386">
        <f t="shared" si="24"/>
        <v>1106719</v>
      </c>
    </row>
    <row r="92" spans="2:11" x14ac:dyDescent="0.25">
      <c r="B92" s="162">
        <v>3521</v>
      </c>
      <c r="C92" s="159" t="str">
        <f>VLOOKUP(B92,Plan!A:B,2,0)</f>
        <v>1% Administración</v>
      </c>
      <c r="D92" s="386">
        <f>SUMIF('Diario Adm'!$C:$C,$B92,'Diario Adm'!F:F)+SUMIF('Diario Cali'!$C:$C,$B92,'Diario Cali'!F:F)</f>
        <v>0</v>
      </c>
      <c r="E92" s="386">
        <f>SUMIF('Diario Adm'!$C:$C,$B92,'Diario Adm'!G:G)+SUMIF('Diario Cali'!$C:$C,$B92,'Diario Cali'!G:G)</f>
        <v>0</v>
      </c>
      <c r="F92" s="386">
        <f>IF(D92&gt;E92,D92-E92,0)</f>
        <v>0</v>
      </c>
      <c r="G92" s="386">
        <f>IF(E92&gt;D92,E92-D92,0)</f>
        <v>0</v>
      </c>
      <c r="H92" s="386">
        <v>0</v>
      </c>
      <c r="I92" s="386">
        <v>0</v>
      </c>
      <c r="J92" s="386">
        <f>+F92</f>
        <v>0</v>
      </c>
      <c r="K92" s="386">
        <f>+G92</f>
        <v>0</v>
      </c>
    </row>
    <row r="93" spans="2:11" x14ac:dyDescent="0.25">
      <c r="B93" s="162">
        <v>3610</v>
      </c>
      <c r="C93" s="159" t="str">
        <f>VLOOKUP(B93,Plan!A:B,2,0)</f>
        <v>Cali  Arzobispado</v>
      </c>
      <c r="D93" s="386">
        <f>SUMIF('Diario Adm'!$C:$C,$B93,'Diario Adm'!F:F)+SUMIF('Diario Cali'!$C:$C,$B93,'Diario Cali'!F:F)</f>
        <v>0</v>
      </c>
      <c r="E93" s="386">
        <f>SUMIF('Diario Adm'!$C:$C,$B93,'Diario Adm'!G:G)+SUMIF('Diario Cali'!$C:$C,$B93,'Diario Cali'!G:G)</f>
        <v>70775533</v>
      </c>
      <c r="F93" s="386">
        <f t="shared" si="21"/>
        <v>0</v>
      </c>
      <c r="G93" s="386">
        <f t="shared" si="22"/>
        <v>70775533</v>
      </c>
      <c r="H93" s="386">
        <v>0</v>
      </c>
      <c r="I93" s="386">
        <v>0</v>
      </c>
      <c r="J93" s="386">
        <f t="shared" si="23"/>
        <v>0</v>
      </c>
      <c r="K93" s="386">
        <f t="shared" si="24"/>
        <v>70775533</v>
      </c>
    </row>
    <row r="94" spans="2:11" x14ac:dyDescent="0.25">
      <c r="B94" s="162">
        <v>3611</v>
      </c>
      <c r="C94" s="159" t="str">
        <f>VLOOKUP(B94,Plan!A:B,2,0)</f>
        <v>Cali  Arzobispado (249)</v>
      </c>
      <c r="D94" s="386">
        <f>SUMIF('Diario Adm'!$C:$C,$B94,'Diario Adm'!F:F)+SUMIF('Diario Cali'!$C:$C,$B94,'Diario Cali'!F:F)</f>
        <v>0</v>
      </c>
      <c r="E94" s="386">
        <f>SUMIF('Diario Adm'!$C:$C,$B94,'Diario Adm'!G:G)+SUMIF('Diario Cali'!$C:$C,$B94,'Diario Cali'!G:G)</f>
        <v>23657500</v>
      </c>
      <c r="F94" s="386">
        <f>IF(D94&gt;E94,D94-E94,0)</f>
        <v>0</v>
      </c>
      <c r="G94" s="386">
        <f>IF(E94&gt;D94,E94-D94,0)</f>
        <v>23657500</v>
      </c>
      <c r="H94" s="386">
        <v>0</v>
      </c>
      <c r="I94" s="386">
        <v>0</v>
      </c>
      <c r="J94" s="386">
        <f>+F94</f>
        <v>0</v>
      </c>
      <c r="K94" s="386">
        <f>+G94</f>
        <v>23657500</v>
      </c>
    </row>
    <row r="95" spans="2:11" x14ac:dyDescent="0.25">
      <c r="B95" s="162">
        <v>3620</v>
      </c>
      <c r="C95" s="159" t="str">
        <f>VLOOKUP(B95,Plan!A:B,2,0)</f>
        <v>Cali Recaudadores</v>
      </c>
      <c r="D95" s="386">
        <f>SUMIF('Diario Adm'!$C:$C,$B95,'Diario Adm'!F:F)+SUMIF('Diario Cali'!$C:$C,$B95,'Diario Cali'!F:F)</f>
        <v>0</v>
      </c>
      <c r="E95" s="386">
        <f>SUMIF('Diario Adm'!$C:$C,$B95,'Diario Adm'!G:G)+SUMIF('Diario Cali'!$C:$C,$B95,'Diario Cali'!G:G)</f>
        <v>6609000</v>
      </c>
      <c r="F95" s="386">
        <f t="shared" si="21"/>
        <v>0</v>
      </c>
      <c r="G95" s="386">
        <f t="shared" si="22"/>
        <v>6609000</v>
      </c>
      <c r="H95" s="386">
        <v>0</v>
      </c>
      <c r="I95" s="386">
        <v>0</v>
      </c>
      <c r="J95" s="386">
        <f t="shared" si="23"/>
        <v>0</v>
      </c>
      <c r="K95" s="386">
        <f t="shared" si="24"/>
        <v>6609000</v>
      </c>
    </row>
    <row r="96" spans="2:11" x14ac:dyDescent="0.25">
      <c r="B96" s="162">
        <v>3621</v>
      </c>
      <c r="C96" s="159" t="str">
        <f>VLOOKUP(B96,Plan!A:B,2,0)</f>
        <v>Cali Recaudadores (249)</v>
      </c>
      <c r="D96" s="386">
        <f>SUMIF('Diario Adm'!$C:$C,$B96,'Diario Adm'!F:F)+SUMIF('Diario Cali'!$C:$C,$B96,'Diario Cali'!F:F)</f>
        <v>0</v>
      </c>
      <c r="E96" s="386">
        <f>SUMIF('Diario Adm'!$C:$C,$B96,'Diario Adm'!G:G)+SUMIF('Diario Cali'!$C:$C,$B96,'Diario Cali'!G:G)</f>
        <v>0</v>
      </c>
      <c r="F96" s="386">
        <f>IF(D96&gt;E96,D96-E96,0)</f>
        <v>0</v>
      </c>
      <c r="G96" s="386">
        <f>IF(E96&gt;D96,E96-D96,0)</f>
        <v>0</v>
      </c>
      <c r="H96" s="386">
        <v>0</v>
      </c>
      <c r="I96" s="386">
        <v>0</v>
      </c>
      <c r="J96" s="386">
        <f>+F96</f>
        <v>0</v>
      </c>
      <c r="K96" s="386">
        <f>+G96</f>
        <v>0</v>
      </c>
    </row>
    <row r="97" spans="2:11" x14ac:dyDescent="0.25">
      <c r="B97" s="162">
        <v>3630</v>
      </c>
      <c r="C97" s="159" t="str">
        <f>VLOOKUP(B97,Plan!A:B,2,0)</f>
        <v>Cali Oficina Parroquial</v>
      </c>
      <c r="D97" s="386">
        <f>SUMIF('Diario Adm'!$C:$C,$B97,'Diario Adm'!F:F)+SUMIF('Diario Cali'!$C:$C,$B97,'Diario Cali'!F:F)</f>
        <v>0</v>
      </c>
      <c r="E97" s="386">
        <f>SUMIF('Diario Adm'!$C:$C,$B97,'Diario Adm'!G:G)+SUMIF('Diario Cali'!$C:$C,$B97,'Diario Cali'!G:G)</f>
        <v>15098666</v>
      </c>
      <c r="F97" s="386">
        <f t="shared" si="21"/>
        <v>0</v>
      </c>
      <c r="G97" s="386">
        <f t="shared" si="22"/>
        <v>15098666</v>
      </c>
      <c r="H97" s="386">
        <v>0</v>
      </c>
      <c r="I97" s="386">
        <v>0</v>
      </c>
      <c r="J97" s="386">
        <f t="shared" si="23"/>
        <v>0</v>
      </c>
      <c r="K97" s="386">
        <f t="shared" si="24"/>
        <v>15098666</v>
      </c>
    </row>
    <row r="98" spans="2:11" x14ac:dyDescent="0.25">
      <c r="B98" s="162">
        <v>3631</v>
      </c>
      <c r="C98" s="159" t="str">
        <f>VLOOKUP(B98,Plan!A:B,2,0)</f>
        <v>Cali Oficina Parroquial (249)</v>
      </c>
      <c r="D98" s="386">
        <f>SUMIF('Diario Adm'!$C:$C,$B98,'Diario Adm'!F:F)+SUMIF('Diario Cali'!$C:$C,$B98,'Diario Cali'!F:F)</f>
        <v>0</v>
      </c>
      <c r="E98" s="386">
        <f>SUMIF('Diario Adm'!$C:$C,$B98,'Diario Adm'!G:G)+SUMIF('Diario Cali'!$C:$C,$B98,'Diario Cali'!G:G)</f>
        <v>35287500</v>
      </c>
      <c r="F98" s="386">
        <f>IF(D98&gt;E98,D98-E98,0)</f>
        <v>0</v>
      </c>
      <c r="G98" s="386">
        <f>IF(E98&gt;D98,E98-D98,0)</f>
        <v>35287500</v>
      </c>
      <c r="H98" s="386">
        <v>0</v>
      </c>
      <c r="I98" s="386">
        <v>0</v>
      </c>
      <c r="J98" s="386">
        <f>+F98</f>
        <v>0</v>
      </c>
      <c r="K98" s="386">
        <f>+G98</f>
        <v>35287500</v>
      </c>
    </row>
    <row r="99" spans="2:11" x14ac:dyDescent="0.25">
      <c r="B99" s="162">
        <v>3640</v>
      </c>
      <c r="C99" s="159" t="str">
        <f>VLOOKUP(B99,Plan!A:B,2,0)</f>
        <v>Cali Tarjetas de Creditos</v>
      </c>
      <c r="D99" s="386">
        <f>SUMIF('Diario Adm'!$C:$C,$B99,'Diario Adm'!F:F)+SUMIF('Diario Cali'!$C:$C,$B99,'Diario Cali'!F:F)</f>
        <v>0</v>
      </c>
      <c r="E99" s="386">
        <f>SUMIF('Diario Adm'!$C:$C,$B99,'Diario Adm'!G:G)+SUMIF('Diario Cali'!$C:$C,$B99,'Diario Cali'!G:G)</f>
        <v>50768200</v>
      </c>
      <c r="F99" s="386">
        <f t="shared" si="21"/>
        <v>0</v>
      </c>
      <c r="G99" s="386">
        <f t="shared" si="22"/>
        <v>50768200</v>
      </c>
      <c r="H99" s="386">
        <v>0</v>
      </c>
      <c r="I99" s="386">
        <v>0</v>
      </c>
      <c r="J99" s="386">
        <f t="shared" si="23"/>
        <v>0</v>
      </c>
      <c r="K99" s="386">
        <f t="shared" si="24"/>
        <v>50768200</v>
      </c>
    </row>
    <row r="100" spans="2:11" x14ac:dyDescent="0.25">
      <c r="B100" s="162">
        <v>3641</v>
      </c>
      <c r="C100" s="159" t="str">
        <f>VLOOKUP(B100,Plan!A:B,2,0)</f>
        <v>Cali Tarjetas de Creditos (249)</v>
      </c>
      <c r="D100" s="386">
        <f>SUMIF('Diario Adm'!$C:$C,$B100,'Diario Adm'!F:F)+SUMIF('Diario Cali'!$C:$C,$B100,'Diario Cali'!F:F)</f>
        <v>0</v>
      </c>
      <c r="E100" s="386">
        <f>SUMIF('Diario Adm'!$C:$C,$B100,'Diario Adm'!G:G)+SUMIF('Diario Cali'!$C:$C,$B100,'Diario Cali'!G:G)</f>
        <v>82482036</v>
      </c>
      <c r="F100" s="386">
        <f>IF(D100&gt;E100,D100-E100,0)</f>
        <v>0</v>
      </c>
      <c r="G100" s="386">
        <f>IF(E100&gt;D100,E100-D100,0)</f>
        <v>82482036</v>
      </c>
      <c r="H100" s="386">
        <v>0</v>
      </c>
      <c r="I100" s="386">
        <v>0</v>
      </c>
      <c r="J100" s="386">
        <f>+F100</f>
        <v>0</v>
      </c>
      <c r="K100" s="386">
        <f>+G100</f>
        <v>82482036</v>
      </c>
    </row>
    <row r="101" spans="2:11" x14ac:dyDescent="0.25">
      <c r="B101" s="162">
        <v>3650</v>
      </c>
      <c r="C101" s="159" t="str">
        <f>VLOOKUP(B101,Plan!A:B,2,0)</f>
        <v>Cali Transferencias y Depósitos Directos</v>
      </c>
      <c r="D101" s="386">
        <f>SUMIF('Diario Adm'!$C:$C,$B101,'Diario Adm'!F:F)+SUMIF('Diario Cali'!$C:$C,$B101,'Diario Cali'!F:F)</f>
        <v>0</v>
      </c>
      <c r="E101" s="386">
        <f>SUMIF('Diario Adm'!$C:$C,$B101,'Diario Adm'!G:G)+SUMIF('Diario Cali'!$C:$C,$B101,'Diario Cali'!G:G)</f>
        <v>0</v>
      </c>
      <c r="F101" s="386">
        <f t="shared" si="21"/>
        <v>0</v>
      </c>
      <c r="G101" s="386">
        <f t="shared" si="22"/>
        <v>0</v>
      </c>
      <c r="H101" s="386">
        <v>0</v>
      </c>
      <c r="I101" s="386">
        <v>0</v>
      </c>
      <c r="J101" s="386">
        <f t="shared" si="23"/>
        <v>0</v>
      </c>
      <c r="K101" s="386">
        <f t="shared" si="24"/>
        <v>0</v>
      </c>
    </row>
    <row r="102" spans="2:11" x14ac:dyDescent="0.25">
      <c r="B102" s="162">
        <v>3651</v>
      </c>
      <c r="C102" s="159" t="str">
        <f>VLOOKUP(B102,Plan!A:B,2,0)</f>
        <v>Cali Transferencias y Depósitos Directos (249)</v>
      </c>
      <c r="D102" s="386">
        <f>SUMIF('Diario Adm'!$C$1:$C$8588,$B102,'Diario Adm'!F$1:F$8588)+SUMIF('Diario Cali'!$C:$C,$B102,'Diario Cali'!F:F)</f>
        <v>0</v>
      </c>
      <c r="E102" s="386">
        <f>SUMIF('Diario Adm'!$C$1:$C$8588,$B102,'Diario Adm'!G$1:G$8588)+SUMIF('Diario Cali'!$C:$C,$B102,'Diario Cali'!G:G)</f>
        <v>0</v>
      </c>
      <c r="F102" s="386">
        <f>IF(D102&gt;E102,D102-E102,0)</f>
        <v>0</v>
      </c>
      <c r="G102" s="386">
        <f>IF(E102&gt;D102,E102-D102,0)</f>
        <v>0</v>
      </c>
      <c r="H102" s="386">
        <v>0</v>
      </c>
      <c r="I102" s="386">
        <v>0</v>
      </c>
      <c r="J102" s="386">
        <f>+F102</f>
        <v>0</v>
      </c>
      <c r="K102" s="386">
        <f>+G102</f>
        <v>0</v>
      </c>
    </row>
    <row r="103" spans="2:11" x14ac:dyDescent="0.25">
      <c r="B103" s="162">
        <v>3660</v>
      </c>
      <c r="C103" s="159" t="str">
        <f>VLOOKUP(B103,Plan!A:B,2,0)</f>
        <v>Cali Otros</v>
      </c>
      <c r="D103" s="386">
        <f>SUMIF('Diario Adm'!$C:$C,$B103,'Diario Adm'!F:F)+SUMIF('Diario Cali'!$C:$C,$B103,'Diario Cali'!F:F)</f>
        <v>0</v>
      </c>
      <c r="E103" s="386">
        <f>SUMIF('Diario Adm'!$C:$C,$B103,'Diario Adm'!G:G)+SUMIF('Diario Cali'!$C:$C,$B103,'Diario Cali'!G:G)</f>
        <v>0</v>
      </c>
      <c r="F103" s="386">
        <f t="shared" si="21"/>
        <v>0</v>
      </c>
      <c r="G103" s="386">
        <f t="shared" si="22"/>
        <v>0</v>
      </c>
      <c r="H103" s="386">
        <v>0</v>
      </c>
      <c r="I103" s="386">
        <v>0</v>
      </c>
      <c r="J103" s="386">
        <f t="shared" si="23"/>
        <v>0</v>
      </c>
      <c r="K103" s="386">
        <f t="shared" si="24"/>
        <v>0</v>
      </c>
    </row>
    <row r="104" spans="2:11" x14ac:dyDescent="0.25">
      <c r="B104" s="162">
        <v>4110</v>
      </c>
      <c r="C104" s="159" t="str">
        <f>VLOOKUP(B104,Plan!A:B,2,0)</f>
        <v>Aporte Papal</v>
      </c>
      <c r="D104" s="386">
        <f>SUMIF('Diario Adm'!$C:$C,$B104,'Diario Adm'!F:F)+SUMIF('Diario Cali'!$C:$C,$B104,'Diario Cali'!F:F)</f>
        <v>2846788</v>
      </c>
      <c r="E104" s="386">
        <f>SUMIF('Diario Adm'!$C:$C,$B104,'Diario Adm'!G:G)+SUMIF('Diario Cali'!$C:$C,$B104,'Diario Cali'!G:G)</f>
        <v>0</v>
      </c>
      <c r="F104" s="386">
        <f t="shared" si="21"/>
        <v>2846788</v>
      </c>
      <c r="G104" s="386">
        <f t="shared" si="22"/>
        <v>0</v>
      </c>
      <c r="H104" s="386">
        <v>0</v>
      </c>
      <c r="I104" s="386">
        <v>0</v>
      </c>
      <c r="J104" s="386">
        <f t="shared" si="23"/>
        <v>2846788</v>
      </c>
      <c r="K104" s="386">
        <f t="shared" si="24"/>
        <v>0</v>
      </c>
    </row>
    <row r="105" spans="2:11" x14ac:dyDescent="0.25">
      <c r="B105" s="162">
        <v>4120</v>
      </c>
      <c r="C105" s="159" t="str">
        <f>VLOOKUP(B105,Plan!A:B,2,0)</f>
        <v>Aporte Arzobispado</v>
      </c>
      <c r="D105" s="386">
        <f>SUMIF('Diario Adm'!$C:$C,$B105,'Diario Adm'!F:F)+SUMIF('Diario Cali'!$C:$C,$B105,'Diario Cali'!F:F)</f>
        <v>77047897</v>
      </c>
      <c r="E105" s="386">
        <f>SUMIF('Diario Adm'!$C:$C,$B105,'Diario Adm'!G:G)+SUMIF('Diario Cali'!$C:$C,$B105,'Diario Cali'!G:G)</f>
        <v>0</v>
      </c>
      <c r="F105" s="386">
        <f t="shared" si="21"/>
        <v>77047897</v>
      </c>
      <c r="G105" s="386">
        <f t="shared" si="22"/>
        <v>0</v>
      </c>
      <c r="H105" s="386">
        <v>0</v>
      </c>
      <c r="I105" s="386">
        <v>0</v>
      </c>
      <c r="J105" s="386">
        <f t="shared" si="23"/>
        <v>77047897</v>
      </c>
      <c r="K105" s="386">
        <f t="shared" si="24"/>
        <v>0</v>
      </c>
    </row>
    <row r="106" spans="2:11" x14ac:dyDescent="0.25">
      <c r="B106" s="162">
        <v>4130</v>
      </c>
      <c r="C106" s="159" t="str">
        <f>VLOOKUP(B106,Plan!A:B,2,0)</f>
        <v>Aporte Vicaria</v>
      </c>
      <c r="D106" s="386">
        <f>SUMIF('Diario Adm'!$C:$C,$B106,'Diario Adm'!F:F)+SUMIF('Diario Cali'!$C:$C,$B106,'Diario Cali'!F:F)</f>
        <v>20000</v>
      </c>
      <c r="E106" s="386">
        <f>SUMIF('Diario Adm'!$C:$C,$B106,'Diario Adm'!G:G)+SUMIF('Diario Cali'!$C:$C,$B106,'Diario Cali'!G:G)</f>
        <v>0</v>
      </c>
      <c r="F106" s="386">
        <f t="shared" si="21"/>
        <v>20000</v>
      </c>
      <c r="G106" s="386">
        <f t="shared" si="22"/>
        <v>0</v>
      </c>
      <c r="H106" s="386">
        <v>0</v>
      </c>
      <c r="I106" s="386">
        <v>0</v>
      </c>
      <c r="J106" s="386">
        <f t="shared" si="23"/>
        <v>20000</v>
      </c>
      <c r="K106" s="386">
        <f t="shared" si="24"/>
        <v>0</v>
      </c>
    </row>
    <row r="107" spans="2:11" x14ac:dyDescent="0.25">
      <c r="B107" s="162">
        <v>4140</v>
      </c>
      <c r="C107" s="159" t="str">
        <f>VLOOKUP(B107,Plan!A:B,2,0)</f>
        <v>Comisiones Cali Recaudadores</v>
      </c>
      <c r="D107" s="386">
        <f>SUMIF('Diario Adm'!$C:$C,$B107,'Diario Adm'!F:F)+SUMIF('Diario Cali'!$C:$C,$B107,'Diario Cali'!F:F)</f>
        <v>793080</v>
      </c>
      <c r="E107" s="386">
        <f>SUMIF('Diario Adm'!$C:$C,$B107,'Diario Adm'!G:G)+SUMIF('Diario Cali'!$C:$C,$B107,'Diario Cali'!G:G)</f>
        <v>0</v>
      </c>
      <c r="F107" s="386">
        <f t="shared" si="21"/>
        <v>793080</v>
      </c>
      <c r="G107" s="386">
        <f t="shared" si="22"/>
        <v>0</v>
      </c>
      <c r="H107" s="386">
        <v>0</v>
      </c>
      <c r="I107" s="386">
        <v>0</v>
      </c>
      <c r="J107" s="386">
        <f t="shared" si="23"/>
        <v>793080</v>
      </c>
      <c r="K107" s="386">
        <f t="shared" si="24"/>
        <v>0</v>
      </c>
    </row>
    <row r="108" spans="2:11" x14ac:dyDescent="0.25">
      <c r="B108" s="162">
        <v>4150</v>
      </c>
      <c r="C108" s="159" t="str">
        <f>VLOOKUP(B108,Plan!A:B,2,0)</f>
        <v>Comisiones Cali Tarjetas de Creditos</v>
      </c>
      <c r="D108" s="386">
        <f>SUMIF('Diario Adm'!$C:$C,$B108,'Diario Adm'!F:F)+SUMIF('Diario Cali'!$C:$C,$B108,'Diario Cali'!F:F)</f>
        <v>2756240</v>
      </c>
      <c r="E108" s="386">
        <f>SUMIF('Diario Adm'!$C:$C,$B108,'Diario Adm'!G:G)+SUMIF('Diario Cali'!$C:$C,$B108,'Diario Cali'!G:G)</f>
        <v>0</v>
      </c>
      <c r="F108" s="386">
        <f t="shared" si="21"/>
        <v>2756240</v>
      </c>
      <c r="G108" s="386">
        <f t="shared" si="22"/>
        <v>0</v>
      </c>
      <c r="H108" s="386">
        <v>0</v>
      </c>
      <c r="I108" s="386">
        <v>0</v>
      </c>
      <c r="J108" s="386">
        <f t="shared" si="23"/>
        <v>2756240</v>
      </c>
      <c r="K108" s="386">
        <f t="shared" si="24"/>
        <v>0</v>
      </c>
    </row>
    <row r="109" spans="2:11" x14ac:dyDescent="0.25">
      <c r="B109" s="162">
        <v>4160</v>
      </c>
      <c r="C109" s="159" t="str">
        <f>VLOOKUP(B109,Plan!A:B,2,0)</f>
        <v>Comisiones Cali Arzobispado</v>
      </c>
      <c r="D109" s="386">
        <f>SUMIF('Diario Adm'!$C:$C,$B109,'Diario Adm'!F:F)+SUMIF('Diario Cali'!$C:$C,$B109,'Diario Cali'!F:F)</f>
        <v>5439831</v>
      </c>
      <c r="E109" s="386">
        <f>SUMIF('Diario Adm'!$C:$C,$B109,'Diario Adm'!G:G)+SUMIF('Diario Cali'!$C:$C,$B109,'Diario Cali'!G:G)</f>
        <v>0</v>
      </c>
      <c r="F109" s="386">
        <f t="shared" si="21"/>
        <v>5439831</v>
      </c>
      <c r="G109" s="386">
        <f t="shared" si="22"/>
        <v>0</v>
      </c>
      <c r="H109" s="386">
        <v>0</v>
      </c>
      <c r="I109" s="386">
        <v>0</v>
      </c>
      <c r="J109" s="386">
        <f t="shared" si="23"/>
        <v>5439831</v>
      </c>
      <c r="K109" s="386">
        <f t="shared" si="24"/>
        <v>0</v>
      </c>
    </row>
    <row r="110" spans="2:11" x14ac:dyDescent="0.25">
      <c r="B110" s="162">
        <v>4170</v>
      </c>
      <c r="C110" s="159" t="str">
        <f>VLOOKUP(B110,Plan!A:B,2,0)</f>
        <v>Cali otros</v>
      </c>
      <c r="D110" s="386">
        <f>SUMIF('Diario Adm'!$C:$C,$B110,'Diario Adm'!F:F)+SUMIF('Diario Cali'!$C:$C,$B110,'Diario Cali'!F:F)</f>
        <v>6176401</v>
      </c>
      <c r="E110" s="386">
        <f>SUMIF('Diario Adm'!$C:$C,$B110,'Diario Adm'!G:G)+SUMIF('Diario Cali'!$C:$C,$B110,'Diario Cali'!G:G)</f>
        <v>268</v>
      </c>
      <c r="F110" s="386">
        <f t="shared" si="21"/>
        <v>6176133</v>
      </c>
      <c r="G110" s="386">
        <f t="shared" si="22"/>
        <v>0</v>
      </c>
      <c r="H110" s="386">
        <v>0</v>
      </c>
      <c r="I110" s="386">
        <v>0</v>
      </c>
      <c r="J110" s="386">
        <f t="shared" si="23"/>
        <v>6176133</v>
      </c>
      <c r="K110" s="386">
        <f t="shared" si="24"/>
        <v>0</v>
      </c>
    </row>
    <row r="111" spans="2:11" x14ac:dyDescent="0.25">
      <c r="B111" s="558">
        <v>4171</v>
      </c>
      <c r="C111" s="159" t="str">
        <f>VLOOKUP(B111,Plan!A:B,2,0)</f>
        <v xml:space="preserve">        Campaña 1%</v>
      </c>
      <c r="D111" s="386">
        <f>SUMIF('Diario Adm'!$C:$C,$B111,'Diario Adm'!F:F)+SUMIF('Diario Cali'!$C:$C,$B111,'Diario Cali'!F:F)</f>
        <v>2380781</v>
      </c>
      <c r="E111" s="386">
        <f>SUMIF('Diario Adm'!$C:$C,$B111,'Diario Adm'!G:G)+SUMIF('Diario Cali'!$C:$C,$B111,'Diario Cali'!G:G)</f>
        <v>0</v>
      </c>
      <c r="F111" s="386">
        <f t="shared" ref="F111:F139" si="25">IF(D111&gt;E111,D111-E111,0)</f>
        <v>2380781</v>
      </c>
      <c r="G111" s="386">
        <f t="shared" ref="G111:G139" si="26">IF(E111&gt;D111,E111-D111,0)</f>
        <v>0</v>
      </c>
      <c r="H111" s="386">
        <v>0</v>
      </c>
      <c r="I111" s="386">
        <v>0</v>
      </c>
      <c r="J111" s="386">
        <f t="shared" si="23"/>
        <v>2380781</v>
      </c>
      <c r="K111" s="386">
        <f t="shared" si="24"/>
        <v>0</v>
      </c>
    </row>
    <row r="112" spans="2:11" x14ac:dyDescent="0.25">
      <c r="B112" s="558">
        <v>4172</v>
      </c>
      <c r="C112" s="159" t="str">
        <f>VLOOKUP(B112,Plan!A:B,2,0)</f>
        <v>Saludo Navideño /Calendario</v>
      </c>
      <c r="D112" s="386">
        <f>SUMIF('Diario Adm'!$C:$C,$B112,'Diario Adm'!F:F)+SUMIF('Diario Cali'!$C:$C,$B112,'Diario Cali'!F:F)</f>
        <v>0</v>
      </c>
      <c r="E112" s="386">
        <f>SUMIF('Diario Adm'!$C:$C,$B112,'Diario Adm'!G:G)+SUMIF('Diario Cali'!$C:$C,$B112,'Diario Cali'!G:G)</f>
        <v>0</v>
      </c>
      <c r="F112" s="386">
        <f>IF(D112&gt;E112,D112-E112,0)</f>
        <v>0</v>
      </c>
      <c r="G112" s="386">
        <f>IF(E112&gt;D112,E112-D112,0)</f>
        <v>0</v>
      </c>
      <c r="H112" s="386">
        <v>0</v>
      </c>
      <c r="I112" s="386">
        <v>0</v>
      </c>
      <c r="J112" s="386">
        <f>+F112</f>
        <v>0</v>
      </c>
      <c r="K112" s="386">
        <f>+G112</f>
        <v>0</v>
      </c>
    </row>
    <row r="113" spans="2:11" x14ac:dyDescent="0.25">
      <c r="B113" s="162">
        <v>4210</v>
      </c>
      <c r="C113" s="159" t="str">
        <f>VLOOKUP(B113,Plan!A:B,2,0)</f>
        <v>Sueldos</v>
      </c>
      <c r="D113" s="386">
        <f>SUMIF('Diario Adm'!$C:$C,$B113,'Diario Adm'!F:F)+SUMIF('Diario Cali'!$C:$C,$B113,'Diario Cali'!F:F)</f>
        <v>1118210</v>
      </c>
      <c r="E113" s="386">
        <f>SUMIF('Diario Adm'!$C:$C,$B113,'Diario Adm'!G:G)+SUMIF('Diario Cali'!$C:$C,$B113,'Diario Cali'!G:G)</f>
        <v>1118210</v>
      </c>
      <c r="F113" s="386">
        <f t="shared" si="25"/>
        <v>0</v>
      </c>
      <c r="G113" s="386">
        <f t="shared" si="26"/>
        <v>0</v>
      </c>
      <c r="H113" s="386">
        <v>0</v>
      </c>
      <c r="I113" s="386">
        <v>0</v>
      </c>
      <c r="J113" s="386">
        <f t="shared" si="23"/>
        <v>0</v>
      </c>
      <c r="K113" s="386">
        <f t="shared" si="24"/>
        <v>0</v>
      </c>
    </row>
    <row r="114" spans="2:11" x14ac:dyDescent="0.25">
      <c r="B114" s="162">
        <v>4211</v>
      </c>
      <c r="C114" s="159" t="str">
        <f>VLOOKUP(B114,Plan!A:B,2,0)</f>
        <v>Auxiliares de Aseo</v>
      </c>
      <c r="D114" s="386">
        <f>SUMIF('Diario Adm'!$C:$C,$B114,'Diario Adm'!F:F)+SUMIF('Diario Cali'!$C:$C,$B114,'Diario Cali'!F:F)</f>
        <v>0</v>
      </c>
      <c r="E114" s="386">
        <f>SUMIF('Diario Adm'!$C:$C,$B114,'Diario Adm'!G:G)+SUMIF('Diario Cali'!$C:$C,$B114,'Diario Cali'!G:G)</f>
        <v>0</v>
      </c>
      <c r="F114" s="386">
        <f t="shared" ref="F114:F123" si="27">IF(D114&gt;E114,D114-E114,0)</f>
        <v>0</v>
      </c>
      <c r="G114" s="386">
        <f t="shared" ref="G114:G123" si="28">IF(E114&gt;D114,E114-D114,0)</f>
        <v>0</v>
      </c>
      <c r="H114" s="386">
        <v>0</v>
      </c>
      <c r="I114" s="386">
        <v>0</v>
      </c>
      <c r="J114" s="386">
        <f t="shared" ref="J114:K117" si="29">+F114</f>
        <v>0</v>
      </c>
      <c r="K114" s="386">
        <f t="shared" si="29"/>
        <v>0</v>
      </c>
    </row>
    <row r="115" spans="2:11" x14ac:dyDescent="0.25">
      <c r="B115" s="162">
        <v>4212</v>
      </c>
      <c r="C115" s="159" t="str">
        <f>VLOOKUP(B115,Plan!A:B,2,0)</f>
        <v>Sacerdotes</v>
      </c>
      <c r="D115" s="386">
        <f>SUMIF('Diario Adm'!$C:$C,$B115,'Diario Adm'!F:F)+SUMIF('Diario Cali'!$C:$C,$B115,'Diario Cali'!F:F)</f>
        <v>0</v>
      </c>
      <c r="E115" s="386">
        <f>SUMIF('Diario Adm'!$C:$C,$B115,'Diario Adm'!G:G)+SUMIF('Diario Cali'!$C:$C,$B115,'Diario Cali'!G:G)</f>
        <v>0</v>
      </c>
      <c r="F115" s="386">
        <f t="shared" si="27"/>
        <v>0</v>
      </c>
      <c r="G115" s="386">
        <f t="shared" si="28"/>
        <v>0</v>
      </c>
      <c r="H115" s="386">
        <v>0</v>
      </c>
      <c r="I115" s="386">
        <v>0</v>
      </c>
      <c r="J115" s="386">
        <f t="shared" si="29"/>
        <v>0</v>
      </c>
      <c r="K115" s="386">
        <f t="shared" si="29"/>
        <v>0</v>
      </c>
    </row>
    <row r="116" spans="2:11" x14ac:dyDescent="0.25">
      <c r="B116" s="162">
        <v>4213</v>
      </c>
      <c r="C116" s="159" t="str">
        <f>VLOOKUP(B116,Plan!A:B,2,0)</f>
        <v>Secretarias y Administración</v>
      </c>
      <c r="D116" s="386">
        <f>SUMIF('Diario Adm'!$C:$C,$B116,'Diario Adm'!F:F)+SUMIF('Diario Cali'!$C:$C,$B116,'Diario Cali'!F:F)</f>
        <v>0</v>
      </c>
      <c r="E116" s="386">
        <f>SUMIF('Diario Adm'!$C:$C,$B116,'Diario Adm'!G:G)+SUMIF('Diario Cali'!$C:$C,$B116,'Diario Cali'!G:G)</f>
        <v>0</v>
      </c>
      <c r="F116" s="386">
        <f t="shared" si="27"/>
        <v>0</v>
      </c>
      <c r="G116" s="386">
        <f t="shared" si="28"/>
        <v>0</v>
      </c>
      <c r="H116" s="386">
        <v>0</v>
      </c>
      <c r="I116" s="386">
        <v>0</v>
      </c>
      <c r="J116" s="386">
        <f t="shared" si="29"/>
        <v>0</v>
      </c>
      <c r="K116" s="386">
        <f t="shared" si="29"/>
        <v>0</v>
      </c>
    </row>
    <row r="117" spans="2:11" x14ac:dyDescent="0.25">
      <c r="B117" s="162">
        <v>4220</v>
      </c>
      <c r="C117" s="159" t="str">
        <f>VLOOKUP(B117,Plan!A:B,2,0)</f>
        <v>Honorarios</v>
      </c>
      <c r="D117" s="386">
        <f>SUMIF('Diario Adm'!$C:$C,$B117,'Diario Adm'!F:F)+SUMIF('Diario Cali'!$C:$C,$B117,'Diario Cali'!F:F)</f>
        <v>0</v>
      </c>
      <c r="E117" s="386">
        <f>SUMIF('Diario Adm'!$C:$C,$B117,'Diario Adm'!G:G)+SUMIF('Diario Cali'!$C:$C,$B117,'Diario Cali'!G:G)</f>
        <v>0</v>
      </c>
      <c r="F117" s="386">
        <f t="shared" si="27"/>
        <v>0</v>
      </c>
      <c r="G117" s="386">
        <f t="shared" si="28"/>
        <v>0</v>
      </c>
      <c r="H117" s="386">
        <v>0</v>
      </c>
      <c r="I117" s="386">
        <v>0</v>
      </c>
      <c r="J117" s="386">
        <f t="shared" si="29"/>
        <v>0</v>
      </c>
      <c r="K117" s="386">
        <f t="shared" si="29"/>
        <v>0</v>
      </c>
    </row>
    <row r="118" spans="2:11" x14ac:dyDescent="0.25">
      <c r="B118" s="174">
        <v>4221</v>
      </c>
      <c r="C118" s="159" t="str">
        <f>VLOOKUP(B118,Plan!A:B,2,0)</f>
        <v xml:space="preserve">          Contables-Administración</v>
      </c>
      <c r="D118" s="386">
        <f>SUMIF('Diario Adm'!$C:$C,$B118,'Diario Adm'!F:F)+SUMIF('Diario Cali'!$C:$C,$B118,'Diario Cali'!F:F)</f>
        <v>3300000</v>
      </c>
      <c r="E118" s="386">
        <f>SUMIF('Diario Adm'!$C:$C,$B118,'Diario Adm'!G:G)+SUMIF('Diario Cali'!$C:$C,$B118,'Diario Cali'!G:G)</f>
        <v>0</v>
      </c>
      <c r="F118" s="386">
        <f t="shared" si="27"/>
        <v>3300000</v>
      </c>
      <c r="G118" s="386">
        <f t="shared" si="28"/>
        <v>0</v>
      </c>
      <c r="H118" s="386">
        <v>0</v>
      </c>
      <c r="I118" s="386">
        <v>0</v>
      </c>
      <c r="J118" s="386">
        <f t="shared" ref="J118:K123" si="30">+F118</f>
        <v>3300000</v>
      </c>
      <c r="K118" s="386">
        <f t="shared" si="30"/>
        <v>0</v>
      </c>
    </row>
    <row r="119" spans="2:11" x14ac:dyDescent="0.25">
      <c r="B119" s="174">
        <v>4222</v>
      </c>
      <c r="C119" s="159" t="str">
        <f>VLOOKUP(B119,Plan!A:B,2,0)</f>
        <v xml:space="preserve">          Proceso 1%</v>
      </c>
      <c r="D119" s="386">
        <f>SUMIF('Diario Adm'!$C:$C,$B119,'Diario Adm'!F:F)+SUMIF('Diario Cali'!$C:$C,$B119,'Diario Cali'!F:F)</f>
        <v>327000</v>
      </c>
      <c r="E119" s="386">
        <f>SUMIF('Diario Adm'!$C:$C,$B119,'Diario Adm'!G:G)+SUMIF('Diario Cali'!$C:$C,$B119,'Diario Cali'!G:G)</f>
        <v>0</v>
      </c>
      <c r="F119" s="386">
        <f>IF(D119&gt;E119,D119-E119,0)</f>
        <v>327000</v>
      </c>
      <c r="G119" s="386">
        <f>IF(E119&gt;D119,E119-D119,0)</f>
        <v>0</v>
      </c>
      <c r="H119" s="386">
        <v>0</v>
      </c>
      <c r="I119" s="386">
        <v>0</v>
      </c>
      <c r="J119" s="386">
        <f>+F119</f>
        <v>327000</v>
      </c>
      <c r="K119" s="386">
        <f>+G119</f>
        <v>0</v>
      </c>
    </row>
    <row r="120" spans="2:11" x14ac:dyDescent="0.25">
      <c r="B120" s="174">
        <v>4223</v>
      </c>
      <c r="C120" s="159" t="str">
        <f>VLOOKUP(B120,Plan!A:B,2,0)</f>
        <v xml:space="preserve">         Comunicaciones</v>
      </c>
      <c r="D120" s="386">
        <f>SUMIF('Diario Adm'!$C:$C,$B120,'Diario Adm'!F:F)+SUMIF('Diario Cali'!$C:$C,$B120,'Diario Cali'!F:F)</f>
        <v>5967969</v>
      </c>
      <c r="E120" s="386">
        <f>SUMIF('Diario Adm'!$C:$C,$B120,'Diario Adm'!G:G)+SUMIF('Diario Cali'!$C:$C,$B120,'Diario Cali'!G:G)</f>
        <v>0</v>
      </c>
      <c r="F120" s="386">
        <f t="shared" si="27"/>
        <v>5967969</v>
      </c>
      <c r="G120" s="386">
        <f t="shared" si="28"/>
        <v>0</v>
      </c>
      <c r="H120" s="386">
        <v>0</v>
      </c>
      <c r="I120" s="386">
        <v>0</v>
      </c>
      <c r="J120" s="386">
        <f t="shared" si="30"/>
        <v>5967969</v>
      </c>
      <c r="K120" s="386">
        <f t="shared" si="30"/>
        <v>0</v>
      </c>
    </row>
    <row r="121" spans="2:11" x14ac:dyDescent="0.25">
      <c r="B121" s="174">
        <v>4224</v>
      </c>
      <c r="C121" s="159" t="str">
        <f>VLOOKUP(B121,Plan!A:B,2,0)</f>
        <v xml:space="preserve">         Jardinero</v>
      </c>
      <c r="D121" s="386">
        <f>SUMIF('Diario Adm'!$C:$C,$B121,'Diario Adm'!F:F)+SUMIF('Diario Cali'!$C:$C,$B121,'Diario Cali'!F:F)</f>
        <v>448684</v>
      </c>
      <c r="E121" s="386">
        <f>SUMIF('Diario Adm'!$C:$C,$B121,'Diario Adm'!G:G)+SUMIF('Diario Cali'!$C:$C,$B121,'Diario Cali'!G:G)</f>
        <v>0</v>
      </c>
      <c r="F121" s="386">
        <f t="shared" si="27"/>
        <v>448684</v>
      </c>
      <c r="G121" s="386">
        <f t="shared" si="28"/>
        <v>0</v>
      </c>
      <c r="H121" s="386">
        <v>0</v>
      </c>
      <c r="I121" s="386">
        <v>0</v>
      </c>
      <c r="J121" s="386">
        <f t="shared" si="30"/>
        <v>448684</v>
      </c>
      <c r="K121" s="386">
        <f t="shared" si="30"/>
        <v>0</v>
      </c>
    </row>
    <row r="122" spans="2:11" x14ac:dyDescent="0.25">
      <c r="B122" s="162">
        <v>4230</v>
      </c>
      <c r="C122" s="159" t="str">
        <f>VLOOKUP(B122,Plan!A:B,2,0)</f>
        <v>Cotizaciones</v>
      </c>
      <c r="D122" s="386">
        <f>SUMIF('Diario Adm'!$C:$C,$B122,'Diario Adm'!F:F)+SUMIF('Diario Cali'!$C:$C,$B122,'Diario Cali'!F:F)</f>
        <v>0</v>
      </c>
      <c r="E122" s="386">
        <f>SUMIF('Diario Adm'!$C:$C,$B122,'Diario Adm'!G:G)+SUMIF('Diario Cali'!$C:$C,$B122,'Diario Cali'!G:G)</f>
        <v>0</v>
      </c>
      <c r="F122" s="386">
        <f t="shared" si="27"/>
        <v>0</v>
      </c>
      <c r="G122" s="386">
        <f t="shared" si="28"/>
        <v>0</v>
      </c>
      <c r="H122" s="386">
        <v>0</v>
      </c>
      <c r="I122" s="386">
        <v>0</v>
      </c>
      <c r="J122" s="386">
        <f t="shared" si="30"/>
        <v>0</v>
      </c>
      <c r="K122" s="386">
        <f t="shared" si="30"/>
        <v>0</v>
      </c>
    </row>
    <row r="123" spans="2:11" x14ac:dyDescent="0.25">
      <c r="B123" s="162">
        <v>4231</v>
      </c>
      <c r="C123" s="159" t="str">
        <f>VLOOKUP(B123,Plan!A:B,2,0)</f>
        <v>Auxiliares, secretarias y administración</v>
      </c>
      <c r="D123" s="386">
        <f>SUMIF('Diario Adm'!$C:$C,$B123,'Diario Adm'!F:F)+SUMIF('Diario Cali'!$C:$C,$B123,'Diario Cali'!F:F)</f>
        <v>37224258</v>
      </c>
      <c r="E123" s="386">
        <f>SUMIF('Diario Adm'!$C:$C,$B123,'Diario Adm'!G:G)+SUMIF('Diario Cali'!$C:$C,$B123,'Diario Cali'!G:G)</f>
        <v>27370</v>
      </c>
      <c r="F123" s="386">
        <f t="shared" si="27"/>
        <v>37196888</v>
      </c>
      <c r="G123" s="386">
        <f t="shared" si="28"/>
        <v>0</v>
      </c>
      <c r="H123" s="386">
        <v>0</v>
      </c>
      <c r="I123" s="386">
        <v>0</v>
      </c>
      <c r="J123" s="386">
        <f t="shared" si="30"/>
        <v>37196888</v>
      </c>
      <c r="K123" s="386">
        <f t="shared" si="30"/>
        <v>0</v>
      </c>
    </row>
    <row r="124" spans="2:11" x14ac:dyDescent="0.25">
      <c r="B124" s="162">
        <v>4232</v>
      </c>
      <c r="C124" s="159" t="str">
        <f>VLOOKUP(B124,Plan!A:B,2,0)</f>
        <v>Sacerdote</v>
      </c>
      <c r="D124" s="386">
        <f>SUMIF('Diario Adm'!$C:$C,$B124,'Diario Adm'!F:F)+SUMIF('Diario Cali'!$C:$C,$B124,'Diario Cali'!F:F)</f>
        <v>0</v>
      </c>
      <c r="E124" s="386">
        <f>SUMIF('Diario Adm'!$C:$C,$B124,'Diario Adm'!G:G)+SUMIF('Diario Cali'!$C:$C,$B124,'Diario Cali'!G:G)</f>
        <v>0</v>
      </c>
      <c r="F124" s="386">
        <f t="shared" si="25"/>
        <v>0</v>
      </c>
      <c r="G124" s="386">
        <f t="shared" si="26"/>
        <v>0</v>
      </c>
      <c r="H124" s="386">
        <v>0</v>
      </c>
      <c r="I124" s="386">
        <v>0</v>
      </c>
      <c r="J124" s="386">
        <f t="shared" si="23"/>
        <v>0</v>
      </c>
      <c r="K124" s="386">
        <f t="shared" si="24"/>
        <v>0</v>
      </c>
    </row>
    <row r="125" spans="2:11" x14ac:dyDescent="0.25">
      <c r="B125" s="162">
        <v>4310</v>
      </c>
      <c r="C125" s="159" t="str">
        <f>VLOOKUP(B125,Plan!A:B,2,0)</f>
        <v>Arriendos / Dividendos</v>
      </c>
      <c r="D125" s="386">
        <f>SUMIF('Diario Adm'!$C:$C,$B125,'Diario Adm'!F:F)+SUMIF('Diario Cali'!$C:$C,$B125,'Diario Cali'!F:F)</f>
        <v>9682656</v>
      </c>
      <c r="E125" s="386">
        <f>SUMIF('Diario Adm'!$C:$C,$B125,'Diario Adm'!G:G)+SUMIF('Diario Cali'!$C:$C,$B125,'Diario Cali'!G:G)</f>
        <v>0</v>
      </c>
      <c r="F125" s="386">
        <f t="shared" si="25"/>
        <v>9682656</v>
      </c>
      <c r="G125" s="386">
        <f t="shared" si="26"/>
        <v>0</v>
      </c>
      <c r="H125" s="386">
        <v>0</v>
      </c>
      <c r="I125" s="386">
        <v>0</v>
      </c>
      <c r="J125" s="386">
        <f t="shared" si="23"/>
        <v>9682656</v>
      </c>
      <c r="K125" s="386">
        <f t="shared" si="24"/>
        <v>0</v>
      </c>
    </row>
    <row r="126" spans="2:11" x14ac:dyDescent="0.25">
      <c r="B126" s="162">
        <v>4320</v>
      </c>
      <c r="C126" s="159" t="str">
        <f>VLOOKUP(B126,Plan!A:B,2,0)</f>
        <v>Servicios</v>
      </c>
      <c r="D126" s="386">
        <f>SUMIF('Diario Adm'!$C:$C,$B126,'Diario Adm'!F:F)+SUMIF('Diario Cali'!$C:$C,$B126,'Diario Cali'!F:F)</f>
        <v>0</v>
      </c>
      <c r="E126" s="386">
        <f>SUMIF('Diario Adm'!$C:$C,$B126,'Diario Adm'!G:G)+SUMIF('Diario Cali'!$C:$C,$B126,'Diario Cali'!G:G)</f>
        <v>0</v>
      </c>
      <c r="F126" s="386">
        <f t="shared" si="25"/>
        <v>0</v>
      </c>
      <c r="G126" s="386">
        <f t="shared" si="26"/>
        <v>0</v>
      </c>
      <c r="H126" s="386">
        <v>0</v>
      </c>
      <c r="I126" s="386">
        <v>0</v>
      </c>
      <c r="J126" s="386">
        <f t="shared" si="23"/>
        <v>0</v>
      </c>
      <c r="K126" s="386">
        <f t="shared" si="24"/>
        <v>0</v>
      </c>
    </row>
    <row r="127" spans="2:11" x14ac:dyDescent="0.25">
      <c r="B127" s="162">
        <v>4321</v>
      </c>
      <c r="C127" s="159" t="str">
        <f>VLOOKUP(B127,Plan!A:B,2,0)</f>
        <v>Electricidad</v>
      </c>
      <c r="D127" s="386">
        <f>SUMIF('Diario Adm'!$C:$C,$B127,'Diario Adm'!F:F)+SUMIF('Diario Cali'!$C:$C,$B127,'Diario Cali'!F:F)</f>
        <v>125962</v>
      </c>
      <c r="E127" s="386">
        <f>SUMIF('Diario Adm'!$C:$C,$B127,'Diario Adm'!G:G)+SUMIF('Diario Cali'!$C:$C,$B127,'Diario Cali'!G:G)</f>
        <v>0</v>
      </c>
      <c r="F127" s="386">
        <f t="shared" si="25"/>
        <v>125962</v>
      </c>
      <c r="G127" s="386">
        <f t="shared" si="26"/>
        <v>0</v>
      </c>
      <c r="H127" s="386">
        <v>0</v>
      </c>
      <c r="I127" s="386">
        <v>0</v>
      </c>
      <c r="J127" s="386">
        <f t="shared" si="23"/>
        <v>125962</v>
      </c>
      <c r="K127" s="386">
        <f t="shared" si="24"/>
        <v>0</v>
      </c>
    </row>
    <row r="128" spans="2:11" x14ac:dyDescent="0.25">
      <c r="B128" s="162">
        <v>4322</v>
      </c>
      <c r="C128" s="159" t="str">
        <f>VLOOKUP(B128,Plan!A:B,2,0)</f>
        <v>Agua</v>
      </c>
      <c r="D128" s="386">
        <f>SUMIF('Diario Adm'!$C:$C,$B128,'Diario Adm'!F:F)+SUMIF('Diario Cali'!$C:$C,$B128,'Diario Cali'!F:F)</f>
        <v>357557</v>
      </c>
      <c r="E128" s="386">
        <f>SUMIF('Diario Adm'!$C:$C,$B128,'Diario Adm'!G:G)+SUMIF('Diario Cali'!$C:$C,$B128,'Diario Cali'!G:G)</f>
        <v>0</v>
      </c>
      <c r="F128" s="386">
        <f t="shared" si="25"/>
        <v>357557</v>
      </c>
      <c r="G128" s="386">
        <f t="shared" si="26"/>
        <v>0</v>
      </c>
      <c r="H128" s="386">
        <v>0</v>
      </c>
      <c r="I128" s="386">
        <v>0</v>
      </c>
      <c r="J128" s="386">
        <f t="shared" si="23"/>
        <v>357557</v>
      </c>
      <c r="K128" s="386">
        <f t="shared" si="24"/>
        <v>0</v>
      </c>
    </row>
    <row r="129" spans="2:11" x14ac:dyDescent="0.25">
      <c r="B129" s="162">
        <v>4323</v>
      </c>
      <c r="C129" s="159" t="str">
        <f>VLOOKUP(B129,Plan!A:B,2,0)</f>
        <v>Telefonía, Internet (VTR, Entel)</v>
      </c>
      <c r="D129" s="386">
        <f>SUMIF('Diario Adm'!$C:$C,$B129,'Diario Adm'!F:F)+SUMIF('Diario Cali'!$C:$C,$B129,'Diario Cali'!F:F)</f>
        <v>718823</v>
      </c>
      <c r="E129" s="386">
        <f>SUMIF('Diario Adm'!$C:$C,$B129,'Diario Adm'!G:G)+SUMIF('Diario Cali'!$C:$C,$B129,'Diario Cali'!G:G)</f>
        <v>0</v>
      </c>
      <c r="F129" s="386">
        <f t="shared" si="25"/>
        <v>718823</v>
      </c>
      <c r="G129" s="386">
        <f t="shared" si="26"/>
        <v>0</v>
      </c>
      <c r="H129" s="386">
        <v>0</v>
      </c>
      <c r="I129" s="386">
        <v>0</v>
      </c>
      <c r="J129" s="386">
        <f t="shared" si="23"/>
        <v>718823</v>
      </c>
      <c r="K129" s="386">
        <f t="shared" si="24"/>
        <v>0</v>
      </c>
    </row>
    <row r="130" spans="2:11" x14ac:dyDescent="0.25">
      <c r="B130" s="162">
        <v>4324</v>
      </c>
      <c r="C130" s="159" t="str">
        <f>VLOOKUP(B130,Plan!A:B,2,0)</f>
        <v>Gas</v>
      </c>
      <c r="D130" s="386">
        <f>SUMIF('Diario Adm'!$C:$C,$B130,'Diario Adm'!F:F)+SUMIF('Diario Cali'!$C:$C,$B130,'Diario Cali'!F:F)</f>
        <v>75911</v>
      </c>
      <c r="E130" s="386">
        <f>SUMIF('Diario Adm'!$C:$C,$B130,'Diario Adm'!G:G)+SUMIF('Diario Cali'!$C:$C,$B130,'Diario Cali'!G:G)</f>
        <v>0</v>
      </c>
      <c r="F130" s="386">
        <f t="shared" si="25"/>
        <v>75911</v>
      </c>
      <c r="G130" s="386">
        <f t="shared" si="26"/>
        <v>0</v>
      </c>
      <c r="H130" s="386">
        <v>0</v>
      </c>
      <c r="I130" s="386">
        <v>0</v>
      </c>
      <c r="J130" s="386">
        <f t="shared" si="23"/>
        <v>75911</v>
      </c>
      <c r="K130" s="386">
        <f t="shared" si="24"/>
        <v>0</v>
      </c>
    </row>
    <row r="131" spans="2:11" x14ac:dyDescent="0.25">
      <c r="B131" s="162">
        <v>4325</v>
      </c>
      <c r="C131" s="159" t="str">
        <f>VLOOKUP(B131,Plan!A:B,2,0)</f>
        <v>Alarma (ADT)</v>
      </c>
      <c r="D131" s="386">
        <f>SUMIF('Diario Adm'!$C:$C,$B131,'Diario Adm'!F:F)+SUMIF('Diario Cali'!$C:$C,$B131,'Diario Cali'!F:F)</f>
        <v>477830</v>
      </c>
      <c r="E131" s="386">
        <f>SUMIF('Diario Adm'!$C:$C,$B131,'Diario Adm'!G:G)+SUMIF('Diario Cali'!$C:$C,$B131,'Diario Cali'!G:G)</f>
        <v>0</v>
      </c>
      <c r="F131" s="386">
        <f t="shared" si="25"/>
        <v>477830</v>
      </c>
      <c r="G131" s="386">
        <f t="shared" si="26"/>
        <v>0</v>
      </c>
      <c r="H131" s="386">
        <v>0</v>
      </c>
      <c r="I131" s="386">
        <v>0</v>
      </c>
      <c r="J131" s="386">
        <f t="shared" si="23"/>
        <v>477830</v>
      </c>
      <c r="K131" s="386">
        <f t="shared" si="24"/>
        <v>0</v>
      </c>
    </row>
    <row r="132" spans="2:11" x14ac:dyDescent="0.25">
      <c r="B132" s="162">
        <v>4326</v>
      </c>
      <c r="C132" s="159" t="str">
        <f>VLOOKUP(B132,Plan!A:B,2,0)</f>
        <v>Seguros</v>
      </c>
      <c r="D132" s="386">
        <f>SUMIF('Diario Adm'!$C:$C,$B132,'Diario Adm'!F:F)+SUMIF('Diario Cali'!$C:$C,$B132,'Diario Cali'!F:F)</f>
        <v>543777</v>
      </c>
      <c r="E132" s="386">
        <f>SUMIF('Diario Adm'!$C:$C,$B132,'Diario Adm'!G:G)+SUMIF('Diario Cali'!$C:$C,$B132,'Diario Cali'!G:G)</f>
        <v>0</v>
      </c>
      <c r="F132" s="386">
        <f t="shared" si="25"/>
        <v>543777</v>
      </c>
      <c r="G132" s="386">
        <f t="shared" si="26"/>
        <v>0</v>
      </c>
      <c r="H132" s="386">
        <v>0</v>
      </c>
      <c r="I132" s="386">
        <v>0</v>
      </c>
      <c r="J132" s="386">
        <f t="shared" si="23"/>
        <v>543777</v>
      </c>
      <c r="K132" s="386">
        <f t="shared" si="24"/>
        <v>0</v>
      </c>
    </row>
    <row r="133" spans="2:11" x14ac:dyDescent="0.25">
      <c r="B133" s="162">
        <v>4327</v>
      </c>
      <c r="C133" s="159" t="str">
        <f>VLOOKUP(B133,Plan!A:B,2,0)</f>
        <v>Sistemas Comp.</v>
      </c>
      <c r="D133" s="386">
        <f>SUMIF('Diario Adm'!$C:$C,$B133,'Diario Adm'!F:F)+SUMIF('Diario Cali'!$C:$C,$B133,'Diario Cali'!F:F)</f>
        <v>0</v>
      </c>
      <c r="E133" s="386">
        <f>SUMIF('Diario Adm'!$C:$C,$B133,'Diario Adm'!G:G)+SUMIF('Diario Cali'!$C:$C,$B133,'Diario Cali'!G:G)</f>
        <v>0</v>
      </c>
      <c r="F133" s="386">
        <f t="shared" si="25"/>
        <v>0</v>
      </c>
      <c r="G133" s="386">
        <f t="shared" si="26"/>
        <v>0</v>
      </c>
      <c r="H133" s="386">
        <v>0</v>
      </c>
      <c r="I133" s="386">
        <v>0</v>
      </c>
      <c r="J133" s="386">
        <f t="shared" si="23"/>
        <v>0</v>
      </c>
      <c r="K133" s="386">
        <f t="shared" si="24"/>
        <v>0</v>
      </c>
    </row>
    <row r="134" spans="2:11" x14ac:dyDescent="0.25">
      <c r="B134" s="162">
        <v>4330</v>
      </c>
      <c r="C134" s="159" t="str">
        <f>VLOOKUP(B134,Plan!A:B,2,0)</f>
        <v>Correo</v>
      </c>
      <c r="D134" s="386">
        <f>SUMIF('Diario Adm'!$C:$C,$B134,'Diario Adm'!F:F)+SUMIF('Diario Cali'!$C:$C,$B134,'Diario Cali'!F:F)</f>
        <v>0</v>
      </c>
      <c r="E134" s="386">
        <f>SUMIF('Diario Adm'!$C:$C,$B134,'Diario Adm'!G:G)+SUMIF('Diario Cali'!$C:$C,$B134,'Diario Cali'!G:G)</f>
        <v>0</v>
      </c>
      <c r="F134" s="386">
        <f t="shared" si="25"/>
        <v>0</v>
      </c>
      <c r="G134" s="386">
        <f t="shared" si="26"/>
        <v>0</v>
      </c>
      <c r="H134" s="386">
        <v>0</v>
      </c>
      <c r="I134" s="386">
        <v>0</v>
      </c>
      <c r="J134" s="386">
        <f t="shared" si="23"/>
        <v>0</v>
      </c>
      <c r="K134" s="386">
        <f t="shared" si="24"/>
        <v>0</v>
      </c>
    </row>
    <row r="135" spans="2:11" x14ac:dyDescent="0.25">
      <c r="B135" s="162">
        <v>4331</v>
      </c>
      <c r="C135" s="159" t="str">
        <f>VLOOKUP(B135,Plan!A:B,2,0)</f>
        <v>Cali</v>
      </c>
      <c r="D135" s="386">
        <f>SUMIF('Diario Adm'!$C:$C,$B135,'Diario Adm'!F:F)+SUMIF('Diario Cali'!$C:$C,$B135,'Diario Cali'!F:F)</f>
        <v>14640</v>
      </c>
      <c r="E135" s="386">
        <f>SUMIF('Diario Adm'!$C:$C,$B135,'Diario Adm'!G:G)+SUMIF('Diario Cali'!$C:$C,$B135,'Diario Cali'!G:G)</f>
        <v>0</v>
      </c>
      <c r="F135" s="386">
        <f t="shared" si="25"/>
        <v>14640</v>
      </c>
      <c r="G135" s="386">
        <f t="shared" si="26"/>
        <v>0</v>
      </c>
      <c r="H135" s="386">
        <v>0</v>
      </c>
      <c r="I135" s="386">
        <v>0</v>
      </c>
      <c r="J135" s="386">
        <f t="shared" si="23"/>
        <v>14640</v>
      </c>
      <c r="K135" s="386">
        <f t="shared" si="24"/>
        <v>0</v>
      </c>
    </row>
    <row r="136" spans="2:11" x14ac:dyDescent="0.25">
      <c r="B136" s="162">
        <v>4332</v>
      </c>
      <c r="C136" s="159" t="str">
        <f>VLOOKUP(B136,Plan!A:B,2,0)</f>
        <v>Oficina</v>
      </c>
      <c r="D136" s="386">
        <f>SUMIF('Diario Adm'!$C:$C,$B136,'Diario Adm'!F:F)+SUMIF('Diario Cali'!$C:$C,$B136,'Diario Cali'!F:F)</f>
        <v>0</v>
      </c>
      <c r="E136" s="386">
        <f>SUMIF('Diario Adm'!$C:$C,$B136,'Diario Adm'!G:G)+SUMIF('Diario Cali'!$C:$C,$B136,'Diario Cali'!G:G)</f>
        <v>0</v>
      </c>
      <c r="F136" s="386">
        <f t="shared" si="25"/>
        <v>0</v>
      </c>
      <c r="G136" s="386">
        <f t="shared" si="26"/>
        <v>0</v>
      </c>
      <c r="H136" s="386">
        <v>0</v>
      </c>
      <c r="I136" s="386">
        <v>0</v>
      </c>
      <c r="J136" s="386">
        <f t="shared" si="23"/>
        <v>0</v>
      </c>
      <c r="K136" s="386">
        <f t="shared" si="24"/>
        <v>0</v>
      </c>
    </row>
    <row r="137" spans="2:11" x14ac:dyDescent="0.25">
      <c r="B137" s="162">
        <v>4340</v>
      </c>
      <c r="C137" s="159" t="str">
        <f>VLOOKUP(B137,Plan!A:B,2,0)</f>
        <v>Caja Chica</v>
      </c>
      <c r="D137" s="386">
        <f>SUMIF('Diario Adm'!$C:$C,$B137,'Diario Adm'!F:F)+SUMIF('Diario Cali'!$C:$C,$B137,'Diario Cali'!F:F)</f>
        <v>1325573</v>
      </c>
      <c r="E137" s="386">
        <f>SUMIF('Diario Adm'!$C:$C,$B137,'Diario Adm'!G:G)+SUMIF('Diario Cali'!$C:$C,$B137,'Diario Cali'!G:G)</f>
        <v>0</v>
      </c>
      <c r="F137" s="386">
        <f t="shared" si="25"/>
        <v>1325573</v>
      </c>
      <c r="G137" s="386">
        <f t="shared" si="26"/>
        <v>0</v>
      </c>
      <c r="H137" s="386">
        <v>0</v>
      </c>
      <c r="I137" s="386">
        <v>0</v>
      </c>
      <c r="J137" s="386">
        <f t="shared" si="23"/>
        <v>1325573</v>
      </c>
      <c r="K137" s="386">
        <f t="shared" si="24"/>
        <v>0</v>
      </c>
    </row>
    <row r="138" spans="2:11" x14ac:dyDescent="0.25">
      <c r="B138" s="162">
        <v>4350</v>
      </c>
      <c r="C138" s="159" t="str">
        <f>VLOOKUP(B138,Plan!A:B,2,0)</f>
        <v>Reuniones</v>
      </c>
      <c r="D138" s="386">
        <f>SUMIF('Diario Adm'!$C:$C,$B138,'Diario Adm'!F:F)+SUMIF('Diario Cali'!$C:$C,$B138,'Diario Cali'!F:F)</f>
        <v>0</v>
      </c>
      <c r="E138" s="386">
        <f>SUMIF('Diario Adm'!$C:$C,$B138,'Diario Adm'!G:G)+SUMIF('Diario Cali'!$C:$C,$B138,'Diario Cali'!G:G)</f>
        <v>0</v>
      </c>
      <c r="F138" s="386">
        <f t="shared" si="25"/>
        <v>0</v>
      </c>
      <c r="G138" s="386">
        <f t="shared" si="26"/>
        <v>0</v>
      </c>
      <c r="H138" s="386">
        <v>0</v>
      </c>
      <c r="I138" s="386">
        <v>0</v>
      </c>
      <c r="J138" s="386">
        <f t="shared" si="23"/>
        <v>0</v>
      </c>
      <c r="K138" s="386">
        <f t="shared" si="24"/>
        <v>0</v>
      </c>
    </row>
    <row r="139" spans="2:11" x14ac:dyDescent="0.25">
      <c r="B139" s="162">
        <v>4361</v>
      </c>
      <c r="C139" s="159" t="str">
        <f>VLOOKUP(B139,Plan!A:B,2,0)</f>
        <v>Vacaciones</v>
      </c>
      <c r="D139" s="386">
        <f>SUMIF('Diario Adm'!$C:$C,$B139,'Diario Adm'!F:F)+SUMIF('Diario Cali'!$C:$C,$B139,'Diario Cali'!F:F)</f>
        <v>0</v>
      </c>
      <c r="E139" s="386">
        <f>SUMIF('Diario Adm'!$C:$C,$B139,'Diario Adm'!G:G)+SUMIF('Diario Cali'!$C:$C,$B139,'Diario Cali'!G:G)</f>
        <v>0</v>
      </c>
      <c r="F139" s="386">
        <f t="shared" si="25"/>
        <v>0</v>
      </c>
      <c r="G139" s="386">
        <f t="shared" si="26"/>
        <v>0</v>
      </c>
      <c r="H139" s="386">
        <v>0</v>
      </c>
      <c r="I139" s="386">
        <v>0</v>
      </c>
      <c r="J139" s="386">
        <f t="shared" si="23"/>
        <v>0</v>
      </c>
      <c r="K139" s="386">
        <f t="shared" si="24"/>
        <v>0</v>
      </c>
    </row>
    <row r="140" spans="2:11" x14ac:dyDescent="0.25">
      <c r="B140" s="162">
        <v>4410</v>
      </c>
      <c r="C140" s="159" t="str">
        <f>VLOOKUP(B140,Plan!A:B,2,0)</f>
        <v>Librería</v>
      </c>
      <c r="D140" s="386">
        <f>SUMIF('Diario Adm'!$C:$C,$B140,'Diario Adm'!F:F)+SUMIF('Diario Cali'!$C:$C,$B140,'Diario Cali'!F:F)</f>
        <v>229250</v>
      </c>
      <c r="E140" s="386">
        <f>SUMIF('Diario Adm'!$C:$C,$B140,'Diario Adm'!G:G)+SUMIF('Diario Cali'!$C:$C,$B140,'Diario Cali'!G:G)</f>
        <v>0</v>
      </c>
      <c r="F140" s="386">
        <f t="shared" ref="F140:F178" si="31">IF(D140&gt;E140,D140-E140,0)</f>
        <v>229250</v>
      </c>
      <c r="G140" s="386">
        <f t="shared" ref="G140:G178" si="32">IF(E140&gt;D140,E140-D140,0)</f>
        <v>0</v>
      </c>
      <c r="H140" s="386">
        <v>0</v>
      </c>
      <c r="I140" s="386">
        <v>0</v>
      </c>
      <c r="J140" s="386">
        <f t="shared" ref="J140:J178" si="33">+F140</f>
        <v>229250</v>
      </c>
      <c r="K140" s="386">
        <f t="shared" ref="K140:K178" si="34">+G140</f>
        <v>0</v>
      </c>
    </row>
    <row r="141" spans="2:11" x14ac:dyDescent="0.25">
      <c r="B141" s="162">
        <v>4420</v>
      </c>
      <c r="C141" s="159" t="str">
        <f>VLOOKUP(B141,Plan!A:B,2,0)</f>
        <v>Aseo y Limpieza</v>
      </c>
      <c r="D141" s="386">
        <f>SUMIF('Diario Adm'!$C:$C,$B141,'Diario Adm'!F:F)+SUMIF('Diario Cali'!$C:$C,$B141,'Diario Cali'!F:F)</f>
        <v>70320</v>
      </c>
      <c r="E141" s="386">
        <f>SUMIF('Diario Adm'!$C:$C,$B141,'Diario Adm'!G:G)+SUMIF('Diario Cali'!$C:$C,$B141,'Diario Cali'!G:G)</f>
        <v>0</v>
      </c>
      <c r="F141" s="386">
        <f t="shared" si="31"/>
        <v>70320</v>
      </c>
      <c r="G141" s="386">
        <f t="shared" si="32"/>
        <v>0</v>
      </c>
      <c r="H141" s="386">
        <v>0</v>
      </c>
      <c r="I141" s="386">
        <v>0</v>
      </c>
      <c r="J141" s="386">
        <f t="shared" si="33"/>
        <v>70320</v>
      </c>
      <c r="K141" s="386">
        <f t="shared" si="34"/>
        <v>0</v>
      </c>
    </row>
    <row r="142" spans="2:11" x14ac:dyDescent="0.25">
      <c r="B142" s="162">
        <v>4430</v>
      </c>
      <c r="C142" s="159" t="str">
        <f>VLOOKUP(B142,Plan!A:B,2,0)</f>
        <v>Varios</v>
      </c>
      <c r="D142" s="386">
        <f>SUMIF('Diario Adm'!$C:$C,$B142,'Diario Adm'!F:F)+SUMIF('Diario Cali'!$C:$C,$B142,'Diario Cali'!F:F)</f>
        <v>415279</v>
      </c>
      <c r="E142" s="386">
        <f>SUMIF('Diario Adm'!$C:$C,$B142,'Diario Adm'!G:G)+SUMIF('Diario Cali'!$C:$C,$B142,'Diario Cali'!G:G)</f>
        <v>0</v>
      </c>
      <c r="F142" s="386">
        <f t="shared" si="31"/>
        <v>415279</v>
      </c>
      <c r="G142" s="386">
        <f t="shared" si="32"/>
        <v>0</v>
      </c>
      <c r="H142" s="386">
        <v>0</v>
      </c>
      <c r="I142" s="386">
        <v>0</v>
      </c>
      <c r="J142" s="386">
        <f t="shared" si="33"/>
        <v>415279</v>
      </c>
      <c r="K142" s="386">
        <f t="shared" si="34"/>
        <v>0</v>
      </c>
    </row>
    <row r="143" spans="2:11" x14ac:dyDescent="0.25">
      <c r="B143" s="162">
        <v>4510</v>
      </c>
      <c r="C143" s="159" t="str">
        <f>VLOOKUP(B143,Plan!A:B,2,0)</f>
        <v>Oficina Parroquial</v>
      </c>
      <c r="D143" s="386">
        <f>SUMIF('Diario Adm'!$C:$C,$B143,'Diario Adm'!F:F)+SUMIF('Diario Cali'!$C:$C,$B143,'Diario Cali'!F:F)</f>
        <v>460761</v>
      </c>
      <c r="E143" s="386">
        <f>SUMIF('Diario Adm'!$C:$C,$B143,'Diario Adm'!G:G)+SUMIF('Diario Cali'!$C:$C,$B143,'Diario Cali'!G:G)</f>
        <v>0</v>
      </c>
      <c r="F143" s="386">
        <f t="shared" si="31"/>
        <v>460761</v>
      </c>
      <c r="G143" s="386">
        <f t="shared" si="32"/>
        <v>0</v>
      </c>
      <c r="H143" s="386">
        <v>0</v>
      </c>
      <c r="I143" s="386">
        <v>0</v>
      </c>
      <c r="J143" s="386">
        <f t="shared" si="33"/>
        <v>460761</v>
      </c>
      <c r="K143" s="386">
        <f t="shared" si="34"/>
        <v>0</v>
      </c>
    </row>
    <row r="144" spans="2:11" x14ac:dyDescent="0.25">
      <c r="B144" s="162">
        <v>4520</v>
      </c>
      <c r="C144" s="159" t="str">
        <f>VLOOKUP(B144,Plan!A:B,2,0)</f>
        <v>Templo</v>
      </c>
      <c r="D144" s="386">
        <f>SUMIF('Diario Adm'!$C:$C,$B144,'Diario Adm'!F:F)+SUMIF('Diario Cali'!$C:$C,$B144,'Diario Cali'!F:F)</f>
        <v>0</v>
      </c>
      <c r="E144" s="386">
        <f>SUMIF('Diario Adm'!$C:$C,$B144,'Diario Adm'!G:G)+SUMIF('Diario Cali'!$C:$C,$B144,'Diario Cali'!G:G)</f>
        <v>0</v>
      </c>
      <c r="F144" s="386">
        <f t="shared" si="31"/>
        <v>0</v>
      </c>
      <c r="G144" s="386">
        <f t="shared" si="32"/>
        <v>0</v>
      </c>
      <c r="H144" s="386">
        <v>0</v>
      </c>
      <c r="I144" s="386">
        <v>0</v>
      </c>
      <c r="J144" s="386">
        <f t="shared" si="33"/>
        <v>0</v>
      </c>
      <c r="K144" s="386">
        <f t="shared" si="34"/>
        <v>0</v>
      </c>
    </row>
    <row r="145" spans="2:11" x14ac:dyDescent="0.25">
      <c r="B145" s="162">
        <v>4530</v>
      </c>
      <c r="C145" s="159" t="str">
        <f>VLOOKUP(B145,Plan!A:B,2,0)</f>
        <v>Casa Sacerdote</v>
      </c>
      <c r="D145" s="386">
        <f>SUMIF('Diario Adm'!$C:$C,$B145,'Diario Adm'!F:F)+SUMIF('Diario Cali'!$C:$C,$B145,'Diario Cali'!F:F)</f>
        <v>0</v>
      </c>
      <c r="E145" s="386">
        <f>SUMIF('Diario Adm'!$C:$C,$B145,'Diario Adm'!G:G)+SUMIF('Diario Cali'!$C:$C,$B145,'Diario Cali'!G:G)</f>
        <v>0</v>
      </c>
      <c r="F145" s="386">
        <f>IF(D145&gt;E145,D145-E145,0)</f>
        <v>0</v>
      </c>
      <c r="G145" s="386">
        <f>IF(E145&gt;D145,E145-D145,0)</f>
        <v>0</v>
      </c>
      <c r="H145" s="386">
        <v>0</v>
      </c>
      <c r="I145" s="386">
        <v>0</v>
      </c>
      <c r="J145" s="386">
        <f>+F145</f>
        <v>0</v>
      </c>
      <c r="K145" s="386">
        <f>+G145</f>
        <v>0</v>
      </c>
    </row>
    <row r="146" spans="2:11" x14ac:dyDescent="0.25">
      <c r="B146" s="162">
        <v>4610</v>
      </c>
      <c r="C146" s="159" t="str">
        <f>VLOOKUP(B146,Plan!A:B,2,0)</f>
        <v>Pastoral Familiar</v>
      </c>
      <c r="D146" s="386">
        <f>SUMIF('Diario Adm'!$C:$C,$B146,'Diario Adm'!F:F)+SUMIF('Diario Cali'!$C:$C,$B146,'Diario Cali'!F:F)</f>
        <v>0</v>
      </c>
      <c r="E146" s="386">
        <f>SUMIF('Diario Adm'!$C:$C,$B146,'Diario Adm'!G:G)+SUMIF('Diario Cali'!$C:$C,$B146,'Diario Cali'!G:G)</f>
        <v>0</v>
      </c>
      <c r="F146" s="386">
        <f t="shared" si="31"/>
        <v>0</v>
      </c>
      <c r="G146" s="386">
        <f t="shared" si="32"/>
        <v>0</v>
      </c>
      <c r="H146" s="386">
        <v>0</v>
      </c>
      <c r="I146" s="386">
        <v>0</v>
      </c>
      <c r="J146" s="386">
        <f t="shared" si="33"/>
        <v>0</v>
      </c>
      <c r="K146" s="386">
        <f t="shared" si="34"/>
        <v>0</v>
      </c>
    </row>
    <row r="147" spans="2:11" x14ac:dyDescent="0.25">
      <c r="B147" s="162">
        <v>4620</v>
      </c>
      <c r="C147" s="159" t="str">
        <f>VLOOKUP(B147,Plan!A:B,2,0)</f>
        <v>Pastoral Novios</v>
      </c>
      <c r="D147" s="386">
        <f>SUMIF('Diario Adm'!$C:$C,$B147,'Diario Adm'!F:F)+SUMIF('Diario Cali'!$C:$C,$B147,'Diario Cali'!F:F)</f>
        <v>0</v>
      </c>
      <c r="E147" s="386">
        <f>SUMIF('Diario Adm'!$C:$C,$B147,'Diario Adm'!G:G)+SUMIF('Diario Cali'!$C:$C,$B147,'Diario Cali'!G:G)</f>
        <v>0</v>
      </c>
      <c r="F147" s="386">
        <f t="shared" si="31"/>
        <v>0</v>
      </c>
      <c r="G147" s="386">
        <f t="shared" si="32"/>
        <v>0</v>
      </c>
      <c r="H147" s="386">
        <v>0</v>
      </c>
      <c r="I147" s="386">
        <v>0</v>
      </c>
      <c r="J147" s="386">
        <f t="shared" si="33"/>
        <v>0</v>
      </c>
      <c r="K147" s="386">
        <f t="shared" si="34"/>
        <v>0</v>
      </c>
    </row>
    <row r="148" spans="2:11" x14ac:dyDescent="0.25">
      <c r="B148" s="162">
        <v>4630</v>
      </c>
      <c r="C148" s="159" t="str">
        <f>VLOOKUP(B148,Plan!A:B,2,0)</f>
        <v>Pastoral Bautismal</v>
      </c>
      <c r="D148" s="386">
        <f>SUMIF('Diario Adm'!$C:$C,$B148,'Diario Adm'!F:F)+SUMIF('Diario Cali'!$C:$C,$B148,'Diario Cali'!F:F)</f>
        <v>0</v>
      </c>
      <c r="E148" s="386">
        <f>SUMIF('Diario Adm'!$C:$C,$B148,'Diario Adm'!G:G)+SUMIF('Diario Cali'!$C:$C,$B148,'Diario Cali'!G:G)</f>
        <v>0</v>
      </c>
      <c r="F148" s="386">
        <f t="shared" si="31"/>
        <v>0</v>
      </c>
      <c r="G148" s="386">
        <f t="shared" si="32"/>
        <v>0</v>
      </c>
      <c r="H148" s="386">
        <v>0</v>
      </c>
      <c r="I148" s="386">
        <v>0</v>
      </c>
      <c r="J148" s="386">
        <f t="shared" si="33"/>
        <v>0</v>
      </c>
      <c r="K148" s="386">
        <f t="shared" si="34"/>
        <v>0</v>
      </c>
    </row>
    <row r="149" spans="2:11" x14ac:dyDescent="0.25">
      <c r="B149" s="162">
        <v>4640</v>
      </c>
      <c r="C149" s="159" t="str">
        <f>VLOOKUP(B149,Plan!A:B,2,0)</f>
        <v>Pastoral Liturgia</v>
      </c>
      <c r="D149" s="386">
        <f>SUMIF('Diario Adm'!$C:$C,$B149,'Diario Adm'!F:F)+SUMIF('Diario Cali'!$C:$C,$B149,'Diario Cali'!F:F)</f>
        <v>0</v>
      </c>
      <c r="E149" s="386">
        <f>SUMIF('Diario Adm'!$C:$C,$B149,'Diario Adm'!G:G)+SUMIF('Diario Cali'!$C:$C,$B149,'Diario Cali'!G:G)</f>
        <v>0</v>
      </c>
      <c r="F149" s="386">
        <f t="shared" si="31"/>
        <v>0</v>
      </c>
      <c r="G149" s="386">
        <f t="shared" si="32"/>
        <v>0</v>
      </c>
      <c r="H149" s="386">
        <v>0</v>
      </c>
      <c r="I149" s="386">
        <v>0</v>
      </c>
      <c r="J149" s="386">
        <f t="shared" si="33"/>
        <v>0</v>
      </c>
      <c r="K149" s="386">
        <f t="shared" si="34"/>
        <v>0</v>
      </c>
    </row>
    <row r="150" spans="2:11" x14ac:dyDescent="0.25">
      <c r="B150" s="162">
        <v>4641</v>
      </c>
      <c r="C150" s="159" t="str">
        <f>VLOOKUP(B150,Plan!A:B,2,0)</f>
        <v xml:space="preserve">             Capellanías </v>
      </c>
      <c r="D150" s="386">
        <f>SUMIF('Diario Adm'!$C:$C,$B150,'Diario Adm'!F:F)+SUMIF('Diario Cali'!$C:$C,$B150,'Diario Cali'!F:F)</f>
        <v>1748390</v>
      </c>
      <c r="E150" s="386">
        <f>SUMIF('Diario Adm'!$C:$C,$B150,'Diario Adm'!G:G)+SUMIF('Diario Cali'!$C:$C,$B150,'Diario Cali'!G:G)</f>
        <v>0</v>
      </c>
      <c r="F150" s="386">
        <f t="shared" si="31"/>
        <v>1748390</v>
      </c>
      <c r="G150" s="386">
        <f t="shared" si="32"/>
        <v>0</v>
      </c>
      <c r="H150" s="386">
        <v>0</v>
      </c>
      <c r="I150" s="386">
        <v>0</v>
      </c>
      <c r="J150" s="386">
        <f t="shared" si="33"/>
        <v>1748390</v>
      </c>
      <c r="K150" s="386">
        <f t="shared" si="34"/>
        <v>0</v>
      </c>
    </row>
    <row r="151" spans="2:11" x14ac:dyDescent="0.25">
      <c r="B151" s="162">
        <v>4642</v>
      </c>
      <c r="C151" s="159" t="str">
        <f>VLOOKUP(B151,Plan!A:B,2,0)</f>
        <v xml:space="preserve">             Misas (Hojas, vino, hostias, coro)</v>
      </c>
      <c r="D151" s="386">
        <f>SUMIF('Diario Adm'!$C:$C,$B151,'Diario Adm'!F:F)+SUMIF('Diario Cali'!$C:$C,$B151,'Diario Cali'!F:F)</f>
        <v>155000</v>
      </c>
      <c r="E151" s="386">
        <f>SUMIF('Diario Adm'!$C:$C,$B151,'Diario Adm'!G:G)+SUMIF('Diario Cali'!$C:$C,$B151,'Diario Cali'!G:G)</f>
        <v>0</v>
      </c>
      <c r="F151" s="386">
        <f t="shared" si="31"/>
        <v>155000</v>
      </c>
      <c r="G151" s="386">
        <f t="shared" si="32"/>
        <v>0</v>
      </c>
      <c r="H151" s="386">
        <v>0</v>
      </c>
      <c r="I151" s="386">
        <v>0</v>
      </c>
      <c r="J151" s="386">
        <f t="shared" si="33"/>
        <v>155000</v>
      </c>
      <c r="K151" s="386">
        <f t="shared" si="34"/>
        <v>0</v>
      </c>
    </row>
    <row r="152" spans="2:11" x14ac:dyDescent="0.25">
      <c r="B152" s="162">
        <v>4643</v>
      </c>
      <c r="C152" s="159" t="str">
        <f>VLOOKUP(B152,Plan!A:B,2,0)</f>
        <v xml:space="preserve">             Otros</v>
      </c>
      <c r="D152" s="386">
        <f>SUMIF('Diario Adm'!$C:$C,$B152,'Diario Adm'!F:F)+SUMIF('Diario Cali'!$C:$C,$B152,'Diario Cali'!F:F)</f>
        <v>2152994</v>
      </c>
      <c r="E152" s="386">
        <f>SUMIF('Diario Adm'!$C:$C,$B152,'Diario Adm'!G:G)+SUMIF('Diario Cali'!$C:$C,$B152,'Diario Cali'!G:G)</f>
        <v>194700</v>
      </c>
      <c r="F152" s="386">
        <f t="shared" si="31"/>
        <v>1958294</v>
      </c>
      <c r="G152" s="386">
        <f t="shared" si="32"/>
        <v>0</v>
      </c>
      <c r="H152" s="386">
        <v>0</v>
      </c>
      <c r="I152" s="386">
        <v>0</v>
      </c>
      <c r="J152" s="386">
        <f t="shared" si="33"/>
        <v>1958294</v>
      </c>
      <c r="K152" s="386">
        <f t="shared" si="34"/>
        <v>0</v>
      </c>
    </row>
    <row r="153" spans="2:11" x14ac:dyDescent="0.25">
      <c r="B153" s="162">
        <v>4650</v>
      </c>
      <c r="C153" s="159" t="str">
        <f>VLOOKUP(B153,Plan!A:B,2,0)</f>
        <v>Pastoral Social</v>
      </c>
      <c r="D153" s="386">
        <f>SUMIF('Diario Adm'!$C:$C,$B153,'Diario Adm'!F:F)+SUMIF('Diario Cali'!$C:$C,$B153,'Diario Cali'!F:F)</f>
        <v>12597737</v>
      </c>
      <c r="E153" s="386">
        <f>SUMIF('Diario Adm'!$C:$C,$B153,'Diario Adm'!G:G)+SUMIF('Diario Cali'!$C:$C,$B153,'Diario Cali'!G:G)</f>
        <v>2076559</v>
      </c>
      <c r="F153" s="386">
        <f t="shared" si="31"/>
        <v>10521178</v>
      </c>
      <c r="G153" s="386">
        <f t="shared" si="32"/>
        <v>0</v>
      </c>
      <c r="H153" s="386">
        <v>0</v>
      </c>
      <c r="I153" s="386">
        <v>0</v>
      </c>
      <c r="J153" s="386">
        <f t="shared" si="33"/>
        <v>10521178</v>
      </c>
      <c r="K153" s="386">
        <f t="shared" si="34"/>
        <v>0</v>
      </c>
    </row>
    <row r="154" spans="2:11" x14ac:dyDescent="0.25">
      <c r="B154" s="162">
        <v>4651</v>
      </c>
      <c r="C154" s="159" t="str">
        <f>VLOOKUP(B154,Plan!A:B,2,0)</f>
        <v xml:space="preserve">             Becas</v>
      </c>
      <c r="D154" s="386">
        <f>SUMIF('Diario Adm'!$C:$C,$B154,'Diario Adm'!F:F)+SUMIF('Diario Cali'!$C:$C,$B154,'Diario Cali'!F:F)</f>
        <v>0</v>
      </c>
      <c r="E154" s="386">
        <f>SUMIF('Diario Adm'!$C:$C,$B154,'Diario Adm'!G:G)+SUMIF('Diario Cali'!$C:$C,$B154,'Diario Cali'!G:G)</f>
        <v>0</v>
      </c>
      <c r="F154" s="386">
        <f t="shared" si="31"/>
        <v>0</v>
      </c>
      <c r="G154" s="386">
        <f t="shared" si="32"/>
        <v>0</v>
      </c>
      <c r="H154" s="386">
        <v>0</v>
      </c>
      <c r="I154" s="386">
        <v>0</v>
      </c>
      <c r="J154" s="386">
        <f t="shared" si="33"/>
        <v>0</v>
      </c>
      <c r="K154" s="386">
        <f t="shared" si="34"/>
        <v>0</v>
      </c>
    </row>
    <row r="155" spans="2:11" x14ac:dyDescent="0.25">
      <c r="B155" s="162">
        <v>4652</v>
      </c>
      <c r="C155" s="159" t="str">
        <f>VLOOKUP(B155,Plan!A:B,2,0)</f>
        <v xml:space="preserve">             Cerro Navia </v>
      </c>
      <c r="D155" s="386">
        <f>SUMIF('Diario Adm'!$C:$C,$B155,'Diario Adm'!F:F)+SUMIF('Diario Cali'!$C:$C,$B155,'Diario Cali'!F:F)</f>
        <v>0</v>
      </c>
      <c r="E155" s="386">
        <f>SUMIF('Diario Adm'!$C:$C,$B155,'Diario Adm'!G:G)+SUMIF('Diario Cali'!$C:$C,$B155,'Diario Cali'!G:G)</f>
        <v>0</v>
      </c>
      <c r="F155" s="386">
        <f t="shared" si="31"/>
        <v>0</v>
      </c>
      <c r="G155" s="386">
        <f t="shared" si="32"/>
        <v>0</v>
      </c>
      <c r="H155" s="386">
        <v>0</v>
      </c>
      <c r="I155" s="386">
        <v>0</v>
      </c>
      <c r="J155" s="386">
        <f t="shared" si="33"/>
        <v>0</v>
      </c>
      <c r="K155" s="386">
        <f t="shared" si="34"/>
        <v>0</v>
      </c>
    </row>
    <row r="156" spans="2:11" x14ac:dyDescent="0.25">
      <c r="B156" s="162">
        <v>4653</v>
      </c>
      <c r="C156" s="159" t="str">
        <f>VLOOKUP(B156,Plan!A:B,2,0)</f>
        <v xml:space="preserve">            Ayuda Solidaria</v>
      </c>
      <c r="D156" s="386">
        <f>SUMIF('Diario Adm'!$C:$C,$B156,'Diario Adm'!F:F)+SUMIF('Diario Cali'!$C:$C,$B156,'Diario Cali'!F:F)</f>
        <v>0</v>
      </c>
      <c r="E156" s="386">
        <f>SUMIF('Diario Adm'!$C:$C,$B156,'Diario Adm'!G:G)+SUMIF('Diario Cali'!$C:$C,$B156,'Diario Cali'!G:G)</f>
        <v>0</v>
      </c>
      <c r="F156" s="386">
        <f t="shared" si="31"/>
        <v>0</v>
      </c>
      <c r="G156" s="386">
        <f t="shared" si="32"/>
        <v>0</v>
      </c>
      <c r="H156" s="386">
        <v>0</v>
      </c>
      <c r="I156" s="386">
        <v>0</v>
      </c>
      <c r="J156" s="386">
        <f t="shared" si="33"/>
        <v>0</v>
      </c>
      <c r="K156" s="386">
        <f t="shared" si="34"/>
        <v>0</v>
      </c>
    </row>
    <row r="157" spans="2:11" x14ac:dyDescent="0.25">
      <c r="B157" s="162">
        <v>4654</v>
      </c>
      <c r="C157" s="159" t="str">
        <f>VLOOKUP(B157,Plan!A:B,2,0)</f>
        <v xml:space="preserve">            Parroquia Santa Maria</v>
      </c>
      <c r="D157" s="386">
        <f>SUMIF('Diario Adm'!$C:$C,$B157,'Diario Adm'!F:F)+SUMIF('Diario Cali'!$C:$C,$B157,'Diario Cali'!F:F)</f>
        <v>0</v>
      </c>
      <c r="E157" s="386">
        <f>SUMIF('Diario Adm'!$C:$C,$B157,'Diario Adm'!G:G)+SUMIF('Diario Cali'!$C:$C,$B157,'Diario Cali'!G:G)</f>
        <v>0</v>
      </c>
      <c r="F157" s="386">
        <f>IF(D157&gt;E157,D157-E157,0)</f>
        <v>0</v>
      </c>
      <c r="G157" s="386">
        <f>IF(E157&gt;D157,E157-D157,0)</f>
        <v>0</v>
      </c>
      <c r="H157" s="386">
        <v>0</v>
      </c>
      <c r="I157" s="386">
        <v>0</v>
      </c>
      <c r="J157" s="386">
        <f>+F157</f>
        <v>0</v>
      </c>
      <c r="K157" s="386">
        <f>+G157</f>
        <v>0</v>
      </c>
    </row>
    <row r="158" spans="2:11" x14ac:dyDescent="0.25">
      <c r="B158" s="162">
        <v>4660</v>
      </c>
      <c r="C158" s="159" t="str">
        <f>VLOOKUP(B158,Plan!A:B,2,0)</f>
        <v>Pastoral Salud</v>
      </c>
      <c r="D158" s="386">
        <f>SUMIF('Diario Adm'!$C:$C,$B158,'Diario Adm'!F:F)+SUMIF('Diario Cali'!$C:$C,$B158,'Diario Cali'!F:F)</f>
        <v>0</v>
      </c>
      <c r="E158" s="386">
        <f>SUMIF('Diario Adm'!$C:$C,$B158,'Diario Adm'!G:G)+SUMIF('Diario Cali'!$C:$C,$B158,'Diario Cali'!G:G)</f>
        <v>0</v>
      </c>
      <c r="F158" s="386">
        <f t="shared" si="31"/>
        <v>0</v>
      </c>
      <c r="G158" s="386">
        <f t="shared" si="32"/>
        <v>0</v>
      </c>
      <c r="H158" s="386">
        <v>0</v>
      </c>
      <c r="I158" s="386">
        <v>0</v>
      </c>
      <c r="J158" s="386">
        <f t="shared" si="33"/>
        <v>0</v>
      </c>
      <c r="K158" s="386">
        <f t="shared" si="34"/>
        <v>0</v>
      </c>
    </row>
    <row r="159" spans="2:11" x14ac:dyDescent="0.25">
      <c r="B159" s="162">
        <v>4670</v>
      </c>
      <c r="C159" s="159" t="str">
        <f>VLOOKUP(B159,Plan!A:B,2,0)</f>
        <v>Pastoral Juvenil</v>
      </c>
      <c r="D159" s="386">
        <f>SUMIF('Diario Adm'!$C:$C,$B159,'Diario Adm'!F:F)+SUMIF('Diario Cali'!$C:$C,$B159,'Diario Cali'!F:F)</f>
        <v>0</v>
      </c>
      <c r="E159" s="386">
        <f>SUMIF('Diario Adm'!$C:$C,$B159,'Diario Adm'!G:G)+SUMIF('Diario Cali'!$C:$C,$B159,'Diario Cali'!G:G)</f>
        <v>0</v>
      </c>
      <c r="F159" s="386">
        <f t="shared" si="31"/>
        <v>0</v>
      </c>
      <c r="G159" s="386">
        <f t="shared" si="32"/>
        <v>0</v>
      </c>
      <c r="H159" s="386">
        <v>0</v>
      </c>
      <c r="I159" s="386">
        <v>0</v>
      </c>
      <c r="J159" s="386">
        <f t="shared" si="33"/>
        <v>0</v>
      </c>
      <c r="K159" s="386">
        <f t="shared" si="34"/>
        <v>0</v>
      </c>
    </row>
    <row r="160" spans="2:11" x14ac:dyDescent="0.25">
      <c r="B160" s="162">
        <v>4680</v>
      </c>
      <c r="C160" s="159" t="str">
        <f>VLOOKUP(B160,Plan!A:B,2,0)</f>
        <v>Pastoral Comunicacional</v>
      </c>
      <c r="D160" s="386">
        <f>SUMIF('Diario Adm'!$C:$C,$B160,'Diario Adm'!F:F)+SUMIF('Diario Cali'!$C:$C,$B160,'Diario Cali'!F:F)</f>
        <v>5309456</v>
      </c>
      <c r="E160" s="386">
        <f>SUMIF('Diario Adm'!$C:$C,$B160,'Diario Adm'!G:G)+SUMIF('Diario Cali'!$C:$C,$B160,'Diario Cali'!G:G)</f>
        <v>0</v>
      </c>
      <c r="F160" s="386">
        <f t="shared" si="31"/>
        <v>5309456</v>
      </c>
      <c r="G160" s="386">
        <f t="shared" si="32"/>
        <v>0</v>
      </c>
      <c r="H160" s="386">
        <v>0</v>
      </c>
      <c r="I160" s="386">
        <v>0</v>
      </c>
      <c r="J160" s="386">
        <f t="shared" si="33"/>
        <v>5309456</v>
      </c>
      <c r="K160" s="386">
        <f t="shared" si="34"/>
        <v>0</v>
      </c>
    </row>
    <row r="161" spans="2:11" x14ac:dyDescent="0.25">
      <c r="B161" s="162">
        <v>4810</v>
      </c>
      <c r="C161" s="159" t="str">
        <f>VLOOKUP(B161,Plan!A:B,2,0)</f>
        <v>Encuentros y convivencias</v>
      </c>
      <c r="D161" s="386">
        <f>SUMIF('Diario Adm'!$C:$C,$B161,'Diario Adm'!F:F)+SUMIF('Diario Cali'!$C:$C,$B161,'Diario Cali'!F:F)</f>
        <v>30900</v>
      </c>
      <c r="E161" s="386">
        <f>SUMIF('Diario Adm'!$C:$C,$B161,'Diario Adm'!G:G)+SUMIF('Diario Cali'!$C:$C,$B161,'Diario Cali'!G:G)</f>
        <v>0</v>
      </c>
      <c r="F161" s="386">
        <f t="shared" si="31"/>
        <v>30900</v>
      </c>
      <c r="G161" s="386">
        <f t="shared" si="32"/>
        <v>0</v>
      </c>
      <c r="H161" s="386">
        <v>0</v>
      </c>
      <c r="I161" s="386">
        <v>0</v>
      </c>
      <c r="J161" s="386">
        <f t="shared" si="33"/>
        <v>30900</v>
      </c>
      <c r="K161" s="386">
        <f t="shared" si="34"/>
        <v>0</v>
      </c>
    </row>
    <row r="162" spans="2:11" x14ac:dyDescent="0.25">
      <c r="B162" s="162">
        <v>4820</v>
      </c>
      <c r="C162" s="159" t="str">
        <f>VLOOKUP(B162,Plan!A:B,2,0)</f>
        <v>Navidad</v>
      </c>
      <c r="D162" s="386">
        <f>SUMIF('Diario Adm'!$C:$C,$B162,'Diario Adm'!F:F)+SUMIF('Diario Cali'!$C:$C,$B162,'Diario Cali'!F:F)</f>
        <v>1775408</v>
      </c>
      <c r="E162" s="386">
        <f>SUMIF('Diario Adm'!$C:$C,$B162,'Diario Adm'!G:G)+SUMIF('Diario Cali'!$C:$C,$B162,'Diario Cali'!G:G)</f>
        <v>0</v>
      </c>
      <c r="F162" s="386">
        <f t="shared" si="31"/>
        <v>1775408</v>
      </c>
      <c r="G162" s="386">
        <f t="shared" si="32"/>
        <v>0</v>
      </c>
      <c r="H162" s="386">
        <v>0</v>
      </c>
      <c r="I162" s="386">
        <v>0</v>
      </c>
      <c r="J162" s="386">
        <f t="shared" si="33"/>
        <v>1775408</v>
      </c>
      <c r="K162" s="386">
        <f t="shared" si="34"/>
        <v>0</v>
      </c>
    </row>
    <row r="163" spans="2:11" x14ac:dyDescent="0.25">
      <c r="B163" s="162">
        <v>4822</v>
      </c>
      <c r="C163" s="159" t="str">
        <f>VLOOKUP(B163,Plan!A:B,2,0)</f>
        <v>Caja de Navidad</v>
      </c>
      <c r="D163" s="386">
        <f>SUMIF('Diario Adm'!$C:$C,$B163,'Diario Adm'!F:F)+SUMIF('Diario Cali'!$C:$C,$B163,'Diario Cali'!F:F)</f>
        <v>19827000</v>
      </c>
      <c r="E163" s="386">
        <f>SUMIF('Diario Adm'!$C:$C,$B163,'Diario Adm'!G:G)+SUMIF('Diario Cali'!$C:$C,$B163,'Diario Cali'!G:G)</f>
        <v>0</v>
      </c>
      <c r="F163" s="386">
        <f>IF(D163&gt;E163,D163-E163,0)</f>
        <v>19827000</v>
      </c>
      <c r="G163" s="386">
        <f>IF(E163&gt;D163,E163-D163,0)</f>
        <v>0</v>
      </c>
      <c r="H163" s="386">
        <v>0</v>
      </c>
      <c r="I163" s="386">
        <v>0</v>
      </c>
      <c r="J163" s="386">
        <f>+F163</f>
        <v>19827000</v>
      </c>
      <c r="K163" s="386">
        <f>+G163</f>
        <v>0</v>
      </c>
    </row>
    <row r="164" spans="2:11" x14ac:dyDescent="0.25">
      <c r="B164" s="162">
        <v>4830</v>
      </c>
      <c r="C164" s="159" t="str">
        <f>VLOOKUP(B164,Plan!A:B,2,0)</f>
        <v>Dia San Alberto Hurtado</v>
      </c>
      <c r="D164" s="386">
        <f>SUMIF('Diario Adm'!$C:$C,$B164,'Diario Adm'!F:F)+SUMIF('Diario Cali'!$C:$C,$B164,'Diario Cali'!F:F)</f>
        <v>0</v>
      </c>
      <c r="E164" s="386">
        <f>SUMIF('Diario Adm'!$C:$C,$B164,'Diario Adm'!G:G)+SUMIF('Diario Cali'!$C:$C,$B164,'Diario Cali'!G:G)</f>
        <v>0</v>
      </c>
      <c r="F164" s="386">
        <f t="shared" si="31"/>
        <v>0</v>
      </c>
      <c r="G164" s="386">
        <f t="shared" si="32"/>
        <v>0</v>
      </c>
      <c r="H164" s="386">
        <v>0</v>
      </c>
      <c r="I164" s="386">
        <v>0</v>
      </c>
      <c r="J164" s="386">
        <f t="shared" si="33"/>
        <v>0</v>
      </c>
      <c r="K164" s="386">
        <f t="shared" si="34"/>
        <v>0</v>
      </c>
    </row>
    <row r="165" spans="2:11" x14ac:dyDescent="0.25">
      <c r="B165" s="162">
        <v>4840</v>
      </c>
      <c r="C165" s="159" t="str">
        <f>VLOOKUP(B165,Plan!A:B,2,0)</f>
        <v>Mes de Maria</v>
      </c>
      <c r="D165" s="386">
        <f>SUMIF('Diario Adm'!$C:$C,$B165,'Diario Adm'!F:F)+SUMIF('Diario Cali'!$C:$C,$B165,'Diario Cali'!F:F)</f>
        <v>0</v>
      </c>
      <c r="E165" s="386">
        <f>SUMIF('Diario Adm'!$C:$C,$B165,'Diario Adm'!G:G)+SUMIF('Diario Cali'!$C:$C,$B165,'Diario Cali'!G:G)</f>
        <v>0</v>
      </c>
      <c r="F165" s="386">
        <f t="shared" si="31"/>
        <v>0</v>
      </c>
      <c r="G165" s="386">
        <f t="shared" si="32"/>
        <v>0</v>
      </c>
      <c r="H165" s="386">
        <v>0</v>
      </c>
      <c r="I165" s="386">
        <v>0</v>
      </c>
      <c r="J165" s="386">
        <f t="shared" si="33"/>
        <v>0</v>
      </c>
      <c r="K165" s="386">
        <f t="shared" si="34"/>
        <v>0</v>
      </c>
    </row>
    <row r="166" spans="2:11" x14ac:dyDescent="0.25">
      <c r="B166" s="162">
        <v>4850</v>
      </c>
      <c r="C166" s="159" t="str">
        <f>VLOOKUP(B166,Plan!A:B,2,0)</f>
        <v>Semana Santa</v>
      </c>
      <c r="D166" s="386">
        <f>SUMIF('Diario Adm'!$C:$C,$B166,'Diario Adm'!F:F)+SUMIF('Diario Cali'!$C:$C,$B166,'Diario Cali'!F:F)</f>
        <v>0</v>
      </c>
      <c r="E166" s="386">
        <f>SUMIF('Diario Adm'!$C:$C,$B166,'Diario Adm'!G:G)+SUMIF('Diario Cali'!$C:$C,$B166,'Diario Cali'!G:G)</f>
        <v>0</v>
      </c>
      <c r="F166" s="386">
        <f t="shared" si="31"/>
        <v>0</v>
      </c>
      <c r="G166" s="386">
        <f t="shared" si="32"/>
        <v>0</v>
      </c>
      <c r="H166" s="386">
        <v>0</v>
      </c>
      <c r="I166" s="386">
        <v>0</v>
      </c>
      <c r="J166" s="386">
        <f t="shared" si="33"/>
        <v>0</v>
      </c>
      <c r="K166" s="386">
        <f t="shared" si="34"/>
        <v>0</v>
      </c>
    </row>
    <row r="167" spans="2:11" x14ac:dyDescent="0.25">
      <c r="B167" s="162">
        <v>4860</v>
      </c>
      <c r="C167" s="159" t="str">
        <f>VLOOKUP(B167,Plan!A:B,2,0)</f>
        <v>Otros</v>
      </c>
      <c r="D167" s="386">
        <f>SUMIF('Diario Adm'!$C:$C,$B167,'Diario Adm'!F:F)+SUMIF('Diario Cali'!$C:$C,$B167,'Diario Cali'!F:F)</f>
        <v>830030</v>
      </c>
      <c r="E167" s="386">
        <f>SUMIF('Diario Adm'!$C:$C,$B167,'Diario Adm'!G:G)+SUMIF('Diario Cali'!$C:$C,$B167,'Diario Cali'!G:G)</f>
        <v>0</v>
      </c>
      <c r="F167" s="386">
        <f t="shared" si="31"/>
        <v>830030</v>
      </c>
      <c r="G167" s="386">
        <f t="shared" si="32"/>
        <v>0</v>
      </c>
      <c r="H167" s="386">
        <v>0</v>
      </c>
      <c r="I167" s="386">
        <v>0</v>
      </c>
      <c r="J167" s="386">
        <f t="shared" si="33"/>
        <v>830030</v>
      </c>
      <c r="K167" s="386">
        <f t="shared" si="34"/>
        <v>0</v>
      </c>
    </row>
    <row r="168" spans="2:11" x14ac:dyDescent="0.25">
      <c r="B168" s="162">
        <v>4861</v>
      </c>
      <c r="C168" s="159" t="str">
        <f>VLOOKUP(B168,Plan!A:B,2,0)</f>
        <v>Curso Biblia</v>
      </c>
      <c r="D168" s="386">
        <f>SUMIF('Diario Adm'!$C:$C,$B168,'Diario Adm'!F:F)+SUMIF('Diario Cali'!$C:$C,$B168,'Diario Cali'!F:F)</f>
        <v>2173000</v>
      </c>
      <c r="E168" s="386">
        <f>SUMIF('Diario Adm'!$C:$C,$B168,'Diario Adm'!G:G)+SUMIF('Diario Cali'!$C:$C,$B168,'Diario Cali'!G:G)</f>
        <v>0</v>
      </c>
      <c r="F168" s="386">
        <f>IF(D168&gt;E168,D168-E168,0)</f>
        <v>2173000</v>
      </c>
      <c r="G168" s="386">
        <f>IF(E168&gt;D168,E168-D168,0)</f>
        <v>0</v>
      </c>
      <c r="H168" s="386">
        <v>0</v>
      </c>
      <c r="I168" s="386">
        <v>0</v>
      </c>
      <c r="J168" s="386">
        <f>+F168</f>
        <v>2173000</v>
      </c>
      <c r="K168" s="386">
        <f>+G168</f>
        <v>0</v>
      </c>
    </row>
    <row r="169" spans="2:11" x14ac:dyDescent="0.25">
      <c r="B169" s="162">
        <v>4910</v>
      </c>
      <c r="C169" s="159" t="str">
        <f>VLOOKUP(B169,Plan!A:B,2,0)</f>
        <v>Casa de Dios</v>
      </c>
      <c r="D169" s="386">
        <f>SUMIF('Diario Adm'!$C:$C,$B169,'Diario Adm'!F:F)+SUMIF('Diario Cali'!$C:$C,$B169,'Diario Cali'!F:F)</f>
        <v>0</v>
      </c>
      <c r="E169" s="386">
        <f>SUMIF('Diario Adm'!$C:$C,$B169,'Diario Adm'!G:G)+SUMIF('Diario Cali'!$C:$C,$B169,'Diario Cali'!G:G)</f>
        <v>0</v>
      </c>
      <c r="F169" s="386">
        <f t="shared" si="31"/>
        <v>0</v>
      </c>
      <c r="G169" s="386">
        <f t="shared" si="32"/>
        <v>0</v>
      </c>
      <c r="H169" s="386">
        <v>0</v>
      </c>
      <c r="I169" s="386">
        <v>0</v>
      </c>
      <c r="J169" s="386">
        <f t="shared" si="33"/>
        <v>0</v>
      </c>
      <c r="K169" s="386">
        <f t="shared" si="34"/>
        <v>0</v>
      </c>
    </row>
    <row r="170" spans="2:11" x14ac:dyDescent="0.25">
      <c r="B170" s="162">
        <v>4920</v>
      </c>
      <c r="C170" s="159" t="str">
        <f>VLOOKUP(B170,Plan!A:B,2,0)</f>
        <v>Incami</v>
      </c>
      <c r="D170" s="386">
        <f>SUMIF('Diario Adm'!$C:$C,$B170,'Diario Adm'!F:F)+SUMIF('Diario Cali'!$C:$C,$B170,'Diario Cali'!F:F)</f>
        <v>0</v>
      </c>
      <c r="E170" s="386">
        <f>SUMIF('Diario Adm'!$C:$C,$B170,'Diario Adm'!G:G)+SUMIF('Diario Cali'!$C:$C,$B170,'Diario Cali'!G:G)</f>
        <v>0</v>
      </c>
      <c r="F170" s="386">
        <f t="shared" si="31"/>
        <v>0</v>
      </c>
      <c r="G170" s="386">
        <f t="shared" si="32"/>
        <v>0</v>
      </c>
      <c r="H170" s="386">
        <v>0</v>
      </c>
      <c r="I170" s="386">
        <v>0</v>
      </c>
      <c r="J170" s="386">
        <f t="shared" si="33"/>
        <v>0</v>
      </c>
      <c r="K170" s="386">
        <f t="shared" si="34"/>
        <v>0</v>
      </c>
    </row>
    <row r="171" spans="2:11" x14ac:dyDescent="0.25">
      <c r="B171" s="162">
        <v>4930</v>
      </c>
      <c r="C171" s="159" t="str">
        <f>VLOOKUP(B171,Plan!A:B,2,0)</f>
        <v>Obras Misionales</v>
      </c>
      <c r="D171" s="386">
        <f>SUMIF('Diario Adm'!$C:$C,$B171,'Diario Adm'!F:F)+SUMIF('Diario Cali'!$C:$C,$B171,'Diario Cali'!F:F)</f>
        <v>0</v>
      </c>
      <c r="E171" s="386">
        <f>SUMIF('Diario Adm'!$C:$C,$B171,'Diario Adm'!G:G)+SUMIF('Diario Cali'!$C:$C,$B171,'Diario Cali'!G:G)</f>
        <v>0</v>
      </c>
      <c r="F171" s="386">
        <f t="shared" si="31"/>
        <v>0</v>
      </c>
      <c r="G171" s="386">
        <f t="shared" si="32"/>
        <v>0</v>
      </c>
      <c r="H171" s="386">
        <v>0</v>
      </c>
      <c r="I171" s="386">
        <v>0</v>
      </c>
      <c r="J171" s="386">
        <f t="shared" si="33"/>
        <v>0</v>
      </c>
      <c r="K171" s="386">
        <f t="shared" si="34"/>
        <v>0</v>
      </c>
    </row>
    <row r="172" spans="2:11" x14ac:dyDescent="0.25">
      <c r="B172" s="162">
        <v>4940</v>
      </c>
      <c r="C172" s="159" t="str">
        <f>VLOOKUP(B172,Plan!A:B,2,0)</f>
        <v>Seminario Mayor</v>
      </c>
      <c r="D172" s="386">
        <f>SUMIF('Diario Adm'!$C:$C,$B172,'Diario Adm'!F:F)+SUMIF('Diario Cali'!$C:$C,$B172,'Diario Cali'!F:F)</f>
        <v>0</v>
      </c>
      <c r="E172" s="386">
        <f>SUMIF('Diario Adm'!$C:$C,$B172,'Diario Adm'!G:G)+SUMIF('Diario Cali'!$C:$C,$B172,'Diario Cali'!G:G)</f>
        <v>0</v>
      </c>
      <c r="F172" s="386">
        <f t="shared" si="31"/>
        <v>0</v>
      </c>
      <c r="G172" s="386">
        <f t="shared" si="32"/>
        <v>0</v>
      </c>
      <c r="H172" s="386">
        <v>0</v>
      </c>
      <c r="I172" s="386">
        <v>0</v>
      </c>
      <c r="J172" s="386">
        <f t="shared" si="33"/>
        <v>0</v>
      </c>
      <c r="K172" s="386">
        <f t="shared" si="34"/>
        <v>0</v>
      </c>
    </row>
    <row r="173" spans="2:11" x14ac:dyDescent="0.25">
      <c r="B173" s="162">
        <v>4941</v>
      </c>
      <c r="C173" s="159" t="str">
        <f>VLOOKUP(B173,Plan!A:B,2,0)</f>
        <v>Obolo de San Pedro</v>
      </c>
      <c r="D173" s="386">
        <f>SUMIF('Diario Adm'!$C:$C,$B173,'Diario Adm'!F:F)+SUMIF('Diario Cali'!$C:$C,$B173,'Diario Cali'!F:F)</f>
        <v>0</v>
      </c>
      <c r="E173" s="386">
        <f>SUMIF('Diario Adm'!$C:$C,$B173,'Diario Adm'!G:G)+SUMIF('Diario Cali'!$C:$C,$B173,'Diario Cali'!G:G)</f>
        <v>0</v>
      </c>
      <c r="F173" s="386">
        <f>IF(D173&gt;E173,D173-E173,0)</f>
        <v>0</v>
      </c>
      <c r="G173" s="386">
        <f>IF(E173&gt;D173,E173-D173,0)</f>
        <v>0</v>
      </c>
      <c r="H173" s="386">
        <v>0</v>
      </c>
      <c r="I173" s="386">
        <v>0</v>
      </c>
      <c r="J173" s="386">
        <f>+F173</f>
        <v>0</v>
      </c>
      <c r="K173" s="386">
        <f>+G173</f>
        <v>0</v>
      </c>
    </row>
    <row r="174" spans="2:11" x14ac:dyDescent="0.25">
      <c r="B174" s="162">
        <v>4950</v>
      </c>
      <c r="C174" s="159" t="str">
        <f>VLOOKUP(B174,Plan!A:B,2,0)</f>
        <v>Cuaresma</v>
      </c>
      <c r="D174" s="386">
        <f>SUMIF('Diario Adm'!$C:$C,$B174,'Diario Adm'!F:F)+SUMIF('Diario Cali'!$C:$C,$B174,'Diario Cali'!F:F)</f>
        <v>459057</v>
      </c>
      <c r="E174" s="386">
        <f>SUMIF('Diario Adm'!$C:$C,$B174,'Diario Adm'!G:G)+SUMIF('Diario Cali'!$C:$C,$B174,'Diario Cali'!G:G)</f>
        <v>0</v>
      </c>
      <c r="F174" s="386">
        <f t="shared" si="31"/>
        <v>459057</v>
      </c>
      <c r="G174" s="386">
        <f t="shared" si="32"/>
        <v>0</v>
      </c>
      <c r="H174" s="386">
        <v>0</v>
      </c>
      <c r="I174" s="386">
        <v>0</v>
      </c>
      <c r="J174" s="386">
        <f t="shared" si="33"/>
        <v>459057</v>
      </c>
      <c r="K174" s="386">
        <f t="shared" si="34"/>
        <v>0</v>
      </c>
    </row>
    <row r="175" spans="2:11" x14ac:dyDescent="0.25">
      <c r="B175" s="162">
        <v>4960</v>
      </c>
      <c r="C175" s="159" t="str">
        <f>VLOOKUP(B175,Plan!A:B,2,0)</f>
        <v>Fundacion San Carlos de Apoquindo</v>
      </c>
      <c r="D175" s="386">
        <f>SUMIF('Diario Adm'!$C:$C,$B175,'Diario Adm'!F:F)+SUMIF('Diario Cali'!$C:$C,$B175,'Diario Cali'!F:F)</f>
        <v>0</v>
      </c>
      <c r="E175" s="386">
        <f>SUMIF('Diario Adm'!$C:$C,$B175,'Diario Adm'!G:G)+SUMIF('Diario Cali'!$C:$C,$B175,'Diario Cali'!G:G)</f>
        <v>0</v>
      </c>
      <c r="F175" s="386">
        <f t="shared" si="31"/>
        <v>0</v>
      </c>
      <c r="G175" s="386">
        <f t="shared" si="32"/>
        <v>0</v>
      </c>
      <c r="H175" s="386">
        <v>0</v>
      </c>
      <c r="I175" s="386">
        <v>0</v>
      </c>
      <c r="J175" s="386">
        <f t="shared" si="33"/>
        <v>0</v>
      </c>
      <c r="K175" s="386">
        <f t="shared" si="34"/>
        <v>0</v>
      </c>
    </row>
    <row r="176" spans="2:11" x14ac:dyDescent="0.25">
      <c r="B176" s="162">
        <v>4970</v>
      </c>
      <c r="C176" s="159" t="str">
        <f>VLOOKUP(B176,Plan!A:B,2,0)</f>
        <v>Santos Lugares</v>
      </c>
      <c r="D176" s="386">
        <f>SUMIF('Diario Adm'!$C:$C,$B176,'Diario Adm'!F:F)+SUMIF('Diario Cali'!$C:$C,$B176,'Diario Cali'!F:F)</f>
        <v>0</v>
      </c>
      <c r="E176" s="386">
        <f>SUMIF('Diario Adm'!$C:$C,$B176,'Diario Adm'!G:G)+SUMIF('Diario Cali'!$C:$C,$B176,'Diario Cali'!G:G)</f>
        <v>0</v>
      </c>
      <c r="F176" s="386">
        <f>IF(D176&gt;E176,D176-E176,0)</f>
        <v>0</v>
      </c>
      <c r="G176" s="386">
        <f>IF(E176&gt;D176,E176-D176,0)</f>
        <v>0</v>
      </c>
      <c r="H176" s="386">
        <v>0</v>
      </c>
      <c r="I176" s="386">
        <v>0</v>
      </c>
      <c r="J176" s="386">
        <f>+F176</f>
        <v>0</v>
      </c>
      <c r="K176" s="386">
        <f>+G176</f>
        <v>0</v>
      </c>
    </row>
    <row r="177" spans="2:11" x14ac:dyDescent="0.25">
      <c r="B177" s="162">
        <v>4980</v>
      </c>
      <c r="C177" s="159" t="str">
        <f>VLOOKUP(B177,Plan!A:B,2,0)</f>
        <v>Colecta Obalo de San Pedro</v>
      </c>
      <c r="D177" s="386">
        <f>SUMIF('Diario Adm'!$C:$C,$B177,'Diario Adm'!F:F)+SUMIF('Diario Cali'!$C:$C,$B177,'Diario Cali'!F:F)</f>
        <v>0</v>
      </c>
      <c r="E177" s="386">
        <f>SUMIF('Diario Adm'!$C:$C,$B177,'Diario Adm'!G:G)+SUMIF('Diario Cali'!$C:$C,$B177,'Diario Cali'!G:G)</f>
        <v>0</v>
      </c>
      <c r="F177" s="386">
        <f>IF(D177&gt;E177,D177-E177,0)</f>
        <v>0</v>
      </c>
      <c r="G177" s="386">
        <f>IF(E177&gt;D177,E177-D177,0)</f>
        <v>0</v>
      </c>
      <c r="H177" s="386">
        <v>0</v>
      </c>
      <c r="I177" s="386">
        <v>0</v>
      </c>
      <c r="J177" s="386">
        <f>+F177</f>
        <v>0</v>
      </c>
      <c r="K177" s="386">
        <f>+G177</f>
        <v>0</v>
      </c>
    </row>
    <row r="178" spans="2:11" x14ac:dyDescent="0.25">
      <c r="B178" s="162">
        <v>7000</v>
      </c>
      <c r="C178" s="159" t="str">
        <f>VLOOKUP(B178,Plan!A:B,2,0)</f>
        <v>GASTOS CONSTRUCCION PARROQUIA</v>
      </c>
      <c r="D178" s="386">
        <f>SUMIF('Diario Adm'!$C:$C,$B178,'Diario Adm'!F:F)+SUMIF('Diario Cali'!$C:$C,$B178,'Diario Cali'!F:F)</f>
        <v>0</v>
      </c>
      <c r="E178" s="386">
        <f>SUMIF('Diario Adm'!$C:$C,$B178,'Diario Adm'!G:G)+SUMIF('Diario Cali'!$C:$C,$B178,'Diario Cali'!G:G)</f>
        <v>0</v>
      </c>
      <c r="F178" s="386">
        <f t="shared" si="31"/>
        <v>0</v>
      </c>
      <c r="G178" s="386">
        <f t="shared" si="32"/>
        <v>0</v>
      </c>
      <c r="H178" s="386">
        <v>0</v>
      </c>
      <c r="I178" s="386">
        <v>0</v>
      </c>
      <c r="J178" s="386">
        <f t="shared" si="33"/>
        <v>0</v>
      </c>
      <c r="K178" s="386">
        <f t="shared" si="34"/>
        <v>0</v>
      </c>
    </row>
    <row r="179" spans="2:11" x14ac:dyDescent="0.25">
      <c r="B179" s="162">
        <v>7001</v>
      </c>
      <c r="C179" s="159" t="str">
        <f>VLOOKUP(B179,Plan!A:B,2,0)</f>
        <v>Variación UF Anticipo y Retenciones</v>
      </c>
      <c r="D179" s="386">
        <f>SUMIF('Diario Adm'!$C:$C,$B179,'Diario Adm'!F:F)+SUMIF('Diario Cali'!$C:$C,$B179,'Diario Cali'!F:F)</f>
        <v>5651539.3175999969</v>
      </c>
      <c r="E179" s="386">
        <f>SUMIF('Diario Adm'!$C:$C,$B179,'Diario Adm'!G:G)+SUMIF('Diario Cali'!$C:$C,$B179,'Diario Cali'!G:G)</f>
        <v>19631186</v>
      </c>
      <c r="F179" s="386">
        <f>IF(D179&gt;E179,D179-E179,0)</f>
        <v>0</v>
      </c>
      <c r="G179" s="386">
        <f>IF(E179&gt;D179,E179-D179,0)</f>
        <v>13979646.682400003</v>
      </c>
      <c r="H179" s="386">
        <v>0</v>
      </c>
      <c r="I179" s="386">
        <v>0</v>
      </c>
      <c r="J179" s="386">
        <f>+F179</f>
        <v>0</v>
      </c>
      <c r="K179" s="386">
        <f>+G179</f>
        <v>13979646.682400003</v>
      </c>
    </row>
    <row r="180" spans="2:11" x14ac:dyDescent="0.25">
      <c r="B180" s="162">
        <v>9011</v>
      </c>
      <c r="C180" s="159" t="str">
        <f>VLOOKUP(B180,Plan!A:B,2,0)</f>
        <v>Sueldo Sacerdotes</v>
      </c>
      <c r="D180" s="386">
        <f>SUMIF('Diario Adm'!$C:$C,$B180,'Diario Adm'!F:F)+SUMIF('Diario Cali'!$C:$C,$B180,'Diario Cali'!F:F)</f>
        <v>10927836</v>
      </c>
      <c r="E180" s="386">
        <f>SUMIF('Diario Adm'!$C:$C,$B180,'Diario Adm'!G:G)+SUMIF('Diario Cali'!$C:$C,$B180,'Diario Cali'!G:G)</f>
        <v>0</v>
      </c>
      <c r="F180" s="386">
        <f t="shared" ref="F180:F193" si="35">IF(D180&gt;E180,D180-E180,0)</f>
        <v>10927836</v>
      </c>
      <c r="G180" s="386">
        <f t="shared" ref="G180:G193" si="36">IF(E180&gt;D180,E180-D180,0)</f>
        <v>0</v>
      </c>
      <c r="H180" s="386">
        <v>0</v>
      </c>
      <c r="I180" s="386">
        <v>0</v>
      </c>
      <c r="J180" s="386">
        <f t="shared" ref="J180:K193" si="37">+F180</f>
        <v>10927836</v>
      </c>
      <c r="K180" s="386">
        <f t="shared" si="37"/>
        <v>0</v>
      </c>
    </row>
    <row r="181" spans="2:11" x14ac:dyDescent="0.25">
      <c r="B181" s="162">
        <v>9012</v>
      </c>
      <c r="C181" s="159" t="str">
        <f>VLOOKUP(B181,Plan!A:B,2,0)</f>
        <v>Sueldo Nana</v>
      </c>
      <c r="D181" s="386">
        <f>SUMIF('Diario Adm'!$C:$C,$B181,'Diario Adm'!F:F)+SUMIF('Diario Cali'!$C:$C,$B181,'Diario Cali'!F:F)</f>
        <v>0</v>
      </c>
      <c r="E181" s="386">
        <f>SUMIF('Diario Adm'!$C:$C,$B181,'Diario Adm'!G:G)+SUMIF('Diario Cali'!$C:$C,$B181,'Diario Cali'!G:G)</f>
        <v>0</v>
      </c>
      <c r="F181" s="386">
        <f t="shared" si="35"/>
        <v>0</v>
      </c>
      <c r="G181" s="386">
        <f t="shared" si="36"/>
        <v>0</v>
      </c>
      <c r="H181" s="386">
        <v>0</v>
      </c>
      <c r="I181" s="386">
        <v>0</v>
      </c>
      <c r="J181" s="386">
        <f t="shared" si="37"/>
        <v>0</v>
      </c>
      <c r="K181" s="386">
        <f t="shared" si="37"/>
        <v>0</v>
      </c>
    </row>
    <row r="182" spans="2:11" x14ac:dyDescent="0.25">
      <c r="B182" s="162">
        <v>9013</v>
      </c>
      <c r="C182" s="159" t="str">
        <f>VLOOKUP(B182,Plan!A:B,2,0)</f>
        <v>Sueldo Jardinero</v>
      </c>
      <c r="D182" s="386">
        <f>SUMIF('Diario Adm'!$C:$C,$B182,'Diario Adm'!F:F)+SUMIF('Diario Cali'!$C:$C,$B182,'Diario Cali'!F:F)</f>
        <v>0</v>
      </c>
      <c r="E182" s="386">
        <f>SUMIF('Diario Adm'!$C:$C,$B182,'Diario Adm'!G:G)+SUMIF('Diario Cali'!$C:$C,$B182,'Diario Cali'!G:G)</f>
        <v>0</v>
      </c>
      <c r="F182" s="386">
        <f t="shared" si="35"/>
        <v>0</v>
      </c>
      <c r="G182" s="386">
        <f t="shared" si="36"/>
        <v>0</v>
      </c>
      <c r="H182" s="386">
        <v>0</v>
      </c>
      <c r="I182" s="386">
        <v>0</v>
      </c>
      <c r="J182" s="386">
        <f t="shared" si="37"/>
        <v>0</v>
      </c>
      <c r="K182" s="386">
        <f t="shared" si="37"/>
        <v>0</v>
      </c>
    </row>
    <row r="183" spans="2:11" x14ac:dyDescent="0.25">
      <c r="B183" s="162">
        <v>9021</v>
      </c>
      <c r="C183" s="159" t="str">
        <f>VLOOKUP(B183,Plan!A:B,2,0)</f>
        <v>Luz</v>
      </c>
      <c r="D183" s="386">
        <f>SUMIF('Diario Adm'!$C:$C,$B183,'Diario Adm'!F:F)+SUMIF('Diario Cali'!$C:$C,$B183,'Diario Cali'!F:F)</f>
        <v>0</v>
      </c>
      <c r="E183" s="386">
        <f>SUMIF('Diario Adm'!$C:$C,$B183,'Diario Adm'!G:G)+SUMIF('Diario Cali'!$C:$C,$B183,'Diario Cali'!G:G)</f>
        <v>0</v>
      </c>
      <c r="F183" s="386">
        <f t="shared" si="35"/>
        <v>0</v>
      </c>
      <c r="G183" s="386">
        <f t="shared" si="36"/>
        <v>0</v>
      </c>
      <c r="H183" s="386">
        <v>0</v>
      </c>
      <c r="I183" s="386">
        <v>0</v>
      </c>
      <c r="J183" s="386">
        <f t="shared" si="37"/>
        <v>0</v>
      </c>
      <c r="K183" s="386">
        <f t="shared" si="37"/>
        <v>0</v>
      </c>
    </row>
    <row r="184" spans="2:11" x14ac:dyDescent="0.25">
      <c r="B184" s="162">
        <v>9022</v>
      </c>
      <c r="C184" s="159" t="str">
        <f>VLOOKUP(B184,Plan!A:B,2,0)</f>
        <v>Agua</v>
      </c>
      <c r="D184" s="386">
        <f>SUMIF('Diario Adm'!$C:$C,$B184,'Diario Adm'!F:F)+SUMIF('Diario Cali'!$C:$C,$B184,'Diario Cali'!F:F)</f>
        <v>0</v>
      </c>
      <c r="E184" s="386">
        <f>SUMIF('Diario Adm'!$C:$C,$B184,'Diario Adm'!G:G)+SUMIF('Diario Cali'!$C:$C,$B184,'Diario Cali'!G:G)</f>
        <v>0</v>
      </c>
      <c r="F184" s="386">
        <f>IF(D184&gt;E184,D184-E184,0)</f>
        <v>0</v>
      </c>
      <c r="G184" s="386">
        <f>IF(E184&gt;D184,E184-D184,0)</f>
        <v>0</v>
      </c>
      <c r="H184" s="386">
        <v>0</v>
      </c>
      <c r="I184" s="386">
        <v>0</v>
      </c>
      <c r="J184" s="386">
        <f>+F184</f>
        <v>0</v>
      </c>
      <c r="K184" s="386">
        <f>+G184</f>
        <v>0</v>
      </c>
    </row>
    <row r="185" spans="2:11" x14ac:dyDescent="0.25">
      <c r="B185" s="162">
        <v>9023</v>
      </c>
      <c r="C185" s="159" t="str">
        <f>VLOOKUP(B185,Plan!A:B,2,0)</f>
        <v>ADT</v>
      </c>
      <c r="D185" s="386">
        <f>SUMIF('Diario Adm'!$C:$C,$B185,'Diario Adm'!F:F)+SUMIF('Diario Cali'!$C:$C,$B185,'Diario Cali'!F:F)</f>
        <v>0</v>
      </c>
      <c r="E185" s="386">
        <f>SUMIF('Diario Adm'!$C:$C,$B185,'Diario Adm'!G:G)+SUMIF('Diario Cali'!$C:$C,$B185,'Diario Cali'!G:G)</f>
        <v>0</v>
      </c>
      <c r="F185" s="386">
        <f>IF(D185&gt;E185,D185-E185,0)</f>
        <v>0</v>
      </c>
      <c r="G185" s="386">
        <f>IF(E185&gt;D185,E185-D185,0)</f>
        <v>0</v>
      </c>
      <c r="H185" s="386">
        <v>0</v>
      </c>
      <c r="I185" s="386">
        <v>0</v>
      </c>
      <c r="J185" s="386">
        <f>+F185</f>
        <v>0</v>
      </c>
      <c r="K185" s="386">
        <f>+G185</f>
        <v>0</v>
      </c>
    </row>
    <row r="186" spans="2:11" x14ac:dyDescent="0.25">
      <c r="B186" s="162">
        <v>9024</v>
      </c>
      <c r="C186" s="159" t="str">
        <f>VLOOKUP(B186,Plan!A:B,2,0)</f>
        <v>VTR</v>
      </c>
      <c r="D186" s="386">
        <f>SUMIF('Diario Adm'!$C:$C,$B186,'Diario Adm'!F:F)+SUMIF('Diario Cali'!$C:$C,$B186,'Diario Cali'!F:F)</f>
        <v>0</v>
      </c>
      <c r="E186" s="386">
        <f>SUMIF('Diario Adm'!$C:$C,$B186,'Diario Adm'!G:G)+SUMIF('Diario Cali'!$C:$C,$B186,'Diario Cali'!G:G)</f>
        <v>0</v>
      </c>
      <c r="F186" s="386">
        <f t="shared" si="35"/>
        <v>0</v>
      </c>
      <c r="G186" s="386">
        <f t="shared" si="36"/>
        <v>0</v>
      </c>
      <c r="H186" s="386">
        <v>0</v>
      </c>
      <c r="I186" s="386">
        <v>0</v>
      </c>
      <c r="J186" s="386">
        <f t="shared" si="37"/>
        <v>0</v>
      </c>
      <c r="K186" s="386">
        <f t="shared" si="37"/>
        <v>0</v>
      </c>
    </row>
    <row r="187" spans="2:11" x14ac:dyDescent="0.25">
      <c r="B187" s="162">
        <v>9025</v>
      </c>
      <c r="C187" s="159" t="str">
        <f>VLOOKUP(B187,Plan!A:B,2,0)</f>
        <v>Gas</v>
      </c>
      <c r="D187" s="386">
        <f>SUMIF('Diario Adm'!$C:$C,$B187,'Diario Adm'!F:F)+SUMIF('Diario Cali'!$C:$C,$B187,'Diario Cali'!F:F)</f>
        <v>0</v>
      </c>
      <c r="E187" s="386">
        <f>SUMIF('Diario Adm'!$C:$C,$B187,'Diario Adm'!G:G)+SUMIF('Diario Cali'!$C:$C,$B187,'Diario Cali'!G:G)</f>
        <v>0</v>
      </c>
      <c r="F187" s="386">
        <f>IF(D187&gt;E187,D187-E187,0)</f>
        <v>0</v>
      </c>
      <c r="G187" s="386">
        <f>IF(E187&gt;D187,E187-D187,0)</f>
        <v>0</v>
      </c>
      <c r="H187" s="386">
        <v>0</v>
      </c>
      <c r="I187" s="386">
        <v>0</v>
      </c>
      <c r="J187" s="386">
        <f t="shared" ref="J187:K189" si="38">+F187</f>
        <v>0</v>
      </c>
      <c r="K187" s="386">
        <f t="shared" si="38"/>
        <v>0</v>
      </c>
    </row>
    <row r="188" spans="2:11" x14ac:dyDescent="0.25">
      <c r="B188" s="162">
        <v>9040</v>
      </c>
      <c r="C188" s="159" t="str">
        <f>VLOOKUP(B188,Plan!A:B,2,0)</f>
        <v>Mantención y arreglos</v>
      </c>
      <c r="D188" s="386">
        <f>SUMIF('Diario Adm'!$C:$C,$B188,'Diario Adm'!F:F)+SUMIF('Diario Cali'!$C:$C,$B188,'Diario Cali'!F:F)</f>
        <v>0</v>
      </c>
      <c r="E188" s="386">
        <f>SUMIF('Diario Adm'!$C:$C,$B188,'Diario Adm'!G:G)+SUMIF('Diario Cali'!$C:$C,$B188,'Diario Cali'!G:G)</f>
        <v>0</v>
      </c>
      <c r="F188" s="386">
        <f>IF(D188&gt;E188,D188-E188,0)</f>
        <v>0</v>
      </c>
      <c r="G188" s="386">
        <f>IF(E188&gt;D188,E188-D188,0)</f>
        <v>0</v>
      </c>
      <c r="H188" s="386">
        <v>0</v>
      </c>
      <c r="I188" s="386">
        <v>0</v>
      </c>
      <c r="J188" s="386">
        <f t="shared" si="38"/>
        <v>0</v>
      </c>
      <c r="K188" s="386">
        <f t="shared" si="38"/>
        <v>0</v>
      </c>
    </row>
    <row r="189" spans="2:11" x14ac:dyDescent="0.25">
      <c r="B189" s="162">
        <v>9041</v>
      </c>
      <c r="C189" s="159" t="str">
        <f>VLOOKUP(B189,Plan!A:B,2,0)</f>
        <v>Arriendo Casa Sacerdotes</v>
      </c>
      <c r="D189" s="386">
        <f>SUMIF('Diario Adm'!$C:$C,$B189,'Diario Adm'!F:F)+SUMIF('Diario Cali'!$C:$C,$B189,'Diario Cali'!F:F)</f>
        <v>0</v>
      </c>
      <c r="E189" s="386">
        <f>SUMIF('Diario Adm'!$C:$C,$B189,'Diario Adm'!G:G)+SUMIF('Diario Cali'!$C:$C,$B189,'Diario Cali'!G:G)</f>
        <v>0</v>
      </c>
      <c r="F189" s="386">
        <f>IF(D189&gt;E189,D189-E189,0)</f>
        <v>0</v>
      </c>
      <c r="G189" s="386">
        <f>IF(E189&gt;D189,E189-D189,0)</f>
        <v>0</v>
      </c>
      <c r="H189" s="386">
        <v>0</v>
      </c>
      <c r="I189" s="386">
        <v>0</v>
      </c>
      <c r="J189" s="386">
        <f t="shared" si="38"/>
        <v>0</v>
      </c>
      <c r="K189" s="386">
        <f t="shared" si="38"/>
        <v>0</v>
      </c>
    </row>
    <row r="190" spans="2:11" x14ac:dyDescent="0.25">
      <c r="B190" s="162">
        <v>9042</v>
      </c>
      <c r="C190" s="159" t="str">
        <f>VLOOKUP(B190,Plan!A:B,2,0)</f>
        <v>Aporte a Casa Sacerdotes</v>
      </c>
      <c r="D190" s="386">
        <f>SUMIF('Diario Adm'!$C:$C,$B190,'Diario Adm'!F:F)+SUMIF('Diario Cali'!$C:$C,$B190,'Diario Cali'!F:F)</f>
        <v>0</v>
      </c>
      <c r="E190" s="386">
        <f>SUMIF('Diario Adm'!$C:$C,$B190,'Diario Adm'!G:G)+SUMIF('Diario Cali'!$C:$C,$B190,'Diario Cali'!G:G)</f>
        <v>0</v>
      </c>
      <c r="F190" s="386">
        <f>IF(D190&gt;E190,D190-E190,0)</f>
        <v>0</v>
      </c>
      <c r="G190" s="386">
        <f>IF(E190&gt;D190,E190-D190,0)</f>
        <v>0</v>
      </c>
      <c r="H190" s="386">
        <v>0</v>
      </c>
      <c r="I190" s="386">
        <v>0</v>
      </c>
      <c r="J190" s="386">
        <f>+F190</f>
        <v>0</v>
      </c>
      <c r="K190" s="386">
        <f>+G190</f>
        <v>0</v>
      </c>
    </row>
    <row r="191" spans="2:11" x14ac:dyDescent="0.25">
      <c r="B191" s="162">
        <v>6001</v>
      </c>
      <c r="C191" s="159" t="str">
        <f>VLOOKUP(B191,Plan!A:B,2,0)</f>
        <v>Intereses Financieros Administración</v>
      </c>
      <c r="D191" s="386">
        <f>SUMIF('Diario Adm'!$C:$C,$B191,'Diario Adm'!F:F)+SUMIF('Diario Cali'!$C:$C,$B191,'Diario Cali'!F:F)</f>
        <v>0</v>
      </c>
      <c r="E191" s="386">
        <f>SUMIF('Diario Adm'!$C:$C,$B191,'Diario Adm'!G:G)+SUMIF('Diario Cali'!$C:$C,$B191,'Diario Cali'!G:G)</f>
        <v>0</v>
      </c>
      <c r="F191" s="386">
        <f t="shared" si="35"/>
        <v>0</v>
      </c>
      <c r="G191" s="386">
        <f t="shared" si="36"/>
        <v>0</v>
      </c>
      <c r="H191" s="386">
        <v>0</v>
      </c>
      <c r="I191" s="386">
        <v>0</v>
      </c>
      <c r="J191" s="386">
        <f t="shared" si="37"/>
        <v>0</v>
      </c>
      <c r="K191" s="386">
        <f t="shared" si="37"/>
        <v>0</v>
      </c>
    </row>
    <row r="192" spans="2:11" x14ac:dyDescent="0.25">
      <c r="B192" s="162">
        <v>6002</v>
      </c>
      <c r="C192" s="159" t="str">
        <f>VLOOKUP(B192,Plan!A:B,2,0)</f>
        <v>Intereses Financieros Cali</v>
      </c>
      <c r="D192" s="386">
        <f>SUMIF('Diario Adm'!$C:$C,$B192,'Diario Adm'!F:F)+SUMIF('Diario Cali'!$C:$C,$B192,'Diario Cali'!F:F)</f>
        <v>152625</v>
      </c>
      <c r="E192" s="386">
        <f>SUMIF('Diario Adm'!$C:$C,$B192,'Diario Adm'!G:G)+SUMIF('Diario Cali'!$C:$C,$B192,'Diario Cali'!G:G)</f>
        <v>6222051</v>
      </c>
      <c r="F192" s="386">
        <f>IF(D192&gt;E192,D192-E192,0)</f>
        <v>0</v>
      </c>
      <c r="G192" s="386">
        <f>IF(E192&gt;D192,E192-D192,0)</f>
        <v>6069426</v>
      </c>
      <c r="H192" s="386">
        <v>0</v>
      </c>
      <c r="I192" s="386">
        <v>0</v>
      </c>
      <c r="J192" s="386">
        <f>+F192</f>
        <v>0</v>
      </c>
      <c r="K192" s="386">
        <f>+G192</f>
        <v>6069426</v>
      </c>
    </row>
    <row r="193" spans="2:11" x14ac:dyDescent="0.25">
      <c r="B193" s="162">
        <v>6003</v>
      </c>
      <c r="C193" s="159" t="str">
        <f>VLOOKUP(B193,Plan!A:B,2,0)</f>
        <v>Donaciones No Cali</v>
      </c>
      <c r="D193" s="386">
        <f>SUMIF('Diario Adm'!$C:$C,$B193,'Diario Adm'!F:F)+SUMIF('Diario Cali'!$C:$C,$B193,'Diario Cali'!F:F)</f>
        <v>0</v>
      </c>
      <c r="E193" s="386">
        <f>SUMIF('Diario Adm'!$C:$C,$B193,'Diario Adm'!G:G)+SUMIF('Diario Cali'!$C:$C,$B193,'Diario Cali'!G:G)</f>
        <v>0</v>
      </c>
      <c r="F193" s="386">
        <f t="shared" si="35"/>
        <v>0</v>
      </c>
      <c r="G193" s="386">
        <f t="shared" si="36"/>
        <v>0</v>
      </c>
      <c r="H193" s="386">
        <v>0</v>
      </c>
      <c r="I193" s="386">
        <v>0</v>
      </c>
      <c r="J193" s="386">
        <f t="shared" si="37"/>
        <v>0</v>
      </c>
      <c r="K193" s="386">
        <f t="shared" si="37"/>
        <v>0</v>
      </c>
    </row>
    <row r="194" spans="2:11" x14ac:dyDescent="0.25">
      <c r="B194" s="157"/>
      <c r="C194" s="559" t="s">
        <v>132</v>
      </c>
      <c r="D194" s="560">
        <f t="shared" ref="D194:K194" si="39">SUM(D9:D193)</f>
        <v>14587544408.7876</v>
      </c>
      <c r="E194" s="560">
        <f t="shared" si="39"/>
        <v>14587544408.3176</v>
      </c>
      <c r="F194" s="560">
        <f t="shared" si="39"/>
        <v>4085359587</v>
      </c>
      <c r="G194" s="560">
        <f t="shared" si="39"/>
        <v>4085359586.5300002</v>
      </c>
      <c r="H194" s="560">
        <f t="shared" si="39"/>
        <v>3870444408</v>
      </c>
      <c r="I194" s="560">
        <f t="shared" si="39"/>
        <v>3306792539.8476</v>
      </c>
      <c r="J194" s="560">
        <f t="shared" si="39"/>
        <v>214915179</v>
      </c>
      <c r="K194" s="560">
        <f t="shared" si="39"/>
        <v>778567046.68239999</v>
      </c>
    </row>
    <row r="195" spans="2:11" x14ac:dyDescent="0.25">
      <c r="B195" s="157"/>
      <c r="C195" s="559" t="s">
        <v>133</v>
      </c>
      <c r="D195" s="560"/>
      <c r="E195" s="560"/>
      <c r="F195" s="560"/>
      <c r="G195" s="560"/>
      <c r="H195" s="560"/>
      <c r="I195" s="560">
        <f>+H194-I194</f>
        <v>563651868.15240002</v>
      </c>
      <c r="J195" s="560">
        <f>+K194-J194</f>
        <v>563651867.68239999</v>
      </c>
      <c r="K195" s="560"/>
    </row>
    <row r="196" spans="2:11" x14ac:dyDescent="0.25">
      <c r="B196" s="158"/>
      <c r="C196" s="559" t="s">
        <v>134</v>
      </c>
      <c r="D196" s="560">
        <f>+D194+D195</f>
        <v>14587544408.7876</v>
      </c>
      <c r="E196" s="560">
        <f t="shared" ref="E196:K196" si="40">+E194+E195</f>
        <v>14587544408.3176</v>
      </c>
      <c r="F196" s="560">
        <f t="shared" si="40"/>
        <v>4085359587</v>
      </c>
      <c r="G196" s="560">
        <f t="shared" si="40"/>
        <v>4085359586.5300002</v>
      </c>
      <c r="H196" s="560">
        <f t="shared" si="40"/>
        <v>3870444408</v>
      </c>
      <c r="I196" s="560">
        <f t="shared" si="40"/>
        <v>3870444408</v>
      </c>
      <c r="J196" s="560">
        <f>+J194+J195</f>
        <v>778567046.68239999</v>
      </c>
      <c r="K196" s="560">
        <f t="shared" si="40"/>
        <v>778567046.68239999</v>
      </c>
    </row>
    <row r="197" spans="2:11" x14ac:dyDescent="0.25">
      <c r="E197" s="155">
        <f>+E196-D196</f>
        <v>-0.46999931335449219</v>
      </c>
      <c r="J197" s="155">
        <f>+I195-J195</f>
        <v>0.47000002861022949</v>
      </c>
    </row>
    <row r="199" spans="2:11" x14ac:dyDescent="0.25">
      <c r="B199" s="155"/>
    </row>
    <row r="200" spans="2:11" x14ac:dyDescent="0.25">
      <c r="J200" s="155">
        <f>+'Resultado Cali'!P41</f>
        <v>591910679.68239999</v>
      </c>
    </row>
    <row r="201" spans="2:11" x14ac:dyDescent="0.25">
      <c r="J201" s="155">
        <f>+'Resultado Admin.'!P105</f>
        <v>-28258812</v>
      </c>
    </row>
    <row r="202" spans="2:11" x14ac:dyDescent="0.25">
      <c r="J202" s="155">
        <f>+J200+J201</f>
        <v>563651867.68239999</v>
      </c>
    </row>
    <row r="203" spans="2:11" x14ac:dyDescent="0.25">
      <c r="J203" s="155">
        <f>+J195-J202</f>
        <v>0</v>
      </c>
      <c r="K203" s="550" t="s">
        <v>288</v>
      </c>
    </row>
    <row r="204" spans="2:11" x14ac:dyDescent="0.25">
      <c r="C204" s="561"/>
      <c r="D204"/>
      <c r="E204"/>
      <c r="F204"/>
      <c r="H204"/>
      <c r="I204" s="561" t="s">
        <v>149</v>
      </c>
      <c r="J204"/>
      <c r="K204"/>
    </row>
    <row r="205" spans="2:11" x14ac:dyDescent="0.25">
      <c r="C205" s="561"/>
      <c r="D205"/>
      <c r="E205"/>
      <c r="F205"/>
      <c r="H205"/>
      <c r="I205" s="561" t="s">
        <v>150</v>
      </c>
      <c r="J205"/>
      <c r="K205"/>
    </row>
    <row r="206" spans="2:11" x14ac:dyDescent="0.25">
      <c r="C206" s="561"/>
      <c r="D206"/>
      <c r="E206"/>
      <c r="F206"/>
      <c r="H206"/>
      <c r="I206" s="561" t="s">
        <v>151</v>
      </c>
      <c r="J206"/>
      <c r="K206"/>
    </row>
  </sheetData>
  <mergeCells count="5">
    <mergeCell ref="J7:K7"/>
    <mergeCell ref="H7:I7"/>
    <mergeCell ref="F7:G7"/>
    <mergeCell ref="C2:K2"/>
    <mergeCell ref="C4:K4"/>
  </mergeCells>
  <pageMargins left="0.31496062992125984" right="0.31496062992125984" top="0.74803149606299213" bottom="0.74803149606299213" header="0.31496062992125984" footer="0.31496062992125984"/>
  <pageSetup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70B4F-83A9-4C60-87BC-CD4F8C8AB3A6}">
  <sheetPr>
    <tabColor rgb="FF00B0F0"/>
  </sheetPr>
  <dimension ref="A3:K27"/>
  <sheetViews>
    <sheetView workbookViewId="0">
      <selection activeCell="E25" sqref="E25"/>
    </sheetView>
  </sheetViews>
  <sheetFormatPr baseColWidth="10" defaultRowHeight="15.65" x14ac:dyDescent="0.25"/>
  <cols>
    <col min="2" max="2" width="15.19921875" bestFit="1" customWidth="1"/>
    <col min="3" max="3" width="15.19921875" customWidth="1"/>
    <col min="4" max="4" width="10.8984375" style="580"/>
    <col min="5" max="5" width="17.19921875" bestFit="1" customWidth="1"/>
  </cols>
  <sheetData>
    <row r="3" spans="1:11" x14ac:dyDescent="0.25">
      <c r="A3" s="156" t="s">
        <v>2544</v>
      </c>
      <c r="B3" s="156" t="s">
        <v>2541</v>
      </c>
      <c r="C3" s="156" t="s">
        <v>2545</v>
      </c>
      <c r="D3" s="579" t="s">
        <v>111</v>
      </c>
      <c r="E3" s="156" t="s">
        <v>2543</v>
      </c>
      <c r="F3" s="156" t="s">
        <v>2542</v>
      </c>
      <c r="H3" s="156" t="s">
        <v>2543</v>
      </c>
      <c r="I3" s="156" t="s">
        <v>2542</v>
      </c>
    </row>
    <row r="4" spans="1:11" x14ac:dyDescent="0.25">
      <c r="B4" s="381">
        <v>16569.29</v>
      </c>
      <c r="C4">
        <v>2510</v>
      </c>
      <c r="D4" s="580">
        <v>44196</v>
      </c>
    </row>
    <row r="5" spans="1:11" x14ac:dyDescent="0.25">
      <c r="C5">
        <v>2576</v>
      </c>
      <c r="D5" s="580">
        <v>44196</v>
      </c>
      <c r="E5" s="381">
        <v>-1038.9000000000001</v>
      </c>
      <c r="F5" s="381">
        <v>519.45000000000005</v>
      </c>
    </row>
    <row r="6" spans="1:11" x14ac:dyDescent="0.25">
      <c r="C6">
        <v>2606</v>
      </c>
      <c r="D6" s="580">
        <v>44196</v>
      </c>
      <c r="E6" s="381">
        <v>-238.66</v>
      </c>
      <c r="F6" s="381">
        <v>119.33</v>
      </c>
    </row>
    <row r="7" spans="1:11" x14ac:dyDescent="0.25">
      <c r="C7">
        <v>2644</v>
      </c>
      <c r="D7" s="580">
        <v>44196</v>
      </c>
      <c r="E7" s="381">
        <v>-226.85</v>
      </c>
      <c r="F7" s="381">
        <v>113.42</v>
      </c>
      <c r="H7" s="156"/>
      <c r="I7" s="156"/>
      <c r="J7" s="156"/>
    </row>
    <row r="8" spans="1:11" x14ac:dyDescent="0.25">
      <c r="C8">
        <v>2778</v>
      </c>
      <c r="D8" s="580">
        <v>44196</v>
      </c>
      <c r="E8" s="381">
        <v>-163.12</v>
      </c>
      <c r="F8" s="381">
        <v>81.56</v>
      </c>
      <c r="I8" s="381"/>
    </row>
    <row r="9" spans="1:11" x14ac:dyDescent="0.25">
      <c r="C9">
        <v>2810</v>
      </c>
      <c r="D9" s="580">
        <v>44895</v>
      </c>
      <c r="E9" s="381">
        <v>-400.21</v>
      </c>
      <c r="F9" s="381">
        <v>200.11</v>
      </c>
      <c r="I9" s="381"/>
      <c r="J9" s="381"/>
    </row>
    <row r="10" spans="1:11" x14ac:dyDescent="0.25">
      <c r="C10">
        <v>2829</v>
      </c>
      <c r="D10" s="580">
        <v>44561</v>
      </c>
      <c r="E10" s="381">
        <v>-435.88</v>
      </c>
      <c r="F10" s="381">
        <v>217.94</v>
      </c>
      <c r="H10" s="264">
        <v>-12671175</v>
      </c>
      <c r="I10" s="264">
        <v>-6335588</v>
      </c>
      <c r="J10" s="381">
        <f>+H10/E10</f>
        <v>29070.328989630172</v>
      </c>
      <c r="K10" s="381">
        <f>+I10/F10</f>
        <v>-29070.33128383959</v>
      </c>
    </row>
    <row r="11" spans="1:11" x14ac:dyDescent="0.25">
      <c r="C11">
        <v>2854</v>
      </c>
      <c r="D11" s="580">
        <v>44227</v>
      </c>
      <c r="E11" s="381">
        <v>-500.31</v>
      </c>
      <c r="F11" s="381">
        <v>250.16</v>
      </c>
      <c r="H11" s="264">
        <v>-14570898</v>
      </c>
      <c r="I11" s="264">
        <v>-7285595</v>
      </c>
      <c r="J11" s="381">
        <f t="shared" ref="J11:J21" si="0">+H11/E11</f>
        <v>29123.739281645379</v>
      </c>
      <c r="K11" s="381">
        <f t="shared" ref="K11:K21" si="1">+I11/F11</f>
        <v>-29123.740805884234</v>
      </c>
    </row>
    <row r="12" spans="1:11" x14ac:dyDescent="0.25">
      <c r="C12">
        <v>2884</v>
      </c>
      <c r="D12" s="580">
        <v>44255</v>
      </c>
      <c r="E12" s="381">
        <v>-328.52</v>
      </c>
      <c r="F12" s="381">
        <v>164.26</v>
      </c>
      <c r="H12" s="264">
        <v>-9621480</v>
      </c>
      <c r="I12" s="264">
        <v>-4810745</v>
      </c>
      <c r="J12" s="381">
        <f t="shared" si="0"/>
        <v>29287.349324242055</v>
      </c>
      <c r="K12" s="381">
        <f t="shared" si="1"/>
        <v>-29287.379763789115</v>
      </c>
    </row>
    <row r="13" spans="1:11" x14ac:dyDescent="0.25">
      <c r="C13">
        <v>2930</v>
      </c>
      <c r="D13" s="580">
        <v>44286</v>
      </c>
      <c r="E13" s="381">
        <v>-495.59</v>
      </c>
      <c r="F13" s="381">
        <v>247.79</v>
      </c>
      <c r="H13" s="264">
        <v>-14567745</v>
      </c>
      <c r="I13" s="264">
        <v>-7283730</v>
      </c>
      <c r="J13" s="381">
        <f t="shared" si="0"/>
        <v>29394.751710082932</v>
      </c>
      <c r="K13" s="381">
        <f t="shared" si="1"/>
        <v>-29394.769764720128</v>
      </c>
    </row>
    <row r="14" spans="1:11" x14ac:dyDescent="0.25">
      <c r="C14">
        <v>2957</v>
      </c>
      <c r="D14" s="580">
        <v>44316</v>
      </c>
      <c r="E14" s="381">
        <v>-849.89</v>
      </c>
      <c r="F14" s="381">
        <v>312.92</v>
      </c>
      <c r="H14" s="264">
        <v>-25066747</v>
      </c>
      <c r="I14" s="264">
        <v>-9229303</v>
      </c>
      <c r="J14" s="381">
        <f t="shared" si="0"/>
        <v>29494.107472731765</v>
      </c>
      <c r="K14" s="381">
        <f t="shared" si="1"/>
        <v>-29494.129489965486</v>
      </c>
    </row>
    <row r="15" spans="1:11" x14ac:dyDescent="0.25">
      <c r="C15">
        <v>2973</v>
      </c>
      <c r="E15" s="381">
        <v>-943.43</v>
      </c>
      <c r="F15" s="381">
        <v>347.36</v>
      </c>
      <c r="H15" s="264">
        <v>-27938577</v>
      </c>
      <c r="I15" s="264">
        <v>-10286758</v>
      </c>
      <c r="J15" s="381">
        <f t="shared" si="0"/>
        <v>29613.831444834275</v>
      </c>
      <c r="K15" s="381">
        <f t="shared" si="1"/>
        <v>-29614.112160294793</v>
      </c>
    </row>
    <row r="16" spans="1:11" x14ac:dyDescent="0.25">
      <c r="C16">
        <v>2995</v>
      </c>
      <c r="D16" s="580">
        <v>44377</v>
      </c>
      <c r="E16" s="381">
        <v>-578.97</v>
      </c>
      <c r="F16" s="381">
        <v>213.17</v>
      </c>
      <c r="H16" s="264">
        <v>-17200982</v>
      </c>
      <c r="I16" s="264">
        <v>-6333244</v>
      </c>
      <c r="J16" s="381">
        <f t="shared" si="0"/>
        <v>29709.625714631155</v>
      </c>
      <c r="K16" s="381">
        <f t="shared" si="1"/>
        <v>-29709.827836937657</v>
      </c>
    </row>
    <row r="17" spans="3:11" x14ac:dyDescent="0.25">
      <c r="C17">
        <v>3022</v>
      </c>
      <c r="D17" s="580">
        <v>44773</v>
      </c>
      <c r="E17" s="381">
        <v>-498.71</v>
      </c>
      <c r="F17" s="381">
        <v>183.61</v>
      </c>
      <c r="H17" s="264">
        <v>-14840291</v>
      </c>
      <c r="I17" s="264">
        <v>-5463800</v>
      </c>
      <c r="J17" s="381">
        <f t="shared" si="0"/>
        <v>29757.355978424337</v>
      </c>
      <c r="K17" s="381">
        <f t="shared" si="1"/>
        <v>-29757.63847285006</v>
      </c>
    </row>
    <row r="18" spans="3:11" x14ac:dyDescent="0.25">
      <c r="D18" s="580">
        <v>44804</v>
      </c>
      <c r="E18" s="381">
        <v>-1041.5999999999999</v>
      </c>
      <c r="F18" s="381">
        <v>383.51</v>
      </c>
      <c r="H18" s="264">
        <v>-31180276</v>
      </c>
      <c r="I18" s="264">
        <v>-11480403</v>
      </c>
      <c r="J18" s="381">
        <f t="shared" si="0"/>
        <v>29934.980798771125</v>
      </c>
      <c r="K18" s="381">
        <f t="shared" si="1"/>
        <v>-29935.081223436155</v>
      </c>
    </row>
    <row r="19" spans="3:11" x14ac:dyDescent="0.25">
      <c r="D19" s="580">
        <v>44834</v>
      </c>
      <c r="E19" s="381">
        <v>-234.28</v>
      </c>
      <c r="F19" s="381">
        <v>86.18</v>
      </c>
      <c r="H19" s="264">
        <v>-7042958</v>
      </c>
      <c r="I19" s="264">
        <v>-2593016</v>
      </c>
      <c r="J19" s="381">
        <f t="shared" si="0"/>
        <v>30062.139320471229</v>
      </c>
      <c r="K19" s="381">
        <f t="shared" si="1"/>
        <v>-30088.373172429794</v>
      </c>
    </row>
    <row r="20" spans="3:11" x14ac:dyDescent="0.25">
      <c r="C20">
        <v>3075</v>
      </c>
      <c r="D20" s="580">
        <v>44500</v>
      </c>
      <c r="E20" s="381">
        <v>-491.44</v>
      </c>
      <c r="F20" s="381">
        <v>180.94</v>
      </c>
      <c r="H20" s="264">
        <v>-14930099</v>
      </c>
      <c r="I20" s="264">
        <v>-5497053</v>
      </c>
      <c r="J20" s="381">
        <f t="shared" si="0"/>
        <v>30380.308888165393</v>
      </c>
      <c r="K20" s="381">
        <f t="shared" si="1"/>
        <v>-30380.529457278655</v>
      </c>
    </row>
    <row r="21" spans="3:11" x14ac:dyDescent="0.25">
      <c r="C21">
        <v>3112</v>
      </c>
      <c r="D21" s="580">
        <v>44895</v>
      </c>
      <c r="E21" s="381">
        <v>-742.91</v>
      </c>
      <c r="F21" s="381">
        <v>273.52999999999997</v>
      </c>
      <c r="H21" s="264">
        <v>-22854095</v>
      </c>
      <c r="I21" s="264">
        <v>-8414549</v>
      </c>
      <c r="J21" s="381">
        <f t="shared" si="0"/>
        <v>30762.938983187734</v>
      </c>
      <c r="K21" s="381">
        <f t="shared" si="1"/>
        <v>-30762.801155266337</v>
      </c>
    </row>
    <row r="22" spans="3:11" x14ac:dyDescent="0.25">
      <c r="E22" s="381">
        <v>0.21</v>
      </c>
    </row>
    <row r="23" spans="3:11" x14ac:dyDescent="0.25">
      <c r="C23" s="368" t="s">
        <v>2546</v>
      </c>
      <c r="D23" s="581"/>
      <c r="E23" s="582">
        <f>SUM(E5:E22)</f>
        <v>-9209.0600000000013</v>
      </c>
      <c r="F23" s="582">
        <f>SUM(F5:F22)</f>
        <v>3895.24</v>
      </c>
    </row>
    <row r="24" spans="3:11" x14ac:dyDescent="0.25">
      <c r="C24" s="368" t="s">
        <v>2548</v>
      </c>
      <c r="D24" s="581"/>
      <c r="E24" s="582">
        <f>+B4+E23</f>
        <v>7360.23</v>
      </c>
      <c r="F24" s="582"/>
    </row>
    <row r="25" spans="3:11" x14ac:dyDescent="0.25">
      <c r="C25" s="156" t="s">
        <v>2547</v>
      </c>
      <c r="D25" s="582">
        <v>30991.74</v>
      </c>
      <c r="E25" s="264">
        <f>+E24*D25</f>
        <v>228106334.5002</v>
      </c>
      <c r="F25" s="264">
        <f>+F23*D25</f>
        <v>120720265.3176</v>
      </c>
      <c r="G25" s="264"/>
    </row>
    <row r="26" spans="3:11" x14ac:dyDescent="0.25">
      <c r="E26" s="155">
        <f>+'Bce Tributario'!H37</f>
        <v>228106335</v>
      </c>
      <c r="F26" s="155">
        <f>+'Bce Tributario'!I49</f>
        <v>120720265.3176</v>
      </c>
    </row>
    <row r="27" spans="3:11" x14ac:dyDescent="0.25">
      <c r="E27" s="155">
        <f>+E25-E26</f>
        <v>-0.49979999661445618</v>
      </c>
      <c r="F27" s="155">
        <f>+F25-F26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A89C-149B-41FB-92A1-DA7EEA8D4D30}">
  <sheetPr>
    <tabColor rgb="FF0070C0"/>
  </sheetPr>
  <dimension ref="A1:P19"/>
  <sheetViews>
    <sheetView workbookViewId="0">
      <selection activeCell="E2" sqref="E2:E17"/>
    </sheetView>
  </sheetViews>
  <sheetFormatPr baseColWidth="10" defaultRowHeight="15.65" x14ac:dyDescent="0.25"/>
  <cols>
    <col min="5" max="5" width="10.8984375" style="264"/>
    <col min="8" max="8" width="22.796875" bestFit="1" customWidth="1"/>
    <col min="10" max="10" width="15.59765625" customWidth="1"/>
    <col min="11" max="11" width="18.59765625" customWidth="1"/>
    <col min="12" max="12" width="11.3984375" customWidth="1"/>
    <col min="13" max="13" width="13.19921875" customWidth="1"/>
  </cols>
  <sheetData>
    <row r="1" spans="1:16" x14ac:dyDescent="0.25">
      <c r="A1" t="s">
        <v>111</v>
      </c>
      <c r="B1" t="s">
        <v>112</v>
      </c>
      <c r="C1" t="s">
        <v>124</v>
      </c>
      <c r="D1" t="s">
        <v>113</v>
      </c>
      <c r="E1" s="264" t="s">
        <v>298</v>
      </c>
      <c r="F1" t="s">
        <v>114</v>
      </c>
      <c r="G1" t="s">
        <v>115</v>
      </c>
      <c r="H1" t="s">
        <v>116</v>
      </c>
      <c r="I1" t="s">
        <v>297</v>
      </c>
      <c r="J1" t="s">
        <v>573</v>
      </c>
      <c r="K1" t="s">
        <v>612</v>
      </c>
      <c r="L1" t="s">
        <v>609</v>
      </c>
      <c r="M1" t="s">
        <v>624</v>
      </c>
      <c r="N1" t="s">
        <v>448</v>
      </c>
      <c r="O1" t="s">
        <v>2346</v>
      </c>
      <c r="P1" t="s">
        <v>2347</v>
      </c>
    </row>
    <row r="2" spans="1:16" x14ac:dyDescent="0.25">
      <c r="A2" s="152">
        <v>44316</v>
      </c>
      <c r="B2">
        <v>4</v>
      </c>
      <c r="C2">
        <v>224</v>
      </c>
      <c r="D2" t="s">
        <v>371</v>
      </c>
      <c r="E2" s="264">
        <v>-416088</v>
      </c>
      <c r="F2">
        <v>0</v>
      </c>
      <c r="G2">
        <v>416088</v>
      </c>
      <c r="H2" t="s">
        <v>410</v>
      </c>
      <c r="I2" t="s">
        <v>296</v>
      </c>
    </row>
    <row r="3" spans="1:16" x14ac:dyDescent="0.25">
      <c r="A3" s="152">
        <v>44323</v>
      </c>
      <c r="B3">
        <v>5</v>
      </c>
      <c r="C3">
        <v>224</v>
      </c>
      <c r="D3" t="s">
        <v>371</v>
      </c>
      <c r="E3" s="264">
        <v>403208</v>
      </c>
      <c r="F3">
        <v>403208</v>
      </c>
      <c r="G3">
        <v>0</v>
      </c>
      <c r="H3" t="s">
        <v>1327</v>
      </c>
      <c r="I3" t="s">
        <v>1303</v>
      </c>
    </row>
    <row r="4" spans="1:16" x14ac:dyDescent="0.25">
      <c r="A4" s="152">
        <v>44344</v>
      </c>
      <c r="B4">
        <v>5</v>
      </c>
      <c r="C4">
        <v>224</v>
      </c>
      <c r="D4" t="s">
        <v>371</v>
      </c>
      <c r="E4" s="264">
        <v>-417011</v>
      </c>
      <c r="F4">
        <v>0</v>
      </c>
      <c r="G4">
        <v>417011</v>
      </c>
      <c r="H4" t="s">
        <v>410</v>
      </c>
      <c r="I4" t="s">
        <v>296</v>
      </c>
    </row>
    <row r="5" spans="1:16" x14ac:dyDescent="0.25">
      <c r="A5" s="152">
        <v>44351</v>
      </c>
      <c r="B5">
        <v>6</v>
      </c>
      <c r="C5">
        <v>224</v>
      </c>
      <c r="D5" t="s">
        <v>371</v>
      </c>
      <c r="E5" s="264">
        <v>404131</v>
      </c>
      <c r="F5">
        <v>404131</v>
      </c>
      <c r="G5">
        <v>0</v>
      </c>
      <c r="H5" t="s">
        <v>1565</v>
      </c>
      <c r="I5" t="s">
        <v>1303</v>
      </c>
    </row>
    <row r="6" spans="1:16" x14ac:dyDescent="0.25">
      <c r="A6" s="152">
        <v>44377</v>
      </c>
      <c r="B6">
        <v>6</v>
      </c>
      <c r="C6">
        <v>224</v>
      </c>
      <c r="D6" t="s">
        <v>371</v>
      </c>
      <c r="E6" s="264">
        <v>-417760</v>
      </c>
      <c r="F6">
        <v>0</v>
      </c>
      <c r="G6">
        <v>417760</v>
      </c>
      <c r="H6" t="s">
        <v>410</v>
      </c>
      <c r="I6" t="s">
        <v>296</v>
      </c>
    </row>
    <row r="7" spans="1:16" x14ac:dyDescent="0.25">
      <c r="A7" s="152">
        <v>44384</v>
      </c>
      <c r="B7">
        <v>7</v>
      </c>
      <c r="C7">
        <v>224</v>
      </c>
      <c r="D7" t="s">
        <v>371</v>
      </c>
      <c r="E7" s="264">
        <v>404880</v>
      </c>
      <c r="F7">
        <v>404880</v>
      </c>
      <c r="G7">
        <v>0</v>
      </c>
      <c r="H7" t="s">
        <v>1327</v>
      </c>
      <c r="I7" t="s">
        <v>1303</v>
      </c>
    </row>
    <row r="8" spans="1:16" x14ac:dyDescent="0.25">
      <c r="A8" s="152">
        <v>44407</v>
      </c>
      <c r="B8">
        <v>7</v>
      </c>
      <c r="C8">
        <v>224</v>
      </c>
      <c r="D8" t="s">
        <v>371</v>
      </c>
      <c r="E8" s="264">
        <v>-426355</v>
      </c>
      <c r="F8">
        <v>0</v>
      </c>
      <c r="G8">
        <v>426355</v>
      </c>
      <c r="H8" t="s">
        <v>410</v>
      </c>
      <c r="I8" t="s">
        <v>296</v>
      </c>
    </row>
    <row r="9" spans="1:16" x14ac:dyDescent="0.25">
      <c r="A9" s="152">
        <v>44413</v>
      </c>
      <c r="B9">
        <v>8</v>
      </c>
      <c r="C9">
        <v>224</v>
      </c>
      <c r="D9" t="s">
        <v>371</v>
      </c>
      <c r="E9" s="264">
        <v>411865</v>
      </c>
      <c r="F9">
        <v>411865</v>
      </c>
      <c r="G9">
        <v>0</v>
      </c>
      <c r="H9" t="s">
        <v>1565</v>
      </c>
      <c r="I9" t="s">
        <v>1303</v>
      </c>
    </row>
    <row r="10" spans="1:16" x14ac:dyDescent="0.25">
      <c r="A10" s="152">
        <v>44439</v>
      </c>
      <c r="B10">
        <v>8</v>
      </c>
      <c r="C10">
        <v>224</v>
      </c>
      <c r="D10" t="s">
        <v>371</v>
      </c>
      <c r="E10" s="264">
        <v>-427730</v>
      </c>
      <c r="F10">
        <v>0</v>
      </c>
      <c r="G10">
        <v>427730</v>
      </c>
      <c r="H10" t="s">
        <v>410</v>
      </c>
      <c r="I10" t="s">
        <v>296</v>
      </c>
    </row>
    <row r="11" spans="1:16" x14ac:dyDescent="0.25">
      <c r="A11" s="152">
        <v>44445</v>
      </c>
      <c r="B11">
        <v>9</v>
      </c>
      <c r="C11">
        <v>224</v>
      </c>
      <c r="D11" t="s">
        <v>371</v>
      </c>
      <c r="E11" s="264">
        <v>413240</v>
      </c>
      <c r="F11">
        <v>413240</v>
      </c>
      <c r="G11">
        <v>0</v>
      </c>
      <c r="H11" t="s">
        <v>1565</v>
      </c>
      <c r="I11" t="s">
        <v>1303</v>
      </c>
    </row>
    <row r="12" spans="1:16" x14ac:dyDescent="0.25">
      <c r="A12" s="152">
        <v>44469</v>
      </c>
      <c r="B12">
        <v>9</v>
      </c>
      <c r="C12">
        <v>224</v>
      </c>
      <c r="D12" t="s">
        <v>371</v>
      </c>
      <c r="E12" s="264">
        <v>-428919</v>
      </c>
      <c r="F12">
        <v>0</v>
      </c>
      <c r="G12">
        <v>428919</v>
      </c>
      <c r="H12" t="s">
        <v>410</v>
      </c>
      <c r="I12" t="s">
        <v>296</v>
      </c>
    </row>
    <row r="13" spans="1:16" x14ac:dyDescent="0.25">
      <c r="A13" s="152">
        <v>44474</v>
      </c>
      <c r="B13">
        <v>10</v>
      </c>
      <c r="C13">
        <v>224</v>
      </c>
      <c r="D13" t="s">
        <v>371</v>
      </c>
      <c r="E13" s="264">
        <v>414429</v>
      </c>
      <c r="F13">
        <v>414429</v>
      </c>
      <c r="G13">
        <v>0</v>
      </c>
      <c r="H13" t="s">
        <v>1565</v>
      </c>
      <c r="I13" t="s">
        <v>296</v>
      </c>
    </row>
    <row r="14" spans="1:16" x14ac:dyDescent="0.25">
      <c r="A14" s="152">
        <v>44498</v>
      </c>
      <c r="B14">
        <v>10</v>
      </c>
      <c r="C14">
        <v>224</v>
      </c>
      <c r="D14" t="s">
        <v>371</v>
      </c>
      <c r="E14" s="264">
        <v>-447529</v>
      </c>
      <c r="F14">
        <v>0</v>
      </c>
      <c r="G14">
        <v>447529</v>
      </c>
      <c r="H14" t="s">
        <v>410</v>
      </c>
      <c r="I14" t="s">
        <v>296</v>
      </c>
    </row>
    <row r="15" spans="1:16" x14ac:dyDescent="0.25">
      <c r="A15" s="152">
        <v>44508</v>
      </c>
      <c r="B15">
        <v>11</v>
      </c>
      <c r="C15">
        <v>224</v>
      </c>
      <c r="D15" t="s">
        <v>371</v>
      </c>
      <c r="E15" s="264">
        <v>408749</v>
      </c>
      <c r="F15">
        <v>408749</v>
      </c>
      <c r="G15">
        <v>0</v>
      </c>
      <c r="H15" t="s">
        <v>1565</v>
      </c>
      <c r="I15" t="s">
        <v>296</v>
      </c>
    </row>
    <row r="16" spans="1:16" x14ac:dyDescent="0.25">
      <c r="A16" s="152">
        <v>44530</v>
      </c>
      <c r="B16">
        <v>11</v>
      </c>
      <c r="C16">
        <v>224</v>
      </c>
      <c r="D16" t="s">
        <v>371</v>
      </c>
      <c r="E16" s="264">
        <v>-455867</v>
      </c>
      <c r="F16">
        <v>0</v>
      </c>
      <c r="G16">
        <v>455867</v>
      </c>
      <c r="H16" t="s">
        <v>410</v>
      </c>
      <c r="I16" t="s">
        <v>296</v>
      </c>
    </row>
    <row r="17" spans="1:9" x14ac:dyDescent="0.25">
      <c r="A17" s="152">
        <v>44537</v>
      </c>
      <c r="B17">
        <v>12</v>
      </c>
      <c r="C17">
        <v>224</v>
      </c>
      <c r="D17" t="s">
        <v>371</v>
      </c>
      <c r="E17" s="264">
        <v>415263</v>
      </c>
      <c r="F17">
        <v>415263</v>
      </c>
      <c r="G17">
        <v>0</v>
      </c>
      <c r="H17" t="s">
        <v>1565</v>
      </c>
      <c r="I17" t="s">
        <v>296</v>
      </c>
    </row>
    <row r="18" spans="1:9" x14ac:dyDescent="0.25">
      <c r="A18" s="152">
        <v>44560</v>
      </c>
      <c r="B18">
        <v>12</v>
      </c>
      <c r="C18">
        <v>224</v>
      </c>
      <c r="D18" t="s">
        <v>371</v>
      </c>
      <c r="E18" s="264">
        <v>-179939</v>
      </c>
      <c r="F18">
        <v>0</v>
      </c>
      <c r="G18">
        <v>179939</v>
      </c>
      <c r="H18" t="s">
        <v>410</v>
      </c>
      <c r="I18" t="s">
        <v>296</v>
      </c>
    </row>
    <row r="19" spans="1:9" x14ac:dyDescent="0.25">
      <c r="A19" s="152">
        <v>44560</v>
      </c>
      <c r="B19">
        <v>12</v>
      </c>
      <c r="C19">
        <v>224</v>
      </c>
      <c r="D19" t="s">
        <v>371</v>
      </c>
      <c r="E19" s="264">
        <v>-465818</v>
      </c>
      <c r="F19">
        <v>0</v>
      </c>
      <c r="G19">
        <v>465818</v>
      </c>
      <c r="H19" t="s">
        <v>410</v>
      </c>
      <c r="I19" t="s">
        <v>296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249977111117893"/>
  </sheetPr>
  <dimension ref="A4:Q1836"/>
  <sheetViews>
    <sheetView zoomScale="70" zoomScaleNormal="70" workbookViewId="0">
      <selection activeCell="L24" sqref="L24"/>
    </sheetView>
  </sheetViews>
  <sheetFormatPr baseColWidth="10" defaultRowHeight="15.65" x14ac:dyDescent="0.25"/>
  <cols>
    <col min="1" max="1" width="14.19921875" bestFit="1" customWidth="1"/>
    <col min="2" max="2" width="33.3984375" bestFit="1" customWidth="1"/>
    <col min="3" max="3" width="44" bestFit="1" customWidth="1"/>
    <col min="4" max="4" width="9.3984375" style="264" bestFit="1" customWidth="1"/>
    <col min="5" max="13" width="9.3984375" bestFit="1" customWidth="1"/>
    <col min="14" max="14" width="12.3984375" bestFit="1" customWidth="1"/>
    <col min="15" max="15" width="9.3984375" bestFit="1" customWidth="1"/>
    <col min="16" max="16" width="12.3984375" bestFit="1" customWidth="1"/>
    <col min="17" max="17" width="7.19921875" bestFit="1" customWidth="1"/>
    <col min="18" max="24" width="6.796875" bestFit="1" customWidth="1"/>
    <col min="25" max="27" width="7.796875" bestFit="1" customWidth="1"/>
    <col min="28" max="28" width="12.09765625" bestFit="1" customWidth="1"/>
    <col min="29" max="29" width="10.69921875" bestFit="1" customWidth="1"/>
    <col min="30" max="30" width="7.3984375" bestFit="1" customWidth="1"/>
    <col min="31" max="31" width="10.69921875" bestFit="1" customWidth="1"/>
    <col min="32" max="32" width="7.3984375" bestFit="1" customWidth="1"/>
    <col min="33" max="33" width="10.69921875" bestFit="1" customWidth="1"/>
    <col min="34" max="34" width="7.3984375" bestFit="1" customWidth="1"/>
    <col min="35" max="35" width="10.69921875" bestFit="1" customWidth="1"/>
    <col min="36" max="36" width="7.3984375" bestFit="1" customWidth="1"/>
    <col min="37" max="37" width="10.69921875" bestFit="1" customWidth="1"/>
    <col min="38" max="38" width="7.3984375" bestFit="1" customWidth="1"/>
    <col min="39" max="39" width="10.69921875" bestFit="1" customWidth="1"/>
    <col min="40" max="40" width="7.3984375" bestFit="1" customWidth="1"/>
    <col min="41" max="41" width="10.69921875" bestFit="1" customWidth="1"/>
    <col min="42" max="42" width="7.3984375" bestFit="1" customWidth="1"/>
    <col min="43" max="43" width="10.69921875" bestFit="1" customWidth="1"/>
    <col min="44" max="44" width="7.3984375" bestFit="1" customWidth="1"/>
    <col min="45" max="45" width="10.69921875" bestFit="1" customWidth="1"/>
    <col min="46" max="46" width="7.3984375" bestFit="1" customWidth="1"/>
    <col min="47" max="47" width="10.69921875" bestFit="1" customWidth="1"/>
    <col min="48" max="48" width="8.3984375" bestFit="1" customWidth="1"/>
    <col min="49" max="49" width="11.69921875" bestFit="1" customWidth="1"/>
    <col min="50" max="50" width="8.3984375" bestFit="1" customWidth="1"/>
    <col min="51" max="51" width="11.69921875" bestFit="1" customWidth="1"/>
    <col min="52" max="52" width="8.3984375" bestFit="1" customWidth="1"/>
    <col min="53" max="53" width="11.69921875" bestFit="1" customWidth="1"/>
    <col min="54" max="54" width="8.3984375" bestFit="1" customWidth="1"/>
    <col min="55" max="55" width="11.69921875" bestFit="1" customWidth="1"/>
    <col min="56" max="56" width="8.3984375" bestFit="1" customWidth="1"/>
    <col min="57" max="57" width="11.69921875" bestFit="1" customWidth="1"/>
    <col min="58" max="58" width="8.3984375" bestFit="1" customWidth="1"/>
    <col min="59" max="59" width="11.69921875" bestFit="1" customWidth="1"/>
    <col min="60" max="60" width="8.3984375" bestFit="1" customWidth="1"/>
    <col min="61" max="61" width="11.69921875" bestFit="1" customWidth="1"/>
    <col min="62" max="62" width="8.3984375" bestFit="1" customWidth="1"/>
    <col min="63" max="63" width="11.69921875" bestFit="1" customWidth="1"/>
    <col min="64" max="64" width="8.3984375" bestFit="1" customWidth="1"/>
    <col min="65" max="65" width="11.69921875" bestFit="1" customWidth="1"/>
    <col min="66" max="66" width="8.3984375" bestFit="1" customWidth="1"/>
    <col min="67" max="67" width="11.69921875" bestFit="1" customWidth="1"/>
    <col min="68" max="68" width="8.3984375" bestFit="1" customWidth="1"/>
    <col min="69" max="69" width="11.69921875" bestFit="1" customWidth="1"/>
    <col min="70" max="70" width="8.3984375" bestFit="1" customWidth="1"/>
    <col min="71" max="71" width="11.69921875" bestFit="1" customWidth="1"/>
    <col min="72" max="72" width="8.3984375" bestFit="1" customWidth="1"/>
    <col min="73" max="73" width="11.69921875" bestFit="1" customWidth="1"/>
    <col min="74" max="74" width="9.3984375" bestFit="1" customWidth="1"/>
    <col min="75" max="75" width="12.69921875" bestFit="1" customWidth="1"/>
    <col min="76" max="76" width="9.3984375" bestFit="1" customWidth="1"/>
    <col min="77" max="77" width="12.69921875" bestFit="1" customWidth="1"/>
    <col min="78" max="78" width="9.3984375" bestFit="1" customWidth="1"/>
    <col min="79" max="79" width="12.69921875" bestFit="1" customWidth="1"/>
    <col min="80" max="80" width="12.09765625" bestFit="1" customWidth="1"/>
    <col min="81" max="81" width="4.796875" bestFit="1" customWidth="1"/>
    <col min="82" max="89" width="5.796875" bestFit="1" customWidth="1"/>
    <col min="90" max="96" width="6.796875" bestFit="1" customWidth="1"/>
    <col min="97" max="97" width="7.796875" bestFit="1" customWidth="1"/>
    <col min="98" max="98" width="15.3984375" bestFit="1" customWidth="1"/>
    <col min="99" max="99" width="12.09765625" bestFit="1" customWidth="1"/>
    <col min="100" max="100" width="14.296875" bestFit="1" customWidth="1"/>
    <col min="101" max="101" width="13.8984375" bestFit="1" customWidth="1"/>
    <col min="102" max="102" width="14.296875" bestFit="1" customWidth="1"/>
    <col min="103" max="103" width="13.8984375" bestFit="1" customWidth="1"/>
    <col min="104" max="104" width="14.296875" bestFit="1" customWidth="1"/>
    <col min="105" max="105" width="13.8984375" bestFit="1" customWidth="1"/>
    <col min="106" max="106" width="14.296875" bestFit="1" customWidth="1"/>
    <col min="107" max="107" width="13.8984375" bestFit="1" customWidth="1"/>
    <col min="108" max="108" width="14.296875" bestFit="1" customWidth="1"/>
    <col min="109" max="109" width="13.8984375" bestFit="1" customWidth="1"/>
    <col min="110" max="110" width="14.296875" bestFit="1" customWidth="1"/>
    <col min="111" max="111" width="13.8984375" bestFit="1" customWidth="1"/>
    <col min="112" max="112" width="14.296875" bestFit="1" customWidth="1"/>
    <col min="113" max="113" width="13.8984375" bestFit="1" customWidth="1"/>
    <col min="114" max="114" width="14.296875" bestFit="1" customWidth="1"/>
    <col min="115" max="115" width="13.8984375" bestFit="1" customWidth="1"/>
    <col min="116" max="116" width="14.296875" bestFit="1" customWidth="1"/>
    <col min="117" max="117" width="13.8984375" bestFit="1" customWidth="1"/>
    <col min="118" max="118" width="14.296875" bestFit="1" customWidth="1"/>
    <col min="119" max="119" width="13.8984375" bestFit="1" customWidth="1"/>
    <col min="120" max="120" width="14.296875" bestFit="1" customWidth="1"/>
    <col min="121" max="121" width="13.8984375" bestFit="1" customWidth="1"/>
    <col min="122" max="122" width="14.296875" bestFit="1" customWidth="1"/>
    <col min="123" max="123" width="13.8984375" bestFit="1" customWidth="1"/>
    <col min="124" max="124" width="14.296875" bestFit="1" customWidth="1"/>
    <col min="125" max="125" width="13.8984375" bestFit="1" customWidth="1"/>
    <col min="126" max="126" width="14.296875" bestFit="1" customWidth="1"/>
    <col min="127" max="127" width="13.8984375" bestFit="1" customWidth="1"/>
    <col min="128" max="128" width="14.296875" bestFit="1" customWidth="1"/>
    <col min="129" max="129" width="13.8984375" bestFit="1" customWidth="1"/>
    <col min="130" max="130" width="14.296875" bestFit="1" customWidth="1"/>
    <col min="131" max="131" width="13.8984375" bestFit="1" customWidth="1"/>
    <col min="132" max="132" width="14.296875" bestFit="1" customWidth="1"/>
    <col min="133" max="133" width="13.8984375" bestFit="1" customWidth="1"/>
    <col min="134" max="134" width="14.296875" bestFit="1" customWidth="1"/>
    <col min="135" max="135" width="13.8984375" bestFit="1" customWidth="1"/>
    <col min="136" max="136" width="14.296875" bestFit="1" customWidth="1"/>
    <col min="137" max="137" width="13.8984375" bestFit="1" customWidth="1"/>
    <col min="138" max="138" width="14.296875" bestFit="1" customWidth="1"/>
    <col min="139" max="139" width="13.8984375" bestFit="1" customWidth="1"/>
    <col min="140" max="140" width="14.296875" bestFit="1" customWidth="1"/>
    <col min="141" max="141" width="13.8984375" bestFit="1" customWidth="1"/>
    <col min="142" max="142" width="14.296875" bestFit="1" customWidth="1"/>
    <col min="143" max="143" width="13.8984375" bestFit="1" customWidth="1"/>
    <col min="144" max="144" width="14.296875" bestFit="1" customWidth="1"/>
    <col min="145" max="145" width="13.8984375" bestFit="1" customWidth="1"/>
    <col min="146" max="146" width="14.296875" bestFit="1" customWidth="1"/>
    <col min="147" max="147" width="13.8984375" bestFit="1" customWidth="1"/>
    <col min="148" max="148" width="14.296875" bestFit="1" customWidth="1"/>
    <col min="149" max="149" width="13.8984375" bestFit="1" customWidth="1"/>
    <col min="150" max="150" width="14.296875" bestFit="1" customWidth="1"/>
    <col min="151" max="151" width="13.8984375" bestFit="1" customWidth="1"/>
    <col min="152" max="152" width="14.296875" bestFit="1" customWidth="1"/>
    <col min="153" max="153" width="13.8984375" bestFit="1" customWidth="1"/>
    <col min="154" max="154" width="14.296875" bestFit="1" customWidth="1"/>
    <col min="155" max="155" width="13.8984375" bestFit="1" customWidth="1"/>
    <col min="156" max="156" width="14.296875" bestFit="1" customWidth="1"/>
    <col min="157" max="157" width="13.8984375" bestFit="1" customWidth="1"/>
    <col min="158" max="158" width="19.296875" bestFit="1" customWidth="1"/>
    <col min="159" max="159" width="18.8984375" bestFit="1" customWidth="1"/>
  </cols>
  <sheetData>
    <row r="4" spans="1:14" x14ac:dyDescent="0.25">
      <c r="A4" s="410" t="s">
        <v>1130</v>
      </c>
      <c r="D4" s="410" t="s">
        <v>112</v>
      </c>
    </row>
    <row r="5" spans="1:14" x14ac:dyDescent="0.25">
      <c r="A5" s="410" t="s">
        <v>124</v>
      </c>
      <c r="B5" s="410" t="s">
        <v>113</v>
      </c>
      <c r="C5" s="410" t="s">
        <v>116</v>
      </c>
      <c r="D5">
        <v>1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11</v>
      </c>
      <c r="M5">
        <v>12</v>
      </c>
      <c r="N5" t="s">
        <v>409</v>
      </c>
    </row>
    <row r="6" spans="1:14" x14ac:dyDescent="0.25">
      <c r="A6">
        <v>4650</v>
      </c>
      <c r="B6" t="s">
        <v>171</v>
      </c>
      <c r="C6" t="s">
        <v>1237</v>
      </c>
      <c r="E6" s="464">
        <v>150000</v>
      </c>
      <c r="F6" s="264"/>
      <c r="G6" s="264"/>
      <c r="H6" s="264"/>
      <c r="I6" s="264"/>
      <c r="J6" s="264"/>
      <c r="K6" s="264"/>
      <c r="L6" s="264"/>
      <c r="M6" s="264"/>
      <c r="N6" s="264">
        <v>150000</v>
      </c>
    </row>
    <row r="7" spans="1:14" x14ac:dyDescent="0.25">
      <c r="C7" t="s">
        <v>1832</v>
      </c>
      <c r="E7" s="264"/>
      <c r="F7" s="264"/>
      <c r="G7" s="264"/>
      <c r="H7" s="264"/>
      <c r="I7" s="264">
        <v>1950000</v>
      </c>
      <c r="J7" s="264"/>
      <c r="K7" s="264"/>
      <c r="L7" s="264"/>
      <c r="M7" s="264"/>
      <c r="N7" s="264">
        <v>1950000</v>
      </c>
    </row>
    <row r="8" spans="1:14" x14ac:dyDescent="0.25">
      <c r="C8" t="s">
        <v>1418</v>
      </c>
      <c r="E8" s="264"/>
      <c r="F8" s="264">
        <v>480000</v>
      </c>
      <c r="G8" s="264"/>
      <c r="H8" s="264"/>
      <c r="I8" s="264"/>
      <c r="J8" s="264"/>
      <c r="K8" s="264"/>
      <c r="L8" s="264"/>
      <c r="M8" s="264"/>
      <c r="N8" s="264">
        <v>480000</v>
      </c>
    </row>
    <row r="9" spans="1:14" x14ac:dyDescent="0.25">
      <c r="C9" t="s">
        <v>1361</v>
      </c>
      <c r="E9" s="264"/>
      <c r="F9" s="464">
        <v>1800000</v>
      </c>
      <c r="G9" s="264"/>
      <c r="H9" s="264"/>
      <c r="I9" s="264"/>
      <c r="J9" s="264"/>
      <c r="K9" s="264"/>
      <c r="L9" s="264"/>
      <c r="M9" s="264"/>
      <c r="N9" s="264">
        <v>1800000</v>
      </c>
    </row>
    <row r="10" spans="1:14" x14ac:dyDescent="0.25">
      <c r="C10" t="s">
        <v>1493</v>
      </c>
      <c r="E10" s="264"/>
      <c r="F10" s="264"/>
      <c r="G10" s="264">
        <v>70000</v>
      </c>
      <c r="H10" s="264"/>
      <c r="I10" s="264"/>
      <c r="J10" s="264"/>
      <c r="K10" s="264"/>
      <c r="L10" s="264"/>
      <c r="M10" s="264"/>
      <c r="N10" s="264">
        <v>70000</v>
      </c>
    </row>
    <row r="11" spans="1:14" x14ac:dyDescent="0.25">
      <c r="C11" t="s">
        <v>1533</v>
      </c>
      <c r="E11" s="264"/>
      <c r="F11" s="264"/>
      <c r="G11" s="264">
        <v>2280000</v>
      </c>
      <c r="H11" s="264"/>
      <c r="I11" s="264"/>
      <c r="J11" s="264"/>
      <c r="K11" s="264"/>
      <c r="L11" s="264"/>
      <c r="M11" s="264"/>
      <c r="N11" s="264">
        <v>2280000</v>
      </c>
    </row>
    <row r="12" spans="1:14" x14ac:dyDescent="0.25">
      <c r="C12" t="s">
        <v>1627</v>
      </c>
      <c r="E12" s="264"/>
      <c r="F12" s="264"/>
      <c r="G12" s="264"/>
      <c r="H12" s="264">
        <v>2350000</v>
      </c>
      <c r="I12" s="264"/>
      <c r="J12" s="264"/>
      <c r="K12" s="264"/>
      <c r="L12" s="264"/>
      <c r="M12" s="264"/>
      <c r="N12" s="264">
        <v>2350000</v>
      </c>
    </row>
    <row r="13" spans="1:14" s="428" customFormat="1" x14ac:dyDescent="0.25">
      <c r="B13"/>
      <c r="C13" t="s">
        <v>2029</v>
      </c>
      <c r="D13" s="264"/>
      <c r="E13" s="264"/>
      <c r="F13" s="264"/>
      <c r="G13" s="264"/>
      <c r="H13" s="264"/>
      <c r="I13" s="264"/>
      <c r="J13" s="264"/>
      <c r="K13" s="464">
        <v>90000</v>
      </c>
      <c r="L13" s="264"/>
      <c r="M13" s="264"/>
      <c r="N13" s="264">
        <v>90000</v>
      </c>
    </row>
    <row r="14" spans="1:14" x14ac:dyDescent="0.25">
      <c r="C14" t="s">
        <v>2561</v>
      </c>
      <c r="E14" s="264"/>
      <c r="F14" s="264"/>
      <c r="G14" s="264"/>
      <c r="H14" s="264"/>
      <c r="I14" s="264"/>
      <c r="J14" s="264"/>
      <c r="K14" s="264"/>
      <c r="L14" s="264"/>
      <c r="M14" s="264">
        <v>1587495</v>
      </c>
      <c r="N14" s="264">
        <v>1587495</v>
      </c>
    </row>
    <row r="15" spans="1:14" s="428" customFormat="1" x14ac:dyDescent="0.25">
      <c r="C15" s="428" t="s">
        <v>2365</v>
      </c>
      <c r="D15" s="464"/>
      <c r="E15" s="464"/>
      <c r="F15" s="464"/>
      <c r="G15" s="464"/>
      <c r="H15" s="464"/>
      <c r="I15" s="464"/>
      <c r="J15" s="464"/>
      <c r="K15" s="464"/>
      <c r="L15" s="464">
        <v>-2076559</v>
      </c>
      <c r="M15" s="464"/>
      <c r="N15" s="464">
        <v>-2076559</v>
      </c>
    </row>
    <row r="16" spans="1:14" x14ac:dyDescent="0.25">
      <c r="C16" t="s">
        <v>2051</v>
      </c>
      <c r="E16" s="264"/>
      <c r="F16" s="264"/>
      <c r="G16" s="264"/>
      <c r="H16" s="264"/>
      <c r="I16" s="264"/>
      <c r="J16" s="264"/>
      <c r="K16" s="464">
        <v>105000</v>
      </c>
      <c r="L16" s="264"/>
      <c r="M16" s="264"/>
      <c r="N16" s="264">
        <v>105000</v>
      </c>
    </row>
    <row r="17" spans="1:17" x14ac:dyDescent="0.25">
      <c r="C17" t="s">
        <v>1971</v>
      </c>
      <c r="E17" s="264"/>
      <c r="F17" s="264"/>
      <c r="G17" s="264"/>
      <c r="H17" s="264"/>
      <c r="I17" s="264"/>
      <c r="J17" s="264">
        <v>765242</v>
      </c>
      <c r="K17" s="264"/>
      <c r="L17" s="264"/>
      <c r="M17" s="264"/>
      <c r="N17" s="264">
        <v>765242</v>
      </c>
    </row>
    <row r="18" spans="1:17" x14ac:dyDescent="0.25">
      <c r="C18" t="s">
        <v>775</v>
      </c>
      <c r="D18" s="464">
        <v>420000</v>
      </c>
      <c r="E18" s="264"/>
      <c r="F18" s="264"/>
      <c r="G18" s="264"/>
      <c r="H18" s="264"/>
      <c r="I18" s="264"/>
      <c r="J18" s="264"/>
      <c r="K18" s="264"/>
      <c r="L18" s="264"/>
      <c r="M18" s="264"/>
      <c r="N18" s="264">
        <v>420000</v>
      </c>
      <c r="Q18" s="428"/>
    </row>
    <row r="19" spans="1:17" x14ac:dyDescent="0.25">
      <c r="C19" t="s">
        <v>664</v>
      </c>
      <c r="E19" s="264"/>
      <c r="F19" s="264"/>
      <c r="G19" s="264"/>
      <c r="H19" s="264"/>
      <c r="I19" s="264"/>
      <c r="J19" s="264">
        <v>550000</v>
      </c>
      <c r="K19" s="264"/>
      <c r="L19" s="264"/>
      <c r="M19" s="264"/>
      <c r="N19" s="264">
        <v>550000</v>
      </c>
    </row>
    <row r="20" spans="1:17" x14ac:dyDescent="0.25">
      <c r="A20" t="s">
        <v>409</v>
      </c>
      <c r="D20" s="264">
        <v>420000</v>
      </c>
      <c r="E20" s="464">
        <v>150000</v>
      </c>
      <c r="F20" s="264">
        <v>2280000</v>
      </c>
      <c r="G20" s="264">
        <v>2350000</v>
      </c>
      <c r="H20" s="264">
        <v>2350000</v>
      </c>
      <c r="I20" s="264">
        <v>1950000</v>
      </c>
      <c r="J20" s="264">
        <v>1315242</v>
      </c>
      <c r="K20" s="264">
        <v>195000</v>
      </c>
      <c r="L20" s="264">
        <v>-2076559</v>
      </c>
      <c r="M20" s="264">
        <v>1587495</v>
      </c>
      <c r="N20" s="264">
        <v>10521178</v>
      </c>
    </row>
    <row r="21" spans="1:17" x14ac:dyDescent="0.25">
      <c r="D21"/>
    </row>
    <row r="22" spans="1:17" x14ac:dyDescent="0.25">
      <c r="D22"/>
    </row>
    <row r="23" spans="1:17" x14ac:dyDescent="0.25">
      <c r="D23"/>
    </row>
    <row r="24" spans="1:17" x14ac:dyDescent="0.25">
      <c r="D24"/>
    </row>
    <row r="25" spans="1:17" x14ac:dyDescent="0.25">
      <c r="D25"/>
    </row>
    <row r="26" spans="1:17" x14ac:dyDescent="0.25">
      <c r="D26"/>
    </row>
    <row r="27" spans="1:17" x14ac:dyDescent="0.25">
      <c r="D27"/>
    </row>
    <row r="28" spans="1:17" x14ac:dyDescent="0.25">
      <c r="D28"/>
    </row>
    <row r="29" spans="1:17" x14ac:dyDescent="0.25">
      <c r="D29"/>
    </row>
    <row r="30" spans="1:17" x14ac:dyDescent="0.25">
      <c r="D30"/>
    </row>
    <row r="31" spans="1:17" x14ac:dyDescent="0.25">
      <c r="D31"/>
    </row>
    <row r="32" spans="1:17" x14ac:dyDescent="0.25">
      <c r="D32"/>
    </row>
    <row r="33" spans="4:4" x14ac:dyDescent="0.25">
      <c r="D33"/>
    </row>
    <row r="34" spans="4:4" x14ac:dyDescent="0.25">
      <c r="D34"/>
    </row>
    <row r="35" spans="4:4" x14ac:dyDescent="0.25">
      <c r="D35"/>
    </row>
    <row r="36" spans="4:4" x14ac:dyDescent="0.25">
      <c r="D36"/>
    </row>
    <row r="37" spans="4:4" x14ac:dyDescent="0.25">
      <c r="D37"/>
    </row>
    <row r="38" spans="4:4" x14ac:dyDescent="0.25">
      <c r="D38"/>
    </row>
    <row r="39" spans="4:4" x14ac:dyDescent="0.25">
      <c r="D39"/>
    </row>
    <row r="40" spans="4:4" x14ac:dyDescent="0.25">
      <c r="D40"/>
    </row>
    <row r="41" spans="4:4" x14ac:dyDescent="0.25">
      <c r="D41"/>
    </row>
    <row r="42" spans="4:4" x14ac:dyDescent="0.25">
      <c r="D42"/>
    </row>
    <row r="43" spans="4:4" x14ac:dyDescent="0.25">
      <c r="D43"/>
    </row>
    <row r="44" spans="4:4" x14ac:dyDescent="0.25">
      <c r="D44"/>
    </row>
    <row r="45" spans="4:4" x14ac:dyDescent="0.25">
      <c r="D45"/>
    </row>
    <row r="46" spans="4:4" x14ac:dyDescent="0.25">
      <c r="D46"/>
    </row>
    <row r="47" spans="4:4" x14ac:dyDescent="0.25">
      <c r="D47"/>
    </row>
    <row r="48" spans="4:4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/>
    </row>
    <row r="58" spans="4:4" x14ac:dyDescent="0.25">
      <c r="D58"/>
    </row>
    <row r="59" spans="4:4" x14ac:dyDescent="0.25">
      <c r="D59"/>
    </row>
    <row r="60" spans="4:4" x14ac:dyDescent="0.25">
      <c r="D60"/>
    </row>
    <row r="61" spans="4:4" x14ac:dyDescent="0.25">
      <c r="D61"/>
    </row>
    <row r="62" spans="4:4" x14ac:dyDescent="0.25">
      <c r="D62"/>
    </row>
    <row r="63" spans="4:4" x14ac:dyDescent="0.25">
      <c r="D63"/>
    </row>
    <row r="64" spans="4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  <row r="313" spans="4:4" x14ac:dyDescent="0.25">
      <c r="D313"/>
    </row>
    <row r="314" spans="4:4" x14ac:dyDescent="0.25">
      <c r="D314"/>
    </row>
    <row r="315" spans="4:4" x14ac:dyDescent="0.25">
      <c r="D315"/>
    </row>
    <row r="316" spans="4:4" x14ac:dyDescent="0.25">
      <c r="D316"/>
    </row>
    <row r="317" spans="4:4" x14ac:dyDescent="0.25">
      <c r="D317"/>
    </row>
    <row r="318" spans="4:4" x14ac:dyDescent="0.25">
      <c r="D318"/>
    </row>
    <row r="319" spans="4:4" x14ac:dyDescent="0.25">
      <c r="D319"/>
    </row>
    <row r="320" spans="4:4" x14ac:dyDescent="0.25">
      <c r="D320"/>
    </row>
    <row r="321" spans="4:4" x14ac:dyDescent="0.25">
      <c r="D321"/>
    </row>
    <row r="322" spans="4:4" x14ac:dyDescent="0.25">
      <c r="D322"/>
    </row>
    <row r="323" spans="4:4" x14ac:dyDescent="0.25">
      <c r="D323"/>
    </row>
    <row r="324" spans="4:4" x14ac:dyDescent="0.25">
      <c r="D324"/>
    </row>
    <row r="325" spans="4:4" x14ac:dyDescent="0.25">
      <c r="D325"/>
    </row>
    <row r="326" spans="4:4" x14ac:dyDescent="0.25">
      <c r="D326"/>
    </row>
    <row r="327" spans="4:4" x14ac:dyDescent="0.25">
      <c r="D327"/>
    </row>
    <row r="328" spans="4:4" x14ac:dyDescent="0.25">
      <c r="D328"/>
    </row>
    <row r="329" spans="4:4" x14ac:dyDescent="0.25">
      <c r="D329"/>
    </row>
    <row r="330" spans="4:4" x14ac:dyDescent="0.25">
      <c r="D330"/>
    </row>
    <row r="331" spans="4:4" x14ac:dyDescent="0.25">
      <c r="D331"/>
    </row>
    <row r="332" spans="4:4" x14ac:dyDescent="0.25">
      <c r="D332"/>
    </row>
    <row r="333" spans="4:4" x14ac:dyDescent="0.25">
      <c r="D333"/>
    </row>
    <row r="334" spans="4:4" x14ac:dyDescent="0.25">
      <c r="D334"/>
    </row>
    <row r="335" spans="4:4" x14ac:dyDescent="0.25">
      <c r="D335"/>
    </row>
    <row r="336" spans="4:4" x14ac:dyDescent="0.25">
      <c r="D336"/>
    </row>
    <row r="337" spans="4:4" x14ac:dyDescent="0.25">
      <c r="D337"/>
    </row>
    <row r="338" spans="4:4" x14ac:dyDescent="0.25">
      <c r="D338"/>
    </row>
    <row r="339" spans="4:4" x14ac:dyDescent="0.25">
      <c r="D339"/>
    </row>
    <row r="340" spans="4:4" x14ac:dyDescent="0.25">
      <c r="D340"/>
    </row>
    <row r="341" spans="4:4" x14ac:dyDescent="0.25">
      <c r="D341"/>
    </row>
    <row r="342" spans="4:4" x14ac:dyDescent="0.25">
      <c r="D342"/>
    </row>
    <row r="343" spans="4:4" x14ac:dyDescent="0.25">
      <c r="D343"/>
    </row>
    <row r="344" spans="4:4" x14ac:dyDescent="0.25">
      <c r="D344"/>
    </row>
    <row r="345" spans="4:4" x14ac:dyDescent="0.25">
      <c r="D345"/>
    </row>
    <row r="346" spans="4:4" x14ac:dyDescent="0.25">
      <c r="D346"/>
    </row>
    <row r="347" spans="4:4" x14ac:dyDescent="0.25">
      <c r="D347"/>
    </row>
    <row r="348" spans="4:4" x14ac:dyDescent="0.25">
      <c r="D348"/>
    </row>
    <row r="349" spans="4:4" x14ac:dyDescent="0.25">
      <c r="D349"/>
    </row>
    <row r="350" spans="4:4" x14ac:dyDescent="0.25">
      <c r="D350"/>
    </row>
    <row r="351" spans="4:4" x14ac:dyDescent="0.25">
      <c r="D351"/>
    </row>
    <row r="352" spans="4:4" x14ac:dyDescent="0.25">
      <c r="D352"/>
    </row>
    <row r="353" spans="4:4" x14ac:dyDescent="0.25">
      <c r="D353"/>
    </row>
    <row r="354" spans="4:4" x14ac:dyDescent="0.25">
      <c r="D354"/>
    </row>
    <row r="355" spans="4:4" x14ac:dyDescent="0.25">
      <c r="D355"/>
    </row>
    <row r="356" spans="4:4" x14ac:dyDescent="0.25">
      <c r="D356"/>
    </row>
    <row r="357" spans="4:4" x14ac:dyDescent="0.25">
      <c r="D357"/>
    </row>
    <row r="358" spans="4:4" x14ac:dyDescent="0.25">
      <c r="D358"/>
    </row>
    <row r="359" spans="4:4" x14ac:dyDescent="0.25">
      <c r="D359"/>
    </row>
    <row r="360" spans="4:4" x14ac:dyDescent="0.25">
      <c r="D360"/>
    </row>
    <row r="361" spans="4:4" x14ac:dyDescent="0.25">
      <c r="D361"/>
    </row>
    <row r="362" spans="4:4" x14ac:dyDescent="0.25">
      <c r="D362"/>
    </row>
    <row r="363" spans="4:4" x14ac:dyDescent="0.25">
      <c r="D363"/>
    </row>
    <row r="364" spans="4:4" x14ac:dyDescent="0.25">
      <c r="D364"/>
    </row>
    <row r="365" spans="4:4" x14ac:dyDescent="0.25">
      <c r="D365"/>
    </row>
    <row r="366" spans="4:4" x14ac:dyDescent="0.25">
      <c r="D366"/>
    </row>
    <row r="367" spans="4:4" x14ac:dyDescent="0.25">
      <c r="D367"/>
    </row>
    <row r="368" spans="4:4" x14ac:dyDescent="0.25">
      <c r="D368"/>
    </row>
    <row r="369" spans="4:4" x14ac:dyDescent="0.25">
      <c r="D369"/>
    </row>
    <row r="370" spans="4:4" x14ac:dyDescent="0.25">
      <c r="D370"/>
    </row>
    <row r="371" spans="4:4" x14ac:dyDescent="0.25">
      <c r="D371"/>
    </row>
    <row r="372" spans="4:4" x14ac:dyDescent="0.25">
      <c r="D372"/>
    </row>
    <row r="373" spans="4:4" x14ac:dyDescent="0.25">
      <c r="D373"/>
    </row>
    <row r="374" spans="4:4" x14ac:dyDescent="0.25">
      <c r="D374"/>
    </row>
    <row r="375" spans="4:4" x14ac:dyDescent="0.25">
      <c r="D375"/>
    </row>
    <row r="376" spans="4:4" x14ac:dyDescent="0.25">
      <c r="D376"/>
    </row>
    <row r="377" spans="4:4" x14ac:dyDescent="0.25">
      <c r="D377"/>
    </row>
    <row r="378" spans="4:4" x14ac:dyDescent="0.25">
      <c r="D378"/>
    </row>
    <row r="379" spans="4:4" x14ac:dyDescent="0.25">
      <c r="D379"/>
    </row>
    <row r="380" spans="4:4" x14ac:dyDescent="0.25">
      <c r="D380"/>
    </row>
    <row r="381" spans="4:4" x14ac:dyDescent="0.25">
      <c r="D381"/>
    </row>
    <row r="382" spans="4:4" x14ac:dyDescent="0.25">
      <c r="D382"/>
    </row>
    <row r="383" spans="4:4" x14ac:dyDescent="0.25">
      <c r="D383"/>
    </row>
    <row r="384" spans="4:4" x14ac:dyDescent="0.25">
      <c r="D384"/>
    </row>
    <row r="385" spans="4:4" x14ac:dyDescent="0.25">
      <c r="D385"/>
    </row>
    <row r="386" spans="4:4" x14ac:dyDescent="0.25">
      <c r="D386"/>
    </row>
    <row r="387" spans="4:4" x14ac:dyDescent="0.25">
      <c r="D387"/>
    </row>
    <row r="388" spans="4:4" x14ac:dyDescent="0.25">
      <c r="D388"/>
    </row>
    <row r="389" spans="4:4" x14ac:dyDescent="0.25">
      <c r="D389"/>
    </row>
    <row r="390" spans="4:4" x14ac:dyDescent="0.25">
      <c r="D390"/>
    </row>
    <row r="391" spans="4:4" x14ac:dyDescent="0.25">
      <c r="D391"/>
    </row>
    <row r="392" spans="4:4" x14ac:dyDescent="0.25">
      <c r="D392"/>
    </row>
    <row r="393" spans="4:4" x14ac:dyDescent="0.25">
      <c r="D393"/>
    </row>
    <row r="394" spans="4:4" x14ac:dyDescent="0.25">
      <c r="D394"/>
    </row>
    <row r="395" spans="4:4" x14ac:dyDescent="0.25">
      <c r="D395"/>
    </row>
    <row r="396" spans="4:4" x14ac:dyDescent="0.25">
      <c r="D396"/>
    </row>
    <row r="397" spans="4:4" x14ac:dyDescent="0.25">
      <c r="D397"/>
    </row>
    <row r="398" spans="4:4" x14ac:dyDescent="0.25">
      <c r="D398"/>
    </row>
    <row r="399" spans="4:4" x14ac:dyDescent="0.25">
      <c r="D399"/>
    </row>
    <row r="400" spans="4:4" x14ac:dyDescent="0.25">
      <c r="D400"/>
    </row>
    <row r="401" spans="4:4" x14ac:dyDescent="0.25">
      <c r="D401"/>
    </row>
    <row r="402" spans="4:4" x14ac:dyDescent="0.25">
      <c r="D402"/>
    </row>
    <row r="403" spans="4:4" x14ac:dyDescent="0.25">
      <c r="D403"/>
    </row>
    <row r="404" spans="4:4" x14ac:dyDescent="0.25">
      <c r="D404"/>
    </row>
    <row r="405" spans="4:4" x14ac:dyDescent="0.25">
      <c r="D405"/>
    </row>
    <row r="406" spans="4:4" x14ac:dyDescent="0.25">
      <c r="D406"/>
    </row>
    <row r="407" spans="4:4" x14ac:dyDescent="0.25">
      <c r="D407"/>
    </row>
    <row r="408" spans="4:4" x14ac:dyDescent="0.25">
      <c r="D408"/>
    </row>
    <row r="409" spans="4:4" x14ac:dyDescent="0.25">
      <c r="D409"/>
    </row>
    <row r="410" spans="4:4" x14ac:dyDescent="0.25">
      <c r="D410"/>
    </row>
    <row r="411" spans="4:4" x14ac:dyDescent="0.25">
      <c r="D411"/>
    </row>
    <row r="412" spans="4:4" x14ac:dyDescent="0.25">
      <c r="D412"/>
    </row>
    <row r="413" spans="4:4" x14ac:dyDescent="0.25">
      <c r="D413"/>
    </row>
    <row r="414" spans="4:4" x14ac:dyDescent="0.25">
      <c r="D414"/>
    </row>
    <row r="415" spans="4:4" x14ac:dyDescent="0.25">
      <c r="D415"/>
    </row>
    <row r="416" spans="4:4" x14ac:dyDescent="0.25">
      <c r="D416"/>
    </row>
    <row r="417" spans="4:4" x14ac:dyDescent="0.25">
      <c r="D417"/>
    </row>
    <row r="418" spans="4:4" x14ac:dyDescent="0.25">
      <c r="D418"/>
    </row>
    <row r="419" spans="4:4" x14ac:dyDescent="0.25">
      <c r="D419"/>
    </row>
    <row r="420" spans="4:4" x14ac:dyDescent="0.25">
      <c r="D420"/>
    </row>
    <row r="421" spans="4:4" x14ac:dyDescent="0.25">
      <c r="D421"/>
    </row>
    <row r="422" spans="4:4" x14ac:dyDescent="0.25">
      <c r="D422"/>
    </row>
    <row r="423" spans="4:4" x14ac:dyDescent="0.25">
      <c r="D423"/>
    </row>
    <row r="424" spans="4:4" x14ac:dyDescent="0.25">
      <c r="D424"/>
    </row>
    <row r="425" spans="4:4" x14ac:dyDescent="0.25">
      <c r="D425"/>
    </row>
    <row r="426" spans="4:4" x14ac:dyDescent="0.25">
      <c r="D426"/>
    </row>
    <row r="427" spans="4:4" x14ac:dyDescent="0.25">
      <c r="D427"/>
    </row>
    <row r="428" spans="4:4" x14ac:dyDescent="0.25">
      <c r="D428"/>
    </row>
    <row r="429" spans="4:4" x14ac:dyDescent="0.25">
      <c r="D429"/>
    </row>
    <row r="430" spans="4:4" x14ac:dyDescent="0.25">
      <c r="D430"/>
    </row>
    <row r="431" spans="4:4" x14ac:dyDescent="0.25">
      <c r="D431"/>
    </row>
    <row r="432" spans="4:4" x14ac:dyDescent="0.25">
      <c r="D432"/>
    </row>
    <row r="433" spans="4:4" x14ac:dyDescent="0.25">
      <c r="D433"/>
    </row>
    <row r="434" spans="4:4" x14ac:dyDescent="0.25">
      <c r="D434"/>
    </row>
    <row r="435" spans="4:4" x14ac:dyDescent="0.25">
      <c r="D435"/>
    </row>
    <row r="436" spans="4:4" x14ac:dyDescent="0.25">
      <c r="D436"/>
    </row>
    <row r="437" spans="4:4" x14ac:dyDescent="0.25">
      <c r="D437"/>
    </row>
    <row r="438" spans="4:4" x14ac:dyDescent="0.25">
      <c r="D438"/>
    </row>
    <row r="439" spans="4:4" x14ac:dyDescent="0.25">
      <c r="D439"/>
    </row>
    <row r="440" spans="4:4" x14ac:dyDescent="0.25">
      <c r="D440"/>
    </row>
    <row r="441" spans="4:4" x14ac:dyDescent="0.25">
      <c r="D441"/>
    </row>
    <row r="442" spans="4:4" x14ac:dyDescent="0.25">
      <c r="D442"/>
    </row>
    <row r="443" spans="4:4" x14ac:dyDescent="0.25">
      <c r="D443"/>
    </row>
    <row r="444" spans="4:4" x14ac:dyDescent="0.25">
      <c r="D444"/>
    </row>
    <row r="445" spans="4:4" x14ac:dyDescent="0.25">
      <c r="D445"/>
    </row>
    <row r="446" spans="4:4" x14ac:dyDescent="0.25">
      <c r="D446"/>
    </row>
    <row r="447" spans="4:4" x14ac:dyDescent="0.25">
      <c r="D447"/>
    </row>
    <row r="448" spans="4:4" x14ac:dyDescent="0.25">
      <c r="D448"/>
    </row>
    <row r="449" spans="4:4" x14ac:dyDescent="0.25">
      <c r="D449"/>
    </row>
    <row r="450" spans="4:4" x14ac:dyDescent="0.25">
      <c r="D450"/>
    </row>
    <row r="451" spans="4:4" x14ac:dyDescent="0.25">
      <c r="D451"/>
    </row>
    <row r="452" spans="4:4" x14ac:dyDescent="0.25">
      <c r="D452"/>
    </row>
    <row r="453" spans="4:4" x14ac:dyDescent="0.25">
      <c r="D453"/>
    </row>
    <row r="454" spans="4:4" x14ac:dyDescent="0.25">
      <c r="D454"/>
    </row>
    <row r="455" spans="4:4" x14ac:dyDescent="0.25">
      <c r="D455"/>
    </row>
    <row r="456" spans="4:4" x14ac:dyDescent="0.25">
      <c r="D456"/>
    </row>
    <row r="457" spans="4:4" x14ac:dyDescent="0.25">
      <c r="D457"/>
    </row>
    <row r="458" spans="4:4" x14ac:dyDescent="0.25">
      <c r="D458"/>
    </row>
    <row r="459" spans="4:4" x14ac:dyDescent="0.25">
      <c r="D459"/>
    </row>
    <row r="460" spans="4:4" x14ac:dyDescent="0.25">
      <c r="D460"/>
    </row>
    <row r="461" spans="4:4" x14ac:dyDescent="0.25">
      <c r="D461"/>
    </row>
    <row r="462" spans="4:4" x14ac:dyDescent="0.25">
      <c r="D462"/>
    </row>
    <row r="463" spans="4:4" x14ac:dyDescent="0.25">
      <c r="D463"/>
    </row>
    <row r="464" spans="4:4" x14ac:dyDescent="0.25">
      <c r="D464"/>
    </row>
    <row r="465" spans="4:4" x14ac:dyDescent="0.25">
      <c r="D465"/>
    </row>
    <row r="466" spans="4:4" x14ac:dyDescent="0.25">
      <c r="D466"/>
    </row>
    <row r="467" spans="4:4" x14ac:dyDescent="0.25">
      <c r="D467"/>
    </row>
    <row r="468" spans="4:4" x14ac:dyDescent="0.25">
      <c r="D468"/>
    </row>
    <row r="469" spans="4:4" x14ac:dyDescent="0.25">
      <c r="D469"/>
    </row>
    <row r="470" spans="4:4" x14ac:dyDescent="0.25">
      <c r="D470"/>
    </row>
    <row r="471" spans="4:4" x14ac:dyDescent="0.25">
      <c r="D471"/>
    </row>
    <row r="472" spans="4:4" x14ac:dyDescent="0.25">
      <c r="D472"/>
    </row>
    <row r="473" spans="4:4" x14ac:dyDescent="0.25">
      <c r="D473"/>
    </row>
    <row r="474" spans="4:4" x14ac:dyDescent="0.25">
      <c r="D474"/>
    </row>
    <row r="475" spans="4:4" x14ac:dyDescent="0.25">
      <c r="D475"/>
    </row>
    <row r="476" spans="4:4" x14ac:dyDescent="0.25">
      <c r="D476"/>
    </row>
    <row r="477" spans="4:4" x14ac:dyDescent="0.25">
      <c r="D477"/>
    </row>
    <row r="478" spans="4:4" x14ac:dyDescent="0.25">
      <c r="D478"/>
    </row>
    <row r="479" spans="4:4" x14ac:dyDescent="0.25">
      <c r="D479"/>
    </row>
    <row r="480" spans="4:4" x14ac:dyDescent="0.25">
      <c r="D480"/>
    </row>
    <row r="481" spans="4:4" x14ac:dyDescent="0.25">
      <c r="D481"/>
    </row>
    <row r="482" spans="4:4" x14ac:dyDescent="0.25">
      <c r="D482"/>
    </row>
    <row r="483" spans="4:4" x14ac:dyDescent="0.25">
      <c r="D483"/>
    </row>
    <row r="484" spans="4:4" x14ac:dyDescent="0.25">
      <c r="D484"/>
    </row>
    <row r="485" spans="4:4" x14ac:dyDescent="0.25">
      <c r="D485"/>
    </row>
    <row r="486" spans="4:4" x14ac:dyDescent="0.25">
      <c r="D486"/>
    </row>
    <row r="487" spans="4:4" x14ac:dyDescent="0.25">
      <c r="D487"/>
    </row>
    <row r="488" spans="4:4" x14ac:dyDescent="0.25">
      <c r="D488"/>
    </row>
    <row r="489" spans="4:4" x14ac:dyDescent="0.25">
      <c r="D489"/>
    </row>
    <row r="490" spans="4:4" x14ac:dyDescent="0.25">
      <c r="D490"/>
    </row>
    <row r="491" spans="4:4" x14ac:dyDescent="0.25">
      <c r="D491"/>
    </row>
    <row r="492" spans="4:4" x14ac:dyDescent="0.25">
      <c r="D492"/>
    </row>
    <row r="493" spans="4:4" x14ac:dyDescent="0.25">
      <c r="D493"/>
    </row>
    <row r="494" spans="4:4" x14ac:dyDescent="0.25">
      <c r="D494"/>
    </row>
    <row r="495" spans="4:4" x14ac:dyDescent="0.25">
      <c r="D495"/>
    </row>
    <row r="496" spans="4:4" x14ac:dyDescent="0.25">
      <c r="D496"/>
    </row>
    <row r="497" spans="4:4" x14ac:dyDescent="0.25">
      <c r="D497"/>
    </row>
    <row r="498" spans="4:4" x14ac:dyDescent="0.25">
      <c r="D498"/>
    </row>
    <row r="499" spans="4:4" x14ac:dyDescent="0.25">
      <c r="D499"/>
    </row>
    <row r="500" spans="4:4" x14ac:dyDescent="0.25">
      <c r="D500"/>
    </row>
    <row r="501" spans="4:4" x14ac:dyDescent="0.25">
      <c r="D501"/>
    </row>
    <row r="502" spans="4:4" x14ac:dyDescent="0.25">
      <c r="D502"/>
    </row>
    <row r="503" spans="4:4" x14ac:dyDescent="0.25">
      <c r="D503"/>
    </row>
    <row r="504" spans="4:4" x14ac:dyDescent="0.25">
      <c r="D504"/>
    </row>
    <row r="505" spans="4:4" x14ac:dyDescent="0.25">
      <c r="D505"/>
    </row>
    <row r="506" spans="4:4" x14ac:dyDescent="0.25">
      <c r="D506"/>
    </row>
    <row r="507" spans="4:4" x14ac:dyDescent="0.25">
      <c r="D507"/>
    </row>
    <row r="508" spans="4:4" x14ac:dyDescent="0.25">
      <c r="D508"/>
    </row>
    <row r="509" spans="4:4" x14ac:dyDescent="0.25">
      <c r="D509"/>
    </row>
    <row r="510" spans="4:4" x14ac:dyDescent="0.25">
      <c r="D510"/>
    </row>
    <row r="511" spans="4:4" x14ac:dyDescent="0.25">
      <c r="D511"/>
    </row>
    <row r="512" spans="4:4" x14ac:dyDescent="0.25">
      <c r="D512"/>
    </row>
    <row r="513" spans="4:4" x14ac:dyDescent="0.25">
      <c r="D513"/>
    </row>
    <row r="514" spans="4:4" x14ac:dyDescent="0.25">
      <c r="D514"/>
    </row>
    <row r="515" spans="4:4" x14ac:dyDescent="0.25">
      <c r="D515"/>
    </row>
    <row r="516" spans="4:4" x14ac:dyDescent="0.25">
      <c r="D516"/>
    </row>
    <row r="517" spans="4:4" x14ac:dyDescent="0.25">
      <c r="D517"/>
    </row>
    <row r="518" spans="4:4" x14ac:dyDescent="0.25">
      <c r="D518"/>
    </row>
    <row r="519" spans="4:4" x14ac:dyDescent="0.25">
      <c r="D519"/>
    </row>
    <row r="520" spans="4:4" x14ac:dyDescent="0.25">
      <c r="D520"/>
    </row>
    <row r="521" spans="4:4" x14ac:dyDescent="0.25">
      <c r="D521"/>
    </row>
    <row r="522" spans="4:4" x14ac:dyDescent="0.25">
      <c r="D522"/>
    </row>
    <row r="523" spans="4:4" x14ac:dyDescent="0.25">
      <c r="D523"/>
    </row>
    <row r="524" spans="4:4" x14ac:dyDescent="0.25">
      <c r="D524"/>
    </row>
    <row r="525" spans="4:4" x14ac:dyDescent="0.25">
      <c r="D525"/>
    </row>
    <row r="526" spans="4:4" x14ac:dyDescent="0.25">
      <c r="D526"/>
    </row>
    <row r="527" spans="4:4" x14ac:dyDescent="0.25">
      <c r="D527"/>
    </row>
    <row r="528" spans="4:4" x14ac:dyDescent="0.25">
      <c r="D528"/>
    </row>
    <row r="529" spans="4:4" x14ac:dyDescent="0.25">
      <c r="D529"/>
    </row>
    <row r="530" spans="4:4" x14ac:dyDescent="0.25">
      <c r="D530"/>
    </row>
    <row r="531" spans="4:4" x14ac:dyDescent="0.25">
      <c r="D531"/>
    </row>
    <row r="532" spans="4:4" x14ac:dyDescent="0.25">
      <c r="D532"/>
    </row>
    <row r="533" spans="4:4" x14ac:dyDescent="0.25">
      <c r="D533"/>
    </row>
    <row r="534" spans="4:4" x14ac:dyDescent="0.25">
      <c r="D534"/>
    </row>
    <row r="535" spans="4:4" x14ac:dyDescent="0.25">
      <c r="D535"/>
    </row>
    <row r="536" spans="4:4" x14ac:dyDescent="0.25">
      <c r="D536"/>
    </row>
    <row r="537" spans="4:4" x14ac:dyDescent="0.25">
      <c r="D537"/>
    </row>
    <row r="538" spans="4:4" x14ac:dyDescent="0.25">
      <c r="D538"/>
    </row>
    <row r="539" spans="4:4" x14ac:dyDescent="0.25">
      <c r="D539"/>
    </row>
    <row r="540" spans="4:4" x14ac:dyDescent="0.25">
      <c r="D540"/>
    </row>
    <row r="541" spans="4:4" x14ac:dyDescent="0.25">
      <c r="D541"/>
    </row>
    <row r="542" spans="4:4" x14ac:dyDescent="0.25">
      <c r="D542"/>
    </row>
    <row r="543" spans="4:4" x14ac:dyDescent="0.25">
      <c r="D543"/>
    </row>
    <row r="544" spans="4:4" x14ac:dyDescent="0.25">
      <c r="D544"/>
    </row>
    <row r="545" spans="4:4" x14ac:dyDescent="0.25">
      <c r="D545"/>
    </row>
    <row r="546" spans="4:4" x14ac:dyDescent="0.25">
      <c r="D546"/>
    </row>
    <row r="547" spans="4:4" x14ac:dyDescent="0.25">
      <c r="D547"/>
    </row>
    <row r="548" spans="4:4" x14ac:dyDescent="0.25">
      <c r="D548"/>
    </row>
    <row r="549" spans="4:4" x14ac:dyDescent="0.25">
      <c r="D549"/>
    </row>
    <row r="550" spans="4:4" x14ac:dyDescent="0.25">
      <c r="D550"/>
    </row>
    <row r="551" spans="4:4" x14ac:dyDescent="0.25">
      <c r="D551"/>
    </row>
    <row r="552" spans="4:4" x14ac:dyDescent="0.25">
      <c r="D552"/>
    </row>
    <row r="553" spans="4:4" x14ac:dyDescent="0.25">
      <c r="D553"/>
    </row>
    <row r="554" spans="4:4" x14ac:dyDescent="0.25">
      <c r="D554"/>
    </row>
    <row r="555" spans="4:4" x14ac:dyDescent="0.25">
      <c r="D555"/>
    </row>
    <row r="556" spans="4:4" x14ac:dyDescent="0.25">
      <c r="D556"/>
    </row>
    <row r="557" spans="4:4" x14ac:dyDescent="0.25">
      <c r="D557"/>
    </row>
    <row r="558" spans="4:4" x14ac:dyDescent="0.25">
      <c r="D558"/>
    </row>
    <row r="559" spans="4:4" x14ac:dyDescent="0.25">
      <c r="D559"/>
    </row>
    <row r="560" spans="4:4" x14ac:dyDescent="0.25">
      <c r="D560"/>
    </row>
    <row r="561" spans="4:4" x14ac:dyDescent="0.25">
      <c r="D561"/>
    </row>
    <row r="562" spans="4:4" x14ac:dyDescent="0.25">
      <c r="D562"/>
    </row>
    <row r="563" spans="4:4" x14ac:dyDescent="0.25">
      <c r="D563"/>
    </row>
    <row r="564" spans="4:4" x14ac:dyDescent="0.25">
      <c r="D564"/>
    </row>
    <row r="565" spans="4:4" x14ac:dyDescent="0.25">
      <c r="D565"/>
    </row>
    <row r="566" spans="4:4" x14ac:dyDescent="0.25">
      <c r="D566"/>
    </row>
    <row r="567" spans="4:4" x14ac:dyDescent="0.25">
      <c r="D567"/>
    </row>
    <row r="568" spans="4:4" x14ac:dyDescent="0.25">
      <c r="D568"/>
    </row>
    <row r="569" spans="4:4" x14ac:dyDescent="0.25">
      <c r="D569"/>
    </row>
    <row r="570" spans="4:4" x14ac:dyDescent="0.25">
      <c r="D570"/>
    </row>
    <row r="571" spans="4:4" x14ac:dyDescent="0.25">
      <c r="D571"/>
    </row>
    <row r="572" spans="4:4" x14ac:dyDescent="0.25">
      <c r="D572"/>
    </row>
    <row r="573" spans="4:4" x14ac:dyDescent="0.25">
      <c r="D573"/>
    </row>
    <row r="574" spans="4:4" x14ac:dyDescent="0.25">
      <c r="D574"/>
    </row>
    <row r="575" spans="4:4" x14ac:dyDescent="0.25">
      <c r="D575"/>
    </row>
    <row r="576" spans="4:4" x14ac:dyDescent="0.25">
      <c r="D576"/>
    </row>
    <row r="577" spans="4:4" x14ac:dyDescent="0.25">
      <c r="D577"/>
    </row>
    <row r="578" spans="4:4" x14ac:dyDescent="0.25">
      <c r="D578"/>
    </row>
    <row r="579" spans="4:4" x14ac:dyDescent="0.25">
      <c r="D579"/>
    </row>
    <row r="580" spans="4:4" x14ac:dyDescent="0.25">
      <c r="D580"/>
    </row>
    <row r="581" spans="4:4" x14ac:dyDescent="0.25">
      <c r="D581"/>
    </row>
    <row r="582" spans="4:4" x14ac:dyDescent="0.25">
      <c r="D582"/>
    </row>
    <row r="583" spans="4:4" x14ac:dyDescent="0.25">
      <c r="D583"/>
    </row>
    <row r="584" spans="4:4" x14ac:dyDescent="0.25">
      <c r="D584"/>
    </row>
    <row r="585" spans="4:4" x14ac:dyDescent="0.25">
      <c r="D585"/>
    </row>
    <row r="586" spans="4:4" x14ac:dyDescent="0.25">
      <c r="D586"/>
    </row>
    <row r="587" spans="4:4" x14ac:dyDescent="0.25">
      <c r="D587"/>
    </row>
    <row r="588" spans="4:4" x14ac:dyDescent="0.25">
      <c r="D588"/>
    </row>
    <row r="589" spans="4:4" x14ac:dyDescent="0.25">
      <c r="D589"/>
    </row>
    <row r="590" spans="4:4" x14ac:dyDescent="0.25">
      <c r="D590"/>
    </row>
    <row r="591" spans="4:4" x14ac:dyDescent="0.25">
      <c r="D591"/>
    </row>
    <row r="592" spans="4:4" x14ac:dyDescent="0.25">
      <c r="D592"/>
    </row>
    <row r="593" spans="4:4" x14ac:dyDescent="0.25">
      <c r="D593"/>
    </row>
    <row r="594" spans="4:4" x14ac:dyDescent="0.25">
      <c r="D594"/>
    </row>
    <row r="595" spans="4:4" x14ac:dyDescent="0.25">
      <c r="D595"/>
    </row>
    <row r="596" spans="4:4" x14ac:dyDescent="0.25">
      <c r="D596"/>
    </row>
    <row r="597" spans="4:4" x14ac:dyDescent="0.25">
      <c r="D597"/>
    </row>
    <row r="598" spans="4:4" x14ac:dyDescent="0.25">
      <c r="D598"/>
    </row>
    <row r="599" spans="4:4" x14ac:dyDescent="0.25">
      <c r="D599"/>
    </row>
    <row r="600" spans="4:4" x14ac:dyDescent="0.25">
      <c r="D600"/>
    </row>
    <row r="601" spans="4:4" x14ac:dyDescent="0.25">
      <c r="D601"/>
    </row>
    <row r="602" spans="4:4" x14ac:dyDescent="0.25">
      <c r="D602"/>
    </row>
    <row r="603" spans="4:4" x14ac:dyDescent="0.25">
      <c r="D603"/>
    </row>
    <row r="604" spans="4:4" x14ac:dyDescent="0.25">
      <c r="D604"/>
    </row>
    <row r="605" spans="4:4" x14ac:dyDescent="0.25">
      <c r="D605"/>
    </row>
    <row r="606" spans="4:4" x14ac:dyDescent="0.25">
      <c r="D606"/>
    </row>
    <row r="607" spans="4:4" x14ac:dyDescent="0.25">
      <c r="D607"/>
    </row>
    <row r="608" spans="4:4" x14ac:dyDescent="0.25">
      <c r="D608"/>
    </row>
    <row r="609" spans="4:4" x14ac:dyDescent="0.25">
      <c r="D609"/>
    </row>
    <row r="610" spans="4:4" x14ac:dyDescent="0.25">
      <c r="D610"/>
    </row>
    <row r="611" spans="4:4" x14ac:dyDescent="0.25">
      <c r="D611"/>
    </row>
    <row r="612" spans="4:4" x14ac:dyDescent="0.25">
      <c r="D612"/>
    </row>
    <row r="613" spans="4:4" x14ac:dyDescent="0.25">
      <c r="D613"/>
    </row>
    <row r="614" spans="4:4" x14ac:dyDescent="0.25">
      <c r="D614"/>
    </row>
    <row r="615" spans="4:4" x14ac:dyDescent="0.25">
      <c r="D615"/>
    </row>
    <row r="616" spans="4:4" x14ac:dyDescent="0.25">
      <c r="D616"/>
    </row>
    <row r="617" spans="4:4" x14ac:dyDescent="0.25">
      <c r="D617"/>
    </row>
    <row r="618" spans="4:4" x14ac:dyDescent="0.25">
      <c r="D618"/>
    </row>
    <row r="619" spans="4:4" x14ac:dyDescent="0.25">
      <c r="D619"/>
    </row>
    <row r="620" spans="4:4" x14ac:dyDescent="0.25">
      <c r="D620"/>
    </row>
    <row r="621" spans="4:4" x14ac:dyDescent="0.25">
      <c r="D621"/>
    </row>
    <row r="622" spans="4:4" x14ac:dyDescent="0.25">
      <c r="D622"/>
    </row>
    <row r="623" spans="4:4" x14ac:dyDescent="0.25">
      <c r="D623"/>
    </row>
    <row r="624" spans="4:4" x14ac:dyDescent="0.25">
      <c r="D624"/>
    </row>
    <row r="625" spans="4:4" x14ac:dyDescent="0.25">
      <c r="D625"/>
    </row>
    <row r="626" spans="4:4" x14ac:dyDescent="0.25">
      <c r="D626"/>
    </row>
    <row r="627" spans="4:4" x14ac:dyDescent="0.25">
      <c r="D627"/>
    </row>
    <row r="628" spans="4:4" x14ac:dyDescent="0.25">
      <c r="D628"/>
    </row>
    <row r="629" spans="4:4" x14ac:dyDescent="0.25">
      <c r="D629"/>
    </row>
    <row r="630" spans="4:4" x14ac:dyDescent="0.25">
      <c r="D630"/>
    </row>
    <row r="631" spans="4:4" x14ac:dyDescent="0.25">
      <c r="D631"/>
    </row>
    <row r="632" spans="4:4" x14ac:dyDescent="0.25">
      <c r="D632"/>
    </row>
    <row r="633" spans="4:4" x14ac:dyDescent="0.25">
      <c r="D633"/>
    </row>
    <row r="634" spans="4:4" x14ac:dyDescent="0.25">
      <c r="D634"/>
    </row>
    <row r="635" spans="4:4" x14ac:dyDescent="0.25">
      <c r="D635"/>
    </row>
    <row r="636" spans="4:4" x14ac:dyDescent="0.25">
      <c r="D636"/>
    </row>
    <row r="637" spans="4:4" x14ac:dyDescent="0.25">
      <c r="D637"/>
    </row>
    <row r="638" spans="4:4" x14ac:dyDescent="0.25">
      <c r="D638"/>
    </row>
    <row r="639" spans="4:4" x14ac:dyDescent="0.25">
      <c r="D639"/>
    </row>
    <row r="640" spans="4:4" x14ac:dyDescent="0.25">
      <c r="D640"/>
    </row>
    <row r="641" spans="4:4" x14ac:dyDescent="0.25">
      <c r="D641"/>
    </row>
    <row r="642" spans="4:4" x14ac:dyDescent="0.25">
      <c r="D642"/>
    </row>
    <row r="643" spans="4:4" x14ac:dyDescent="0.25">
      <c r="D643"/>
    </row>
    <row r="644" spans="4:4" x14ac:dyDescent="0.25">
      <c r="D644"/>
    </row>
    <row r="645" spans="4:4" x14ac:dyDescent="0.25">
      <c r="D645"/>
    </row>
    <row r="646" spans="4:4" x14ac:dyDescent="0.25">
      <c r="D646"/>
    </row>
    <row r="647" spans="4:4" x14ac:dyDescent="0.25">
      <c r="D647"/>
    </row>
    <row r="648" spans="4:4" x14ac:dyDescent="0.25">
      <c r="D648"/>
    </row>
    <row r="649" spans="4:4" x14ac:dyDescent="0.25">
      <c r="D649"/>
    </row>
    <row r="650" spans="4:4" x14ac:dyDescent="0.25">
      <c r="D650"/>
    </row>
    <row r="651" spans="4:4" x14ac:dyDescent="0.25">
      <c r="D651"/>
    </row>
    <row r="652" spans="4:4" x14ac:dyDescent="0.25">
      <c r="D652"/>
    </row>
    <row r="653" spans="4:4" x14ac:dyDescent="0.25">
      <c r="D653"/>
    </row>
    <row r="654" spans="4:4" x14ac:dyDescent="0.25">
      <c r="D654"/>
    </row>
    <row r="655" spans="4:4" x14ac:dyDescent="0.25">
      <c r="D655"/>
    </row>
    <row r="656" spans="4:4" x14ac:dyDescent="0.25">
      <c r="D656"/>
    </row>
    <row r="657" spans="4:4" x14ac:dyDescent="0.25">
      <c r="D657"/>
    </row>
    <row r="658" spans="4:4" x14ac:dyDescent="0.25">
      <c r="D658"/>
    </row>
    <row r="659" spans="4:4" x14ac:dyDescent="0.25">
      <c r="D659"/>
    </row>
    <row r="660" spans="4:4" x14ac:dyDescent="0.25">
      <c r="D660"/>
    </row>
    <row r="661" spans="4:4" x14ac:dyDescent="0.25">
      <c r="D661"/>
    </row>
    <row r="662" spans="4:4" x14ac:dyDescent="0.25">
      <c r="D662"/>
    </row>
    <row r="663" spans="4:4" x14ac:dyDescent="0.25">
      <c r="D663"/>
    </row>
    <row r="664" spans="4:4" x14ac:dyDescent="0.25">
      <c r="D664"/>
    </row>
    <row r="665" spans="4:4" x14ac:dyDescent="0.25">
      <c r="D665"/>
    </row>
    <row r="666" spans="4:4" x14ac:dyDescent="0.25">
      <c r="D666"/>
    </row>
    <row r="667" spans="4:4" x14ac:dyDescent="0.25">
      <c r="D667"/>
    </row>
    <row r="668" spans="4:4" x14ac:dyDescent="0.25">
      <c r="D668"/>
    </row>
    <row r="669" spans="4:4" x14ac:dyDescent="0.25">
      <c r="D669"/>
    </row>
    <row r="670" spans="4:4" x14ac:dyDescent="0.25">
      <c r="D670"/>
    </row>
    <row r="671" spans="4:4" x14ac:dyDescent="0.25">
      <c r="D671"/>
    </row>
    <row r="672" spans="4:4" x14ac:dyDescent="0.25">
      <c r="D672"/>
    </row>
    <row r="673" spans="4:4" x14ac:dyDescent="0.25">
      <c r="D673"/>
    </row>
    <row r="674" spans="4:4" x14ac:dyDescent="0.25">
      <c r="D674"/>
    </row>
    <row r="675" spans="4:4" x14ac:dyDescent="0.25">
      <c r="D675"/>
    </row>
    <row r="676" spans="4:4" x14ac:dyDescent="0.25">
      <c r="D676"/>
    </row>
    <row r="677" spans="4:4" x14ac:dyDescent="0.25">
      <c r="D677"/>
    </row>
    <row r="678" spans="4:4" x14ac:dyDescent="0.25">
      <c r="D678"/>
    </row>
    <row r="679" spans="4:4" x14ac:dyDescent="0.25">
      <c r="D679"/>
    </row>
    <row r="680" spans="4:4" x14ac:dyDescent="0.25">
      <c r="D680"/>
    </row>
    <row r="681" spans="4:4" x14ac:dyDescent="0.25">
      <c r="D681"/>
    </row>
    <row r="682" spans="4:4" x14ac:dyDescent="0.25">
      <c r="D682"/>
    </row>
    <row r="683" spans="4:4" x14ac:dyDescent="0.25">
      <c r="D683"/>
    </row>
    <row r="684" spans="4:4" x14ac:dyDescent="0.25">
      <c r="D684"/>
    </row>
    <row r="685" spans="4:4" x14ac:dyDescent="0.25">
      <c r="D685"/>
    </row>
    <row r="686" spans="4:4" x14ac:dyDescent="0.25">
      <c r="D686"/>
    </row>
    <row r="687" spans="4:4" x14ac:dyDescent="0.25">
      <c r="D687"/>
    </row>
    <row r="688" spans="4:4" x14ac:dyDescent="0.25">
      <c r="D688"/>
    </row>
    <row r="689" spans="4:4" x14ac:dyDescent="0.25">
      <c r="D689"/>
    </row>
    <row r="690" spans="4:4" x14ac:dyDescent="0.25">
      <c r="D690"/>
    </row>
    <row r="691" spans="4:4" x14ac:dyDescent="0.25">
      <c r="D691"/>
    </row>
    <row r="692" spans="4:4" x14ac:dyDescent="0.25">
      <c r="D692"/>
    </row>
    <row r="693" spans="4:4" x14ac:dyDescent="0.25">
      <c r="D693"/>
    </row>
    <row r="694" spans="4:4" x14ac:dyDescent="0.25">
      <c r="D694"/>
    </row>
    <row r="695" spans="4:4" x14ac:dyDescent="0.25">
      <c r="D695"/>
    </row>
    <row r="696" spans="4:4" x14ac:dyDescent="0.25">
      <c r="D696"/>
    </row>
    <row r="697" spans="4:4" x14ac:dyDescent="0.25">
      <c r="D697"/>
    </row>
    <row r="698" spans="4:4" x14ac:dyDescent="0.25">
      <c r="D698"/>
    </row>
    <row r="699" spans="4:4" x14ac:dyDescent="0.25">
      <c r="D699"/>
    </row>
    <row r="700" spans="4:4" x14ac:dyDescent="0.25">
      <c r="D700"/>
    </row>
    <row r="701" spans="4:4" x14ac:dyDescent="0.25">
      <c r="D701"/>
    </row>
    <row r="702" spans="4:4" x14ac:dyDescent="0.25">
      <c r="D702"/>
    </row>
    <row r="703" spans="4:4" x14ac:dyDescent="0.25">
      <c r="D703"/>
    </row>
    <row r="704" spans="4:4" x14ac:dyDescent="0.25">
      <c r="D704"/>
    </row>
    <row r="705" spans="4:4" x14ac:dyDescent="0.25">
      <c r="D705"/>
    </row>
    <row r="706" spans="4:4" x14ac:dyDescent="0.25">
      <c r="D706"/>
    </row>
    <row r="707" spans="4:4" x14ac:dyDescent="0.25">
      <c r="D707"/>
    </row>
    <row r="708" spans="4:4" x14ac:dyDescent="0.25">
      <c r="D708"/>
    </row>
    <row r="709" spans="4:4" x14ac:dyDescent="0.25">
      <c r="D709"/>
    </row>
    <row r="710" spans="4:4" x14ac:dyDescent="0.25">
      <c r="D710"/>
    </row>
    <row r="711" spans="4:4" x14ac:dyDescent="0.25">
      <c r="D711"/>
    </row>
    <row r="712" spans="4:4" x14ac:dyDescent="0.25">
      <c r="D712"/>
    </row>
    <row r="713" spans="4:4" x14ac:dyDescent="0.25">
      <c r="D713"/>
    </row>
    <row r="714" spans="4:4" x14ac:dyDescent="0.25">
      <c r="D714"/>
    </row>
    <row r="715" spans="4:4" x14ac:dyDescent="0.25">
      <c r="D715"/>
    </row>
    <row r="716" spans="4:4" x14ac:dyDescent="0.25">
      <c r="D716"/>
    </row>
    <row r="717" spans="4:4" x14ac:dyDescent="0.25">
      <c r="D717"/>
    </row>
    <row r="718" spans="4:4" x14ac:dyDescent="0.25">
      <c r="D718"/>
    </row>
    <row r="719" spans="4:4" x14ac:dyDescent="0.25">
      <c r="D719"/>
    </row>
    <row r="720" spans="4:4" x14ac:dyDescent="0.25">
      <c r="D720"/>
    </row>
    <row r="721" spans="4:4" x14ac:dyDescent="0.25">
      <c r="D721"/>
    </row>
    <row r="722" spans="4:4" x14ac:dyDescent="0.25">
      <c r="D722"/>
    </row>
    <row r="723" spans="4:4" x14ac:dyDescent="0.25">
      <c r="D723"/>
    </row>
    <row r="724" spans="4:4" x14ac:dyDescent="0.25">
      <c r="D724"/>
    </row>
    <row r="725" spans="4:4" x14ac:dyDescent="0.25">
      <c r="D725"/>
    </row>
    <row r="726" spans="4:4" x14ac:dyDescent="0.25">
      <c r="D726"/>
    </row>
    <row r="727" spans="4:4" x14ac:dyDescent="0.25">
      <c r="D727"/>
    </row>
    <row r="728" spans="4:4" x14ac:dyDescent="0.25">
      <c r="D728"/>
    </row>
    <row r="729" spans="4:4" x14ac:dyDescent="0.25">
      <c r="D729"/>
    </row>
    <row r="730" spans="4:4" x14ac:dyDescent="0.25">
      <c r="D730"/>
    </row>
    <row r="731" spans="4:4" x14ac:dyDescent="0.25">
      <c r="D731"/>
    </row>
    <row r="732" spans="4:4" x14ac:dyDescent="0.25">
      <c r="D732"/>
    </row>
    <row r="733" spans="4:4" x14ac:dyDescent="0.25">
      <c r="D733"/>
    </row>
    <row r="734" spans="4:4" x14ac:dyDescent="0.25">
      <c r="D734"/>
    </row>
    <row r="735" spans="4:4" x14ac:dyDescent="0.25">
      <c r="D735"/>
    </row>
    <row r="736" spans="4:4" x14ac:dyDescent="0.25">
      <c r="D736"/>
    </row>
    <row r="737" spans="4:4" x14ac:dyDescent="0.25">
      <c r="D737"/>
    </row>
    <row r="738" spans="4:4" x14ac:dyDescent="0.25">
      <c r="D738"/>
    </row>
    <row r="739" spans="4:4" x14ac:dyDescent="0.25">
      <c r="D739"/>
    </row>
    <row r="740" spans="4:4" x14ac:dyDescent="0.25">
      <c r="D740"/>
    </row>
    <row r="741" spans="4:4" x14ac:dyDescent="0.25">
      <c r="D741"/>
    </row>
    <row r="742" spans="4:4" x14ac:dyDescent="0.25">
      <c r="D742"/>
    </row>
    <row r="743" spans="4:4" x14ac:dyDescent="0.25">
      <c r="D743"/>
    </row>
    <row r="744" spans="4:4" x14ac:dyDescent="0.25">
      <c r="D744"/>
    </row>
    <row r="745" spans="4:4" x14ac:dyDescent="0.25">
      <c r="D745"/>
    </row>
    <row r="746" spans="4:4" x14ac:dyDescent="0.25">
      <c r="D746"/>
    </row>
    <row r="747" spans="4:4" x14ac:dyDescent="0.25">
      <c r="D747"/>
    </row>
    <row r="748" spans="4:4" x14ac:dyDescent="0.25">
      <c r="D748"/>
    </row>
    <row r="749" spans="4:4" x14ac:dyDescent="0.25">
      <c r="D749"/>
    </row>
    <row r="750" spans="4:4" x14ac:dyDescent="0.25">
      <c r="D750"/>
    </row>
    <row r="751" spans="4:4" x14ac:dyDescent="0.25">
      <c r="D751"/>
    </row>
    <row r="752" spans="4:4" x14ac:dyDescent="0.25">
      <c r="D752"/>
    </row>
    <row r="753" spans="4:4" x14ac:dyDescent="0.25">
      <c r="D753"/>
    </row>
    <row r="754" spans="4:4" x14ac:dyDescent="0.25">
      <c r="D754"/>
    </row>
    <row r="755" spans="4:4" x14ac:dyDescent="0.25">
      <c r="D755"/>
    </row>
    <row r="756" spans="4:4" x14ac:dyDescent="0.25">
      <c r="D756"/>
    </row>
    <row r="757" spans="4:4" x14ac:dyDescent="0.25">
      <c r="D757"/>
    </row>
    <row r="758" spans="4:4" x14ac:dyDescent="0.25">
      <c r="D758"/>
    </row>
    <row r="759" spans="4:4" x14ac:dyDescent="0.25">
      <c r="D759"/>
    </row>
    <row r="760" spans="4:4" x14ac:dyDescent="0.25">
      <c r="D760"/>
    </row>
    <row r="761" spans="4:4" x14ac:dyDescent="0.25">
      <c r="D761"/>
    </row>
    <row r="762" spans="4:4" x14ac:dyDescent="0.25">
      <c r="D762"/>
    </row>
    <row r="763" spans="4:4" x14ac:dyDescent="0.25">
      <c r="D763"/>
    </row>
    <row r="764" spans="4:4" x14ac:dyDescent="0.25">
      <c r="D764"/>
    </row>
    <row r="765" spans="4:4" x14ac:dyDescent="0.25">
      <c r="D765"/>
    </row>
    <row r="766" spans="4:4" x14ac:dyDescent="0.25">
      <c r="D766"/>
    </row>
    <row r="767" spans="4:4" x14ac:dyDescent="0.25">
      <c r="D767"/>
    </row>
    <row r="768" spans="4:4" x14ac:dyDescent="0.25">
      <c r="D768"/>
    </row>
    <row r="769" spans="4:4" x14ac:dyDescent="0.25">
      <c r="D769"/>
    </row>
    <row r="770" spans="4:4" x14ac:dyDescent="0.25">
      <c r="D770"/>
    </row>
    <row r="771" spans="4:4" x14ac:dyDescent="0.25">
      <c r="D771"/>
    </row>
    <row r="772" spans="4:4" x14ac:dyDescent="0.25">
      <c r="D772"/>
    </row>
    <row r="773" spans="4:4" x14ac:dyDescent="0.25">
      <c r="D773"/>
    </row>
    <row r="774" spans="4:4" x14ac:dyDescent="0.25">
      <c r="D774"/>
    </row>
    <row r="775" spans="4:4" x14ac:dyDescent="0.25">
      <c r="D775"/>
    </row>
    <row r="776" spans="4:4" x14ac:dyDescent="0.25">
      <c r="D776"/>
    </row>
    <row r="777" spans="4:4" x14ac:dyDescent="0.25">
      <c r="D777"/>
    </row>
    <row r="778" spans="4:4" x14ac:dyDescent="0.25">
      <c r="D778"/>
    </row>
    <row r="779" spans="4:4" x14ac:dyDescent="0.25">
      <c r="D779"/>
    </row>
    <row r="780" spans="4:4" x14ac:dyDescent="0.25">
      <c r="D780"/>
    </row>
    <row r="781" spans="4:4" x14ac:dyDescent="0.25">
      <c r="D781"/>
    </row>
    <row r="782" spans="4:4" x14ac:dyDescent="0.25">
      <c r="D782"/>
    </row>
    <row r="783" spans="4:4" x14ac:dyDescent="0.25">
      <c r="D783"/>
    </row>
    <row r="784" spans="4:4" x14ac:dyDescent="0.25">
      <c r="D784"/>
    </row>
    <row r="785" spans="4:4" x14ac:dyDescent="0.25">
      <c r="D785"/>
    </row>
    <row r="786" spans="4:4" x14ac:dyDescent="0.25">
      <c r="D786"/>
    </row>
    <row r="787" spans="4:4" x14ac:dyDescent="0.25">
      <c r="D787"/>
    </row>
    <row r="788" spans="4:4" x14ac:dyDescent="0.25">
      <c r="D788"/>
    </row>
    <row r="789" spans="4:4" x14ac:dyDescent="0.25">
      <c r="D789"/>
    </row>
    <row r="790" spans="4:4" x14ac:dyDescent="0.25">
      <c r="D790"/>
    </row>
    <row r="791" spans="4:4" x14ac:dyDescent="0.25">
      <c r="D791"/>
    </row>
    <row r="792" spans="4:4" x14ac:dyDescent="0.25">
      <c r="D792"/>
    </row>
    <row r="793" spans="4:4" x14ac:dyDescent="0.25">
      <c r="D793"/>
    </row>
    <row r="794" spans="4:4" x14ac:dyDescent="0.25">
      <c r="D794"/>
    </row>
    <row r="795" spans="4:4" x14ac:dyDescent="0.25">
      <c r="D795"/>
    </row>
    <row r="796" spans="4:4" x14ac:dyDescent="0.25">
      <c r="D796"/>
    </row>
    <row r="797" spans="4:4" x14ac:dyDescent="0.25">
      <c r="D797"/>
    </row>
    <row r="798" spans="4:4" x14ac:dyDescent="0.25">
      <c r="D798"/>
    </row>
    <row r="799" spans="4:4" x14ac:dyDescent="0.25">
      <c r="D799"/>
    </row>
    <row r="800" spans="4:4" x14ac:dyDescent="0.25">
      <c r="D800"/>
    </row>
    <row r="801" spans="4:4" x14ac:dyDescent="0.25">
      <c r="D801"/>
    </row>
    <row r="802" spans="4:4" x14ac:dyDescent="0.25">
      <c r="D802"/>
    </row>
    <row r="803" spans="4:4" x14ac:dyDescent="0.25">
      <c r="D803"/>
    </row>
    <row r="804" spans="4:4" x14ac:dyDescent="0.25">
      <c r="D804"/>
    </row>
    <row r="805" spans="4:4" x14ac:dyDescent="0.25">
      <c r="D805"/>
    </row>
    <row r="806" spans="4:4" x14ac:dyDescent="0.25">
      <c r="D806"/>
    </row>
    <row r="807" spans="4:4" x14ac:dyDescent="0.25">
      <c r="D807"/>
    </row>
    <row r="808" spans="4:4" x14ac:dyDescent="0.25">
      <c r="D808"/>
    </row>
    <row r="809" spans="4:4" x14ac:dyDescent="0.25">
      <c r="D809"/>
    </row>
    <row r="810" spans="4:4" x14ac:dyDescent="0.25">
      <c r="D810"/>
    </row>
    <row r="811" spans="4:4" x14ac:dyDescent="0.25">
      <c r="D811"/>
    </row>
    <row r="812" spans="4:4" x14ac:dyDescent="0.25">
      <c r="D812"/>
    </row>
    <row r="813" spans="4:4" x14ac:dyDescent="0.25">
      <c r="D813"/>
    </row>
    <row r="814" spans="4:4" x14ac:dyDescent="0.25">
      <c r="D814"/>
    </row>
    <row r="815" spans="4:4" x14ac:dyDescent="0.25">
      <c r="D815"/>
    </row>
    <row r="816" spans="4:4" x14ac:dyDescent="0.25">
      <c r="D816"/>
    </row>
    <row r="817" spans="4:4" x14ac:dyDescent="0.25">
      <c r="D817"/>
    </row>
    <row r="818" spans="4:4" x14ac:dyDescent="0.25">
      <c r="D818"/>
    </row>
    <row r="819" spans="4:4" x14ac:dyDescent="0.25">
      <c r="D819"/>
    </row>
    <row r="820" spans="4:4" x14ac:dyDescent="0.25">
      <c r="D820"/>
    </row>
    <row r="821" spans="4:4" x14ac:dyDescent="0.25">
      <c r="D821"/>
    </row>
    <row r="822" spans="4:4" x14ac:dyDescent="0.25">
      <c r="D822"/>
    </row>
    <row r="823" spans="4:4" x14ac:dyDescent="0.25">
      <c r="D823"/>
    </row>
    <row r="824" spans="4:4" x14ac:dyDescent="0.25">
      <c r="D824"/>
    </row>
    <row r="825" spans="4:4" x14ac:dyDescent="0.25">
      <c r="D825"/>
    </row>
    <row r="826" spans="4:4" x14ac:dyDescent="0.25">
      <c r="D826"/>
    </row>
    <row r="827" spans="4:4" x14ac:dyDescent="0.25">
      <c r="D827"/>
    </row>
    <row r="828" spans="4:4" x14ac:dyDescent="0.25">
      <c r="D828"/>
    </row>
    <row r="829" spans="4:4" x14ac:dyDescent="0.25">
      <c r="D829"/>
    </row>
    <row r="830" spans="4:4" x14ac:dyDescent="0.25">
      <c r="D830"/>
    </row>
    <row r="831" spans="4:4" x14ac:dyDescent="0.25">
      <c r="D831"/>
    </row>
    <row r="832" spans="4:4" x14ac:dyDescent="0.25">
      <c r="D832"/>
    </row>
    <row r="833" spans="4:4" x14ac:dyDescent="0.25">
      <c r="D833"/>
    </row>
    <row r="834" spans="4:4" x14ac:dyDescent="0.25">
      <c r="D834"/>
    </row>
    <row r="835" spans="4:4" x14ac:dyDescent="0.25">
      <c r="D835"/>
    </row>
    <row r="836" spans="4:4" x14ac:dyDescent="0.25">
      <c r="D836"/>
    </row>
    <row r="837" spans="4:4" x14ac:dyDescent="0.25">
      <c r="D837"/>
    </row>
    <row r="838" spans="4:4" x14ac:dyDescent="0.25">
      <c r="D838"/>
    </row>
    <row r="839" spans="4:4" x14ac:dyDescent="0.25">
      <c r="D839"/>
    </row>
    <row r="840" spans="4:4" x14ac:dyDescent="0.25">
      <c r="D840"/>
    </row>
    <row r="841" spans="4:4" x14ac:dyDescent="0.25">
      <c r="D841"/>
    </row>
    <row r="842" spans="4:4" x14ac:dyDescent="0.25">
      <c r="D842"/>
    </row>
    <row r="843" spans="4:4" x14ac:dyDescent="0.25">
      <c r="D843"/>
    </row>
    <row r="844" spans="4:4" x14ac:dyDescent="0.25">
      <c r="D844"/>
    </row>
    <row r="845" spans="4:4" x14ac:dyDescent="0.25">
      <c r="D845"/>
    </row>
    <row r="846" spans="4:4" x14ac:dyDescent="0.25">
      <c r="D846"/>
    </row>
    <row r="847" spans="4:4" x14ac:dyDescent="0.25">
      <c r="D847"/>
    </row>
    <row r="848" spans="4:4" x14ac:dyDescent="0.25">
      <c r="D848"/>
    </row>
    <row r="849" spans="4:4" x14ac:dyDescent="0.25">
      <c r="D849"/>
    </row>
    <row r="850" spans="4:4" x14ac:dyDescent="0.25">
      <c r="D850"/>
    </row>
    <row r="851" spans="4:4" x14ac:dyDescent="0.25">
      <c r="D851"/>
    </row>
    <row r="852" spans="4:4" x14ac:dyDescent="0.25">
      <c r="D852"/>
    </row>
    <row r="853" spans="4:4" x14ac:dyDescent="0.25">
      <c r="D853"/>
    </row>
    <row r="854" spans="4:4" x14ac:dyDescent="0.25">
      <c r="D854"/>
    </row>
    <row r="855" spans="4:4" x14ac:dyDescent="0.25">
      <c r="D855"/>
    </row>
    <row r="856" spans="4:4" x14ac:dyDescent="0.25">
      <c r="D856"/>
    </row>
    <row r="857" spans="4:4" x14ac:dyDescent="0.25">
      <c r="D857"/>
    </row>
    <row r="858" spans="4:4" x14ac:dyDescent="0.25">
      <c r="D858"/>
    </row>
    <row r="859" spans="4:4" x14ac:dyDescent="0.25">
      <c r="D859"/>
    </row>
    <row r="860" spans="4:4" x14ac:dyDescent="0.25">
      <c r="D860"/>
    </row>
    <row r="861" spans="4:4" x14ac:dyDescent="0.25">
      <c r="D861"/>
    </row>
    <row r="862" spans="4:4" x14ac:dyDescent="0.25">
      <c r="D862"/>
    </row>
    <row r="863" spans="4:4" x14ac:dyDescent="0.25">
      <c r="D863"/>
    </row>
    <row r="864" spans="4:4" x14ac:dyDescent="0.25">
      <c r="D864"/>
    </row>
    <row r="865" spans="4:4" x14ac:dyDescent="0.25">
      <c r="D865"/>
    </row>
    <row r="866" spans="4:4" x14ac:dyDescent="0.25">
      <c r="D866"/>
    </row>
    <row r="867" spans="4:4" x14ac:dyDescent="0.25">
      <c r="D867"/>
    </row>
    <row r="868" spans="4:4" x14ac:dyDescent="0.25">
      <c r="D868"/>
    </row>
    <row r="869" spans="4:4" x14ac:dyDescent="0.25">
      <c r="D869"/>
    </row>
    <row r="870" spans="4:4" x14ac:dyDescent="0.25">
      <c r="D870"/>
    </row>
    <row r="871" spans="4:4" x14ac:dyDescent="0.25">
      <c r="D871"/>
    </row>
    <row r="872" spans="4:4" x14ac:dyDescent="0.25">
      <c r="D872"/>
    </row>
    <row r="873" spans="4:4" x14ac:dyDescent="0.25">
      <c r="D873"/>
    </row>
    <row r="874" spans="4:4" x14ac:dyDescent="0.25">
      <c r="D874"/>
    </row>
    <row r="875" spans="4:4" x14ac:dyDescent="0.25">
      <c r="D875"/>
    </row>
    <row r="876" spans="4:4" x14ac:dyDescent="0.25">
      <c r="D876"/>
    </row>
    <row r="877" spans="4:4" x14ac:dyDescent="0.25">
      <c r="D877"/>
    </row>
    <row r="878" spans="4:4" x14ac:dyDescent="0.25">
      <c r="D878"/>
    </row>
    <row r="879" spans="4:4" x14ac:dyDescent="0.25">
      <c r="D879"/>
    </row>
    <row r="880" spans="4:4" x14ac:dyDescent="0.25">
      <c r="D880"/>
    </row>
    <row r="881" spans="4:4" x14ac:dyDescent="0.25">
      <c r="D881"/>
    </row>
    <row r="882" spans="4:4" x14ac:dyDescent="0.25">
      <c r="D882"/>
    </row>
    <row r="883" spans="4:4" x14ac:dyDescent="0.25">
      <c r="D883"/>
    </row>
    <row r="884" spans="4:4" x14ac:dyDescent="0.25">
      <c r="D884"/>
    </row>
    <row r="885" spans="4:4" x14ac:dyDescent="0.25">
      <c r="D885"/>
    </row>
    <row r="886" spans="4:4" x14ac:dyDescent="0.25">
      <c r="D886"/>
    </row>
    <row r="887" spans="4:4" x14ac:dyDescent="0.25">
      <c r="D887"/>
    </row>
    <row r="888" spans="4:4" x14ac:dyDescent="0.25">
      <c r="D888"/>
    </row>
    <row r="889" spans="4:4" x14ac:dyDescent="0.25">
      <c r="D889"/>
    </row>
    <row r="890" spans="4:4" x14ac:dyDescent="0.25">
      <c r="D890"/>
    </row>
    <row r="891" spans="4:4" x14ac:dyDescent="0.25">
      <c r="D891"/>
    </row>
    <row r="892" spans="4:4" x14ac:dyDescent="0.25">
      <c r="D892"/>
    </row>
    <row r="893" spans="4:4" x14ac:dyDescent="0.25">
      <c r="D893"/>
    </row>
    <row r="894" spans="4:4" x14ac:dyDescent="0.25">
      <c r="D894"/>
    </row>
    <row r="895" spans="4:4" x14ac:dyDescent="0.25">
      <c r="D895"/>
    </row>
    <row r="896" spans="4:4" x14ac:dyDescent="0.25">
      <c r="D896"/>
    </row>
    <row r="897" spans="4:4" x14ac:dyDescent="0.25">
      <c r="D897"/>
    </row>
    <row r="898" spans="4:4" x14ac:dyDescent="0.25">
      <c r="D898"/>
    </row>
    <row r="899" spans="4:4" x14ac:dyDescent="0.25">
      <c r="D899"/>
    </row>
    <row r="900" spans="4:4" x14ac:dyDescent="0.25">
      <c r="D900"/>
    </row>
    <row r="901" spans="4:4" x14ac:dyDescent="0.25">
      <c r="D901"/>
    </row>
    <row r="902" spans="4:4" x14ac:dyDescent="0.25">
      <c r="D902"/>
    </row>
    <row r="903" spans="4:4" x14ac:dyDescent="0.25">
      <c r="D903"/>
    </row>
    <row r="904" spans="4:4" x14ac:dyDescent="0.25">
      <c r="D904"/>
    </row>
    <row r="905" spans="4:4" x14ac:dyDescent="0.25">
      <c r="D905"/>
    </row>
    <row r="906" spans="4:4" x14ac:dyDescent="0.25">
      <c r="D906"/>
    </row>
    <row r="907" spans="4:4" x14ac:dyDescent="0.25">
      <c r="D907"/>
    </row>
    <row r="908" spans="4:4" x14ac:dyDescent="0.25">
      <c r="D908"/>
    </row>
    <row r="909" spans="4:4" x14ac:dyDescent="0.25">
      <c r="D909"/>
    </row>
    <row r="910" spans="4:4" x14ac:dyDescent="0.25">
      <c r="D910"/>
    </row>
    <row r="911" spans="4:4" x14ac:dyDescent="0.25">
      <c r="D911"/>
    </row>
    <row r="912" spans="4:4" x14ac:dyDescent="0.25">
      <c r="D912"/>
    </row>
    <row r="913" spans="4:4" x14ac:dyDescent="0.25">
      <c r="D913"/>
    </row>
    <row r="914" spans="4:4" x14ac:dyDescent="0.25">
      <c r="D914"/>
    </row>
    <row r="915" spans="4:4" x14ac:dyDescent="0.25">
      <c r="D915"/>
    </row>
    <row r="916" spans="4:4" x14ac:dyDescent="0.25">
      <c r="D916"/>
    </row>
    <row r="917" spans="4:4" x14ac:dyDescent="0.25">
      <c r="D917"/>
    </row>
    <row r="918" spans="4:4" x14ac:dyDescent="0.25">
      <c r="D918"/>
    </row>
    <row r="919" spans="4:4" x14ac:dyDescent="0.25">
      <c r="D919"/>
    </row>
    <row r="920" spans="4:4" x14ac:dyDescent="0.25">
      <c r="D920"/>
    </row>
    <row r="921" spans="4:4" x14ac:dyDescent="0.25">
      <c r="D921"/>
    </row>
    <row r="922" spans="4:4" x14ac:dyDescent="0.25">
      <c r="D922"/>
    </row>
    <row r="923" spans="4:4" x14ac:dyDescent="0.25">
      <c r="D923"/>
    </row>
    <row r="924" spans="4:4" x14ac:dyDescent="0.25">
      <c r="D924"/>
    </row>
    <row r="925" spans="4:4" x14ac:dyDescent="0.25">
      <c r="D925"/>
    </row>
    <row r="926" spans="4:4" x14ac:dyDescent="0.25">
      <c r="D926"/>
    </row>
    <row r="927" spans="4:4" x14ac:dyDescent="0.25">
      <c r="D927"/>
    </row>
    <row r="928" spans="4:4" x14ac:dyDescent="0.25">
      <c r="D928"/>
    </row>
    <row r="929" spans="4:4" x14ac:dyDescent="0.25">
      <c r="D929"/>
    </row>
    <row r="930" spans="4:4" x14ac:dyDescent="0.25">
      <c r="D930"/>
    </row>
    <row r="931" spans="4:4" x14ac:dyDescent="0.25">
      <c r="D931"/>
    </row>
    <row r="932" spans="4:4" x14ac:dyDescent="0.25">
      <c r="D932"/>
    </row>
    <row r="933" spans="4:4" x14ac:dyDescent="0.25">
      <c r="D933"/>
    </row>
    <row r="934" spans="4:4" x14ac:dyDescent="0.25">
      <c r="D934"/>
    </row>
    <row r="935" spans="4:4" x14ac:dyDescent="0.25">
      <c r="D935"/>
    </row>
    <row r="936" spans="4:4" x14ac:dyDescent="0.25">
      <c r="D936"/>
    </row>
    <row r="937" spans="4:4" x14ac:dyDescent="0.25">
      <c r="D937"/>
    </row>
    <row r="938" spans="4:4" x14ac:dyDescent="0.25">
      <c r="D938"/>
    </row>
    <row r="939" spans="4:4" x14ac:dyDescent="0.25">
      <c r="D939"/>
    </row>
    <row r="940" spans="4:4" x14ac:dyDescent="0.25">
      <c r="D940"/>
    </row>
    <row r="941" spans="4:4" x14ac:dyDescent="0.25">
      <c r="D941"/>
    </row>
    <row r="942" spans="4:4" x14ac:dyDescent="0.25">
      <c r="D942"/>
    </row>
    <row r="943" spans="4:4" x14ac:dyDescent="0.25">
      <c r="D943"/>
    </row>
    <row r="944" spans="4:4" x14ac:dyDescent="0.25">
      <c r="D944"/>
    </row>
    <row r="945" spans="4:4" x14ac:dyDescent="0.25">
      <c r="D945"/>
    </row>
    <row r="946" spans="4:4" x14ac:dyDescent="0.25">
      <c r="D946"/>
    </row>
    <row r="947" spans="4:4" x14ac:dyDescent="0.25">
      <c r="D947"/>
    </row>
    <row r="948" spans="4:4" x14ac:dyDescent="0.25">
      <c r="D948"/>
    </row>
    <row r="949" spans="4:4" x14ac:dyDescent="0.25">
      <c r="D949"/>
    </row>
    <row r="950" spans="4:4" x14ac:dyDescent="0.25">
      <c r="D950"/>
    </row>
    <row r="951" spans="4:4" x14ac:dyDescent="0.25">
      <c r="D951"/>
    </row>
    <row r="952" spans="4:4" x14ac:dyDescent="0.25">
      <c r="D952"/>
    </row>
    <row r="953" spans="4:4" x14ac:dyDescent="0.25">
      <c r="D953"/>
    </row>
    <row r="954" spans="4:4" x14ac:dyDescent="0.25">
      <c r="D954"/>
    </row>
    <row r="955" spans="4:4" x14ac:dyDescent="0.25">
      <c r="D955"/>
    </row>
    <row r="956" spans="4:4" x14ac:dyDescent="0.25">
      <c r="D956"/>
    </row>
    <row r="957" spans="4:4" x14ac:dyDescent="0.25">
      <c r="D957"/>
    </row>
    <row r="958" spans="4:4" x14ac:dyDescent="0.25">
      <c r="D958"/>
    </row>
    <row r="959" spans="4:4" x14ac:dyDescent="0.25">
      <c r="D959"/>
    </row>
    <row r="960" spans="4:4" x14ac:dyDescent="0.25">
      <c r="D960"/>
    </row>
    <row r="961" spans="4:4" x14ac:dyDescent="0.25">
      <c r="D961"/>
    </row>
    <row r="962" spans="4:4" x14ac:dyDescent="0.25">
      <c r="D962"/>
    </row>
    <row r="963" spans="4:4" x14ac:dyDescent="0.25">
      <c r="D963"/>
    </row>
    <row r="964" spans="4:4" x14ac:dyDescent="0.25">
      <c r="D964"/>
    </row>
    <row r="965" spans="4:4" x14ac:dyDescent="0.25">
      <c r="D965"/>
    </row>
    <row r="966" spans="4:4" x14ac:dyDescent="0.25">
      <c r="D966"/>
    </row>
    <row r="967" spans="4:4" x14ac:dyDescent="0.25">
      <c r="D967"/>
    </row>
    <row r="968" spans="4:4" x14ac:dyDescent="0.25">
      <c r="D968"/>
    </row>
    <row r="969" spans="4:4" x14ac:dyDescent="0.25">
      <c r="D969"/>
    </row>
    <row r="970" spans="4:4" x14ac:dyDescent="0.25">
      <c r="D970"/>
    </row>
    <row r="971" spans="4:4" x14ac:dyDescent="0.25">
      <c r="D971"/>
    </row>
    <row r="972" spans="4:4" x14ac:dyDescent="0.25">
      <c r="D972"/>
    </row>
    <row r="973" spans="4:4" x14ac:dyDescent="0.25">
      <c r="D973"/>
    </row>
    <row r="974" spans="4:4" x14ac:dyDescent="0.25">
      <c r="D974"/>
    </row>
    <row r="975" spans="4:4" x14ac:dyDescent="0.25">
      <c r="D975"/>
    </row>
    <row r="976" spans="4:4" x14ac:dyDescent="0.25">
      <c r="D976"/>
    </row>
    <row r="977" spans="4:4" x14ac:dyDescent="0.25">
      <c r="D977"/>
    </row>
    <row r="978" spans="4:4" x14ac:dyDescent="0.25">
      <c r="D978"/>
    </row>
    <row r="979" spans="4:4" x14ac:dyDescent="0.25">
      <c r="D979"/>
    </row>
    <row r="980" spans="4:4" x14ac:dyDescent="0.25">
      <c r="D980"/>
    </row>
    <row r="981" spans="4:4" x14ac:dyDescent="0.25">
      <c r="D981"/>
    </row>
    <row r="982" spans="4:4" x14ac:dyDescent="0.25">
      <c r="D982"/>
    </row>
    <row r="983" spans="4:4" x14ac:dyDescent="0.25">
      <c r="D983"/>
    </row>
    <row r="984" spans="4:4" x14ac:dyDescent="0.25">
      <c r="D984"/>
    </row>
    <row r="985" spans="4:4" x14ac:dyDescent="0.25">
      <c r="D985"/>
    </row>
    <row r="986" spans="4:4" x14ac:dyDescent="0.25">
      <c r="D986"/>
    </row>
    <row r="987" spans="4:4" x14ac:dyDescent="0.25">
      <c r="D987"/>
    </row>
    <row r="988" spans="4:4" x14ac:dyDescent="0.25">
      <c r="D988"/>
    </row>
    <row r="989" spans="4:4" x14ac:dyDescent="0.25">
      <c r="D989"/>
    </row>
    <row r="990" spans="4:4" x14ac:dyDescent="0.25">
      <c r="D990"/>
    </row>
    <row r="991" spans="4:4" x14ac:dyDescent="0.25">
      <c r="D991"/>
    </row>
    <row r="992" spans="4:4" x14ac:dyDescent="0.25">
      <c r="D992"/>
    </row>
    <row r="993" spans="4:4" x14ac:dyDescent="0.25">
      <c r="D993"/>
    </row>
    <row r="994" spans="4:4" x14ac:dyDescent="0.25">
      <c r="D994"/>
    </row>
    <row r="995" spans="4:4" x14ac:dyDescent="0.25">
      <c r="D995"/>
    </row>
    <row r="996" spans="4:4" x14ac:dyDescent="0.25">
      <c r="D996"/>
    </row>
    <row r="997" spans="4:4" x14ac:dyDescent="0.25">
      <c r="D997"/>
    </row>
    <row r="998" spans="4:4" x14ac:dyDescent="0.25">
      <c r="D998"/>
    </row>
    <row r="999" spans="4:4" x14ac:dyDescent="0.25">
      <c r="D999"/>
    </row>
    <row r="1000" spans="4:4" x14ac:dyDescent="0.25">
      <c r="D1000"/>
    </row>
    <row r="1001" spans="4:4" x14ac:dyDescent="0.25">
      <c r="D1001"/>
    </row>
    <row r="1002" spans="4:4" x14ac:dyDescent="0.25">
      <c r="D1002"/>
    </row>
    <row r="1003" spans="4:4" x14ac:dyDescent="0.25">
      <c r="D1003"/>
    </row>
    <row r="1004" spans="4:4" x14ac:dyDescent="0.25">
      <c r="D1004"/>
    </row>
    <row r="1005" spans="4:4" x14ac:dyDescent="0.25">
      <c r="D1005"/>
    </row>
    <row r="1006" spans="4:4" x14ac:dyDescent="0.25">
      <c r="D1006"/>
    </row>
    <row r="1007" spans="4:4" x14ac:dyDescent="0.25">
      <c r="D1007"/>
    </row>
    <row r="1008" spans="4:4" x14ac:dyDescent="0.25">
      <c r="D1008"/>
    </row>
    <row r="1009" spans="4:4" x14ac:dyDescent="0.25">
      <c r="D1009"/>
    </row>
    <row r="1010" spans="4:4" x14ac:dyDescent="0.25">
      <c r="D1010"/>
    </row>
    <row r="1011" spans="4:4" x14ac:dyDescent="0.25">
      <c r="D1011"/>
    </row>
    <row r="1012" spans="4:4" x14ac:dyDescent="0.25">
      <c r="D1012"/>
    </row>
    <row r="1013" spans="4:4" x14ac:dyDescent="0.25">
      <c r="D1013"/>
    </row>
    <row r="1014" spans="4:4" x14ac:dyDescent="0.25">
      <c r="D1014"/>
    </row>
    <row r="1015" spans="4:4" x14ac:dyDescent="0.25">
      <c r="D1015"/>
    </row>
    <row r="1016" spans="4:4" x14ac:dyDescent="0.25">
      <c r="D1016"/>
    </row>
    <row r="1017" spans="4:4" x14ac:dyDescent="0.25">
      <c r="D1017"/>
    </row>
    <row r="1018" spans="4:4" x14ac:dyDescent="0.25">
      <c r="D1018"/>
    </row>
    <row r="1019" spans="4:4" x14ac:dyDescent="0.25">
      <c r="D1019"/>
    </row>
    <row r="1020" spans="4:4" x14ac:dyDescent="0.25">
      <c r="D1020"/>
    </row>
    <row r="1021" spans="4:4" x14ac:dyDescent="0.25">
      <c r="D1021"/>
    </row>
    <row r="1022" spans="4:4" x14ac:dyDescent="0.25">
      <c r="D1022"/>
    </row>
    <row r="1023" spans="4:4" x14ac:dyDescent="0.25">
      <c r="D1023"/>
    </row>
    <row r="1024" spans="4:4" x14ac:dyDescent="0.25">
      <c r="D1024"/>
    </row>
    <row r="1025" spans="4:4" x14ac:dyDescent="0.25">
      <c r="D1025"/>
    </row>
    <row r="1026" spans="4:4" x14ac:dyDescent="0.25">
      <c r="D1026"/>
    </row>
    <row r="1027" spans="4:4" x14ac:dyDescent="0.25">
      <c r="D1027"/>
    </row>
    <row r="1028" spans="4:4" x14ac:dyDescent="0.25">
      <c r="D1028"/>
    </row>
    <row r="1029" spans="4:4" x14ac:dyDescent="0.25">
      <c r="D1029"/>
    </row>
    <row r="1030" spans="4:4" x14ac:dyDescent="0.25">
      <c r="D1030"/>
    </row>
    <row r="1031" spans="4:4" x14ac:dyDescent="0.25">
      <c r="D1031"/>
    </row>
    <row r="1032" spans="4:4" x14ac:dyDescent="0.25">
      <c r="D1032"/>
    </row>
    <row r="1033" spans="4:4" x14ac:dyDescent="0.25">
      <c r="D1033"/>
    </row>
    <row r="1034" spans="4:4" x14ac:dyDescent="0.25">
      <c r="D1034"/>
    </row>
    <row r="1035" spans="4:4" x14ac:dyDescent="0.25">
      <c r="D1035"/>
    </row>
    <row r="1036" spans="4:4" x14ac:dyDescent="0.25">
      <c r="D1036"/>
    </row>
    <row r="1037" spans="4:4" x14ac:dyDescent="0.25">
      <c r="D1037"/>
    </row>
    <row r="1038" spans="4:4" x14ac:dyDescent="0.25">
      <c r="D1038"/>
    </row>
    <row r="1039" spans="4:4" x14ac:dyDescent="0.25">
      <c r="D1039"/>
    </row>
    <row r="1040" spans="4:4" x14ac:dyDescent="0.25">
      <c r="D1040"/>
    </row>
    <row r="1041" spans="4:4" x14ac:dyDescent="0.25">
      <c r="D1041"/>
    </row>
    <row r="1042" spans="4:4" x14ac:dyDescent="0.25">
      <c r="D1042"/>
    </row>
    <row r="1043" spans="4:4" x14ac:dyDescent="0.25">
      <c r="D1043"/>
    </row>
    <row r="1044" spans="4:4" x14ac:dyDescent="0.25">
      <c r="D1044"/>
    </row>
    <row r="1045" spans="4:4" x14ac:dyDescent="0.25">
      <c r="D1045"/>
    </row>
    <row r="1046" spans="4:4" x14ac:dyDescent="0.25">
      <c r="D1046"/>
    </row>
    <row r="1047" spans="4:4" x14ac:dyDescent="0.25">
      <c r="D1047"/>
    </row>
    <row r="1048" spans="4:4" x14ac:dyDescent="0.25">
      <c r="D1048"/>
    </row>
    <row r="1049" spans="4:4" x14ac:dyDescent="0.25">
      <c r="D1049"/>
    </row>
    <row r="1050" spans="4:4" x14ac:dyDescent="0.25">
      <c r="D1050"/>
    </row>
    <row r="1051" spans="4:4" x14ac:dyDescent="0.25">
      <c r="D1051"/>
    </row>
    <row r="1052" spans="4:4" x14ac:dyDescent="0.25">
      <c r="D1052"/>
    </row>
    <row r="1053" spans="4:4" x14ac:dyDescent="0.25">
      <c r="D1053"/>
    </row>
    <row r="1054" spans="4:4" x14ac:dyDescent="0.25">
      <c r="D1054"/>
    </row>
    <row r="1055" spans="4:4" x14ac:dyDescent="0.25">
      <c r="D1055"/>
    </row>
    <row r="1056" spans="4:4" x14ac:dyDescent="0.25">
      <c r="D1056"/>
    </row>
    <row r="1057" spans="4:4" x14ac:dyDescent="0.25">
      <c r="D1057"/>
    </row>
    <row r="1058" spans="4:4" x14ac:dyDescent="0.25">
      <c r="D1058"/>
    </row>
    <row r="1059" spans="4:4" x14ac:dyDescent="0.25">
      <c r="D1059"/>
    </row>
    <row r="1060" spans="4:4" x14ac:dyDescent="0.25">
      <c r="D1060"/>
    </row>
    <row r="1061" spans="4:4" x14ac:dyDescent="0.25">
      <c r="D1061"/>
    </row>
    <row r="1062" spans="4:4" x14ac:dyDescent="0.25">
      <c r="D1062"/>
    </row>
    <row r="1063" spans="4:4" x14ac:dyDescent="0.25">
      <c r="D1063"/>
    </row>
    <row r="1064" spans="4:4" x14ac:dyDescent="0.25">
      <c r="D1064"/>
    </row>
    <row r="1065" spans="4:4" x14ac:dyDescent="0.25">
      <c r="D1065"/>
    </row>
    <row r="1066" spans="4:4" x14ac:dyDescent="0.25">
      <c r="D1066"/>
    </row>
    <row r="1067" spans="4:4" x14ac:dyDescent="0.25">
      <c r="D1067"/>
    </row>
    <row r="1068" spans="4:4" x14ac:dyDescent="0.25">
      <c r="D1068"/>
    </row>
    <row r="1069" spans="4:4" x14ac:dyDescent="0.25">
      <c r="D1069"/>
    </row>
    <row r="1070" spans="4:4" x14ac:dyDescent="0.25">
      <c r="D1070"/>
    </row>
    <row r="1071" spans="4:4" x14ac:dyDescent="0.25">
      <c r="D1071"/>
    </row>
    <row r="1072" spans="4:4" x14ac:dyDescent="0.25">
      <c r="D1072"/>
    </row>
    <row r="1073" spans="4:4" x14ac:dyDescent="0.25">
      <c r="D1073"/>
    </row>
    <row r="1074" spans="4:4" x14ac:dyDescent="0.25">
      <c r="D1074"/>
    </row>
    <row r="1075" spans="4:4" x14ac:dyDescent="0.25">
      <c r="D1075"/>
    </row>
    <row r="1076" spans="4:4" x14ac:dyDescent="0.25">
      <c r="D1076"/>
    </row>
    <row r="1077" spans="4:4" x14ac:dyDescent="0.25">
      <c r="D1077"/>
    </row>
    <row r="1078" spans="4:4" x14ac:dyDescent="0.25">
      <c r="D1078"/>
    </row>
    <row r="1079" spans="4:4" x14ac:dyDescent="0.25">
      <c r="D1079"/>
    </row>
    <row r="1080" spans="4:4" x14ac:dyDescent="0.25">
      <c r="D1080"/>
    </row>
    <row r="1081" spans="4:4" x14ac:dyDescent="0.25">
      <c r="D1081"/>
    </row>
    <row r="1082" spans="4:4" x14ac:dyDescent="0.25">
      <c r="D1082"/>
    </row>
    <row r="1083" spans="4:4" x14ac:dyDescent="0.25">
      <c r="D1083"/>
    </row>
    <row r="1084" spans="4:4" x14ac:dyDescent="0.25">
      <c r="D1084"/>
    </row>
    <row r="1085" spans="4:4" x14ac:dyDescent="0.25">
      <c r="D1085"/>
    </row>
    <row r="1086" spans="4:4" x14ac:dyDescent="0.25">
      <c r="D1086"/>
    </row>
    <row r="1087" spans="4:4" x14ac:dyDescent="0.25">
      <c r="D1087"/>
    </row>
    <row r="1088" spans="4:4" x14ac:dyDescent="0.25">
      <c r="D1088"/>
    </row>
    <row r="1089" spans="4:4" x14ac:dyDescent="0.25">
      <c r="D1089"/>
    </row>
    <row r="1090" spans="4:4" x14ac:dyDescent="0.25">
      <c r="D1090"/>
    </row>
    <row r="1091" spans="4:4" x14ac:dyDescent="0.25">
      <c r="D1091"/>
    </row>
    <row r="1092" spans="4:4" x14ac:dyDescent="0.25">
      <c r="D1092"/>
    </row>
    <row r="1093" spans="4:4" x14ac:dyDescent="0.25">
      <c r="D1093"/>
    </row>
    <row r="1094" spans="4:4" x14ac:dyDescent="0.25">
      <c r="D1094"/>
    </row>
    <row r="1095" spans="4:4" x14ac:dyDescent="0.25">
      <c r="D1095"/>
    </row>
    <row r="1096" spans="4:4" x14ac:dyDescent="0.25">
      <c r="D1096"/>
    </row>
    <row r="1097" spans="4:4" x14ac:dyDescent="0.25">
      <c r="D1097"/>
    </row>
    <row r="1098" spans="4:4" x14ac:dyDescent="0.25">
      <c r="D1098"/>
    </row>
    <row r="1099" spans="4:4" x14ac:dyDescent="0.25">
      <c r="D1099"/>
    </row>
    <row r="1100" spans="4:4" x14ac:dyDescent="0.25">
      <c r="D1100"/>
    </row>
    <row r="1101" spans="4:4" x14ac:dyDescent="0.25">
      <c r="D1101"/>
    </row>
    <row r="1102" spans="4:4" x14ac:dyDescent="0.25">
      <c r="D1102"/>
    </row>
    <row r="1103" spans="4:4" x14ac:dyDescent="0.25">
      <c r="D1103"/>
    </row>
    <row r="1104" spans="4:4" x14ac:dyDescent="0.25">
      <c r="D1104"/>
    </row>
    <row r="1105" spans="4:4" x14ac:dyDescent="0.25">
      <c r="D1105"/>
    </row>
    <row r="1106" spans="4:4" x14ac:dyDescent="0.25">
      <c r="D1106"/>
    </row>
    <row r="1107" spans="4:4" x14ac:dyDescent="0.25">
      <c r="D1107"/>
    </row>
    <row r="1108" spans="4:4" x14ac:dyDescent="0.25">
      <c r="D1108"/>
    </row>
    <row r="1109" spans="4:4" x14ac:dyDescent="0.25">
      <c r="D1109"/>
    </row>
    <row r="1110" spans="4:4" x14ac:dyDescent="0.25">
      <c r="D1110"/>
    </row>
    <row r="1111" spans="4:4" x14ac:dyDescent="0.25">
      <c r="D1111"/>
    </row>
    <row r="1112" spans="4:4" x14ac:dyDescent="0.25">
      <c r="D1112"/>
    </row>
    <row r="1113" spans="4:4" x14ac:dyDescent="0.25">
      <c r="D1113"/>
    </row>
    <row r="1114" spans="4:4" x14ac:dyDescent="0.25">
      <c r="D1114"/>
    </row>
    <row r="1115" spans="4:4" x14ac:dyDescent="0.25">
      <c r="D1115"/>
    </row>
    <row r="1116" spans="4:4" x14ac:dyDescent="0.25">
      <c r="D1116"/>
    </row>
    <row r="1117" spans="4:4" x14ac:dyDescent="0.25">
      <c r="D1117"/>
    </row>
    <row r="1118" spans="4:4" x14ac:dyDescent="0.25">
      <c r="D1118"/>
    </row>
    <row r="1119" spans="4:4" x14ac:dyDescent="0.25">
      <c r="D1119"/>
    </row>
    <row r="1120" spans="4:4" x14ac:dyDescent="0.25">
      <c r="D1120"/>
    </row>
    <row r="1121" spans="4:4" x14ac:dyDescent="0.25">
      <c r="D1121"/>
    </row>
    <row r="1122" spans="4:4" x14ac:dyDescent="0.25">
      <c r="D1122"/>
    </row>
    <row r="1123" spans="4:4" x14ac:dyDescent="0.25">
      <c r="D1123"/>
    </row>
    <row r="1124" spans="4:4" x14ac:dyDescent="0.25">
      <c r="D1124"/>
    </row>
    <row r="1125" spans="4:4" x14ac:dyDescent="0.25">
      <c r="D1125"/>
    </row>
    <row r="1126" spans="4:4" x14ac:dyDescent="0.25">
      <c r="D1126"/>
    </row>
    <row r="1127" spans="4:4" x14ac:dyDescent="0.25">
      <c r="D1127"/>
    </row>
    <row r="1128" spans="4:4" x14ac:dyDescent="0.25">
      <c r="D1128"/>
    </row>
    <row r="1129" spans="4:4" x14ac:dyDescent="0.25">
      <c r="D1129"/>
    </row>
    <row r="1130" spans="4:4" x14ac:dyDescent="0.25">
      <c r="D1130"/>
    </row>
    <row r="1131" spans="4:4" x14ac:dyDescent="0.25">
      <c r="D1131"/>
    </row>
    <row r="1132" spans="4:4" x14ac:dyDescent="0.25">
      <c r="D1132"/>
    </row>
    <row r="1133" spans="4:4" x14ac:dyDescent="0.25">
      <c r="D1133"/>
    </row>
    <row r="1134" spans="4:4" x14ac:dyDescent="0.25">
      <c r="D1134"/>
    </row>
    <row r="1135" spans="4:4" x14ac:dyDescent="0.25">
      <c r="D1135"/>
    </row>
    <row r="1136" spans="4:4" x14ac:dyDescent="0.25">
      <c r="D1136"/>
    </row>
    <row r="1137" spans="4:4" x14ac:dyDescent="0.25">
      <c r="D1137"/>
    </row>
    <row r="1138" spans="4:4" x14ac:dyDescent="0.25">
      <c r="D1138"/>
    </row>
    <row r="1139" spans="4:4" x14ac:dyDescent="0.25">
      <c r="D1139"/>
    </row>
    <row r="1140" spans="4:4" x14ac:dyDescent="0.25">
      <c r="D1140"/>
    </row>
    <row r="1141" spans="4:4" x14ac:dyDescent="0.25">
      <c r="D1141"/>
    </row>
    <row r="1142" spans="4:4" x14ac:dyDescent="0.25">
      <c r="D1142"/>
    </row>
    <row r="1143" spans="4:4" x14ac:dyDescent="0.25">
      <c r="D1143"/>
    </row>
    <row r="1144" spans="4:4" x14ac:dyDescent="0.25">
      <c r="D1144"/>
    </row>
    <row r="1145" spans="4:4" x14ac:dyDescent="0.25">
      <c r="D1145"/>
    </row>
    <row r="1146" spans="4:4" x14ac:dyDescent="0.25">
      <c r="D1146"/>
    </row>
    <row r="1147" spans="4:4" x14ac:dyDescent="0.25">
      <c r="D1147"/>
    </row>
    <row r="1148" spans="4:4" x14ac:dyDescent="0.25">
      <c r="D1148"/>
    </row>
    <row r="1149" spans="4:4" x14ac:dyDescent="0.25">
      <c r="D1149"/>
    </row>
    <row r="1150" spans="4:4" x14ac:dyDescent="0.25">
      <c r="D1150"/>
    </row>
    <row r="1151" spans="4:4" x14ac:dyDescent="0.25">
      <c r="D1151"/>
    </row>
    <row r="1152" spans="4:4" x14ac:dyDescent="0.25">
      <c r="D1152"/>
    </row>
    <row r="1153" spans="4:4" x14ac:dyDescent="0.25">
      <c r="D1153"/>
    </row>
    <row r="1154" spans="4:4" x14ac:dyDescent="0.25">
      <c r="D1154"/>
    </row>
    <row r="1155" spans="4:4" x14ac:dyDescent="0.25">
      <c r="D1155"/>
    </row>
    <row r="1156" spans="4:4" x14ac:dyDescent="0.25">
      <c r="D1156"/>
    </row>
    <row r="1157" spans="4:4" x14ac:dyDescent="0.25">
      <c r="D1157"/>
    </row>
    <row r="1158" spans="4:4" x14ac:dyDescent="0.25">
      <c r="D1158"/>
    </row>
    <row r="1159" spans="4:4" x14ac:dyDescent="0.25">
      <c r="D1159"/>
    </row>
    <row r="1160" spans="4:4" x14ac:dyDescent="0.25">
      <c r="D1160"/>
    </row>
    <row r="1161" spans="4:4" x14ac:dyDescent="0.25">
      <c r="D1161"/>
    </row>
    <row r="1162" spans="4:4" x14ac:dyDescent="0.25">
      <c r="D1162"/>
    </row>
    <row r="1163" spans="4:4" x14ac:dyDescent="0.25">
      <c r="D1163"/>
    </row>
    <row r="1164" spans="4:4" x14ac:dyDescent="0.25">
      <c r="D1164"/>
    </row>
    <row r="1165" spans="4:4" x14ac:dyDescent="0.25">
      <c r="D1165"/>
    </row>
    <row r="1166" spans="4:4" x14ac:dyDescent="0.25">
      <c r="D1166"/>
    </row>
    <row r="1167" spans="4:4" x14ac:dyDescent="0.25">
      <c r="D1167"/>
    </row>
    <row r="1168" spans="4:4" x14ac:dyDescent="0.25">
      <c r="D1168"/>
    </row>
    <row r="1169" spans="4:4" x14ac:dyDescent="0.25">
      <c r="D1169"/>
    </row>
    <row r="1170" spans="4:4" x14ac:dyDescent="0.25">
      <c r="D1170"/>
    </row>
    <row r="1171" spans="4:4" x14ac:dyDescent="0.25">
      <c r="D1171"/>
    </row>
    <row r="1172" spans="4:4" x14ac:dyDescent="0.25">
      <c r="D1172"/>
    </row>
    <row r="1173" spans="4:4" x14ac:dyDescent="0.25">
      <c r="D1173"/>
    </row>
    <row r="1174" spans="4:4" x14ac:dyDescent="0.25">
      <c r="D1174"/>
    </row>
    <row r="1175" spans="4:4" x14ac:dyDescent="0.25">
      <c r="D1175"/>
    </row>
    <row r="1176" spans="4:4" x14ac:dyDescent="0.25">
      <c r="D1176"/>
    </row>
    <row r="1177" spans="4:4" x14ac:dyDescent="0.25">
      <c r="D1177"/>
    </row>
    <row r="1178" spans="4:4" x14ac:dyDescent="0.25">
      <c r="D1178"/>
    </row>
    <row r="1179" spans="4:4" x14ac:dyDescent="0.25">
      <c r="D1179"/>
    </row>
    <row r="1180" spans="4:4" x14ac:dyDescent="0.25">
      <c r="D1180"/>
    </row>
    <row r="1181" spans="4:4" x14ac:dyDescent="0.25">
      <c r="D1181"/>
    </row>
    <row r="1182" spans="4:4" x14ac:dyDescent="0.25">
      <c r="D1182"/>
    </row>
    <row r="1183" spans="4:4" x14ac:dyDescent="0.25">
      <c r="D1183"/>
    </row>
    <row r="1184" spans="4:4" x14ac:dyDescent="0.25">
      <c r="D1184"/>
    </row>
    <row r="1185" spans="4:4" x14ac:dyDescent="0.25">
      <c r="D1185"/>
    </row>
    <row r="1186" spans="4:4" x14ac:dyDescent="0.25">
      <c r="D1186"/>
    </row>
    <row r="1187" spans="4:4" x14ac:dyDescent="0.25">
      <c r="D1187"/>
    </row>
    <row r="1188" spans="4:4" x14ac:dyDescent="0.25">
      <c r="D1188"/>
    </row>
    <row r="1189" spans="4:4" x14ac:dyDescent="0.25">
      <c r="D1189"/>
    </row>
    <row r="1190" spans="4:4" x14ac:dyDescent="0.25">
      <c r="D1190"/>
    </row>
    <row r="1191" spans="4:4" x14ac:dyDescent="0.25">
      <c r="D1191"/>
    </row>
    <row r="1192" spans="4:4" x14ac:dyDescent="0.25">
      <c r="D1192"/>
    </row>
    <row r="1193" spans="4:4" x14ac:dyDescent="0.25">
      <c r="D1193"/>
    </row>
    <row r="1194" spans="4:4" x14ac:dyDescent="0.25">
      <c r="D1194"/>
    </row>
    <row r="1195" spans="4:4" x14ac:dyDescent="0.25">
      <c r="D1195"/>
    </row>
    <row r="1196" spans="4:4" x14ac:dyDescent="0.25">
      <c r="D1196"/>
    </row>
    <row r="1197" spans="4:4" x14ac:dyDescent="0.25">
      <c r="D1197"/>
    </row>
    <row r="1198" spans="4:4" x14ac:dyDescent="0.25">
      <c r="D1198"/>
    </row>
    <row r="1199" spans="4:4" x14ac:dyDescent="0.25">
      <c r="D1199"/>
    </row>
    <row r="1200" spans="4:4" x14ac:dyDescent="0.25">
      <c r="D1200"/>
    </row>
    <row r="1201" spans="4:4" x14ac:dyDescent="0.25">
      <c r="D1201"/>
    </row>
    <row r="1202" spans="4:4" x14ac:dyDescent="0.25">
      <c r="D1202"/>
    </row>
    <row r="1203" spans="4:4" x14ac:dyDescent="0.25">
      <c r="D1203"/>
    </row>
    <row r="1204" spans="4:4" x14ac:dyDescent="0.25">
      <c r="D1204"/>
    </row>
    <row r="1205" spans="4:4" x14ac:dyDescent="0.25">
      <c r="D1205"/>
    </row>
    <row r="1206" spans="4:4" x14ac:dyDescent="0.25">
      <c r="D1206"/>
    </row>
    <row r="1207" spans="4:4" x14ac:dyDescent="0.25">
      <c r="D1207"/>
    </row>
    <row r="1208" spans="4:4" x14ac:dyDescent="0.25">
      <c r="D1208"/>
    </row>
    <row r="1209" spans="4:4" x14ac:dyDescent="0.25">
      <c r="D1209"/>
    </row>
    <row r="1210" spans="4:4" x14ac:dyDescent="0.25">
      <c r="D1210"/>
    </row>
    <row r="1211" spans="4:4" x14ac:dyDescent="0.25">
      <c r="D1211"/>
    </row>
    <row r="1212" spans="4:4" x14ac:dyDescent="0.25">
      <c r="D1212"/>
    </row>
    <row r="1213" spans="4:4" x14ac:dyDescent="0.25">
      <c r="D1213"/>
    </row>
    <row r="1214" spans="4:4" x14ac:dyDescent="0.25">
      <c r="D1214"/>
    </row>
    <row r="1215" spans="4:4" x14ac:dyDescent="0.25">
      <c r="D1215"/>
    </row>
    <row r="1216" spans="4:4" x14ac:dyDescent="0.25">
      <c r="D1216"/>
    </row>
    <row r="1217" spans="4:4" x14ac:dyDescent="0.25">
      <c r="D1217"/>
    </row>
    <row r="1218" spans="4:4" x14ac:dyDescent="0.25">
      <c r="D1218"/>
    </row>
    <row r="1219" spans="4:4" x14ac:dyDescent="0.25">
      <c r="D1219"/>
    </row>
    <row r="1220" spans="4:4" x14ac:dyDescent="0.25">
      <c r="D1220"/>
    </row>
    <row r="1221" spans="4:4" x14ac:dyDescent="0.25">
      <c r="D1221"/>
    </row>
    <row r="1222" spans="4:4" x14ac:dyDescent="0.25">
      <c r="D1222"/>
    </row>
    <row r="1223" spans="4:4" x14ac:dyDescent="0.25">
      <c r="D1223"/>
    </row>
    <row r="1224" spans="4:4" x14ac:dyDescent="0.25">
      <c r="D1224"/>
    </row>
    <row r="1225" spans="4:4" x14ac:dyDescent="0.25">
      <c r="D1225"/>
    </row>
    <row r="1226" spans="4:4" x14ac:dyDescent="0.25">
      <c r="D1226"/>
    </row>
    <row r="1227" spans="4:4" x14ac:dyDescent="0.25">
      <c r="D1227"/>
    </row>
    <row r="1228" spans="4:4" x14ac:dyDescent="0.25">
      <c r="D1228"/>
    </row>
    <row r="1229" spans="4:4" x14ac:dyDescent="0.25">
      <c r="D1229"/>
    </row>
    <row r="1230" spans="4:4" x14ac:dyDescent="0.25">
      <c r="D1230"/>
    </row>
    <row r="1231" spans="4:4" x14ac:dyDescent="0.25">
      <c r="D1231"/>
    </row>
    <row r="1232" spans="4:4" x14ac:dyDescent="0.25">
      <c r="D1232"/>
    </row>
    <row r="1233" spans="4:4" x14ac:dyDescent="0.25">
      <c r="D1233"/>
    </row>
    <row r="1234" spans="4:4" x14ac:dyDescent="0.25">
      <c r="D1234"/>
    </row>
    <row r="1235" spans="4:4" x14ac:dyDescent="0.25">
      <c r="D1235"/>
    </row>
    <row r="1236" spans="4:4" x14ac:dyDescent="0.25">
      <c r="D1236"/>
    </row>
    <row r="1237" spans="4:4" x14ac:dyDescent="0.25">
      <c r="D1237"/>
    </row>
    <row r="1238" spans="4:4" x14ac:dyDescent="0.25">
      <c r="D1238"/>
    </row>
    <row r="1239" spans="4:4" x14ac:dyDescent="0.25">
      <c r="D1239"/>
    </row>
    <row r="1240" spans="4:4" x14ac:dyDescent="0.25">
      <c r="D1240"/>
    </row>
    <row r="1241" spans="4:4" x14ac:dyDescent="0.25">
      <c r="D1241"/>
    </row>
    <row r="1242" spans="4:4" x14ac:dyDescent="0.25">
      <c r="D1242"/>
    </row>
    <row r="1243" spans="4:4" x14ac:dyDescent="0.25">
      <c r="D1243"/>
    </row>
    <row r="1244" spans="4:4" x14ac:dyDescent="0.25">
      <c r="D1244"/>
    </row>
    <row r="1245" spans="4:4" x14ac:dyDescent="0.25">
      <c r="D1245"/>
    </row>
    <row r="1246" spans="4:4" x14ac:dyDescent="0.25">
      <c r="D1246"/>
    </row>
    <row r="1247" spans="4:4" x14ac:dyDescent="0.25">
      <c r="D1247"/>
    </row>
    <row r="1248" spans="4:4" x14ac:dyDescent="0.25">
      <c r="D1248"/>
    </row>
    <row r="1249" spans="4:4" x14ac:dyDescent="0.25">
      <c r="D1249"/>
    </row>
    <row r="1250" spans="4:4" x14ac:dyDescent="0.25">
      <c r="D1250"/>
    </row>
    <row r="1251" spans="4:4" x14ac:dyDescent="0.25">
      <c r="D1251"/>
    </row>
    <row r="1252" spans="4:4" x14ac:dyDescent="0.25">
      <c r="D1252"/>
    </row>
    <row r="1253" spans="4:4" x14ac:dyDescent="0.25">
      <c r="D1253"/>
    </row>
    <row r="1254" spans="4:4" x14ac:dyDescent="0.25">
      <c r="D1254"/>
    </row>
    <row r="1255" spans="4:4" x14ac:dyDescent="0.25">
      <c r="D1255"/>
    </row>
    <row r="1256" spans="4:4" x14ac:dyDescent="0.25">
      <c r="D1256"/>
    </row>
    <row r="1257" spans="4:4" x14ac:dyDescent="0.25">
      <c r="D1257"/>
    </row>
    <row r="1258" spans="4:4" x14ac:dyDescent="0.25">
      <c r="D1258"/>
    </row>
    <row r="1259" spans="4:4" x14ac:dyDescent="0.25">
      <c r="D1259"/>
    </row>
    <row r="1260" spans="4:4" x14ac:dyDescent="0.25">
      <c r="D1260"/>
    </row>
    <row r="1261" spans="4:4" x14ac:dyDescent="0.25">
      <c r="D1261"/>
    </row>
    <row r="1262" spans="4:4" x14ac:dyDescent="0.25">
      <c r="D1262"/>
    </row>
    <row r="1263" spans="4:4" x14ac:dyDescent="0.25">
      <c r="D1263"/>
    </row>
    <row r="1264" spans="4:4" x14ac:dyDescent="0.25">
      <c r="D1264"/>
    </row>
    <row r="1265" spans="4:4" x14ac:dyDescent="0.25">
      <c r="D1265"/>
    </row>
    <row r="1266" spans="4:4" x14ac:dyDescent="0.25">
      <c r="D1266"/>
    </row>
    <row r="1267" spans="4:4" x14ac:dyDescent="0.25">
      <c r="D1267"/>
    </row>
    <row r="1268" spans="4:4" x14ac:dyDescent="0.25">
      <c r="D1268"/>
    </row>
    <row r="1269" spans="4:4" x14ac:dyDescent="0.25">
      <c r="D1269"/>
    </row>
    <row r="1270" spans="4:4" x14ac:dyDescent="0.25">
      <c r="D1270"/>
    </row>
    <row r="1271" spans="4:4" x14ac:dyDescent="0.25">
      <c r="D1271"/>
    </row>
    <row r="1272" spans="4:4" x14ac:dyDescent="0.25">
      <c r="D1272"/>
    </row>
    <row r="1273" spans="4:4" x14ac:dyDescent="0.25">
      <c r="D1273"/>
    </row>
    <row r="1274" spans="4:4" x14ac:dyDescent="0.25">
      <c r="D1274"/>
    </row>
    <row r="1275" spans="4:4" x14ac:dyDescent="0.25">
      <c r="D1275"/>
    </row>
    <row r="1276" spans="4:4" x14ac:dyDescent="0.25">
      <c r="D1276"/>
    </row>
    <row r="1277" spans="4:4" x14ac:dyDescent="0.25">
      <c r="D1277"/>
    </row>
    <row r="1278" spans="4:4" x14ac:dyDescent="0.25">
      <c r="D1278"/>
    </row>
    <row r="1279" spans="4:4" x14ac:dyDescent="0.25">
      <c r="D1279"/>
    </row>
    <row r="1280" spans="4:4" x14ac:dyDescent="0.25">
      <c r="D1280"/>
    </row>
    <row r="1281" spans="4:4" x14ac:dyDescent="0.25">
      <c r="D1281"/>
    </row>
    <row r="1282" spans="4:4" x14ac:dyDescent="0.25">
      <c r="D1282"/>
    </row>
    <row r="1283" spans="4:4" x14ac:dyDescent="0.25">
      <c r="D1283"/>
    </row>
    <row r="1284" spans="4:4" x14ac:dyDescent="0.25">
      <c r="D1284"/>
    </row>
    <row r="1285" spans="4:4" x14ac:dyDescent="0.25">
      <c r="D1285"/>
    </row>
    <row r="1286" spans="4:4" x14ac:dyDescent="0.25">
      <c r="D1286"/>
    </row>
    <row r="1287" spans="4:4" x14ac:dyDescent="0.25">
      <c r="D1287"/>
    </row>
    <row r="1288" spans="4:4" x14ac:dyDescent="0.25">
      <c r="D1288"/>
    </row>
    <row r="1289" spans="4:4" x14ac:dyDescent="0.25">
      <c r="D1289"/>
    </row>
    <row r="1290" spans="4:4" x14ac:dyDescent="0.25">
      <c r="D1290"/>
    </row>
    <row r="1291" spans="4:4" x14ac:dyDescent="0.25">
      <c r="D1291"/>
    </row>
    <row r="1292" spans="4:4" x14ac:dyDescent="0.25">
      <c r="D1292"/>
    </row>
    <row r="1293" spans="4:4" x14ac:dyDescent="0.25">
      <c r="D1293"/>
    </row>
    <row r="1294" spans="4:4" x14ac:dyDescent="0.25">
      <c r="D1294"/>
    </row>
    <row r="1295" spans="4:4" x14ac:dyDescent="0.25">
      <c r="D1295"/>
    </row>
    <row r="1296" spans="4:4" x14ac:dyDescent="0.25">
      <c r="D1296"/>
    </row>
    <row r="1297" spans="4:4" x14ac:dyDescent="0.25">
      <c r="D1297"/>
    </row>
    <row r="1298" spans="4:4" x14ac:dyDescent="0.25">
      <c r="D1298"/>
    </row>
    <row r="1299" spans="4:4" x14ac:dyDescent="0.25">
      <c r="D1299"/>
    </row>
    <row r="1300" spans="4:4" x14ac:dyDescent="0.25">
      <c r="D1300"/>
    </row>
    <row r="1301" spans="4:4" x14ac:dyDescent="0.25">
      <c r="D1301"/>
    </row>
    <row r="1302" spans="4:4" x14ac:dyDescent="0.25">
      <c r="D1302"/>
    </row>
    <row r="1303" spans="4:4" x14ac:dyDescent="0.25">
      <c r="D1303"/>
    </row>
    <row r="1304" spans="4:4" x14ac:dyDescent="0.25">
      <c r="D1304"/>
    </row>
    <row r="1305" spans="4:4" x14ac:dyDescent="0.25">
      <c r="D1305"/>
    </row>
    <row r="1306" spans="4:4" x14ac:dyDescent="0.25">
      <c r="D1306"/>
    </row>
    <row r="1307" spans="4:4" x14ac:dyDescent="0.25">
      <c r="D1307"/>
    </row>
    <row r="1308" spans="4:4" x14ac:dyDescent="0.25">
      <c r="D1308"/>
    </row>
    <row r="1309" spans="4:4" x14ac:dyDescent="0.25">
      <c r="D1309"/>
    </row>
    <row r="1310" spans="4:4" x14ac:dyDescent="0.25">
      <c r="D1310"/>
    </row>
    <row r="1311" spans="4:4" x14ac:dyDescent="0.25">
      <c r="D1311"/>
    </row>
    <row r="1312" spans="4:4" x14ac:dyDescent="0.25">
      <c r="D1312"/>
    </row>
    <row r="1313" spans="4:4" x14ac:dyDescent="0.25">
      <c r="D1313"/>
    </row>
    <row r="1314" spans="4:4" x14ac:dyDescent="0.25">
      <c r="D1314"/>
    </row>
    <row r="1315" spans="4:4" x14ac:dyDescent="0.25">
      <c r="D1315"/>
    </row>
    <row r="1316" spans="4:4" x14ac:dyDescent="0.25">
      <c r="D1316"/>
    </row>
    <row r="1317" spans="4:4" x14ac:dyDescent="0.25">
      <c r="D1317"/>
    </row>
    <row r="1318" spans="4:4" x14ac:dyDescent="0.25">
      <c r="D1318"/>
    </row>
    <row r="1319" spans="4:4" x14ac:dyDescent="0.25">
      <c r="D1319"/>
    </row>
    <row r="1320" spans="4:4" x14ac:dyDescent="0.25">
      <c r="D1320"/>
    </row>
    <row r="1321" spans="4:4" x14ac:dyDescent="0.25">
      <c r="D1321"/>
    </row>
    <row r="1322" spans="4:4" x14ac:dyDescent="0.25">
      <c r="D1322"/>
    </row>
    <row r="1323" spans="4:4" x14ac:dyDescent="0.25">
      <c r="D1323"/>
    </row>
    <row r="1324" spans="4:4" x14ac:dyDescent="0.25">
      <c r="D1324"/>
    </row>
    <row r="1325" spans="4:4" x14ac:dyDescent="0.25">
      <c r="D1325"/>
    </row>
    <row r="1326" spans="4:4" x14ac:dyDescent="0.25">
      <c r="D1326"/>
    </row>
    <row r="1327" spans="4:4" x14ac:dyDescent="0.25">
      <c r="D1327"/>
    </row>
    <row r="1328" spans="4:4" x14ac:dyDescent="0.25">
      <c r="D1328"/>
    </row>
    <row r="1329" spans="4:4" x14ac:dyDescent="0.25">
      <c r="D1329"/>
    </row>
    <row r="1330" spans="4:4" x14ac:dyDescent="0.25">
      <c r="D1330"/>
    </row>
    <row r="1331" spans="4:4" x14ac:dyDescent="0.25">
      <c r="D1331"/>
    </row>
    <row r="1332" spans="4:4" x14ac:dyDescent="0.25">
      <c r="D1332"/>
    </row>
    <row r="1333" spans="4:4" x14ac:dyDescent="0.25">
      <c r="D1333"/>
    </row>
    <row r="1334" spans="4:4" x14ac:dyDescent="0.25">
      <c r="D1334"/>
    </row>
    <row r="1335" spans="4:4" x14ac:dyDescent="0.25">
      <c r="D1335"/>
    </row>
    <row r="1336" spans="4:4" x14ac:dyDescent="0.25">
      <c r="D1336"/>
    </row>
    <row r="1337" spans="4:4" x14ac:dyDescent="0.25">
      <c r="D1337"/>
    </row>
    <row r="1338" spans="4:4" x14ac:dyDescent="0.25">
      <c r="D1338"/>
    </row>
    <row r="1339" spans="4:4" x14ac:dyDescent="0.25">
      <c r="D1339"/>
    </row>
    <row r="1340" spans="4:4" x14ac:dyDescent="0.25">
      <c r="D1340"/>
    </row>
    <row r="1341" spans="4:4" x14ac:dyDescent="0.25">
      <c r="D1341"/>
    </row>
    <row r="1342" spans="4:4" x14ac:dyDescent="0.25">
      <c r="D1342"/>
    </row>
    <row r="1343" spans="4:4" x14ac:dyDescent="0.25">
      <c r="D1343"/>
    </row>
    <row r="1344" spans="4:4" x14ac:dyDescent="0.25">
      <c r="D1344"/>
    </row>
    <row r="1345" spans="4:4" x14ac:dyDescent="0.25">
      <c r="D1345"/>
    </row>
    <row r="1346" spans="4:4" x14ac:dyDescent="0.25">
      <c r="D1346"/>
    </row>
    <row r="1347" spans="4:4" x14ac:dyDescent="0.25">
      <c r="D1347"/>
    </row>
    <row r="1348" spans="4:4" x14ac:dyDescent="0.25">
      <c r="D1348"/>
    </row>
    <row r="1349" spans="4:4" x14ac:dyDescent="0.25">
      <c r="D1349"/>
    </row>
    <row r="1350" spans="4:4" x14ac:dyDescent="0.25">
      <c r="D1350"/>
    </row>
    <row r="1351" spans="4:4" x14ac:dyDescent="0.25">
      <c r="D1351"/>
    </row>
    <row r="1352" spans="4:4" x14ac:dyDescent="0.25">
      <c r="D1352"/>
    </row>
    <row r="1353" spans="4:4" x14ac:dyDescent="0.25">
      <c r="D1353"/>
    </row>
    <row r="1354" spans="4:4" x14ac:dyDescent="0.25">
      <c r="D1354"/>
    </row>
    <row r="1355" spans="4:4" x14ac:dyDescent="0.25">
      <c r="D1355"/>
    </row>
    <row r="1356" spans="4:4" x14ac:dyDescent="0.25">
      <c r="D1356"/>
    </row>
    <row r="1357" spans="4:4" x14ac:dyDescent="0.25">
      <c r="D1357"/>
    </row>
    <row r="1358" spans="4:4" x14ac:dyDescent="0.25">
      <c r="D1358"/>
    </row>
    <row r="1359" spans="4:4" x14ac:dyDescent="0.25">
      <c r="D1359"/>
    </row>
    <row r="1360" spans="4:4" x14ac:dyDescent="0.25">
      <c r="D1360"/>
    </row>
    <row r="1361" spans="4:4" x14ac:dyDescent="0.25">
      <c r="D1361"/>
    </row>
    <row r="1362" spans="4:4" x14ac:dyDescent="0.25">
      <c r="D1362"/>
    </row>
    <row r="1363" spans="4:4" x14ac:dyDescent="0.25">
      <c r="D1363"/>
    </row>
    <row r="1364" spans="4:4" x14ac:dyDescent="0.25">
      <c r="D1364"/>
    </row>
    <row r="1365" spans="4:4" x14ac:dyDescent="0.25">
      <c r="D1365"/>
    </row>
    <row r="1366" spans="4:4" x14ac:dyDescent="0.25">
      <c r="D1366"/>
    </row>
    <row r="1367" spans="4:4" x14ac:dyDescent="0.25">
      <c r="D1367"/>
    </row>
    <row r="1368" spans="4:4" x14ac:dyDescent="0.25">
      <c r="D1368"/>
    </row>
    <row r="1369" spans="4:4" x14ac:dyDescent="0.25">
      <c r="D1369"/>
    </row>
    <row r="1370" spans="4:4" x14ac:dyDescent="0.25">
      <c r="D1370"/>
    </row>
    <row r="1371" spans="4:4" x14ac:dyDescent="0.25">
      <c r="D1371"/>
    </row>
    <row r="1372" spans="4:4" x14ac:dyDescent="0.25">
      <c r="D1372"/>
    </row>
    <row r="1373" spans="4:4" x14ac:dyDescent="0.25">
      <c r="D1373"/>
    </row>
    <row r="1374" spans="4:4" x14ac:dyDescent="0.25">
      <c r="D1374"/>
    </row>
    <row r="1375" spans="4:4" x14ac:dyDescent="0.25">
      <c r="D1375"/>
    </row>
    <row r="1376" spans="4:4" x14ac:dyDescent="0.25">
      <c r="D1376"/>
    </row>
    <row r="1377" spans="4:4" x14ac:dyDescent="0.25">
      <c r="D1377"/>
    </row>
    <row r="1378" spans="4:4" x14ac:dyDescent="0.25">
      <c r="D1378"/>
    </row>
    <row r="1379" spans="4:4" x14ac:dyDescent="0.25">
      <c r="D1379"/>
    </row>
    <row r="1380" spans="4:4" x14ac:dyDescent="0.25">
      <c r="D1380"/>
    </row>
    <row r="1381" spans="4:4" x14ac:dyDescent="0.25">
      <c r="D1381"/>
    </row>
    <row r="1382" spans="4:4" x14ac:dyDescent="0.25">
      <c r="D1382"/>
    </row>
    <row r="1383" spans="4:4" x14ac:dyDescent="0.25">
      <c r="D1383"/>
    </row>
    <row r="1384" spans="4:4" x14ac:dyDescent="0.25">
      <c r="D1384"/>
    </row>
    <row r="1385" spans="4:4" x14ac:dyDescent="0.25">
      <c r="D1385"/>
    </row>
    <row r="1386" spans="4:4" x14ac:dyDescent="0.25">
      <c r="D1386"/>
    </row>
    <row r="1387" spans="4:4" x14ac:dyDescent="0.25">
      <c r="D1387"/>
    </row>
    <row r="1388" spans="4:4" x14ac:dyDescent="0.25">
      <c r="D1388"/>
    </row>
    <row r="1389" spans="4:4" x14ac:dyDescent="0.25">
      <c r="D1389"/>
    </row>
    <row r="1390" spans="4:4" x14ac:dyDescent="0.25">
      <c r="D1390"/>
    </row>
    <row r="1391" spans="4:4" x14ac:dyDescent="0.25">
      <c r="D1391"/>
    </row>
    <row r="1392" spans="4:4" x14ac:dyDescent="0.25">
      <c r="D1392"/>
    </row>
    <row r="1393" spans="4:4" x14ac:dyDescent="0.25">
      <c r="D1393"/>
    </row>
    <row r="1394" spans="4:4" x14ac:dyDescent="0.25">
      <c r="D1394"/>
    </row>
    <row r="1395" spans="4:4" x14ac:dyDescent="0.25">
      <c r="D1395"/>
    </row>
    <row r="1396" spans="4:4" x14ac:dyDescent="0.25">
      <c r="D1396"/>
    </row>
    <row r="1397" spans="4:4" x14ac:dyDescent="0.25">
      <c r="D1397"/>
    </row>
    <row r="1398" spans="4:4" x14ac:dyDescent="0.25">
      <c r="D1398"/>
    </row>
    <row r="1399" spans="4:4" x14ac:dyDescent="0.25">
      <c r="D1399"/>
    </row>
    <row r="1400" spans="4:4" x14ac:dyDescent="0.25">
      <c r="D1400"/>
    </row>
    <row r="1401" spans="4:4" x14ac:dyDescent="0.25">
      <c r="D1401"/>
    </row>
    <row r="1402" spans="4:4" x14ac:dyDescent="0.25">
      <c r="D1402"/>
    </row>
    <row r="1403" spans="4:4" x14ac:dyDescent="0.25">
      <c r="D1403"/>
    </row>
    <row r="1404" spans="4:4" x14ac:dyDescent="0.25">
      <c r="D1404"/>
    </row>
    <row r="1405" spans="4:4" x14ac:dyDescent="0.25">
      <c r="D1405"/>
    </row>
    <row r="1406" spans="4:4" x14ac:dyDescent="0.25">
      <c r="D1406"/>
    </row>
    <row r="1407" spans="4:4" x14ac:dyDescent="0.25">
      <c r="D1407"/>
    </row>
    <row r="1408" spans="4:4" x14ac:dyDescent="0.25">
      <c r="D1408"/>
    </row>
    <row r="1409" spans="4:4" x14ac:dyDescent="0.25">
      <c r="D1409"/>
    </row>
    <row r="1410" spans="4:4" x14ac:dyDescent="0.25">
      <c r="D1410"/>
    </row>
    <row r="1411" spans="4:4" x14ac:dyDescent="0.25">
      <c r="D1411"/>
    </row>
    <row r="1412" spans="4:4" x14ac:dyDescent="0.25">
      <c r="D1412"/>
    </row>
    <row r="1413" spans="4:4" x14ac:dyDescent="0.25">
      <c r="D1413"/>
    </row>
    <row r="1414" spans="4:4" x14ac:dyDescent="0.25">
      <c r="D1414"/>
    </row>
    <row r="1415" spans="4:4" x14ac:dyDescent="0.25">
      <c r="D1415"/>
    </row>
    <row r="1416" spans="4:4" x14ac:dyDescent="0.25">
      <c r="D1416"/>
    </row>
    <row r="1417" spans="4:4" x14ac:dyDescent="0.25">
      <c r="D1417"/>
    </row>
    <row r="1418" spans="4:4" x14ac:dyDescent="0.25">
      <c r="D1418"/>
    </row>
    <row r="1419" spans="4:4" x14ac:dyDescent="0.25">
      <c r="D1419"/>
    </row>
    <row r="1420" spans="4:4" x14ac:dyDescent="0.25">
      <c r="D1420"/>
    </row>
    <row r="1421" spans="4:4" x14ac:dyDescent="0.25">
      <c r="D1421"/>
    </row>
    <row r="1422" spans="4:4" x14ac:dyDescent="0.25">
      <c r="D1422"/>
    </row>
    <row r="1423" spans="4:4" x14ac:dyDescent="0.25">
      <c r="D1423"/>
    </row>
    <row r="1424" spans="4:4" x14ac:dyDescent="0.25">
      <c r="D1424"/>
    </row>
    <row r="1425" spans="4:4" x14ac:dyDescent="0.25">
      <c r="D1425"/>
    </row>
    <row r="1426" spans="4:4" x14ac:dyDescent="0.25">
      <c r="D1426"/>
    </row>
    <row r="1427" spans="4:4" x14ac:dyDescent="0.25">
      <c r="D1427"/>
    </row>
    <row r="1428" spans="4:4" x14ac:dyDescent="0.25">
      <c r="D1428"/>
    </row>
    <row r="1429" spans="4:4" x14ac:dyDescent="0.25">
      <c r="D1429"/>
    </row>
    <row r="1430" spans="4:4" x14ac:dyDescent="0.25">
      <c r="D1430"/>
    </row>
    <row r="1431" spans="4:4" x14ac:dyDescent="0.25">
      <c r="D1431"/>
    </row>
    <row r="1432" spans="4:4" x14ac:dyDescent="0.25">
      <c r="D1432"/>
    </row>
    <row r="1433" spans="4:4" x14ac:dyDescent="0.25">
      <c r="D1433"/>
    </row>
    <row r="1434" spans="4:4" x14ac:dyDescent="0.25">
      <c r="D1434"/>
    </row>
    <row r="1435" spans="4:4" x14ac:dyDescent="0.25">
      <c r="D1435"/>
    </row>
    <row r="1436" spans="4:4" x14ac:dyDescent="0.25">
      <c r="D1436"/>
    </row>
    <row r="1437" spans="4:4" x14ac:dyDescent="0.25">
      <c r="D1437"/>
    </row>
    <row r="1438" spans="4:4" x14ac:dyDescent="0.25">
      <c r="D1438"/>
    </row>
    <row r="1439" spans="4:4" x14ac:dyDescent="0.25">
      <c r="D1439"/>
    </row>
    <row r="1440" spans="4:4" x14ac:dyDescent="0.25">
      <c r="D1440"/>
    </row>
    <row r="1441" spans="4:4" x14ac:dyDescent="0.25">
      <c r="D1441"/>
    </row>
    <row r="1442" spans="4:4" x14ac:dyDescent="0.25">
      <c r="D1442"/>
    </row>
    <row r="1443" spans="4:4" x14ac:dyDescent="0.25">
      <c r="D1443"/>
    </row>
    <row r="1444" spans="4:4" x14ac:dyDescent="0.25">
      <c r="D1444"/>
    </row>
    <row r="1445" spans="4:4" x14ac:dyDescent="0.25">
      <c r="D1445"/>
    </row>
    <row r="1446" spans="4:4" x14ac:dyDescent="0.25">
      <c r="D1446"/>
    </row>
    <row r="1447" spans="4:4" x14ac:dyDescent="0.25">
      <c r="D1447"/>
    </row>
    <row r="1448" spans="4:4" x14ac:dyDescent="0.25">
      <c r="D1448"/>
    </row>
    <row r="1449" spans="4:4" x14ac:dyDescent="0.25">
      <c r="D1449"/>
    </row>
    <row r="1450" spans="4:4" x14ac:dyDescent="0.25">
      <c r="D1450"/>
    </row>
    <row r="1451" spans="4:4" x14ac:dyDescent="0.25">
      <c r="D1451"/>
    </row>
    <row r="1452" spans="4:4" x14ac:dyDescent="0.25">
      <c r="D1452"/>
    </row>
    <row r="1453" spans="4:4" x14ac:dyDescent="0.25">
      <c r="D1453"/>
    </row>
    <row r="1454" spans="4:4" x14ac:dyDescent="0.25">
      <c r="D1454"/>
    </row>
    <row r="1455" spans="4:4" x14ac:dyDescent="0.25">
      <c r="D1455"/>
    </row>
    <row r="1456" spans="4:4" x14ac:dyDescent="0.25">
      <c r="D1456"/>
    </row>
    <row r="1457" spans="4:4" x14ac:dyDescent="0.25">
      <c r="D1457"/>
    </row>
    <row r="1458" spans="4:4" x14ac:dyDescent="0.25">
      <c r="D1458"/>
    </row>
    <row r="1459" spans="4:4" x14ac:dyDescent="0.25">
      <c r="D1459"/>
    </row>
    <row r="1460" spans="4:4" x14ac:dyDescent="0.25">
      <c r="D1460"/>
    </row>
    <row r="1461" spans="4:4" x14ac:dyDescent="0.25">
      <c r="D1461"/>
    </row>
    <row r="1462" spans="4:4" x14ac:dyDescent="0.25">
      <c r="D1462"/>
    </row>
    <row r="1463" spans="4:4" x14ac:dyDescent="0.25">
      <c r="D1463"/>
    </row>
    <row r="1464" spans="4:4" x14ac:dyDescent="0.25">
      <c r="D1464"/>
    </row>
    <row r="1465" spans="4:4" x14ac:dyDescent="0.25">
      <c r="D1465"/>
    </row>
    <row r="1466" spans="4:4" x14ac:dyDescent="0.25">
      <c r="D1466"/>
    </row>
    <row r="1467" spans="4:4" x14ac:dyDescent="0.25">
      <c r="D1467"/>
    </row>
    <row r="1468" spans="4:4" x14ac:dyDescent="0.25">
      <c r="D1468"/>
    </row>
    <row r="1469" spans="4:4" x14ac:dyDescent="0.25">
      <c r="D1469"/>
    </row>
    <row r="1470" spans="4:4" x14ac:dyDescent="0.25">
      <c r="D1470"/>
    </row>
    <row r="1471" spans="4:4" x14ac:dyDescent="0.25">
      <c r="D1471"/>
    </row>
    <row r="1472" spans="4:4" x14ac:dyDescent="0.25">
      <c r="D1472"/>
    </row>
    <row r="1473" spans="4:4" x14ac:dyDescent="0.25">
      <c r="D1473"/>
    </row>
    <row r="1474" spans="4:4" x14ac:dyDescent="0.25">
      <c r="D1474"/>
    </row>
    <row r="1475" spans="4:4" x14ac:dyDescent="0.25">
      <c r="D1475"/>
    </row>
    <row r="1476" spans="4:4" x14ac:dyDescent="0.25">
      <c r="D1476"/>
    </row>
    <row r="1477" spans="4:4" x14ac:dyDescent="0.25">
      <c r="D1477"/>
    </row>
    <row r="1478" spans="4:4" x14ac:dyDescent="0.25">
      <c r="D1478"/>
    </row>
    <row r="1479" spans="4:4" x14ac:dyDescent="0.25">
      <c r="D1479"/>
    </row>
    <row r="1480" spans="4:4" x14ac:dyDescent="0.25">
      <c r="D1480"/>
    </row>
    <row r="1481" spans="4:4" x14ac:dyDescent="0.25">
      <c r="D1481"/>
    </row>
    <row r="1482" spans="4:4" x14ac:dyDescent="0.25">
      <c r="D1482"/>
    </row>
    <row r="1483" spans="4:4" x14ac:dyDescent="0.25">
      <c r="D1483"/>
    </row>
    <row r="1484" spans="4:4" x14ac:dyDescent="0.25">
      <c r="D1484"/>
    </row>
    <row r="1485" spans="4:4" x14ac:dyDescent="0.25">
      <c r="D1485"/>
    </row>
    <row r="1486" spans="4:4" x14ac:dyDescent="0.25">
      <c r="D1486"/>
    </row>
    <row r="1487" spans="4:4" x14ac:dyDescent="0.25">
      <c r="D1487"/>
    </row>
    <row r="1488" spans="4:4" x14ac:dyDescent="0.25">
      <c r="D1488"/>
    </row>
    <row r="1489" spans="4:4" x14ac:dyDescent="0.25">
      <c r="D1489"/>
    </row>
    <row r="1490" spans="4:4" x14ac:dyDescent="0.25">
      <c r="D1490"/>
    </row>
    <row r="1491" spans="4:4" x14ac:dyDescent="0.25">
      <c r="D1491"/>
    </row>
    <row r="1492" spans="4:4" x14ac:dyDescent="0.25">
      <c r="D1492"/>
    </row>
    <row r="1493" spans="4:4" x14ac:dyDescent="0.25">
      <c r="D1493"/>
    </row>
    <row r="1494" spans="4:4" x14ac:dyDescent="0.25">
      <c r="D1494"/>
    </row>
    <row r="1495" spans="4:4" x14ac:dyDescent="0.25">
      <c r="D1495"/>
    </row>
    <row r="1496" spans="4:4" x14ac:dyDescent="0.25">
      <c r="D1496"/>
    </row>
    <row r="1497" spans="4:4" x14ac:dyDescent="0.25">
      <c r="D1497"/>
    </row>
    <row r="1498" spans="4:4" x14ac:dyDescent="0.25">
      <c r="D1498"/>
    </row>
    <row r="1499" spans="4:4" x14ac:dyDescent="0.25">
      <c r="D1499"/>
    </row>
    <row r="1500" spans="4:4" x14ac:dyDescent="0.25">
      <c r="D1500"/>
    </row>
    <row r="1501" spans="4:4" x14ac:dyDescent="0.25">
      <c r="D1501"/>
    </row>
    <row r="1502" spans="4:4" x14ac:dyDescent="0.25">
      <c r="D1502"/>
    </row>
    <row r="1503" spans="4:4" x14ac:dyDescent="0.25">
      <c r="D1503"/>
    </row>
    <row r="1504" spans="4:4" x14ac:dyDescent="0.25">
      <c r="D1504"/>
    </row>
    <row r="1505" spans="4:4" x14ac:dyDescent="0.25">
      <c r="D1505"/>
    </row>
    <row r="1506" spans="4:4" x14ac:dyDescent="0.25">
      <c r="D1506"/>
    </row>
    <row r="1507" spans="4:4" x14ac:dyDescent="0.25">
      <c r="D1507"/>
    </row>
    <row r="1508" spans="4:4" x14ac:dyDescent="0.25">
      <c r="D1508"/>
    </row>
    <row r="1509" spans="4:4" x14ac:dyDescent="0.25">
      <c r="D1509"/>
    </row>
    <row r="1510" spans="4:4" x14ac:dyDescent="0.25">
      <c r="D1510"/>
    </row>
    <row r="1511" spans="4:4" x14ac:dyDescent="0.25">
      <c r="D1511"/>
    </row>
    <row r="1512" spans="4:4" x14ac:dyDescent="0.25">
      <c r="D1512"/>
    </row>
    <row r="1513" spans="4:4" x14ac:dyDescent="0.25">
      <c r="D1513"/>
    </row>
    <row r="1514" spans="4:4" x14ac:dyDescent="0.25">
      <c r="D1514"/>
    </row>
    <row r="1515" spans="4:4" x14ac:dyDescent="0.25">
      <c r="D1515"/>
    </row>
    <row r="1516" spans="4:4" x14ac:dyDescent="0.25">
      <c r="D1516"/>
    </row>
    <row r="1517" spans="4:4" x14ac:dyDescent="0.25">
      <c r="D1517"/>
    </row>
    <row r="1518" spans="4:4" x14ac:dyDescent="0.25">
      <c r="D1518"/>
    </row>
    <row r="1519" spans="4:4" x14ac:dyDescent="0.25">
      <c r="D1519"/>
    </row>
    <row r="1520" spans="4:4" x14ac:dyDescent="0.25">
      <c r="D1520"/>
    </row>
    <row r="1521" spans="4:4" x14ac:dyDescent="0.25">
      <c r="D1521"/>
    </row>
    <row r="1522" spans="4:4" x14ac:dyDescent="0.25">
      <c r="D1522"/>
    </row>
    <row r="1523" spans="4:4" x14ac:dyDescent="0.25">
      <c r="D1523"/>
    </row>
    <row r="1524" spans="4:4" x14ac:dyDescent="0.25">
      <c r="D1524"/>
    </row>
    <row r="1525" spans="4:4" x14ac:dyDescent="0.25">
      <c r="D1525"/>
    </row>
    <row r="1526" spans="4:4" x14ac:dyDescent="0.25">
      <c r="D1526"/>
    </row>
    <row r="1527" spans="4:4" x14ac:dyDescent="0.25">
      <c r="D1527"/>
    </row>
    <row r="1528" spans="4:4" x14ac:dyDescent="0.25">
      <c r="D1528"/>
    </row>
    <row r="1529" spans="4:4" x14ac:dyDescent="0.25">
      <c r="D1529"/>
    </row>
    <row r="1530" spans="4:4" x14ac:dyDescent="0.25">
      <c r="D1530"/>
    </row>
    <row r="1531" spans="4:4" x14ac:dyDescent="0.25">
      <c r="D1531"/>
    </row>
    <row r="1532" spans="4:4" x14ac:dyDescent="0.25">
      <c r="D1532"/>
    </row>
    <row r="1533" spans="4:4" x14ac:dyDescent="0.25">
      <c r="D1533"/>
    </row>
    <row r="1534" spans="4:4" x14ac:dyDescent="0.25">
      <c r="D1534"/>
    </row>
    <row r="1535" spans="4:4" x14ac:dyDescent="0.25">
      <c r="D1535"/>
    </row>
    <row r="1536" spans="4:4" x14ac:dyDescent="0.25">
      <c r="D1536"/>
    </row>
    <row r="1537" spans="4:4" x14ac:dyDescent="0.25">
      <c r="D1537"/>
    </row>
    <row r="1538" spans="4:4" x14ac:dyDescent="0.25">
      <c r="D1538"/>
    </row>
    <row r="1539" spans="4:4" x14ac:dyDescent="0.25">
      <c r="D1539"/>
    </row>
    <row r="1540" spans="4:4" x14ac:dyDescent="0.25">
      <c r="D1540"/>
    </row>
    <row r="1541" spans="4:4" x14ac:dyDescent="0.25">
      <c r="D1541"/>
    </row>
    <row r="1542" spans="4:4" x14ac:dyDescent="0.25">
      <c r="D1542"/>
    </row>
    <row r="1543" spans="4:4" x14ac:dyDescent="0.25">
      <c r="D1543"/>
    </row>
    <row r="1544" spans="4:4" x14ac:dyDescent="0.25">
      <c r="D1544"/>
    </row>
    <row r="1545" spans="4:4" x14ac:dyDescent="0.25">
      <c r="D1545"/>
    </row>
    <row r="1546" spans="4:4" x14ac:dyDescent="0.25">
      <c r="D1546"/>
    </row>
    <row r="1547" spans="4:4" x14ac:dyDescent="0.25">
      <c r="D1547"/>
    </row>
    <row r="1548" spans="4:4" x14ac:dyDescent="0.25">
      <c r="D1548"/>
    </row>
    <row r="1549" spans="4:4" x14ac:dyDescent="0.25">
      <c r="D1549"/>
    </row>
    <row r="1550" spans="4:4" x14ac:dyDescent="0.25">
      <c r="D1550"/>
    </row>
    <row r="1551" spans="4:4" x14ac:dyDescent="0.25">
      <c r="D1551"/>
    </row>
    <row r="1552" spans="4:4" x14ac:dyDescent="0.25">
      <c r="D1552"/>
    </row>
    <row r="1553" spans="4:4" x14ac:dyDescent="0.25">
      <c r="D1553"/>
    </row>
    <row r="1554" spans="4:4" x14ac:dyDescent="0.25">
      <c r="D1554"/>
    </row>
    <row r="1555" spans="4:4" x14ac:dyDescent="0.25">
      <c r="D1555"/>
    </row>
    <row r="1556" spans="4:4" x14ac:dyDescent="0.25">
      <c r="D1556"/>
    </row>
    <row r="1557" spans="4:4" x14ac:dyDescent="0.25">
      <c r="D1557"/>
    </row>
    <row r="1558" spans="4:4" x14ac:dyDescent="0.25">
      <c r="D1558"/>
    </row>
    <row r="1559" spans="4:4" x14ac:dyDescent="0.25">
      <c r="D1559"/>
    </row>
    <row r="1560" spans="4:4" x14ac:dyDescent="0.25">
      <c r="D1560"/>
    </row>
    <row r="1561" spans="4:4" x14ac:dyDescent="0.25">
      <c r="D1561"/>
    </row>
    <row r="1562" spans="4:4" x14ac:dyDescent="0.25">
      <c r="D1562"/>
    </row>
    <row r="1563" spans="4:4" x14ac:dyDescent="0.25">
      <c r="D1563"/>
    </row>
    <row r="1564" spans="4:4" x14ac:dyDescent="0.25">
      <c r="D1564"/>
    </row>
    <row r="1565" spans="4:4" x14ac:dyDescent="0.25">
      <c r="D1565"/>
    </row>
    <row r="1566" spans="4:4" x14ac:dyDescent="0.25">
      <c r="D1566"/>
    </row>
    <row r="1567" spans="4:4" x14ac:dyDescent="0.25">
      <c r="D1567"/>
    </row>
    <row r="1568" spans="4:4" x14ac:dyDescent="0.25">
      <c r="D1568"/>
    </row>
    <row r="1569" spans="4:4" x14ac:dyDescent="0.25">
      <c r="D1569"/>
    </row>
    <row r="1570" spans="4:4" x14ac:dyDescent="0.25">
      <c r="D1570"/>
    </row>
    <row r="1571" spans="4:4" x14ac:dyDescent="0.25">
      <c r="D1571"/>
    </row>
    <row r="1572" spans="4:4" x14ac:dyDescent="0.25">
      <c r="D1572"/>
    </row>
    <row r="1573" spans="4:4" x14ac:dyDescent="0.25">
      <c r="D1573"/>
    </row>
    <row r="1574" spans="4:4" x14ac:dyDescent="0.25">
      <c r="D1574"/>
    </row>
    <row r="1575" spans="4:4" x14ac:dyDescent="0.25">
      <c r="D1575"/>
    </row>
    <row r="1576" spans="4:4" x14ac:dyDescent="0.25">
      <c r="D1576"/>
    </row>
    <row r="1577" spans="4:4" x14ac:dyDescent="0.25">
      <c r="D1577"/>
    </row>
    <row r="1578" spans="4:4" x14ac:dyDescent="0.25">
      <c r="D1578"/>
    </row>
    <row r="1579" spans="4:4" x14ac:dyDescent="0.25">
      <c r="D1579"/>
    </row>
    <row r="1580" spans="4:4" x14ac:dyDescent="0.25">
      <c r="D1580"/>
    </row>
    <row r="1581" spans="4:4" x14ac:dyDescent="0.25">
      <c r="D1581"/>
    </row>
    <row r="1582" spans="4:4" x14ac:dyDescent="0.25">
      <c r="D1582"/>
    </row>
    <row r="1583" spans="4:4" x14ac:dyDescent="0.25">
      <c r="D1583"/>
    </row>
    <row r="1584" spans="4:4" x14ac:dyDescent="0.25">
      <c r="D1584"/>
    </row>
    <row r="1585" spans="4:4" x14ac:dyDescent="0.25">
      <c r="D1585"/>
    </row>
    <row r="1586" spans="4:4" x14ac:dyDescent="0.25">
      <c r="D1586"/>
    </row>
    <row r="1587" spans="4:4" x14ac:dyDescent="0.25">
      <c r="D1587"/>
    </row>
    <row r="1588" spans="4:4" x14ac:dyDescent="0.25">
      <c r="D1588"/>
    </row>
    <row r="1589" spans="4:4" x14ac:dyDescent="0.25">
      <c r="D1589"/>
    </row>
    <row r="1590" spans="4:4" x14ac:dyDescent="0.25">
      <c r="D1590"/>
    </row>
    <row r="1591" spans="4:4" x14ac:dyDescent="0.25">
      <c r="D1591"/>
    </row>
    <row r="1592" spans="4:4" x14ac:dyDescent="0.25">
      <c r="D1592"/>
    </row>
    <row r="1593" spans="4:4" x14ac:dyDescent="0.25">
      <c r="D1593"/>
    </row>
    <row r="1594" spans="4:4" x14ac:dyDescent="0.25">
      <c r="D1594"/>
    </row>
    <row r="1595" spans="4:4" x14ac:dyDescent="0.25">
      <c r="D1595"/>
    </row>
    <row r="1596" spans="4:4" x14ac:dyDescent="0.25">
      <c r="D1596"/>
    </row>
    <row r="1597" spans="4:4" x14ac:dyDescent="0.25">
      <c r="D1597"/>
    </row>
    <row r="1598" spans="4:4" x14ac:dyDescent="0.25">
      <c r="D1598"/>
    </row>
    <row r="1599" spans="4:4" x14ac:dyDescent="0.25">
      <c r="D1599"/>
    </row>
    <row r="1600" spans="4:4" x14ac:dyDescent="0.25">
      <c r="D1600"/>
    </row>
    <row r="1601" spans="4:4" x14ac:dyDescent="0.25">
      <c r="D1601"/>
    </row>
    <row r="1602" spans="4:4" x14ac:dyDescent="0.25">
      <c r="D1602"/>
    </row>
    <row r="1603" spans="4:4" x14ac:dyDescent="0.25">
      <c r="D1603"/>
    </row>
    <row r="1604" spans="4:4" x14ac:dyDescent="0.25">
      <c r="D1604"/>
    </row>
    <row r="1605" spans="4:4" x14ac:dyDescent="0.25">
      <c r="D1605"/>
    </row>
    <row r="1606" spans="4:4" x14ac:dyDescent="0.25">
      <c r="D1606"/>
    </row>
    <row r="1607" spans="4:4" x14ac:dyDescent="0.25">
      <c r="D1607"/>
    </row>
    <row r="1608" spans="4:4" x14ac:dyDescent="0.25">
      <c r="D1608"/>
    </row>
    <row r="1609" spans="4:4" x14ac:dyDescent="0.25">
      <c r="D1609"/>
    </row>
    <row r="1610" spans="4:4" x14ac:dyDescent="0.25">
      <c r="D1610"/>
    </row>
    <row r="1611" spans="4:4" x14ac:dyDescent="0.25">
      <c r="D1611"/>
    </row>
    <row r="1612" spans="4:4" x14ac:dyDescent="0.25">
      <c r="D1612"/>
    </row>
    <row r="1613" spans="4:4" x14ac:dyDescent="0.25">
      <c r="D1613"/>
    </row>
    <row r="1614" spans="4:4" x14ac:dyDescent="0.25">
      <c r="D1614"/>
    </row>
    <row r="1615" spans="4:4" x14ac:dyDescent="0.25">
      <c r="D1615"/>
    </row>
    <row r="1616" spans="4:4" x14ac:dyDescent="0.25">
      <c r="D1616"/>
    </row>
    <row r="1617" spans="4:4" x14ac:dyDescent="0.25">
      <c r="D1617"/>
    </row>
    <row r="1618" spans="4:4" x14ac:dyDescent="0.25">
      <c r="D1618"/>
    </row>
    <row r="1619" spans="4:4" x14ac:dyDescent="0.25">
      <c r="D1619"/>
    </row>
    <row r="1620" spans="4:4" x14ac:dyDescent="0.25">
      <c r="D1620"/>
    </row>
    <row r="1621" spans="4:4" x14ac:dyDescent="0.25">
      <c r="D1621"/>
    </row>
    <row r="1622" spans="4:4" x14ac:dyDescent="0.25">
      <c r="D1622"/>
    </row>
    <row r="1623" spans="4:4" x14ac:dyDescent="0.25">
      <c r="D1623"/>
    </row>
    <row r="1624" spans="4:4" x14ac:dyDescent="0.25">
      <c r="D1624"/>
    </row>
    <row r="1625" spans="4:4" x14ac:dyDescent="0.25">
      <c r="D1625"/>
    </row>
    <row r="1626" spans="4:4" x14ac:dyDescent="0.25">
      <c r="D1626"/>
    </row>
    <row r="1627" spans="4:4" x14ac:dyDescent="0.25">
      <c r="D1627"/>
    </row>
    <row r="1628" spans="4:4" x14ac:dyDescent="0.25">
      <c r="D1628"/>
    </row>
    <row r="1629" spans="4:4" x14ac:dyDescent="0.25">
      <c r="D1629"/>
    </row>
    <row r="1630" spans="4:4" x14ac:dyDescent="0.25">
      <c r="D1630"/>
    </row>
    <row r="1631" spans="4:4" x14ac:dyDescent="0.25">
      <c r="D1631"/>
    </row>
    <row r="1632" spans="4:4" x14ac:dyDescent="0.25">
      <c r="D1632"/>
    </row>
    <row r="1633" spans="4:4" x14ac:dyDescent="0.25">
      <c r="D1633"/>
    </row>
    <row r="1634" spans="4:4" x14ac:dyDescent="0.25">
      <c r="D1634"/>
    </row>
    <row r="1635" spans="4:4" x14ac:dyDescent="0.25">
      <c r="D1635"/>
    </row>
    <row r="1636" spans="4:4" x14ac:dyDescent="0.25">
      <c r="D1636"/>
    </row>
    <row r="1637" spans="4:4" x14ac:dyDescent="0.25">
      <c r="D1637"/>
    </row>
    <row r="1638" spans="4:4" x14ac:dyDescent="0.25">
      <c r="D1638"/>
    </row>
    <row r="1639" spans="4:4" x14ac:dyDescent="0.25">
      <c r="D1639"/>
    </row>
    <row r="1640" spans="4:4" x14ac:dyDescent="0.25">
      <c r="D1640"/>
    </row>
    <row r="1641" spans="4:4" x14ac:dyDescent="0.25">
      <c r="D1641"/>
    </row>
    <row r="1642" spans="4:4" x14ac:dyDescent="0.25">
      <c r="D1642"/>
    </row>
    <row r="1643" spans="4:4" x14ac:dyDescent="0.25">
      <c r="D1643"/>
    </row>
    <row r="1644" spans="4:4" x14ac:dyDescent="0.25">
      <c r="D1644"/>
    </row>
    <row r="1645" spans="4:4" x14ac:dyDescent="0.25">
      <c r="D1645"/>
    </row>
    <row r="1646" spans="4:4" x14ac:dyDescent="0.25">
      <c r="D1646"/>
    </row>
    <row r="1647" spans="4:4" x14ac:dyDescent="0.25">
      <c r="D1647"/>
    </row>
    <row r="1648" spans="4:4" x14ac:dyDescent="0.25">
      <c r="D1648"/>
    </row>
    <row r="1649" spans="4:4" x14ac:dyDescent="0.25">
      <c r="D1649"/>
    </row>
    <row r="1650" spans="4:4" x14ac:dyDescent="0.25">
      <c r="D1650"/>
    </row>
    <row r="1651" spans="4:4" x14ac:dyDescent="0.25">
      <c r="D1651"/>
    </row>
    <row r="1652" spans="4:4" x14ac:dyDescent="0.25">
      <c r="D1652"/>
    </row>
    <row r="1653" spans="4:4" x14ac:dyDescent="0.25">
      <c r="D1653"/>
    </row>
    <row r="1654" spans="4:4" x14ac:dyDescent="0.25">
      <c r="D1654"/>
    </row>
    <row r="1655" spans="4:4" x14ac:dyDescent="0.25">
      <c r="D1655"/>
    </row>
    <row r="1656" spans="4:4" x14ac:dyDescent="0.25">
      <c r="D1656"/>
    </row>
    <row r="1657" spans="4:4" x14ac:dyDescent="0.25">
      <c r="D1657"/>
    </row>
    <row r="1658" spans="4:4" x14ac:dyDescent="0.25">
      <c r="D1658"/>
    </row>
    <row r="1659" spans="4:4" x14ac:dyDescent="0.25">
      <c r="D1659"/>
    </row>
    <row r="1660" spans="4:4" x14ac:dyDescent="0.25">
      <c r="D1660"/>
    </row>
    <row r="1661" spans="4:4" x14ac:dyDescent="0.25">
      <c r="D1661"/>
    </row>
    <row r="1662" spans="4:4" x14ac:dyDescent="0.25">
      <c r="D1662"/>
    </row>
    <row r="1663" spans="4:4" x14ac:dyDescent="0.25">
      <c r="D1663"/>
    </row>
    <row r="1664" spans="4:4" x14ac:dyDescent="0.25">
      <c r="D1664"/>
    </row>
    <row r="1665" spans="4:4" x14ac:dyDescent="0.25">
      <c r="D1665"/>
    </row>
    <row r="1666" spans="4:4" x14ac:dyDescent="0.25">
      <c r="D1666"/>
    </row>
    <row r="1667" spans="4:4" x14ac:dyDescent="0.25">
      <c r="D1667"/>
    </row>
    <row r="1668" spans="4:4" x14ac:dyDescent="0.25">
      <c r="D1668"/>
    </row>
    <row r="1669" spans="4:4" x14ac:dyDescent="0.25">
      <c r="D1669"/>
    </row>
    <row r="1670" spans="4:4" x14ac:dyDescent="0.25">
      <c r="D1670"/>
    </row>
    <row r="1671" spans="4:4" x14ac:dyDescent="0.25">
      <c r="D1671"/>
    </row>
    <row r="1672" spans="4:4" x14ac:dyDescent="0.25">
      <c r="D1672"/>
    </row>
    <row r="1673" spans="4:4" x14ac:dyDescent="0.25">
      <c r="D1673"/>
    </row>
    <row r="1674" spans="4:4" x14ac:dyDescent="0.25">
      <c r="D1674"/>
    </row>
    <row r="1675" spans="4:4" x14ac:dyDescent="0.25">
      <c r="D1675"/>
    </row>
    <row r="1676" spans="4:4" x14ac:dyDescent="0.25">
      <c r="D1676"/>
    </row>
    <row r="1677" spans="4:4" x14ac:dyDescent="0.25">
      <c r="D1677"/>
    </row>
    <row r="1678" spans="4:4" x14ac:dyDescent="0.25">
      <c r="D1678"/>
    </row>
    <row r="1679" spans="4:4" x14ac:dyDescent="0.25">
      <c r="D1679"/>
    </row>
    <row r="1680" spans="4:4" x14ac:dyDescent="0.25">
      <c r="D1680"/>
    </row>
    <row r="1681" spans="4:4" x14ac:dyDescent="0.25">
      <c r="D1681"/>
    </row>
    <row r="1682" spans="4:4" x14ac:dyDescent="0.25">
      <c r="D1682"/>
    </row>
    <row r="1683" spans="4:4" x14ac:dyDescent="0.25">
      <c r="D1683"/>
    </row>
    <row r="1684" spans="4:4" x14ac:dyDescent="0.25">
      <c r="D1684"/>
    </row>
    <row r="1685" spans="4:4" x14ac:dyDescent="0.25">
      <c r="D1685"/>
    </row>
    <row r="1686" spans="4:4" x14ac:dyDescent="0.25">
      <c r="D1686"/>
    </row>
    <row r="1687" spans="4:4" x14ac:dyDescent="0.25">
      <c r="D1687"/>
    </row>
    <row r="1688" spans="4:4" x14ac:dyDescent="0.25">
      <c r="D1688"/>
    </row>
    <row r="1689" spans="4:4" x14ac:dyDescent="0.25">
      <c r="D1689"/>
    </row>
    <row r="1690" spans="4:4" x14ac:dyDescent="0.25">
      <c r="D1690"/>
    </row>
    <row r="1691" spans="4:4" x14ac:dyDescent="0.25">
      <c r="D1691"/>
    </row>
    <row r="1692" spans="4:4" x14ac:dyDescent="0.25">
      <c r="D1692"/>
    </row>
    <row r="1693" spans="4:4" x14ac:dyDescent="0.25">
      <c r="D1693"/>
    </row>
    <row r="1694" spans="4:4" x14ac:dyDescent="0.25">
      <c r="D1694"/>
    </row>
    <row r="1695" spans="4:4" x14ac:dyDescent="0.25">
      <c r="D1695"/>
    </row>
    <row r="1696" spans="4:4" x14ac:dyDescent="0.25">
      <c r="D1696"/>
    </row>
    <row r="1697" spans="4:4" x14ac:dyDescent="0.25">
      <c r="D1697"/>
    </row>
    <row r="1698" spans="4:4" x14ac:dyDescent="0.25">
      <c r="D1698"/>
    </row>
    <row r="1699" spans="4:4" x14ac:dyDescent="0.25">
      <c r="D1699"/>
    </row>
    <row r="1700" spans="4:4" x14ac:dyDescent="0.25">
      <c r="D1700"/>
    </row>
    <row r="1701" spans="4:4" x14ac:dyDescent="0.25">
      <c r="D1701"/>
    </row>
    <row r="1702" spans="4:4" x14ac:dyDescent="0.25">
      <c r="D1702"/>
    </row>
    <row r="1703" spans="4:4" x14ac:dyDescent="0.25">
      <c r="D1703"/>
    </row>
    <row r="1704" spans="4:4" x14ac:dyDescent="0.25">
      <c r="D1704"/>
    </row>
    <row r="1705" spans="4:4" x14ac:dyDescent="0.25">
      <c r="D1705"/>
    </row>
    <row r="1706" spans="4:4" x14ac:dyDescent="0.25">
      <c r="D1706"/>
    </row>
    <row r="1707" spans="4:4" x14ac:dyDescent="0.25">
      <c r="D1707"/>
    </row>
    <row r="1708" spans="4:4" x14ac:dyDescent="0.25">
      <c r="D1708"/>
    </row>
    <row r="1709" spans="4:4" x14ac:dyDescent="0.25">
      <c r="D1709"/>
    </row>
    <row r="1710" spans="4:4" x14ac:dyDescent="0.25">
      <c r="D1710"/>
    </row>
    <row r="1711" spans="4:4" x14ac:dyDescent="0.25">
      <c r="D1711"/>
    </row>
    <row r="1712" spans="4:4" x14ac:dyDescent="0.25">
      <c r="D1712"/>
    </row>
    <row r="1713" spans="4:4" x14ac:dyDescent="0.25">
      <c r="D1713"/>
    </row>
    <row r="1714" spans="4:4" x14ac:dyDescent="0.25">
      <c r="D1714"/>
    </row>
    <row r="1715" spans="4:4" x14ac:dyDescent="0.25">
      <c r="D1715"/>
    </row>
    <row r="1716" spans="4:4" x14ac:dyDescent="0.25">
      <c r="D1716"/>
    </row>
    <row r="1717" spans="4:4" x14ac:dyDescent="0.25">
      <c r="D1717"/>
    </row>
    <row r="1718" spans="4:4" x14ac:dyDescent="0.25">
      <c r="D1718"/>
    </row>
    <row r="1719" spans="4:4" x14ac:dyDescent="0.25">
      <c r="D1719"/>
    </row>
    <row r="1720" spans="4:4" x14ac:dyDescent="0.25">
      <c r="D1720"/>
    </row>
    <row r="1721" spans="4:4" x14ac:dyDescent="0.25">
      <c r="D1721"/>
    </row>
    <row r="1722" spans="4:4" x14ac:dyDescent="0.25">
      <c r="D1722"/>
    </row>
    <row r="1723" spans="4:4" x14ac:dyDescent="0.25">
      <c r="D1723"/>
    </row>
    <row r="1724" spans="4:4" x14ac:dyDescent="0.25">
      <c r="D1724"/>
    </row>
    <row r="1725" spans="4:4" x14ac:dyDescent="0.25">
      <c r="D1725"/>
    </row>
    <row r="1726" spans="4:4" x14ac:dyDescent="0.25">
      <c r="D1726"/>
    </row>
    <row r="1727" spans="4:4" x14ac:dyDescent="0.25">
      <c r="D1727"/>
    </row>
    <row r="1728" spans="4:4" x14ac:dyDescent="0.25">
      <c r="D1728"/>
    </row>
    <row r="1729" spans="4:4" x14ac:dyDescent="0.25">
      <c r="D1729"/>
    </row>
    <row r="1730" spans="4:4" x14ac:dyDescent="0.25">
      <c r="D1730"/>
    </row>
    <row r="1731" spans="4:4" x14ac:dyDescent="0.25">
      <c r="D1731"/>
    </row>
    <row r="1732" spans="4:4" x14ac:dyDescent="0.25">
      <c r="D1732"/>
    </row>
    <row r="1733" spans="4:4" x14ac:dyDescent="0.25">
      <c r="D1733"/>
    </row>
    <row r="1734" spans="4:4" x14ac:dyDescent="0.25">
      <c r="D1734"/>
    </row>
    <row r="1735" spans="4:4" x14ac:dyDescent="0.25">
      <c r="D1735"/>
    </row>
    <row r="1736" spans="4:4" x14ac:dyDescent="0.25">
      <c r="D1736"/>
    </row>
    <row r="1737" spans="4:4" x14ac:dyDescent="0.25">
      <c r="D1737"/>
    </row>
    <row r="1738" spans="4:4" x14ac:dyDescent="0.25">
      <c r="D1738"/>
    </row>
    <row r="1739" spans="4:4" x14ac:dyDescent="0.25">
      <c r="D1739"/>
    </row>
    <row r="1740" spans="4:4" x14ac:dyDescent="0.25">
      <c r="D1740"/>
    </row>
    <row r="1741" spans="4:4" x14ac:dyDescent="0.25">
      <c r="D1741"/>
    </row>
    <row r="1742" spans="4:4" x14ac:dyDescent="0.25">
      <c r="D1742"/>
    </row>
    <row r="1743" spans="4:4" x14ac:dyDescent="0.25">
      <c r="D1743"/>
    </row>
    <row r="1744" spans="4:4" x14ac:dyDescent="0.25">
      <c r="D1744"/>
    </row>
    <row r="1745" spans="4:4" x14ac:dyDescent="0.25">
      <c r="D1745"/>
    </row>
    <row r="1746" spans="4:4" x14ac:dyDescent="0.25">
      <c r="D1746"/>
    </row>
    <row r="1747" spans="4:4" x14ac:dyDescent="0.25">
      <c r="D1747"/>
    </row>
    <row r="1748" spans="4:4" x14ac:dyDescent="0.25">
      <c r="D1748"/>
    </row>
    <row r="1749" spans="4:4" x14ac:dyDescent="0.25">
      <c r="D1749"/>
    </row>
    <row r="1750" spans="4:4" x14ac:dyDescent="0.25">
      <c r="D1750"/>
    </row>
    <row r="1751" spans="4:4" x14ac:dyDescent="0.25">
      <c r="D1751"/>
    </row>
    <row r="1752" spans="4:4" x14ac:dyDescent="0.25">
      <c r="D1752"/>
    </row>
    <row r="1753" spans="4:4" x14ac:dyDescent="0.25">
      <c r="D1753"/>
    </row>
    <row r="1754" spans="4:4" x14ac:dyDescent="0.25">
      <c r="D1754"/>
    </row>
    <row r="1755" spans="4:4" x14ac:dyDescent="0.25">
      <c r="D1755"/>
    </row>
    <row r="1756" spans="4:4" x14ac:dyDescent="0.25">
      <c r="D1756"/>
    </row>
    <row r="1757" spans="4:4" x14ac:dyDescent="0.25">
      <c r="D1757"/>
    </row>
    <row r="1758" spans="4:4" x14ac:dyDescent="0.25">
      <c r="D1758"/>
    </row>
    <row r="1759" spans="4:4" x14ac:dyDescent="0.25">
      <c r="D1759"/>
    </row>
    <row r="1760" spans="4:4" x14ac:dyDescent="0.25">
      <c r="D1760"/>
    </row>
    <row r="1761" spans="4:4" x14ac:dyDescent="0.25">
      <c r="D1761"/>
    </row>
    <row r="1762" spans="4:4" x14ac:dyDescent="0.25">
      <c r="D1762"/>
    </row>
    <row r="1763" spans="4:4" x14ac:dyDescent="0.25">
      <c r="D1763"/>
    </row>
    <row r="1764" spans="4:4" x14ac:dyDescent="0.25">
      <c r="D1764"/>
    </row>
    <row r="1765" spans="4:4" x14ac:dyDescent="0.25">
      <c r="D1765"/>
    </row>
    <row r="1766" spans="4:4" x14ac:dyDescent="0.25">
      <c r="D1766"/>
    </row>
    <row r="1767" spans="4:4" x14ac:dyDescent="0.25">
      <c r="D1767"/>
    </row>
    <row r="1768" spans="4:4" x14ac:dyDescent="0.25">
      <c r="D1768"/>
    </row>
    <row r="1769" spans="4:4" x14ac:dyDescent="0.25">
      <c r="D1769"/>
    </row>
    <row r="1770" spans="4:4" x14ac:dyDescent="0.25">
      <c r="D1770"/>
    </row>
    <row r="1771" spans="4:4" x14ac:dyDescent="0.25">
      <c r="D1771"/>
    </row>
    <row r="1772" spans="4:4" x14ac:dyDescent="0.25">
      <c r="D1772"/>
    </row>
    <row r="1773" spans="4:4" x14ac:dyDescent="0.25">
      <c r="D1773"/>
    </row>
    <row r="1774" spans="4:4" x14ac:dyDescent="0.25">
      <c r="D1774"/>
    </row>
    <row r="1775" spans="4:4" x14ac:dyDescent="0.25">
      <c r="D1775"/>
    </row>
    <row r="1776" spans="4:4" x14ac:dyDescent="0.25">
      <c r="D1776"/>
    </row>
    <row r="1777" spans="4:4" x14ac:dyDescent="0.25">
      <c r="D1777"/>
    </row>
    <row r="1778" spans="4:4" x14ac:dyDescent="0.25">
      <c r="D1778"/>
    </row>
    <row r="1779" spans="4:4" x14ac:dyDescent="0.25">
      <c r="D1779"/>
    </row>
    <row r="1780" spans="4:4" x14ac:dyDescent="0.25">
      <c r="D1780"/>
    </row>
    <row r="1781" spans="4:4" x14ac:dyDescent="0.25">
      <c r="D1781"/>
    </row>
    <row r="1782" spans="4:4" x14ac:dyDescent="0.25">
      <c r="D1782"/>
    </row>
    <row r="1783" spans="4:4" x14ac:dyDescent="0.25">
      <c r="D1783"/>
    </row>
    <row r="1784" spans="4:4" x14ac:dyDescent="0.25">
      <c r="D1784"/>
    </row>
    <row r="1785" spans="4:4" x14ac:dyDescent="0.25">
      <c r="D1785"/>
    </row>
    <row r="1786" spans="4:4" x14ac:dyDescent="0.25">
      <c r="D1786"/>
    </row>
    <row r="1787" spans="4:4" x14ac:dyDescent="0.25">
      <c r="D1787"/>
    </row>
    <row r="1788" spans="4:4" x14ac:dyDescent="0.25">
      <c r="D1788"/>
    </row>
    <row r="1789" spans="4:4" x14ac:dyDescent="0.25">
      <c r="D1789"/>
    </row>
    <row r="1790" spans="4:4" x14ac:dyDescent="0.25">
      <c r="D1790"/>
    </row>
    <row r="1791" spans="4:4" x14ac:dyDescent="0.25">
      <c r="D1791"/>
    </row>
    <row r="1792" spans="4:4" x14ac:dyDescent="0.25">
      <c r="D1792"/>
    </row>
    <row r="1793" spans="4:4" x14ac:dyDescent="0.25">
      <c r="D1793"/>
    </row>
    <row r="1794" spans="4:4" x14ac:dyDescent="0.25">
      <c r="D1794"/>
    </row>
    <row r="1795" spans="4:4" x14ac:dyDescent="0.25">
      <c r="D1795"/>
    </row>
    <row r="1796" spans="4:4" x14ac:dyDescent="0.25">
      <c r="D1796"/>
    </row>
    <row r="1797" spans="4:4" x14ac:dyDescent="0.25">
      <c r="D1797"/>
    </row>
    <row r="1798" spans="4:4" x14ac:dyDescent="0.25">
      <c r="D1798"/>
    </row>
    <row r="1799" spans="4:4" x14ac:dyDescent="0.25">
      <c r="D1799"/>
    </row>
    <row r="1800" spans="4:4" x14ac:dyDescent="0.25">
      <c r="D1800"/>
    </row>
    <row r="1801" spans="4:4" x14ac:dyDescent="0.25">
      <c r="D1801"/>
    </row>
    <row r="1802" spans="4:4" x14ac:dyDescent="0.25">
      <c r="D1802"/>
    </row>
    <row r="1803" spans="4:4" x14ac:dyDescent="0.25">
      <c r="D1803"/>
    </row>
    <row r="1804" spans="4:4" x14ac:dyDescent="0.25">
      <c r="D1804"/>
    </row>
    <row r="1805" spans="4:4" x14ac:dyDescent="0.25">
      <c r="D1805"/>
    </row>
    <row r="1806" spans="4:4" x14ac:dyDescent="0.25">
      <c r="D1806"/>
    </row>
    <row r="1807" spans="4:4" x14ac:dyDescent="0.25">
      <c r="D1807"/>
    </row>
    <row r="1808" spans="4:4" x14ac:dyDescent="0.25">
      <c r="D1808"/>
    </row>
    <row r="1809" spans="4:4" x14ac:dyDescent="0.25">
      <c r="D1809"/>
    </row>
    <row r="1810" spans="4:4" x14ac:dyDescent="0.25">
      <c r="D1810"/>
    </row>
    <row r="1811" spans="4:4" x14ac:dyDescent="0.25">
      <c r="D1811"/>
    </row>
    <row r="1812" spans="4:4" x14ac:dyDescent="0.25">
      <c r="D1812"/>
    </row>
    <row r="1813" spans="4:4" x14ac:dyDescent="0.25">
      <c r="D1813"/>
    </row>
    <row r="1814" spans="4:4" x14ac:dyDescent="0.25">
      <c r="D1814"/>
    </row>
    <row r="1815" spans="4:4" x14ac:dyDescent="0.25">
      <c r="D1815"/>
    </row>
    <row r="1816" spans="4:4" x14ac:dyDescent="0.25">
      <c r="D1816"/>
    </row>
    <row r="1817" spans="4:4" x14ac:dyDescent="0.25">
      <c r="D1817"/>
    </row>
    <row r="1818" spans="4:4" x14ac:dyDescent="0.25">
      <c r="D1818"/>
    </row>
    <row r="1819" spans="4:4" x14ac:dyDescent="0.25">
      <c r="D1819"/>
    </row>
    <row r="1820" spans="4:4" x14ac:dyDescent="0.25">
      <c r="D1820"/>
    </row>
    <row r="1821" spans="4:4" x14ac:dyDescent="0.25">
      <c r="D1821"/>
    </row>
    <row r="1822" spans="4:4" x14ac:dyDescent="0.25">
      <c r="D1822"/>
    </row>
    <row r="1823" spans="4:4" x14ac:dyDescent="0.25">
      <c r="D1823"/>
    </row>
    <row r="1824" spans="4:4" x14ac:dyDescent="0.25">
      <c r="D1824"/>
    </row>
    <row r="1825" spans="4:4" x14ac:dyDescent="0.25">
      <c r="D1825"/>
    </row>
    <row r="1826" spans="4:4" x14ac:dyDescent="0.25">
      <c r="D1826"/>
    </row>
    <row r="1827" spans="4:4" x14ac:dyDescent="0.25">
      <c r="D1827"/>
    </row>
    <row r="1828" spans="4:4" x14ac:dyDescent="0.25">
      <c r="D1828"/>
    </row>
    <row r="1829" spans="4:4" x14ac:dyDescent="0.25">
      <c r="D1829"/>
    </row>
    <row r="1830" spans="4:4" x14ac:dyDescent="0.25">
      <c r="D1830"/>
    </row>
    <row r="1831" spans="4:4" x14ac:dyDescent="0.25">
      <c r="D1831"/>
    </row>
    <row r="1832" spans="4:4" x14ac:dyDescent="0.25">
      <c r="D1832"/>
    </row>
    <row r="1833" spans="4:4" x14ac:dyDescent="0.25">
      <c r="D1833"/>
    </row>
    <row r="1834" spans="4:4" x14ac:dyDescent="0.25">
      <c r="D1834"/>
    </row>
    <row r="1835" spans="4:4" x14ac:dyDescent="0.25">
      <c r="D1835"/>
    </row>
    <row r="1836" spans="4:4" x14ac:dyDescent="0.25">
      <c r="D1836"/>
    </row>
  </sheetData>
  <pageMargins left="0.7" right="0.7" top="0.75" bottom="0.75" header="0.3" footer="0.3"/>
  <pageSetup paperSize="9"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333A-A3FE-48CB-B006-F705F19F5D9D}">
  <dimension ref="A1:N2"/>
  <sheetViews>
    <sheetView workbookViewId="0">
      <selection activeCell="H2" sqref="H2"/>
    </sheetView>
  </sheetViews>
  <sheetFormatPr baseColWidth="10" defaultRowHeight="15.65" x14ac:dyDescent="0.25"/>
  <cols>
    <col min="10" max="10" width="15.59765625" customWidth="1"/>
    <col min="11" max="11" width="18.59765625" customWidth="1"/>
    <col min="12" max="12" width="11.3984375" customWidth="1"/>
    <col min="13" max="13" width="13.19921875" customWidth="1"/>
  </cols>
  <sheetData>
    <row r="1" spans="1:14" x14ac:dyDescent="0.25">
      <c r="A1" t="s">
        <v>111</v>
      </c>
      <c r="B1" t="s">
        <v>112</v>
      </c>
      <c r="C1" t="s">
        <v>124</v>
      </c>
      <c r="D1" t="s">
        <v>113</v>
      </c>
      <c r="E1" t="s">
        <v>298</v>
      </c>
      <c r="F1" t="s">
        <v>114</v>
      </c>
      <c r="G1" t="s">
        <v>115</v>
      </c>
      <c r="H1" t="s">
        <v>116</v>
      </c>
      <c r="I1" t="s">
        <v>297</v>
      </c>
      <c r="J1" t="s">
        <v>573</v>
      </c>
      <c r="K1" t="s">
        <v>612</v>
      </c>
      <c r="L1" t="s">
        <v>609</v>
      </c>
      <c r="M1" t="s">
        <v>624</v>
      </c>
      <c r="N1" t="s">
        <v>448</v>
      </c>
    </row>
    <row r="2" spans="1:14" x14ac:dyDescent="0.25">
      <c r="A2" s="152">
        <v>44291</v>
      </c>
      <c r="B2">
        <v>4</v>
      </c>
      <c r="C2">
        <v>227</v>
      </c>
      <c r="D2" t="s">
        <v>376</v>
      </c>
      <c r="E2">
        <v>-128453</v>
      </c>
      <c r="F2">
        <v>0</v>
      </c>
      <c r="G2">
        <v>128453</v>
      </c>
      <c r="H2" t="s">
        <v>1674</v>
      </c>
      <c r="I2" t="s">
        <v>131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R34"/>
  <sheetViews>
    <sheetView zoomScale="70" zoomScaleNormal="70" workbookViewId="0">
      <selection activeCell="L18" sqref="L18"/>
    </sheetView>
  </sheetViews>
  <sheetFormatPr baseColWidth="10" defaultRowHeight="15.65" x14ac:dyDescent="0.25"/>
  <cols>
    <col min="1" max="1" width="15" bestFit="1" customWidth="1"/>
    <col min="2" max="2" width="42.69921875" bestFit="1" customWidth="1"/>
    <col min="3" max="14" width="8" bestFit="1" customWidth="1"/>
    <col min="15" max="17" width="12.3984375" bestFit="1" customWidth="1"/>
  </cols>
  <sheetData>
    <row r="1" spans="1:18" x14ac:dyDescent="0.25">
      <c r="A1" s="410" t="s">
        <v>124</v>
      </c>
      <c r="B1" s="546">
        <v>1216</v>
      </c>
    </row>
    <row r="2" spans="1:18" x14ac:dyDescent="0.25">
      <c r="A2" s="410" t="s">
        <v>113</v>
      </c>
      <c r="B2" t="s">
        <v>2530</v>
      </c>
    </row>
    <row r="4" spans="1:18" x14ac:dyDescent="0.25">
      <c r="A4" s="410" t="s">
        <v>1130</v>
      </c>
      <c r="C4" s="410" t="s">
        <v>112</v>
      </c>
    </row>
    <row r="5" spans="1:18" x14ac:dyDescent="0.25">
      <c r="A5" s="410" t="s">
        <v>448</v>
      </c>
      <c r="B5" s="410" t="s">
        <v>116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  <c r="O5" t="s">
        <v>409</v>
      </c>
    </row>
    <row r="6" spans="1:18" x14ac:dyDescent="0.25">
      <c r="A6" t="s">
        <v>1232</v>
      </c>
      <c r="B6" t="s">
        <v>1641</v>
      </c>
      <c r="C6" s="264"/>
      <c r="D6" s="264"/>
      <c r="E6" s="264"/>
      <c r="F6" s="264"/>
      <c r="G6" s="264"/>
      <c r="H6" s="264">
        <v>-30000</v>
      </c>
      <c r="I6" s="264">
        <v>-30000</v>
      </c>
      <c r="J6" s="264">
        <v>-30000</v>
      </c>
      <c r="K6" s="264">
        <v>-30000</v>
      </c>
      <c r="L6" s="264">
        <v>-30000</v>
      </c>
      <c r="M6" s="264">
        <v>-30000</v>
      </c>
      <c r="N6" s="264">
        <v>-30000</v>
      </c>
      <c r="O6" s="264">
        <v>-210000</v>
      </c>
    </row>
    <row r="7" spans="1:18" x14ac:dyDescent="0.25">
      <c r="B7" t="s">
        <v>1714</v>
      </c>
      <c r="C7" s="264"/>
      <c r="D7" s="264"/>
      <c r="E7" s="264"/>
      <c r="F7" s="264"/>
      <c r="G7" s="264">
        <v>-30000</v>
      </c>
      <c r="H7" s="264"/>
      <c r="I7" s="264">
        <v>-30000</v>
      </c>
      <c r="J7" s="264"/>
      <c r="K7" s="264"/>
      <c r="L7" s="264"/>
      <c r="M7" s="264"/>
      <c r="N7" s="264"/>
      <c r="O7" s="264">
        <v>-60000</v>
      </c>
    </row>
    <row r="8" spans="1:18" x14ac:dyDescent="0.25">
      <c r="B8" t="s">
        <v>804</v>
      </c>
      <c r="C8" s="264">
        <v>-15000</v>
      </c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>
        <v>-15000</v>
      </c>
    </row>
    <row r="9" spans="1:18" x14ac:dyDescent="0.25">
      <c r="B9" t="s">
        <v>1647</v>
      </c>
      <c r="C9" s="264"/>
      <c r="D9" s="264"/>
      <c r="E9" s="264"/>
      <c r="F9" s="264"/>
      <c r="G9" s="264"/>
      <c r="H9" s="264"/>
      <c r="I9" s="264">
        <v>-30000</v>
      </c>
      <c r="J9" s="264"/>
      <c r="K9" s="264"/>
      <c r="L9" s="264"/>
      <c r="M9" s="264"/>
      <c r="N9" s="264"/>
      <c r="O9" s="264">
        <v>-30000</v>
      </c>
      <c r="R9" s="526">
        <v>14070513</v>
      </c>
    </row>
    <row r="10" spans="1:18" x14ac:dyDescent="0.25">
      <c r="B10" t="s">
        <v>940</v>
      </c>
      <c r="C10" s="264"/>
      <c r="D10" s="264">
        <v>-15000</v>
      </c>
      <c r="E10" s="264">
        <v>-15000</v>
      </c>
      <c r="F10" s="264">
        <v>-15000</v>
      </c>
      <c r="G10" s="264"/>
      <c r="H10" s="264"/>
      <c r="I10" s="264"/>
      <c r="J10" s="264">
        <v>-15000</v>
      </c>
      <c r="K10" s="264"/>
      <c r="L10" s="264">
        <v>-15000</v>
      </c>
      <c r="M10" s="264">
        <v>-15000</v>
      </c>
      <c r="N10" s="264"/>
      <c r="O10" s="264">
        <v>-90000</v>
      </c>
    </row>
    <row r="11" spans="1:18" x14ac:dyDescent="0.25">
      <c r="B11" t="s">
        <v>1796</v>
      </c>
      <c r="C11" s="264"/>
      <c r="D11" s="264"/>
      <c r="E11" s="264"/>
      <c r="F11" s="264">
        <v>556000</v>
      </c>
      <c r="G11" s="264"/>
      <c r="H11" s="264"/>
      <c r="I11" s="264"/>
      <c r="J11" s="264"/>
      <c r="K11" s="264"/>
      <c r="L11" s="264"/>
      <c r="M11" s="264"/>
      <c r="N11" s="264"/>
      <c r="O11" s="264">
        <v>556000</v>
      </c>
    </row>
    <row r="12" spans="1:18" x14ac:dyDescent="0.25">
      <c r="B12" t="s">
        <v>2102</v>
      </c>
      <c r="C12" s="264"/>
      <c r="D12" s="264"/>
      <c r="E12" s="264"/>
      <c r="F12" s="264"/>
      <c r="G12" s="264"/>
      <c r="H12" s="264"/>
      <c r="I12" s="264"/>
      <c r="J12" s="264">
        <v>602000</v>
      </c>
      <c r="K12" s="264">
        <v>457000</v>
      </c>
      <c r="L12" s="264"/>
      <c r="M12" s="264"/>
      <c r="N12" s="264"/>
      <c r="O12" s="264">
        <v>1059000</v>
      </c>
    </row>
    <row r="13" spans="1:18" x14ac:dyDescent="0.25">
      <c r="B13" t="s">
        <v>2531</v>
      </c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>
        <v>632000</v>
      </c>
      <c r="O13" s="264">
        <v>632000</v>
      </c>
    </row>
    <row r="14" spans="1:18" x14ac:dyDescent="0.25">
      <c r="B14" t="s">
        <v>1271</v>
      </c>
      <c r="C14" s="264">
        <v>419000</v>
      </c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>
        <v>419000</v>
      </c>
    </row>
    <row r="15" spans="1:18" x14ac:dyDescent="0.25">
      <c r="B15" t="s">
        <v>1272</v>
      </c>
      <c r="C15" s="264"/>
      <c r="D15" s="264">
        <v>477000</v>
      </c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4">
        <v>477000</v>
      </c>
    </row>
    <row r="16" spans="1:18" x14ac:dyDescent="0.25">
      <c r="B16" t="s">
        <v>1884</v>
      </c>
      <c r="C16" s="264"/>
      <c r="D16" s="264"/>
      <c r="E16" s="264"/>
      <c r="F16" s="264"/>
      <c r="G16" s="264"/>
      <c r="H16" s="264"/>
      <c r="I16" s="264">
        <v>679000</v>
      </c>
      <c r="J16" s="264"/>
      <c r="K16" s="264"/>
      <c r="L16" s="264"/>
      <c r="M16" s="264"/>
      <c r="N16" s="264"/>
      <c r="O16" s="264">
        <v>679000</v>
      </c>
      <c r="R16" t="s">
        <v>2361</v>
      </c>
    </row>
    <row r="17" spans="2:18" x14ac:dyDescent="0.25">
      <c r="B17" t="s">
        <v>1798</v>
      </c>
      <c r="C17" s="264"/>
      <c r="D17" s="264"/>
      <c r="E17" s="264"/>
      <c r="F17" s="264"/>
      <c r="G17" s="264"/>
      <c r="H17" s="264">
        <v>573000</v>
      </c>
      <c r="I17" s="264"/>
      <c r="J17" s="264"/>
      <c r="K17" s="264"/>
      <c r="L17" s="264"/>
      <c r="M17" s="264"/>
      <c r="N17" s="264"/>
      <c r="O17" s="264">
        <v>573000</v>
      </c>
      <c r="R17" s="526">
        <v>12585127</v>
      </c>
    </row>
    <row r="18" spans="2:18" x14ac:dyDescent="0.25">
      <c r="B18" t="s">
        <v>1273</v>
      </c>
      <c r="C18" s="264"/>
      <c r="D18" s="264"/>
      <c r="E18" s="264">
        <v>582000</v>
      </c>
      <c r="F18" s="264"/>
      <c r="G18" s="264"/>
      <c r="H18" s="264"/>
      <c r="I18" s="264"/>
      <c r="J18" s="264"/>
      <c r="K18" s="264"/>
      <c r="L18" s="264"/>
      <c r="M18" s="264"/>
      <c r="N18" s="264"/>
      <c r="O18" s="264">
        <v>582000</v>
      </c>
    </row>
    <row r="19" spans="2:18" x14ac:dyDescent="0.25">
      <c r="B19" t="s">
        <v>1797</v>
      </c>
      <c r="C19" s="264"/>
      <c r="D19" s="264"/>
      <c r="E19" s="264"/>
      <c r="F19" s="264"/>
      <c r="G19" s="264">
        <v>478000</v>
      </c>
      <c r="H19" s="264"/>
      <c r="I19" s="264"/>
      <c r="J19" s="264"/>
      <c r="K19" s="264"/>
      <c r="L19" s="264"/>
      <c r="M19" s="264"/>
      <c r="N19" s="264"/>
      <c r="O19" s="264">
        <v>478000</v>
      </c>
    </row>
    <row r="20" spans="2:18" x14ac:dyDescent="0.25">
      <c r="B20" t="s">
        <v>2345</v>
      </c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>
        <v>592000</v>
      </c>
      <c r="N20" s="264"/>
      <c r="O20" s="264">
        <v>592000</v>
      </c>
    </row>
    <row r="21" spans="2:18" x14ac:dyDescent="0.25">
      <c r="B21" t="s">
        <v>2191</v>
      </c>
      <c r="C21" s="264"/>
      <c r="D21" s="264"/>
      <c r="E21" s="264"/>
      <c r="F21" s="264"/>
      <c r="G21" s="264"/>
      <c r="H21" s="264"/>
      <c r="I21" s="264"/>
      <c r="J21" s="264"/>
      <c r="K21" s="264"/>
      <c r="L21" s="264">
        <v>562000</v>
      </c>
      <c r="M21" s="264"/>
      <c r="N21" s="264"/>
      <c r="O21" s="264">
        <v>562000</v>
      </c>
    </row>
    <row r="22" spans="2:18" x14ac:dyDescent="0.25">
      <c r="B22" t="s">
        <v>1291</v>
      </c>
      <c r="C22" s="264"/>
      <c r="D22" s="264">
        <v>-50000</v>
      </c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>
        <v>-50000</v>
      </c>
    </row>
    <row r="23" spans="2:18" x14ac:dyDescent="0.25">
      <c r="B23" t="s">
        <v>1887</v>
      </c>
      <c r="C23" s="264"/>
      <c r="D23" s="264"/>
      <c r="E23" s="264"/>
      <c r="F23" s="264"/>
      <c r="G23" s="264"/>
      <c r="H23" s="264"/>
      <c r="I23" s="264">
        <v>-35000</v>
      </c>
      <c r="J23" s="264">
        <v>0</v>
      </c>
      <c r="K23" s="264"/>
      <c r="L23" s="264"/>
      <c r="M23" s="264"/>
      <c r="N23" s="264"/>
      <c r="O23" s="264">
        <v>-35000</v>
      </c>
    </row>
    <row r="24" spans="2:18" x14ac:dyDescent="0.25">
      <c r="B24" t="s">
        <v>2192</v>
      </c>
      <c r="C24" s="264"/>
      <c r="D24" s="264"/>
      <c r="E24" s="264"/>
      <c r="F24" s="264"/>
      <c r="G24" s="264"/>
      <c r="H24" s="264"/>
      <c r="I24" s="264"/>
      <c r="J24" s="264"/>
      <c r="K24" s="264"/>
      <c r="L24" s="264">
        <v>-165000</v>
      </c>
      <c r="M24" s="264"/>
      <c r="N24" s="264"/>
      <c r="O24" s="264">
        <v>-165000</v>
      </c>
    </row>
    <row r="25" spans="2:18" x14ac:dyDescent="0.25">
      <c r="B25" t="s">
        <v>1852</v>
      </c>
      <c r="C25" s="264"/>
      <c r="D25" s="264"/>
      <c r="E25" s="264"/>
      <c r="F25" s="264"/>
      <c r="G25" s="264"/>
      <c r="H25" s="264"/>
      <c r="I25" s="264">
        <v>-10000</v>
      </c>
      <c r="J25" s="264"/>
      <c r="K25" s="264"/>
      <c r="L25" s="264"/>
      <c r="M25" s="264"/>
      <c r="N25" s="264"/>
      <c r="O25" s="264">
        <v>-10000</v>
      </c>
    </row>
    <row r="26" spans="2:18" x14ac:dyDescent="0.25">
      <c r="B26" t="s">
        <v>2358</v>
      </c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>
        <v>-25000</v>
      </c>
      <c r="N26" s="264"/>
      <c r="O26" s="264">
        <v>-25000</v>
      </c>
    </row>
    <row r="27" spans="2:18" x14ac:dyDescent="0.25">
      <c r="B27" t="s">
        <v>2112</v>
      </c>
      <c r="C27" s="264"/>
      <c r="D27" s="264"/>
      <c r="E27" s="264"/>
      <c r="F27" s="264"/>
      <c r="G27" s="264"/>
      <c r="H27" s="264"/>
      <c r="I27" s="264"/>
      <c r="J27" s="264"/>
      <c r="K27" s="264">
        <v>-135000</v>
      </c>
      <c r="L27" s="264"/>
      <c r="M27" s="264"/>
      <c r="N27" s="264"/>
      <c r="O27" s="264">
        <v>-135000</v>
      </c>
    </row>
    <row r="28" spans="2:18" x14ac:dyDescent="0.25">
      <c r="B28" t="s">
        <v>553</v>
      </c>
      <c r="C28" s="264">
        <v>-20000</v>
      </c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>
        <v>-20000</v>
      </c>
    </row>
    <row r="29" spans="2:18" x14ac:dyDescent="0.25">
      <c r="B29" t="s">
        <v>818</v>
      </c>
      <c r="C29" s="264">
        <v>-60000</v>
      </c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4"/>
      <c r="O29" s="264">
        <v>-60000</v>
      </c>
    </row>
    <row r="30" spans="2:18" x14ac:dyDescent="0.25">
      <c r="B30" t="s">
        <v>1042</v>
      </c>
      <c r="C30" s="264"/>
      <c r="D30" s="264">
        <v>-60000</v>
      </c>
      <c r="E30" s="264"/>
      <c r="F30" s="264">
        <v>-60000</v>
      </c>
      <c r="G30" s="264"/>
      <c r="H30" s="264">
        <v>-60000</v>
      </c>
      <c r="I30" s="264">
        <v>-60000</v>
      </c>
      <c r="J30" s="264">
        <v>-60000</v>
      </c>
      <c r="K30" s="264"/>
      <c r="L30" s="264">
        <v>-60000</v>
      </c>
      <c r="M30" s="264">
        <v>-60000</v>
      </c>
      <c r="N30" s="264">
        <v>-60000</v>
      </c>
      <c r="O30" s="264">
        <v>-480000</v>
      </c>
    </row>
    <row r="31" spans="2:18" x14ac:dyDescent="0.25">
      <c r="B31" t="s">
        <v>1017</v>
      </c>
      <c r="C31" s="264"/>
      <c r="D31" s="264">
        <v>-20000</v>
      </c>
      <c r="E31" s="264">
        <v>-10000</v>
      </c>
      <c r="F31" s="264">
        <v>-20000</v>
      </c>
      <c r="G31" s="264">
        <v>-30000</v>
      </c>
      <c r="H31" s="264">
        <v>-30000</v>
      </c>
      <c r="I31" s="264">
        <v>-30000</v>
      </c>
      <c r="J31" s="264">
        <v>-30000</v>
      </c>
      <c r="K31" s="264">
        <v>-30000</v>
      </c>
      <c r="L31" s="264">
        <v>-30000</v>
      </c>
      <c r="M31" s="264">
        <v>-30000</v>
      </c>
      <c r="N31" s="264">
        <v>-30000</v>
      </c>
      <c r="O31" s="264">
        <v>-290000</v>
      </c>
    </row>
    <row r="32" spans="2:18" x14ac:dyDescent="0.25">
      <c r="B32" t="s">
        <v>1923</v>
      </c>
      <c r="C32" s="264"/>
      <c r="D32" s="264"/>
      <c r="E32" s="264"/>
      <c r="F32" s="264"/>
      <c r="G32" s="264"/>
      <c r="H32" s="264"/>
      <c r="I32" s="264"/>
      <c r="J32" s="264">
        <v>-35000</v>
      </c>
      <c r="K32" s="264"/>
      <c r="L32" s="264"/>
      <c r="M32" s="264"/>
      <c r="N32" s="264"/>
      <c r="O32" s="264">
        <v>-35000</v>
      </c>
    </row>
    <row r="33" spans="1:15" x14ac:dyDescent="0.25">
      <c r="B33" t="s">
        <v>1687</v>
      </c>
      <c r="C33" s="264">
        <v>-324000</v>
      </c>
      <c r="D33" s="264">
        <v>-332000</v>
      </c>
      <c r="E33" s="264">
        <v>-557000</v>
      </c>
      <c r="F33" s="264">
        <v>-461000</v>
      </c>
      <c r="G33" s="264">
        <v>-418000</v>
      </c>
      <c r="H33" s="264">
        <v>-443000</v>
      </c>
      <c r="I33" s="264">
        <v>-464000</v>
      </c>
      <c r="J33" s="264">
        <v>-432000</v>
      </c>
      <c r="K33" s="264">
        <v>-262000</v>
      </c>
      <c r="L33" s="264">
        <v>-262000</v>
      </c>
      <c r="M33" s="264">
        <v>-432000</v>
      </c>
      <c r="N33" s="264">
        <v>-512000</v>
      </c>
      <c r="O33" s="264">
        <v>-4899000</v>
      </c>
    </row>
    <row r="34" spans="1:15" x14ac:dyDescent="0.25">
      <c r="A34" t="s">
        <v>409</v>
      </c>
      <c r="C34" s="264">
        <v>0</v>
      </c>
      <c r="D34" s="264">
        <v>0</v>
      </c>
      <c r="E34" s="264">
        <v>0</v>
      </c>
      <c r="F34" s="264">
        <v>0</v>
      </c>
      <c r="G34" s="264">
        <v>0</v>
      </c>
      <c r="H34" s="264">
        <v>10000</v>
      </c>
      <c r="I34" s="264">
        <v>-10000</v>
      </c>
      <c r="J34" s="264">
        <v>0</v>
      </c>
      <c r="K34" s="264">
        <v>0</v>
      </c>
      <c r="L34" s="264">
        <v>0</v>
      </c>
      <c r="M34" s="264">
        <v>0</v>
      </c>
      <c r="N34" s="264">
        <v>0</v>
      </c>
      <c r="O34" s="264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3"/>
  <dimension ref="A1:G245"/>
  <sheetViews>
    <sheetView zoomScale="110" zoomScaleNormal="110" workbookViewId="0">
      <selection activeCell="B3" sqref="B3"/>
    </sheetView>
  </sheetViews>
  <sheetFormatPr baseColWidth="10" defaultColWidth="10.796875" defaultRowHeight="15.65" x14ac:dyDescent="0.25"/>
  <cols>
    <col min="1" max="1" width="13" bestFit="1" customWidth="1"/>
    <col min="2" max="2" width="34.796875" bestFit="1" customWidth="1"/>
    <col min="3" max="3" width="2.3984375" customWidth="1"/>
    <col min="4" max="4" width="34.796875" bestFit="1" customWidth="1"/>
    <col min="5" max="5" width="5.3984375" bestFit="1" customWidth="1"/>
  </cols>
  <sheetData>
    <row r="1" spans="1:2" x14ac:dyDescent="0.25">
      <c r="A1">
        <v>110</v>
      </c>
      <c r="B1" s="156" t="s">
        <v>255</v>
      </c>
    </row>
    <row r="2" spans="1:2" x14ac:dyDescent="0.25">
      <c r="A2">
        <v>115</v>
      </c>
      <c r="B2" s="156" t="s">
        <v>2566</v>
      </c>
    </row>
    <row r="3" spans="1:2" x14ac:dyDescent="0.25">
      <c r="A3">
        <v>112</v>
      </c>
      <c r="B3" s="156" t="s">
        <v>257</v>
      </c>
    </row>
    <row r="4" spans="1:2" x14ac:dyDescent="0.25">
      <c r="A4">
        <v>113</v>
      </c>
      <c r="B4" s="156" t="s">
        <v>1298</v>
      </c>
    </row>
    <row r="5" spans="1:2" x14ac:dyDescent="0.25">
      <c r="A5">
        <v>116</v>
      </c>
      <c r="B5" s="156" t="s">
        <v>464</v>
      </c>
    </row>
    <row r="6" spans="1:2" x14ac:dyDescent="0.25">
      <c r="A6">
        <v>117</v>
      </c>
      <c r="B6" s="156" t="s">
        <v>1251</v>
      </c>
    </row>
    <row r="7" spans="1:2" x14ac:dyDescent="0.25">
      <c r="A7">
        <v>114</v>
      </c>
      <c r="B7" s="156" t="s">
        <v>258</v>
      </c>
    </row>
    <row r="8" spans="1:2" x14ac:dyDescent="0.25">
      <c r="A8">
        <v>118</v>
      </c>
      <c r="B8" s="156" t="s">
        <v>463</v>
      </c>
    </row>
    <row r="9" spans="1:2" x14ac:dyDescent="0.25">
      <c r="A9">
        <v>119</v>
      </c>
      <c r="B9" s="156" t="s">
        <v>724</v>
      </c>
    </row>
    <row r="10" spans="1:2" x14ac:dyDescent="0.25">
      <c r="A10">
        <v>120</v>
      </c>
      <c r="B10" s="156" t="s">
        <v>259</v>
      </c>
    </row>
    <row r="11" spans="1:2" x14ac:dyDescent="0.25">
      <c r="A11">
        <v>125</v>
      </c>
      <c r="B11" s="156" t="s">
        <v>260</v>
      </c>
    </row>
    <row r="12" spans="1:2" x14ac:dyDescent="0.25">
      <c r="A12">
        <v>130</v>
      </c>
      <c r="B12" s="156" t="s">
        <v>261</v>
      </c>
    </row>
    <row r="13" spans="1:2" x14ac:dyDescent="0.25">
      <c r="A13">
        <v>131</v>
      </c>
      <c r="B13" s="156" t="s">
        <v>372</v>
      </c>
    </row>
    <row r="14" spans="1:2" x14ac:dyDescent="0.25">
      <c r="A14">
        <v>132</v>
      </c>
      <c r="B14" s="156" t="s">
        <v>262</v>
      </c>
    </row>
    <row r="15" spans="1:2" x14ac:dyDescent="0.25">
      <c r="A15">
        <v>133</v>
      </c>
      <c r="B15" s="156" t="s">
        <v>394</v>
      </c>
    </row>
    <row r="16" spans="1:2" x14ac:dyDescent="0.25">
      <c r="A16">
        <v>135</v>
      </c>
      <c r="B16" t="s">
        <v>117</v>
      </c>
    </row>
    <row r="17" spans="1:7" x14ac:dyDescent="0.25">
      <c r="A17">
        <v>136</v>
      </c>
      <c r="B17" t="s">
        <v>336</v>
      </c>
    </row>
    <row r="18" spans="1:7" x14ac:dyDescent="0.25">
      <c r="A18">
        <v>1361</v>
      </c>
      <c r="B18" s="156" t="s">
        <v>708</v>
      </c>
    </row>
    <row r="19" spans="1:7" x14ac:dyDescent="0.25">
      <c r="A19">
        <v>1362</v>
      </c>
      <c r="B19" s="156" t="s">
        <v>525</v>
      </c>
    </row>
    <row r="20" spans="1:7" x14ac:dyDescent="0.25">
      <c r="A20">
        <v>137</v>
      </c>
      <c r="B20" s="156" t="s">
        <v>610</v>
      </c>
    </row>
    <row r="21" spans="1:7" x14ac:dyDescent="0.25">
      <c r="A21">
        <v>138</v>
      </c>
      <c r="B21" s="156" t="s">
        <v>613</v>
      </c>
      <c r="F21" s="156" t="s">
        <v>614</v>
      </c>
      <c r="G21" s="156" t="s">
        <v>615</v>
      </c>
    </row>
    <row r="22" spans="1:7" x14ac:dyDescent="0.25">
      <c r="A22">
        <v>140</v>
      </c>
      <c r="B22" t="s">
        <v>322</v>
      </c>
      <c r="F22" s="156" t="s">
        <v>616</v>
      </c>
      <c r="G22" s="156" t="s">
        <v>617</v>
      </c>
    </row>
    <row r="23" spans="1:7" x14ac:dyDescent="0.25">
      <c r="A23">
        <v>141</v>
      </c>
      <c r="B23" t="s">
        <v>378</v>
      </c>
      <c r="F23" s="156" t="s">
        <v>618</v>
      </c>
      <c r="G23" s="156" t="s">
        <v>619</v>
      </c>
    </row>
    <row r="24" spans="1:7" x14ac:dyDescent="0.25">
      <c r="A24">
        <v>142</v>
      </c>
      <c r="B24" t="s">
        <v>643</v>
      </c>
      <c r="F24" s="156"/>
      <c r="G24" s="156"/>
    </row>
    <row r="25" spans="1:7" x14ac:dyDescent="0.25">
      <c r="A25">
        <v>143</v>
      </c>
      <c r="B25" t="s">
        <v>644</v>
      </c>
      <c r="F25" s="156"/>
      <c r="G25" s="156"/>
    </row>
    <row r="26" spans="1:7" x14ac:dyDescent="0.25">
      <c r="A26">
        <v>144</v>
      </c>
      <c r="B26" t="s">
        <v>1299</v>
      </c>
      <c r="F26" s="156"/>
      <c r="G26" s="156"/>
    </row>
    <row r="27" spans="1:7" x14ac:dyDescent="0.25">
      <c r="A27">
        <v>145</v>
      </c>
      <c r="B27" t="s">
        <v>62</v>
      </c>
      <c r="F27" s="156" t="s">
        <v>620</v>
      </c>
      <c r="G27" s="156" t="s">
        <v>621</v>
      </c>
    </row>
    <row r="28" spans="1:7" x14ac:dyDescent="0.25">
      <c r="A28">
        <v>146</v>
      </c>
      <c r="B28" s="156" t="s">
        <v>392</v>
      </c>
      <c r="F28" s="156" t="s">
        <v>622</v>
      </c>
      <c r="G28" s="156" t="s">
        <v>623</v>
      </c>
    </row>
    <row r="29" spans="1:7" x14ac:dyDescent="0.25">
      <c r="A29">
        <v>150</v>
      </c>
      <c r="B29" t="s">
        <v>102</v>
      </c>
      <c r="F29" s="156" t="s">
        <v>709</v>
      </c>
      <c r="G29" s="156" t="s">
        <v>710</v>
      </c>
    </row>
    <row r="30" spans="1:7" x14ac:dyDescent="0.25">
      <c r="A30">
        <v>151</v>
      </c>
      <c r="B30" t="s">
        <v>101</v>
      </c>
      <c r="F30" s="156" t="s">
        <v>711</v>
      </c>
      <c r="G30" s="156" t="s">
        <v>719</v>
      </c>
    </row>
    <row r="31" spans="1:7" x14ac:dyDescent="0.25">
      <c r="A31">
        <v>201</v>
      </c>
      <c r="B31" t="s">
        <v>71</v>
      </c>
    </row>
    <row r="32" spans="1:7" x14ac:dyDescent="0.25">
      <c r="A32">
        <v>202</v>
      </c>
      <c r="B32" t="s">
        <v>72</v>
      </c>
    </row>
    <row r="33" spans="1:2" x14ac:dyDescent="0.25">
      <c r="A33">
        <v>203</v>
      </c>
      <c r="B33" t="s">
        <v>94</v>
      </c>
    </row>
    <row r="34" spans="1:2" x14ac:dyDescent="0.25">
      <c r="A34">
        <v>204</v>
      </c>
      <c r="B34" s="274" t="s">
        <v>444</v>
      </c>
    </row>
    <row r="35" spans="1:2" x14ac:dyDescent="0.25">
      <c r="A35">
        <v>205</v>
      </c>
      <c r="B35" s="274" t="s">
        <v>446</v>
      </c>
    </row>
    <row r="36" spans="1:2" x14ac:dyDescent="0.25">
      <c r="A36">
        <v>210</v>
      </c>
      <c r="B36" s="156" t="s">
        <v>650</v>
      </c>
    </row>
    <row r="37" spans="1:2" x14ac:dyDescent="0.25">
      <c r="A37">
        <v>215</v>
      </c>
      <c r="B37" t="s">
        <v>377</v>
      </c>
    </row>
    <row r="38" spans="1:2" x14ac:dyDescent="0.25">
      <c r="A38">
        <v>216</v>
      </c>
      <c r="B38" t="s">
        <v>645</v>
      </c>
    </row>
    <row r="39" spans="1:2" x14ac:dyDescent="0.25">
      <c r="A39">
        <v>217</v>
      </c>
      <c r="B39" t="s">
        <v>646</v>
      </c>
    </row>
    <row r="40" spans="1:2" x14ac:dyDescent="0.25">
      <c r="A40">
        <v>218</v>
      </c>
      <c r="B40" t="s">
        <v>1300</v>
      </c>
    </row>
    <row r="41" spans="1:2" x14ac:dyDescent="0.25">
      <c r="A41">
        <v>220</v>
      </c>
      <c r="B41" t="s">
        <v>245</v>
      </c>
    </row>
    <row r="42" spans="1:2" x14ac:dyDescent="0.25">
      <c r="A42">
        <v>221</v>
      </c>
      <c r="B42" t="s">
        <v>246</v>
      </c>
    </row>
    <row r="43" spans="1:2" x14ac:dyDescent="0.25">
      <c r="A43">
        <v>222</v>
      </c>
      <c r="B43" s="274" t="s">
        <v>447</v>
      </c>
    </row>
    <row r="44" spans="1:2" x14ac:dyDescent="0.25">
      <c r="A44">
        <v>223</v>
      </c>
      <c r="B44" s="274" t="s">
        <v>445</v>
      </c>
    </row>
    <row r="45" spans="1:2" x14ac:dyDescent="0.25">
      <c r="A45">
        <v>224</v>
      </c>
      <c r="B45" t="s">
        <v>371</v>
      </c>
    </row>
    <row r="46" spans="1:2" x14ac:dyDescent="0.25">
      <c r="A46">
        <v>225</v>
      </c>
      <c r="B46" s="274" t="s">
        <v>443</v>
      </c>
    </row>
    <row r="47" spans="1:2" x14ac:dyDescent="0.25">
      <c r="A47">
        <v>226</v>
      </c>
      <c r="B47" t="s">
        <v>375</v>
      </c>
    </row>
    <row r="48" spans="1:2" x14ac:dyDescent="0.25">
      <c r="A48">
        <v>227</v>
      </c>
      <c r="B48" t="s">
        <v>376</v>
      </c>
    </row>
    <row r="49" spans="1:2" x14ac:dyDescent="0.25">
      <c r="A49">
        <v>228</v>
      </c>
      <c r="B49" s="156" t="s">
        <v>702</v>
      </c>
    </row>
    <row r="50" spans="1:2" x14ac:dyDescent="0.25">
      <c r="A50">
        <v>229</v>
      </c>
      <c r="B50" s="156" t="s">
        <v>668</v>
      </c>
    </row>
    <row r="51" spans="1:2" x14ac:dyDescent="0.25">
      <c r="A51">
        <v>230</v>
      </c>
      <c r="B51" s="156" t="s">
        <v>703</v>
      </c>
    </row>
    <row r="52" spans="1:2" x14ac:dyDescent="0.25">
      <c r="A52">
        <v>231</v>
      </c>
      <c r="B52" s="156" t="s">
        <v>247</v>
      </c>
    </row>
    <row r="53" spans="1:2" x14ac:dyDescent="0.25">
      <c r="A53">
        <v>232</v>
      </c>
      <c r="B53" s="156" t="s">
        <v>332</v>
      </c>
    </row>
    <row r="54" spans="1:2" x14ac:dyDescent="0.25">
      <c r="A54">
        <v>233</v>
      </c>
      <c r="B54" s="156" t="s">
        <v>2533</v>
      </c>
    </row>
    <row r="55" spans="1:2" x14ac:dyDescent="0.25">
      <c r="A55">
        <v>300</v>
      </c>
      <c r="B55" s="156" t="s">
        <v>251</v>
      </c>
    </row>
    <row r="56" spans="1:2" x14ac:dyDescent="0.25">
      <c r="A56">
        <v>301</v>
      </c>
      <c r="B56" s="156" t="s">
        <v>252</v>
      </c>
    </row>
    <row r="57" spans="1:2" x14ac:dyDescent="0.25">
      <c r="A57">
        <v>310</v>
      </c>
      <c r="B57" s="156" t="s">
        <v>254</v>
      </c>
    </row>
    <row r="58" spans="1:2" x14ac:dyDescent="0.25">
      <c r="A58">
        <v>311</v>
      </c>
      <c r="B58" s="156" t="s">
        <v>253</v>
      </c>
    </row>
    <row r="59" spans="1:2" x14ac:dyDescent="0.25">
      <c r="A59">
        <v>1130</v>
      </c>
      <c r="B59" t="s">
        <v>248</v>
      </c>
    </row>
    <row r="60" spans="1:2" x14ac:dyDescent="0.25">
      <c r="A60">
        <v>1216</v>
      </c>
      <c r="B60" t="s">
        <v>249</v>
      </c>
    </row>
    <row r="61" spans="1:2" x14ac:dyDescent="0.25">
      <c r="A61">
        <v>1217</v>
      </c>
      <c r="B61" s="156" t="s">
        <v>1274</v>
      </c>
    </row>
    <row r="62" spans="1:2" x14ac:dyDescent="0.25">
      <c r="A62">
        <v>1218</v>
      </c>
      <c r="B62" t="s">
        <v>250</v>
      </c>
    </row>
    <row r="63" spans="1:2" x14ac:dyDescent="0.25">
      <c r="A63">
        <v>1219</v>
      </c>
      <c r="B63" s="274" t="s">
        <v>449</v>
      </c>
    </row>
    <row r="64" spans="1:2" x14ac:dyDescent="0.25">
      <c r="A64">
        <v>1220</v>
      </c>
      <c r="B64" s="274" t="s">
        <v>450</v>
      </c>
    </row>
    <row r="65" spans="1:5" x14ac:dyDescent="0.25">
      <c r="A65">
        <v>1221</v>
      </c>
      <c r="B65" s="286" t="s">
        <v>451</v>
      </c>
    </row>
    <row r="66" spans="1:5" x14ac:dyDescent="0.25">
      <c r="A66">
        <v>1222</v>
      </c>
      <c r="B66" s="156" t="s">
        <v>1275</v>
      </c>
    </row>
    <row r="67" spans="1:5" ht="16.3" thickBot="1" x14ac:dyDescent="0.3"/>
    <row r="68" spans="1:5" ht="19.7" thickBot="1" x14ac:dyDescent="0.4">
      <c r="B68" s="626" t="s">
        <v>408</v>
      </c>
      <c r="C68" s="627"/>
      <c r="D68" s="626" t="s">
        <v>345</v>
      </c>
      <c r="E68" s="627"/>
    </row>
    <row r="69" spans="1:5" ht="16.3" thickBot="1" x14ac:dyDescent="0.3">
      <c r="B69" s="628" t="s">
        <v>346</v>
      </c>
      <c r="C69" s="629"/>
      <c r="D69" s="628" t="s">
        <v>346</v>
      </c>
      <c r="E69" s="629"/>
    </row>
    <row r="70" spans="1:5" ht="16.3" thickBot="1" x14ac:dyDescent="0.3">
      <c r="D70" s="219"/>
      <c r="E70" s="219"/>
    </row>
    <row r="71" spans="1:5" ht="16.3" thickBot="1" x14ac:dyDescent="0.3">
      <c r="D71" s="220"/>
      <c r="E71" s="220"/>
    </row>
    <row r="72" spans="1:5" ht="17" thickBot="1" x14ac:dyDescent="0.35">
      <c r="A72" s="163">
        <v>3000</v>
      </c>
      <c r="B72" s="163" t="s">
        <v>154</v>
      </c>
      <c r="D72" s="221" t="s">
        <v>154</v>
      </c>
      <c r="E72" s="222">
        <v>3000</v>
      </c>
    </row>
    <row r="73" spans="1:5" ht="16.3" thickBot="1" x14ac:dyDescent="0.3">
      <c r="D73" s="220"/>
      <c r="E73" s="220"/>
    </row>
    <row r="74" spans="1:5" ht="16.3" thickBot="1" x14ac:dyDescent="0.3">
      <c r="A74" s="164">
        <v>3100</v>
      </c>
      <c r="B74" s="164" t="s">
        <v>155</v>
      </c>
      <c r="D74" s="223" t="s">
        <v>155</v>
      </c>
      <c r="E74" s="224">
        <v>3100</v>
      </c>
    </row>
    <row r="75" spans="1:5" ht="16.3" thickBot="1" x14ac:dyDescent="0.3">
      <c r="A75" s="162">
        <v>3110</v>
      </c>
      <c r="B75" s="161" t="s">
        <v>156</v>
      </c>
      <c r="D75" s="225" t="s">
        <v>156</v>
      </c>
      <c r="E75" s="226">
        <v>3110</v>
      </c>
    </row>
    <row r="76" spans="1:5" ht="16.3" thickBot="1" x14ac:dyDescent="0.3">
      <c r="A76" s="162">
        <v>3120</v>
      </c>
      <c r="B76" s="161" t="s">
        <v>157</v>
      </c>
      <c r="D76" s="225" t="s">
        <v>157</v>
      </c>
      <c r="E76" s="226">
        <v>3120</v>
      </c>
    </row>
    <row r="77" spans="1:5" ht="16.3" thickBot="1" x14ac:dyDescent="0.3">
      <c r="D77" s="220"/>
      <c r="E77" s="220"/>
    </row>
    <row r="78" spans="1:5" ht="16.3" thickBot="1" x14ac:dyDescent="0.3">
      <c r="A78" s="164">
        <v>3200</v>
      </c>
      <c r="B78" s="164" t="s">
        <v>158</v>
      </c>
      <c r="D78" s="223" t="s">
        <v>158</v>
      </c>
      <c r="E78" s="224">
        <v>3200</v>
      </c>
    </row>
    <row r="79" spans="1:5" ht="16.3" thickBot="1" x14ac:dyDescent="0.3">
      <c r="A79" s="162">
        <v>3210</v>
      </c>
      <c r="B79" s="161" t="s">
        <v>159</v>
      </c>
      <c r="D79" s="225" t="s">
        <v>159</v>
      </c>
      <c r="E79" s="226">
        <v>3210</v>
      </c>
    </row>
    <row r="80" spans="1:5" ht="16.3" thickBot="1" x14ac:dyDescent="0.3">
      <c r="A80" s="162">
        <v>3220</v>
      </c>
      <c r="B80" s="161" t="s">
        <v>160</v>
      </c>
      <c r="D80" s="225" t="s">
        <v>160</v>
      </c>
      <c r="E80" s="226">
        <v>3220</v>
      </c>
    </row>
    <row r="81" spans="1:5" ht="16.3" thickBot="1" x14ac:dyDescent="0.3">
      <c r="A81" s="162">
        <v>3230</v>
      </c>
      <c r="B81" s="161" t="s">
        <v>397</v>
      </c>
      <c r="D81" s="220"/>
      <c r="E81" s="220"/>
    </row>
    <row r="82" spans="1:5" ht="16.3" thickBot="1" x14ac:dyDescent="0.3">
      <c r="A82" s="164">
        <v>3300</v>
      </c>
      <c r="B82" s="164" t="s">
        <v>161</v>
      </c>
      <c r="D82" s="223" t="s">
        <v>161</v>
      </c>
      <c r="E82" s="224">
        <v>3300</v>
      </c>
    </row>
    <row r="83" spans="1:5" ht="16.3" thickBot="1" x14ac:dyDescent="0.3">
      <c r="A83" s="162">
        <v>3310</v>
      </c>
      <c r="B83" s="161" t="s">
        <v>162</v>
      </c>
      <c r="D83" s="225" t="s">
        <v>162</v>
      </c>
      <c r="E83" s="226">
        <v>3310</v>
      </c>
    </row>
    <row r="84" spans="1:5" ht="16.3" thickBot="1" x14ac:dyDescent="0.3">
      <c r="A84" s="162">
        <v>3320</v>
      </c>
      <c r="B84" s="161" t="s">
        <v>163</v>
      </c>
      <c r="D84" s="225" t="s">
        <v>163</v>
      </c>
      <c r="E84" s="226">
        <v>3320</v>
      </c>
    </row>
    <row r="85" spans="1:5" ht="16.3" thickBot="1" x14ac:dyDescent="0.3">
      <c r="A85" s="162">
        <v>3330</v>
      </c>
      <c r="B85" s="161" t="s">
        <v>164</v>
      </c>
      <c r="D85" s="225" t="s">
        <v>164</v>
      </c>
      <c r="E85" s="226">
        <v>3330</v>
      </c>
    </row>
    <row r="86" spans="1:5" ht="16.3" thickBot="1" x14ac:dyDescent="0.3">
      <c r="A86" s="162">
        <v>3340</v>
      </c>
      <c r="B86" s="161" t="s">
        <v>165</v>
      </c>
      <c r="D86" s="225" t="s">
        <v>165</v>
      </c>
      <c r="E86" s="226">
        <v>3340</v>
      </c>
    </row>
    <row r="87" spans="1:5" ht="16.3" thickBot="1" x14ac:dyDescent="0.3">
      <c r="A87" s="226">
        <v>3350</v>
      </c>
      <c r="B87" s="225" t="s">
        <v>347</v>
      </c>
      <c r="D87" s="225" t="s">
        <v>347</v>
      </c>
      <c r="E87" s="226">
        <v>3350</v>
      </c>
    </row>
    <row r="88" spans="1:5" ht="16.3" thickBot="1" x14ac:dyDescent="0.3">
      <c r="A88" s="226">
        <v>3360</v>
      </c>
      <c r="B88" s="225" t="s">
        <v>232</v>
      </c>
      <c r="D88" s="225" t="s">
        <v>232</v>
      </c>
      <c r="E88" s="226">
        <v>3360</v>
      </c>
    </row>
    <row r="89" spans="1:5" ht="16.3" thickBot="1" x14ac:dyDescent="0.3">
      <c r="D89" s="220"/>
      <c r="E89" s="220"/>
    </row>
    <row r="90" spans="1:5" ht="16.3" thickBot="1" x14ac:dyDescent="0.3">
      <c r="A90" s="164">
        <v>3400</v>
      </c>
      <c r="B90" s="164" t="s">
        <v>166</v>
      </c>
      <c r="D90" s="223" t="s">
        <v>166</v>
      </c>
      <c r="E90" s="224">
        <v>3400</v>
      </c>
    </row>
    <row r="91" spans="1:5" ht="16.3" thickBot="1" x14ac:dyDescent="0.3">
      <c r="A91" s="162">
        <v>3410</v>
      </c>
      <c r="B91" s="161" t="s">
        <v>167</v>
      </c>
      <c r="D91" s="225" t="s">
        <v>167</v>
      </c>
      <c r="E91" s="226">
        <v>3410</v>
      </c>
    </row>
    <row r="92" spans="1:5" ht="16.3" thickBot="1" x14ac:dyDescent="0.3">
      <c r="A92" s="162">
        <v>3420</v>
      </c>
      <c r="B92" s="161" t="s">
        <v>168</v>
      </c>
      <c r="D92" s="225" t="s">
        <v>168</v>
      </c>
      <c r="E92" s="226">
        <v>3420</v>
      </c>
    </row>
    <row r="93" spans="1:5" ht="16.3" thickBot="1" x14ac:dyDescent="0.3">
      <c r="A93" s="162">
        <v>3430</v>
      </c>
      <c r="B93" s="161" t="s">
        <v>169</v>
      </c>
      <c r="D93" s="225" t="s">
        <v>169</v>
      </c>
      <c r="E93" s="226">
        <v>3430</v>
      </c>
    </row>
    <row r="94" spans="1:5" ht="16.3" thickBot="1" x14ac:dyDescent="0.3">
      <c r="A94" s="162">
        <v>3440</v>
      </c>
      <c r="B94" s="161" t="s">
        <v>170</v>
      </c>
      <c r="D94" s="225" t="s">
        <v>170</v>
      </c>
      <c r="E94" s="226">
        <v>3440</v>
      </c>
    </row>
    <row r="95" spans="1:5" ht="16.3" thickBot="1" x14ac:dyDescent="0.3">
      <c r="A95" s="162">
        <v>3450</v>
      </c>
      <c r="B95" s="161" t="s">
        <v>171</v>
      </c>
      <c r="D95" s="225" t="s">
        <v>171</v>
      </c>
      <c r="E95" s="226">
        <v>3450</v>
      </c>
    </row>
    <row r="96" spans="1:5" ht="16.3" thickBot="1" x14ac:dyDescent="0.3">
      <c r="A96" s="165">
        <v>3451</v>
      </c>
      <c r="B96" s="162" t="s">
        <v>172</v>
      </c>
      <c r="D96" s="226" t="s">
        <v>172</v>
      </c>
      <c r="E96" s="227">
        <v>3451</v>
      </c>
    </row>
    <row r="97" spans="1:5" ht="16.3" thickBot="1" x14ac:dyDescent="0.3">
      <c r="A97" s="165">
        <v>3452</v>
      </c>
      <c r="B97" s="162" t="s">
        <v>173</v>
      </c>
      <c r="D97" s="226" t="s">
        <v>173</v>
      </c>
      <c r="E97" s="227">
        <v>3452</v>
      </c>
    </row>
    <row r="98" spans="1:5" ht="16.3" thickBot="1" x14ac:dyDescent="0.3">
      <c r="A98" s="227">
        <v>3453</v>
      </c>
      <c r="B98" s="226" t="s">
        <v>348</v>
      </c>
      <c r="E98" s="227">
        <v>3453</v>
      </c>
    </row>
    <row r="99" spans="1:5" ht="16.3" thickBot="1" x14ac:dyDescent="0.3">
      <c r="A99" s="162">
        <v>3460</v>
      </c>
      <c r="B99" s="161" t="s">
        <v>174</v>
      </c>
      <c r="D99" s="225" t="s">
        <v>174</v>
      </c>
      <c r="E99" s="226">
        <v>3460</v>
      </c>
    </row>
    <row r="100" spans="1:5" ht="16.3" thickBot="1" x14ac:dyDescent="0.3">
      <c r="A100" s="162">
        <v>3470</v>
      </c>
      <c r="B100" s="161" t="s">
        <v>64</v>
      </c>
      <c r="D100" s="225" t="s">
        <v>64</v>
      </c>
      <c r="E100" s="226">
        <v>3470</v>
      </c>
    </row>
    <row r="101" spans="1:5" ht="16.3" thickBot="1" x14ac:dyDescent="0.3">
      <c r="A101" s="162">
        <v>3480</v>
      </c>
      <c r="B101" s="161" t="s">
        <v>175</v>
      </c>
      <c r="D101" s="225" t="s">
        <v>175</v>
      </c>
      <c r="E101" s="226">
        <v>3480</v>
      </c>
    </row>
    <row r="102" spans="1:5" ht="16.3" thickBot="1" x14ac:dyDescent="0.3">
      <c r="D102" s="220"/>
      <c r="E102" s="220"/>
    </row>
    <row r="103" spans="1:5" ht="16.3" thickBot="1" x14ac:dyDescent="0.3">
      <c r="A103" s="164">
        <v>3500</v>
      </c>
      <c r="B103" s="164" t="s">
        <v>7</v>
      </c>
      <c r="D103" s="223" t="s">
        <v>7</v>
      </c>
      <c r="E103" s="224">
        <v>3500</v>
      </c>
    </row>
    <row r="104" spans="1:5" ht="16.3" thickBot="1" x14ac:dyDescent="0.3">
      <c r="A104" s="162">
        <v>3510</v>
      </c>
      <c r="B104" s="161" t="s">
        <v>176</v>
      </c>
      <c r="D104" s="225" t="s">
        <v>176</v>
      </c>
      <c r="E104" s="226">
        <v>3510</v>
      </c>
    </row>
    <row r="105" spans="1:5" ht="16.3" thickBot="1" x14ac:dyDescent="0.3">
      <c r="A105" s="162">
        <v>3520</v>
      </c>
      <c r="B105" s="161" t="s">
        <v>177</v>
      </c>
      <c r="D105" s="225" t="s">
        <v>177</v>
      </c>
      <c r="E105" s="226">
        <v>3520</v>
      </c>
    </row>
    <row r="106" spans="1:5" ht="16.3" thickBot="1" x14ac:dyDescent="0.3">
      <c r="A106" s="162">
        <v>3521</v>
      </c>
      <c r="B106" s="161" t="s">
        <v>370</v>
      </c>
      <c r="D106" s="250"/>
      <c r="E106" s="251"/>
    </row>
    <row r="107" spans="1:5" ht="16.3" thickBot="1" x14ac:dyDescent="0.3">
      <c r="D107" s="220"/>
      <c r="E107" s="220"/>
    </row>
    <row r="108" spans="1:5" ht="16.3" thickBot="1" x14ac:dyDescent="0.3">
      <c r="A108" s="164">
        <v>3600</v>
      </c>
      <c r="B108" s="164" t="s">
        <v>178</v>
      </c>
      <c r="D108" s="223" t="s">
        <v>178</v>
      </c>
      <c r="E108" s="224">
        <v>3600</v>
      </c>
    </row>
    <row r="109" spans="1:5" ht="16.3" thickBot="1" x14ac:dyDescent="0.3">
      <c r="A109" s="162">
        <v>3610</v>
      </c>
      <c r="B109" s="161" t="s">
        <v>179</v>
      </c>
      <c r="D109" s="225" t="s">
        <v>349</v>
      </c>
      <c r="E109" s="226">
        <v>3610</v>
      </c>
    </row>
    <row r="110" spans="1:5" ht="16.3" thickBot="1" x14ac:dyDescent="0.3">
      <c r="A110" s="162">
        <v>3611</v>
      </c>
      <c r="B110" s="161" t="s">
        <v>399</v>
      </c>
      <c r="D110" s="225"/>
      <c r="E110" s="226"/>
    </row>
    <row r="111" spans="1:5" ht="16.3" thickBot="1" x14ac:dyDescent="0.3">
      <c r="A111" s="162">
        <v>3620</v>
      </c>
      <c r="B111" s="161" t="s">
        <v>180</v>
      </c>
      <c r="D111" s="225" t="s">
        <v>180</v>
      </c>
      <c r="E111" s="226">
        <v>3620</v>
      </c>
    </row>
    <row r="112" spans="1:5" ht="16.3" thickBot="1" x14ac:dyDescent="0.3">
      <c r="A112" s="162">
        <v>3621</v>
      </c>
      <c r="B112" s="161" t="s">
        <v>400</v>
      </c>
      <c r="D112" s="225"/>
      <c r="E112" s="226"/>
    </row>
    <row r="113" spans="1:5" ht="16.3" thickBot="1" x14ac:dyDescent="0.3">
      <c r="A113" s="162">
        <v>3630</v>
      </c>
      <c r="B113" s="161" t="s">
        <v>181</v>
      </c>
      <c r="D113" s="225" t="s">
        <v>181</v>
      </c>
      <c r="E113" s="226">
        <v>3630</v>
      </c>
    </row>
    <row r="114" spans="1:5" ht="16.3" thickBot="1" x14ac:dyDescent="0.3">
      <c r="A114" s="162">
        <v>3631</v>
      </c>
      <c r="B114" s="161" t="s">
        <v>401</v>
      </c>
      <c r="D114" s="225"/>
      <c r="E114" s="226"/>
    </row>
    <row r="115" spans="1:5" ht="16.3" thickBot="1" x14ac:dyDescent="0.3">
      <c r="A115" s="162">
        <v>3640</v>
      </c>
      <c r="B115" s="161" t="s">
        <v>182</v>
      </c>
      <c r="D115" s="225" t="s">
        <v>182</v>
      </c>
      <c r="E115" s="226">
        <v>3640</v>
      </c>
    </row>
    <row r="116" spans="1:5" ht="16.3" thickBot="1" x14ac:dyDescent="0.3">
      <c r="A116" s="162">
        <v>3641</v>
      </c>
      <c r="B116" s="161" t="s">
        <v>402</v>
      </c>
      <c r="D116" s="225"/>
      <c r="E116" s="226"/>
    </row>
    <row r="117" spans="1:5" ht="16.3" thickBot="1" x14ac:dyDescent="0.3">
      <c r="A117" s="162">
        <v>3650</v>
      </c>
      <c r="B117" s="161" t="s">
        <v>183</v>
      </c>
      <c r="D117" s="225" t="s">
        <v>183</v>
      </c>
      <c r="E117" s="226">
        <v>3650</v>
      </c>
    </row>
    <row r="118" spans="1:5" ht="16.3" thickBot="1" x14ac:dyDescent="0.3">
      <c r="A118" s="162">
        <v>3651</v>
      </c>
      <c r="B118" s="161" t="s">
        <v>403</v>
      </c>
      <c r="D118" s="161" t="s">
        <v>403</v>
      </c>
      <c r="E118" s="226">
        <v>3651</v>
      </c>
    </row>
    <row r="119" spans="1:5" ht="16.3" thickBot="1" x14ac:dyDescent="0.3">
      <c r="A119" s="162">
        <v>3660</v>
      </c>
      <c r="B119" s="161" t="s">
        <v>184</v>
      </c>
      <c r="D119" s="225" t="s">
        <v>184</v>
      </c>
      <c r="E119" s="226">
        <v>3660</v>
      </c>
    </row>
    <row r="120" spans="1:5" ht="16.3" thickBot="1" x14ac:dyDescent="0.3">
      <c r="A120" s="162">
        <v>6003</v>
      </c>
      <c r="B120" s="161" t="s">
        <v>327</v>
      </c>
      <c r="D120" s="161" t="s">
        <v>327</v>
      </c>
      <c r="E120" s="219">
        <v>6003</v>
      </c>
    </row>
    <row r="121" spans="1:5" ht="16.3" thickBot="1" x14ac:dyDescent="0.3">
      <c r="D121" s="219"/>
      <c r="E121" s="219"/>
    </row>
    <row r="122" spans="1:5" ht="17" thickBot="1" x14ac:dyDescent="0.35">
      <c r="A122" s="163">
        <v>3700</v>
      </c>
      <c r="B122" s="163" t="s">
        <v>185</v>
      </c>
      <c r="D122" s="228" t="s">
        <v>185</v>
      </c>
      <c r="E122" s="228">
        <v>3700</v>
      </c>
    </row>
    <row r="123" spans="1:5" ht="16.3" thickBot="1" x14ac:dyDescent="0.3">
      <c r="D123" s="219"/>
      <c r="E123" s="219"/>
    </row>
    <row r="124" spans="1:5" ht="16.3" thickBot="1" x14ac:dyDescent="0.3">
      <c r="D124" s="220"/>
      <c r="E124" s="220"/>
    </row>
    <row r="125" spans="1:5" ht="17" thickBot="1" x14ac:dyDescent="0.35">
      <c r="A125" s="166">
        <v>4000</v>
      </c>
      <c r="B125" s="166" t="s">
        <v>186</v>
      </c>
      <c r="D125" s="229" t="s">
        <v>186</v>
      </c>
      <c r="E125" s="230">
        <v>4000</v>
      </c>
    </row>
    <row r="126" spans="1:5" ht="16.3" thickBot="1" x14ac:dyDescent="0.3">
      <c r="A126" s="167"/>
      <c r="B126" s="168"/>
      <c r="D126" s="231"/>
      <c r="E126" s="220"/>
    </row>
    <row r="127" spans="1:5" ht="16.3" thickBot="1" x14ac:dyDescent="0.3">
      <c r="A127" s="169">
        <v>4100</v>
      </c>
      <c r="B127" s="169" t="s">
        <v>187</v>
      </c>
      <c r="D127" s="232" t="s">
        <v>350</v>
      </c>
      <c r="E127" s="233">
        <v>4100</v>
      </c>
    </row>
    <row r="128" spans="1:5" ht="16.3" thickBot="1" x14ac:dyDescent="0.3">
      <c r="A128" s="170">
        <v>4110</v>
      </c>
      <c r="B128" s="171" t="s">
        <v>188</v>
      </c>
      <c r="D128" s="234" t="s">
        <v>188</v>
      </c>
      <c r="E128" s="235">
        <v>4110</v>
      </c>
    </row>
    <row r="129" spans="1:5" ht="16.3" thickBot="1" x14ac:dyDescent="0.3">
      <c r="A129" s="170">
        <v>4120</v>
      </c>
      <c r="B129" s="171" t="s">
        <v>189</v>
      </c>
      <c r="D129" s="234" t="s">
        <v>189</v>
      </c>
      <c r="E129" s="235">
        <v>4120</v>
      </c>
    </row>
    <row r="130" spans="1:5" ht="16.3" thickBot="1" x14ac:dyDescent="0.3">
      <c r="A130" s="170">
        <v>4130</v>
      </c>
      <c r="B130" s="171" t="s">
        <v>190</v>
      </c>
      <c r="D130" s="234" t="s">
        <v>190</v>
      </c>
      <c r="E130" s="235">
        <v>4130</v>
      </c>
    </row>
    <row r="131" spans="1:5" ht="16.3" thickBot="1" x14ac:dyDescent="0.3">
      <c r="A131" s="170">
        <v>4140</v>
      </c>
      <c r="B131" s="171" t="s">
        <v>191</v>
      </c>
      <c r="D131" s="234" t="s">
        <v>191</v>
      </c>
      <c r="E131" s="235">
        <v>4140</v>
      </c>
    </row>
    <row r="132" spans="1:5" ht="16.3" thickBot="1" x14ac:dyDescent="0.3">
      <c r="A132" s="170">
        <v>4150</v>
      </c>
      <c r="B132" s="171" t="s">
        <v>192</v>
      </c>
      <c r="D132" s="234" t="s">
        <v>192</v>
      </c>
      <c r="E132" s="235">
        <v>4150</v>
      </c>
    </row>
    <row r="133" spans="1:5" ht="16.3" thickBot="1" x14ac:dyDescent="0.3">
      <c r="A133" s="170">
        <v>4160</v>
      </c>
      <c r="B133" s="171" t="s">
        <v>193</v>
      </c>
      <c r="D133" s="234" t="s">
        <v>193</v>
      </c>
      <c r="E133" s="235">
        <v>4160</v>
      </c>
    </row>
    <row r="134" spans="1:5" ht="16.3" thickBot="1" x14ac:dyDescent="0.3">
      <c r="A134" s="170">
        <v>4170</v>
      </c>
      <c r="B134" s="171" t="s">
        <v>194</v>
      </c>
      <c r="D134" s="234" t="s">
        <v>194</v>
      </c>
      <c r="E134" s="235">
        <v>4170</v>
      </c>
    </row>
    <row r="135" spans="1:5" ht="16.3" thickBot="1" x14ac:dyDescent="0.3">
      <c r="A135" s="172">
        <v>4171</v>
      </c>
      <c r="B135" s="173" t="s">
        <v>195</v>
      </c>
      <c r="D135" s="236" t="s">
        <v>351</v>
      </c>
      <c r="E135" s="237">
        <v>4171</v>
      </c>
    </row>
    <row r="136" spans="1:5" ht="16.3" thickBot="1" x14ac:dyDescent="0.3">
      <c r="A136" s="237">
        <v>4172</v>
      </c>
      <c r="B136" s="236" t="s">
        <v>352</v>
      </c>
      <c r="D136" s="236" t="s">
        <v>352</v>
      </c>
      <c r="E136" s="237">
        <v>4172</v>
      </c>
    </row>
    <row r="137" spans="1:5" ht="16.3" thickBot="1" x14ac:dyDescent="0.3">
      <c r="D137" s="238"/>
      <c r="E137" s="239"/>
    </row>
    <row r="138" spans="1:5" ht="16.3" thickBot="1" x14ac:dyDescent="0.3">
      <c r="A138" s="169">
        <v>4200</v>
      </c>
      <c r="B138" s="169" t="s">
        <v>196</v>
      </c>
      <c r="D138" s="232" t="s">
        <v>196</v>
      </c>
      <c r="E138" s="233">
        <v>4200</v>
      </c>
    </row>
    <row r="139" spans="1:5" ht="16.3" thickBot="1" x14ac:dyDescent="0.3">
      <c r="A139" s="162">
        <v>4210</v>
      </c>
      <c r="B139" s="161" t="s">
        <v>197</v>
      </c>
      <c r="D139" s="225" t="s">
        <v>197</v>
      </c>
      <c r="E139" s="226">
        <v>4210</v>
      </c>
    </row>
    <row r="140" spans="1:5" ht="16.3" thickBot="1" x14ac:dyDescent="0.3">
      <c r="A140" s="226">
        <v>4211</v>
      </c>
      <c r="B140" s="227" t="s">
        <v>353</v>
      </c>
      <c r="D140" s="227" t="s">
        <v>353</v>
      </c>
      <c r="E140" s="226">
        <v>4211</v>
      </c>
    </row>
    <row r="141" spans="1:5" ht="16.3" thickBot="1" x14ac:dyDescent="0.3">
      <c r="A141" s="226">
        <v>4212</v>
      </c>
      <c r="B141" s="227" t="s">
        <v>354</v>
      </c>
      <c r="D141" s="227" t="s">
        <v>354</v>
      </c>
      <c r="E141" s="226">
        <v>4212</v>
      </c>
    </row>
    <row r="142" spans="1:5" ht="16.3" thickBot="1" x14ac:dyDescent="0.3">
      <c r="A142" s="226">
        <v>4213</v>
      </c>
      <c r="B142" s="227" t="s">
        <v>355</v>
      </c>
      <c r="D142" s="227" t="s">
        <v>355</v>
      </c>
      <c r="E142" s="226">
        <v>4213</v>
      </c>
    </row>
    <row r="143" spans="1:5" ht="16.3" thickBot="1" x14ac:dyDescent="0.3">
      <c r="A143" s="162">
        <v>4220</v>
      </c>
      <c r="B143" s="161" t="s">
        <v>198</v>
      </c>
      <c r="D143" s="225" t="s">
        <v>198</v>
      </c>
      <c r="E143" s="226">
        <v>4220</v>
      </c>
    </row>
    <row r="144" spans="1:5" ht="16.3" thickBot="1" x14ac:dyDescent="0.3">
      <c r="A144" s="174">
        <v>4221</v>
      </c>
      <c r="B144" s="161" t="s">
        <v>373</v>
      </c>
      <c r="D144" s="225" t="s">
        <v>356</v>
      </c>
      <c r="E144" s="227">
        <v>4221</v>
      </c>
    </row>
    <row r="145" spans="1:5" ht="16.3" thickBot="1" x14ac:dyDescent="0.3">
      <c r="A145" s="174">
        <v>4222</v>
      </c>
      <c r="B145" s="175" t="s">
        <v>199</v>
      </c>
      <c r="D145" s="225" t="s">
        <v>357</v>
      </c>
      <c r="E145" s="227">
        <v>4222</v>
      </c>
    </row>
    <row r="146" spans="1:5" ht="16.3" thickBot="1" x14ac:dyDescent="0.3">
      <c r="A146" s="174">
        <v>4223</v>
      </c>
      <c r="B146" s="175" t="s">
        <v>200</v>
      </c>
      <c r="D146" s="225" t="s">
        <v>358</v>
      </c>
      <c r="E146" s="227">
        <v>4223</v>
      </c>
    </row>
    <row r="147" spans="1:5" ht="16.3" thickBot="1" x14ac:dyDescent="0.3">
      <c r="A147" s="174">
        <v>4224</v>
      </c>
      <c r="B147" s="175" t="s">
        <v>374</v>
      </c>
      <c r="D147" s="225" t="s">
        <v>358</v>
      </c>
      <c r="E147" s="227">
        <v>4223</v>
      </c>
    </row>
    <row r="148" spans="1:5" ht="16.3" thickBot="1" x14ac:dyDescent="0.3">
      <c r="A148" s="226">
        <v>4230</v>
      </c>
      <c r="B148" s="240" t="s">
        <v>359</v>
      </c>
      <c r="D148" s="240" t="s">
        <v>359</v>
      </c>
      <c r="E148" s="226">
        <v>4230</v>
      </c>
    </row>
    <row r="149" spans="1:5" ht="16.3" thickBot="1" x14ac:dyDescent="0.3">
      <c r="A149" s="227">
        <v>4231</v>
      </c>
      <c r="B149" s="241" t="s">
        <v>360</v>
      </c>
      <c r="D149" s="241" t="s">
        <v>360</v>
      </c>
      <c r="E149" s="227">
        <v>4231</v>
      </c>
    </row>
    <row r="150" spans="1:5" ht="16.3" thickBot="1" x14ac:dyDescent="0.3">
      <c r="A150" s="227">
        <v>4232</v>
      </c>
      <c r="B150" s="241" t="s">
        <v>361</v>
      </c>
      <c r="D150" s="241" t="s">
        <v>361</v>
      </c>
      <c r="E150" s="227">
        <v>4232</v>
      </c>
    </row>
    <row r="151" spans="1:5" ht="16.3" thickBot="1" x14ac:dyDescent="0.3">
      <c r="D151" s="242"/>
      <c r="E151" s="243"/>
    </row>
    <row r="152" spans="1:5" ht="16.3" thickBot="1" x14ac:dyDescent="0.3">
      <c r="A152" s="169">
        <v>4300</v>
      </c>
      <c r="B152" s="169" t="s">
        <v>201</v>
      </c>
      <c r="D152" s="232" t="s">
        <v>201</v>
      </c>
      <c r="E152" s="233">
        <v>4300</v>
      </c>
    </row>
    <row r="153" spans="1:5" ht="16.3" thickBot="1" x14ac:dyDescent="0.3">
      <c r="A153" s="162">
        <v>4310</v>
      </c>
      <c r="B153" s="161" t="s">
        <v>202</v>
      </c>
      <c r="D153" s="225" t="s">
        <v>202</v>
      </c>
      <c r="E153" s="226">
        <v>4310</v>
      </c>
    </row>
    <row r="154" spans="1:5" ht="16.3" thickBot="1" x14ac:dyDescent="0.3">
      <c r="A154" s="162">
        <v>4320</v>
      </c>
      <c r="B154" s="161" t="s">
        <v>203</v>
      </c>
      <c r="D154" s="225" t="s">
        <v>203</v>
      </c>
      <c r="E154" s="226">
        <v>4320</v>
      </c>
    </row>
    <row r="155" spans="1:5" ht="16.3" thickBot="1" x14ac:dyDescent="0.3">
      <c r="A155" s="176">
        <v>4321</v>
      </c>
      <c r="B155" s="177" t="s">
        <v>204</v>
      </c>
      <c r="D155" s="244" t="s">
        <v>204</v>
      </c>
      <c r="E155" s="225">
        <v>4321</v>
      </c>
    </row>
    <row r="156" spans="1:5" ht="16.3" thickBot="1" x14ac:dyDescent="0.3">
      <c r="A156" s="176">
        <v>4322</v>
      </c>
      <c r="B156" s="177" t="s">
        <v>205</v>
      </c>
      <c r="D156" s="244" t="s">
        <v>205</v>
      </c>
      <c r="E156" s="225">
        <v>4322</v>
      </c>
    </row>
    <row r="157" spans="1:5" ht="16.3" thickBot="1" x14ac:dyDescent="0.3">
      <c r="A157" s="176">
        <v>4323</v>
      </c>
      <c r="B157" s="177" t="s">
        <v>206</v>
      </c>
      <c r="D157" s="244" t="s">
        <v>206</v>
      </c>
      <c r="E157" s="225">
        <v>4323</v>
      </c>
    </row>
    <row r="158" spans="1:5" ht="16.3" thickBot="1" x14ac:dyDescent="0.3">
      <c r="A158" s="176">
        <v>4324</v>
      </c>
      <c r="B158" s="177" t="s">
        <v>207</v>
      </c>
      <c r="D158" s="244" t="s">
        <v>207</v>
      </c>
      <c r="E158" s="225">
        <v>4324</v>
      </c>
    </row>
    <row r="159" spans="1:5" ht="16.3" thickBot="1" x14ac:dyDescent="0.3">
      <c r="A159" s="176">
        <v>4325</v>
      </c>
      <c r="B159" s="244" t="s">
        <v>362</v>
      </c>
      <c r="D159" s="244" t="s">
        <v>362</v>
      </c>
      <c r="E159" s="225">
        <v>4325</v>
      </c>
    </row>
    <row r="160" spans="1:5" ht="16.3" thickBot="1" x14ac:dyDescent="0.3">
      <c r="A160" s="176">
        <v>4326</v>
      </c>
      <c r="B160" s="177" t="s">
        <v>208</v>
      </c>
      <c r="D160" s="244" t="s">
        <v>208</v>
      </c>
      <c r="E160" s="225">
        <v>4326</v>
      </c>
    </row>
    <row r="161" spans="1:5" ht="16.3" thickBot="1" x14ac:dyDescent="0.3">
      <c r="A161" s="176">
        <v>4327</v>
      </c>
      <c r="B161" s="177" t="s">
        <v>398</v>
      </c>
      <c r="D161" s="244" t="s">
        <v>209</v>
      </c>
      <c r="E161" s="225">
        <v>4327</v>
      </c>
    </row>
    <row r="162" spans="1:5" ht="16.3" thickBot="1" x14ac:dyDescent="0.3">
      <c r="A162" s="162">
        <v>4330</v>
      </c>
      <c r="B162" s="161" t="s">
        <v>210</v>
      </c>
      <c r="D162" s="225" t="s">
        <v>210</v>
      </c>
      <c r="E162" s="226">
        <v>4330</v>
      </c>
    </row>
    <row r="163" spans="1:5" ht="16.3" thickBot="1" x14ac:dyDescent="0.3">
      <c r="A163" s="176">
        <v>4331</v>
      </c>
      <c r="B163" s="162" t="s">
        <v>131</v>
      </c>
      <c r="D163" s="226" t="s">
        <v>131</v>
      </c>
      <c r="E163" s="225">
        <v>4331</v>
      </c>
    </row>
    <row r="164" spans="1:5" ht="16.3" thickBot="1" x14ac:dyDescent="0.3">
      <c r="A164" s="176">
        <v>4332</v>
      </c>
      <c r="B164" s="162" t="s">
        <v>211</v>
      </c>
      <c r="D164" s="226" t="s">
        <v>211</v>
      </c>
      <c r="E164" s="225">
        <v>4332</v>
      </c>
    </row>
    <row r="165" spans="1:5" ht="16.3" thickBot="1" x14ac:dyDescent="0.3">
      <c r="A165" s="162">
        <v>4340</v>
      </c>
      <c r="B165" s="161" t="s">
        <v>212</v>
      </c>
      <c r="D165" s="225" t="s">
        <v>212</v>
      </c>
      <c r="E165" s="226">
        <v>4340</v>
      </c>
    </row>
    <row r="166" spans="1:5" ht="16.3" thickBot="1" x14ac:dyDescent="0.3">
      <c r="A166" s="162">
        <v>4350</v>
      </c>
      <c r="B166" s="161" t="s">
        <v>213</v>
      </c>
      <c r="D166" s="225" t="s">
        <v>213</v>
      </c>
      <c r="E166" s="226">
        <v>4350</v>
      </c>
    </row>
    <row r="167" spans="1:5" ht="16.3" thickBot="1" x14ac:dyDescent="0.3">
      <c r="A167" s="162">
        <v>4361</v>
      </c>
      <c r="B167" s="162" t="s">
        <v>324</v>
      </c>
      <c r="D167" s="226"/>
      <c r="E167" s="226">
        <v>4360</v>
      </c>
    </row>
    <row r="168" spans="1:5" ht="16.3" thickBot="1" x14ac:dyDescent="0.3">
      <c r="A168" s="162">
        <v>4370</v>
      </c>
      <c r="B168" s="162"/>
      <c r="D168" s="226"/>
      <c r="E168" s="226">
        <v>4370</v>
      </c>
    </row>
    <row r="169" spans="1:5" ht="16.3" thickBot="1" x14ac:dyDescent="0.3">
      <c r="A169" s="162"/>
      <c r="B169" s="162"/>
      <c r="D169" s="243"/>
      <c r="E169" s="243"/>
    </row>
    <row r="170" spans="1:5" ht="16.3" thickBot="1" x14ac:dyDescent="0.3">
      <c r="A170" s="169">
        <v>4400</v>
      </c>
      <c r="B170" s="169" t="s">
        <v>214</v>
      </c>
      <c r="D170" s="232" t="s">
        <v>214</v>
      </c>
      <c r="E170" s="233">
        <v>4400</v>
      </c>
    </row>
    <row r="171" spans="1:5" ht="16.3" thickBot="1" x14ac:dyDescent="0.3">
      <c r="A171" s="170">
        <v>4410</v>
      </c>
      <c r="B171" s="171" t="s">
        <v>162</v>
      </c>
      <c r="D171" s="234" t="s">
        <v>162</v>
      </c>
      <c r="E171" s="235">
        <v>4410</v>
      </c>
    </row>
    <row r="172" spans="1:5" ht="16.3" thickBot="1" x14ac:dyDescent="0.3">
      <c r="A172" s="170">
        <v>4420</v>
      </c>
      <c r="B172" s="171" t="s">
        <v>215</v>
      </c>
      <c r="D172" s="234" t="s">
        <v>215</v>
      </c>
      <c r="E172" s="235">
        <v>4420</v>
      </c>
    </row>
    <row r="173" spans="1:5" ht="16.3" thickBot="1" x14ac:dyDescent="0.3">
      <c r="A173" s="170">
        <v>4430</v>
      </c>
      <c r="B173" s="171" t="s">
        <v>216</v>
      </c>
      <c r="D173" s="234" t="s">
        <v>216</v>
      </c>
      <c r="E173" s="235">
        <v>4430</v>
      </c>
    </row>
    <row r="174" spans="1:5" ht="16.3" thickBot="1" x14ac:dyDescent="0.3">
      <c r="A174" s="168"/>
      <c r="B174" s="173"/>
      <c r="D174" s="238"/>
      <c r="E174" s="231"/>
    </row>
    <row r="175" spans="1:5" ht="16.3" thickBot="1" x14ac:dyDescent="0.3">
      <c r="A175" s="169">
        <v>4500</v>
      </c>
      <c r="B175" s="169" t="s">
        <v>217</v>
      </c>
      <c r="D175" s="232" t="s">
        <v>217</v>
      </c>
      <c r="E175" s="233">
        <v>4500</v>
      </c>
    </row>
    <row r="176" spans="1:5" ht="16.3" thickBot="1" x14ac:dyDescent="0.3">
      <c r="A176" s="162">
        <v>4510</v>
      </c>
      <c r="B176" s="161" t="s">
        <v>218</v>
      </c>
      <c r="D176" s="225" t="s">
        <v>218</v>
      </c>
      <c r="E176" s="226">
        <v>4510</v>
      </c>
    </row>
    <row r="177" spans="1:5" ht="16.3" thickBot="1" x14ac:dyDescent="0.3">
      <c r="A177" s="162">
        <v>4520</v>
      </c>
      <c r="B177" s="161" t="s">
        <v>219</v>
      </c>
      <c r="D177" s="225" t="s">
        <v>219</v>
      </c>
      <c r="E177" s="226">
        <v>4520</v>
      </c>
    </row>
    <row r="178" spans="1:5" ht="16.3" thickBot="1" x14ac:dyDescent="0.3">
      <c r="A178" s="162">
        <v>4530</v>
      </c>
      <c r="B178" s="161" t="s">
        <v>338</v>
      </c>
      <c r="D178" s="220"/>
      <c r="E178" s="220"/>
    </row>
    <row r="179" spans="1:5" ht="16.3" thickBot="1" x14ac:dyDescent="0.3">
      <c r="A179" s="169">
        <v>4600</v>
      </c>
      <c r="B179" s="169" t="s">
        <v>220</v>
      </c>
      <c r="D179" s="232" t="s">
        <v>220</v>
      </c>
      <c r="E179" s="233">
        <v>4600</v>
      </c>
    </row>
    <row r="180" spans="1:5" ht="16.3" thickBot="1" x14ac:dyDescent="0.3">
      <c r="A180" s="162">
        <v>4610</v>
      </c>
      <c r="B180" s="161" t="s">
        <v>167</v>
      </c>
      <c r="D180" s="225" t="s">
        <v>167</v>
      </c>
      <c r="E180" s="226">
        <v>4610</v>
      </c>
    </row>
    <row r="181" spans="1:5" ht="16.3" thickBot="1" x14ac:dyDescent="0.3">
      <c r="A181" s="162">
        <v>4620</v>
      </c>
      <c r="B181" s="161" t="s">
        <v>168</v>
      </c>
      <c r="D181" s="225" t="s">
        <v>168</v>
      </c>
      <c r="E181" s="226">
        <v>4620</v>
      </c>
    </row>
    <row r="182" spans="1:5" ht="16.3" thickBot="1" x14ac:dyDescent="0.3">
      <c r="A182" s="162">
        <v>4630</v>
      </c>
      <c r="B182" s="161" t="s">
        <v>169</v>
      </c>
      <c r="D182" s="225" t="s">
        <v>169</v>
      </c>
      <c r="E182" s="226">
        <v>4630</v>
      </c>
    </row>
    <row r="183" spans="1:5" ht="16.3" thickBot="1" x14ac:dyDescent="0.3">
      <c r="A183" s="162">
        <v>4640</v>
      </c>
      <c r="B183" s="161" t="s">
        <v>170</v>
      </c>
      <c r="D183" s="225" t="s">
        <v>170</v>
      </c>
      <c r="E183" s="226">
        <v>4640</v>
      </c>
    </row>
    <row r="184" spans="1:5" ht="16.3" thickBot="1" x14ac:dyDescent="0.3">
      <c r="A184" s="176">
        <v>4641</v>
      </c>
      <c r="B184" s="161" t="s">
        <v>221</v>
      </c>
      <c r="D184" s="225" t="s">
        <v>363</v>
      </c>
      <c r="E184" s="225">
        <v>4641</v>
      </c>
    </row>
    <row r="185" spans="1:5" ht="16.3" thickBot="1" x14ac:dyDescent="0.3">
      <c r="A185" s="176">
        <v>4642</v>
      </c>
      <c r="B185" s="161" t="s">
        <v>222</v>
      </c>
      <c r="D185" s="225" t="s">
        <v>364</v>
      </c>
      <c r="E185" s="225">
        <v>4642</v>
      </c>
    </row>
    <row r="186" spans="1:5" ht="16.3" thickBot="1" x14ac:dyDescent="0.3">
      <c r="A186" s="176">
        <v>4643</v>
      </c>
      <c r="B186" s="161" t="s">
        <v>223</v>
      </c>
      <c r="D186" s="225" t="s">
        <v>232</v>
      </c>
      <c r="E186" s="225">
        <v>4643</v>
      </c>
    </row>
    <row r="187" spans="1:5" ht="16.3" thickBot="1" x14ac:dyDescent="0.3">
      <c r="A187" s="162">
        <v>4650</v>
      </c>
      <c r="B187" s="161" t="s">
        <v>171</v>
      </c>
      <c r="D187" s="225" t="s">
        <v>171</v>
      </c>
      <c r="E187" s="226">
        <v>4650</v>
      </c>
    </row>
    <row r="188" spans="1:5" ht="16.3" thickBot="1" x14ac:dyDescent="0.3">
      <c r="A188" s="176">
        <v>4651</v>
      </c>
      <c r="B188" s="161" t="s">
        <v>224</v>
      </c>
      <c r="D188" s="225" t="s">
        <v>173</v>
      </c>
      <c r="E188" s="225">
        <v>4651</v>
      </c>
    </row>
    <row r="189" spans="1:5" ht="16.3" thickBot="1" x14ac:dyDescent="0.3">
      <c r="A189" s="176">
        <v>4652</v>
      </c>
      <c r="B189" s="161" t="s">
        <v>225</v>
      </c>
      <c r="D189" s="225" t="s">
        <v>365</v>
      </c>
      <c r="E189" s="225">
        <v>4652</v>
      </c>
    </row>
    <row r="190" spans="1:5" ht="16.3" thickBot="1" x14ac:dyDescent="0.3">
      <c r="A190" s="176">
        <v>4653</v>
      </c>
      <c r="B190" s="161" t="s">
        <v>396</v>
      </c>
      <c r="D190" s="225" t="s">
        <v>366</v>
      </c>
      <c r="E190" s="225">
        <v>4653</v>
      </c>
    </row>
    <row r="191" spans="1:5" ht="16.3" thickBot="1" x14ac:dyDescent="0.3">
      <c r="A191" s="176">
        <v>4654</v>
      </c>
      <c r="B191" s="161" t="s">
        <v>328</v>
      </c>
      <c r="D191" s="225" t="s">
        <v>174</v>
      </c>
      <c r="E191" s="226">
        <v>4660</v>
      </c>
    </row>
    <row r="192" spans="1:5" ht="16.3" thickBot="1" x14ac:dyDescent="0.3">
      <c r="A192" s="162">
        <v>4660</v>
      </c>
      <c r="B192" s="161" t="s">
        <v>174</v>
      </c>
      <c r="D192" s="225" t="s">
        <v>64</v>
      </c>
      <c r="E192" s="226">
        <v>4670</v>
      </c>
    </row>
    <row r="193" spans="1:5" ht="16.3" thickBot="1" x14ac:dyDescent="0.3">
      <c r="A193" s="162">
        <v>4670</v>
      </c>
      <c r="B193" s="161" t="s">
        <v>64</v>
      </c>
      <c r="D193" s="225" t="s">
        <v>175</v>
      </c>
      <c r="E193" s="226">
        <v>4680</v>
      </c>
    </row>
    <row r="194" spans="1:5" ht="16.3" thickBot="1" x14ac:dyDescent="0.3">
      <c r="A194" s="162">
        <v>4680</v>
      </c>
      <c r="B194" s="161" t="s">
        <v>175</v>
      </c>
      <c r="D194" s="250"/>
      <c r="E194" s="251"/>
    </row>
    <row r="195" spans="1:5" ht="16.3" thickBot="1" x14ac:dyDescent="0.3">
      <c r="D195" s="220"/>
      <c r="E195" s="220"/>
    </row>
    <row r="196" spans="1:5" ht="16.3" thickBot="1" x14ac:dyDescent="0.3">
      <c r="A196" s="169">
        <v>4700</v>
      </c>
      <c r="B196" s="169" t="s">
        <v>226</v>
      </c>
      <c r="D196" s="232" t="s">
        <v>226</v>
      </c>
      <c r="E196" s="233">
        <v>4700</v>
      </c>
    </row>
    <row r="197" spans="1:5" ht="16.3" thickBot="1" x14ac:dyDescent="0.3">
      <c r="A197" s="168"/>
      <c r="B197" s="168"/>
      <c r="D197" s="231"/>
      <c r="E197" s="231"/>
    </row>
    <row r="198" spans="1:5" ht="16.3" thickBot="1" x14ac:dyDescent="0.3">
      <c r="A198" s="169">
        <v>4800</v>
      </c>
      <c r="B198" s="169" t="s">
        <v>227</v>
      </c>
      <c r="D198" s="232" t="s">
        <v>227</v>
      </c>
      <c r="E198" s="233">
        <v>4800</v>
      </c>
    </row>
    <row r="199" spans="1:5" ht="16.3" thickBot="1" x14ac:dyDescent="0.3">
      <c r="A199" s="170">
        <v>4810</v>
      </c>
      <c r="B199" s="171" t="s">
        <v>228</v>
      </c>
      <c r="D199" s="234" t="s">
        <v>228</v>
      </c>
      <c r="E199" s="235">
        <v>4810</v>
      </c>
    </row>
    <row r="200" spans="1:5" ht="16.3" thickBot="1" x14ac:dyDescent="0.3">
      <c r="A200" s="170">
        <v>4820</v>
      </c>
      <c r="B200" s="171" t="s">
        <v>367</v>
      </c>
      <c r="D200" s="234" t="s">
        <v>367</v>
      </c>
      <c r="E200" s="235">
        <v>4820</v>
      </c>
    </row>
    <row r="201" spans="1:5" ht="16.3" thickBot="1" x14ac:dyDescent="0.3">
      <c r="A201" s="170">
        <v>4821</v>
      </c>
      <c r="B201" s="171" t="s">
        <v>337</v>
      </c>
      <c r="D201" s="245" t="s">
        <v>337</v>
      </c>
      <c r="E201" s="235">
        <v>4821</v>
      </c>
    </row>
    <row r="202" spans="1:5" ht="16.3" thickBot="1" x14ac:dyDescent="0.3">
      <c r="A202" s="170">
        <v>4822</v>
      </c>
      <c r="B202" s="171" t="s">
        <v>395</v>
      </c>
      <c r="D202" s="234" t="s">
        <v>229</v>
      </c>
      <c r="E202" s="235">
        <v>4830</v>
      </c>
    </row>
    <row r="203" spans="1:5" ht="16.3" thickBot="1" x14ac:dyDescent="0.3">
      <c r="A203" s="170">
        <v>4830</v>
      </c>
      <c r="B203" s="171" t="s">
        <v>229</v>
      </c>
      <c r="D203" s="234"/>
      <c r="E203" s="235"/>
    </row>
    <row r="204" spans="1:5" ht="16.3" thickBot="1" x14ac:dyDescent="0.3">
      <c r="A204" s="170">
        <v>4840</v>
      </c>
      <c r="B204" s="171" t="s">
        <v>230</v>
      </c>
      <c r="D204" s="234" t="s">
        <v>230</v>
      </c>
      <c r="E204" s="235">
        <v>4840</v>
      </c>
    </row>
    <row r="205" spans="1:5" ht="16.3" thickBot="1" x14ac:dyDescent="0.3">
      <c r="A205" s="170">
        <v>4850</v>
      </c>
      <c r="B205" s="171" t="s">
        <v>231</v>
      </c>
      <c r="D205" s="234" t="s">
        <v>231</v>
      </c>
      <c r="E205" s="235">
        <v>4850</v>
      </c>
    </row>
    <row r="206" spans="1:5" ht="16.3" thickBot="1" x14ac:dyDescent="0.3">
      <c r="A206" s="168">
        <v>4860</v>
      </c>
      <c r="B206" s="173" t="s">
        <v>232</v>
      </c>
      <c r="D206" s="236" t="s">
        <v>232</v>
      </c>
      <c r="E206" s="235">
        <v>4860</v>
      </c>
    </row>
    <row r="207" spans="1:5" ht="16.3" thickBot="1" x14ac:dyDescent="0.3">
      <c r="A207" s="168">
        <v>4861</v>
      </c>
      <c r="B207" s="173" t="s">
        <v>714</v>
      </c>
      <c r="D207" s="238" t="s">
        <v>714</v>
      </c>
      <c r="E207" s="235">
        <v>4861</v>
      </c>
    </row>
    <row r="208" spans="1:5" ht="16.3" thickBot="1" x14ac:dyDescent="0.3">
      <c r="A208" s="169">
        <v>4900</v>
      </c>
      <c r="B208" s="169" t="s">
        <v>233</v>
      </c>
      <c r="D208" s="232" t="s">
        <v>233</v>
      </c>
      <c r="E208" s="233">
        <v>4900</v>
      </c>
    </row>
    <row r="209" spans="1:5" ht="16.3" thickBot="1" x14ac:dyDescent="0.3">
      <c r="A209" s="170">
        <v>4910</v>
      </c>
      <c r="B209" s="171" t="s">
        <v>234</v>
      </c>
      <c r="D209" s="234" t="s">
        <v>234</v>
      </c>
      <c r="E209" s="235">
        <v>4910</v>
      </c>
    </row>
    <row r="210" spans="1:5" ht="16.3" thickBot="1" x14ac:dyDescent="0.3">
      <c r="A210" s="170">
        <v>4920</v>
      </c>
      <c r="B210" s="171" t="s">
        <v>235</v>
      </c>
      <c r="C210" s="156"/>
      <c r="D210" s="234" t="s">
        <v>235</v>
      </c>
      <c r="E210" s="235">
        <v>4920</v>
      </c>
    </row>
    <row r="211" spans="1:5" ht="16.3" thickBot="1" x14ac:dyDescent="0.3">
      <c r="A211" s="170">
        <v>4930</v>
      </c>
      <c r="B211" s="171" t="s">
        <v>236</v>
      </c>
      <c r="C211" s="156"/>
      <c r="D211" s="234" t="s">
        <v>236</v>
      </c>
      <c r="E211" s="235">
        <v>4930</v>
      </c>
    </row>
    <row r="212" spans="1:5" ht="16.3" thickBot="1" x14ac:dyDescent="0.3">
      <c r="A212" s="170">
        <v>4940</v>
      </c>
      <c r="B212" s="171" t="s">
        <v>237</v>
      </c>
      <c r="D212" s="234" t="s">
        <v>237</v>
      </c>
      <c r="E212" s="235">
        <v>4940</v>
      </c>
    </row>
    <row r="213" spans="1:5" ht="16.3" thickBot="1" x14ac:dyDescent="0.3">
      <c r="A213" s="170">
        <v>4941</v>
      </c>
      <c r="B213" s="171" t="s">
        <v>323</v>
      </c>
      <c r="D213" s="234" t="s">
        <v>238</v>
      </c>
      <c r="E213" s="235">
        <v>4950</v>
      </c>
    </row>
    <row r="214" spans="1:5" ht="16.3" thickBot="1" x14ac:dyDescent="0.3">
      <c r="A214" s="170">
        <v>4950</v>
      </c>
      <c r="B214" s="171" t="s">
        <v>238</v>
      </c>
      <c r="D214" s="234" t="s">
        <v>239</v>
      </c>
      <c r="E214" s="235">
        <v>4960</v>
      </c>
    </row>
    <row r="215" spans="1:5" ht="16.3" thickBot="1" x14ac:dyDescent="0.3">
      <c r="A215" s="170">
        <v>4960</v>
      </c>
      <c r="B215" s="171" t="s">
        <v>239</v>
      </c>
      <c r="D215" s="234" t="s">
        <v>325</v>
      </c>
      <c r="E215" s="235">
        <v>4970</v>
      </c>
    </row>
    <row r="216" spans="1:5" ht="16.3" thickBot="1" x14ac:dyDescent="0.3">
      <c r="A216" s="170">
        <v>4970</v>
      </c>
      <c r="B216" s="171" t="s">
        <v>325</v>
      </c>
      <c r="D216" s="234" t="s">
        <v>323</v>
      </c>
      <c r="E216" s="235">
        <v>4980</v>
      </c>
    </row>
    <row r="217" spans="1:5" ht="16.3" thickBot="1" x14ac:dyDescent="0.3">
      <c r="A217" s="170">
        <v>4980</v>
      </c>
      <c r="B217" s="178" t="s">
        <v>326</v>
      </c>
      <c r="D217" s="220"/>
      <c r="E217" s="220"/>
    </row>
    <row r="218" spans="1:5" ht="16.3" thickBot="1" x14ac:dyDescent="0.3">
      <c r="A218" s="169">
        <v>5000</v>
      </c>
      <c r="B218" s="169" t="s">
        <v>240</v>
      </c>
      <c r="D218" s="232" t="s">
        <v>240</v>
      </c>
      <c r="E218" s="233">
        <v>5000</v>
      </c>
    </row>
    <row r="219" spans="1:5" ht="16.3" thickBot="1" x14ac:dyDescent="0.3">
      <c r="D219" s="220"/>
      <c r="E219" s="220"/>
    </row>
    <row r="220" spans="1:5" ht="16.3" thickBot="1" x14ac:dyDescent="0.3">
      <c r="A220" s="164">
        <v>6000</v>
      </c>
      <c r="B220" s="164" t="s">
        <v>241</v>
      </c>
      <c r="D220" s="223" t="s">
        <v>241</v>
      </c>
      <c r="E220" s="224">
        <v>6000</v>
      </c>
    </row>
    <row r="221" spans="1:5" ht="16.3" thickBot="1" x14ac:dyDescent="0.3">
      <c r="A221">
        <v>6001</v>
      </c>
      <c r="B221" s="156" t="s">
        <v>294</v>
      </c>
      <c r="D221" s="272"/>
      <c r="E221" s="273"/>
    </row>
    <row r="222" spans="1:5" ht="16.3" thickBot="1" x14ac:dyDescent="0.3">
      <c r="A222">
        <v>6002</v>
      </c>
      <c r="B222" s="156" t="s">
        <v>295</v>
      </c>
      <c r="D222" s="272"/>
      <c r="E222" s="273"/>
    </row>
    <row r="223" spans="1:5" ht="16.3" thickBot="1" x14ac:dyDescent="0.3">
      <c r="A223" s="167"/>
      <c r="B223" s="179"/>
      <c r="D223" s="220"/>
      <c r="E223" s="220"/>
    </row>
    <row r="224" spans="1:5" ht="16.3" thickBot="1" x14ac:dyDescent="0.3">
      <c r="A224" s="169">
        <v>7000</v>
      </c>
      <c r="B224" s="169" t="s">
        <v>242</v>
      </c>
      <c r="D224" s="247" t="s">
        <v>242</v>
      </c>
      <c r="E224" s="248">
        <v>7000</v>
      </c>
    </row>
    <row r="225" spans="1:5" ht="16.3" thickBot="1" x14ac:dyDescent="0.3">
      <c r="A225" s="169">
        <v>7001</v>
      </c>
      <c r="B225" s="169" t="s">
        <v>715</v>
      </c>
      <c r="D225" s="169" t="s">
        <v>715</v>
      </c>
      <c r="E225" s="248">
        <v>7001</v>
      </c>
    </row>
    <row r="226" spans="1:5" ht="16.3" thickBot="1" x14ac:dyDescent="0.3">
      <c r="A226">
        <v>7100</v>
      </c>
      <c r="B226" s="156" t="s">
        <v>369</v>
      </c>
      <c r="D226" s="237" t="s">
        <v>368</v>
      </c>
      <c r="E226" s="246">
        <v>7010</v>
      </c>
    </row>
    <row r="227" spans="1:5" ht="16.3" thickBot="1" x14ac:dyDescent="0.3">
      <c r="A227" s="169">
        <v>8000</v>
      </c>
      <c r="B227" s="169" t="s">
        <v>243</v>
      </c>
      <c r="D227" s="232" t="s">
        <v>243</v>
      </c>
      <c r="E227" s="233">
        <v>8000</v>
      </c>
    </row>
    <row r="228" spans="1:5" ht="16.3" thickBot="1" x14ac:dyDescent="0.3">
      <c r="D228" s="220"/>
      <c r="E228" s="220"/>
    </row>
    <row r="229" spans="1:5" ht="16.3" thickBot="1" x14ac:dyDescent="0.3">
      <c r="A229" s="252">
        <v>9000</v>
      </c>
      <c r="B229" s="253" t="s">
        <v>383</v>
      </c>
      <c r="D229" s="249" t="s">
        <v>244</v>
      </c>
      <c r="E229" s="233">
        <v>9000</v>
      </c>
    </row>
    <row r="230" spans="1:5" x14ac:dyDescent="0.25">
      <c r="A230" s="255">
        <v>9010</v>
      </c>
      <c r="B230" s="254" t="s">
        <v>197</v>
      </c>
      <c r="C230" s="254"/>
    </row>
    <row r="231" spans="1:5" x14ac:dyDescent="0.25">
      <c r="A231" s="257">
        <v>9011</v>
      </c>
      <c r="B231" s="256" t="s">
        <v>388</v>
      </c>
      <c r="C231" s="256"/>
    </row>
    <row r="232" spans="1:5" x14ac:dyDescent="0.25">
      <c r="A232" s="257">
        <v>9012</v>
      </c>
      <c r="B232" s="256" t="s">
        <v>389</v>
      </c>
      <c r="C232" s="256"/>
    </row>
    <row r="233" spans="1:5" x14ac:dyDescent="0.25">
      <c r="A233" s="257">
        <v>9013</v>
      </c>
      <c r="B233" s="256" t="s">
        <v>390</v>
      </c>
      <c r="C233" s="256"/>
    </row>
    <row r="234" spans="1:5" x14ac:dyDescent="0.25">
      <c r="A234" s="255">
        <v>9020</v>
      </c>
      <c r="B234" s="254" t="s">
        <v>203</v>
      </c>
      <c r="C234" s="254"/>
    </row>
    <row r="235" spans="1:5" x14ac:dyDescent="0.25">
      <c r="A235" s="257">
        <v>9021</v>
      </c>
      <c r="B235" s="256" t="s">
        <v>385</v>
      </c>
      <c r="C235" s="256"/>
    </row>
    <row r="236" spans="1:5" x14ac:dyDescent="0.25">
      <c r="A236" s="257">
        <v>9022</v>
      </c>
      <c r="B236" s="256" t="s">
        <v>205</v>
      </c>
      <c r="C236" s="256"/>
    </row>
    <row r="237" spans="1:5" x14ac:dyDescent="0.25">
      <c r="A237" s="257">
        <v>9023</v>
      </c>
      <c r="B237" s="256" t="s">
        <v>148</v>
      </c>
      <c r="C237" s="256"/>
    </row>
    <row r="238" spans="1:5" x14ac:dyDescent="0.25">
      <c r="A238" s="257">
        <v>9024</v>
      </c>
      <c r="B238" s="256" t="s">
        <v>386</v>
      </c>
      <c r="C238" s="256"/>
    </row>
    <row r="239" spans="1:5" x14ac:dyDescent="0.25">
      <c r="A239" s="257">
        <v>9025</v>
      </c>
      <c r="B239" s="256" t="s">
        <v>207</v>
      </c>
      <c r="C239" s="256"/>
      <c r="D239" s="156"/>
    </row>
    <row r="240" spans="1:5" x14ac:dyDescent="0.25">
      <c r="A240" s="255">
        <v>9030</v>
      </c>
      <c r="B240" s="258" t="s">
        <v>359</v>
      </c>
      <c r="C240" s="258"/>
    </row>
    <row r="241" spans="1:3" x14ac:dyDescent="0.25">
      <c r="A241" s="257">
        <v>9031</v>
      </c>
      <c r="B241" s="256" t="s">
        <v>354</v>
      </c>
      <c r="C241" s="256"/>
    </row>
    <row r="242" spans="1:3" x14ac:dyDescent="0.25">
      <c r="A242" s="257">
        <v>9032</v>
      </c>
      <c r="B242" s="256" t="s">
        <v>384</v>
      </c>
      <c r="C242" s="256"/>
    </row>
    <row r="243" spans="1:3" x14ac:dyDescent="0.25">
      <c r="A243" s="255">
        <v>9040</v>
      </c>
      <c r="B243" s="258" t="s">
        <v>387</v>
      </c>
      <c r="C243" s="258"/>
    </row>
    <row r="244" spans="1:3" x14ac:dyDescent="0.25">
      <c r="A244" s="255">
        <v>9041</v>
      </c>
      <c r="B244" s="258" t="s">
        <v>391</v>
      </c>
    </row>
    <row r="245" spans="1:3" x14ac:dyDescent="0.25">
      <c r="A245" s="255">
        <v>9042</v>
      </c>
      <c r="B245" s="258" t="s">
        <v>393</v>
      </c>
    </row>
  </sheetData>
  <mergeCells count="4">
    <mergeCell ref="D68:E68"/>
    <mergeCell ref="D69:E69"/>
    <mergeCell ref="B68:C68"/>
    <mergeCell ref="B69:C69"/>
  </mergeCells>
  <printOptions gridLines="1"/>
  <pageMargins left="0.70866141732283472" right="0.70866141732283472" top="0.74803149606299213" bottom="0.74803149606299213" header="0.31496062992125984" footer="0.31496062992125984"/>
  <pageSetup fitToHeight="5" orientation="portrait" r:id="rId1"/>
  <rowBreaks count="5" manualBreakCount="5">
    <brk id="67" max="2" man="1"/>
    <brk id="101" max="2" man="1"/>
    <brk id="122" max="2" man="1"/>
    <brk id="169" max="2" man="1"/>
    <brk id="206" max="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17"/>
  <dimension ref="A1:O263"/>
  <sheetViews>
    <sheetView topLeftCell="A226" zoomScale="80" zoomScaleNormal="80" workbookViewId="0">
      <selection activeCell="E238" sqref="E238"/>
    </sheetView>
  </sheetViews>
  <sheetFormatPr baseColWidth="10" defaultRowHeight="15.65" x14ac:dyDescent="0.25"/>
  <cols>
    <col min="2" max="2" width="3.59765625" customWidth="1"/>
    <col min="3" max="3" width="3.296875" customWidth="1"/>
    <col min="5" max="5" width="28.796875" customWidth="1"/>
    <col min="8" max="8" width="15.3984375" bestFit="1" customWidth="1"/>
    <col min="10" max="10" width="11" style="526" bestFit="1" customWidth="1"/>
    <col min="11" max="11" width="11.8984375" style="526" bestFit="1" customWidth="1"/>
    <col min="12" max="12" width="11" style="526" bestFit="1" customWidth="1"/>
    <col min="13" max="14" width="10.8984375" style="264"/>
    <col min="15" max="15" width="11.8984375" style="526" bestFit="1" customWidth="1"/>
  </cols>
  <sheetData>
    <row r="1" spans="1:15" x14ac:dyDescent="0.25">
      <c r="A1" t="s">
        <v>570</v>
      </c>
      <c r="B1" t="s">
        <v>571</v>
      </c>
      <c r="C1" t="s">
        <v>572</v>
      </c>
      <c r="D1" t="s">
        <v>573</v>
      </c>
      <c r="E1" t="s">
        <v>574</v>
      </c>
      <c r="F1" t="s">
        <v>575</v>
      </c>
      <c r="G1" t="s">
        <v>576</v>
      </c>
      <c r="H1" t="s">
        <v>577</v>
      </c>
      <c r="I1" t="s">
        <v>578</v>
      </c>
      <c r="J1" s="526" t="s">
        <v>579</v>
      </c>
      <c r="K1" s="526" t="s">
        <v>580</v>
      </c>
      <c r="L1" s="526" t="s">
        <v>581</v>
      </c>
      <c r="M1" s="264" t="s">
        <v>582</v>
      </c>
      <c r="N1" s="264" t="s">
        <v>583</v>
      </c>
      <c r="O1" s="526" t="s">
        <v>584</v>
      </c>
    </row>
    <row r="2" spans="1:15" x14ac:dyDescent="0.25">
      <c r="A2">
        <v>1</v>
      </c>
      <c r="B2">
        <v>33</v>
      </c>
      <c r="C2" t="s">
        <v>585</v>
      </c>
      <c r="D2" t="s">
        <v>868</v>
      </c>
      <c r="E2" t="s">
        <v>869</v>
      </c>
      <c r="F2">
        <v>753</v>
      </c>
      <c r="G2" s="152">
        <v>44193</v>
      </c>
      <c r="H2" s="411">
        <v>44193.497013888889</v>
      </c>
      <c r="J2" s="526">
        <v>0</v>
      </c>
      <c r="K2" s="526">
        <v>562500</v>
      </c>
      <c r="L2" s="526">
        <v>106875</v>
      </c>
      <c r="O2" s="526">
        <v>669375</v>
      </c>
    </row>
    <row r="3" spans="1:15" x14ac:dyDescent="0.25">
      <c r="A3">
        <v>2</v>
      </c>
      <c r="B3">
        <v>33</v>
      </c>
      <c r="C3" t="s">
        <v>585</v>
      </c>
      <c r="D3" t="s">
        <v>586</v>
      </c>
      <c r="E3" t="s">
        <v>587</v>
      </c>
      <c r="F3">
        <v>10535257</v>
      </c>
      <c r="G3" s="152">
        <v>44197</v>
      </c>
      <c r="H3" s="411">
        <v>44195.364999999998</v>
      </c>
      <c r="J3" s="526">
        <v>0</v>
      </c>
      <c r="K3" s="526">
        <v>35665</v>
      </c>
      <c r="L3" s="526">
        <v>6776</v>
      </c>
      <c r="O3" s="526">
        <v>42441</v>
      </c>
    </row>
    <row r="4" spans="1:15" x14ac:dyDescent="0.25">
      <c r="A4">
        <v>3</v>
      </c>
      <c r="B4">
        <v>33</v>
      </c>
      <c r="C4" t="s">
        <v>585</v>
      </c>
      <c r="D4" t="s">
        <v>870</v>
      </c>
      <c r="E4" t="s">
        <v>871</v>
      </c>
      <c r="F4">
        <v>23412621</v>
      </c>
      <c r="G4" s="152">
        <v>44196</v>
      </c>
      <c r="H4" s="411">
        <v>44196.480011574073</v>
      </c>
      <c r="J4" s="526">
        <v>0</v>
      </c>
      <c r="K4" s="526">
        <v>462973</v>
      </c>
      <c r="L4" s="526">
        <v>87965</v>
      </c>
      <c r="O4" s="586">
        <v>550938</v>
      </c>
    </row>
    <row r="5" spans="1:15" x14ac:dyDescent="0.25">
      <c r="A5">
        <v>4</v>
      </c>
      <c r="B5">
        <v>33</v>
      </c>
      <c r="C5" t="s">
        <v>585</v>
      </c>
      <c r="D5" t="s">
        <v>594</v>
      </c>
      <c r="E5" t="s">
        <v>595</v>
      </c>
      <c r="F5">
        <v>35233989</v>
      </c>
      <c r="G5" s="152">
        <v>44194</v>
      </c>
      <c r="H5" s="411">
        <v>44199.011030092595</v>
      </c>
      <c r="J5" s="526">
        <v>0</v>
      </c>
      <c r="K5" s="526">
        <v>8970</v>
      </c>
      <c r="L5" s="526">
        <v>1704</v>
      </c>
      <c r="O5" s="526">
        <v>10674</v>
      </c>
    </row>
    <row r="6" spans="1:15" x14ac:dyDescent="0.25">
      <c r="A6">
        <v>5</v>
      </c>
      <c r="B6">
        <v>33</v>
      </c>
      <c r="C6" t="s">
        <v>585</v>
      </c>
      <c r="D6" t="s">
        <v>588</v>
      </c>
      <c r="E6" t="s">
        <v>589</v>
      </c>
      <c r="F6">
        <v>2829</v>
      </c>
      <c r="G6" s="152">
        <v>44196</v>
      </c>
      <c r="H6" s="411">
        <v>44200.708668981482</v>
      </c>
      <c r="J6" s="526">
        <v>0</v>
      </c>
      <c r="K6" s="526">
        <v>107703687</v>
      </c>
      <c r="L6" s="526">
        <v>20463700</v>
      </c>
      <c r="O6" s="586">
        <v>128167387</v>
      </c>
    </row>
    <row r="7" spans="1:15" x14ac:dyDescent="0.25">
      <c r="A7">
        <v>6</v>
      </c>
      <c r="B7">
        <v>33</v>
      </c>
      <c r="C7" t="s">
        <v>585</v>
      </c>
      <c r="D7" t="s">
        <v>665</v>
      </c>
      <c r="E7" t="s">
        <v>666</v>
      </c>
      <c r="F7">
        <v>30678920</v>
      </c>
      <c r="G7" s="152">
        <v>44202</v>
      </c>
      <c r="H7" s="411">
        <v>44203.41715277778</v>
      </c>
      <c r="J7" s="526">
        <v>0</v>
      </c>
      <c r="K7" s="526">
        <v>3634</v>
      </c>
      <c r="L7" s="526">
        <v>691</v>
      </c>
      <c r="O7" s="526">
        <v>4325</v>
      </c>
    </row>
    <row r="8" spans="1:15" x14ac:dyDescent="0.25">
      <c r="A8">
        <v>7</v>
      </c>
      <c r="B8">
        <v>33</v>
      </c>
      <c r="C8" t="s">
        <v>585</v>
      </c>
      <c r="D8" t="s">
        <v>665</v>
      </c>
      <c r="E8" t="s">
        <v>666</v>
      </c>
      <c r="F8">
        <v>30678921</v>
      </c>
      <c r="G8" s="152">
        <v>44202</v>
      </c>
      <c r="H8" s="411">
        <v>44203.41715277778</v>
      </c>
      <c r="J8" s="526">
        <v>0</v>
      </c>
      <c r="K8" s="526">
        <v>1163</v>
      </c>
      <c r="L8" s="526">
        <v>221</v>
      </c>
      <c r="O8" s="526">
        <v>1384</v>
      </c>
    </row>
    <row r="9" spans="1:15" x14ac:dyDescent="0.25">
      <c r="A9">
        <v>8</v>
      </c>
      <c r="B9">
        <v>33</v>
      </c>
      <c r="C9" t="s">
        <v>585</v>
      </c>
      <c r="D9" t="s">
        <v>665</v>
      </c>
      <c r="E9" t="s">
        <v>666</v>
      </c>
      <c r="F9">
        <v>30678922</v>
      </c>
      <c r="G9" s="152">
        <v>44202</v>
      </c>
      <c r="H9" s="411">
        <v>44203.41715277778</v>
      </c>
      <c r="J9" s="526">
        <v>0</v>
      </c>
      <c r="K9" s="526">
        <v>1745</v>
      </c>
      <c r="L9" s="526">
        <v>331</v>
      </c>
      <c r="O9" s="526">
        <v>2076</v>
      </c>
    </row>
    <row r="10" spans="1:15" x14ac:dyDescent="0.25">
      <c r="A10">
        <v>9</v>
      </c>
      <c r="B10">
        <v>33</v>
      </c>
      <c r="C10" t="s">
        <v>585</v>
      </c>
      <c r="D10" t="s">
        <v>704</v>
      </c>
      <c r="E10" t="s">
        <v>705</v>
      </c>
      <c r="F10">
        <v>11499052</v>
      </c>
      <c r="G10" s="152">
        <v>44202</v>
      </c>
      <c r="H10" s="411">
        <v>44203.461446759262</v>
      </c>
      <c r="J10" s="526">
        <v>0</v>
      </c>
      <c r="K10" s="526">
        <v>2616</v>
      </c>
      <c r="L10" s="526">
        <v>497</v>
      </c>
      <c r="O10" s="526">
        <v>3113</v>
      </c>
    </row>
    <row r="11" spans="1:15" x14ac:dyDescent="0.25">
      <c r="A11">
        <v>10</v>
      </c>
      <c r="B11">
        <v>33</v>
      </c>
      <c r="C11" t="s">
        <v>585</v>
      </c>
      <c r="D11" t="s">
        <v>663</v>
      </c>
      <c r="E11" t="s">
        <v>664</v>
      </c>
      <c r="F11">
        <v>375299</v>
      </c>
      <c r="G11" s="152">
        <v>44209</v>
      </c>
      <c r="H11" s="411">
        <v>44210.264803240738</v>
      </c>
      <c r="J11" s="526">
        <v>0</v>
      </c>
      <c r="K11" s="526">
        <v>672280</v>
      </c>
      <c r="L11" s="526">
        <v>127733</v>
      </c>
      <c r="O11" s="526">
        <v>800013</v>
      </c>
    </row>
    <row r="12" spans="1:15" x14ac:dyDescent="0.25">
      <c r="A12">
        <v>11</v>
      </c>
      <c r="B12">
        <v>33</v>
      </c>
      <c r="C12" t="s">
        <v>585</v>
      </c>
      <c r="D12" t="s">
        <v>663</v>
      </c>
      <c r="E12" t="s">
        <v>664</v>
      </c>
      <c r="F12">
        <v>375301</v>
      </c>
      <c r="G12" s="152">
        <v>44209</v>
      </c>
      <c r="H12" s="411">
        <v>44210.264849537038</v>
      </c>
      <c r="J12" s="526">
        <v>0</v>
      </c>
      <c r="K12" s="526">
        <v>151260</v>
      </c>
      <c r="L12" s="526">
        <v>28739</v>
      </c>
      <c r="O12" s="526">
        <v>179999</v>
      </c>
    </row>
    <row r="13" spans="1:15" x14ac:dyDescent="0.25">
      <c r="A13">
        <v>12</v>
      </c>
      <c r="B13">
        <v>33</v>
      </c>
      <c r="C13" t="s">
        <v>585</v>
      </c>
      <c r="D13" t="s">
        <v>590</v>
      </c>
      <c r="E13" t="s">
        <v>591</v>
      </c>
      <c r="F13">
        <v>42341768</v>
      </c>
      <c r="G13" s="152">
        <v>44206</v>
      </c>
      <c r="H13" s="411">
        <v>44215.168078703704</v>
      </c>
      <c r="J13" s="526">
        <v>0</v>
      </c>
      <c r="K13" s="526">
        <v>17639</v>
      </c>
      <c r="L13" s="526">
        <v>3351</v>
      </c>
      <c r="O13" s="526">
        <v>20990</v>
      </c>
    </row>
    <row r="14" spans="1:15" x14ac:dyDescent="0.25">
      <c r="A14">
        <v>13</v>
      </c>
      <c r="B14">
        <v>33</v>
      </c>
      <c r="C14" t="s">
        <v>585</v>
      </c>
      <c r="D14" t="s">
        <v>663</v>
      </c>
      <c r="E14" t="s">
        <v>664</v>
      </c>
      <c r="F14">
        <v>376179</v>
      </c>
      <c r="G14" s="152">
        <v>44222</v>
      </c>
      <c r="H14" s="411">
        <v>44222.673576388886</v>
      </c>
      <c r="J14" s="526">
        <v>0</v>
      </c>
      <c r="K14" s="526">
        <v>352942</v>
      </c>
      <c r="L14" s="526">
        <v>67059</v>
      </c>
      <c r="O14" s="526">
        <v>420001</v>
      </c>
    </row>
    <row r="15" spans="1:15" x14ac:dyDescent="0.25">
      <c r="A15">
        <v>14</v>
      </c>
      <c r="B15">
        <v>33</v>
      </c>
      <c r="C15" t="s">
        <v>585</v>
      </c>
      <c r="D15" t="s">
        <v>592</v>
      </c>
      <c r="E15" t="s">
        <v>593</v>
      </c>
      <c r="F15">
        <v>196511</v>
      </c>
      <c r="G15" s="152">
        <v>44223</v>
      </c>
      <c r="H15" s="411">
        <v>44223.431886574072</v>
      </c>
      <c r="J15" s="526">
        <v>38654</v>
      </c>
      <c r="K15" s="526">
        <v>9518</v>
      </c>
      <c r="L15" s="526">
        <v>1808</v>
      </c>
      <c r="O15" s="526">
        <v>49980</v>
      </c>
    </row>
    <row r="16" spans="1:15" x14ac:dyDescent="0.25">
      <c r="A16">
        <v>15</v>
      </c>
      <c r="B16">
        <v>34</v>
      </c>
      <c r="C16" t="s">
        <v>585</v>
      </c>
      <c r="D16" t="s">
        <v>605</v>
      </c>
      <c r="E16" t="s">
        <v>606</v>
      </c>
      <c r="F16">
        <v>5877</v>
      </c>
      <c r="G16" s="152">
        <v>44195</v>
      </c>
      <c r="H16" s="411">
        <v>44195.673842592594</v>
      </c>
      <c r="J16" s="526">
        <v>4215334</v>
      </c>
      <c r="K16" s="526">
        <v>0</v>
      </c>
      <c r="L16" s="526">
        <v>0</v>
      </c>
      <c r="O16" s="586">
        <v>4215334</v>
      </c>
    </row>
    <row r="17" spans="1:15" x14ac:dyDescent="0.25">
      <c r="A17">
        <v>16</v>
      </c>
      <c r="B17">
        <v>34</v>
      </c>
      <c r="C17" t="s">
        <v>585</v>
      </c>
      <c r="D17" t="s">
        <v>596</v>
      </c>
      <c r="E17" t="s">
        <v>597</v>
      </c>
      <c r="F17">
        <v>739</v>
      </c>
      <c r="G17" s="152">
        <v>44217</v>
      </c>
      <c r="H17" s="411">
        <v>44217.437638888892</v>
      </c>
      <c r="J17" s="526">
        <v>477848</v>
      </c>
      <c r="K17" s="526">
        <v>0</v>
      </c>
      <c r="L17" s="526">
        <v>0</v>
      </c>
      <c r="O17" s="526">
        <v>477848</v>
      </c>
    </row>
    <row r="18" spans="1:15" x14ac:dyDescent="0.25">
      <c r="G18" s="152"/>
      <c r="H18" s="411"/>
    </row>
    <row r="20" spans="1:15" x14ac:dyDescent="0.25">
      <c r="A20">
        <v>1</v>
      </c>
      <c r="B20">
        <v>33</v>
      </c>
      <c r="C20" t="s">
        <v>585</v>
      </c>
      <c r="D20" t="s">
        <v>586</v>
      </c>
      <c r="E20" t="s">
        <v>587</v>
      </c>
      <c r="F20">
        <v>10566398</v>
      </c>
      <c r="G20" s="152">
        <v>44228</v>
      </c>
      <c r="H20" s="411">
        <v>44225.340439814812</v>
      </c>
      <c r="J20" s="526">
        <v>0</v>
      </c>
      <c r="K20" s="526">
        <v>35735</v>
      </c>
      <c r="L20" s="526">
        <v>6790</v>
      </c>
      <c r="O20" s="526">
        <v>42525</v>
      </c>
    </row>
    <row r="21" spans="1:15" x14ac:dyDescent="0.25">
      <c r="A21">
        <v>2</v>
      </c>
      <c r="B21">
        <v>33</v>
      </c>
      <c r="C21" t="s">
        <v>585</v>
      </c>
      <c r="D21" t="s">
        <v>594</v>
      </c>
      <c r="E21" t="s">
        <v>595</v>
      </c>
      <c r="F21">
        <v>35303503</v>
      </c>
      <c r="G21" s="152">
        <v>44223</v>
      </c>
      <c r="H21" s="411">
        <v>44228.53502314815</v>
      </c>
      <c r="J21" s="526">
        <v>0</v>
      </c>
      <c r="K21" s="526">
        <v>213890</v>
      </c>
      <c r="L21" s="526">
        <v>40639</v>
      </c>
      <c r="O21" s="526">
        <v>254529</v>
      </c>
    </row>
    <row r="22" spans="1:15" x14ac:dyDescent="0.25">
      <c r="A22">
        <v>3</v>
      </c>
      <c r="B22">
        <v>33</v>
      </c>
      <c r="C22" t="s">
        <v>585</v>
      </c>
      <c r="D22" t="s">
        <v>594</v>
      </c>
      <c r="E22" t="s">
        <v>595</v>
      </c>
      <c r="F22">
        <v>35303504</v>
      </c>
      <c r="G22" s="152">
        <v>44223</v>
      </c>
      <c r="H22" s="411">
        <v>44228.53502314815</v>
      </c>
      <c r="J22" s="526">
        <v>0</v>
      </c>
      <c r="K22" s="526">
        <v>410</v>
      </c>
      <c r="L22" s="526">
        <v>78</v>
      </c>
      <c r="O22" s="526">
        <v>488</v>
      </c>
    </row>
    <row r="23" spans="1:15" x14ac:dyDescent="0.25">
      <c r="A23">
        <v>4</v>
      </c>
      <c r="B23">
        <v>33</v>
      </c>
      <c r="C23" t="s">
        <v>585</v>
      </c>
      <c r="D23" t="s">
        <v>594</v>
      </c>
      <c r="E23" t="s">
        <v>595</v>
      </c>
      <c r="F23">
        <v>35303505</v>
      </c>
      <c r="G23" s="152">
        <v>44223</v>
      </c>
      <c r="H23" s="411">
        <v>44228.53502314815</v>
      </c>
      <c r="J23" s="526">
        <v>0</v>
      </c>
      <c r="K23" s="526">
        <v>48</v>
      </c>
      <c r="L23" s="526">
        <v>9</v>
      </c>
      <c r="O23" s="526">
        <v>57</v>
      </c>
    </row>
    <row r="24" spans="1:15" x14ac:dyDescent="0.25">
      <c r="A24">
        <v>5</v>
      </c>
      <c r="B24">
        <v>33</v>
      </c>
      <c r="C24" t="s">
        <v>585</v>
      </c>
      <c r="D24" t="s">
        <v>594</v>
      </c>
      <c r="E24" t="s">
        <v>595</v>
      </c>
      <c r="F24">
        <v>35303506</v>
      </c>
      <c r="G24" s="152">
        <v>44223</v>
      </c>
      <c r="H24" s="411">
        <v>44228.53502314815</v>
      </c>
      <c r="J24" s="526">
        <v>0</v>
      </c>
      <c r="K24" s="526">
        <v>15020</v>
      </c>
      <c r="L24" s="526">
        <v>2854</v>
      </c>
      <c r="O24" s="526">
        <v>17874</v>
      </c>
    </row>
    <row r="25" spans="1:15" x14ac:dyDescent="0.25">
      <c r="A25">
        <v>6</v>
      </c>
      <c r="B25">
        <v>33</v>
      </c>
      <c r="C25" t="s">
        <v>585</v>
      </c>
      <c r="D25" t="s">
        <v>594</v>
      </c>
      <c r="E25" t="s">
        <v>595</v>
      </c>
      <c r="F25">
        <v>35303507</v>
      </c>
      <c r="G25" s="152">
        <v>44223</v>
      </c>
      <c r="H25" s="411">
        <v>44228.53502314815</v>
      </c>
      <c r="J25" s="526">
        <v>0</v>
      </c>
      <c r="K25" s="526">
        <v>500</v>
      </c>
      <c r="L25" s="526">
        <v>95</v>
      </c>
      <c r="O25" s="526">
        <v>595</v>
      </c>
    </row>
    <row r="26" spans="1:15" x14ac:dyDescent="0.25">
      <c r="A26">
        <v>7</v>
      </c>
      <c r="B26">
        <v>33</v>
      </c>
      <c r="C26" t="s">
        <v>585</v>
      </c>
      <c r="D26" t="s">
        <v>594</v>
      </c>
      <c r="E26" t="s">
        <v>595</v>
      </c>
      <c r="F26">
        <v>35522051</v>
      </c>
      <c r="G26" s="152">
        <v>44224</v>
      </c>
      <c r="H26" s="411">
        <v>44229.111655092594</v>
      </c>
      <c r="J26" s="526">
        <v>0</v>
      </c>
      <c r="K26" s="526">
        <v>1825</v>
      </c>
      <c r="L26" s="526">
        <v>347</v>
      </c>
      <c r="O26" s="526">
        <v>2172</v>
      </c>
    </row>
    <row r="27" spans="1:15" x14ac:dyDescent="0.25">
      <c r="A27">
        <v>8</v>
      </c>
      <c r="B27">
        <v>33</v>
      </c>
      <c r="C27" t="s">
        <v>585</v>
      </c>
      <c r="D27" t="s">
        <v>665</v>
      </c>
      <c r="E27" t="s">
        <v>666</v>
      </c>
      <c r="F27">
        <v>30869444</v>
      </c>
      <c r="G27" s="152">
        <v>44231</v>
      </c>
      <c r="H27" s="411">
        <v>44232.423009259262</v>
      </c>
      <c r="J27" s="526">
        <v>0</v>
      </c>
      <c r="K27" s="526">
        <v>3931</v>
      </c>
      <c r="L27" s="526">
        <v>747</v>
      </c>
      <c r="O27" s="526">
        <v>4678</v>
      </c>
    </row>
    <row r="28" spans="1:15" x14ac:dyDescent="0.25">
      <c r="A28">
        <v>9</v>
      </c>
      <c r="B28">
        <v>33</v>
      </c>
      <c r="C28" t="s">
        <v>585</v>
      </c>
      <c r="D28" t="s">
        <v>665</v>
      </c>
      <c r="E28" t="s">
        <v>666</v>
      </c>
      <c r="F28">
        <v>30869445</v>
      </c>
      <c r="G28" s="152">
        <v>44231</v>
      </c>
      <c r="H28" s="411">
        <v>44232.423009259262</v>
      </c>
      <c r="J28" s="526">
        <v>0</v>
      </c>
      <c r="K28" s="526">
        <v>874</v>
      </c>
      <c r="L28" s="526">
        <v>166</v>
      </c>
      <c r="O28" s="526">
        <v>1040</v>
      </c>
    </row>
    <row r="29" spans="1:15" x14ac:dyDescent="0.25">
      <c r="A29">
        <v>10</v>
      </c>
      <c r="B29">
        <v>33</v>
      </c>
      <c r="C29" t="s">
        <v>585</v>
      </c>
      <c r="D29" t="s">
        <v>665</v>
      </c>
      <c r="E29" t="s">
        <v>666</v>
      </c>
      <c r="F29">
        <v>30869446</v>
      </c>
      <c r="G29" s="152">
        <v>44231</v>
      </c>
      <c r="H29" s="411">
        <v>44232.423009259262</v>
      </c>
      <c r="J29" s="526">
        <v>0</v>
      </c>
      <c r="K29" s="526">
        <v>1165</v>
      </c>
      <c r="L29" s="526">
        <v>221</v>
      </c>
      <c r="O29" s="526">
        <v>1386</v>
      </c>
    </row>
    <row r="30" spans="1:15" s="428" customFormat="1" x14ac:dyDescent="0.25">
      <c r="A30" s="428">
        <v>11</v>
      </c>
      <c r="B30" s="428">
        <v>33</v>
      </c>
      <c r="C30" s="428" t="s">
        <v>585</v>
      </c>
      <c r="D30" s="428" t="s">
        <v>588</v>
      </c>
      <c r="E30" s="428" t="s">
        <v>589</v>
      </c>
      <c r="F30" s="428">
        <v>2854</v>
      </c>
      <c r="G30" s="466">
        <v>44227</v>
      </c>
      <c r="H30" s="467">
        <v>44232.639907407407</v>
      </c>
      <c r="J30" s="585">
        <v>0</v>
      </c>
      <c r="K30" s="585">
        <v>123854385</v>
      </c>
      <c r="L30" s="585">
        <v>23532333</v>
      </c>
      <c r="M30" s="464"/>
      <c r="N30" s="464"/>
      <c r="O30" s="585">
        <v>147386718</v>
      </c>
    </row>
    <row r="31" spans="1:15" x14ac:dyDescent="0.25">
      <c r="A31">
        <v>12</v>
      </c>
      <c r="B31">
        <v>33</v>
      </c>
      <c r="C31" t="s">
        <v>585</v>
      </c>
      <c r="D31" t="s">
        <v>704</v>
      </c>
      <c r="E31" t="s">
        <v>705</v>
      </c>
      <c r="F31">
        <v>11578398</v>
      </c>
      <c r="G31" s="152">
        <v>44235</v>
      </c>
      <c r="H31" s="411">
        <v>44238.554618055554</v>
      </c>
      <c r="J31" s="526">
        <v>0</v>
      </c>
      <c r="K31" s="526">
        <v>2097</v>
      </c>
      <c r="L31" s="526">
        <v>398</v>
      </c>
      <c r="O31" s="526">
        <v>2495</v>
      </c>
    </row>
    <row r="32" spans="1:15" x14ac:dyDescent="0.25">
      <c r="A32">
        <v>13</v>
      </c>
      <c r="B32">
        <v>33</v>
      </c>
      <c r="C32" t="s">
        <v>585</v>
      </c>
      <c r="D32" t="s">
        <v>590</v>
      </c>
      <c r="E32" t="s">
        <v>591</v>
      </c>
      <c r="F32">
        <v>42475444</v>
      </c>
      <c r="G32" s="152">
        <v>44237</v>
      </c>
      <c r="H32" s="411">
        <v>44245.183993055558</v>
      </c>
      <c r="J32" s="526">
        <v>0</v>
      </c>
      <c r="K32" s="526">
        <v>17639</v>
      </c>
      <c r="L32" s="526">
        <v>3351</v>
      </c>
      <c r="O32" s="526">
        <v>20990</v>
      </c>
    </row>
    <row r="33" spans="1:15" x14ac:dyDescent="0.25">
      <c r="A33">
        <v>14</v>
      </c>
      <c r="B33">
        <v>33</v>
      </c>
      <c r="C33" t="s">
        <v>585</v>
      </c>
      <c r="D33" t="s">
        <v>592</v>
      </c>
      <c r="E33" t="s">
        <v>593</v>
      </c>
      <c r="F33">
        <v>202558</v>
      </c>
      <c r="G33" s="152">
        <v>44253</v>
      </c>
      <c r="H33" s="411">
        <v>44253.536817129629</v>
      </c>
      <c r="J33" s="526">
        <v>38865</v>
      </c>
      <c r="K33" s="526">
        <v>9570</v>
      </c>
      <c r="L33" s="526">
        <v>1818</v>
      </c>
      <c r="O33" s="526">
        <v>50253</v>
      </c>
    </row>
    <row r="34" spans="1:15" s="428" customFormat="1" x14ac:dyDescent="0.25">
      <c r="A34" s="428">
        <v>15</v>
      </c>
      <c r="B34" s="428">
        <v>34</v>
      </c>
      <c r="C34" s="428" t="s">
        <v>585</v>
      </c>
      <c r="D34" s="428" t="s">
        <v>605</v>
      </c>
      <c r="E34" s="428" t="s">
        <v>606</v>
      </c>
      <c r="F34" s="428">
        <v>5921</v>
      </c>
      <c r="G34" s="466">
        <v>44225</v>
      </c>
      <c r="H34" s="467">
        <v>44225.705104166664</v>
      </c>
      <c r="J34" s="585">
        <v>4222126</v>
      </c>
      <c r="K34" s="585">
        <v>0</v>
      </c>
      <c r="L34" s="585">
        <v>0</v>
      </c>
      <c r="M34" s="464"/>
      <c r="N34" s="464"/>
      <c r="O34" s="585">
        <v>4222126</v>
      </c>
    </row>
    <row r="35" spans="1:15" s="428" customFormat="1" x14ac:dyDescent="0.25">
      <c r="A35" s="428">
        <v>16</v>
      </c>
      <c r="B35" s="428">
        <v>34</v>
      </c>
      <c r="C35" s="428" t="s">
        <v>585</v>
      </c>
      <c r="D35" s="428" t="s">
        <v>706</v>
      </c>
      <c r="E35" s="428" t="s">
        <v>707</v>
      </c>
      <c r="F35" s="428">
        <v>2315</v>
      </c>
      <c r="G35" s="466">
        <v>44245</v>
      </c>
      <c r="H35" s="467">
        <v>44245.814849537041</v>
      </c>
      <c r="J35" s="585">
        <v>67193</v>
      </c>
      <c r="K35" s="585">
        <v>0</v>
      </c>
      <c r="L35" s="585">
        <v>0</v>
      </c>
      <c r="M35" s="464"/>
      <c r="N35" s="464"/>
      <c r="O35" s="585">
        <v>67193</v>
      </c>
    </row>
    <row r="36" spans="1:15" x14ac:dyDescent="0.25">
      <c r="A36">
        <v>17</v>
      </c>
      <c r="B36">
        <v>34</v>
      </c>
      <c r="C36" t="s">
        <v>585</v>
      </c>
      <c r="D36" t="s">
        <v>596</v>
      </c>
      <c r="E36" t="s">
        <v>597</v>
      </c>
      <c r="F36">
        <v>752</v>
      </c>
      <c r="G36" s="152">
        <v>44246</v>
      </c>
      <c r="H36" s="411">
        <v>44246.504386574074</v>
      </c>
      <c r="J36" s="526">
        <v>477893</v>
      </c>
      <c r="K36" s="526">
        <v>0</v>
      </c>
      <c r="L36" s="526">
        <v>0</v>
      </c>
      <c r="O36" s="526">
        <v>477893</v>
      </c>
    </row>
    <row r="39" spans="1:15" x14ac:dyDescent="0.25">
      <c r="A39">
        <v>1</v>
      </c>
      <c r="B39">
        <v>33</v>
      </c>
      <c r="C39" t="s">
        <v>585</v>
      </c>
      <c r="D39" t="s">
        <v>586</v>
      </c>
      <c r="E39" t="s">
        <v>587</v>
      </c>
      <c r="F39">
        <v>10596889</v>
      </c>
      <c r="G39" s="152">
        <v>44256</v>
      </c>
      <c r="H39" s="411">
        <v>44253.450370370374</v>
      </c>
      <c r="J39" s="526">
        <v>0</v>
      </c>
      <c r="K39" s="526">
        <v>35941</v>
      </c>
      <c r="L39" s="526">
        <v>6829</v>
      </c>
      <c r="O39" s="526">
        <v>42770</v>
      </c>
    </row>
    <row r="40" spans="1:15" x14ac:dyDescent="0.25">
      <c r="A40">
        <v>2</v>
      </c>
      <c r="B40">
        <v>33</v>
      </c>
      <c r="C40" t="s">
        <v>585</v>
      </c>
      <c r="D40" t="s">
        <v>594</v>
      </c>
      <c r="E40" t="s">
        <v>595</v>
      </c>
      <c r="F40">
        <v>35593365</v>
      </c>
      <c r="G40" s="152">
        <v>44251</v>
      </c>
      <c r="H40" s="411">
        <v>44256.942337962966</v>
      </c>
      <c r="J40" s="526">
        <v>0</v>
      </c>
      <c r="K40" s="526">
        <v>14958</v>
      </c>
      <c r="L40" s="526">
        <v>2842</v>
      </c>
      <c r="O40" s="526">
        <v>17800</v>
      </c>
    </row>
    <row r="41" spans="1:15" x14ac:dyDescent="0.25">
      <c r="A41">
        <v>3</v>
      </c>
      <c r="B41">
        <v>33</v>
      </c>
      <c r="C41" t="s">
        <v>585</v>
      </c>
      <c r="D41" t="s">
        <v>594</v>
      </c>
      <c r="E41" t="s">
        <v>595</v>
      </c>
      <c r="F41">
        <v>35593367</v>
      </c>
      <c r="G41" s="152">
        <v>44251</v>
      </c>
      <c r="H41" s="411">
        <v>44256.942337962966</v>
      </c>
      <c r="J41" s="526">
        <v>0</v>
      </c>
      <c r="K41" s="526">
        <v>1471</v>
      </c>
      <c r="L41" s="526">
        <v>279</v>
      </c>
      <c r="O41" s="526">
        <v>1750</v>
      </c>
    </row>
    <row r="42" spans="1:15" x14ac:dyDescent="0.25">
      <c r="A42">
        <v>4</v>
      </c>
      <c r="B42">
        <v>33</v>
      </c>
      <c r="C42" t="s">
        <v>585</v>
      </c>
      <c r="D42" t="s">
        <v>594</v>
      </c>
      <c r="E42" t="s">
        <v>595</v>
      </c>
      <c r="F42">
        <v>35593368</v>
      </c>
      <c r="G42" s="152">
        <v>44251</v>
      </c>
      <c r="H42" s="411">
        <v>44256.942337962966</v>
      </c>
      <c r="J42" s="526">
        <v>0</v>
      </c>
      <c r="K42" s="526">
        <v>161</v>
      </c>
      <c r="L42" s="526">
        <v>31</v>
      </c>
      <c r="O42" s="526">
        <v>192</v>
      </c>
    </row>
    <row r="43" spans="1:15" x14ac:dyDescent="0.25">
      <c r="A43">
        <v>5</v>
      </c>
      <c r="B43">
        <v>33</v>
      </c>
      <c r="C43" t="s">
        <v>585</v>
      </c>
      <c r="D43" t="s">
        <v>594</v>
      </c>
      <c r="E43" t="s">
        <v>595</v>
      </c>
      <c r="F43">
        <v>35593369</v>
      </c>
      <c r="G43" s="152">
        <v>44251</v>
      </c>
      <c r="H43" s="411">
        <v>44256.942337962966</v>
      </c>
      <c r="J43" s="526">
        <v>0</v>
      </c>
      <c r="K43" s="526">
        <v>10000</v>
      </c>
      <c r="L43" s="526">
        <v>1900</v>
      </c>
      <c r="O43" s="526">
        <v>11900</v>
      </c>
    </row>
    <row r="44" spans="1:15" x14ac:dyDescent="0.25">
      <c r="A44">
        <v>6</v>
      </c>
      <c r="B44">
        <v>33</v>
      </c>
      <c r="C44" t="s">
        <v>585</v>
      </c>
      <c r="D44" t="s">
        <v>594</v>
      </c>
      <c r="E44" t="s">
        <v>595</v>
      </c>
      <c r="F44">
        <v>35593370</v>
      </c>
      <c r="G44" s="152">
        <v>44251</v>
      </c>
      <c r="H44" s="411">
        <v>44256.942337962966</v>
      </c>
      <c r="J44" s="526">
        <v>0</v>
      </c>
      <c r="K44" s="526">
        <v>476</v>
      </c>
      <c r="L44" s="526">
        <v>90</v>
      </c>
      <c r="O44" s="526">
        <v>566</v>
      </c>
    </row>
    <row r="45" spans="1:15" x14ac:dyDescent="0.25">
      <c r="A45">
        <v>7</v>
      </c>
      <c r="B45">
        <v>33</v>
      </c>
      <c r="C45" t="s">
        <v>585</v>
      </c>
      <c r="D45" t="s">
        <v>594</v>
      </c>
      <c r="E45" t="s">
        <v>595</v>
      </c>
      <c r="F45">
        <v>35812894</v>
      </c>
      <c r="G45" s="152">
        <v>44252</v>
      </c>
      <c r="H45" s="411">
        <v>44258.517766203702</v>
      </c>
      <c r="J45" s="526">
        <v>0</v>
      </c>
      <c r="K45" s="526">
        <v>1360</v>
      </c>
      <c r="L45" s="526">
        <v>258</v>
      </c>
      <c r="O45" s="526">
        <v>1618</v>
      </c>
    </row>
    <row r="46" spans="1:15" s="428" customFormat="1" x14ac:dyDescent="0.25">
      <c r="A46" s="428">
        <v>8</v>
      </c>
      <c r="B46" s="428">
        <v>33</v>
      </c>
      <c r="C46" s="428" t="s">
        <v>585</v>
      </c>
      <c r="D46" s="428" t="s">
        <v>588</v>
      </c>
      <c r="E46" s="428" t="s">
        <v>589</v>
      </c>
      <c r="F46" s="428">
        <v>2884</v>
      </c>
      <c r="G46" s="466">
        <v>44253</v>
      </c>
      <c r="H46" s="467">
        <v>44263.500798611109</v>
      </c>
      <c r="J46" s="585">
        <v>0</v>
      </c>
      <c r="K46" s="585">
        <v>81780209</v>
      </c>
      <c r="L46" s="585">
        <v>15538240</v>
      </c>
      <c r="M46" s="464"/>
      <c r="N46" s="464"/>
      <c r="O46" s="585">
        <v>97318449</v>
      </c>
    </row>
    <row r="47" spans="1:15" x14ac:dyDescent="0.25">
      <c r="A47">
        <v>9</v>
      </c>
      <c r="B47">
        <v>33</v>
      </c>
      <c r="C47" t="s">
        <v>585</v>
      </c>
      <c r="D47" t="s">
        <v>704</v>
      </c>
      <c r="E47" t="s">
        <v>705</v>
      </c>
      <c r="F47">
        <v>11643286</v>
      </c>
      <c r="G47" s="152">
        <v>44263</v>
      </c>
      <c r="H47" s="411">
        <v>44264.450057870374</v>
      </c>
      <c r="J47" s="526">
        <v>0</v>
      </c>
      <c r="K47" s="526">
        <v>527</v>
      </c>
      <c r="L47" s="526">
        <v>100</v>
      </c>
      <c r="O47" s="526">
        <v>627</v>
      </c>
    </row>
    <row r="48" spans="1:15" x14ac:dyDescent="0.25">
      <c r="A48">
        <v>10</v>
      </c>
      <c r="B48">
        <v>33</v>
      </c>
      <c r="C48" t="s">
        <v>585</v>
      </c>
      <c r="D48" t="s">
        <v>665</v>
      </c>
      <c r="E48" t="s">
        <v>666</v>
      </c>
      <c r="F48">
        <v>31067704</v>
      </c>
      <c r="G48" s="152">
        <v>44264</v>
      </c>
      <c r="H48" s="411">
        <v>44265.407233796293</v>
      </c>
      <c r="J48" s="526">
        <v>0</v>
      </c>
      <c r="K48" s="526">
        <v>878</v>
      </c>
      <c r="L48" s="526">
        <v>167</v>
      </c>
      <c r="O48" s="526">
        <v>1045</v>
      </c>
    </row>
    <row r="49" spans="1:15" x14ac:dyDescent="0.25">
      <c r="A49">
        <v>11</v>
      </c>
      <c r="B49">
        <v>33</v>
      </c>
      <c r="C49" t="s">
        <v>585</v>
      </c>
      <c r="D49" t="s">
        <v>665</v>
      </c>
      <c r="E49" t="s">
        <v>666</v>
      </c>
      <c r="F49">
        <v>31067705</v>
      </c>
      <c r="G49" s="152">
        <v>44264</v>
      </c>
      <c r="H49" s="411">
        <v>44265.407233796293</v>
      </c>
      <c r="J49" s="526">
        <v>0</v>
      </c>
      <c r="K49" s="526">
        <v>1464</v>
      </c>
      <c r="L49" s="526">
        <v>278</v>
      </c>
      <c r="O49" s="526">
        <v>1742</v>
      </c>
    </row>
    <row r="50" spans="1:15" x14ac:dyDescent="0.25">
      <c r="A50">
        <v>12</v>
      </c>
      <c r="B50">
        <v>33</v>
      </c>
      <c r="C50" t="s">
        <v>585</v>
      </c>
      <c r="D50" t="s">
        <v>665</v>
      </c>
      <c r="E50" t="s">
        <v>666</v>
      </c>
      <c r="F50">
        <v>31067706</v>
      </c>
      <c r="G50" s="152">
        <v>44264</v>
      </c>
      <c r="H50" s="411">
        <v>44265.407233796293</v>
      </c>
      <c r="J50" s="526">
        <v>0</v>
      </c>
      <c r="K50" s="526">
        <v>1464</v>
      </c>
      <c r="L50" s="526">
        <v>278</v>
      </c>
      <c r="O50" s="526">
        <v>1742</v>
      </c>
    </row>
    <row r="51" spans="1:15" x14ac:dyDescent="0.25">
      <c r="A51">
        <v>13</v>
      </c>
      <c r="B51">
        <v>33</v>
      </c>
      <c r="C51" t="s">
        <v>585</v>
      </c>
      <c r="D51" t="s">
        <v>590</v>
      </c>
      <c r="E51" t="s">
        <v>591</v>
      </c>
      <c r="F51">
        <v>42650013</v>
      </c>
      <c r="G51" s="152">
        <v>44265</v>
      </c>
      <c r="H51" s="411">
        <v>44272.463564814818</v>
      </c>
      <c r="J51" s="526">
        <v>0</v>
      </c>
      <c r="K51" s="526">
        <v>17639</v>
      </c>
      <c r="L51" s="526">
        <v>3351</v>
      </c>
      <c r="O51" s="526">
        <v>20990</v>
      </c>
    </row>
    <row r="52" spans="1:15" x14ac:dyDescent="0.25">
      <c r="A52">
        <v>14</v>
      </c>
      <c r="B52">
        <v>33</v>
      </c>
      <c r="C52" t="s">
        <v>585</v>
      </c>
      <c r="D52" t="s">
        <v>592</v>
      </c>
      <c r="E52" t="s">
        <v>593</v>
      </c>
      <c r="F52">
        <v>208912</v>
      </c>
      <c r="G52" s="152">
        <v>44281</v>
      </c>
      <c r="H52" s="411">
        <v>44281.540636574071</v>
      </c>
      <c r="J52" s="526">
        <v>39021</v>
      </c>
      <c r="K52" s="526">
        <v>9608</v>
      </c>
      <c r="L52" s="526">
        <v>1826</v>
      </c>
      <c r="O52" s="526">
        <v>50455</v>
      </c>
    </row>
    <row r="53" spans="1:15" s="428" customFormat="1" x14ac:dyDescent="0.25">
      <c r="A53" s="428">
        <v>15</v>
      </c>
      <c r="B53" s="428">
        <v>34</v>
      </c>
      <c r="C53" s="428" t="s">
        <v>585</v>
      </c>
      <c r="D53" s="428" t="s">
        <v>605</v>
      </c>
      <c r="E53" s="428" t="s">
        <v>606</v>
      </c>
      <c r="F53" s="428">
        <v>5973</v>
      </c>
      <c r="G53" s="466">
        <v>44253</v>
      </c>
      <c r="H53" s="467">
        <v>44252.706759259258</v>
      </c>
      <c r="J53" s="585">
        <v>4243498</v>
      </c>
      <c r="K53" s="585">
        <v>0</v>
      </c>
      <c r="L53" s="585">
        <v>0</v>
      </c>
      <c r="M53" s="464"/>
      <c r="N53" s="464"/>
      <c r="O53" s="585">
        <v>4243498</v>
      </c>
    </row>
    <row r="56" spans="1:15" x14ac:dyDescent="0.25">
      <c r="A56">
        <v>1</v>
      </c>
      <c r="B56">
        <v>33</v>
      </c>
      <c r="C56" t="s">
        <v>585</v>
      </c>
      <c r="D56" t="s">
        <v>586</v>
      </c>
      <c r="E56" t="s">
        <v>587</v>
      </c>
      <c r="F56">
        <v>10628540</v>
      </c>
      <c r="G56" s="152">
        <v>44287</v>
      </c>
      <c r="H56" s="411">
        <v>44286.492604166669</v>
      </c>
      <c r="J56" s="526">
        <v>0</v>
      </c>
      <c r="K56" s="526">
        <v>36066</v>
      </c>
      <c r="L56" s="526">
        <v>6853</v>
      </c>
      <c r="O56" s="526">
        <v>42919</v>
      </c>
    </row>
    <row r="57" spans="1:15" x14ac:dyDescent="0.25">
      <c r="A57">
        <v>2</v>
      </c>
      <c r="B57">
        <v>33</v>
      </c>
      <c r="C57" t="s">
        <v>585</v>
      </c>
      <c r="D57" t="s">
        <v>594</v>
      </c>
      <c r="E57" t="s">
        <v>595</v>
      </c>
      <c r="F57">
        <v>36321664</v>
      </c>
      <c r="G57" s="152">
        <v>44284</v>
      </c>
      <c r="H57" s="411">
        <v>44289.726053240738</v>
      </c>
      <c r="J57" s="526">
        <v>0</v>
      </c>
      <c r="K57" s="526">
        <v>205170</v>
      </c>
      <c r="L57" s="526">
        <v>38982</v>
      </c>
      <c r="O57" s="526">
        <v>244152</v>
      </c>
    </row>
    <row r="58" spans="1:15" x14ac:dyDescent="0.25">
      <c r="A58">
        <v>3</v>
      </c>
      <c r="B58">
        <v>33</v>
      </c>
      <c r="C58" t="s">
        <v>585</v>
      </c>
      <c r="D58" t="s">
        <v>594</v>
      </c>
      <c r="E58" t="s">
        <v>595</v>
      </c>
      <c r="F58">
        <v>36321666</v>
      </c>
      <c r="G58" s="152">
        <v>44284</v>
      </c>
      <c r="H58" s="411">
        <v>44289.726053240738</v>
      </c>
      <c r="J58" s="526">
        <v>0</v>
      </c>
      <c r="K58" s="526">
        <v>1362</v>
      </c>
      <c r="L58" s="526">
        <v>259</v>
      </c>
      <c r="O58" s="526">
        <v>1621</v>
      </c>
    </row>
    <row r="59" spans="1:15" x14ac:dyDescent="0.25">
      <c r="A59">
        <v>4</v>
      </c>
      <c r="B59">
        <v>33</v>
      </c>
      <c r="C59" t="s">
        <v>585</v>
      </c>
      <c r="D59" t="s">
        <v>594</v>
      </c>
      <c r="E59" t="s">
        <v>595</v>
      </c>
      <c r="F59">
        <v>36321667</v>
      </c>
      <c r="G59" s="152">
        <v>44284</v>
      </c>
      <c r="H59" s="411">
        <v>44289.726053240738</v>
      </c>
      <c r="J59" s="526">
        <v>0</v>
      </c>
      <c r="K59" s="526">
        <v>657</v>
      </c>
      <c r="L59" s="526">
        <v>125</v>
      </c>
      <c r="O59" s="526">
        <v>782</v>
      </c>
    </row>
    <row r="60" spans="1:15" x14ac:dyDescent="0.25">
      <c r="A60">
        <v>5</v>
      </c>
      <c r="B60">
        <v>33</v>
      </c>
      <c r="C60" t="s">
        <v>585</v>
      </c>
      <c r="D60" t="s">
        <v>594</v>
      </c>
      <c r="E60" t="s">
        <v>595</v>
      </c>
      <c r="F60">
        <v>36321668</v>
      </c>
      <c r="G60" s="152">
        <v>44284</v>
      </c>
      <c r="H60" s="411">
        <v>44289.726053240738</v>
      </c>
      <c r="J60" s="526">
        <v>0</v>
      </c>
      <c r="K60" s="526">
        <v>5500</v>
      </c>
      <c r="L60" s="526">
        <v>1045</v>
      </c>
      <c r="O60" s="526">
        <v>6545</v>
      </c>
    </row>
    <row r="61" spans="1:15" x14ac:dyDescent="0.25">
      <c r="A61">
        <v>6</v>
      </c>
      <c r="B61">
        <v>33</v>
      </c>
      <c r="C61" t="s">
        <v>585</v>
      </c>
      <c r="D61" t="s">
        <v>594</v>
      </c>
      <c r="E61" t="s">
        <v>595</v>
      </c>
      <c r="F61">
        <v>36321669</v>
      </c>
      <c r="G61" s="152">
        <v>44284</v>
      </c>
      <c r="H61" s="411">
        <v>44289.726053240738</v>
      </c>
      <c r="J61" s="526">
        <v>0</v>
      </c>
      <c r="K61" s="526">
        <v>576</v>
      </c>
      <c r="L61" s="526">
        <v>109</v>
      </c>
      <c r="O61" s="526">
        <v>685</v>
      </c>
    </row>
    <row r="62" spans="1:15" x14ac:dyDescent="0.25">
      <c r="A62">
        <v>7</v>
      </c>
      <c r="B62">
        <v>33</v>
      </c>
      <c r="C62" t="s">
        <v>585</v>
      </c>
      <c r="D62" t="s">
        <v>594</v>
      </c>
      <c r="E62" t="s">
        <v>595</v>
      </c>
      <c r="F62">
        <v>36547307</v>
      </c>
      <c r="G62" s="152">
        <v>44285</v>
      </c>
      <c r="H62" s="411">
        <v>44293.215405092589</v>
      </c>
      <c r="J62" s="526">
        <v>0</v>
      </c>
      <c r="K62" s="526">
        <v>3545</v>
      </c>
      <c r="L62" s="526">
        <v>674</v>
      </c>
      <c r="O62" s="526">
        <v>4219</v>
      </c>
    </row>
    <row r="63" spans="1:15" x14ac:dyDescent="0.25">
      <c r="A63">
        <v>8</v>
      </c>
      <c r="B63">
        <v>33</v>
      </c>
      <c r="C63" t="s">
        <v>585</v>
      </c>
      <c r="D63" t="s">
        <v>704</v>
      </c>
      <c r="E63" t="s">
        <v>705</v>
      </c>
      <c r="F63">
        <v>11722888</v>
      </c>
      <c r="G63" s="152">
        <v>44292</v>
      </c>
      <c r="H63" s="411">
        <v>44293.43037037037</v>
      </c>
      <c r="J63" s="526">
        <v>0</v>
      </c>
      <c r="K63" s="526">
        <v>1058</v>
      </c>
      <c r="L63" s="526">
        <v>201</v>
      </c>
      <c r="O63" s="526">
        <v>1259</v>
      </c>
    </row>
    <row r="64" spans="1:15" x14ac:dyDescent="0.25">
      <c r="A64">
        <v>9</v>
      </c>
      <c r="B64">
        <v>33</v>
      </c>
      <c r="C64" t="s">
        <v>585</v>
      </c>
      <c r="D64" t="s">
        <v>663</v>
      </c>
      <c r="E64" t="s">
        <v>664</v>
      </c>
      <c r="F64">
        <v>384397</v>
      </c>
      <c r="G64" s="152">
        <v>44293</v>
      </c>
      <c r="H64" s="411">
        <v>44293.613842592589</v>
      </c>
      <c r="J64" s="526">
        <v>0</v>
      </c>
      <c r="K64" s="526">
        <v>1512630</v>
      </c>
      <c r="L64" s="526">
        <v>287400</v>
      </c>
      <c r="O64" s="526">
        <v>1800030</v>
      </c>
    </row>
    <row r="65" spans="1:15" x14ac:dyDescent="0.25">
      <c r="A65">
        <v>10</v>
      </c>
      <c r="B65">
        <v>33</v>
      </c>
      <c r="C65" t="s">
        <v>585</v>
      </c>
      <c r="D65" t="s">
        <v>588</v>
      </c>
      <c r="E65" t="s">
        <v>589</v>
      </c>
      <c r="F65">
        <v>2916</v>
      </c>
      <c r="G65" s="152">
        <v>44286</v>
      </c>
      <c r="H65" s="411">
        <v>44298.469363425924</v>
      </c>
      <c r="J65" s="526">
        <v>0</v>
      </c>
      <c r="K65" s="526">
        <v>123825469</v>
      </c>
      <c r="L65" s="526">
        <v>23526839</v>
      </c>
      <c r="O65" s="526">
        <v>147352308</v>
      </c>
    </row>
    <row r="66" spans="1:15" x14ac:dyDescent="0.25">
      <c r="A66">
        <v>11</v>
      </c>
      <c r="B66">
        <v>33</v>
      </c>
      <c r="C66" t="s">
        <v>585</v>
      </c>
      <c r="D66" t="s">
        <v>590</v>
      </c>
      <c r="E66" t="s">
        <v>591</v>
      </c>
      <c r="F66">
        <v>42811220</v>
      </c>
      <c r="G66" s="152">
        <v>44296</v>
      </c>
      <c r="H66" s="411">
        <v>44305.67355324074</v>
      </c>
      <c r="J66" s="526">
        <v>0</v>
      </c>
      <c r="K66" s="526">
        <v>17639</v>
      </c>
      <c r="L66" s="526">
        <v>3351</v>
      </c>
      <c r="O66" s="526">
        <v>20990</v>
      </c>
    </row>
    <row r="67" spans="1:15" x14ac:dyDescent="0.25">
      <c r="A67">
        <v>12</v>
      </c>
      <c r="B67">
        <v>33</v>
      </c>
      <c r="C67" t="s">
        <v>585</v>
      </c>
      <c r="D67" t="s">
        <v>665</v>
      </c>
      <c r="E67" t="s">
        <v>666</v>
      </c>
      <c r="F67">
        <v>31297212</v>
      </c>
      <c r="G67" s="152">
        <v>44306</v>
      </c>
      <c r="H67" s="411">
        <v>44307.583969907406</v>
      </c>
      <c r="J67" s="526">
        <v>0</v>
      </c>
      <c r="K67" s="526">
        <v>1910</v>
      </c>
      <c r="L67" s="526">
        <v>363</v>
      </c>
      <c r="O67" s="526">
        <v>2273</v>
      </c>
    </row>
    <row r="68" spans="1:15" x14ac:dyDescent="0.25">
      <c r="A68">
        <v>13</v>
      </c>
      <c r="B68">
        <v>33</v>
      </c>
      <c r="C68" t="s">
        <v>585</v>
      </c>
      <c r="D68" t="s">
        <v>665</v>
      </c>
      <c r="E68" t="s">
        <v>666</v>
      </c>
      <c r="F68">
        <v>31297213</v>
      </c>
      <c r="G68" s="152">
        <v>44306</v>
      </c>
      <c r="H68" s="411">
        <v>44307.583969907406</v>
      </c>
      <c r="J68" s="526">
        <v>0</v>
      </c>
      <c r="K68" s="526">
        <v>882</v>
      </c>
      <c r="L68" s="526">
        <v>167</v>
      </c>
      <c r="O68" s="526">
        <v>1049</v>
      </c>
    </row>
    <row r="69" spans="1:15" x14ac:dyDescent="0.25">
      <c r="A69">
        <v>14</v>
      </c>
      <c r="B69">
        <v>33</v>
      </c>
      <c r="C69" t="s">
        <v>585</v>
      </c>
      <c r="D69" t="s">
        <v>665</v>
      </c>
      <c r="E69" t="s">
        <v>666</v>
      </c>
      <c r="F69">
        <v>31297214</v>
      </c>
      <c r="G69" s="152">
        <v>44306</v>
      </c>
      <c r="H69" s="411">
        <v>44307.583969907406</v>
      </c>
      <c r="J69" s="526">
        <v>0</v>
      </c>
      <c r="K69" s="526">
        <v>1470</v>
      </c>
      <c r="L69" s="526">
        <v>279</v>
      </c>
      <c r="O69" s="526">
        <v>1749</v>
      </c>
    </row>
    <row r="70" spans="1:15" x14ac:dyDescent="0.25">
      <c r="A70">
        <v>15</v>
      </c>
      <c r="B70">
        <v>33</v>
      </c>
      <c r="C70" t="s">
        <v>585</v>
      </c>
      <c r="D70" t="s">
        <v>663</v>
      </c>
      <c r="E70" t="s">
        <v>664</v>
      </c>
      <c r="F70">
        <v>388444</v>
      </c>
      <c r="G70" s="152">
        <v>44315</v>
      </c>
      <c r="H70" s="411">
        <v>44315.677268518521</v>
      </c>
      <c r="J70" s="526">
        <v>0</v>
      </c>
      <c r="K70" s="526">
        <v>403368</v>
      </c>
      <c r="L70" s="526">
        <v>76640</v>
      </c>
      <c r="O70" s="526">
        <v>480008</v>
      </c>
    </row>
    <row r="71" spans="1:15" x14ac:dyDescent="0.25">
      <c r="A71">
        <v>16</v>
      </c>
      <c r="B71">
        <v>34</v>
      </c>
      <c r="C71" t="s">
        <v>585</v>
      </c>
      <c r="D71" t="s">
        <v>596</v>
      </c>
      <c r="E71" t="s">
        <v>597</v>
      </c>
      <c r="F71">
        <v>761</v>
      </c>
      <c r="G71" s="152">
        <v>44281</v>
      </c>
      <c r="H71" s="411">
        <v>44281.408738425926</v>
      </c>
      <c r="J71" s="526">
        <v>478099</v>
      </c>
      <c r="K71" s="526">
        <v>0</v>
      </c>
      <c r="L71" s="526">
        <v>0</v>
      </c>
      <c r="O71" s="526">
        <v>478099</v>
      </c>
    </row>
    <row r="72" spans="1:15" x14ac:dyDescent="0.25">
      <c r="A72">
        <v>17</v>
      </c>
      <c r="B72">
        <v>34</v>
      </c>
      <c r="C72" t="s">
        <v>585</v>
      </c>
      <c r="D72" t="s">
        <v>605</v>
      </c>
      <c r="E72" t="s">
        <v>606</v>
      </c>
      <c r="F72">
        <v>6016</v>
      </c>
      <c r="G72" s="152">
        <v>44285</v>
      </c>
      <c r="H72" s="411">
        <v>44285.421979166669</v>
      </c>
      <c r="J72" s="526">
        <v>4261968</v>
      </c>
      <c r="K72" s="526">
        <v>0</v>
      </c>
      <c r="L72" s="526">
        <v>0</v>
      </c>
      <c r="O72" s="526">
        <v>4261968</v>
      </c>
    </row>
    <row r="73" spans="1:15" x14ac:dyDescent="0.25">
      <c r="A73">
        <v>18</v>
      </c>
      <c r="B73">
        <v>34</v>
      </c>
      <c r="C73" t="s">
        <v>585</v>
      </c>
      <c r="D73" t="s">
        <v>872</v>
      </c>
      <c r="E73" t="s">
        <v>873</v>
      </c>
      <c r="F73">
        <v>39343</v>
      </c>
      <c r="G73" s="152">
        <v>44305</v>
      </c>
      <c r="H73" s="411">
        <v>44305.654490740744</v>
      </c>
      <c r="J73" s="526">
        <v>730390</v>
      </c>
      <c r="K73" s="526">
        <v>0</v>
      </c>
      <c r="L73" s="526">
        <v>0</v>
      </c>
      <c r="O73" s="526">
        <v>730390</v>
      </c>
    </row>
    <row r="74" spans="1:15" x14ac:dyDescent="0.25">
      <c r="A74">
        <v>19</v>
      </c>
      <c r="B74">
        <v>61</v>
      </c>
      <c r="C74" t="s">
        <v>585</v>
      </c>
      <c r="D74" t="s">
        <v>594</v>
      </c>
      <c r="E74" t="s">
        <v>595</v>
      </c>
      <c r="F74">
        <v>2630976</v>
      </c>
      <c r="G74" s="152">
        <v>44308</v>
      </c>
      <c r="H74" s="411">
        <v>44308.744247685187</v>
      </c>
      <c r="J74" s="526">
        <v>0</v>
      </c>
      <c r="K74" s="526">
        <v>108</v>
      </c>
      <c r="L74" s="526">
        <v>21</v>
      </c>
      <c r="O74" s="526">
        <v>128</v>
      </c>
    </row>
    <row r="77" spans="1:15" x14ac:dyDescent="0.25">
      <c r="A77">
        <v>1</v>
      </c>
      <c r="B77">
        <v>33</v>
      </c>
      <c r="C77" t="s">
        <v>585</v>
      </c>
      <c r="D77" t="s">
        <v>586</v>
      </c>
      <c r="E77" t="s">
        <v>587</v>
      </c>
      <c r="F77">
        <v>10659955</v>
      </c>
      <c r="G77" s="152">
        <v>44317</v>
      </c>
      <c r="H77" s="411">
        <v>44316.01458333333</v>
      </c>
      <c r="J77" s="526">
        <v>0</v>
      </c>
      <c r="K77" s="526">
        <v>36191</v>
      </c>
      <c r="L77" s="526">
        <v>6876</v>
      </c>
      <c r="O77" s="526">
        <v>43067</v>
      </c>
    </row>
    <row r="78" spans="1:15" x14ac:dyDescent="0.25">
      <c r="A78">
        <v>2</v>
      </c>
      <c r="B78">
        <v>33</v>
      </c>
      <c r="C78" t="s">
        <v>585</v>
      </c>
      <c r="D78" t="s">
        <v>594</v>
      </c>
      <c r="E78" t="s">
        <v>595</v>
      </c>
      <c r="F78">
        <v>36620104</v>
      </c>
      <c r="G78" s="152">
        <v>44314</v>
      </c>
      <c r="H78" s="411">
        <v>44317.40766203704</v>
      </c>
      <c r="J78" s="526">
        <v>0</v>
      </c>
      <c r="K78" s="526">
        <v>120809</v>
      </c>
      <c r="L78" s="526">
        <v>22954</v>
      </c>
      <c r="O78" s="526">
        <v>143763</v>
      </c>
    </row>
    <row r="79" spans="1:15" x14ac:dyDescent="0.25">
      <c r="A79">
        <v>3</v>
      </c>
      <c r="B79">
        <v>33</v>
      </c>
      <c r="C79" t="s">
        <v>585</v>
      </c>
      <c r="D79" t="s">
        <v>594</v>
      </c>
      <c r="E79" t="s">
        <v>595</v>
      </c>
      <c r="F79">
        <v>36620105</v>
      </c>
      <c r="G79" s="152">
        <v>44314</v>
      </c>
      <c r="H79" s="411">
        <v>44317.40766203704</v>
      </c>
      <c r="J79" s="526">
        <v>0</v>
      </c>
      <c r="K79" s="526">
        <v>1550</v>
      </c>
      <c r="L79" s="526">
        <v>295</v>
      </c>
      <c r="O79" s="526">
        <v>1845</v>
      </c>
    </row>
    <row r="80" spans="1:15" x14ac:dyDescent="0.25">
      <c r="A80">
        <v>4</v>
      </c>
      <c r="B80">
        <v>33</v>
      </c>
      <c r="C80" t="s">
        <v>585</v>
      </c>
      <c r="D80" t="s">
        <v>594</v>
      </c>
      <c r="E80" t="s">
        <v>595</v>
      </c>
      <c r="F80">
        <v>36620106</v>
      </c>
      <c r="G80" s="152">
        <v>44314</v>
      </c>
      <c r="H80" s="411">
        <v>44317.40766203704</v>
      </c>
      <c r="J80" s="526">
        <v>0</v>
      </c>
      <c r="K80" s="526">
        <v>350</v>
      </c>
      <c r="L80" s="526">
        <v>67</v>
      </c>
      <c r="O80" s="526">
        <v>417</v>
      </c>
    </row>
    <row r="81" spans="1:15" x14ac:dyDescent="0.25">
      <c r="A81">
        <v>5</v>
      </c>
      <c r="B81">
        <v>33</v>
      </c>
      <c r="C81" t="s">
        <v>585</v>
      </c>
      <c r="D81" t="s">
        <v>594</v>
      </c>
      <c r="E81" t="s">
        <v>595</v>
      </c>
      <c r="F81">
        <v>36620107</v>
      </c>
      <c r="G81" s="152">
        <v>44314</v>
      </c>
      <c r="H81" s="411">
        <v>44317.40766203704</v>
      </c>
      <c r="J81" s="526">
        <v>0</v>
      </c>
      <c r="K81" s="526">
        <v>100</v>
      </c>
      <c r="L81" s="526">
        <v>19</v>
      </c>
      <c r="O81" s="526">
        <v>119</v>
      </c>
    </row>
    <row r="82" spans="1:15" x14ac:dyDescent="0.25">
      <c r="A82">
        <v>6</v>
      </c>
      <c r="B82">
        <v>33</v>
      </c>
      <c r="C82" t="s">
        <v>585</v>
      </c>
      <c r="D82" t="s">
        <v>601</v>
      </c>
      <c r="E82" t="s">
        <v>602</v>
      </c>
      <c r="F82">
        <v>489</v>
      </c>
      <c r="G82" s="152">
        <v>44319</v>
      </c>
      <c r="H82" s="411">
        <v>44319.412858796299</v>
      </c>
      <c r="J82" s="526">
        <v>0</v>
      </c>
      <c r="K82" s="526">
        <v>265000</v>
      </c>
      <c r="L82" s="526">
        <v>50350</v>
      </c>
      <c r="O82" s="526">
        <v>315350</v>
      </c>
    </row>
    <row r="83" spans="1:15" x14ac:dyDescent="0.25">
      <c r="A83">
        <v>7</v>
      </c>
      <c r="B83">
        <v>33</v>
      </c>
      <c r="C83" t="s">
        <v>585</v>
      </c>
      <c r="D83" t="s">
        <v>594</v>
      </c>
      <c r="E83" t="s">
        <v>595</v>
      </c>
      <c r="F83">
        <v>36931834</v>
      </c>
      <c r="G83" s="152">
        <v>44315</v>
      </c>
      <c r="H83" s="411">
        <v>44324.345069444447</v>
      </c>
      <c r="J83" s="526">
        <v>0</v>
      </c>
      <c r="K83" s="526">
        <v>3192</v>
      </c>
      <c r="L83" s="526">
        <v>606</v>
      </c>
      <c r="O83" s="526">
        <v>3798</v>
      </c>
    </row>
    <row r="84" spans="1:15" x14ac:dyDescent="0.25">
      <c r="A84">
        <v>8</v>
      </c>
      <c r="B84">
        <v>33</v>
      </c>
      <c r="C84" t="s">
        <v>585</v>
      </c>
      <c r="D84" t="s">
        <v>704</v>
      </c>
      <c r="E84" t="s">
        <v>705</v>
      </c>
      <c r="F84">
        <v>11937250</v>
      </c>
      <c r="G84" s="152">
        <v>44323</v>
      </c>
      <c r="H84" s="411">
        <v>44326.513159722221</v>
      </c>
      <c r="J84" s="526">
        <v>0</v>
      </c>
      <c r="K84" s="526">
        <v>1947</v>
      </c>
      <c r="L84" s="526">
        <v>370</v>
      </c>
      <c r="O84" s="526">
        <v>2317</v>
      </c>
    </row>
    <row r="85" spans="1:15" x14ac:dyDescent="0.25">
      <c r="A85">
        <v>9</v>
      </c>
      <c r="B85">
        <v>33</v>
      </c>
      <c r="C85" t="s">
        <v>585</v>
      </c>
      <c r="D85" t="s">
        <v>588</v>
      </c>
      <c r="E85" t="s">
        <v>589</v>
      </c>
      <c r="F85">
        <v>2930</v>
      </c>
      <c r="G85" s="152">
        <v>44316</v>
      </c>
      <c r="H85" s="411">
        <v>44326.686006944445</v>
      </c>
      <c r="J85" s="526">
        <v>0</v>
      </c>
      <c r="K85" s="526">
        <v>150289718</v>
      </c>
      <c r="L85" s="526">
        <v>28555046</v>
      </c>
      <c r="O85" s="526">
        <v>178844764</v>
      </c>
    </row>
    <row r="86" spans="1:15" x14ac:dyDescent="0.25">
      <c r="A86">
        <v>10</v>
      </c>
      <c r="B86">
        <v>33</v>
      </c>
      <c r="C86" t="s">
        <v>585</v>
      </c>
      <c r="D86" t="s">
        <v>665</v>
      </c>
      <c r="E86" t="s">
        <v>666</v>
      </c>
      <c r="F86">
        <v>31458217</v>
      </c>
      <c r="G86" s="152">
        <v>44326</v>
      </c>
      <c r="H86" s="411">
        <v>44327.459351851852</v>
      </c>
      <c r="J86" s="526">
        <v>0</v>
      </c>
      <c r="K86" s="526">
        <v>590</v>
      </c>
      <c r="L86" s="526">
        <v>112</v>
      </c>
      <c r="O86" s="526">
        <v>702</v>
      </c>
    </row>
    <row r="87" spans="1:15" x14ac:dyDescent="0.25">
      <c r="A87">
        <v>11</v>
      </c>
      <c r="B87">
        <v>33</v>
      </c>
      <c r="C87" t="s">
        <v>585</v>
      </c>
      <c r="D87" t="s">
        <v>665</v>
      </c>
      <c r="E87" t="s">
        <v>666</v>
      </c>
      <c r="F87">
        <v>31458218</v>
      </c>
      <c r="G87" s="152">
        <v>44326</v>
      </c>
      <c r="H87" s="411">
        <v>44327.459351851852</v>
      </c>
      <c r="J87" s="526">
        <v>0</v>
      </c>
      <c r="K87" s="526">
        <v>1475</v>
      </c>
      <c r="L87" s="526">
        <v>280</v>
      </c>
      <c r="O87" s="526">
        <v>1755</v>
      </c>
    </row>
    <row r="88" spans="1:15" x14ac:dyDescent="0.25">
      <c r="A88">
        <v>12</v>
      </c>
      <c r="B88">
        <v>33</v>
      </c>
      <c r="C88" t="s">
        <v>585</v>
      </c>
      <c r="D88" t="s">
        <v>665</v>
      </c>
      <c r="E88" t="s">
        <v>666</v>
      </c>
      <c r="F88">
        <v>31458219</v>
      </c>
      <c r="G88" s="152">
        <v>44326</v>
      </c>
      <c r="H88" s="411">
        <v>44327.459351851852</v>
      </c>
      <c r="J88" s="526">
        <v>0</v>
      </c>
      <c r="K88" s="526">
        <v>1180</v>
      </c>
      <c r="L88" s="526">
        <v>224</v>
      </c>
      <c r="O88" s="526">
        <v>1404</v>
      </c>
    </row>
    <row r="89" spans="1:15" x14ac:dyDescent="0.25">
      <c r="A89">
        <v>13</v>
      </c>
      <c r="B89">
        <v>33</v>
      </c>
      <c r="C89" t="s">
        <v>585</v>
      </c>
      <c r="D89" t="s">
        <v>607</v>
      </c>
      <c r="E89" t="s">
        <v>608</v>
      </c>
      <c r="F89">
        <v>2514</v>
      </c>
      <c r="G89" s="152">
        <v>44327</v>
      </c>
      <c r="H89" s="411">
        <v>44327.904976851853</v>
      </c>
      <c r="J89" s="526">
        <v>0</v>
      </c>
      <c r="K89" s="526">
        <v>46218</v>
      </c>
      <c r="L89" s="526">
        <v>8781</v>
      </c>
      <c r="O89" s="526">
        <v>54999</v>
      </c>
    </row>
    <row r="90" spans="1:15" x14ac:dyDescent="0.25">
      <c r="A90">
        <v>14</v>
      </c>
      <c r="B90">
        <v>33</v>
      </c>
      <c r="C90" t="s">
        <v>585</v>
      </c>
      <c r="D90" t="s">
        <v>599</v>
      </c>
      <c r="E90" t="s">
        <v>600</v>
      </c>
      <c r="F90">
        <v>3818</v>
      </c>
      <c r="G90" s="152">
        <v>44329</v>
      </c>
      <c r="H90" s="411">
        <v>44329.474108796298</v>
      </c>
      <c r="J90" s="526">
        <v>0</v>
      </c>
      <c r="K90" s="526">
        <v>250000</v>
      </c>
      <c r="L90" s="526">
        <v>47500</v>
      </c>
      <c r="O90" s="526">
        <v>297500</v>
      </c>
    </row>
    <row r="91" spans="1:15" x14ac:dyDescent="0.25">
      <c r="A91">
        <v>15</v>
      </c>
      <c r="B91">
        <v>33</v>
      </c>
      <c r="C91" t="s">
        <v>585</v>
      </c>
      <c r="D91" t="s">
        <v>590</v>
      </c>
      <c r="E91" t="s">
        <v>591</v>
      </c>
      <c r="F91">
        <v>43010096</v>
      </c>
      <c r="G91" s="152">
        <v>44326</v>
      </c>
      <c r="H91" s="411">
        <v>44334.283483796295</v>
      </c>
      <c r="J91" s="526">
        <v>0</v>
      </c>
      <c r="K91" s="526">
        <v>17639</v>
      </c>
      <c r="L91" s="526">
        <v>3351</v>
      </c>
      <c r="O91" s="526">
        <v>20990</v>
      </c>
    </row>
    <row r="92" spans="1:15" x14ac:dyDescent="0.25">
      <c r="A92">
        <v>16</v>
      </c>
      <c r="B92">
        <v>33</v>
      </c>
      <c r="C92" t="s">
        <v>585</v>
      </c>
      <c r="D92" t="s">
        <v>663</v>
      </c>
      <c r="E92" t="s">
        <v>664</v>
      </c>
      <c r="F92">
        <v>392392</v>
      </c>
      <c r="G92" s="152">
        <v>44336</v>
      </c>
      <c r="H92" s="411">
        <v>44336.539733796293</v>
      </c>
      <c r="J92" s="526">
        <v>0</v>
      </c>
      <c r="K92" s="526">
        <v>58824</v>
      </c>
      <c r="L92" s="526">
        <v>11177</v>
      </c>
      <c r="O92" s="526">
        <v>70001</v>
      </c>
    </row>
    <row r="93" spans="1:15" x14ac:dyDescent="0.25">
      <c r="A93">
        <v>17</v>
      </c>
      <c r="B93">
        <v>33</v>
      </c>
      <c r="C93" t="s">
        <v>585</v>
      </c>
      <c r="D93" t="s">
        <v>663</v>
      </c>
      <c r="E93" t="s">
        <v>664</v>
      </c>
      <c r="F93">
        <v>393113</v>
      </c>
      <c r="G93" s="152">
        <v>44342</v>
      </c>
      <c r="H93" s="411">
        <v>44342.534456018519</v>
      </c>
      <c r="J93" s="526">
        <v>0</v>
      </c>
      <c r="K93" s="526">
        <v>1915966</v>
      </c>
      <c r="L93" s="526">
        <v>364034</v>
      </c>
      <c r="O93" s="526">
        <v>2280000</v>
      </c>
    </row>
    <row r="94" spans="1:15" x14ac:dyDescent="0.25">
      <c r="A94">
        <v>18</v>
      </c>
      <c r="B94">
        <v>33</v>
      </c>
      <c r="C94" t="s">
        <v>585</v>
      </c>
      <c r="D94" t="s">
        <v>594</v>
      </c>
      <c r="E94" t="s">
        <v>595</v>
      </c>
      <c r="F94">
        <v>37260628</v>
      </c>
      <c r="G94" s="152">
        <v>44343</v>
      </c>
      <c r="H94" s="411">
        <v>44346.744398148148</v>
      </c>
      <c r="J94" s="526">
        <v>0</v>
      </c>
      <c r="K94" s="526">
        <v>123295</v>
      </c>
      <c r="L94" s="526">
        <v>23426</v>
      </c>
      <c r="O94" s="526">
        <v>146721</v>
      </c>
    </row>
    <row r="95" spans="1:15" x14ac:dyDescent="0.25">
      <c r="A95">
        <v>19</v>
      </c>
      <c r="B95">
        <v>33</v>
      </c>
      <c r="C95" t="s">
        <v>585</v>
      </c>
      <c r="D95" t="s">
        <v>594</v>
      </c>
      <c r="E95" t="s">
        <v>595</v>
      </c>
      <c r="F95">
        <v>37260629</v>
      </c>
      <c r="G95" s="152">
        <v>44343</v>
      </c>
      <c r="H95" s="411">
        <v>44346.744398148148</v>
      </c>
      <c r="J95" s="526">
        <v>0</v>
      </c>
      <c r="K95" s="526">
        <v>1300</v>
      </c>
      <c r="L95" s="526">
        <v>247</v>
      </c>
      <c r="O95" s="526">
        <v>1547</v>
      </c>
    </row>
    <row r="96" spans="1:15" x14ac:dyDescent="0.25">
      <c r="A96">
        <v>20</v>
      </c>
      <c r="B96">
        <v>33</v>
      </c>
      <c r="C96" t="s">
        <v>585</v>
      </c>
      <c r="D96" t="s">
        <v>594</v>
      </c>
      <c r="E96" t="s">
        <v>595</v>
      </c>
      <c r="F96">
        <v>37260630</v>
      </c>
      <c r="G96" s="152">
        <v>44343</v>
      </c>
      <c r="H96" s="411">
        <v>44346.744398148148</v>
      </c>
      <c r="J96" s="526">
        <v>0</v>
      </c>
      <c r="K96" s="526">
        <v>320</v>
      </c>
      <c r="L96" s="526">
        <v>61</v>
      </c>
      <c r="O96" s="526">
        <v>381</v>
      </c>
    </row>
    <row r="97" spans="1:15" x14ac:dyDescent="0.25">
      <c r="A97">
        <v>21</v>
      </c>
      <c r="B97">
        <v>33</v>
      </c>
      <c r="C97" t="s">
        <v>585</v>
      </c>
      <c r="D97" t="s">
        <v>594</v>
      </c>
      <c r="E97" t="s">
        <v>595</v>
      </c>
      <c r="F97">
        <v>37260631</v>
      </c>
      <c r="G97" s="152">
        <v>44343</v>
      </c>
      <c r="H97" s="411">
        <v>44346.744398148148</v>
      </c>
      <c r="J97" s="526">
        <v>0</v>
      </c>
      <c r="K97" s="526">
        <v>500</v>
      </c>
      <c r="L97" s="526">
        <v>95</v>
      </c>
      <c r="O97" s="526">
        <v>595</v>
      </c>
    </row>
    <row r="98" spans="1:15" x14ac:dyDescent="0.25">
      <c r="A98">
        <v>22</v>
      </c>
      <c r="B98">
        <v>34</v>
      </c>
      <c r="C98" t="s">
        <v>585</v>
      </c>
      <c r="D98" t="s">
        <v>596</v>
      </c>
      <c r="E98" t="s">
        <v>597</v>
      </c>
      <c r="F98">
        <v>769</v>
      </c>
      <c r="G98" s="152">
        <v>44309</v>
      </c>
      <c r="H98" s="411">
        <v>44309.553900462961</v>
      </c>
      <c r="J98" s="526">
        <v>478498</v>
      </c>
      <c r="K98" s="526">
        <v>0</v>
      </c>
      <c r="L98" s="526">
        <v>0</v>
      </c>
      <c r="O98" s="526">
        <v>478498</v>
      </c>
    </row>
    <row r="99" spans="1:15" x14ac:dyDescent="0.25">
      <c r="A99">
        <v>23</v>
      </c>
      <c r="B99">
        <v>34</v>
      </c>
      <c r="C99" t="s">
        <v>585</v>
      </c>
      <c r="D99" t="s">
        <v>628</v>
      </c>
      <c r="E99" t="s">
        <v>629</v>
      </c>
      <c r="F99">
        <v>131</v>
      </c>
      <c r="G99" s="152">
        <v>44310</v>
      </c>
      <c r="H99" s="411">
        <v>44310.874675925923</v>
      </c>
      <c r="J99" s="526">
        <v>951186</v>
      </c>
      <c r="K99" s="526">
        <v>0</v>
      </c>
      <c r="L99" s="526">
        <v>0</v>
      </c>
      <c r="O99" s="526">
        <v>951186</v>
      </c>
    </row>
    <row r="100" spans="1:15" x14ac:dyDescent="0.25">
      <c r="A100">
        <v>24</v>
      </c>
      <c r="B100">
        <v>34</v>
      </c>
      <c r="C100" t="s">
        <v>585</v>
      </c>
      <c r="D100" t="s">
        <v>605</v>
      </c>
      <c r="E100" t="s">
        <v>606</v>
      </c>
      <c r="F100">
        <v>6113</v>
      </c>
      <c r="G100" s="152">
        <v>44315</v>
      </c>
      <c r="H100" s="411">
        <v>44315.73065972222</v>
      </c>
      <c r="J100" s="526">
        <v>4276080</v>
      </c>
      <c r="K100" s="526">
        <v>0</v>
      </c>
      <c r="L100" s="526">
        <v>0</v>
      </c>
      <c r="O100" s="526">
        <v>4276080</v>
      </c>
    </row>
    <row r="101" spans="1:15" x14ac:dyDescent="0.25">
      <c r="A101">
        <v>25</v>
      </c>
      <c r="B101">
        <v>61</v>
      </c>
      <c r="C101" t="s">
        <v>585</v>
      </c>
      <c r="D101" t="s">
        <v>594</v>
      </c>
      <c r="E101" t="s">
        <v>595</v>
      </c>
      <c r="F101">
        <v>2794664</v>
      </c>
      <c r="G101" s="152">
        <v>44344</v>
      </c>
      <c r="H101" s="411">
        <v>44344.571203703701</v>
      </c>
      <c r="J101" s="526">
        <v>0</v>
      </c>
      <c r="K101" s="526">
        <v>115</v>
      </c>
      <c r="L101" s="526">
        <v>22</v>
      </c>
      <c r="O101" s="526">
        <v>137</v>
      </c>
    </row>
    <row r="104" spans="1:15" x14ac:dyDescent="0.25">
      <c r="A104">
        <v>1</v>
      </c>
      <c r="B104">
        <v>33</v>
      </c>
      <c r="C104" t="s">
        <v>585</v>
      </c>
      <c r="D104" t="s">
        <v>586</v>
      </c>
      <c r="E104" t="s">
        <v>587</v>
      </c>
      <c r="F104">
        <v>10690267</v>
      </c>
      <c r="G104" s="152">
        <v>44348</v>
      </c>
      <c r="H104" s="411">
        <v>44345.09002314815</v>
      </c>
      <c r="J104" s="526">
        <v>0</v>
      </c>
      <c r="K104" s="526">
        <v>36337</v>
      </c>
      <c r="L104" s="526">
        <v>6904</v>
      </c>
      <c r="O104" s="526">
        <v>43241</v>
      </c>
    </row>
    <row r="105" spans="1:15" x14ac:dyDescent="0.25">
      <c r="A105">
        <v>2</v>
      </c>
      <c r="B105">
        <v>33</v>
      </c>
      <c r="C105" t="s">
        <v>585</v>
      </c>
      <c r="D105" t="s">
        <v>594</v>
      </c>
      <c r="E105" t="s">
        <v>595</v>
      </c>
      <c r="F105">
        <v>37482427</v>
      </c>
      <c r="G105" s="152">
        <v>44347</v>
      </c>
      <c r="H105" s="411">
        <v>44352.283449074072</v>
      </c>
      <c r="J105" s="526">
        <v>0</v>
      </c>
      <c r="K105" s="526">
        <v>9081</v>
      </c>
      <c r="L105" s="526">
        <v>1725</v>
      </c>
      <c r="O105" s="526">
        <v>10806</v>
      </c>
    </row>
    <row r="106" spans="1:15" x14ac:dyDescent="0.25">
      <c r="A106">
        <v>3</v>
      </c>
      <c r="B106">
        <v>33</v>
      </c>
      <c r="C106" t="s">
        <v>585</v>
      </c>
      <c r="D106" t="s">
        <v>665</v>
      </c>
      <c r="E106" t="s">
        <v>666</v>
      </c>
      <c r="F106">
        <v>31641450</v>
      </c>
      <c r="G106" s="152">
        <v>44351</v>
      </c>
      <c r="H106" s="411">
        <v>44352.443078703705</v>
      </c>
      <c r="J106" s="526">
        <v>0</v>
      </c>
      <c r="K106" s="526">
        <v>1185</v>
      </c>
      <c r="L106" s="526">
        <v>225</v>
      </c>
      <c r="O106" s="526">
        <v>1410</v>
      </c>
    </row>
    <row r="107" spans="1:15" x14ac:dyDescent="0.25">
      <c r="A107">
        <v>4</v>
      </c>
      <c r="B107">
        <v>33</v>
      </c>
      <c r="C107" t="s">
        <v>585</v>
      </c>
      <c r="D107" t="s">
        <v>665</v>
      </c>
      <c r="E107" t="s">
        <v>666</v>
      </c>
      <c r="F107">
        <v>31641451</v>
      </c>
      <c r="G107" s="152">
        <v>44351</v>
      </c>
      <c r="H107" s="411">
        <v>44352.443078703705</v>
      </c>
      <c r="J107" s="526">
        <v>0</v>
      </c>
      <c r="K107" s="526">
        <v>2369</v>
      </c>
      <c r="L107" s="526">
        <v>450</v>
      </c>
      <c r="O107" s="526">
        <v>2819</v>
      </c>
    </row>
    <row r="108" spans="1:15" x14ac:dyDescent="0.25">
      <c r="A108">
        <v>5</v>
      </c>
      <c r="B108">
        <v>33</v>
      </c>
      <c r="C108" t="s">
        <v>585</v>
      </c>
      <c r="D108" t="s">
        <v>665</v>
      </c>
      <c r="E108" t="s">
        <v>666</v>
      </c>
      <c r="F108">
        <v>31641452</v>
      </c>
      <c r="G108" s="152">
        <v>44351</v>
      </c>
      <c r="H108" s="411">
        <v>44352.443078703705</v>
      </c>
      <c r="J108" s="526">
        <v>0</v>
      </c>
      <c r="K108" s="526">
        <v>1481</v>
      </c>
      <c r="L108" s="526">
        <v>281</v>
      </c>
      <c r="O108" s="526">
        <v>1762</v>
      </c>
    </row>
    <row r="109" spans="1:15" x14ac:dyDescent="0.25">
      <c r="A109">
        <v>6</v>
      </c>
      <c r="B109">
        <v>33</v>
      </c>
      <c r="C109" t="s">
        <v>585</v>
      </c>
      <c r="D109" t="s">
        <v>704</v>
      </c>
      <c r="E109" t="s">
        <v>705</v>
      </c>
      <c r="F109">
        <v>12016837</v>
      </c>
      <c r="G109" s="152">
        <v>44355</v>
      </c>
      <c r="H109" s="411">
        <v>44356.470694444448</v>
      </c>
      <c r="J109" s="526">
        <v>0</v>
      </c>
      <c r="K109" s="526">
        <v>1066</v>
      </c>
      <c r="L109" s="526">
        <v>203</v>
      </c>
      <c r="O109" s="526">
        <v>1269</v>
      </c>
    </row>
    <row r="110" spans="1:15" x14ac:dyDescent="0.25">
      <c r="A110">
        <v>7</v>
      </c>
      <c r="B110">
        <v>33</v>
      </c>
      <c r="C110" t="s">
        <v>585</v>
      </c>
      <c r="D110" t="s">
        <v>588</v>
      </c>
      <c r="E110" t="s">
        <v>589</v>
      </c>
      <c r="F110">
        <v>2957</v>
      </c>
      <c r="G110" s="152">
        <v>44347</v>
      </c>
      <c r="H110" s="411">
        <v>44356.66269675926</v>
      </c>
      <c r="J110" s="526">
        <v>0</v>
      </c>
      <c r="K110" s="526">
        <v>167507663</v>
      </c>
      <c r="L110" s="526">
        <v>31826456</v>
      </c>
      <c r="O110" s="526">
        <v>199334119</v>
      </c>
    </row>
    <row r="111" spans="1:15" x14ac:dyDescent="0.25">
      <c r="A111">
        <v>8</v>
      </c>
      <c r="B111">
        <v>33</v>
      </c>
      <c r="C111" t="s">
        <v>585</v>
      </c>
      <c r="D111" t="s">
        <v>663</v>
      </c>
      <c r="E111" t="s">
        <v>664</v>
      </c>
      <c r="F111">
        <v>397077</v>
      </c>
      <c r="G111" s="152">
        <v>44363</v>
      </c>
      <c r="H111" s="411">
        <v>44363.383611111109</v>
      </c>
      <c r="J111" s="526">
        <v>0</v>
      </c>
      <c r="K111" s="526">
        <v>1974821</v>
      </c>
      <c r="L111" s="526">
        <v>375216</v>
      </c>
      <c r="O111" s="526">
        <v>2350037</v>
      </c>
    </row>
    <row r="112" spans="1:15" x14ac:dyDescent="0.25">
      <c r="A112">
        <v>9</v>
      </c>
      <c r="B112">
        <v>33</v>
      </c>
      <c r="C112" t="s">
        <v>585</v>
      </c>
      <c r="D112" t="s">
        <v>590</v>
      </c>
      <c r="E112" t="s">
        <v>591</v>
      </c>
      <c r="F112">
        <v>43145707</v>
      </c>
      <c r="G112" s="152">
        <v>44357</v>
      </c>
      <c r="H112" s="411">
        <v>44364.542326388888</v>
      </c>
      <c r="J112" s="526">
        <v>0</v>
      </c>
      <c r="K112" s="526">
        <v>17639</v>
      </c>
      <c r="L112" s="526">
        <v>3351</v>
      </c>
      <c r="O112" s="526">
        <v>20990</v>
      </c>
    </row>
    <row r="113" spans="1:15" x14ac:dyDescent="0.25">
      <c r="A113">
        <v>10</v>
      </c>
      <c r="B113">
        <v>33</v>
      </c>
      <c r="C113" t="s">
        <v>585</v>
      </c>
      <c r="D113" t="s">
        <v>661</v>
      </c>
      <c r="E113" t="s">
        <v>662</v>
      </c>
      <c r="F113">
        <v>39326</v>
      </c>
      <c r="G113" s="152">
        <v>44369</v>
      </c>
      <c r="H113" s="411">
        <v>44369.422754629632</v>
      </c>
      <c r="J113" s="526">
        <v>0</v>
      </c>
      <c r="K113" s="526">
        <v>108816</v>
      </c>
      <c r="L113" s="526">
        <v>20675</v>
      </c>
      <c r="O113" s="526">
        <v>129491</v>
      </c>
    </row>
    <row r="114" spans="1:15" x14ac:dyDescent="0.25">
      <c r="A114">
        <v>11</v>
      </c>
      <c r="B114">
        <v>33</v>
      </c>
      <c r="C114" t="s">
        <v>585</v>
      </c>
      <c r="D114" t="s">
        <v>603</v>
      </c>
      <c r="E114" t="s">
        <v>604</v>
      </c>
      <c r="F114">
        <v>599124</v>
      </c>
      <c r="G114" s="152">
        <v>44370</v>
      </c>
      <c r="H114" s="411">
        <v>44370.343263888892</v>
      </c>
      <c r="J114" s="526">
        <v>0</v>
      </c>
      <c r="K114" s="526">
        <v>10000</v>
      </c>
      <c r="L114" s="526">
        <v>1900</v>
      </c>
      <c r="O114" s="526">
        <v>11900</v>
      </c>
    </row>
    <row r="115" spans="1:15" x14ac:dyDescent="0.25">
      <c r="A115">
        <v>12</v>
      </c>
      <c r="B115">
        <v>33</v>
      </c>
      <c r="C115" t="s">
        <v>585</v>
      </c>
      <c r="D115" t="s">
        <v>594</v>
      </c>
      <c r="E115" t="s">
        <v>595</v>
      </c>
      <c r="F115">
        <v>37552125</v>
      </c>
      <c r="G115" s="152">
        <v>44372</v>
      </c>
      <c r="H115" s="411">
        <v>44376.843449074076</v>
      </c>
      <c r="J115" s="526">
        <v>0</v>
      </c>
      <c r="K115" s="526">
        <v>119200</v>
      </c>
      <c r="L115" s="526">
        <v>22648</v>
      </c>
      <c r="O115" s="526">
        <v>141848</v>
      </c>
    </row>
    <row r="116" spans="1:15" x14ac:dyDescent="0.25">
      <c r="A116">
        <v>13</v>
      </c>
      <c r="B116">
        <v>33</v>
      </c>
      <c r="C116" t="s">
        <v>585</v>
      </c>
      <c r="D116" t="s">
        <v>594</v>
      </c>
      <c r="E116" t="s">
        <v>595</v>
      </c>
      <c r="F116">
        <v>37552126</v>
      </c>
      <c r="G116" s="152">
        <v>44372</v>
      </c>
      <c r="H116" s="411">
        <v>44376.843449074076</v>
      </c>
      <c r="J116" s="526">
        <v>0</v>
      </c>
      <c r="K116" s="526">
        <v>908</v>
      </c>
      <c r="L116" s="526">
        <v>173</v>
      </c>
      <c r="O116" s="526">
        <v>1081</v>
      </c>
    </row>
    <row r="117" spans="1:15" x14ac:dyDescent="0.25">
      <c r="A117">
        <v>14</v>
      </c>
      <c r="B117">
        <v>34</v>
      </c>
      <c r="C117" t="s">
        <v>585</v>
      </c>
      <c r="D117" t="s">
        <v>596</v>
      </c>
      <c r="E117" t="s">
        <v>597</v>
      </c>
      <c r="F117">
        <v>780</v>
      </c>
      <c r="G117" s="152">
        <v>44340</v>
      </c>
      <c r="H117" s="411">
        <v>44340.580567129633</v>
      </c>
      <c r="J117" s="526">
        <v>478358</v>
      </c>
      <c r="K117" s="526">
        <v>0</v>
      </c>
      <c r="L117" s="526">
        <v>0</v>
      </c>
      <c r="O117" s="526">
        <v>478358</v>
      </c>
    </row>
    <row r="118" spans="1:15" x14ac:dyDescent="0.25">
      <c r="A118">
        <v>15</v>
      </c>
      <c r="B118">
        <v>34</v>
      </c>
      <c r="C118" t="s">
        <v>585</v>
      </c>
      <c r="D118" t="s">
        <v>605</v>
      </c>
      <c r="E118" t="s">
        <v>606</v>
      </c>
      <c r="F118">
        <v>6165</v>
      </c>
      <c r="G118" s="152">
        <v>44343</v>
      </c>
      <c r="H118" s="411">
        <v>44343.403449074074</v>
      </c>
      <c r="J118" s="526">
        <v>4291711</v>
      </c>
      <c r="K118" s="526">
        <v>0</v>
      </c>
      <c r="L118" s="526">
        <v>0</v>
      </c>
      <c r="O118" s="526">
        <v>4291711</v>
      </c>
    </row>
    <row r="119" spans="1:15" x14ac:dyDescent="0.25">
      <c r="A119">
        <v>16</v>
      </c>
      <c r="B119">
        <v>61</v>
      </c>
      <c r="C119" t="s">
        <v>585</v>
      </c>
      <c r="D119" t="s">
        <v>596</v>
      </c>
      <c r="E119" t="s">
        <v>597</v>
      </c>
      <c r="F119">
        <v>75</v>
      </c>
      <c r="G119" s="152">
        <v>44370</v>
      </c>
      <c r="H119" s="411">
        <v>44370.741481481484</v>
      </c>
      <c r="J119" s="526">
        <v>55555</v>
      </c>
      <c r="K119" s="526">
        <v>0</v>
      </c>
      <c r="L119" s="526">
        <v>0</v>
      </c>
      <c r="O119" s="526">
        <v>55555</v>
      </c>
    </row>
    <row r="122" spans="1:15" x14ac:dyDescent="0.25">
      <c r="A122">
        <v>1</v>
      </c>
      <c r="B122">
        <v>33</v>
      </c>
      <c r="C122" t="s">
        <v>585</v>
      </c>
      <c r="D122" t="s">
        <v>586</v>
      </c>
      <c r="E122" t="s">
        <v>587</v>
      </c>
      <c r="F122">
        <v>10720556</v>
      </c>
      <c r="G122" s="152">
        <v>44378</v>
      </c>
      <c r="H122" s="411">
        <v>44377.263391203705</v>
      </c>
      <c r="J122" s="526">
        <v>0</v>
      </c>
      <c r="K122" s="526">
        <v>36455</v>
      </c>
      <c r="L122" s="526">
        <v>6926</v>
      </c>
      <c r="M122"/>
      <c r="N122"/>
      <c r="O122" s="526">
        <v>43381</v>
      </c>
    </row>
    <row r="123" spans="1:15" x14ac:dyDescent="0.25">
      <c r="A123">
        <v>2</v>
      </c>
      <c r="B123">
        <v>33</v>
      </c>
      <c r="C123" t="s">
        <v>585</v>
      </c>
      <c r="D123" t="s">
        <v>1891</v>
      </c>
      <c r="E123" t="s">
        <v>1892</v>
      </c>
      <c r="F123">
        <v>47848</v>
      </c>
      <c r="G123" s="152">
        <v>44378</v>
      </c>
      <c r="H123" s="411">
        <v>44378.303912037038</v>
      </c>
      <c r="J123" s="526">
        <v>0</v>
      </c>
      <c r="K123" s="526">
        <v>111750</v>
      </c>
      <c r="L123" s="526">
        <v>21233</v>
      </c>
      <c r="M123"/>
      <c r="N123"/>
      <c r="O123" s="526">
        <v>132983</v>
      </c>
    </row>
    <row r="124" spans="1:15" x14ac:dyDescent="0.25">
      <c r="A124">
        <v>3</v>
      </c>
      <c r="B124">
        <v>33</v>
      </c>
      <c r="C124" t="s">
        <v>585</v>
      </c>
      <c r="D124" t="s">
        <v>588</v>
      </c>
      <c r="E124" t="s">
        <v>589</v>
      </c>
      <c r="F124">
        <v>2973</v>
      </c>
      <c r="G124" s="152">
        <v>44377</v>
      </c>
      <c r="H124" s="411">
        <v>44382.550011574072</v>
      </c>
      <c r="J124" s="526">
        <v>0</v>
      </c>
      <c r="K124" s="526">
        <v>103129783</v>
      </c>
      <c r="L124" s="526">
        <v>19594659</v>
      </c>
      <c r="M124"/>
      <c r="N124"/>
      <c r="O124" s="526">
        <v>122724442</v>
      </c>
    </row>
    <row r="125" spans="1:15" x14ac:dyDescent="0.25">
      <c r="A125">
        <v>4</v>
      </c>
      <c r="B125">
        <v>33</v>
      </c>
      <c r="C125" t="s">
        <v>585</v>
      </c>
      <c r="D125" t="s">
        <v>665</v>
      </c>
      <c r="E125" t="s">
        <v>666</v>
      </c>
      <c r="F125">
        <v>31838579</v>
      </c>
      <c r="G125" s="152">
        <v>44382</v>
      </c>
      <c r="H125" s="411">
        <v>44383.711446759262</v>
      </c>
      <c r="J125" s="526">
        <v>0</v>
      </c>
      <c r="K125" s="526">
        <v>892</v>
      </c>
      <c r="L125" s="526">
        <v>169</v>
      </c>
      <c r="M125"/>
      <c r="N125"/>
      <c r="O125" s="526">
        <v>1061</v>
      </c>
    </row>
    <row r="126" spans="1:15" x14ac:dyDescent="0.25">
      <c r="A126">
        <v>5</v>
      </c>
      <c r="B126">
        <v>33</v>
      </c>
      <c r="C126" t="s">
        <v>585</v>
      </c>
      <c r="D126" t="s">
        <v>665</v>
      </c>
      <c r="E126" t="s">
        <v>666</v>
      </c>
      <c r="F126">
        <v>31838580</v>
      </c>
      <c r="G126" s="152">
        <v>44382</v>
      </c>
      <c r="H126" s="411">
        <v>44383.711446759262</v>
      </c>
      <c r="J126" s="526">
        <v>0</v>
      </c>
      <c r="K126" s="526">
        <v>1486</v>
      </c>
      <c r="L126" s="526">
        <v>282</v>
      </c>
      <c r="M126"/>
      <c r="N126"/>
      <c r="O126" s="526">
        <v>1768</v>
      </c>
    </row>
    <row r="127" spans="1:15" x14ac:dyDescent="0.25">
      <c r="A127">
        <v>6</v>
      </c>
      <c r="B127">
        <v>33</v>
      </c>
      <c r="C127" t="s">
        <v>585</v>
      </c>
      <c r="D127" t="s">
        <v>665</v>
      </c>
      <c r="E127" t="s">
        <v>666</v>
      </c>
      <c r="F127">
        <v>31838581</v>
      </c>
      <c r="G127" s="152">
        <v>44382</v>
      </c>
      <c r="H127" s="411">
        <v>44383.711446759262</v>
      </c>
      <c r="J127" s="526">
        <v>0</v>
      </c>
      <c r="K127" s="526">
        <v>1188</v>
      </c>
      <c r="L127" s="526">
        <v>226</v>
      </c>
      <c r="M127"/>
      <c r="N127"/>
      <c r="O127" s="526">
        <v>1414</v>
      </c>
    </row>
    <row r="128" spans="1:15" x14ac:dyDescent="0.25">
      <c r="A128">
        <v>7</v>
      </c>
      <c r="B128">
        <v>33</v>
      </c>
      <c r="C128" t="s">
        <v>585</v>
      </c>
      <c r="D128" t="s">
        <v>704</v>
      </c>
      <c r="E128" t="s">
        <v>705</v>
      </c>
      <c r="F128">
        <v>12093922</v>
      </c>
      <c r="G128" s="152">
        <v>44383</v>
      </c>
      <c r="H128" s="411">
        <v>44384.470810185187</v>
      </c>
      <c r="J128" s="526">
        <v>0</v>
      </c>
      <c r="K128" s="526">
        <v>1070</v>
      </c>
      <c r="L128" s="526">
        <v>203</v>
      </c>
      <c r="M128"/>
      <c r="N128"/>
      <c r="O128" s="526">
        <v>1273</v>
      </c>
    </row>
    <row r="129" spans="1:15" x14ac:dyDescent="0.25">
      <c r="A129">
        <v>8</v>
      </c>
      <c r="B129">
        <v>33</v>
      </c>
      <c r="C129" t="s">
        <v>585</v>
      </c>
      <c r="D129" t="s">
        <v>1893</v>
      </c>
      <c r="E129" t="s">
        <v>1894</v>
      </c>
      <c r="F129">
        <v>37021228</v>
      </c>
      <c r="G129" s="152">
        <v>44389</v>
      </c>
      <c r="H129" s="411">
        <v>44389.854988425926</v>
      </c>
      <c r="J129" s="526">
        <v>0</v>
      </c>
      <c r="K129" s="526">
        <v>4153</v>
      </c>
      <c r="L129" s="526">
        <v>789</v>
      </c>
      <c r="M129"/>
      <c r="N129"/>
      <c r="O129" s="526">
        <v>4942</v>
      </c>
    </row>
    <row r="130" spans="1:15" x14ac:dyDescent="0.25">
      <c r="A130">
        <v>9</v>
      </c>
      <c r="B130">
        <v>33</v>
      </c>
      <c r="C130" t="s">
        <v>585</v>
      </c>
      <c r="D130" t="s">
        <v>1895</v>
      </c>
      <c r="E130" t="s">
        <v>1896</v>
      </c>
      <c r="F130">
        <v>39143</v>
      </c>
      <c r="G130" s="152">
        <v>44392</v>
      </c>
      <c r="H130" s="411">
        <v>44392.344004629631</v>
      </c>
      <c r="J130" s="526">
        <v>0</v>
      </c>
      <c r="K130" s="526">
        <v>148120</v>
      </c>
      <c r="L130" s="526">
        <v>28143</v>
      </c>
      <c r="M130"/>
      <c r="N130"/>
      <c r="O130" s="526">
        <v>176263</v>
      </c>
    </row>
    <row r="131" spans="1:15" x14ac:dyDescent="0.25">
      <c r="A131">
        <v>10</v>
      </c>
      <c r="B131">
        <v>33</v>
      </c>
      <c r="C131" t="s">
        <v>585</v>
      </c>
      <c r="D131" t="s">
        <v>590</v>
      </c>
      <c r="E131" t="s">
        <v>591</v>
      </c>
      <c r="F131">
        <v>43325905</v>
      </c>
      <c r="G131" s="152">
        <v>44387</v>
      </c>
      <c r="H131" s="411">
        <v>44392.683969907404</v>
      </c>
      <c r="J131" s="526">
        <v>0</v>
      </c>
      <c r="K131" s="526">
        <v>17639</v>
      </c>
      <c r="L131" s="526">
        <v>3351</v>
      </c>
      <c r="M131"/>
      <c r="N131"/>
      <c r="O131" s="526">
        <v>20990</v>
      </c>
    </row>
    <row r="132" spans="1:15" x14ac:dyDescent="0.25">
      <c r="A132">
        <v>11</v>
      </c>
      <c r="B132">
        <v>33</v>
      </c>
      <c r="C132" t="s">
        <v>585</v>
      </c>
      <c r="D132" t="s">
        <v>594</v>
      </c>
      <c r="E132" t="s">
        <v>595</v>
      </c>
      <c r="F132">
        <v>37780135</v>
      </c>
      <c r="G132" s="152">
        <v>44377</v>
      </c>
      <c r="H132" s="411">
        <v>44395.883842592593</v>
      </c>
      <c r="J132" s="526">
        <v>0</v>
      </c>
      <c r="K132" s="526">
        <v>23150</v>
      </c>
      <c r="L132" s="526">
        <v>4399</v>
      </c>
      <c r="M132"/>
      <c r="N132"/>
      <c r="O132" s="526">
        <v>27549</v>
      </c>
    </row>
    <row r="133" spans="1:15" ht="14.45" customHeight="1" x14ac:dyDescent="0.25">
      <c r="A133">
        <v>12</v>
      </c>
      <c r="B133">
        <v>33</v>
      </c>
      <c r="C133" t="s">
        <v>585</v>
      </c>
      <c r="D133" t="s">
        <v>663</v>
      </c>
      <c r="E133" t="s">
        <v>664</v>
      </c>
      <c r="F133">
        <v>400925</v>
      </c>
      <c r="G133" s="152">
        <v>44398</v>
      </c>
      <c r="H133" s="411">
        <v>44398.536874999998</v>
      </c>
      <c r="J133" s="526">
        <v>0</v>
      </c>
      <c r="K133" s="526">
        <v>1638681</v>
      </c>
      <c r="L133" s="526">
        <v>311349</v>
      </c>
      <c r="M133"/>
      <c r="N133"/>
      <c r="O133" s="526">
        <v>1950030</v>
      </c>
    </row>
    <row r="134" spans="1:15" x14ac:dyDescent="0.25">
      <c r="A134">
        <v>13</v>
      </c>
      <c r="B134">
        <v>33</v>
      </c>
      <c r="C134" t="s">
        <v>585</v>
      </c>
      <c r="D134" t="s">
        <v>592</v>
      </c>
      <c r="E134" t="s">
        <v>593</v>
      </c>
      <c r="F134">
        <v>234933</v>
      </c>
      <c r="G134" s="152">
        <v>44405</v>
      </c>
      <c r="H134" s="411">
        <v>44405.458136574074</v>
      </c>
      <c r="J134" s="526">
        <v>39511</v>
      </c>
      <c r="K134" s="526">
        <v>9729</v>
      </c>
      <c r="L134" s="526">
        <v>1849</v>
      </c>
      <c r="M134"/>
      <c r="N134"/>
      <c r="O134" s="526">
        <v>51089</v>
      </c>
    </row>
    <row r="135" spans="1:15" x14ac:dyDescent="0.25">
      <c r="A135">
        <v>14</v>
      </c>
      <c r="B135">
        <v>33</v>
      </c>
      <c r="C135" t="s">
        <v>585</v>
      </c>
      <c r="D135" t="s">
        <v>594</v>
      </c>
      <c r="E135" t="s">
        <v>595</v>
      </c>
      <c r="F135">
        <v>37849060</v>
      </c>
      <c r="G135" s="152">
        <v>44405</v>
      </c>
      <c r="H135" s="411">
        <v>44408.561319444445</v>
      </c>
      <c r="J135" s="526">
        <v>0</v>
      </c>
      <c r="K135" s="526">
        <v>925</v>
      </c>
      <c r="L135" s="526">
        <v>176</v>
      </c>
      <c r="M135"/>
      <c r="N135"/>
      <c r="O135" s="526">
        <v>1101</v>
      </c>
    </row>
    <row r="136" spans="1:15" x14ac:dyDescent="0.25">
      <c r="A136">
        <v>15</v>
      </c>
      <c r="B136">
        <v>33</v>
      </c>
      <c r="C136" t="s">
        <v>585</v>
      </c>
      <c r="D136" t="s">
        <v>594</v>
      </c>
      <c r="E136" t="s">
        <v>595</v>
      </c>
      <c r="F136">
        <v>37849061</v>
      </c>
      <c r="G136" s="152">
        <v>44405</v>
      </c>
      <c r="H136" s="411">
        <v>44408.561319444445</v>
      </c>
      <c r="J136" s="526">
        <v>0</v>
      </c>
      <c r="K136" s="526">
        <v>150</v>
      </c>
      <c r="L136" s="526">
        <v>29</v>
      </c>
      <c r="M136"/>
      <c r="N136"/>
      <c r="O136" s="526">
        <v>179</v>
      </c>
    </row>
    <row r="137" spans="1:15" x14ac:dyDescent="0.25">
      <c r="A137">
        <v>16</v>
      </c>
      <c r="B137">
        <v>33</v>
      </c>
      <c r="C137" t="s">
        <v>585</v>
      </c>
      <c r="D137" t="s">
        <v>594</v>
      </c>
      <c r="E137" t="s">
        <v>595</v>
      </c>
      <c r="F137">
        <v>37851319</v>
      </c>
      <c r="G137" s="152">
        <v>44405</v>
      </c>
      <c r="H137" s="411">
        <v>44408.563090277778</v>
      </c>
      <c r="J137" s="526">
        <v>0</v>
      </c>
      <c r="K137" s="526">
        <v>129743</v>
      </c>
      <c r="L137" s="526">
        <v>24651</v>
      </c>
      <c r="M137"/>
      <c r="N137"/>
      <c r="O137" s="526">
        <v>154394</v>
      </c>
    </row>
    <row r="138" spans="1:15" x14ac:dyDescent="0.25">
      <c r="A138">
        <v>17</v>
      </c>
      <c r="B138">
        <v>34</v>
      </c>
      <c r="C138" t="s">
        <v>585</v>
      </c>
      <c r="D138" t="s">
        <v>596</v>
      </c>
      <c r="E138" t="s">
        <v>597</v>
      </c>
      <c r="F138">
        <v>787</v>
      </c>
      <c r="G138" s="152">
        <v>44370</v>
      </c>
      <c r="H138" s="411">
        <v>44370.738275462965</v>
      </c>
      <c r="J138" s="526">
        <v>424803</v>
      </c>
      <c r="K138" s="526">
        <v>0</v>
      </c>
      <c r="L138" s="526">
        <v>0</v>
      </c>
      <c r="M138"/>
      <c r="N138"/>
      <c r="O138" s="526">
        <v>424803</v>
      </c>
    </row>
    <row r="139" spans="1:15" x14ac:dyDescent="0.25">
      <c r="A139">
        <v>18</v>
      </c>
      <c r="B139">
        <v>34</v>
      </c>
      <c r="C139" t="s">
        <v>585</v>
      </c>
      <c r="D139" t="s">
        <v>598</v>
      </c>
      <c r="E139" t="s">
        <v>1897</v>
      </c>
      <c r="F139">
        <v>391</v>
      </c>
      <c r="G139" s="152">
        <v>44374</v>
      </c>
      <c r="H139" s="411">
        <v>44374.917627314811</v>
      </c>
      <c r="J139" s="526">
        <v>3118185</v>
      </c>
      <c r="K139" s="526">
        <v>0</v>
      </c>
      <c r="L139" s="526">
        <v>0</v>
      </c>
      <c r="M139"/>
      <c r="N139"/>
      <c r="O139" s="526">
        <v>3118185</v>
      </c>
    </row>
    <row r="140" spans="1:15" x14ac:dyDescent="0.25">
      <c r="A140">
        <v>19</v>
      </c>
      <c r="B140">
        <v>34</v>
      </c>
      <c r="C140" t="s">
        <v>585</v>
      </c>
      <c r="D140" t="s">
        <v>605</v>
      </c>
      <c r="E140" t="s">
        <v>606</v>
      </c>
      <c r="F140">
        <v>6238</v>
      </c>
      <c r="G140" s="152">
        <v>44377</v>
      </c>
      <c r="H140" s="411">
        <v>44377.516724537039</v>
      </c>
      <c r="J140" s="526">
        <v>4307925</v>
      </c>
      <c r="K140" s="526">
        <v>0</v>
      </c>
      <c r="L140" s="526">
        <v>0</v>
      </c>
      <c r="M140"/>
      <c r="N140"/>
      <c r="O140" s="526">
        <v>4307925</v>
      </c>
    </row>
    <row r="141" spans="1:15" x14ac:dyDescent="0.25">
      <c r="A141">
        <v>20</v>
      </c>
      <c r="B141">
        <v>34</v>
      </c>
      <c r="C141" t="s">
        <v>585</v>
      </c>
      <c r="D141" t="s">
        <v>596</v>
      </c>
      <c r="E141" t="s">
        <v>597</v>
      </c>
      <c r="F141">
        <v>799</v>
      </c>
      <c r="G141" s="152">
        <v>44399</v>
      </c>
      <c r="H141" s="411">
        <v>44399.978587962964</v>
      </c>
      <c r="J141" s="526">
        <v>423803</v>
      </c>
      <c r="K141" s="526">
        <v>0</v>
      </c>
      <c r="L141" s="526">
        <v>0</v>
      </c>
      <c r="M141"/>
      <c r="N141"/>
      <c r="O141" s="526">
        <v>423803</v>
      </c>
    </row>
    <row r="144" spans="1:15" x14ac:dyDescent="0.25">
      <c r="A144">
        <v>1</v>
      </c>
      <c r="B144">
        <v>33</v>
      </c>
      <c r="C144" t="s">
        <v>585</v>
      </c>
      <c r="D144" t="s">
        <v>1950</v>
      </c>
      <c r="E144" t="s">
        <v>1951</v>
      </c>
      <c r="F144">
        <v>29901</v>
      </c>
      <c r="G144" s="152">
        <v>44400</v>
      </c>
      <c r="H144" s="411">
        <v>44400.98978009259</v>
      </c>
      <c r="J144" s="526">
        <v>17431</v>
      </c>
      <c r="K144" s="526">
        <v>17430</v>
      </c>
      <c r="L144" s="526">
        <v>3312</v>
      </c>
      <c r="M144"/>
      <c r="N144"/>
      <c r="O144" s="526">
        <v>38173</v>
      </c>
    </row>
    <row r="145" spans="1:15" x14ac:dyDescent="0.25">
      <c r="A145">
        <v>2</v>
      </c>
      <c r="B145">
        <v>33</v>
      </c>
      <c r="C145" t="s">
        <v>585</v>
      </c>
      <c r="D145" t="s">
        <v>586</v>
      </c>
      <c r="E145" t="s">
        <v>587</v>
      </c>
      <c r="F145">
        <v>10751188</v>
      </c>
      <c r="G145" s="152">
        <v>44409</v>
      </c>
      <c r="H145" s="411">
        <v>44407.257870370369</v>
      </c>
      <c r="J145" s="526">
        <v>0</v>
      </c>
      <c r="K145" s="526">
        <v>36511</v>
      </c>
      <c r="L145" s="526">
        <v>6937</v>
      </c>
      <c r="M145"/>
      <c r="N145"/>
      <c r="O145" s="526">
        <v>43448</v>
      </c>
    </row>
    <row r="146" spans="1:15" x14ac:dyDescent="0.25">
      <c r="A146">
        <v>3</v>
      </c>
      <c r="B146">
        <v>33</v>
      </c>
      <c r="C146" t="s">
        <v>585</v>
      </c>
      <c r="D146" t="s">
        <v>868</v>
      </c>
      <c r="E146" t="s">
        <v>869</v>
      </c>
      <c r="F146">
        <v>865</v>
      </c>
      <c r="G146" s="152">
        <v>44410</v>
      </c>
      <c r="H146" s="411">
        <v>44410.548263888886</v>
      </c>
      <c r="J146" s="526">
        <v>0</v>
      </c>
      <c r="K146" s="526">
        <v>511500</v>
      </c>
      <c r="L146" s="526">
        <v>97185</v>
      </c>
      <c r="M146"/>
      <c r="N146"/>
      <c r="O146" s="526">
        <v>608685</v>
      </c>
    </row>
    <row r="147" spans="1:15" x14ac:dyDescent="0.25">
      <c r="A147">
        <v>4</v>
      </c>
      <c r="B147">
        <v>33</v>
      </c>
      <c r="C147" t="s">
        <v>585</v>
      </c>
      <c r="D147" t="s">
        <v>594</v>
      </c>
      <c r="E147" t="s">
        <v>595</v>
      </c>
      <c r="F147">
        <v>38076392</v>
      </c>
      <c r="G147" s="152">
        <v>44406</v>
      </c>
      <c r="H147" s="411">
        <v>44411.080185185187</v>
      </c>
      <c r="J147" s="526">
        <v>0</v>
      </c>
      <c r="K147" s="526">
        <v>2283</v>
      </c>
      <c r="L147" s="526">
        <v>434</v>
      </c>
      <c r="M147"/>
      <c r="N147"/>
      <c r="O147" s="526">
        <v>2717</v>
      </c>
    </row>
    <row r="148" spans="1:15" x14ac:dyDescent="0.25">
      <c r="A148">
        <v>5</v>
      </c>
      <c r="B148">
        <v>33</v>
      </c>
      <c r="C148" t="s">
        <v>585</v>
      </c>
      <c r="D148" t="s">
        <v>588</v>
      </c>
      <c r="E148" t="s">
        <v>589</v>
      </c>
      <c r="F148">
        <v>2995</v>
      </c>
      <c r="G148" s="152">
        <v>44407</v>
      </c>
      <c r="H148" s="411">
        <v>44411.394849537035</v>
      </c>
      <c r="J148" s="526">
        <v>0</v>
      </c>
      <c r="K148" s="526">
        <v>88976491</v>
      </c>
      <c r="L148" s="526">
        <v>16905533</v>
      </c>
      <c r="M148"/>
      <c r="N148"/>
      <c r="O148" s="526">
        <v>105882024</v>
      </c>
    </row>
    <row r="149" spans="1:15" x14ac:dyDescent="0.25">
      <c r="A149">
        <v>6</v>
      </c>
      <c r="B149">
        <v>33</v>
      </c>
      <c r="C149" t="s">
        <v>585</v>
      </c>
      <c r="D149" t="s">
        <v>665</v>
      </c>
      <c r="E149" t="s">
        <v>666</v>
      </c>
      <c r="F149">
        <v>32021454</v>
      </c>
      <c r="G149" s="152">
        <v>44414</v>
      </c>
      <c r="H149" s="411">
        <v>44415.539641203701</v>
      </c>
      <c r="J149" s="526">
        <v>0</v>
      </c>
      <c r="K149" s="526">
        <v>1488</v>
      </c>
      <c r="L149" s="526">
        <v>283</v>
      </c>
      <c r="M149"/>
      <c r="N149"/>
      <c r="O149" s="526">
        <v>1771</v>
      </c>
    </row>
    <row r="150" spans="1:15" x14ac:dyDescent="0.25">
      <c r="A150">
        <v>7</v>
      </c>
      <c r="B150">
        <v>33</v>
      </c>
      <c r="C150" t="s">
        <v>585</v>
      </c>
      <c r="D150" t="s">
        <v>665</v>
      </c>
      <c r="E150" t="s">
        <v>666</v>
      </c>
      <c r="F150">
        <v>32021452</v>
      </c>
      <c r="G150" s="152">
        <v>44414</v>
      </c>
      <c r="H150" s="411">
        <v>44415.539641203701</v>
      </c>
      <c r="J150" s="526">
        <v>0</v>
      </c>
      <c r="K150" s="526">
        <v>3273</v>
      </c>
      <c r="L150" s="526">
        <v>622</v>
      </c>
      <c r="M150"/>
      <c r="N150"/>
      <c r="O150" s="526">
        <v>3895</v>
      </c>
    </row>
    <row r="151" spans="1:15" x14ac:dyDescent="0.25">
      <c r="A151">
        <v>8</v>
      </c>
      <c r="B151">
        <v>33</v>
      </c>
      <c r="C151" t="s">
        <v>585</v>
      </c>
      <c r="D151" t="s">
        <v>665</v>
      </c>
      <c r="E151" t="s">
        <v>666</v>
      </c>
      <c r="F151">
        <v>32021453</v>
      </c>
      <c r="G151" s="152">
        <v>44414</v>
      </c>
      <c r="H151" s="411">
        <v>44415.539641203701</v>
      </c>
      <c r="J151" s="526">
        <v>0</v>
      </c>
      <c r="K151" s="526">
        <v>892</v>
      </c>
      <c r="L151" s="526">
        <v>170</v>
      </c>
      <c r="M151"/>
      <c r="N151"/>
      <c r="O151" s="526">
        <v>1062</v>
      </c>
    </row>
    <row r="152" spans="1:15" x14ac:dyDescent="0.25">
      <c r="A152">
        <v>9</v>
      </c>
      <c r="B152">
        <v>33</v>
      </c>
      <c r="C152" t="s">
        <v>585</v>
      </c>
      <c r="D152" t="s">
        <v>704</v>
      </c>
      <c r="E152" t="s">
        <v>705</v>
      </c>
      <c r="F152">
        <v>12173571</v>
      </c>
      <c r="G152" s="152">
        <v>44414</v>
      </c>
      <c r="H152" s="411">
        <v>44417.470613425925</v>
      </c>
      <c r="J152" s="526">
        <v>0</v>
      </c>
      <c r="K152" s="526">
        <v>1607</v>
      </c>
      <c r="L152" s="526">
        <v>305</v>
      </c>
      <c r="M152"/>
      <c r="N152"/>
      <c r="O152" s="526">
        <v>1912</v>
      </c>
    </row>
    <row r="153" spans="1:15" x14ac:dyDescent="0.25">
      <c r="A153">
        <v>10</v>
      </c>
      <c r="B153">
        <v>33</v>
      </c>
      <c r="C153" t="s">
        <v>585</v>
      </c>
      <c r="D153" t="s">
        <v>1893</v>
      </c>
      <c r="E153" t="s">
        <v>1894</v>
      </c>
      <c r="F153">
        <v>37269051</v>
      </c>
      <c r="G153" s="152">
        <v>44418</v>
      </c>
      <c r="H153" s="411">
        <v>44418.860937500001</v>
      </c>
      <c r="J153" s="526">
        <v>0</v>
      </c>
      <c r="K153" s="526">
        <v>5651</v>
      </c>
      <c r="L153" s="526">
        <v>1074</v>
      </c>
      <c r="M153"/>
      <c r="N153"/>
      <c r="O153" s="526">
        <v>6725</v>
      </c>
    </row>
    <row r="154" spans="1:15" x14ac:dyDescent="0.25">
      <c r="A154">
        <v>11</v>
      </c>
      <c r="B154">
        <v>33</v>
      </c>
      <c r="C154" t="s">
        <v>585</v>
      </c>
      <c r="D154" t="s">
        <v>590</v>
      </c>
      <c r="E154" t="s">
        <v>591</v>
      </c>
      <c r="F154">
        <v>43529044</v>
      </c>
      <c r="G154" s="152">
        <v>44418</v>
      </c>
      <c r="H154" s="411">
        <v>44425.949733796297</v>
      </c>
      <c r="J154" s="526">
        <v>0</v>
      </c>
      <c r="K154" s="526">
        <v>17639</v>
      </c>
      <c r="L154" s="526">
        <v>3351</v>
      </c>
      <c r="M154"/>
      <c r="N154"/>
      <c r="O154" s="526">
        <v>20990</v>
      </c>
    </row>
    <row r="155" spans="1:15" x14ac:dyDescent="0.25">
      <c r="A155">
        <v>12</v>
      </c>
      <c r="B155">
        <v>33</v>
      </c>
      <c r="C155" t="s">
        <v>585</v>
      </c>
      <c r="D155" t="s">
        <v>663</v>
      </c>
      <c r="E155" t="s">
        <v>664</v>
      </c>
      <c r="F155">
        <v>404424</v>
      </c>
      <c r="G155" s="152">
        <v>44433</v>
      </c>
      <c r="H155" s="411">
        <v>44433.72284722222</v>
      </c>
      <c r="J155" s="526">
        <v>0</v>
      </c>
      <c r="K155" s="526">
        <v>462191</v>
      </c>
      <c r="L155" s="526">
        <v>87816</v>
      </c>
      <c r="M155"/>
      <c r="N155"/>
      <c r="O155" s="526">
        <v>550007</v>
      </c>
    </row>
    <row r="156" spans="1:15" x14ac:dyDescent="0.25">
      <c r="A156">
        <v>13</v>
      </c>
      <c r="B156">
        <v>33</v>
      </c>
      <c r="C156" t="s">
        <v>585</v>
      </c>
      <c r="D156" t="s">
        <v>592</v>
      </c>
      <c r="E156" t="s">
        <v>593</v>
      </c>
      <c r="F156">
        <v>242630</v>
      </c>
      <c r="G156" s="152">
        <v>44434</v>
      </c>
      <c r="H156" s="411">
        <v>44434.436863425923</v>
      </c>
      <c r="J156" s="526">
        <v>39692</v>
      </c>
      <c r="K156" s="526">
        <v>9774</v>
      </c>
      <c r="L156" s="526">
        <v>1857</v>
      </c>
      <c r="M156"/>
      <c r="N156"/>
      <c r="O156" s="526">
        <v>51323</v>
      </c>
    </row>
    <row r="157" spans="1:15" x14ac:dyDescent="0.25">
      <c r="A157">
        <v>14</v>
      </c>
      <c r="B157">
        <v>33</v>
      </c>
      <c r="C157" t="s">
        <v>585</v>
      </c>
      <c r="D157" t="s">
        <v>594</v>
      </c>
      <c r="E157" t="s">
        <v>595</v>
      </c>
      <c r="F157">
        <v>38149601</v>
      </c>
      <c r="G157" s="152">
        <v>44435</v>
      </c>
      <c r="H157" s="411">
        <v>44439.384363425925</v>
      </c>
      <c r="J157" s="526">
        <v>0</v>
      </c>
      <c r="K157" s="526">
        <v>3243</v>
      </c>
      <c r="L157" s="526">
        <v>616</v>
      </c>
      <c r="M157"/>
      <c r="N157"/>
      <c r="O157" s="526">
        <v>3859</v>
      </c>
    </row>
    <row r="158" spans="1:15" x14ac:dyDescent="0.25">
      <c r="A158">
        <v>15</v>
      </c>
      <c r="B158">
        <v>33</v>
      </c>
      <c r="C158" t="s">
        <v>585</v>
      </c>
      <c r="D158" t="s">
        <v>594</v>
      </c>
      <c r="E158" t="s">
        <v>595</v>
      </c>
      <c r="F158">
        <v>38149602</v>
      </c>
      <c r="G158" s="152">
        <v>44435</v>
      </c>
      <c r="H158" s="411">
        <v>44439.384363425925</v>
      </c>
      <c r="J158" s="526">
        <v>0</v>
      </c>
      <c r="K158" s="526">
        <v>399</v>
      </c>
      <c r="L158" s="526">
        <v>76</v>
      </c>
      <c r="M158"/>
      <c r="N158"/>
      <c r="O158" s="526">
        <v>475</v>
      </c>
    </row>
    <row r="159" spans="1:15" x14ac:dyDescent="0.25">
      <c r="A159">
        <v>16</v>
      </c>
      <c r="B159">
        <v>33</v>
      </c>
      <c r="C159" t="s">
        <v>585</v>
      </c>
      <c r="D159" t="s">
        <v>594</v>
      </c>
      <c r="E159" t="s">
        <v>595</v>
      </c>
      <c r="F159">
        <v>38149603</v>
      </c>
      <c r="G159" s="152">
        <v>44435</v>
      </c>
      <c r="H159" s="411">
        <v>44439.384363425925</v>
      </c>
      <c r="J159" s="526">
        <v>0</v>
      </c>
      <c r="K159" s="526">
        <v>501</v>
      </c>
      <c r="L159" s="526">
        <v>95</v>
      </c>
      <c r="M159"/>
      <c r="N159"/>
      <c r="O159" s="526">
        <v>596</v>
      </c>
    </row>
    <row r="160" spans="1:15" x14ac:dyDescent="0.25">
      <c r="A160">
        <v>17</v>
      </c>
      <c r="B160">
        <v>33</v>
      </c>
      <c r="C160" t="s">
        <v>585</v>
      </c>
      <c r="D160" t="s">
        <v>594</v>
      </c>
      <c r="E160" t="s">
        <v>595</v>
      </c>
      <c r="F160">
        <v>38149604</v>
      </c>
      <c r="G160" s="152">
        <v>44435</v>
      </c>
      <c r="H160" s="411">
        <v>44439.384363425925</v>
      </c>
      <c r="J160" s="526">
        <v>0</v>
      </c>
      <c r="K160" s="526">
        <v>7001</v>
      </c>
      <c r="L160" s="526">
        <v>1330</v>
      </c>
      <c r="M160"/>
      <c r="N160"/>
      <c r="O160" s="526">
        <v>8331</v>
      </c>
    </row>
    <row r="161" spans="1:15" x14ac:dyDescent="0.25">
      <c r="A161">
        <v>18</v>
      </c>
      <c r="B161">
        <v>33</v>
      </c>
      <c r="C161" t="s">
        <v>585</v>
      </c>
      <c r="D161" t="s">
        <v>594</v>
      </c>
      <c r="E161" t="s">
        <v>595</v>
      </c>
      <c r="F161">
        <v>38151910</v>
      </c>
      <c r="G161" s="152">
        <v>44435</v>
      </c>
      <c r="H161" s="411">
        <v>44439.384409722225</v>
      </c>
      <c r="J161" s="526">
        <v>0</v>
      </c>
      <c r="K161" s="526">
        <v>133488</v>
      </c>
      <c r="L161" s="526">
        <v>25363</v>
      </c>
      <c r="M161"/>
      <c r="N161"/>
      <c r="O161" s="526">
        <v>158851</v>
      </c>
    </row>
    <row r="162" spans="1:15" x14ac:dyDescent="0.25">
      <c r="A162">
        <v>19</v>
      </c>
      <c r="B162">
        <v>34</v>
      </c>
      <c r="C162" t="s">
        <v>585</v>
      </c>
      <c r="D162" t="s">
        <v>605</v>
      </c>
      <c r="E162" t="s">
        <v>606</v>
      </c>
      <c r="F162">
        <v>6271</v>
      </c>
      <c r="G162" s="152">
        <v>44404</v>
      </c>
      <c r="H162" s="411">
        <v>44404.412361111114</v>
      </c>
      <c r="J162" s="526">
        <v>4314301</v>
      </c>
      <c r="K162" s="526">
        <v>0</v>
      </c>
      <c r="L162" s="526">
        <v>0</v>
      </c>
      <c r="M162"/>
      <c r="N162"/>
      <c r="O162" s="526">
        <v>4314301</v>
      </c>
    </row>
    <row r="163" spans="1:15" x14ac:dyDescent="0.25">
      <c r="A163">
        <v>20</v>
      </c>
      <c r="B163">
        <v>34</v>
      </c>
      <c r="C163" t="s">
        <v>585</v>
      </c>
      <c r="D163" t="s">
        <v>628</v>
      </c>
      <c r="E163" t="s">
        <v>629</v>
      </c>
      <c r="F163">
        <v>150</v>
      </c>
      <c r="G163" s="152">
        <v>44404</v>
      </c>
      <c r="H163" s="411">
        <v>44404.695590277777</v>
      </c>
      <c r="J163" s="526">
        <v>450000</v>
      </c>
      <c r="K163" s="526">
        <v>0</v>
      </c>
      <c r="L163" s="526">
        <v>0</v>
      </c>
      <c r="M163"/>
      <c r="N163"/>
      <c r="O163" s="526">
        <v>450000</v>
      </c>
    </row>
    <row r="165" spans="1:15" x14ac:dyDescent="0.25">
      <c r="A165">
        <v>1</v>
      </c>
      <c r="B165">
        <v>33</v>
      </c>
      <c r="C165" t="s">
        <v>585</v>
      </c>
      <c r="D165" t="s">
        <v>586</v>
      </c>
      <c r="E165" t="s">
        <v>587</v>
      </c>
      <c r="F165">
        <v>10782167</v>
      </c>
      <c r="G165" s="152">
        <v>44440</v>
      </c>
      <c r="H165" s="411">
        <v>44439.235682870371</v>
      </c>
      <c r="J165" s="526">
        <v>0</v>
      </c>
      <c r="K165" s="526">
        <v>36736</v>
      </c>
      <c r="L165" s="526">
        <v>6980</v>
      </c>
      <c r="M165"/>
      <c r="N165"/>
      <c r="O165" s="526">
        <v>43716</v>
      </c>
    </row>
    <row r="166" spans="1:15" x14ac:dyDescent="0.25">
      <c r="A166">
        <v>2</v>
      </c>
      <c r="B166">
        <v>33</v>
      </c>
      <c r="C166" t="s">
        <v>585</v>
      </c>
      <c r="D166" t="s">
        <v>594</v>
      </c>
      <c r="E166" t="s">
        <v>595</v>
      </c>
      <c r="F166">
        <v>38530414</v>
      </c>
      <c r="G166" s="152">
        <v>44438</v>
      </c>
      <c r="H166" s="411">
        <v>44443.381712962961</v>
      </c>
      <c r="J166" s="526">
        <v>0</v>
      </c>
      <c r="K166" s="526">
        <v>571</v>
      </c>
      <c r="L166" s="526">
        <v>108</v>
      </c>
      <c r="M166"/>
      <c r="N166"/>
      <c r="O166" s="526">
        <v>679</v>
      </c>
    </row>
    <row r="167" spans="1:15" x14ac:dyDescent="0.25">
      <c r="A167">
        <v>3</v>
      </c>
      <c r="B167">
        <v>33</v>
      </c>
      <c r="C167" t="s">
        <v>585</v>
      </c>
      <c r="D167" t="s">
        <v>665</v>
      </c>
      <c r="E167" t="s">
        <v>666</v>
      </c>
      <c r="F167">
        <v>32223503</v>
      </c>
      <c r="G167" s="152">
        <v>44442</v>
      </c>
      <c r="H167" s="411">
        <v>44443.44740740741</v>
      </c>
      <c r="J167" s="526">
        <v>0</v>
      </c>
      <c r="K167" s="526">
        <v>4790</v>
      </c>
      <c r="L167" s="526">
        <v>910</v>
      </c>
      <c r="M167"/>
      <c r="N167"/>
      <c r="O167" s="526">
        <v>5700</v>
      </c>
    </row>
    <row r="168" spans="1:15" x14ac:dyDescent="0.25">
      <c r="A168">
        <v>4</v>
      </c>
      <c r="B168">
        <v>33</v>
      </c>
      <c r="C168" t="s">
        <v>585</v>
      </c>
      <c r="D168" t="s">
        <v>665</v>
      </c>
      <c r="E168" t="s">
        <v>666</v>
      </c>
      <c r="F168">
        <v>32223504</v>
      </c>
      <c r="G168" s="152">
        <v>44442</v>
      </c>
      <c r="H168" s="411">
        <v>44443.44740740741</v>
      </c>
      <c r="J168" s="526">
        <v>0</v>
      </c>
      <c r="K168" s="526">
        <v>898</v>
      </c>
      <c r="L168" s="526">
        <v>171</v>
      </c>
      <c r="M168"/>
      <c r="N168"/>
      <c r="O168" s="526">
        <v>1069</v>
      </c>
    </row>
    <row r="169" spans="1:15" x14ac:dyDescent="0.25">
      <c r="A169">
        <v>5</v>
      </c>
      <c r="B169">
        <v>33</v>
      </c>
      <c r="C169" t="s">
        <v>585</v>
      </c>
      <c r="D169" t="s">
        <v>665</v>
      </c>
      <c r="E169" t="s">
        <v>666</v>
      </c>
      <c r="F169">
        <v>32223505</v>
      </c>
      <c r="G169" s="152">
        <v>44442</v>
      </c>
      <c r="H169" s="411">
        <v>44443.44740740741</v>
      </c>
      <c r="J169" s="526">
        <v>0</v>
      </c>
      <c r="K169" s="526">
        <v>1197</v>
      </c>
      <c r="L169" s="526">
        <v>228</v>
      </c>
      <c r="M169"/>
      <c r="N169"/>
      <c r="O169" s="526">
        <v>1425</v>
      </c>
    </row>
    <row r="170" spans="1:15" x14ac:dyDescent="0.25">
      <c r="A170">
        <v>6</v>
      </c>
      <c r="B170">
        <v>33</v>
      </c>
      <c r="C170" t="s">
        <v>585</v>
      </c>
      <c r="D170" t="s">
        <v>588</v>
      </c>
      <c r="E170" t="s">
        <v>589</v>
      </c>
      <c r="F170">
        <v>3022</v>
      </c>
      <c r="G170" s="152">
        <v>44439</v>
      </c>
      <c r="H170" s="411">
        <v>44446.591284722221</v>
      </c>
      <c r="J170" s="526">
        <v>0</v>
      </c>
      <c r="K170" s="526">
        <v>186943728</v>
      </c>
      <c r="L170" s="526">
        <v>35519308</v>
      </c>
      <c r="M170"/>
      <c r="N170"/>
      <c r="O170" s="526">
        <v>222463036</v>
      </c>
    </row>
    <row r="171" spans="1:15" x14ac:dyDescent="0.25">
      <c r="A171">
        <v>7</v>
      </c>
      <c r="B171">
        <v>33</v>
      </c>
      <c r="C171" t="s">
        <v>585</v>
      </c>
      <c r="D171" t="s">
        <v>588</v>
      </c>
      <c r="E171" t="s">
        <v>589</v>
      </c>
      <c r="F171">
        <v>3030</v>
      </c>
      <c r="G171" s="152">
        <v>44448</v>
      </c>
      <c r="H171" s="411">
        <v>44449.442476851851</v>
      </c>
      <c r="J171" s="526">
        <v>0</v>
      </c>
      <c r="K171" s="526">
        <v>6612722</v>
      </c>
      <c r="L171" s="526">
        <v>1256417</v>
      </c>
      <c r="M171"/>
      <c r="N171"/>
      <c r="O171" s="526">
        <v>7869139</v>
      </c>
    </row>
    <row r="172" spans="1:15" x14ac:dyDescent="0.25">
      <c r="A172">
        <v>8</v>
      </c>
      <c r="B172">
        <v>33</v>
      </c>
      <c r="C172" t="s">
        <v>585</v>
      </c>
      <c r="D172" t="s">
        <v>704</v>
      </c>
      <c r="E172" t="s">
        <v>705</v>
      </c>
      <c r="F172">
        <v>12255989</v>
      </c>
      <c r="G172" s="152">
        <v>44448</v>
      </c>
      <c r="H172" s="411">
        <v>44449.449641203704</v>
      </c>
      <c r="J172" s="526">
        <v>0</v>
      </c>
      <c r="K172" s="526">
        <v>1078</v>
      </c>
      <c r="L172" s="526">
        <v>205</v>
      </c>
      <c r="M172"/>
      <c r="N172"/>
      <c r="O172" s="526">
        <v>1283</v>
      </c>
    </row>
    <row r="173" spans="1:15" x14ac:dyDescent="0.25">
      <c r="A173">
        <v>9</v>
      </c>
      <c r="B173">
        <v>33</v>
      </c>
      <c r="C173" t="s">
        <v>585</v>
      </c>
      <c r="D173" t="s">
        <v>1893</v>
      </c>
      <c r="E173" t="s">
        <v>1894</v>
      </c>
      <c r="F173">
        <v>37535087</v>
      </c>
      <c r="G173" s="152">
        <v>44449</v>
      </c>
      <c r="H173" s="411">
        <v>44449.841990740744</v>
      </c>
      <c r="J173" s="526">
        <v>0</v>
      </c>
      <c r="K173" s="526">
        <v>8367</v>
      </c>
      <c r="L173" s="526">
        <v>1590</v>
      </c>
      <c r="M173"/>
      <c r="N173"/>
      <c r="O173" s="526">
        <v>9957</v>
      </c>
    </row>
    <row r="174" spans="1:15" x14ac:dyDescent="0.25">
      <c r="A174">
        <v>10</v>
      </c>
      <c r="B174">
        <v>33</v>
      </c>
      <c r="C174" t="s">
        <v>585</v>
      </c>
      <c r="D174" t="s">
        <v>590</v>
      </c>
      <c r="E174" t="s">
        <v>591</v>
      </c>
      <c r="F174">
        <v>43681711</v>
      </c>
      <c r="G174" s="152">
        <v>44449</v>
      </c>
      <c r="H174" s="411">
        <v>44454.896747685183</v>
      </c>
      <c r="J174" s="526">
        <v>0</v>
      </c>
      <c r="K174" s="526">
        <v>17639</v>
      </c>
      <c r="L174" s="526">
        <v>3351</v>
      </c>
      <c r="M174"/>
      <c r="N174"/>
      <c r="O174" s="526">
        <v>20990</v>
      </c>
    </row>
    <row r="175" spans="1:15" x14ac:dyDescent="0.25">
      <c r="A175">
        <v>11</v>
      </c>
      <c r="B175">
        <v>33</v>
      </c>
      <c r="C175" t="s">
        <v>585</v>
      </c>
      <c r="D175" t="s">
        <v>603</v>
      </c>
      <c r="E175" t="s">
        <v>604</v>
      </c>
      <c r="F175">
        <v>612380</v>
      </c>
      <c r="G175" s="152">
        <v>44463</v>
      </c>
      <c r="H175" s="411">
        <v>44463.363217592596</v>
      </c>
      <c r="J175" s="526">
        <v>0</v>
      </c>
      <c r="K175" s="526">
        <v>17000</v>
      </c>
      <c r="L175" s="526">
        <v>3230</v>
      </c>
      <c r="M175"/>
      <c r="N175"/>
      <c r="O175" s="526">
        <v>20230</v>
      </c>
    </row>
    <row r="176" spans="1:15" x14ac:dyDescent="0.25">
      <c r="A176">
        <v>12</v>
      </c>
      <c r="B176">
        <v>33</v>
      </c>
      <c r="C176" t="s">
        <v>585</v>
      </c>
      <c r="D176" t="s">
        <v>592</v>
      </c>
      <c r="E176" t="s">
        <v>593</v>
      </c>
      <c r="F176">
        <v>249859</v>
      </c>
      <c r="G176" s="152">
        <v>44467</v>
      </c>
      <c r="H176" s="411">
        <v>44467.397037037037</v>
      </c>
      <c r="J176" s="526">
        <v>39941</v>
      </c>
      <c r="K176" s="526">
        <v>9835</v>
      </c>
      <c r="L176" s="526">
        <v>1869</v>
      </c>
      <c r="M176"/>
      <c r="N176"/>
      <c r="O176" s="526">
        <v>51645</v>
      </c>
    </row>
    <row r="177" spans="1:15" x14ac:dyDescent="0.25">
      <c r="A177">
        <v>13</v>
      </c>
      <c r="B177">
        <v>34</v>
      </c>
      <c r="C177" t="s">
        <v>585</v>
      </c>
      <c r="D177" t="s">
        <v>1952</v>
      </c>
      <c r="E177" t="s">
        <v>1953</v>
      </c>
      <c r="F177">
        <v>2728</v>
      </c>
      <c r="G177" s="152">
        <v>44432</v>
      </c>
      <c r="H177" s="411">
        <v>44432.422361111108</v>
      </c>
      <c r="J177" s="526">
        <v>256979</v>
      </c>
      <c r="K177" s="526">
        <v>0</v>
      </c>
      <c r="L177" s="526">
        <v>0</v>
      </c>
      <c r="M177"/>
      <c r="N177"/>
      <c r="O177" s="526">
        <v>256979</v>
      </c>
    </row>
    <row r="178" spans="1:15" x14ac:dyDescent="0.25">
      <c r="A178">
        <v>14</v>
      </c>
      <c r="B178">
        <v>34</v>
      </c>
      <c r="C178" t="s">
        <v>585</v>
      </c>
      <c r="D178" t="s">
        <v>596</v>
      </c>
      <c r="E178" t="s">
        <v>597</v>
      </c>
      <c r="F178">
        <v>814</v>
      </c>
      <c r="G178" s="152">
        <v>44433</v>
      </c>
      <c r="H178" s="411">
        <v>44433.411898148152</v>
      </c>
      <c r="J178" s="526">
        <v>424803</v>
      </c>
      <c r="K178" s="526">
        <v>0</v>
      </c>
      <c r="L178" s="526">
        <v>0</v>
      </c>
      <c r="M178"/>
      <c r="N178"/>
      <c r="O178" s="526">
        <v>424803</v>
      </c>
    </row>
    <row r="179" spans="1:15" x14ac:dyDescent="0.25">
      <c r="A179">
        <v>15</v>
      </c>
      <c r="B179">
        <v>34</v>
      </c>
      <c r="C179" t="s">
        <v>585</v>
      </c>
      <c r="D179" t="s">
        <v>605</v>
      </c>
      <c r="E179" t="s">
        <v>606</v>
      </c>
      <c r="F179">
        <v>6330</v>
      </c>
      <c r="G179" s="152">
        <v>44435</v>
      </c>
      <c r="H179" s="411">
        <v>44435.733958333331</v>
      </c>
      <c r="J179" s="526">
        <v>4336126</v>
      </c>
      <c r="K179" s="526">
        <v>0</v>
      </c>
      <c r="L179" s="526">
        <v>0</v>
      </c>
      <c r="M179"/>
      <c r="N179"/>
      <c r="O179" s="526">
        <v>4336126</v>
      </c>
    </row>
    <row r="181" spans="1:15" x14ac:dyDescent="0.25">
      <c r="A181">
        <v>1</v>
      </c>
      <c r="B181">
        <v>33</v>
      </c>
      <c r="C181" t="s">
        <v>585</v>
      </c>
      <c r="D181" t="s">
        <v>586</v>
      </c>
      <c r="E181" t="s">
        <v>587</v>
      </c>
      <c r="F181">
        <v>10812597</v>
      </c>
      <c r="G181" s="152">
        <v>44470</v>
      </c>
      <c r="H181" s="411">
        <v>44469.115914351853</v>
      </c>
      <c r="J181" s="526">
        <v>0</v>
      </c>
      <c r="K181" s="526">
        <v>36920</v>
      </c>
      <c r="L181" s="526">
        <v>7015</v>
      </c>
      <c r="M181"/>
      <c r="N181"/>
      <c r="O181" s="526">
        <v>43935</v>
      </c>
    </row>
    <row r="182" spans="1:15" x14ac:dyDescent="0.25">
      <c r="A182">
        <v>2</v>
      </c>
      <c r="B182">
        <v>33</v>
      </c>
      <c r="C182" t="s">
        <v>585</v>
      </c>
      <c r="D182" t="s">
        <v>594</v>
      </c>
      <c r="E182" t="s">
        <v>595</v>
      </c>
      <c r="F182">
        <v>38790913</v>
      </c>
      <c r="G182" s="152">
        <v>44467</v>
      </c>
      <c r="H182" s="411">
        <v>44470.960034722222</v>
      </c>
      <c r="J182" s="526">
        <v>0</v>
      </c>
      <c r="K182" s="526">
        <v>18597</v>
      </c>
      <c r="L182" s="526">
        <v>3533</v>
      </c>
      <c r="M182"/>
      <c r="N182"/>
      <c r="O182" s="526">
        <v>22130</v>
      </c>
    </row>
    <row r="183" spans="1:15" x14ac:dyDescent="0.25">
      <c r="A183">
        <v>3</v>
      </c>
      <c r="B183">
        <v>33</v>
      </c>
      <c r="C183" t="s">
        <v>585</v>
      </c>
      <c r="D183" t="s">
        <v>594</v>
      </c>
      <c r="E183" t="s">
        <v>595</v>
      </c>
      <c r="F183">
        <v>38790914</v>
      </c>
      <c r="G183" s="152">
        <v>44467</v>
      </c>
      <c r="H183" s="411">
        <v>44470.960034722222</v>
      </c>
      <c r="J183" s="526">
        <v>0</v>
      </c>
      <c r="K183" s="526">
        <v>2304</v>
      </c>
      <c r="L183" s="526">
        <v>438</v>
      </c>
      <c r="M183"/>
      <c r="N183"/>
      <c r="O183" s="526">
        <v>2742</v>
      </c>
    </row>
    <row r="184" spans="1:15" x14ac:dyDescent="0.25">
      <c r="A184">
        <v>4</v>
      </c>
      <c r="B184">
        <v>33</v>
      </c>
      <c r="C184" t="s">
        <v>585</v>
      </c>
      <c r="D184" t="s">
        <v>594</v>
      </c>
      <c r="E184" t="s">
        <v>595</v>
      </c>
      <c r="F184">
        <v>38793261</v>
      </c>
      <c r="G184" s="152">
        <v>44467</v>
      </c>
      <c r="H184" s="411">
        <v>44470.960740740738</v>
      </c>
      <c r="J184" s="526">
        <v>0</v>
      </c>
      <c r="K184" s="526">
        <v>37497</v>
      </c>
      <c r="L184" s="526">
        <v>7124</v>
      </c>
      <c r="M184"/>
      <c r="N184"/>
      <c r="O184" s="526">
        <v>44621</v>
      </c>
    </row>
    <row r="185" spans="1:15" x14ac:dyDescent="0.25">
      <c r="A185">
        <v>5</v>
      </c>
      <c r="B185">
        <v>33</v>
      </c>
      <c r="C185" t="s">
        <v>585</v>
      </c>
      <c r="D185" t="s">
        <v>594</v>
      </c>
      <c r="E185" t="s">
        <v>595</v>
      </c>
      <c r="F185">
        <v>39171734</v>
      </c>
      <c r="G185" s="152">
        <v>44468</v>
      </c>
      <c r="H185" s="411">
        <v>44473.205555555556</v>
      </c>
      <c r="J185" s="526">
        <v>0</v>
      </c>
      <c r="K185" s="526">
        <v>7963</v>
      </c>
      <c r="L185" s="526">
        <v>1513</v>
      </c>
      <c r="M185"/>
      <c r="N185"/>
      <c r="O185" s="526">
        <v>9476</v>
      </c>
    </row>
    <row r="186" spans="1:15" x14ac:dyDescent="0.25">
      <c r="A186">
        <v>6</v>
      </c>
      <c r="B186">
        <v>33</v>
      </c>
      <c r="C186" t="s">
        <v>585</v>
      </c>
      <c r="D186" t="s">
        <v>2489</v>
      </c>
      <c r="E186" t="s">
        <v>2490</v>
      </c>
      <c r="F186">
        <v>769</v>
      </c>
      <c r="G186" s="152">
        <v>44474</v>
      </c>
      <c r="H186" s="411">
        <v>44474.654131944444</v>
      </c>
      <c r="J186" s="526">
        <v>0</v>
      </c>
      <c r="K186" s="526">
        <v>168067</v>
      </c>
      <c r="L186" s="526">
        <v>31933</v>
      </c>
      <c r="M186"/>
      <c r="N186"/>
      <c r="O186" s="526">
        <v>200000</v>
      </c>
    </row>
    <row r="187" spans="1:15" x14ac:dyDescent="0.25">
      <c r="A187">
        <v>7</v>
      </c>
      <c r="B187">
        <v>33</v>
      </c>
      <c r="C187" t="s">
        <v>585</v>
      </c>
      <c r="D187" t="s">
        <v>588</v>
      </c>
      <c r="E187" t="s">
        <v>589</v>
      </c>
      <c r="F187">
        <v>3048</v>
      </c>
      <c r="G187" s="152">
        <v>44469</v>
      </c>
      <c r="H187" s="411">
        <v>44475.703321759262</v>
      </c>
      <c r="J187" s="526">
        <v>0</v>
      </c>
      <c r="K187" s="526">
        <v>42226020</v>
      </c>
      <c r="L187" s="526">
        <v>8022944</v>
      </c>
      <c r="M187"/>
      <c r="N187"/>
      <c r="O187" s="526">
        <v>50248964</v>
      </c>
    </row>
    <row r="188" spans="1:15" x14ac:dyDescent="0.25">
      <c r="A188">
        <v>8</v>
      </c>
      <c r="B188">
        <v>33</v>
      </c>
      <c r="C188" t="s">
        <v>585</v>
      </c>
      <c r="D188" t="s">
        <v>704</v>
      </c>
      <c r="E188" t="s">
        <v>705</v>
      </c>
      <c r="F188">
        <v>12378436</v>
      </c>
      <c r="G188" s="152">
        <v>44475</v>
      </c>
      <c r="H188" s="411">
        <v>44476.512488425928</v>
      </c>
      <c r="J188" s="526">
        <v>0</v>
      </c>
      <c r="K188" s="526">
        <v>1625</v>
      </c>
      <c r="L188" s="526">
        <v>309</v>
      </c>
      <c r="M188"/>
      <c r="N188"/>
      <c r="O188" s="526">
        <v>1934</v>
      </c>
    </row>
    <row r="189" spans="1:15" x14ac:dyDescent="0.25">
      <c r="A189">
        <v>9</v>
      </c>
      <c r="B189">
        <v>33</v>
      </c>
      <c r="C189" t="s">
        <v>585</v>
      </c>
      <c r="D189" t="s">
        <v>665</v>
      </c>
      <c r="E189" t="s">
        <v>666</v>
      </c>
      <c r="F189">
        <v>32435839</v>
      </c>
      <c r="G189" s="152">
        <v>44476</v>
      </c>
      <c r="H189" s="411">
        <v>44477.448414351849</v>
      </c>
      <c r="J189" s="526">
        <v>0</v>
      </c>
      <c r="K189" s="526">
        <v>903</v>
      </c>
      <c r="L189" s="526">
        <v>171</v>
      </c>
      <c r="M189"/>
      <c r="N189"/>
      <c r="O189" s="526">
        <v>1074</v>
      </c>
    </row>
    <row r="190" spans="1:15" x14ac:dyDescent="0.25">
      <c r="A190">
        <v>10</v>
      </c>
      <c r="B190">
        <v>33</v>
      </c>
      <c r="C190" t="s">
        <v>585</v>
      </c>
      <c r="D190" t="s">
        <v>665</v>
      </c>
      <c r="E190" t="s">
        <v>666</v>
      </c>
      <c r="F190">
        <v>32435840</v>
      </c>
      <c r="G190" s="152">
        <v>44476</v>
      </c>
      <c r="H190" s="411">
        <v>44477.448414351849</v>
      </c>
      <c r="J190" s="526">
        <v>0</v>
      </c>
      <c r="K190" s="526">
        <v>3009</v>
      </c>
      <c r="L190" s="526">
        <v>572</v>
      </c>
      <c r="M190"/>
      <c r="N190"/>
      <c r="O190" s="526">
        <v>3581</v>
      </c>
    </row>
    <row r="191" spans="1:15" x14ac:dyDescent="0.25">
      <c r="A191">
        <v>11</v>
      </c>
      <c r="B191">
        <v>33</v>
      </c>
      <c r="C191" t="s">
        <v>585</v>
      </c>
      <c r="D191" t="s">
        <v>665</v>
      </c>
      <c r="E191" t="s">
        <v>666</v>
      </c>
      <c r="F191">
        <v>32435841</v>
      </c>
      <c r="G191" s="152">
        <v>44476</v>
      </c>
      <c r="H191" s="411">
        <v>44477.448414351849</v>
      </c>
      <c r="J191" s="526">
        <v>0</v>
      </c>
      <c r="K191" s="526">
        <v>1805</v>
      </c>
      <c r="L191" s="526">
        <v>343</v>
      </c>
      <c r="M191"/>
      <c r="N191"/>
      <c r="O191" s="526">
        <v>2148</v>
      </c>
    </row>
    <row r="192" spans="1:15" x14ac:dyDescent="0.25">
      <c r="A192">
        <v>12</v>
      </c>
      <c r="B192">
        <v>33</v>
      </c>
      <c r="C192" t="s">
        <v>585</v>
      </c>
      <c r="D192" t="s">
        <v>1893</v>
      </c>
      <c r="E192" t="s">
        <v>1894</v>
      </c>
      <c r="F192">
        <v>37814989</v>
      </c>
      <c r="G192" s="152">
        <v>44481</v>
      </c>
      <c r="H192" s="411">
        <v>44481.850752314815</v>
      </c>
      <c r="J192" s="526">
        <v>0</v>
      </c>
      <c r="K192" s="526">
        <v>9617</v>
      </c>
      <c r="L192" s="526">
        <v>1827</v>
      </c>
      <c r="M192"/>
      <c r="N192"/>
      <c r="O192" s="526">
        <v>11444</v>
      </c>
    </row>
    <row r="193" spans="1:15" x14ac:dyDescent="0.25">
      <c r="A193">
        <v>13</v>
      </c>
      <c r="B193">
        <v>33</v>
      </c>
      <c r="C193" t="s">
        <v>585</v>
      </c>
      <c r="D193" t="s">
        <v>590</v>
      </c>
      <c r="E193" t="s">
        <v>591</v>
      </c>
      <c r="F193">
        <v>43904488</v>
      </c>
      <c r="G193" s="152">
        <v>44479</v>
      </c>
      <c r="H193" s="411">
        <v>44489.773518518516</v>
      </c>
      <c r="J193" s="526">
        <v>0</v>
      </c>
      <c r="K193" s="526">
        <v>17639</v>
      </c>
      <c r="L193" s="526">
        <v>3351</v>
      </c>
      <c r="M193"/>
      <c r="N193"/>
      <c r="O193" s="526">
        <v>20990</v>
      </c>
    </row>
    <row r="194" spans="1:15" x14ac:dyDescent="0.25">
      <c r="A194">
        <v>14</v>
      </c>
      <c r="B194">
        <v>33</v>
      </c>
      <c r="C194" t="s">
        <v>585</v>
      </c>
      <c r="D194" t="s">
        <v>592</v>
      </c>
      <c r="E194" t="s">
        <v>593</v>
      </c>
      <c r="F194">
        <v>257438</v>
      </c>
      <c r="G194" s="152">
        <v>44495</v>
      </c>
      <c r="H194" s="411">
        <v>44495.440567129626</v>
      </c>
      <c r="J194" s="526">
        <v>40252</v>
      </c>
      <c r="K194" s="526">
        <v>9912</v>
      </c>
      <c r="L194" s="526">
        <v>1883</v>
      </c>
      <c r="M194"/>
      <c r="N194"/>
      <c r="O194" s="526">
        <v>52047</v>
      </c>
    </row>
    <row r="195" spans="1:15" x14ac:dyDescent="0.25">
      <c r="A195">
        <v>15</v>
      </c>
      <c r="B195">
        <v>33</v>
      </c>
      <c r="C195" t="s">
        <v>585</v>
      </c>
      <c r="D195" t="s">
        <v>594</v>
      </c>
      <c r="E195" t="s">
        <v>595</v>
      </c>
      <c r="F195">
        <v>39558085</v>
      </c>
      <c r="G195" s="152">
        <v>44496</v>
      </c>
      <c r="H195" s="411">
        <v>44500.217997685184</v>
      </c>
      <c r="J195" s="526">
        <v>0</v>
      </c>
      <c r="K195" s="526">
        <v>19598</v>
      </c>
      <c r="L195" s="526">
        <v>3724</v>
      </c>
      <c r="M195"/>
      <c r="N195"/>
      <c r="O195" s="526">
        <v>23322</v>
      </c>
    </row>
    <row r="196" spans="1:15" x14ac:dyDescent="0.25">
      <c r="A196">
        <v>16</v>
      </c>
      <c r="B196">
        <v>33</v>
      </c>
      <c r="C196" t="s">
        <v>585</v>
      </c>
      <c r="D196" t="s">
        <v>594</v>
      </c>
      <c r="E196" t="s">
        <v>595</v>
      </c>
      <c r="F196">
        <v>39558086</v>
      </c>
      <c r="G196" s="152">
        <v>44496</v>
      </c>
      <c r="H196" s="411">
        <v>44500.217997685184</v>
      </c>
      <c r="J196" s="526">
        <v>0</v>
      </c>
      <c r="K196" s="526">
        <v>281</v>
      </c>
      <c r="L196" s="526">
        <v>53</v>
      </c>
      <c r="M196"/>
      <c r="N196"/>
      <c r="O196" s="526">
        <v>334</v>
      </c>
    </row>
    <row r="197" spans="1:15" x14ac:dyDescent="0.25">
      <c r="A197">
        <v>17</v>
      </c>
      <c r="B197">
        <v>33</v>
      </c>
      <c r="C197" t="s">
        <v>585</v>
      </c>
      <c r="D197" t="s">
        <v>594</v>
      </c>
      <c r="E197" t="s">
        <v>595</v>
      </c>
      <c r="F197">
        <v>39558087</v>
      </c>
      <c r="G197" s="152">
        <v>44496</v>
      </c>
      <c r="H197" s="411">
        <v>44500.217997685184</v>
      </c>
      <c r="J197" s="526">
        <v>0</v>
      </c>
      <c r="K197" s="526">
        <v>28200</v>
      </c>
      <c r="L197" s="526">
        <v>5358</v>
      </c>
      <c r="M197"/>
      <c r="N197"/>
      <c r="O197" s="526">
        <v>33558</v>
      </c>
    </row>
    <row r="198" spans="1:15" x14ac:dyDescent="0.25">
      <c r="A198">
        <v>18</v>
      </c>
      <c r="B198">
        <v>33</v>
      </c>
      <c r="C198" t="s">
        <v>585</v>
      </c>
      <c r="D198" t="s">
        <v>594</v>
      </c>
      <c r="E198" t="s">
        <v>595</v>
      </c>
      <c r="F198">
        <v>39558088</v>
      </c>
      <c r="G198" s="152">
        <v>44496</v>
      </c>
      <c r="H198" s="411">
        <v>44500.217997685184</v>
      </c>
      <c r="J198" s="526">
        <v>0</v>
      </c>
      <c r="K198" s="526">
        <v>42</v>
      </c>
      <c r="L198" s="526">
        <v>8</v>
      </c>
      <c r="M198"/>
      <c r="N198"/>
      <c r="O198" s="526">
        <v>50</v>
      </c>
    </row>
    <row r="199" spans="1:15" x14ac:dyDescent="0.25">
      <c r="A199">
        <v>19</v>
      </c>
      <c r="B199">
        <v>33</v>
      </c>
      <c r="C199" t="s">
        <v>585</v>
      </c>
      <c r="D199" t="s">
        <v>594</v>
      </c>
      <c r="E199" t="s">
        <v>595</v>
      </c>
      <c r="F199">
        <v>39560471</v>
      </c>
      <c r="G199" s="152">
        <v>44496</v>
      </c>
      <c r="H199" s="411">
        <v>44500.218680555554</v>
      </c>
      <c r="J199" s="526">
        <v>0</v>
      </c>
      <c r="K199" s="526">
        <v>376571</v>
      </c>
      <c r="L199" s="526">
        <v>71548</v>
      </c>
      <c r="M199"/>
      <c r="N199"/>
      <c r="O199" s="526">
        <v>448119</v>
      </c>
    </row>
    <row r="200" spans="1:15" x14ac:dyDescent="0.25">
      <c r="A200">
        <v>20</v>
      </c>
      <c r="B200">
        <v>34</v>
      </c>
      <c r="C200" t="s">
        <v>585</v>
      </c>
      <c r="D200" t="s">
        <v>598</v>
      </c>
      <c r="E200" t="s">
        <v>1897</v>
      </c>
      <c r="F200">
        <v>429</v>
      </c>
      <c r="G200" s="152">
        <v>44461</v>
      </c>
      <c r="H200" s="411">
        <v>44461.909513888888</v>
      </c>
      <c r="J200" s="526">
        <v>3005600</v>
      </c>
      <c r="K200" s="526">
        <v>0</v>
      </c>
      <c r="L200" s="526">
        <v>0</v>
      </c>
      <c r="M200"/>
      <c r="N200"/>
      <c r="O200" s="526">
        <v>3005600</v>
      </c>
    </row>
    <row r="201" spans="1:15" x14ac:dyDescent="0.25">
      <c r="A201">
        <v>21</v>
      </c>
      <c r="B201">
        <v>34</v>
      </c>
      <c r="C201" t="s">
        <v>585</v>
      </c>
      <c r="D201" t="s">
        <v>596</v>
      </c>
      <c r="E201" t="s">
        <v>597</v>
      </c>
      <c r="F201">
        <v>825</v>
      </c>
      <c r="G201" s="152">
        <v>44462</v>
      </c>
      <c r="H201" s="411">
        <v>44462.612175925926</v>
      </c>
      <c r="J201" s="526">
        <v>423803</v>
      </c>
      <c r="K201" s="526">
        <v>0</v>
      </c>
      <c r="L201" s="526">
        <v>0</v>
      </c>
      <c r="M201"/>
      <c r="N201"/>
      <c r="O201" s="526">
        <v>423803</v>
      </c>
    </row>
    <row r="202" spans="1:15" x14ac:dyDescent="0.25">
      <c r="A202">
        <v>22</v>
      </c>
      <c r="B202">
        <v>34</v>
      </c>
      <c r="C202" t="s">
        <v>585</v>
      </c>
      <c r="D202" t="s">
        <v>1952</v>
      </c>
      <c r="E202" t="s">
        <v>1953</v>
      </c>
      <c r="F202">
        <v>2774</v>
      </c>
      <c r="G202" s="152">
        <v>44466</v>
      </c>
      <c r="H202" s="411">
        <v>44466.752384259256</v>
      </c>
      <c r="J202" s="526">
        <v>129328</v>
      </c>
      <c r="K202" s="526">
        <v>0</v>
      </c>
      <c r="L202" s="526">
        <v>0</v>
      </c>
      <c r="M202"/>
      <c r="N202"/>
      <c r="O202" s="526">
        <v>129328</v>
      </c>
    </row>
    <row r="203" spans="1:15" x14ac:dyDescent="0.25">
      <c r="A203">
        <v>23</v>
      </c>
      <c r="B203">
        <v>34</v>
      </c>
      <c r="C203" t="s">
        <v>585</v>
      </c>
      <c r="D203" t="s">
        <v>605</v>
      </c>
      <c r="E203" t="s">
        <v>606</v>
      </c>
      <c r="F203">
        <v>6409</v>
      </c>
      <c r="G203" s="152">
        <v>44467</v>
      </c>
      <c r="H203" s="411">
        <v>44467.772106481483</v>
      </c>
      <c r="J203" s="526">
        <v>4361654</v>
      </c>
      <c r="K203" s="526">
        <v>0</v>
      </c>
      <c r="L203" s="526">
        <v>0</v>
      </c>
      <c r="M203"/>
      <c r="N203"/>
      <c r="O203" s="526">
        <v>4361654</v>
      </c>
    </row>
    <row r="204" spans="1:15" x14ac:dyDescent="0.25">
      <c r="A204">
        <v>24</v>
      </c>
      <c r="B204">
        <v>34</v>
      </c>
      <c r="C204" t="s">
        <v>585</v>
      </c>
      <c r="D204" t="s">
        <v>596</v>
      </c>
      <c r="E204" t="s">
        <v>597</v>
      </c>
      <c r="F204">
        <v>837</v>
      </c>
      <c r="G204" s="152">
        <v>44491</v>
      </c>
      <c r="H204" s="411">
        <v>44491.659884259258</v>
      </c>
      <c r="J204" s="526">
        <v>426538</v>
      </c>
      <c r="K204" s="526">
        <v>0</v>
      </c>
      <c r="L204" s="526">
        <v>0</v>
      </c>
      <c r="M204"/>
      <c r="N204"/>
      <c r="O204" s="526">
        <v>426538</v>
      </c>
    </row>
    <row r="206" spans="1:15" x14ac:dyDescent="0.25">
      <c r="A206">
        <v>1</v>
      </c>
      <c r="B206">
        <v>33</v>
      </c>
      <c r="C206" t="s">
        <v>585</v>
      </c>
      <c r="D206" t="s">
        <v>586</v>
      </c>
      <c r="E206" t="s">
        <v>587</v>
      </c>
      <c r="F206">
        <v>10842444</v>
      </c>
      <c r="G206" s="152">
        <v>44501</v>
      </c>
      <c r="H206" s="411">
        <v>44498.216747685183</v>
      </c>
      <c r="J206" s="526">
        <v>0</v>
      </c>
      <c r="K206" s="526">
        <v>37288</v>
      </c>
      <c r="L206" s="526">
        <v>7085</v>
      </c>
      <c r="M206"/>
      <c r="N206"/>
      <c r="O206" s="526">
        <v>44373</v>
      </c>
    </row>
    <row r="207" spans="1:15" x14ac:dyDescent="0.25">
      <c r="A207">
        <v>2</v>
      </c>
      <c r="B207">
        <v>33</v>
      </c>
      <c r="C207" t="s">
        <v>585</v>
      </c>
      <c r="D207" t="s">
        <v>2491</v>
      </c>
      <c r="E207" t="s">
        <v>2492</v>
      </c>
      <c r="F207">
        <v>63</v>
      </c>
      <c r="G207" s="152">
        <v>44502</v>
      </c>
      <c r="H207" s="411">
        <v>44502.947013888886</v>
      </c>
      <c r="J207" s="526">
        <v>0</v>
      </c>
      <c r="K207" s="526">
        <v>75000</v>
      </c>
      <c r="L207" s="526">
        <v>14250</v>
      </c>
      <c r="M207"/>
      <c r="N207"/>
      <c r="O207" s="526">
        <v>89250</v>
      </c>
    </row>
    <row r="208" spans="1:15" x14ac:dyDescent="0.25">
      <c r="A208">
        <v>3</v>
      </c>
      <c r="B208">
        <v>33</v>
      </c>
      <c r="C208" t="s">
        <v>585</v>
      </c>
      <c r="D208" t="s">
        <v>594</v>
      </c>
      <c r="E208" t="s">
        <v>595</v>
      </c>
      <c r="F208">
        <v>39790927</v>
      </c>
      <c r="G208" s="152">
        <v>44497</v>
      </c>
      <c r="H208" s="411">
        <v>44503.090763888889</v>
      </c>
      <c r="J208" s="526">
        <v>0</v>
      </c>
      <c r="K208" s="526">
        <v>3801</v>
      </c>
      <c r="L208" s="526">
        <v>722</v>
      </c>
      <c r="M208"/>
      <c r="N208"/>
      <c r="O208" s="526">
        <v>4523</v>
      </c>
    </row>
    <row r="209" spans="1:15" x14ac:dyDescent="0.25">
      <c r="A209">
        <v>4</v>
      </c>
      <c r="B209">
        <v>33</v>
      </c>
      <c r="C209" t="s">
        <v>585</v>
      </c>
      <c r="D209" t="s">
        <v>588</v>
      </c>
      <c r="E209" t="s">
        <v>589</v>
      </c>
      <c r="F209">
        <v>3075</v>
      </c>
      <c r="G209" s="152">
        <v>44500</v>
      </c>
      <c r="H209" s="411">
        <v>44505.621145833335</v>
      </c>
      <c r="J209" s="526">
        <v>0</v>
      </c>
      <c r="K209" s="526">
        <v>89515182</v>
      </c>
      <c r="L209" s="526">
        <v>17007885</v>
      </c>
      <c r="M209"/>
      <c r="N209"/>
      <c r="O209" s="526">
        <v>106523067</v>
      </c>
    </row>
    <row r="210" spans="1:15" x14ac:dyDescent="0.25">
      <c r="A210">
        <v>5</v>
      </c>
      <c r="B210">
        <v>33</v>
      </c>
      <c r="C210" t="s">
        <v>585</v>
      </c>
      <c r="D210" t="s">
        <v>704</v>
      </c>
      <c r="E210" t="s">
        <v>705</v>
      </c>
      <c r="F210">
        <v>12457236</v>
      </c>
      <c r="G210" s="152">
        <v>44508</v>
      </c>
      <c r="H210" s="411">
        <v>44509.460648148146</v>
      </c>
      <c r="J210" s="526">
        <v>0</v>
      </c>
      <c r="K210" s="526">
        <v>2187</v>
      </c>
      <c r="L210" s="526">
        <v>416</v>
      </c>
      <c r="M210"/>
      <c r="N210"/>
      <c r="O210" s="526">
        <v>2603</v>
      </c>
    </row>
    <row r="211" spans="1:15" x14ac:dyDescent="0.25">
      <c r="A211">
        <v>6</v>
      </c>
      <c r="B211">
        <v>33</v>
      </c>
      <c r="C211" t="s">
        <v>585</v>
      </c>
      <c r="D211" t="s">
        <v>870</v>
      </c>
      <c r="E211" t="s">
        <v>2493</v>
      </c>
      <c r="F211">
        <v>24809598</v>
      </c>
      <c r="G211" s="152">
        <v>44509</v>
      </c>
      <c r="H211" s="411">
        <v>44509.511863425927</v>
      </c>
      <c r="J211" s="526">
        <v>0</v>
      </c>
      <c r="K211" s="526">
        <v>4616766</v>
      </c>
      <c r="L211" s="526">
        <v>877186</v>
      </c>
      <c r="M211"/>
      <c r="N211"/>
      <c r="O211" s="526">
        <v>5493952</v>
      </c>
    </row>
    <row r="212" spans="1:15" x14ac:dyDescent="0.25">
      <c r="A212">
        <v>7</v>
      </c>
      <c r="B212">
        <v>33</v>
      </c>
      <c r="C212" t="s">
        <v>585</v>
      </c>
      <c r="D212" t="s">
        <v>1893</v>
      </c>
      <c r="E212" t="s">
        <v>1894</v>
      </c>
      <c r="F212">
        <v>38091488</v>
      </c>
      <c r="G212" s="152">
        <v>44510</v>
      </c>
      <c r="H212" s="411">
        <v>44510.842453703706</v>
      </c>
      <c r="J212" s="526">
        <v>0</v>
      </c>
      <c r="K212" s="526">
        <v>10314</v>
      </c>
      <c r="L212" s="526">
        <v>1960</v>
      </c>
      <c r="M212"/>
      <c r="N212"/>
      <c r="O212" s="526">
        <v>12274</v>
      </c>
    </row>
    <row r="213" spans="1:15" x14ac:dyDescent="0.25">
      <c r="A213">
        <v>8</v>
      </c>
      <c r="B213">
        <v>33</v>
      </c>
      <c r="C213" t="s">
        <v>585</v>
      </c>
      <c r="D213" t="s">
        <v>590</v>
      </c>
      <c r="E213" t="s">
        <v>591</v>
      </c>
      <c r="F213">
        <v>44053164</v>
      </c>
      <c r="G213" s="152">
        <v>44510</v>
      </c>
      <c r="H213" s="411">
        <v>44517.037499999999</v>
      </c>
      <c r="J213" s="526">
        <v>0</v>
      </c>
      <c r="K213" s="526">
        <v>17639</v>
      </c>
      <c r="L213" s="526">
        <v>3351</v>
      </c>
      <c r="M213"/>
      <c r="N213"/>
      <c r="O213" s="526">
        <v>20990</v>
      </c>
    </row>
    <row r="214" spans="1:15" x14ac:dyDescent="0.25">
      <c r="A214">
        <v>9</v>
      </c>
      <c r="B214">
        <v>33</v>
      </c>
      <c r="C214" t="s">
        <v>585</v>
      </c>
      <c r="D214" t="s">
        <v>665</v>
      </c>
      <c r="E214" t="s">
        <v>666</v>
      </c>
      <c r="F214">
        <v>32700417</v>
      </c>
      <c r="G214" s="152">
        <v>44522</v>
      </c>
      <c r="H214" s="411">
        <v>44523.471226851849</v>
      </c>
      <c r="J214" s="526">
        <v>0</v>
      </c>
      <c r="K214" s="526">
        <v>911</v>
      </c>
      <c r="L214" s="526">
        <v>173</v>
      </c>
      <c r="M214"/>
      <c r="N214"/>
      <c r="O214" s="526">
        <v>1084</v>
      </c>
    </row>
    <row r="215" spans="1:15" x14ac:dyDescent="0.25">
      <c r="A215">
        <v>10</v>
      </c>
      <c r="B215">
        <v>33</v>
      </c>
      <c r="C215" t="s">
        <v>585</v>
      </c>
      <c r="D215" t="s">
        <v>665</v>
      </c>
      <c r="E215" t="s">
        <v>666</v>
      </c>
      <c r="F215">
        <v>32700418</v>
      </c>
      <c r="G215" s="152">
        <v>44522</v>
      </c>
      <c r="H215" s="411">
        <v>44523.471226851849</v>
      </c>
      <c r="J215" s="526">
        <v>0</v>
      </c>
      <c r="K215" s="526">
        <v>3036</v>
      </c>
      <c r="L215" s="526">
        <v>577</v>
      </c>
      <c r="M215"/>
      <c r="N215"/>
      <c r="O215" s="526">
        <v>3613</v>
      </c>
    </row>
    <row r="216" spans="1:15" x14ac:dyDescent="0.25">
      <c r="A216">
        <v>11</v>
      </c>
      <c r="B216">
        <v>33</v>
      </c>
      <c r="C216" t="s">
        <v>585</v>
      </c>
      <c r="D216" t="s">
        <v>665</v>
      </c>
      <c r="E216" t="s">
        <v>666</v>
      </c>
      <c r="F216">
        <v>32700419</v>
      </c>
      <c r="G216" s="152">
        <v>44522</v>
      </c>
      <c r="H216" s="411">
        <v>44523.471226851849</v>
      </c>
      <c r="J216" s="526">
        <v>0</v>
      </c>
      <c r="K216" s="526">
        <v>911</v>
      </c>
      <c r="L216" s="526">
        <v>173</v>
      </c>
      <c r="M216"/>
      <c r="N216"/>
      <c r="O216" s="526">
        <v>1084</v>
      </c>
    </row>
    <row r="217" spans="1:15" x14ac:dyDescent="0.25">
      <c r="A217">
        <v>12</v>
      </c>
      <c r="B217">
        <v>33</v>
      </c>
      <c r="C217" t="s">
        <v>585</v>
      </c>
      <c r="D217" t="s">
        <v>592</v>
      </c>
      <c r="E217" t="s">
        <v>593</v>
      </c>
      <c r="F217">
        <v>266093</v>
      </c>
      <c r="G217" s="152">
        <v>44529</v>
      </c>
      <c r="H217" s="411">
        <v>44529.421655092592</v>
      </c>
      <c r="J217" s="526">
        <v>40765</v>
      </c>
      <c r="K217" s="526">
        <v>10038</v>
      </c>
      <c r="L217" s="526">
        <v>1907</v>
      </c>
      <c r="M217"/>
      <c r="N217"/>
      <c r="O217" s="526">
        <v>52710</v>
      </c>
    </row>
    <row r="218" spans="1:15" x14ac:dyDescent="0.25">
      <c r="A218">
        <v>13</v>
      </c>
      <c r="B218">
        <v>34</v>
      </c>
      <c r="C218" t="s">
        <v>585</v>
      </c>
      <c r="D218" t="s">
        <v>598</v>
      </c>
      <c r="E218" t="s">
        <v>1897</v>
      </c>
      <c r="F218">
        <v>440</v>
      </c>
      <c r="G218" s="152">
        <v>44495</v>
      </c>
      <c r="H218" s="411">
        <v>44495.944247685184</v>
      </c>
      <c r="J218" s="526">
        <v>3005600</v>
      </c>
      <c r="K218" s="526">
        <v>0</v>
      </c>
      <c r="L218" s="526">
        <v>0</v>
      </c>
      <c r="M218"/>
      <c r="N218"/>
      <c r="O218" s="526">
        <v>3005600</v>
      </c>
    </row>
    <row r="219" spans="1:15" x14ac:dyDescent="0.25">
      <c r="A219">
        <v>14</v>
      </c>
      <c r="B219">
        <v>34</v>
      </c>
      <c r="C219" t="s">
        <v>585</v>
      </c>
      <c r="D219" t="s">
        <v>628</v>
      </c>
      <c r="E219" t="s">
        <v>629</v>
      </c>
      <c r="F219">
        <v>154</v>
      </c>
      <c r="G219" s="152">
        <v>44496</v>
      </c>
      <c r="H219" s="411">
        <v>44496.616967592592</v>
      </c>
      <c r="J219" s="526">
        <v>600000</v>
      </c>
      <c r="K219" s="526">
        <v>0</v>
      </c>
      <c r="L219" s="526">
        <v>0</v>
      </c>
      <c r="M219"/>
      <c r="N219"/>
      <c r="O219" s="526">
        <v>600000</v>
      </c>
    </row>
    <row r="220" spans="1:15" x14ac:dyDescent="0.25">
      <c r="A220">
        <v>15</v>
      </c>
      <c r="B220">
        <v>34</v>
      </c>
      <c r="C220" t="s">
        <v>585</v>
      </c>
      <c r="D220" t="s">
        <v>628</v>
      </c>
      <c r="E220" t="s">
        <v>629</v>
      </c>
      <c r="F220">
        <v>155</v>
      </c>
      <c r="G220" s="152">
        <v>44496</v>
      </c>
      <c r="H220" s="411">
        <v>44496.618252314816</v>
      </c>
      <c r="J220" s="526">
        <v>1200000</v>
      </c>
      <c r="K220" s="526">
        <v>0</v>
      </c>
      <c r="L220" s="526">
        <v>0</v>
      </c>
      <c r="M220"/>
      <c r="N220"/>
      <c r="O220" s="526">
        <v>1200000</v>
      </c>
    </row>
    <row r="221" spans="1:15" x14ac:dyDescent="0.25">
      <c r="A221">
        <v>16</v>
      </c>
      <c r="B221">
        <v>34</v>
      </c>
      <c r="C221" t="s">
        <v>585</v>
      </c>
      <c r="D221" t="s">
        <v>605</v>
      </c>
      <c r="E221" t="s">
        <v>606</v>
      </c>
      <c r="F221">
        <v>6495</v>
      </c>
      <c r="G221" s="152">
        <v>44498</v>
      </c>
      <c r="H221" s="411">
        <v>44498.459282407406</v>
      </c>
      <c r="J221" s="526">
        <v>4400048</v>
      </c>
      <c r="K221" s="526">
        <v>0</v>
      </c>
      <c r="L221" s="526">
        <v>0</v>
      </c>
      <c r="M221"/>
      <c r="N221"/>
      <c r="O221" s="526">
        <v>4400048</v>
      </c>
    </row>
    <row r="222" spans="1:15" x14ac:dyDescent="0.25">
      <c r="A222">
        <v>17</v>
      </c>
      <c r="B222">
        <v>61</v>
      </c>
      <c r="C222" t="s">
        <v>585</v>
      </c>
      <c r="D222" t="s">
        <v>594</v>
      </c>
      <c r="E222" t="s">
        <v>595</v>
      </c>
      <c r="F222">
        <v>3480605</v>
      </c>
      <c r="G222" s="152">
        <v>44509</v>
      </c>
      <c r="H222" s="411">
        <v>44509.585694444446</v>
      </c>
      <c r="J222" s="526">
        <v>0</v>
      </c>
      <c r="K222" s="526">
        <v>202</v>
      </c>
      <c r="L222" s="526">
        <v>38</v>
      </c>
      <c r="M222"/>
      <c r="N222"/>
      <c r="O222" s="526">
        <v>240</v>
      </c>
    </row>
    <row r="223" spans="1:15" x14ac:dyDescent="0.25">
      <c r="A223">
        <v>18</v>
      </c>
      <c r="B223">
        <v>61</v>
      </c>
      <c r="C223" t="s">
        <v>585</v>
      </c>
      <c r="D223" t="s">
        <v>594</v>
      </c>
      <c r="E223" t="s">
        <v>595</v>
      </c>
      <c r="F223">
        <v>3572299</v>
      </c>
      <c r="G223" s="152">
        <v>44509</v>
      </c>
      <c r="H223" s="411">
        <v>44510.524444444447</v>
      </c>
      <c r="J223" s="526">
        <v>0</v>
      </c>
      <c r="K223" s="526">
        <v>361</v>
      </c>
      <c r="L223" s="526">
        <v>69</v>
      </c>
      <c r="M223"/>
      <c r="N223"/>
      <c r="O223" s="526">
        <v>430</v>
      </c>
    </row>
    <row r="224" spans="1:15" x14ac:dyDescent="0.25">
      <c r="A224">
        <v>19</v>
      </c>
      <c r="B224">
        <v>61</v>
      </c>
      <c r="C224" t="s">
        <v>585</v>
      </c>
      <c r="D224" t="s">
        <v>594</v>
      </c>
      <c r="E224" t="s">
        <v>595</v>
      </c>
      <c r="F224">
        <v>3654209</v>
      </c>
      <c r="G224" s="152">
        <v>44529</v>
      </c>
      <c r="H224" s="411">
        <v>44530.028495370374</v>
      </c>
      <c r="J224" s="526">
        <v>0</v>
      </c>
      <c r="K224" s="526">
        <v>2269</v>
      </c>
      <c r="L224" s="526">
        <v>431</v>
      </c>
      <c r="M224"/>
      <c r="N224"/>
      <c r="O224" s="526">
        <v>2700</v>
      </c>
    </row>
    <row r="226" spans="1:15" x14ac:dyDescent="0.25">
      <c r="A226">
        <v>1</v>
      </c>
      <c r="B226">
        <v>33</v>
      </c>
      <c r="C226" t="s">
        <v>585</v>
      </c>
      <c r="D226" t="s">
        <v>704</v>
      </c>
      <c r="E226" t="s">
        <v>705</v>
      </c>
      <c r="F226">
        <v>12515753</v>
      </c>
      <c r="G226" s="152">
        <v>44525</v>
      </c>
      <c r="H226" s="411">
        <v>44526.894224537034</v>
      </c>
      <c r="J226" s="526">
        <v>0</v>
      </c>
      <c r="K226" s="526">
        <v>4644</v>
      </c>
      <c r="L226" s="526">
        <v>882</v>
      </c>
      <c r="M226"/>
      <c r="N226"/>
      <c r="O226" s="526">
        <v>5526</v>
      </c>
    </row>
    <row r="227" spans="1:15" s="428" customFormat="1" x14ac:dyDescent="0.25">
      <c r="A227" s="428">
        <v>2</v>
      </c>
      <c r="B227" s="428">
        <v>33</v>
      </c>
      <c r="C227" s="428" t="s">
        <v>585</v>
      </c>
      <c r="D227" s="428" t="s">
        <v>586</v>
      </c>
      <c r="E227" s="428" t="s">
        <v>587</v>
      </c>
      <c r="F227" s="428">
        <v>10872402</v>
      </c>
      <c r="G227" s="466">
        <v>44531</v>
      </c>
      <c r="H227" s="467">
        <v>44530.232800925929</v>
      </c>
      <c r="J227" s="585">
        <v>0</v>
      </c>
      <c r="K227" s="585">
        <v>37759</v>
      </c>
      <c r="L227" s="585">
        <v>7174</v>
      </c>
      <c r="O227" s="585">
        <v>44933</v>
      </c>
    </row>
    <row r="228" spans="1:15" x14ac:dyDescent="0.25">
      <c r="A228">
        <v>3</v>
      </c>
      <c r="B228">
        <v>33</v>
      </c>
      <c r="C228" t="s">
        <v>585</v>
      </c>
      <c r="D228" t="s">
        <v>594</v>
      </c>
      <c r="E228" t="s">
        <v>595</v>
      </c>
      <c r="F228">
        <v>39869475</v>
      </c>
      <c r="G228" s="152">
        <v>44526</v>
      </c>
      <c r="H228" s="411">
        <v>44531.426203703704</v>
      </c>
      <c r="J228" s="526">
        <v>0</v>
      </c>
      <c r="K228" s="526">
        <v>67382</v>
      </c>
      <c r="L228" s="526">
        <v>12803</v>
      </c>
      <c r="M228"/>
      <c r="N228"/>
      <c r="O228" s="526">
        <v>80185</v>
      </c>
    </row>
    <row r="229" spans="1:15" x14ac:dyDescent="0.25">
      <c r="A229">
        <v>4</v>
      </c>
      <c r="B229">
        <v>33</v>
      </c>
      <c r="C229" t="s">
        <v>585</v>
      </c>
      <c r="D229" t="s">
        <v>594</v>
      </c>
      <c r="E229" t="s">
        <v>595</v>
      </c>
      <c r="F229">
        <v>39869476</v>
      </c>
      <c r="G229" s="152">
        <v>44526</v>
      </c>
      <c r="H229" s="411">
        <v>44531.426203703704</v>
      </c>
      <c r="J229" s="526">
        <v>0</v>
      </c>
      <c r="K229" s="526">
        <v>539</v>
      </c>
      <c r="L229" s="526">
        <v>102</v>
      </c>
      <c r="M229"/>
      <c r="N229"/>
      <c r="O229" s="526">
        <v>641</v>
      </c>
    </row>
    <row r="230" spans="1:15" x14ac:dyDescent="0.25">
      <c r="A230">
        <v>5</v>
      </c>
      <c r="B230">
        <v>33</v>
      </c>
      <c r="C230" t="s">
        <v>585</v>
      </c>
      <c r="D230" t="s">
        <v>594</v>
      </c>
      <c r="E230" t="s">
        <v>595</v>
      </c>
      <c r="F230">
        <v>39869477</v>
      </c>
      <c r="G230" s="152">
        <v>44526</v>
      </c>
      <c r="H230" s="411">
        <v>44531.426203703704</v>
      </c>
      <c r="J230" s="526">
        <v>0</v>
      </c>
      <c r="K230" s="526">
        <v>538</v>
      </c>
      <c r="L230" s="526">
        <v>102</v>
      </c>
      <c r="M230"/>
      <c r="N230"/>
      <c r="O230" s="526">
        <v>640</v>
      </c>
    </row>
    <row r="231" spans="1:15" x14ac:dyDescent="0.25">
      <c r="A231">
        <v>6</v>
      </c>
      <c r="B231">
        <v>33</v>
      </c>
      <c r="C231" t="s">
        <v>585</v>
      </c>
      <c r="D231" t="s">
        <v>594</v>
      </c>
      <c r="E231" t="s">
        <v>595</v>
      </c>
      <c r="F231">
        <v>39869478</v>
      </c>
      <c r="G231" s="152">
        <v>44526</v>
      </c>
      <c r="H231" s="411">
        <v>44531.426203703704</v>
      </c>
      <c r="J231" s="526">
        <v>0</v>
      </c>
      <c r="K231" s="526">
        <v>2018</v>
      </c>
      <c r="L231" s="526">
        <v>383</v>
      </c>
      <c r="M231"/>
      <c r="N231"/>
      <c r="O231" s="526">
        <v>2401</v>
      </c>
    </row>
    <row r="232" spans="1:15" x14ac:dyDescent="0.25">
      <c r="A232">
        <v>7</v>
      </c>
      <c r="B232">
        <v>33</v>
      </c>
      <c r="C232" t="s">
        <v>585</v>
      </c>
      <c r="D232" t="s">
        <v>594</v>
      </c>
      <c r="E232" t="s">
        <v>595</v>
      </c>
      <c r="F232">
        <v>39871889</v>
      </c>
      <c r="G232" s="152">
        <v>44526</v>
      </c>
      <c r="H232" s="411">
        <v>44531.426944444444</v>
      </c>
      <c r="J232" s="526">
        <v>0</v>
      </c>
      <c r="K232" s="526">
        <v>716482</v>
      </c>
      <c r="L232" s="526">
        <v>136132</v>
      </c>
      <c r="M232"/>
      <c r="N232"/>
      <c r="O232" s="526">
        <v>852614</v>
      </c>
    </row>
    <row r="233" spans="1:15" x14ac:dyDescent="0.25">
      <c r="A233">
        <v>8</v>
      </c>
      <c r="B233">
        <v>33</v>
      </c>
      <c r="C233" t="s">
        <v>585</v>
      </c>
      <c r="D233" t="s">
        <v>594</v>
      </c>
      <c r="E233" t="s">
        <v>595</v>
      </c>
      <c r="F233">
        <v>39871890</v>
      </c>
      <c r="G233" s="152">
        <v>44526</v>
      </c>
      <c r="H233" s="411">
        <v>44531.426944444444</v>
      </c>
      <c r="J233" s="526">
        <v>0</v>
      </c>
      <c r="K233" s="526">
        <v>8260</v>
      </c>
      <c r="L233" s="526">
        <v>1569</v>
      </c>
      <c r="M233"/>
      <c r="N233"/>
      <c r="O233" s="526">
        <v>9829</v>
      </c>
    </row>
    <row r="234" spans="1:15" x14ac:dyDescent="0.25">
      <c r="A234">
        <v>9</v>
      </c>
      <c r="B234">
        <v>33</v>
      </c>
      <c r="C234" t="s">
        <v>585</v>
      </c>
      <c r="D234" t="s">
        <v>594</v>
      </c>
      <c r="E234" t="s">
        <v>595</v>
      </c>
      <c r="F234">
        <v>40108235</v>
      </c>
      <c r="G234" s="152">
        <v>44530</v>
      </c>
      <c r="H234" s="411">
        <v>44535.341192129628</v>
      </c>
      <c r="J234" s="526">
        <v>0</v>
      </c>
      <c r="K234" s="526">
        <v>40204</v>
      </c>
      <c r="L234" s="526">
        <v>7639</v>
      </c>
      <c r="M234"/>
      <c r="N234"/>
      <c r="O234" s="526">
        <v>47843</v>
      </c>
    </row>
    <row r="235" spans="1:15" s="428" customFormat="1" x14ac:dyDescent="0.25">
      <c r="A235" s="428">
        <v>10</v>
      </c>
      <c r="B235" s="428">
        <v>33</v>
      </c>
      <c r="C235" s="428" t="s">
        <v>585</v>
      </c>
      <c r="D235" s="428" t="s">
        <v>588</v>
      </c>
      <c r="E235" s="428" t="s">
        <v>589</v>
      </c>
      <c r="F235" s="428">
        <v>3112</v>
      </c>
      <c r="G235" s="466">
        <v>44530</v>
      </c>
      <c r="H235" s="467">
        <v>44536.626134259262</v>
      </c>
      <c r="J235" s="585">
        <v>0</v>
      </c>
      <c r="K235" s="585">
        <v>137023310</v>
      </c>
      <c r="L235" s="585">
        <v>26034429</v>
      </c>
      <c r="O235" s="585">
        <v>163057739</v>
      </c>
    </row>
    <row r="236" spans="1:15" s="428" customFormat="1" x14ac:dyDescent="0.25">
      <c r="A236" s="428">
        <v>11</v>
      </c>
      <c r="B236" s="428">
        <v>33</v>
      </c>
      <c r="C236" s="428" t="s">
        <v>585</v>
      </c>
      <c r="D236" s="428" t="s">
        <v>588</v>
      </c>
      <c r="E236" s="428" t="s">
        <v>589</v>
      </c>
      <c r="F236" s="428">
        <v>3113</v>
      </c>
      <c r="G236" s="466">
        <v>44530</v>
      </c>
      <c r="H236" s="467">
        <v>44536.626134259262</v>
      </c>
      <c r="J236" s="585">
        <v>0</v>
      </c>
      <c r="K236" s="585">
        <v>10611884</v>
      </c>
      <c r="L236" s="585">
        <v>2016258</v>
      </c>
      <c r="O236" s="585">
        <v>12628142</v>
      </c>
    </row>
    <row r="237" spans="1:15" x14ac:dyDescent="0.25">
      <c r="A237">
        <v>12</v>
      </c>
      <c r="B237">
        <v>33</v>
      </c>
      <c r="C237" t="s">
        <v>585</v>
      </c>
      <c r="D237" t="s">
        <v>704</v>
      </c>
      <c r="E237" t="s">
        <v>705</v>
      </c>
      <c r="F237">
        <v>12534799</v>
      </c>
      <c r="G237" s="152">
        <v>44537</v>
      </c>
      <c r="H237" s="411">
        <v>44539.449502314812</v>
      </c>
      <c r="J237" s="526">
        <v>0</v>
      </c>
      <c r="K237" s="526">
        <v>1661</v>
      </c>
      <c r="L237" s="526">
        <v>316</v>
      </c>
      <c r="M237"/>
      <c r="N237"/>
      <c r="O237" s="526">
        <v>1977</v>
      </c>
    </row>
    <row r="238" spans="1:15" x14ac:dyDescent="0.25">
      <c r="A238">
        <v>13</v>
      </c>
      <c r="B238">
        <v>33</v>
      </c>
      <c r="C238" t="s">
        <v>585</v>
      </c>
      <c r="D238" t="s">
        <v>2494</v>
      </c>
      <c r="E238" t="s">
        <v>2495</v>
      </c>
      <c r="F238">
        <v>153</v>
      </c>
      <c r="G238" s="152">
        <v>44544</v>
      </c>
      <c r="H238" s="411">
        <v>44544.748402777775</v>
      </c>
      <c r="J238" s="526">
        <v>0</v>
      </c>
      <c r="K238" s="526">
        <v>274790</v>
      </c>
      <c r="L238" s="526">
        <v>52210</v>
      </c>
      <c r="M238"/>
      <c r="N238"/>
      <c r="O238" s="526">
        <v>327000</v>
      </c>
    </row>
    <row r="239" spans="1:15" x14ac:dyDescent="0.25">
      <c r="A239">
        <v>14</v>
      </c>
      <c r="B239">
        <v>33</v>
      </c>
      <c r="C239" t="s">
        <v>585</v>
      </c>
      <c r="D239" t="s">
        <v>665</v>
      </c>
      <c r="E239" t="s">
        <v>666</v>
      </c>
      <c r="F239">
        <v>32897577</v>
      </c>
      <c r="G239" s="152">
        <v>44545</v>
      </c>
      <c r="H239" s="411">
        <v>44546.415289351855</v>
      </c>
      <c r="J239" s="526">
        <v>0</v>
      </c>
      <c r="K239" s="526">
        <v>923</v>
      </c>
      <c r="L239" s="526">
        <v>175</v>
      </c>
      <c r="M239"/>
      <c r="N239"/>
      <c r="O239" s="526">
        <v>1098</v>
      </c>
    </row>
    <row r="240" spans="1:15" x14ac:dyDescent="0.25">
      <c r="A240">
        <v>15</v>
      </c>
      <c r="B240">
        <v>33</v>
      </c>
      <c r="C240" t="s">
        <v>585</v>
      </c>
      <c r="D240" t="s">
        <v>665</v>
      </c>
      <c r="E240" t="s">
        <v>666</v>
      </c>
      <c r="F240">
        <v>32897578</v>
      </c>
      <c r="G240" s="152">
        <v>44545</v>
      </c>
      <c r="H240" s="411">
        <v>44546.415289351855</v>
      </c>
      <c r="J240" s="526">
        <v>0</v>
      </c>
      <c r="K240" s="526">
        <v>2769</v>
      </c>
      <c r="L240" s="526">
        <v>526</v>
      </c>
      <c r="M240"/>
      <c r="N240"/>
      <c r="O240" s="526">
        <v>3295</v>
      </c>
    </row>
    <row r="241" spans="1:15" x14ac:dyDescent="0.25">
      <c r="A241">
        <v>16</v>
      </c>
      <c r="B241">
        <v>33</v>
      </c>
      <c r="C241" t="s">
        <v>585</v>
      </c>
      <c r="D241" t="s">
        <v>665</v>
      </c>
      <c r="E241" t="s">
        <v>666</v>
      </c>
      <c r="F241">
        <v>32897579</v>
      </c>
      <c r="G241" s="152">
        <v>44545</v>
      </c>
      <c r="H241" s="411">
        <v>44546.415289351855</v>
      </c>
      <c r="J241" s="526">
        <v>0</v>
      </c>
      <c r="K241" s="526">
        <v>1538</v>
      </c>
      <c r="L241" s="526">
        <v>292</v>
      </c>
      <c r="M241"/>
      <c r="N241"/>
      <c r="O241" s="526">
        <v>1830</v>
      </c>
    </row>
    <row r="242" spans="1:15" x14ac:dyDescent="0.25">
      <c r="A242">
        <v>17</v>
      </c>
      <c r="B242">
        <v>33</v>
      </c>
      <c r="C242" t="s">
        <v>585</v>
      </c>
      <c r="D242" t="s">
        <v>590</v>
      </c>
      <c r="E242" t="s">
        <v>591</v>
      </c>
      <c r="F242">
        <v>44195680</v>
      </c>
      <c r="G242" s="152">
        <v>44540</v>
      </c>
      <c r="H242" s="411">
        <v>44547.222708333335</v>
      </c>
      <c r="J242" s="526">
        <v>0</v>
      </c>
      <c r="K242" s="526">
        <v>17639</v>
      </c>
      <c r="L242" s="526">
        <v>3351</v>
      </c>
      <c r="M242"/>
      <c r="N242"/>
      <c r="O242" s="526">
        <v>20990</v>
      </c>
    </row>
    <row r="243" spans="1:15" x14ac:dyDescent="0.25">
      <c r="A243">
        <v>18</v>
      </c>
      <c r="B243">
        <v>33</v>
      </c>
      <c r="C243" t="s">
        <v>585</v>
      </c>
      <c r="D243" t="s">
        <v>2496</v>
      </c>
      <c r="E243" t="s">
        <v>2497</v>
      </c>
      <c r="F243">
        <v>9364</v>
      </c>
      <c r="G243" s="152">
        <v>44552</v>
      </c>
      <c r="H243" s="411">
        <v>44552.426226851851</v>
      </c>
      <c r="J243" s="526">
        <v>0</v>
      </c>
      <c r="K243" s="526">
        <v>137500</v>
      </c>
      <c r="L243" s="526">
        <v>26125</v>
      </c>
      <c r="M243"/>
      <c r="N243"/>
      <c r="O243" s="526">
        <v>163625</v>
      </c>
    </row>
    <row r="244" spans="1:15" x14ac:dyDescent="0.25">
      <c r="A244">
        <v>19</v>
      </c>
      <c r="B244">
        <v>33</v>
      </c>
      <c r="C244" t="s">
        <v>585</v>
      </c>
      <c r="D244" t="s">
        <v>2498</v>
      </c>
      <c r="E244" t="s">
        <v>2499</v>
      </c>
      <c r="F244">
        <v>480</v>
      </c>
      <c r="G244" s="152">
        <v>44557</v>
      </c>
      <c r="H244" s="411">
        <v>44557.492847222224</v>
      </c>
      <c r="J244" s="526">
        <v>0</v>
      </c>
      <c r="K244" s="526">
        <v>450000</v>
      </c>
      <c r="L244" s="526">
        <v>85500</v>
      </c>
      <c r="M244"/>
      <c r="N244"/>
      <c r="O244" s="526">
        <v>535500</v>
      </c>
    </row>
    <row r="245" spans="1:15" x14ac:dyDescent="0.25">
      <c r="A245">
        <v>20</v>
      </c>
      <c r="B245">
        <v>33</v>
      </c>
      <c r="C245" t="s">
        <v>585</v>
      </c>
      <c r="D245" t="s">
        <v>592</v>
      </c>
      <c r="E245" t="s">
        <v>593</v>
      </c>
      <c r="F245">
        <v>273532</v>
      </c>
      <c r="G245" s="152">
        <v>44558</v>
      </c>
      <c r="H245" s="411">
        <v>44558.835277777776</v>
      </c>
      <c r="J245" s="526">
        <v>41131</v>
      </c>
      <c r="K245" s="526">
        <v>10128</v>
      </c>
      <c r="L245" s="526">
        <v>1924</v>
      </c>
      <c r="M245"/>
      <c r="N245"/>
      <c r="O245" s="526">
        <v>53183</v>
      </c>
    </row>
    <row r="246" spans="1:15" x14ac:dyDescent="0.25">
      <c r="A246">
        <v>21</v>
      </c>
      <c r="B246">
        <v>33</v>
      </c>
      <c r="C246" t="s">
        <v>585</v>
      </c>
      <c r="D246" t="s">
        <v>594</v>
      </c>
      <c r="E246" t="s">
        <v>595</v>
      </c>
      <c r="F246">
        <v>40191385</v>
      </c>
      <c r="G246" s="152">
        <v>44558</v>
      </c>
      <c r="H246" s="411">
        <v>44561.252465277779</v>
      </c>
      <c r="J246" s="526">
        <v>0</v>
      </c>
      <c r="K246" s="526">
        <v>6416</v>
      </c>
      <c r="L246" s="526">
        <v>1219</v>
      </c>
      <c r="M246"/>
      <c r="N246"/>
      <c r="O246" s="526">
        <v>7635</v>
      </c>
    </row>
    <row r="247" spans="1:15" x14ac:dyDescent="0.25">
      <c r="A247">
        <v>22</v>
      </c>
      <c r="B247">
        <v>33</v>
      </c>
      <c r="C247" t="s">
        <v>585</v>
      </c>
      <c r="D247" t="s">
        <v>594</v>
      </c>
      <c r="E247" t="s">
        <v>595</v>
      </c>
      <c r="F247">
        <v>40191386</v>
      </c>
      <c r="G247" s="152">
        <v>44558</v>
      </c>
      <c r="H247" s="411">
        <v>44561.252465277779</v>
      </c>
      <c r="J247" s="526">
        <v>0</v>
      </c>
      <c r="K247" s="526">
        <v>169697</v>
      </c>
      <c r="L247" s="526">
        <v>32242</v>
      </c>
      <c r="M247"/>
      <c r="N247"/>
      <c r="O247" s="526">
        <v>201939</v>
      </c>
    </row>
    <row r="248" spans="1:15" x14ac:dyDescent="0.25">
      <c r="A248">
        <v>23</v>
      </c>
      <c r="B248">
        <v>33</v>
      </c>
      <c r="C248" t="s">
        <v>585</v>
      </c>
      <c r="D248" t="s">
        <v>594</v>
      </c>
      <c r="E248" t="s">
        <v>595</v>
      </c>
      <c r="F248">
        <v>40191387</v>
      </c>
      <c r="G248" s="152">
        <v>44558</v>
      </c>
      <c r="H248" s="411">
        <v>44561.252465277779</v>
      </c>
      <c r="J248" s="526">
        <v>0</v>
      </c>
      <c r="K248" s="526">
        <v>24568</v>
      </c>
      <c r="L248" s="526">
        <v>4668</v>
      </c>
      <c r="M248"/>
      <c r="N248"/>
      <c r="O248" s="526">
        <v>29236</v>
      </c>
    </row>
    <row r="249" spans="1:15" x14ac:dyDescent="0.25">
      <c r="A249">
        <v>24</v>
      </c>
      <c r="B249">
        <v>33</v>
      </c>
      <c r="C249" t="s">
        <v>585</v>
      </c>
      <c r="D249" t="s">
        <v>594</v>
      </c>
      <c r="E249" t="s">
        <v>595</v>
      </c>
      <c r="F249">
        <v>40191388</v>
      </c>
      <c r="G249" s="152">
        <v>44558</v>
      </c>
      <c r="H249" s="411">
        <v>44561.252465277779</v>
      </c>
      <c r="J249" s="526">
        <v>0</v>
      </c>
      <c r="K249" s="526">
        <v>63121</v>
      </c>
      <c r="L249" s="526">
        <v>11993</v>
      </c>
      <c r="M249"/>
      <c r="N249"/>
      <c r="O249" s="526">
        <v>75114</v>
      </c>
    </row>
    <row r="250" spans="1:15" x14ac:dyDescent="0.25">
      <c r="A250">
        <v>25</v>
      </c>
      <c r="B250">
        <v>33</v>
      </c>
      <c r="C250" t="s">
        <v>585</v>
      </c>
      <c r="D250" t="s">
        <v>594</v>
      </c>
      <c r="E250" t="s">
        <v>595</v>
      </c>
      <c r="F250">
        <v>40191389</v>
      </c>
      <c r="G250" s="152">
        <v>44558</v>
      </c>
      <c r="H250" s="411">
        <v>44561.252465277779</v>
      </c>
      <c r="J250" s="526">
        <v>0</v>
      </c>
      <c r="K250" s="526">
        <v>1092</v>
      </c>
      <c r="L250" s="526">
        <v>207</v>
      </c>
      <c r="M250"/>
      <c r="N250"/>
      <c r="O250" s="526">
        <v>1299</v>
      </c>
    </row>
    <row r="251" spans="1:15" x14ac:dyDescent="0.25">
      <c r="A251">
        <v>26</v>
      </c>
      <c r="B251">
        <v>33</v>
      </c>
      <c r="C251" t="s">
        <v>585</v>
      </c>
      <c r="D251" t="s">
        <v>594</v>
      </c>
      <c r="E251" t="s">
        <v>595</v>
      </c>
      <c r="F251">
        <v>40191390</v>
      </c>
      <c r="G251" s="152">
        <v>44558</v>
      </c>
      <c r="H251" s="411">
        <v>44561.252465277779</v>
      </c>
      <c r="J251" s="526">
        <v>0</v>
      </c>
      <c r="K251" s="526">
        <v>25748</v>
      </c>
      <c r="L251" s="526">
        <v>4892</v>
      </c>
      <c r="M251"/>
      <c r="N251"/>
      <c r="O251" s="526">
        <v>30640</v>
      </c>
    </row>
    <row r="252" spans="1:15" x14ac:dyDescent="0.25">
      <c r="A252">
        <v>27</v>
      </c>
      <c r="B252">
        <v>33</v>
      </c>
      <c r="C252" t="s">
        <v>585</v>
      </c>
      <c r="D252" t="s">
        <v>594</v>
      </c>
      <c r="E252" t="s">
        <v>595</v>
      </c>
      <c r="F252">
        <v>40188919</v>
      </c>
      <c r="G252" s="152">
        <v>44558</v>
      </c>
      <c r="H252" s="411">
        <v>44561.251736111109</v>
      </c>
      <c r="J252" s="526">
        <v>0</v>
      </c>
      <c r="K252" s="526">
        <v>12965</v>
      </c>
      <c r="L252" s="526">
        <v>2463</v>
      </c>
      <c r="M252"/>
      <c r="N252"/>
      <c r="O252" s="526">
        <v>15428</v>
      </c>
    </row>
    <row r="253" spans="1:15" x14ac:dyDescent="0.25">
      <c r="A253">
        <v>28</v>
      </c>
      <c r="B253">
        <v>33</v>
      </c>
      <c r="C253" t="s">
        <v>585</v>
      </c>
      <c r="D253" t="s">
        <v>594</v>
      </c>
      <c r="E253" t="s">
        <v>595</v>
      </c>
      <c r="F253">
        <v>40188920</v>
      </c>
      <c r="G253" s="152">
        <v>44558</v>
      </c>
      <c r="H253" s="411">
        <v>44561.251736111109</v>
      </c>
      <c r="J253" s="526">
        <v>0</v>
      </c>
      <c r="K253" s="526">
        <v>1148</v>
      </c>
      <c r="L253" s="526">
        <v>218</v>
      </c>
      <c r="M253"/>
      <c r="N253"/>
      <c r="O253" s="526">
        <v>1366</v>
      </c>
    </row>
    <row r="254" spans="1:15" x14ac:dyDescent="0.25">
      <c r="A254">
        <v>29</v>
      </c>
      <c r="B254">
        <v>33</v>
      </c>
      <c r="C254" t="s">
        <v>585</v>
      </c>
      <c r="D254" t="s">
        <v>594</v>
      </c>
      <c r="E254" t="s">
        <v>595</v>
      </c>
      <c r="F254">
        <v>40188921</v>
      </c>
      <c r="G254" s="152">
        <v>44558</v>
      </c>
      <c r="H254" s="411">
        <v>44561.251736111109</v>
      </c>
      <c r="J254" s="526">
        <v>0</v>
      </c>
      <c r="K254" s="526">
        <v>24980</v>
      </c>
      <c r="L254" s="526">
        <v>4746</v>
      </c>
      <c r="M254"/>
      <c r="N254"/>
      <c r="O254" s="526">
        <v>29726</v>
      </c>
    </row>
    <row r="255" spans="1:15" x14ac:dyDescent="0.25">
      <c r="A255">
        <v>30</v>
      </c>
      <c r="B255">
        <v>33</v>
      </c>
      <c r="C255" t="s">
        <v>585</v>
      </c>
      <c r="D255" t="s">
        <v>594</v>
      </c>
      <c r="E255" t="s">
        <v>595</v>
      </c>
      <c r="F255">
        <v>40188922</v>
      </c>
      <c r="G255" s="152">
        <v>44558</v>
      </c>
      <c r="H255" s="411">
        <v>44561.251736111109</v>
      </c>
      <c r="J255" s="526">
        <v>0</v>
      </c>
      <c r="K255" s="526">
        <v>1883</v>
      </c>
      <c r="L255" s="526">
        <v>358</v>
      </c>
      <c r="M255"/>
      <c r="N255"/>
      <c r="O255" s="526">
        <v>2241</v>
      </c>
    </row>
    <row r="256" spans="1:15" x14ac:dyDescent="0.25">
      <c r="A256">
        <v>31</v>
      </c>
      <c r="B256">
        <v>33</v>
      </c>
      <c r="C256" t="s">
        <v>585</v>
      </c>
      <c r="D256" t="s">
        <v>594</v>
      </c>
      <c r="E256" t="s">
        <v>595</v>
      </c>
      <c r="F256">
        <v>40188923</v>
      </c>
      <c r="G256" s="152">
        <v>44558</v>
      </c>
      <c r="H256" s="411">
        <v>44561.251736111109</v>
      </c>
      <c r="J256" s="526">
        <v>0</v>
      </c>
      <c r="K256" s="526">
        <v>683</v>
      </c>
      <c r="L256" s="526">
        <v>130</v>
      </c>
      <c r="M256"/>
      <c r="N256"/>
      <c r="O256" s="526">
        <v>813</v>
      </c>
    </row>
    <row r="257" spans="1:15" x14ac:dyDescent="0.25">
      <c r="A257">
        <v>32</v>
      </c>
      <c r="B257">
        <v>33</v>
      </c>
      <c r="C257" t="s">
        <v>585</v>
      </c>
      <c r="D257" t="s">
        <v>594</v>
      </c>
      <c r="E257" t="s">
        <v>595</v>
      </c>
      <c r="F257">
        <v>40188924</v>
      </c>
      <c r="G257" s="152">
        <v>44558</v>
      </c>
      <c r="H257" s="411">
        <v>44561.251736111109</v>
      </c>
      <c r="J257" s="526">
        <v>0</v>
      </c>
      <c r="K257" s="526">
        <v>16299</v>
      </c>
      <c r="L257" s="526">
        <v>3097</v>
      </c>
      <c r="M257"/>
      <c r="N257"/>
      <c r="O257" s="526">
        <v>19396</v>
      </c>
    </row>
    <row r="258" spans="1:15" x14ac:dyDescent="0.25">
      <c r="A258">
        <v>33</v>
      </c>
      <c r="B258">
        <v>34</v>
      </c>
      <c r="C258" t="s">
        <v>585</v>
      </c>
      <c r="D258" t="s">
        <v>596</v>
      </c>
      <c r="E258" t="s">
        <v>597</v>
      </c>
      <c r="F258">
        <v>848</v>
      </c>
      <c r="G258" s="152">
        <v>44523</v>
      </c>
      <c r="H258" s="411">
        <v>44523.547256944446</v>
      </c>
      <c r="J258" s="526">
        <v>425803</v>
      </c>
      <c r="K258" s="526">
        <v>0</v>
      </c>
      <c r="L258" s="526">
        <v>0</v>
      </c>
      <c r="M258"/>
      <c r="N258"/>
      <c r="O258" s="526">
        <v>425803</v>
      </c>
    </row>
    <row r="259" spans="1:15" s="428" customFormat="1" x14ac:dyDescent="0.25">
      <c r="A259" s="428">
        <v>34</v>
      </c>
      <c r="B259" s="428">
        <v>34</v>
      </c>
      <c r="C259" s="428" t="s">
        <v>585</v>
      </c>
      <c r="D259" s="428" t="s">
        <v>605</v>
      </c>
      <c r="E259" s="428" t="s">
        <v>606</v>
      </c>
      <c r="F259" s="428">
        <v>6579</v>
      </c>
      <c r="G259" s="466">
        <v>44530</v>
      </c>
      <c r="H259" s="467">
        <v>44530.541504629633</v>
      </c>
      <c r="J259" s="585">
        <v>4460606</v>
      </c>
      <c r="K259" s="585">
        <v>0</v>
      </c>
      <c r="L259" s="585">
        <v>0</v>
      </c>
      <c r="O259" s="585">
        <v>4460606</v>
      </c>
    </row>
    <row r="260" spans="1:15" s="428" customFormat="1" x14ac:dyDescent="0.25">
      <c r="A260" s="428">
        <v>35</v>
      </c>
      <c r="B260" s="428">
        <v>34</v>
      </c>
      <c r="C260" s="428" t="s">
        <v>585</v>
      </c>
      <c r="D260" s="428" t="s">
        <v>598</v>
      </c>
      <c r="E260" s="428" t="s">
        <v>1897</v>
      </c>
      <c r="F260" s="428">
        <v>453</v>
      </c>
      <c r="G260" s="466">
        <v>44532</v>
      </c>
      <c r="H260" s="467">
        <v>44532.458773148152</v>
      </c>
      <c r="J260" s="585">
        <v>3077600</v>
      </c>
      <c r="K260" s="585">
        <v>0</v>
      </c>
      <c r="L260" s="585">
        <v>0</v>
      </c>
      <c r="O260" s="585">
        <v>3077600</v>
      </c>
    </row>
    <row r="261" spans="1:15" s="428" customFormat="1" x14ac:dyDescent="0.25">
      <c r="A261" s="428">
        <v>36</v>
      </c>
      <c r="B261" s="428">
        <v>34</v>
      </c>
      <c r="C261" s="428" t="s">
        <v>585</v>
      </c>
      <c r="D261" s="428" t="s">
        <v>628</v>
      </c>
      <c r="E261" s="428" t="s">
        <v>629</v>
      </c>
      <c r="F261" s="428">
        <v>157</v>
      </c>
      <c r="G261" s="466">
        <v>44545</v>
      </c>
      <c r="H261" s="467">
        <v>44545.459409722222</v>
      </c>
      <c r="J261" s="585">
        <v>600000</v>
      </c>
      <c r="K261" s="585">
        <v>0</v>
      </c>
      <c r="L261" s="585">
        <v>0</v>
      </c>
      <c r="O261" s="585">
        <v>600000</v>
      </c>
    </row>
    <row r="262" spans="1:15" x14ac:dyDescent="0.25">
      <c r="A262">
        <v>37</v>
      </c>
      <c r="B262">
        <v>34</v>
      </c>
      <c r="C262" t="s">
        <v>585</v>
      </c>
      <c r="D262" t="s">
        <v>607</v>
      </c>
      <c r="E262" t="s">
        <v>608</v>
      </c>
      <c r="F262">
        <v>921</v>
      </c>
      <c r="G262" s="152">
        <v>44560</v>
      </c>
      <c r="H262" s="411">
        <v>44560.73133101852</v>
      </c>
      <c r="J262" s="526">
        <v>10000</v>
      </c>
      <c r="K262" s="526">
        <v>0</v>
      </c>
      <c r="L262" s="526">
        <v>0</v>
      </c>
      <c r="M262"/>
      <c r="N262"/>
      <c r="O262" s="526">
        <v>10000</v>
      </c>
    </row>
    <row r="263" spans="1:15" x14ac:dyDescent="0.25">
      <c r="A263">
        <v>38</v>
      </c>
      <c r="B263">
        <v>61</v>
      </c>
      <c r="C263" t="s">
        <v>585</v>
      </c>
      <c r="D263" t="s">
        <v>594</v>
      </c>
      <c r="E263" t="s">
        <v>595</v>
      </c>
      <c r="F263">
        <v>3859283</v>
      </c>
      <c r="G263" s="152">
        <v>44530</v>
      </c>
      <c r="H263" s="411">
        <v>44531.938240740739</v>
      </c>
      <c r="J263" s="526">
        <v>0</v>
      </c>
      <c r="K263" s="526">
        <v>388</v>
      </c>
      <c r="L263" s="526">
        <v>74</v>
      </c>
      <c r="M263"/>
      <c r="N263"/>
      <c r="O263" s="526">
        <v>462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rgb="FFFFFF00"/>
  </sheetPr>
  <dimension ref="A1:O10905"/>
  <sheetViews>
    <sheetView topLeftCell="A49" zoomScale="130" zoomScaleNormal="130" zoomScaleSheetLayoutView="100" workbookViewId="0">
      <selection activeCell="E65" sqref="E65"/>
    </sheetView>
  </sheetViews>
  <sheetFormatPr baseColWidth="10" defaultColWidth="8.796875" defaultRowHeight="13.6" x14ac:dyDescent="0.25"/>
  <cols>
    <col min="1" max="1" width="4.19921875" style="34" customWidth="1"/>
    <col min="2" max="2" width="18.796875" style="34" customWidth="1"/>
    <col min="3" max="4" width="8.3984375" style="34" customWidth="1"/>
    <col min="5" max="13" width="8.296875" style="34" customWidth="1"/>
    <col min="14" max="14" width="8.296875" style="34" bestFit="1" customWidth="1"/>
    <col min="15" max="15" width="14.8984375" style="34" bestFit="1" customWidth="1"/>
    <col min="16" max="16" width="9.296875" style="34" bestFit="1" customWidth="1"/>
    <col min="17" max="16384" width="8.796875" style="34"/>
  </cols>
  <sheetData>
    <row r="1" spans="1:14" ht="23.45" customHeight="1" x14ac:dyDescent="0.4">
      <c r="B1" s="593" t="s">
        <v>1789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5"/>
    </row>
    <row r="2" spans="1:14" ht="13.75" customHeight="1" x14ac:dyDescent="0.35">
      <c r="B2" s="596"/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  <c r="N2" s="598"/>
    </row>
    <row r="3" spans="1:14" ht="18" customHeight="1" x14ac:dyDescent="0.35">
      <c r="B3" s="596" t="s">
        <v>83</v>
      </c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8"/>
    </row>
    <row r="4" spans="1:14" x14ac:dyDescent="0.25">
      <c r="F4" s="35"/>
    </row>
    <row r="5" spans="1:14" x14ac:dyDescent="0.25">
      <c r="B5" s="36"/>
      <c r="C5" s="36"/>
      <c r="D5" s="36"/>
      <c r="E5" s="36"/>
      <c r="F5" s="36"/>
      <c r="G5" s="36"/>
    </row>
    <row r="6" spans="1:14" x14ac:dyDescent="0.25">
      <c r="B6" s="35"/>
      <c r="C6" s="35"/>
      <c r="D6" s="35"/>
      <c r="E6" s="35"/>
      <c r="F6" s="35"/>
      <c r="G6" s="35"/>
    </row>
    <row r="7" spans="1:14" x14ac:dyDescent="0.25">
      <c r="C7" s="34">
        <v>1</v>
      </c>
      <c r="D7" s="34">
        <v>2</v>
      </c>
      <c r="E7" s="34">
        <v>3</v>
      </c>
      <c r="F7" s="37">
        <v>4</v>
      </c>
      <c r="G7" s="34">
        <v>5</v>
      </c>
      <c r="H7" s="34">
        <v>6</v>
      </c>
      <c r="I7" s="34">
        <v>7</v>
      </c>
      <c r="J7" s="34">
        <v>8</v>
      </c>
      <c r="K7" s="34">
        <v>9</v>
      </c>
      <c r="L7" s="34">
        <v>10</v>
      </c>
      <c r="M7" s="34">
        <v>11</v>
      </c>
      <c r="N7" s="34">
        <v>12</v>
      </c>
    </row>
    <row r="8" spans="1:14" s="38" customFormat="1" x14ac:dyDescent="0.25">
      <c r="B8" s="67" t="s">
        <v>25</v>
      </c>
      <c r="C8" s="67" t="s">
        <v>9</v>
      </c>
      <c r="D8" s="68" t="s">
        <v>10</v>
      </c>
      <c r="E8" s="68" t="s">
        <v>11</v>
      </c>
      <c r="F8" s="69" t="s">
        <v>12</v>
      </c>
      <c r="G8" s="68" t="s">
        <v>13</v>
      </c>
      <c r="H8" s="67" t="s">
        <v>14</v>
      </c>
      <c r="I8" s="67" t="s">
        <v>8</v>
      </c>
      <c r="J8" s="67" t="s">
        <v>5</v>
      </c>
      <c r="K8" s="67" t="s">
        <v>105</v>
      </c>
      <c r="L8" s="67" t="s">
        <v>15</v>
      </c>
      <c r="M8" s="67" t="s">
        <v>127</v>
      </c>
      <c r="N8" s="67" t="s">
        <v>17</v>
      </c>
    </row>
    <row r="9" spans="1:14" s="38" customFormat="1" x14ac:dyDescent="0.25">
      <c r="B9" s="70"/>
      <c r="C9" s="71"/>
      <c r="D9" s="72"/>
      <c r="E9" s="70"/>
      <c r="F9" s="72"/>
      <c r="G9" s="70"/>
      <c r="H9" s="73"/>
      <c r="I9" s="70"/>
      <c r="J9" s="41"/>
      <c r="K9" s="41"/>
      <c r="L9" s="41"/>
      <c r="M9" s="41"/>
      <c r="N9" s="41"/>
    </row>
    <row r="10" spans="1:14" s="38" customFormat="1" x14ac:dyDescent="0.25">
      <c r="B10" s="73" t="s">
        <v>28</v>
      </c>
      <c r="C10" s="74"/>
      <c r="D10" s="75"/>
      <c r="E10" s="73"/>
      <c r="F10" s="72"/>
      <c r="G10" s="76"/>
      <c r="H10" s="73"/>
      <c r="I10" s="73"/>
      <c r="J10" s="42"/>
      <c r="K10" s="42"/>
      <c r="L10" s="42"/>
      <c r="M10" s="42"/>
      <c r="N10" s="42"/>
    </row>
    <row r="11" spans="1:14" x14ac:dyDescent="0.25">
      <c r="A11" s="34">
        <v>110</v>
      </c>
      <c r="B11" s="77" t="str">
        <f>VLOOKUP(A11,Plan!A:B,2,0)</f>
        <v>Disponible Administración</v>
      </c>
      <c r="C11" s="78">
        <f>SUMIFS('Diario Adm'!$E:$E,'Diario Adm'!$B:$B,C$7,'Diario Adm'!$C:$C,$A11)</f>
        <v>4186298</v>
      </c>
      <c r="D11" s="78">
        <f>SUMIFS('Diario Adm'!$E:$E,'Diario Adm'!$B:$B,D$7,'Diario Adm'!$C:$C,$A11)+C11</f>
        <v>2191563</v>
      </c>
      <c r="E11" s="78">
        <f>SUMIFS('Diario Adm'!$E:$E,'Diario Adm'!$B:$B,E$7,'Diario Adm'!$C:$C,$A11)+D11</f>
        <v>1915565</v>
      </c>
      <c r="F11" s="78">
        <f>SUMIFS('Diario Adm'!$E:$E,'Diario Adm'!$B:$B,F$7,'Diario Adm'!$C:$C,$A11)+E11</f>
        <v>4358546</v>
      </c>
      <c r="G11" s="78">
        <f>SUMIFS('Diario Adm'!$E:$E,'Diario Adm'!$B:$B,G$7,'Diario Adm'!$C:$C,$A11)+F11</f>
        <v>3203290</v>
      </c>
      <c r="H11" s="78">
        <f>SUMIFS('Diario Adm'!$E:$E,'Diario Adm'!$B:$B,H$7,'Diario Adm'!$C:$C,$A11)+G11</f>
        <v>3576912</v>
      </c>
      <c r="I11" s="78">
        <f>SUMIFS('Diario Adm'!$E:$E,'Diario Adm'!$B:$B,I$7,'Diario Adm'!$C:$C,$A11)+H11</f>
        <v>1556343</v>
      </c>
      <c r="J11" s="78">
        <f>SUMIFS('Diario Adm'!$E:$E,'Diario Adm'!$B:$B,J$7,'Diario Adm'!$C:$C,$A11)+I11</f>
        <v>3670264</v>
      </c>
      <c r="K11" s="78">
        <f>SUMIFS('Diario Adm'!$E:$E,'Diario Adm'!$B:$B,K$7,'Diario Adm'!$C:$C,$A11)+J11</f>
        <v>4293192</v>
      </c>
      <c r="L11" s="78">
        <f>SUMIFS('Diario Adm'!$E:$E,'Diario Adm'!$B:$B,L$7,'Diario Adm'!$C:$C,$A11)+K11</f>
        <v>2225076</v>
      </c>
      <c r="M11" s="78">
        <f>SUMIFS('Diario Adm'!$E:$E,'Diario Adm'!$B:$B,M$7,'Diario Adm'!$C:$C,$A11)+L11</f>
        <v>9518979</v>
      </c>
      <c r="N11" s="78">
        <f>SUMIFS('Diario Adm'!$E:$E,'Diario Adm'!$B:$B,N$7,'Diario Adm'!$C:$C,$A11)+M11</f>
        <v>2545316</v>
      </c>
    </row>
    <row r="12" spans="1:14" x14ac:dyDescent="0.25">
      <c r="A12" s="34">
        <v>114</v>
      </c>
      <c r="B12" s="77" t="str">
        <f>VLOOKUP(A12,Plan!A:B,2,0)</f>
        <v>Fondo por Rendir Admistración</v>
      </c>
      <c r="C12" s="78">
        <f>SUMIFS('Diario Adm'!$E:$E,'Diario Adm'!$B:$B,C$7,'Diario Adm'!$C:$C,$A12)</f>
        <v>200000</v>
      </c>
      <c r="D12" s="78">
        <f>SUMIFS('Diario Adm'!$E:$E,'Diario Adm'!$B:$B,D$7,'Diario Adm'!$C:$C,$A12)+C12</f>
        <v>200000</v>
      </c>
      <c r="E12" s="78">
        <f>SUMIFS('Diario Adm'!$E:$E,'Diario Adm'!$B:$B,E$7,'Diario Adm'!$C:$C,$A12)+D12</f>
        <v>200000</v>
      </c>
      <c r="F12" s="78">
        <f>SUMIFS('Diario Adm'!$E:$E,'Diario Adm'!$B:$B,F$7,'Diario Adm'!$C:$C,$A12)+E12</f>
        <v>200000</v>
      </c>
      <c r="G12" s="78">
        <f>SUMIFS('Diario Adm'!$E:$E,'Diario Adm'!$B:$B,G$7,'Diario Adm'!$C:$C,$A12)+F12</f>
        <v>200000</v>
      </c>
      <c r="H12" s="78">
        <f>SUMIFS('Diario Adm'!$E:$E,'Diario Adm'!$B:$B,H$7,'Diario Adm'!$C:$C,$A12)+G12</f>
        <v>200000</v>
      </c>
      <c r="I12" s="78">
        <f>SUMIFS('Diario Adm'!$E:$E,'Diario Adm'!$B:$B,I$7,'Diario Adm'!$C:$C,$A12)+H12</f>
        <v>200000</v>
      </c>
      <c r="J12" s="78">
        <f>SUMIFS('Diario Adm'!$E:$E,'Diario Adm'!$B:$B,J$7,'Diario Adm'!$C:$C,$A12)+I12</f>
        <v>200000</v>
      </c>
      <c r="K12" s="78">
        <f>SUMIFS('Diario Adm'!$E:$E,'Diario Adm'!$B:$B,K$7,'Diario Adm'!$C:$C,$A12)+J12</f>
        <v>200000</v>
      </c>
      <c r="L12" s="78">
        <f>SUMIFS('Diario Adm'!$E:$E,'Diario Adm'!$B:$B,L$7,'Diario Adm'!$C:$C,$A12)+K12</f>
        <v>200000</v>
      </c>
      <c r="M12" s="78">
        <f>SUMIFS('Diario Adm'!$E:$E,'Diario Adm'!$B:$B,M$7,'Diario Adm'!$C:$C,$A12)+L12</f>
        <v>200000</v>
      </c>
      <c r="N12" s="78">
        <f>SUMIFS('Diario Adm'!$E:$E,'Diario Adm'!$B:$B,N$7,'Diario Adm'!$C:$C,$A12)+M12</f>
        <v>200000</v>
      </c>
    </row>
    <row r="13" spans="1:14" x14ac:dyDescent="0.25">
      <c r="A13" s="34">
        <v>120</v>
      </c>
      <c r="B13" s="77" t="str">
        <f>VLOOKUP(A13,Plan!A:B,2,0)</f>
        <v>Fondo Mutuo Administración</v>
      </c>
      <c r="C13" s="78">
        <f>SUMIFS('Diario Adm'!$E:$E,'Diario Adm'!$B:$B,C$7,'Diario Adm'!$C:$C,$A13)</f>
        <v>210</v>
      </c>
      <c r="D13" s="78">
        <f>SUMIFS('Diario Adm'!$E:$E,'Diario Adm'!$B:$B,D$7,'Diario Adm'!$C:$C,$A13)+C13</f>
        <v>210</v>
      </c>
      <c r="E13" s="78">
        <f>SUMIFS('Diario Adm'!$E:$E,'Diario Adm'!$B:$B,E$7,'Diario Adm'!$C:$C,$A13)+D13</f>
        <v>210</v>
      </c>
      <c r="F13" s="78">
        <f>SUMIFS('Diario Adm'!$E:$E,'Diario Adm'!$B:$B,F$7,'Diario Adm'!$C:$C,$A13)+E13</f>
        <v>210</v>
      </c>
      <c r="G13" s="78">
        <f>SUMIFS('Diario Adm'!$E:$E,'Diario Adm'!$B:$B,G$7,'Diario Adm'!$C:$C,$A13)+F13</f>
        <v>210</v>
      </c>
      <c r="H13" s="78">
        <f>SUMIFS('Diario Adm'!$E:$E,'Diario Adm'!$B:$B,H$7,'Diario Adm'!$C:$C,$A13)+G13</f>
        <v>210</v>
      </c>
      <c r="I13" s="78">
        <f>SUMIFS('Diario Adm'!$E:$E,'Diario Adm'!$B:$B,I$7,'Diario Adm'!$C:$C,$A13)+H13</f>
        <v>210</v>
      </c>
      <c r="J13" s="78">
        <f>SUMIFS('Diario Adm'!$E:$E,'Diario Adm'!$B:$B,J$7,'Diario Adm'!$C:$C,$A13)+I13</f>
        <v>210</v>
      </c>
      <c r="K13" s="78">
        <f>SUMIFS('Diario Adm'!$E:$E,'Diario Adm'!$B:$B,K$7,'Diario Adm'!$C:$C,$A13)+J13</f>
        <v>210</v>
      </c>
      <c r="L13" s="78">
        <f>SUMIFS('Diario Adm'!$E:$E,'Diario Adm'!$B:$B,L$7,'Diario Adm'!$C:$C,$A13)+K13</f>
        <v>210</v>
      </c>
      <c r="M13" s="78">
        <f>SUMIFS('Diario Adm'!$E:$E,'Diario Adm'!$B:$B,M$7,'Diario Adm'!$C:$C,$A13)+L13</f>
        <v>210</v>
      </c>
      <c r="N13" s="78">
        <f>SUMIFS('Diario Adm'!$E:$E,'Diario Adm'!$B:$B,N$7,'Diario Adm'!$C:$C,$A13)+M13</f>
        <v>0</v>
      </c>
    </row>
    <row r="14" spans="1:14" x14ac:dyDescent="0.25">
      <c r="A14" s="34">
        <v>130</v>
      </c>
      <c r="B14" s="77" t="str">
        <f>VLOOKUP(A14,Plan!A:B,2,0)</f>
        <v>Garantias Administración</v>
      </c>
      <c r="C14" s="78">
        <f>SUMIFS('Diario Adm'!$E:$E,'Diario Adm'!$B:$B,C$7,'Diario Adm'!$C:$C,$A14)</f>
        <v>590000</v>
      </c>
      <c r="D14" s="78">
        <f>SUMIFS('Diario Adm'!$E:$E,'Diario Adm'!$B:$B,D$7,'Diario Adm'!$C:$C,$A14)+C14</f>
        <v>590000</v>
      </c>
      <c r="E14" s="78">
        <f>SUMIFS('Diario Adm'!$E:$E,'Diario Adm'!$B:$B,E$7,'Diario Adm'!$C:$C,$A14)+D14</f>
        <v>590000</v>
      </c>
      <c r="F14" s="78">
        <f>SUMIFS('Diario Adm'!$E:$E,'Diario Adm'!$B:$B,F$7,'Diario Adm'!$C:$C,$A14)+E14</f>
        <v>590000</v>
      </c>
      <c r="G14" s="78">
        <f>SUMIFS('Diario Adm'!$E:$E,'Diario Adm'!$B:$B,G$7,'Diario Adm'!$C:$C,$A14)+F14</f>
        <v>590000</v>
      </c>
      <c r="H14" s="78">
        <f>SUMIFS('Diario Adm'!$E:$E,'Diario Adm'!$B:$B,H$7,'Diario Adm'!$C:$C,$A14)+G14</f>
        <v>590000</v>
      </c>
      <c r="I14" s="78">
        <f>SUMIFS('Diario Adm'!$E:$E,'Diario Adm'!$B:$B,I$7,'Diario Adm'!$C:$C,$A14)+H14</f>
        <v>590000</v>
      </c>
      <c r="J14" s="78">
        <f>SUMIFS('Diario Adm'!$E:$E,'Diario Adm'!$B:$B,J$7,'Diario Adm'!$C:$C,$A14)+I14</f>
        <v>590000</v>
      </c>
      <c r="K14" s="78">
        <f>SUMIFS('Diario Adm'!$E:$E,'Diario Adm'!$B:$B,K$7,'Diario Adm'!$C:$C,$A14)+J14</f>
        <v>590000</v>
      </c>
      <c r="L14" s="78">
        <f>SUMIFS('Diario Adm'!$E:$E,'Diario Adm'!$B:$B,L$7,'Diario Adm'!$C:$C,$A14)+K14</f>
        <v>590000</v>
      </c>
      <c r="M14" s="78">
        <f>SUMIFS('Diario Adm'!$E:$E,'Diario Adm'!$B:$B,M$7,'Diario Adm'!$C:$C,$A14)+L14</f>
        <v>590000</v>
      </c>
      <c r="N14" s="78">
        <f>SUMIFS('Diario Adm'!$E:$E,'Diario Adm'!$B:$B,N$7,'Diario Adm'!$C:$C,$A14)+M14</f>
        <v>590000</v>
      </c>
    </row>
    <row r="15" spans="1:14" x14ac:dyDescent="0.25">
      <c r="A15" s="34">
        <v>131</v>
      </c>
      <c r="B15" s="77" t="str">
        <f>VLOOKUP(A15,Plan!A:B,2,0)</f>
        <v>Arriendos Anticipados</v>
      </c>
      <c r="C15" s="78">
        <f>SUMIFS('Diario Adm'!$E:$E,'Diario Adm'!$B:$B,C$7,'Diario Adm'!$C:$C,$A15)</f>
        <v>0</v>
      </c>
      <c r="D15" s="78">
        <f>SUMIFS('Diario Adm'!$E:$E,'Diario Adm'!$B:$B,D$7,'Diario Adm'!$C:$C,$A15)+C15</f>
        <v>0</v>
      </c>
      <c r="E15" s="78">
        <f>SUMIFS('Diario Adm'!$E:$E,'Diario Adm'!$B:$B,E$7,'Diario Adm'!$C:$C,$A15)+D15</f>
        <v>0</v>
      </c>
      <c r="F15" s="78">
        <f>SUMIFS('Diario Adm'!$E:$E,'Diario Adm'!$B:$B,F$7,'Diario Adm'!$C:$C,$A15)+E15</f>
        <v>0</v>
      </c>
      <c r="G15" s="78">
        <f>SUMIFS('Diario Adm'!$E:$E,'Diario Adm'!$B:$B,G$7,'Diario Adm'!$C:$C,$A15)+F15</f>
        <v>0</v>
      </c>
      <c r="H15" s="78">
        <f>SUMIFS('Diario Adm'!$E:$E,'Diario Adm'!$B:$B,H$7,'Diario Adm'!$C:$C,$A15)+G15</f>
        <v>0</v>
      </c>
      <c r="I15" s="78">
        <f>SUMIFS('Diario Adm'!$E:$E,'Diario Adm'!$B:$B,I$7,'Diario Adm'!$C:$C,$A15)+H15</f>
        <v>0</v>
      </c>
      <c r="J15" s="78">
        <f>SUMIFS('Diario Adm'!$E:$E,'Diario Adm'!$B:$B,J$7,'Diario Adm'!$C:$C,$A15)+I15</f>
        <v>0</v>
      </c>
      <c r="K15" s="78">
        <f>SUMIFS('Diario Adm'!$E:$E,'Diario Adm'!$B:$B,K$7,'Diario Adm'!$C:$C,$A15)+J15</f>
        <v>0</v>
      </c>
      <c r="L15" s="78">
        <f>SUMIFS('Diario Adm'!$E:$E,'Diario Adm'!$B:$B,L$7,'Diario Adm'!$C:$C,$A15)+K15</f>
        <v>0</v>
      </c>
      <c r="M15" s="78">
        <f>SUMIFS('Diario Adm'!$E:$E,'Diario Adm'!$B:$B,M$7,'Diario Adm'!$C:$C,$A15)+L15</f>
        <v>0</v>
      </c>
      <c r="N15" s="78">
        <f>SUMIFS('Diario Adm'!$E:$E,'Diario Adm'!$B:$B,N$7,'Diario Adm'!$C:$C,$A15)+M15</f>
        <v>0</v>
      </c>
    </row>
    <row r="16" spans="1:14" x14ac:dyDescent="0.25">
      <c r="A16" s="34">
        <v>140</v>
      </c>
      <c r="B16" s="77" t="str">
        <f>VLOOKUP(A16,Plan!A:B,2,0)</f>
        <v>Provisión Cuentas por cobrar</v>
      </c>
      <c r="C16" s="78">
        <f>SUMIFS('Diario Adm'!$E:$E,'Diario Adm'!$B:$B,C$7,'Diario Adm'!$C:$C,$A16)</f>
        <v>3900000</v>
      </c>
      <c r="D16" s="78">
        <f>SUMIFS('Diario Adm'!$E:$E,'Diario Adm'!$B:$B,D$7,'Diario Adm'!$C:$C,$A16)+C16</f>
        <v>3900000</v>
      </c>
      <c r="E16" s="78">
        <f>SUMIFS('Diario Adm'!$E:$E,'Diario Adm'!$B:$B,E$7,'Diario Adm'!$C:$C,$A16)+D16</f>
        <v>3900000</v>
      </c>
      <c r="F16" s="78">
        <f>SUMIFS('Diario Adm'!$E:$E,'Diario Adm'!$B:$B,F$7,'Diario Adm'!$C:$C,$A16)+E16</f>
        <v>3900000</v>
      </c>
      <c r="G16" s="78">
        <f>SUMIFS('Diario Adm'!$E:$E,'Diario Adm'!$B:$B,G$7,'Diario Adm'!$C:$C,$A16)+F16</f>
        <v>3900000</v>
      </c>
      <c r="H16" s="78">
        <f>SUMIFS('Diario Adm'!$E:$E,'Diario Adm'!$B:$B,H$7,'Diario Adm'!$C:$C,$A16)+G16</f>
        <v>3900000</v>
      </c>
      <c r="I16" s="78">
        <f>SUMIFS('Diario Adm'!$E:$E,'Diario Adm'!$B:$B,I$7,'Diario Adm'!$C:$C,$A16)+H16</f>
        <v>3900000</v>
      </c>
      <c r="J16" s="78">
        <f>SUMIFS('Diario Adm'!$E:$E,'Diario Adm'!$B:$B,J$7,'Diario Adm'!$C:$C,$A16)+I16</f>
        <v>3900000</v>
      </c>
      <c r="K16" s="78">
        <f>SUMIFS('Diario Adm'!$E:$E,'Diario Adm'!$B:$B,K$7,'Diario Adm'!$C:$C,$A16)+J16</f>
        <v>3900000</v>
      </c>
      <c r="L16" s="78">
        <f>SUMIFS('Diario Adm'!$E:$E,'Diario Adm'!$B:$B,L$7,'Diario Adm'!$C:$C,$A16)+K16</f>
        <v>3900000</v>
      </c>
      <c r="M16" s="78">
        <f>SUMIFS('Diario Adm'!$E:$E,'Diario Adm'!$B:$B,M$7,'Diario Adm'!$C:$C,$A16)+L16</f>
        <v>3900000</v>
      </c>
      <c r="N16" s="78">
        <f>SUMIFS('Diario Adm'!$E:$E,'Diario Adm'!$B:$B,N$7,'Diario Adm'!$C:$C,$A16)+M16</f>
        <v>3900000</v>
      </c>
    </row>
    <row r="17" spans="1:14" x14ac:dyDescent="0.25">
      <c r="A17" s="34">
        <v>142</v>
      </c>
      <c r="B17" s="77" t="str">
        <f>VLOOKUP(A17,Plan!A:B,2,0)</f>
        <v>Cuentas por Cobrar a CALI (Colectas)</v>
      </c>
      <c r="C17" s="78">
        <f>SUMIFS('Diario Adm'!$E:$E,'Diario Adm'!$B:$B,C$7,'Diario Adm'!$C:$C,$A17)</f>
        <v>2076084</v>
      </c>
      <c r="D17" s="78">
        <f>SUMIFS('Diario Adm'!$E:$E,'Diario Adm'!$B:$B,D$7,'Diario Adm'!$C:$C,$A17)+C17</f>
        <v>2168084</v>
      </c>
      <c r="E17" s="78">
        <f>SUMIFS('Diario Adm'!$E:$E,'Diario Adm'!$B:$B,E$7,'Diario Adm'!$C:$C,$A17)+D17</f>
        <v>2314084</v>
      </c>
      <c r="F17" s="78">
        <f>SUMIFS('Diario Adm'!$E:$E,'Diario Adm'!$B:$B,F$7,'Diario Adm'!$C:$C,$A17)+E17</f>
        <v>2498130</v>
      </c>
      <c r="G17" s="78">
        <f>SUMIFS('Diario Adm'!$E:$E,'Diario Adm'!$B:$B,G$7,'Diario Adm'!$C:$C,$A17)+F17</f>
        <v>2731652</v>
      </c>
      <c r="H17" s="78">
        <f>SUMIFS('Diario Adm'!$E:$E,'Diario Adm'!$B:$B,H$7,'Diario Adm'!$C:$C,$A17)+G17</f>
        <v>2776652</v>
      </c>
      <c r="I17" s="78">
        <f>SUMIFS('Diario Adm'!$E:$E,'Diario Adm'!$B:$B,I$7,'Diario Adm'!$C:$C,$A17)+H17</f>
        <v>2825652</v>
      </c>
      <c r="J17" s="78">
        <f>SUMIFS('Diario Adm'!$E:$E,'Diario Adm'!$B:$B,J$7,'Diario Adm'!$C:$C,$A17)+I17</f>
        <v>3005652</v>
      </c>
      <c r="K17" s="78">
        <f>SUMIFS('Diario Adm'!$E:$E,'Diario Adm'!$B:$B,K$7,'Diario Adm'!$C:$C,$A17)+J17</f>
        <v>3176152</v>
      </c>
      <c r="L17" s="78">
        <f>SUMIFS('Diario Adm'!$E:$E,'Diario Adm'!$B:$B,L$7,'Diario Adm'!$C:$C,$A17)+K17</f>
        <v>3231652</v>
      </c>
      <c r="M17" s="78">
        <f>SUMIFS('Diario Adm'!$E:$E,'Diario Adm'!$B:$B,M$7,'Diario Adm'!$C:$C,$A17)+L17</f>
        <v>3231652</v>
      </c>
      <c r="N17" s="78">
        <f>SUMIFS('Diario Adm'!$E:$E,'Diario Adm'!$B:$B,N$7,'Diario Adm'!$C:$C,$A17)+M17</f>
        <v>0</v>
      </c>
    </row>
    <row r="18" spans="1:14" x14ac:dyDescent="0.25">
      <c r="A18" s="34">
        <v>143</v>
      </c>
      <c r="B18" s="77" t="str">
        <f>VLOOKUP(A18,Plan!A:B,2,0)</f>
        <v>Cuentas por Cobrar a CALI (Canastas)</v>
      </c>
      <c r="C18" s="78">
        <f>SUMIFS('Diario Adm'!$E:$E,'Diario Adm'!$B:$B,C$7,'Diario Adm'!$C:$C,$A18)</f>
        <v>595000</v>
      </c>
      <c r="D18" s="78">
        <f>SUMIFS('Diario Adm'!$E:$E,'Diario Adm'!$B:$B,D$7,'Diario Adm'!$C:$C,$A18)+C18</f>
        <v>595000</v>
      </c>
      <c r="E18" s="78">
        <f>SUMIFS('Diario Adm'!$E:$E,'Diario Adm'!$B:$B,E$7,'Diario Adm'!$C:$C,$A18)+D18</f>
        <v>595000</v>
      </c>
      <c r="F18" s="78">
        <f>SUMIFS('Diario Adm'!$E:$E,'Diario Adm'!$B:$B,F$7,'Diario Adm'!$C:$C,$A18)+E18</f>
        <v>615000</v>
      </c>
      <c r="G18" s="78">
        <f>SUMIFS('Diario Adm'!$E:$E,'Diario Adm'!$B:$B,G$7,'Diario Adm'!$C:$C,$A18)+F18</f>
        <v>685000</v>
      </c>
      <c r="H18" s="78">
        <f>SUMIFS('Diario Adm'!$E:$E,'Diario Adm'!$B:$B,H$7,'Diario Adm'!$C:$C,$A18)+G18</f>
        <v>745000</v>
      </c>
      <c r="I18" s="78">
        <f>SUMIFS('Diario Adm'!$E:$E,'Diario Adm'!$B:$B,I$7,'Diario Adm'!$C:$C,$A18)+H18</f>
        <v>765000</v>
      </c>
      <c r="J18" s="78">
        <f>SUMIFS('Diario Adm'!$E:$E,'Diario Adm'!$B:$B,J$7,'Diario Adm'!$C:$C,$A18)+I18</f>
        <v>765000</v>
      </c>
      <c r="K18" s="78">
        <f>SUMIFS('Diario Adm'!$E:$E,'Diario Adm'!$B:$B,K$7,'Diario Adm'!$C:$C,$A18)+J18</f>
        <v>765000</v>
      </c>
      <c r="L18" s="78">
        <f>SUMIFS('Diario Adm'!$E:$E,'Diario Adm'!$B:$B,L$7,'Diario Adm'!$C:$C,$A18)+K18</f>
        <v>765000</v>
      </c>
      <c r="M18" s="78">
        <f>SUMIFS('Diario Adm'!$E:$E,'Diario Adm'!$B:$B,M$7,'Diario Adm'!$C:$C,$A18)+L18</f>
        <v>765000</v>
      </c>
      <c r="N18" s="78">
        <f>SUMIFS('Diario Adm'!$E:$E,'Diario Adm'!$B:$B,N$7,'Diario Adm'!$C:$C,$A18)+M18</f>
        <v>0</v>
      </c>
    </row>
    <row r="19" spans="1:14" x14ac:dyDescent="0.25">
      <c r="A19" s="34">
        <v>132</v>
      </c>
      <c r="B19" s="77" t="str">
        <f>VLOOKUP(A19,Plan!A:B,2,0)</f>
        <v>Préstamos  Fundación Administración</v>
      </c>
      <c r="C19" s="78">
        <f>SUMIFS('Diario Adm'!$E:$E,'Diario Adm'!$B:$B,C$7,'Diario Adm'!$C:$C,$A19)</f>
        <v>2748035</v>
      </c>
      <c r="D19" s="78">
        <f>SUMIFS('Diario Adm'!$E:$E,'Diario Adm'!$B:$B,D$7,'Diario Adm'!$C:$C,$A19)+C19</f>
        <v>2748035</v>
      </c>
      <c r="E19" s="78">
        <f>SUMIFS('Diario Adm'!$E:$E,'Diario Adm'!$B:$B,E$7,'Diario Adm'!$C:$C,$A19)+D19</f>
        <v>2748035</v>
      </c>
      <c r="F19" s="78">
        <f>SUMIFS('Diario Adm'!$E:$E,'Diario Adm'!$B:$B,F$7,'Diario Adm'!$C:$C,$A19)+E19</f>
        <v>2748035</v>
      </c>
      <c r="G19" s="78">
        <f>SUMIFS('Diario Adm'!$E:$E,'Diario Adm'!$B:$B,G$7,'Diario Adm'!$C:$C,$A19)+F19</f>
        <v>2748035</v>
      </c>
      <c r="H19" s="78">
        <f>SUMIFS('Diario Adm'!$E:$E,'Diario Adm'!$B:$B,H$7,'Diario Adm'!$C:$C,$A19)+G19</f>
        <v>-10000</v>
      </c>
      <c r="I19" s="78">
        <f>SUMIFS('Diario Adm'!$E:$E,'Diario Adm'!$B:$B,I$7,'Diario Adm'!$C:$C,$A19)+H19</f>
        <v>-10000</v>
      </c>
      <c r="J19" s="78">
        <f>SUMIFS('Diario Adm'!$E:$E,'Diario Adm'!$B:$B,J$7,'Diario Adm'!$C:$C,$A19)+I19</f>
        <v>-10000</v>
      </c>
      <c r="K19" s="78">
        <f>SUMIFS('Diario Adm'!$E:$E,'Diario Adm'!$B:$B,K$7,'Diario Adm'!$C:$C,$A19)+J19</f>
        <v>-10000</v>
      </c>
      <c r="L19" s="78">
        <f>SUMIFS('Diario Adm'!$E:$E,'Diario Adm'!$B:$B,L$7,'Diario Adm'!$C:$C,$A19)+K19</f>
        <v>-10000</v>
      </c>
      <c r="M19" s="78">
        <f>SUMIFS('Diario Adm'!$E:$E,'Diario Adm'!$B:$B,M$7,'Diario Adm'!$C:$C,$A19)+L19</f>
        <v>-10000</v>
      </c>
      <c r="N19" s="78">
        <f>SUMIFS('Diario Adm'!$E:$E,'Diario Adm'!$B:$B,N$7,'Diario Adm'!$C:$C,$A19)+M19</f>
        <v>0</v>
      </c>
    </row>
    <row r="20" spans="1:14" x14ac:dyDescent="0.25">
      <c r="B20" s="82" t="s">
        <v>46</v>
      </c>
      <c r="C20" s="83">
        <f>SUM(C11:C19)</f>
        <v>14295627</v>
      </c>
      <c r="D20" s="83">
        <f t="shared" ref="D20:N20" si="0">SUM(D11:D19)</f>
        <v>12392892</v>
      </c>
      <c r="E20" s="83">
        <f t="shared" si="0"/>
        <v>12262894</v>
      </c>
      <c r="F20" s="83">
        <f t="shared" si="0"/>
        <v>14909921</v>
      </c>
      <c r="G20" s="83">
        <f t="shared" si="0"/>
        <v>14058187</v>
      </c>
      <c r="H20" s="83">
        <f t="shared" si="0"/>
        <v>11778774</v>
      </c>
      <c r="I20" s="83">
        <f t="shared" si="0"/>
        <v>9827205</v>
      </c>
      <c r="J20" s="83">
        <f t="shared" si="0"/>
        <v>12121126</v>
      </c>
      <c r="K20" s="83">
        <f t="shared" si="0"/>
        <v>12914554</v>
      </c>
      <c r="L20" s="83">
        <f t="shared" si="0"/>
        <v>10901938</v>
      </c>
      <c r="M20" s="83">
        <f t="shared" si="0"/>
        <v>18195841</v>
      </c>
      <c r="N20" s="83">
        <f t="shared" si="0"/>
        <v>7235316</v>
      </c>
    </row>
    <row r="21" spans="1:14" x14ac:dyDescent="0.25">
      <c r="B21" s="80"/>
      <c r="C21" s="84"/>
      <c r="D21" s="79"/>
      <c r="E21" s="80"/>
      <c r="F21" s="81"/>
      <c r="G21" s="80"/>
      <c r="H21" s="80" t="s">
        <v>48</v>
      </c>
      <c r="I21" s="80"/>
      <c r="J21" s="134"/>
      <c r="K21" s="134"/>
      <c r="L21" s="134"/>
      <c r="M21" s="134"/>
      <c r="N21" s="134"/>
    </row>
    <row r="22" spans="1:14" x14ac:dyDescent="0.25">
      <c r="B22" s="73" t="s">
        <v>31</v>
      </c>
      <c r="C22" s="74"/>
      <c r="D22" s="85"/>
      <c r="E22" s="73"/>
      <c r="F22" s="81"/>
      <c r="G22" s="80"/>
      <c r="H22" s="80" t="s">
        <v>48</v>
      </c>
      <c r="I22" s="80"/>
      <c r="J22" s="134"/>
      <c r="K22" s="134"/>
      <c r="L22" s="134"/>
      <c r="M22" s="134"/>
      <c r="N22" s="134"/>
    </row>
    <row r="23" spans="1:14" x14ac:dyDescent="0.25">
      <c r="A23" s="34">
        <v>146</v>
      </c>
      <c r="B23" s="77" t="s">
        <v>58</v>
      </c>
      <c r="C23" s="78">
        <f>SUMIFS('Diario Adm'!$E:$E,'Diario Adm'!$B:$B,C$7,'Diario Adm'!$C:$C,$A23)</f>
        <v>0</v>
      </c>
      <c r="D23" s="78">
        <f>SUMIFS('Diario Adm'!$E:$E,'Diario Adm'!$B:$B,D$7,'Diario Adm'!$C:$C,$A23)+C23</f>
        <v>0</v>
      </c>
      <c r="E23" s="78">
        <f>SUMIFS('Diario Adm'!$E:$E,'Diario Adm'!$B:$B,E$7,'Diario Adm'!$C:$C,$A23)+D23</f>
        <v>0</v>
      </c>
      <c r="F23" s="78">
        <f>SUMIFS('Diario Adm'!$E:$E,'Diario Adm'!$B:$B,F$7,'Diario Adm'!$C:$C,$A23)+E23</f>
        <v>0</v>
      </c>
      <c r="G23" s="78">
        <f>SUMIFS('Diario Adm'!$E:$E,'Diario Adm'!$B:$B,G$7,'Diario Adm'!$C:$C,$A23)+F23</f>
        <v>0</v>
      </c>
      <c r="H23" s="78">
        <f>SUMIFS('Diario Adm'!$E:$E,'Diario Adm'!$B:$B,H$7,'Diario Adm'!$C:$C,$A23)+G23</f>
        <v>0</v>
      </c>
      <c r="I23" s="78">
        <f>SUMIFS('Diario Adm'!$E:$E,'Diario Adm'!$B:$B,I$7,'Diario Adm'!$C:$C,$A23)+H23</f>
        <v>0</v>
      </c>
      <c r="J23" s="78">
        <f>SUMIFS('Diario Adm'!$E:$E,'Diario Adm'!$B:$B,J$7,'Diario Adm'!$C:$C,$A23)+I23</f>
        <v>0</v>
      </c>
      <c r="K23" s="78">
        <f>SUMIFS('Diario Adm'!$E:$E,'Diario Adm'!$B:$B,K$7,'Diario Adm'!$C:$C,$A23)+J23</f>
        <v>0</v>
      </c>
      <c r="L23" s="78">
        <f>SUMIFS('Diario Adm'!$E:$E,'Diario Adm'!$B:$B,L$7,'Diario Adm'!$C:$C,$A23)+K23</f>
        <v>0</v>
      </c>
      <c r="M23" s="78">
        <f>SUMIFS('Diario Adm'!$E:$E,'Diario Adm'!$B:$B,M$7,'Diario Adm'!$C:$C,$A23)+L23</f>
        <v>0</v>
      </c>
      <c r="N23" s="78">
        <f>SUMIFS('Diario Adm'!$E:$E,'Diario Adm'!$B:$B,N$7,'Diario Adm'!$C:$C,$A23)+M23</f>
        <v>0</v>
      </c>
    </row>
    <row r="24" spans="1:14" x14ac:dyDescent="0.25">
      <c r="A24" s="34">
        <v>145</v>
      </c>
      <c r="B24" s="77" t="s">
        <v>59</v>
      </c>
      <c r="C24" s="78">
        <f>SUMIFS('Diario Adm'!$E:$E,'Diario Adm'!$B:$B,C$7,'Diario Adm'!$C:$C,$A24)</f>
        <v>0</v>
      </c>
      <c r="D24" s="78">
        <f>SUMIFS('Diario Adm'!$E:$E,'Diario Adm'!$B:$B,D$7,'Diario Adm'!$C:$C,$A24)+C24</f>
        <v>0</v>
      </c>
      <c r="E24" s="78">
        <f>SUMIFS('Diario Adm'!$E:$E,'Diario Adm'!$B:$B,E$7,'Diario Adm'!$C:$C,$A24)+D24</f>
        <v>0</v>
      </c>
      <c r="F24" s="78">
        <f>SUMIFS('Diario Adm'!$E:$E,'Diario Adm'!$B:$B,F$7,'Diario Adm'!$C:$C,$A24)+E24</f>
        <v>0</v>
      </c>
      <c r="G24" s="78">
        <f>SUMIFS('Diario Adm'!$E:$E,'Diario Adm'!$B:$B,G$7,'Diario Adm'!$C:$C,$A24)+F24</f>
        <v>0</v>
      </c>
      <c r="H24" s="78">
        <f>SUMIFS('Diario Adm'!$E:$E,'Diario Adm'!$B:$B,H$7,'Diario Adm'!$C:$C,$A24)+G24</f>
        <v>0</v>
      </c>
      <c r="I24" s="78">
        <f>SUMIFS('Diario Adm'!$E:$E,'Diario Adm'!$B:$B,I$7,'Diario Adm'!$C:$C,$A24)+H24</f>
        <v>0</v>
      </c>
      <c r="J24" s="78">
        <f>SUMIFS('Diario Adm'!$E:$E,'Diario Adm'!$B:$B,J$7,'Diario Adm'!$C:$C,$A24)+I24</f>
        <v>0</v>
      </c>
      <c r="K24" s="78">
        <f>SUMIFS('Diario Adm'!$E:$E,'Diario Adm'!$B:$B,K$7,'Diario Adm'!$C:$C,$A24)+J24</f>
        <v>0</v>
      </c>
      <c r="L24" s="78">
        <f>SUMIFS('Diario Adm'!$E:$E,'Diario Adm'!$B:$B,L$7,'Diario Adm'!$C:$C,$A24)+K24</f>
        <v>0</v>
      </c>
      <c r="M24" s="78">
        <f>SUMIFS('Diario Adm'!$E:$E,'Diario Adm'!$B:$B,M$7,'Diario Adm'!$C:$C,$A24)+L24</f>
        <v>0</v>
      </c>
      <c r="N24" s="78">
        <f>SUMIFS('Diario Adm'!$E:$E,'Diario Adm'!$B:$B,N$7,'Diario Adm'!$C:$C,$A24)+M24</f>
        <v>0</v>
      </c>
    </row>
    <row r="25" spans="1:14" x14ac:dyDescent="0.25">
      <c r="B25" s="82" t="s">
        <v>34</v>
      </c>
      <c r="C25" s="83">
        <f t="shared" ref="C25:J25" si="1">SUM(C23:C24)</f>
        <v>0</v>
      </c>
      <c r="D25" s="83">
        <f t="shared" si="1"/>
        <v>0</v>
      </c>
      <c r="E25" s="83">
        <f t="shared" si="1"/>
        <v>0</v>
      </c>
      <c r="F25" s="83">
        <f t="shared" si="1"/>
        <v>0</v>
      </c>
      <c r="G25" s="83">
        <f t="shared" si="1"/>
        <v>0</v>
      </c>
      <c r="H25" s="83">
        <f t="shared" si="1"/>
        <v>0</v>
      </c>
      <c r="I25" s="83">
        <f t="shared" si="1"/>
        <v>0</v>
      </c>
      <c r="J25" s="83">
        <f t="shared" si="1"/>
        <v>0</v>
      </c>
      <c r="K25" s="83">
        <f>SUM(K23:K24)</f>
        <v>0</v>
      </c>
      <c r="L25" s="83">
        <f>SUM(L23:L24)</f>
        <v>0</v>
      </c>
      <c r="M25" s="83">
        <f>SUM(M23:M24)</f>
        <v>0</v>
      </c>
      <c r="N25" s="83">
        <f>SUM(N23:N24)</f>
        <v>0</v>
      </c>
    </row>
    <row r="26" spans="1:14" x14ac:dyDescent="0.25">
      <c r="B26" s="80"/>
      <c r="C26" s="84"/>
      <c r="D26" s="79"/>
      <c r="E26" s="92"/>
      <c r="F26" s="81"/>
      <c r="G26" s="80"/>
      <c r="H26" s="80" t="s">
        <v>48</v>
      </c>
      <c r="I26" s="80"/>
      <c r="J26" s="134"/>
      <c r="K26" s="134"/>
      <c r="L26" s="134"/>
      <c r="M26" s="134"/>
      <c r="N26" s="134"/>
    </row>
    <row r="27" spans="1:14" x14ac:dyDescent="0.25">
      <c r="B27" s="73" t="s">
        <v>6</v>
      </c>
      <c r="C27" s="74"/>
      <c r="D27" s="79"/>
      <c r="E27" s="80"/>
      <c r="F27" s="81"/>
      <c r="G27" s="80"/>
      <c r="H27" s="80" t="s">
        <v>48</v>
      </c>
      <c r="I27" s="80"/>
      <c r="J27" s="134"/>
      <c r="K27" s="134"/>
      <c r="L27" s="134"/>
      <c r="M27" s="134"/>
      <c r="N27" s="134"/>
    </row>
    <row r="28" spans="1:14" x14ac:dyDescent="0.25">
      <c r="A28" s="34">
        <v>150</v>
      </c>
      <c r="B28" s="80" t="s">
        <v>102</v>
      </c>
      <c r="C28" s="78">
        <f>SUMIFS('Diario Adm'!$E:$E,'Diario Adm'!$B:$B,C$7,'Diario Adm'!$C:$C,$A28)</f>
        <v>0</v>
      </c>
      <c r="D28" s="78">
        <f>SUMIFS('Diario Adm'!$E:$E,'Diario Adm'!$B:$B,D$7,'Diario Adm'!$C:$C,$A28)+C28</f>
        <v>0</v>
      </c>
      <c r="E28" s="78">
        <f>SUMIFS('Diario Adm'!$E:$E,'Diario Adm'!$B:$B,E$7,'Diario Adm'!$C:$C,$A28)+D28</f>
        <v>0</v>
      </c>
      <c r="F28" s="78">
        <f>SUMIFS('Diario Adm'!$E:$E,'Diario Adm'!$B:$B,F$7,'Diario Adm'!$C:$C,$A28)+E28</f>
        <v>0</v>
      </c>
      <c r="G28" s="78">
        <f>SUMIFS('Diario Adm'!$E:$E,'Diario Adm'!$B:$B,G$7,'Diario Adm'!$C:$C,$A28)+F28</f>
        <v>0</v>
      </c>
      <c r="H28" s="78">
        <f>SUMIFS('Diario Adm'!$E:$E,'Diario Adm'!$B:$B,H$7,'Diario Adm'!$C:$C,$A28)+G28</f>
        <v>0</v>
      </c>
      <c r="I28" s="78">
        <f>SUMIFS('Diario Adm'!$E:$E,'Diario Adm'!$B:$B,I$7,'Diario Adm'!$C:$C,$A28)+H28</f>
        <v>0</v>
      </c>
      <c r="J28" s="78">
        <f>SUMIFS('Diario Adm'!$E:$E,'Diario Adm'!$B:$B,J$7,'Diario Adm'!$C:$C,$A28)+I28</f>
        <v>0</v>
      </c>
      <c r="K28" s="78">
        <f>SUMIFS('Diario Adm'!$E:$E,'Diario Adm'!$B:$B,K$7,'Diario Adm'!$C:$C,$A28)+J28</f>
        <v>0</v>
      </c>
      <c r="L28" s="78">
        <f>SUMIFS('Diario Adm'!$E:$E,'Diario Adm'!$B:$B,L$7,'Diario Adm'!$C:$C,$A28)+K28</f>
        <v>0</v>
      </c>
      <c r="M28" s="78">
        <f>SUMIFS('Diario Adm'!$E:$E,'Diario Adm'!$B:$B,M$7,'Diario Adm'!$C:$C,$A28)+L28</f>
        <v>0</v>
      </c>
      <c r="N28" s="78">
        <f>SUMIFS('Diario Adm'!$E:$E,'Diario Adm'!$B:$B,N$7,'Diario Adm'!$C:$C,$A28)+M28</f>
        <v>0</v>
      </c>
    </row>
    <row r="29" spans="1:14" x14ac:dyDescent="0.25">
      <c r="A29" s="34">
        <v>151</v>
      </c>
      <c r="B29" s="80" t="s">
        <v>101</v>
      </c>
      <c r="C29" s="78">
        <f>SUMIFS('Diario Adm'!$E:$E,'Diario Adm'!$B:$B,C$7,'Diario Adm'!$C:$C,$A29)</f>
        <v>0</v>
      </c>
      <c r="D29" s="78">
        <f>SUMIFS('Diario Adm'!$E:$E,'Diario Adm'!$B:$B,D$7,'Diario Adm'!$C:$C,$A29)+C29</f>
        <v>0</v>
      </c>
      <c r="E29" s="78">
        <f>SUMIFS('Diario Adm'!$E:$E,'Diario Adm'!$B:$B,E$7,'Diario Adm'!$C:$C,$A29)+D29</f>
        <v>0</v>
      </c>
      <c r="F29" s="78">
        <f>SUMIFS('Diario Adm'!$E:$E,'Diario Adm'!$B:$B,F$7,'Diario Adm'!$C:$C,$A29)+E29</f>
        <v>0</v>
      </c>
      <c r="G29" s="78">
        <f>SUMIFS('Diario Adm'!$E:$E,'Diario Adm'!$B:$B,G$7,'Diario Adm'!$C:$C,$A29)+F29</f>
        <v>0</v>
      </c>
      <c r="H29" s="78">
        <f>SUMIFS('Diario Adm'!$E:$E,'Diario Adm'!$B:$B,H$7,'Diario Adm'!$C:$C,$A29)+G29</f>
        <v>0</v>
      </c>
      <c r="I29" s="78">
        <f>SUMIFS('Diario Adm'!$E:$E,'Diario Adm'!$B:$B,I$7,'Diario Adm'!$C:$C,$A29)+H29</f>
        <v>0</v>
      </c>
      <c r="J29" s="78">
        <f>SUMIFS('Diario Adm'!$E:$E,'Diario Adm'!$B:$B,J$7,'Diario Adm'!$C:$C,$A29)+I29</f>
        <v>0</v>
      </c>
      <c r="K29" s="78">
        <f>SUMIFS('Diario Adm'!$E:$E,'Diario Adm'!$B:$B,K$7,'Diario Adm'!$C:$C,$A29)+J29</f>
        <v>0</v>
      </c>
      <c r="L29" s="78">
        <f>SUMIFS('Diario Adm'!$E:$E,'Diario Adm'!$B:$B,L$7,'Diario Adm'!$C:$C,$A29)+K29</f>
        <v>0</v>
      </c>
      <c r="M29" s="78">
        <f>SUMIFS('Diario Adm'!$E:$E,'Diario Adm'!$B:$B,M$7,'Diario Adm'!$C:$C,$A29)+L29</f>
        <v>0</v>
      </c>
      <c r="N29" s="78">
        <f>SUMIFS('Diario Adm'!$E:$E,'Diario Adm'!$B:$B,N$7,'Diario Adm'!$C:$C,$A29)+M29</f>
        <v>0</v>
      </c>
    </row>
    <row r="30" spans="1:14" x14ac:dyDescent="0.25">
      <c r="B30" s="82" t="s">
        <v>36</v>
      </c>
      <c r="C30" s="87">
        <f t="shared" ref="C30:J30" si="2">SUM(C28:C29)</f>
        <v>0</v>
      </c>
      <c r="D30" s="87">
        <f t="shared" si="2"/>
        <v>0</v>
      </c>
      <c r="E30" s="87">
        <f t="shared" si="2"/>
        <v>0</v>
      </c>
      <c r="F30" s="87">
        <f t="shared" si="2"/>
        <v>0</v>
      </c>
      <c r="G30" s="87">
        <f t="shared" si="2"/>
        <v>0</v>
      </c>
      <c r="H30" s="87">
        <f t="shared" si="2"/>
        <v>0</v>
      </c>
      <c r="I30" s="87">
        <f t="shared" si="2"/>
        <v>0</v>
      </c>
      <c r="J30" s="87">
        <f t="shared" si="2"/>
        <v>0</v>
      </c>
      <c r="K30" s="87">
        <f>SUM(K28:K29)</f>
        <v>0</v>
      </c>
      <c r="L30" s="87">
        <f>SUM(L28:L29)</f>
        <v>0</v>
      </c>
      <c r="M30" s="87">
        <f>SUM(M28:M29)</f>
        <v>0</v>
      </c>
      <c r="N30" s="87">
        <f>SUM(N28:N29)</f>
        <v>0</v>
      </c>
    </row>
    <row r="31" spans="1:14" x14ac:dyDescent="0.25">
      <c r="B31" s="88" t="s">
        <v>38</v>
      </c>
      <c r="C31" s="89">
        <f t="shared" ref="C31:N31" si="3">+C25+C20+C30</f>
        <v>14295627</v>
      </c>
      <c r="D31" s="89">
        <f t="shared" si="3"/>
        <v>12392892</v>
      </c>
      <c r="E31" s="89">
        <f t="shared" si="3"/>
        <v>12262894</v>
      </c>
      <c r="F31" s="89">
        <f t="shared" si="3"/>
        <v>14909921</v>
      </c>
      <c r="G31" s="89">
        <f t="shared" si="3"/>
        <v>14058187</v>
      </c>
      <c r="H31" s="89">
        <f t="shared" si="3"/>
        <v>11778774</v>
      </c>
      <c r="I31" s="89">
        <f t="shared" si="3"/>
        <v>9827205</v>
      </c>
      <c r="J31" s="89">
        <f t="shared" si="3"/>
        <v>12121126</v>
      </c>
      <c r="K31" s="89">
        <f t="shared" si="3"/>
        <v>12914554</v>
      </c>
      <c r="L31" s="89">
        <f t="shared" si="3"/>
        <v>10901938</v>
      </c>
      <c r="M31" s="89">
        <f t="shared" si="3"/>
        <v>18195841</v>
      </c>
      <c r="N31" s="89">
        <f t="shared" si="3"/>
        <v>7235316</v>
      </c>
    </row>
    <row r="32" spans="1:14" x14ac:dyDescent="0.25">
      <c r="B32" s="80"/>
      <c r="C32" s="84"/>
      <c r="D32" s="86"/>
      <c r="E32" s="80"/>
      <c r="F32" s="81"/>
      <c r="G32" s="80"/>
      <c r="H32" s="80" t="s">
        <v>48</v>
      </c>
      <c r="I32" s="80"/>
      <c r="J32" s="134"/>
      <c r="K32" s="134"/>
      <c r="L32" s="134"/>
      <c r="M32" s="134"/>
      <c r="N32" s="134"/>
    </row>
    <row r="33" spans="1:15" x14ac:dyDescent="0.25">
      <c r="B33" s="80"/>
      <c r="C33" s="84"/>
      <c r="D33" s="86" t="s">
        <v>48</v>
      </c>
      <c r="E33" s="80"/>
      <c r="F33" s="81"/>
      <c r="G33" s="80"/>
      <c r="H33" s="80" t="s">
        <v>48</v>
      </c>
      <c r="I33" s="80"/>
      <c r="J33" s="134"/>
      <c r="K33" s="134"/>
      <c r="L33" s="134"/>
      <c r="M33" s="134"/>
      <c r="N33" s="134"/>
    </row>
    <row r="34" spans="1:15" x14ac:dyDescent="0.25">
      <c r="B34" s="67" t="s">
        <v>26</v>
      </c>
      <c r="C34" s="90" t="str">
        <f t="shared" ref="C34:N34" si="4">+C8</f>
        <v>ENERO</v>
      </c>
      <c r="D34" s="91" t="str">
        <f t="shared" si="4"/>
        <v>FEBRERO</v>
      </c>
      <c r="E34" s="67" t="str">
        <f t="shared" si="4"/>
        <v>MARZO</v>
      </c>
      <c r="F34" s="91" t="str">
        <f t="shared" si="4"/>
        <v>ABRIL</v>
      </c>
      <c r="G34" s="67" t="str">
        <f t="shared" si="4"/>
        <v>MAYO</v>
      </c>
      <c r="H34" s="67" t="str">
        <f t="shared" si="4"/>
        <v>JUNIO</v>
      </c>
      <c r="I34" s="67" t="str">
        <f t="shared" si="4"/>
        <v>JULIO</v>
      </c>
      <c r="J34" s="67" t="str">
        <f t="shared" si="4"/>
        <v>AGOSTO</v>
      </c>
      <c r="K34" s="67" t="str">
        <f t="shared" si="4"/>
        <v>SEPTIEMBRE</v>
      </c>
      <c r="L34" s="67" t="str">
        <f t="shared" si="4"/>
        <v>OCTUBRE</v>
      </c>
      <c r="M34" s="67" t="str">
        <f t="shared" si="4"/>
        <v>NOVEMBRE</v>
      </c>
      <c r="N34" s="67" t="str">
        <f t="shared" si="4"/>
        <v>DICIEMBRE</v>
      </c>
    </row>
    <row r="35" spans="1:15" x14ac:dyDescent="0.25">
      <c r="B35" s="73"/>
      <c r="C35" s="72"/>
      <c r="D35" s="92" t="s">
        <v>48</v>
      </c>
      <c r="E35" s="80"/>
      <c r="F35" s="81"/>
      <c r="G35" s="80"/>
      <c r="H35" s="80" t="s">
        <v>48</v>
      </c>
      <c r="I35" s="80"/>
      <c r="J35" s="134"/>
      <c r="K35" s="134"/>
      <c r="L35" s="134"/>
      <c r="M35" s="134"/>
      <c r="N35" s="134"/>
    </row>
    <row r="36" spans="1:15" x14ac:dyDescent="0.25">
      <c r="B36" s="73" t="s">
        <v>29</v>
      </c>
      <c r="C36" s="72"/>
      <c r="D36" s="80" t="s">
        <v>48</v>
      </c>
      <c r="E36" s="80"/>
      <c r="F36" s="81"/>
      <c r="G36" s="80"/>
      <c r="H36" s="80" t="s">
        <v>48</v>
      </c>
      <c r="I36" s="80"/>
      <c r="J36" s="134"/>
      <c r="K36" s="134"/>
      <c r="L36" s="134"/>
      <c r="M36" s="134"/>
      <c r="N36" s="134"/>
      <c r="O36" s="34">
        <v>110822645</v>
      </c>
    </row>
    <row r="37" spans="1:15" x14ac:dyDescent="0.25">
      <c r="A37" s="34">
        <v>215</v>
      </c>
      <c r="B37" s="77" t="str">
        <f>VLOOKUP(A37,Plan!A:B,2,0)</f>
        <v>Cuenta por Pagar a Cali</v>
      </c>
      <c r="C37" s="78">
        <f>-SUMIFS('Diario Adm'!$E:$E,'Diario Adm'!$B:$B,C$7,'Diario Adm'!$C:$C,$A37)</f>
        <v>119974557</v>
      </c>
      <c r="D37" s="78">
        <f>-SUMIFS('Diario Adm'!$E:$E,'Diario Adm'!$B:$B,D$7,'Diario Adm'!$C:$C,$A37)+C37</f>
        <v>122571365</v>
      </c>
      <c r="E37" s="78">
        <f>-SUMIFS('Diario Adm'!$E:$E,'Diario Adm'!$B:$B,E$7,'Diario Adm'!$C:$C,$A37)+D37</f>
        <v>123185103</v>
      </c>
      <c r="F37" s="78">
        <f>-SUMIFS('Diario Adm'!$E:$E,'Diario Adm'!$B:$B,F$7,'Diario Adm'!$C:$C,$A37)+E37</f>
        <v>127628088</v>
      </c>
      <c r="G37" s="78">
        <f>-SUMIFS('Diario Adm'!$E:$E,'Diario Adm'!$B:$B,G$7,'Diario Adm'!$C:$C,$A37)+F37</f>
        <v>128723767</v>
      </c>
      <c r="H37" s="78">
        <f>-SUMIFS('Diario Adm'!$E:$E,'Diario Adm'!$B:$B,H$7,'Diario Adm'!$C:$C,$A37)+G37</f>
        <v>129198619</v>
      </c>
      <c r="I37" s="78">
        <f>-SUMIFS('Diario Adm'!$E:$E,'Diario Adm'!$B:$B,I$7,'Diario Adm'!$C:$C,$A37)+H37</f>
        <v>130733023</v>
      </c>
      <c r="J37" s="78">
        <f>-SUMIFS('Diario Adm'!$E:$E,'Diario Adm'!$B:$B,J$7,'Diario Adm'!$C:$C,$A37)+I37</f>
        <v>135847133</v>
      </c>
      <c r="K37" s="78">
        <f>-SUMIFS('Diario Adm'!$E:$E,'Diario Adm'!$B:$B,K$7,'Diario Adm'!$C:$C,$A37)+J37</f>
        <v>138158780</v>
      </c>
      <c r="L37" s="78">
        <f>-SUMIFS('Diario Adm'!$E:$E,'Diario Adm'!$B:$B,L$7,'Diario Adm'!$C:$C,$A37)+K37</f>
        <v>138440989</v>
      </c>
      <c r="M37" s="78">
        <f>-SUMIFS('Diario Adm'!$E:$E,'Diario Adm'!$B:$B,M$7,'Diario Adm'!$C:$C,$A37)+L37</f>
        <v>138905314</v>
      </c>
      <c r="N37" s="78">
        <f>-SUMIFS('Diario Adm'!$E:$E,'Diario Adm'!$B:$B,N$7,'Diario Adm'!$C:$C,$A37)+M37</f>
        <v>138437194</v>
      </c>
      <c r="O37" s="34">
        <f>+N37-O36-N17-N18</f>
        <v>27614549</v>
      </c>
    </row>
    <row r="38" spans="1:15" x14ac:dyDescent="0.25">
      <c r="A38" s="34">
        <v>220</v>
      </c>
      <c r="B38" s="77" t="str">
        <f>VLOOKUP(A38,Plan!A:B,2,0)</f>
        <v>Fondos Pastoral Juvenil</v>
      </c>
      <c r="C38" s="78">
        <f>-SUMIFS('Diario Adm'!$E:$E,'Diario Adm'!$B:$B,C$7,'Diario Adm'!$C:$C,$A38)</f>
        <v>878224</v>
      </c>
      <c r="D38" s="78">
        <f>-SUMIFS('Diario Adm'!$E:$E,'Diario Adm'!$B:$B,D$7,'Diario Adm'!$C:$C,$A38)+C38</f>
        <v>878224</v>
      </c>
      <c r="E38" s="78">
        <f>-SUMIFS('Diario Adm'!$E:$E,'Diario Adm'!$B:$B,E$7,'Diario Adm'!$C:$C,$A38)+D38</f>
        <v>878224</v>
      </c>
      <c r="F38" s="78">
        <f>-SUMIFS('Diario Adm'!$E:$E,'Diario Adm'!$B:$B,F$7,'Diario Adm'!$C:$C,$A38)+E38</f>
        <v>878224</v>
      </c>
      <c r="G38" s="78">
        <f>-SUMIFS('Diario Adm'!$E:$E,'Diario Adm'!$B:$B,G$7,'Diario Adm'!$C:$C,$A38)+F38</f>
        <v>878224</v>
      </c>
      <c r="H38" s="78">
        <f>-SUMIFS('Diario Adm'!$E:$E,'Diario Adm'!$B:$B,H$7,'Diario Adm'!$C:$C,$A38)+G38</f>
        <v>878224</v>
      </c>
      <c r="I38" s="78">
        <f>-SUMIFS('Diario Adm'!$E:$E,'Diario Adm'!$B:$B,I$7,'Diario Adm'!$C:$C,$A38)+H38</f>
        <v>878224</v>
      </c>
      <c r="J38" s="78">
        <f>-SUMIFS('Diario Adm'!$E:$E,'Diario Adm'!$B:$B,J$7,'Diario Adm'!$C:$C,$A38)+I38</f>
        <v>878224</v>
      </c>
      <c r="K38" s="78">
        <f>-SUMIFS('Diario Adm'!$E:$E,'Diario Adm'!$B:$B,K$7,'Diario Adm'!$C:$C,$A38)+J38</f>
        <v>878224</v>
      </c>
      <c r="L38" s="78">
        <f>-SUMIFS('Diario Adm'!$E:$E,'Diario Adm'!$B:$B,L$7,'Diario Adm'!$C:$C,$A38)+K38</f>
        <v>878224</v>
      </c>
      <c r="M38" s="78">
        <f>-SUMIFS('Diario Adm'!$E:$E,'Diario Adm'!$B:$B,M$7,'Diario Adm'!$C:$C,$A38)+L38</f>
        <v>878224</v>
      </c>
      <c r="N38" s="78">
        <f>-SUMIFS('Diario Adm'!$E:$E,'Diario Adm'!$B:$B,N$7,'Diario Adm'!$C:$C,$A38)+M38</f>
        <v>0</v>
      </c>
    </row>
    <row r="39" spans="1:15" x14ac:dyDescent="0.25">
      <c r="A39" s="34">
        <v>222</v>
      </c>
      <c r="B39" s="77" t="str">
        <f>VLOOKUP(A39,Plan!A:B,2,0)</f>
        <v>Honorarios por pagar Administración</v>
      </c>
      <c r="C39" s="78">
        <f>-SUMIFS('Diario Adm'!$E:$E,'Diario Adm'!$B:$B,C$7,'Diario Adm'!$C:$C,$A39)</f>
        <v>5</v>
      </c>
      <c r="D39" s="78">
        <f>-SUMIFS('Diario Adm'!$E:$E,'Diario Adm'!$B:$B,D$7,'Diario Adm'!$C:$C,$A39)+C39</f>
        <v>5</v>
      </c>
      <c r="E39" s="78">
        <f>-SUMIFS('Diario Adm'!$E:$E,'Diario Adm'!$B:$B,E$7,'Diario Adm'!$C:$C,$A39)+D39</f>
        <v>5</v>
      </c>
      <c r="F39" s="78">
        <f>-SUMIFS('Diario Adm'!$E:$E,'Diario Adm'!$B:$B,F$7,'Diario Adm'!$C:$C,$A39)+E39</f>
        <v>217051</v>
      </c>
      <c r="G39" s="78">
        <f>-SUMIFS('Diario Adm'!$E:$E,'Diario Adm'!$B:$B,G$7,'Diario Adm'!$C:$C,$A39)+F39</f>
        <v>5</v>
      </c>
      <c r="H39" s="78">
        <f>-SUMIFS('Diario Adm'!$E:$E,'Diario Adm'!$B:$B,H$7,'Diario Adm'!$C:$C,$A39)+G39</f>
        <v>5</v>
      </c>
      <c r="I39" s="78">
        <f>-SUMIFS('Diario Adm'!$E:$E,'Diario Adm'!$B:$B,I$7,'Diario Adm'!$C:$C,$A39)+H39</f>
        <v>5</v>
      </c>
      <c r="J39" s="78">
        <f>-SUMIFS('Diario Adm'!$E:$E,'Diario Adm'!$B:$B,J$7,'Diario Adm'!$C:$C,$A39)+I39</f>
        <v>5</v>
      </c>
      <c r="K39" s="78">
        <f>-SUMIFS('Diario Adm'!$E:$E,'Diario Adm'!$B:$B,K$7,'Diario Adm'!$C:$C,$A39)+J39</f>
        <v>5</v>
      </c>
      <c r="L39" s="78">
        <f>-SUMIFS('Diario Adm'!$E:$E,'Diario Adm'!$B:$B,L$7,'Diario Adm'!$C:$C,$A39)+K39</f>
        <v>5</v>
      </c>
      <c r="M39" s="78">
        <f>-SUMIFS('Diario Adm'!$E:$E,'Diario Adm'!$B:$B,M$7,'Diario Adm'!$C:$C,$A39)+L39</f>
        <v>5</v>
      </c>
      <c r="N39" s="78">
        <f>-SUMIFS('Diario Adm'!$E:$E,'Diario Adm'!$B:$B,N$7,'Diario Adm'!$C:$C,$A39)+M39</f>
        <v>0</v>
      </c>
    </row>
    <row r="40" spans="1:15" x14ac:dyDescent="0.25">
      <c r="A40" s="34">
        <v>223</v>
      </c>
      <c r="B40" s="77" t="str">
        <f>VLOOKUP(A40,Plan!A:B,2,0)</f>
        <v>Ret. Hon.  e Impto. Unico Administración</v>
      </c>
      <c r="C40" s="78">
        <f>-SUMIFS('Diario Adm'!$E:$E,'Diario Adm'!$B:$B,C$7,'Diario Adm'!$C:$C,$A40)</f>
        <v>119674</v>
      </c>
      <c r="D40" s="78">
        <f>-SUMIFS('Diario Adm'!$E:$E,'Diario Adm'!$B:$B,D$7,'Diario Adm'!$C:$C,$A40)+C40</f>
        <v>55625</v>
      </c>
      <c r="E40" s="78">
        <f>-SUMIFS('Diario Adm'!$E:$E,'Diario Adm'!$B:$B,E$7,'Diario Adm'!$C:$C,$A40)+D40</f>
        <v>121760</v>
      </c>
      <c r="F40" s="78">
        <f>-SUMIFS('Diario Adm'!$E:$E,'Diario Adm'!$B:$B,F$7,'Diario Adm'!$C:$C,$A40)+E40</f>
        <v>83447</v>
      </c>
      <c r="G40" s="78">
        <f>-SUMIFS('Diario Adm'!$E:$E,'Diario Adm'!$B:$B,G$7,'Diario Adm'!$C:$C,$A40)+F40</f>
        <v>97155</v>
      </c>
      <c r="H40" s="78">
        <f>-SUMIFS('Diario Adm'!$E:$E,'Diario Adm'!$B:$B,H$7,'Diario Adm'!$C:$C,$A40)+G40</f>
        <v>84700</v>
      </c>
      <c r="I40" s="78">
        <f>-SUMIFS('Diario Adm'!$E:$E,'Diario Adm'!$B:$B,I$7,'Diario Adm'!$C:$C,$A40)+H40</f>
        <v>162702</v>
      </c>
      <c r="J40" s="78">
        <f>-SUMIFS('Diario Adm'!$E:$E,'Diario Adm'!$B:$B,J$7,'Diario Adm'!$C:$C,$A40)+I40</f>
        <v>140833</v>
      </c>
      <c r="K40" s="78">
        <f>-SUMIFS('Diario Adm'!$E:$E,'Diario Adm'!$B:$B,K$7,'Diario Adm'!$C:$C,$A40)+J40</f>
        <v>134117</v>
      </c>
      <c r="L40" s="78">
        <f>-SUMIFS('Diario Adm'!$E:$E,'Diario Adm'!$B:$B,L$7,'Diario Adm'!$C:$C,$A40)+K40</f>
        <v>101963</v>
      </c>
      <c r="M40" s="78">
        <f>-SUMIFS('Diario Adm'!$E:$E,'Diario Adm'!$B:$B,M$7,'Diario Adm'!$C:$C,$A40)+L40</f>
        <v>122483</v>
      </c>
      <c r="N40" s="78">
        <f>-SUMIFS('Diario Adm'!$E:$E,'Diario Adm'!$B:$B,N$7,'Diario Adm'!$C:$C,$A40)+M40</f>
        <v>264123</v>
      </c>
    </row>
    <row r="41" spans="1:15" x14ac:dyDescent="0.25">
      <c r="A41" s="34">
        <v>224</v>
      </c>
      <c r="B41" s="77" t="str">
        <f>VLOOKUP(A41,Plan!A:B,2,0)</f>
        <v>Cotizaciones por Pagar</v>
      </c>
      <c r="C41" s="78">
        <f>-SUMIFS('Diario Adm'!$E:$E,'Diario Adm'!$B:$B,C$7,'Diario Adm'!$C:$C,$A41)</f>
        <v>649018</v>
      </c>
      <c r="D41" s="78">
        <f>-SUMIFS('Diario Adm'!$E:$E,'Diario Adm'!$B:$B,D$7,'Diario Adm'!$C:$C,$A41)+C41</f>
        <v>579372</v>
      </c>
      <c r="E41" s="78">
        <f>-SUMIFS('Diario Adm'!$E:$E,'Diario Adm'!$B:$B,E$7,'Diario Adm'!$C:$C,$A41)+D41</f>
        <v>584536</v>
      </c>
      <c r="F41" s="78">
        <f>-SUMIFS('Diario Adm'!$E:$E,'Diario Adm'!$B:$B,F$7,'Diario Adm'!$C:$C,$A41)+E41</f>
        <v>588098</v>
      </c>
      <c r="G41" s="78">
        <f>-SUMIFS('Diario Adm'!$E:$E,'Diario Adm'!$B:$B,G$7,'Diario Adm'!$C:$C,$A41)+F41</f>
        <v>602597</v>
      </c>
      <c r="H41" s="78">
        <f>-SUMIFS('Diario Adm'!$E:$E,'Diario Adm'!$B:$B,H$7,'Diario Adm'!$C:$C,$A41)+G41</f>
        <v>616789</v>
      </c>
      <c r="I41" s="78">
        <f>-SUMIFS('Diario Adm'!$E:$E,'Diario Adm'!$B:$B,I$7,'Diario Adm'!$C:$C,$A41)+H41</f>
        <v>640860</v>
      </c>
      <c r="J41" s="78">
        <f>-SUMIFS('Diario Adm'!$E:$E,'Diario Adm'!$B:$B,J$7,'Diario Adm'!$C:$C,$A41)+I41</f>
        <v>657775</v>
      </c>
      <c r="K41" s="78">
        <f>-SUMIFS('Diario Adm'!$E:$E,'Diario Adm'!$B:$B,K$7,'Diario Adm'!$C:$C,$A41)+J41</f>
        <v>674361</v>
      </c>
      <c r="L41" s="78">
        <f>-SUMIFS('Diario Adm'!$E:$E,'Diario Adm'!$B:$B,L$7,'Diario Adm'!$C:$C,$A41)+K41</f>
        <v>709129</v>
      </c>
      <c r="M41" s="78">
        <f>-SUMIFS('Diario Adm'!$E:$E,'Diario Adm'!$B:$B,M$7,'Diario Adm'!$C:$C,$A41)+L41</f>
        <v>755368</v>
      </c>
      <c r="N41" s="78">
        <f>-SUMIFS('Diario Adm'!$E:$E,'Diario Adm'!$B:$B,N$7,'Diario Adm'!$C:$C,$A41)+M41</f>
        <v>807251</v>
      </c>
    </row>
    <row r="42" spans="1:15" x14ac:dyDescent="0.25">
      <c r="A42" s="34">
        <v>225</v>
      </c>
      <c r="B42" s="77" t="str">
        <f>VLOOKUP(A42,Plan!A:B,2,0)</f>
        <v>Sueldos por Pagar</v>
      </c>
      <c r="C42" s="78">
        <f>-SUMIFS('Diario Adm'!$E:$E,'Diario Adm'!$B:$B,C$7,'Diario Adm'!$C:$C,$A42)</f>
        <v>2</v>
      </c>
      <c r="D42" s="78">
        <f>-SUMIFS('Diario Adm'!$E:$E,'Diario Adm'!$B:$B,D$7,'Diario Adm'!$C:$C,$A42)+C42</f>
        <v>2</v>
      </c>
      <c r="E42" s="78">
        <f>-SUMIFS('Diario Adm'!$E:$E,'Diario Adm'!$B:$B,E$7,'Diario Adm'!$C:$C,$A42)+D42</f>
        <v>2</v>
      </c>
      <c r="F42" s="78">
        <f>-SUMIFS('Diario Adm'!$E:$E,'Diario Adm'!$B:$B,F$7,'Diario Adm'!$C:$C,$A42)+E42</f>
        <v>2</v>
      </c>
      <c r="G42" s="78">
        <f>-SUMIFS('Diario Adm'!$E:$E,'Diario Adm'!$B:$B,G$7,'Diario Adm'!$C:$C,$A42)+F42</f>
        <v>2</v>
      </c>
      <c r="H42" s="78">
        <f>-SUMIFS('Diario Adm'!$E:$E,'Diario Adm'!$B:$B,H$7,'Diario Adm'!$C:$C,$A42)+G42</f>
        <v>2</v>
      </c>
      <c r="I42" s="78">
        <f>-SUMIFS('Diario Adm'!$E:$E,'Diario Adm'!$B:$B,I$7,'Diario Adm'!$C:$C,$A42)+H42</f>
        <v>2</v>
      </c>
      <c r="J42" s="78">
        <f>-SUMIFS('Diario Adm'!$E:$E,'Diario Adm'!$B:$B,J$7,'Diario Adm'!$C:$C,$A42)+I42</f>
        <v>2</v>
      </c>
      <c r="K42" s="78">
        <f>-SUMIFS('Diario Adm'!$E:$E,'Diario Adm'!$B:$B,K$7,'Diario Adm'!$C:$C,$A42)+J42</f>
        <v>2</v>
      </c>
      <c r="L42" s="78">
        <f>-SUMIFS('Diario Adm'!$E:$E,'Diario Adm'!$B:$B,L$7,'Diario Adm'!$C:$C,$A42)+K42</f>
        <v>2</v>
      </c>
      <c r="M42" s="78">
        <f>-SUMIFS('Diario Adm'!$E:$E,'Diario Adm'!$B:$B,M$7,'Diario Adm'!$C:$C,$A42)+L42</f>
        <v>2</v>
      </c>
      <c r="N42" s="78">
        <f>-SUMIFS('Diario Adm'!$E:$E,'Diario Adm'!$B:$B,N$7,'Diario Adm'!$C:$C,$A42)+M42</f>
        <v>0</v>
      </c>
    </row>
    <row r="43" spans="1:15" x14ac:dyDescent="0.25">
      <c r="A43" s="34">
        <v>227</v>
      </c>
      <c r="B43" s="77" t="str">
        <f>VLOOKUP(A43,Plan!A:B,2,0)</f>
        <v>Provisión Honorarios Cali</v>
      </c>
      <c r="C43" s="78">
        <f>-SUMIFS('Diario Adm'!$E:$E,'Diario Adm'!$B:$B,C$7,'Diario Adm'!$C:$C,$A43)</f>
        <v>0</v>
      </c>
      <c r="D43" s="78">
        <f>-SUMIFS('Diario Adm'!$E:$E,'Diario Adm'!$B:$B,D$7,'Diario Adm'!$C:$C,$A43)+C43</f>
        <v>0</v>
      </c>
      <c r="E43" s="78">
        <f>-SUMIFS('Diario Adm'!$E:$E,'Diario Adm'!$B:$B,E$7,'Diario Adm'!$C:$C,$A43)+D43</f>
        <v>0</v>
      </c>
      <c r="F43" s="78">
        <f>-SUMIFS('Diario Adm'!$E:$E,'Diario Adm'!$B:$B,F$7,'Diario Adm'!$C:$C,$A43)+E43</f>
        <v>0</v>
      </c>
      <c r="G43" s="78">
        <f>-SUMIFS('Diario Adm'!$E:$E,'Diario Adm'!$B:$B,G$7,'Diario Adm'!$C:$C,$A43)+F43</f>
        <v>0</v>
      </c>
      <c r="H43" s="78">
        <f>-SUMIFS('Diario Adm'!$E:$E,'Diario Adm'!$B:$B,H$7,'Diario Adm'!$C:$C,$A43)+G43</f>
        <v>0</v>
      </c>
      <c r="I43" s="78">
        <f>-SUMIFS('Diario Adm'!$E:$E,'Diario Adm'!$B:$B,I$7,'Diario Adm'!$C:$C,$A43)+H43</f>
        <v>0</v>
      </c>
      <c r="J43" s="78">
        <f>-SUMIFS('Diario Adm'!$E:$E,'Diario Adm'!$B:$B,J$7,'Diario Adm'!$C:$C,$A43)+I43</f>
        <v>0</v>
      </c>
      <c r="K43" s="78">
        <f>-SUMIFS('Diario Adm'!$E:$E,'Diario Adm'!$B:$B,K$7,'Diario Adm'!$C:$C,$A43)+J43</f>
        <v>0</v>
      </c>
      <c r="L43" s="78">
        <f>-SUMIFS('Diario Adm'!$E:$E,'Diario Adm'!$B:$B,L$7,'Diario Adm'!$C:$C,$A43)+K43</f>
        <v>0</v>
      </c>
      <c r="M43" s="78">
        <f>-SUMIFS('Diario Adm'!$E:$E,'Diario Adm'!$B:$B,M$7,'Diario Adm'!$C:$C,$A43)+L43</f>
        <v>0</v>
      </c>
      <c r="N43" s="78">
        <f>-SUMIFS('Diario Adm'!$E:$E,'Diario Adm'!$B:$B,N$7,'Diario Adm'!$C:$C,$A43)+M43</f>
        <v>0</v>
      </c>
    </row>
    <row r="44" spans="1:15" x14ac:dyDescent="0.25">
      <c r="A44" s="34">
        <v>230</v>
      </c>
      <c r="B44" s="77" t="str">
        <f>VLOOKUP(A44,Plan!A:B,2,0)</f>
        <v>Proveedores Administración</v>
      </c>
      <c r="C44" s="78">
        <f>-SUMIFS('Diario Adm'!$E:$E,'Diario Adm'!$B:$B,C$7,'Diario Adm'!$C:$C,$A44)</f>
        <v>0</v>
      </c>
      <c r="D44" s="78">
        <f>-SUMIFS('Diario Adm'!$E:$E,'Diario Adm'!$B:$B,D$7,'Diario Adm'!$C:$C,$A44)+C44</f>
        <v>0</v>
      </c>
      <c r="E44" s="78">
        <f>-SUMIFS('Diario Adm'!$E:$E,'Diario Adm'!$B:$B,E$7,'Diario Adm'!$C:$C,$A44)+D44</f>
        <v>0</v>
      </c>
      <c r="F44" s="78">
        <f>-SUMIFS('Diario Adm'!$E:$E,'Diario Adm'!$B:$B,F$7,'Diario Adm'!$C:$C,$A44)+E44</f>
        <v>0</v>
      </c>
      <c r="G44" s="78">
        <f>-SUMIFS('Diario Adm'!$E:$E,'Diario Adm'!$B:$B,G$7,'Diario Adm'!$C:$C,$A44)+F44</f>
        <v>0</v>
      </c>
      <c r="H44" s="78">
        <f>-SUMIFS('Diario Adm'!$E:$E,'Diario Adm'!$B:$B,H$7,'Diario Adm'!$C:$C,$A44)+G44</f>
        <v>0</v>
      </c>
      <c r="I44" s="78">
        <f>-SUMIFS('Diario Adm'!$E:$E,'Diario Adm'!$B:$B,I$7,'Diario Adm'!$C:$C,$A44)+H44</f>
        <v>0</v>
      </c>
      <c r="J44" s="78">
        <f>-SUMIFS('Diario Adm'!$E:$E,'Diario Adm'!$B:$B,J$7,'Diario Adm'!$C:$C,$A44)+I44</f>
        <v>0</v>
      </c>
      <c r="K44" s="78">
        <f>-SUMIFS('Diario Adm'!$E:$E,'Diario Adm'!$B:$B,K$7,'Diario Adm'!$C:$C,$A44)+J44</f>
        <v>0</v>
      </c>
      <c r="L44" s="78">
        <f>-SUMIFS('Diario Adm'!$E:$E,'Diario Adm'!$B:$B,L$7,'Diario Adm'!$C:$C,$A44)+K44</f>
        <v>0</v>
      </c>
      <c r="M44" s="78">
        <f>-SUMIFS('Diario Adm'!$E:$E,'Diario Adm'!$B:$B,M$7,'Diario Adm'!$C:$C,$A44)+L44</f>
        <v>0</v>
      </c>
      <c r="N44" s="78">
        <f>-SUMIFS('Diario Adm'!$E:$E,'Diario Adm'!$B:$B,N$7,'Diario Adm'!$C:$C,$A44)+M44</f>
        <v>0</v>
      </c>
    </row>
    <row r="45" spans="1:15" x14ac:dyDescent="0.25">
      <c r="A45" s="34">
        <v>226</v>
      </c>
      <c r="B45" s="77" t="str">
        <f>VLOOKUP(A45,Plan!A:B,2,0)</f>
        <v>Provisión Honorarios Administración</v>
      </c>
      <c r="C45" s="78">
        <f>-SUMIFS('Diario Adm'!$E:$E,'Diario Adm'!$B:$B,C$7,'Diario Adm'!$C:$C,$A45)</f>
        <v>0</v>
      </c>
      <c r="D45" s="78">
        <f>-SUMIFS('Diario Adm'!$E:$E,'Diario Adm'!$B:$B,D$7,'Diario Adm'!$C:$C,$A45)+C45</f>
        <v>0</v>
      </c>
      <c r="E45" s="78">
        <f>-SUMIFS('Diario Adm'!$E:$E,'Diario Adm'!$B:$B,E$7,'Diario Adm'!$C:$C,$A45)+D45</f>
        <v>0</v>
      </c>
      <c r="F45" s="78">
        <f>-SUMIFS('Diario Adm'!$E:$E,'Diario Adm'!$B:$B,F$7,'Diario Adm'!$C:$C,$A45)+E45</f>
        <v>0</v>
      </c>
      <c r="G45" s="78">
        <f>-SUMIFS('Diario Adm'!$E:$E,'Diario Adm'!$B:$B,G$7,'Diario Adm'!$C:$C,$A45)+F45</f>
        <v>0</v>
      </c>
      <c r="H45" s="78">
        <f>-SUMIFS('Diario Adm'!$E:$E,'Diario Adm'!$B:$B,H$7,'Diario Adm'!$C:$C,$A45)+G45</f>
        <v>0</v>
      </c>
      <c r="I45" s="78">
        <f>-SUMIFS('Diario Adm'!$E:$E,'Diario Adm'!$B:$B,I$7,'Diario Adm'!$C:$C,$A45)+H45</f>
        <v>0</v>
      </c>
      <c r="J45" s="78">
        <f>-SUMIFS('Diario Adm'!$E:$E,'Diario Adm'!$B:$B,J$7,'Diario Adm'!$C:$C,$A45)+I45</f>
        <v>0</v>
      </c>
      <c r="K45" s="78">
        <f>-SUMIFS('Diario Adm'!$E:$E,'Diario Adm'!$B:$B,K$7,'Diario Adm'!$C:$C,$A45)+J45</f>
        <v>380550</v>
      </c>
      <c r="L45" s="78">
        <f>-SUMIFS('Diario Adm'!$E:$E,'Diario Adm'!$B:$B,L$7,'Diario Adm'!$C:$C,$A45)+K45</f>
        <v>0</v>
      </c>
      <c r="M45" s="78">
        <f>-SUMIFS('Diario Adm'!$E:$E,'Diario Adm'!$B:$B,M$7,'Diario Adm'!$C:$C,$A45)+L45</f>
        <v>0</v>
      </c>
      <c r="N45" s="78">
        <f>-SUMIFS('Diario Adm'!$E:$E,'Diario Adm'!$B:$B,N$7,'Diario Adm'!$C:$C,$A45)+M45</f>
        <v>0</v>
      </c>
    </row>
    <row r="46" spans="1:15" x14ac:dyDescent="0.25">
      <c r="A46" s="34">
        <v>229</v>
      </c>
      <c r="B46" s="77" t="str">
        <f>VLOOKUP(A46,Plan!A:B,2,0)</f>
        <v>Provisiones Administración</v>
      </c>
      <c r="C46" s="78">
        <f>-SUMIFS('Diario Adm'!$E:$E,'Diario Adm'!$B:$B,C$7,'Diario Adm'!$C:$C,$A46)</f>
        <v>1435736</v>
      </c>
      <c r="D46" s="78">
        <f>-SUMIFS('Diario Adm'!$E:$E,'Diario Adm'!$B:$B,D$7,'Diario Adm'!$C:$C,$A46)+C46</f>
        <v>1203787</v>
      </c>
      <c r="E46" s="78">
        <f>-SUMIFS('Diario Adm'!$E:$E,'Diario Adm'!$B:$B,E$7,'Diario Adm'!$C:$C,$A46)+D46</f>
        <v>951186</v>
      </c>
      <c r="F46" s="78">
        <f>-SUMIFS('Diario Adm'!$E:$E,'Diario Adm'!$B:$B,F$7,'Diario Adm'!$C:$C,$A46)+E46</f>
        <v>0</v>
      </c>
      <c r="G46" s="78">
        <f>-SUMIFS('Diario Adm'!$E:$E,'Diario Adm'!$B:$B,G$7,'Diario Adm'!$C:$C,$A46)+F46</f>
        <v>0</v>
      </c>
      <c r="H46" s="78">
        <f>-SUMIFS('Diario Adm'!$E:$E,'Diario Adm'!$B:$B,H$7,'Diario Adm'!$C:$C,$A46)+G46</f>
        <v>0</v>
      </c>
      <c r="I46" s="78">
        <f>-SUMIFS('Diario Adm'!$E:$E,'Diario Adm'!$B:$B,I$7,'Diario Adm'!$C:$C,$A46)+H46</f>
        <v>0</v>
      </c>
      <c r="J46" s="78">
        <f>-SUMIFS('Diario Adm'!$E:$E,'Diario Adm'!$B:$B,J$7,'Diario Adm'!$C:$C,$A46)+I46</f>
        <v>0</v>
      </c>
      <c r="K46" s="78">
        <f>-SUMIFS('Diario Adm'!$E:$E,'Diario Adm'!$B:$B,K$7,'Diario Adm'!$C:$C,$A46)+J46</f>
        <v>0</v>
      </c>
      <c r="L46" s="78">
        <f>-SUMIFS('Diario Adm'!$E:$E,'Diario Adm'!$B:$B,L$7,'Diario Adm'!$C:$C,$A46)+K46</f>
        <v>0</v>
      </c>
      <c r="M46" s="78">
        <f>-SUMIFS('Diario Adm'!$E:$E,'Diario Adm'!$B:$B,M$7,'Diario Adm'!$C:$C,$A46)+L46</f>
        <v>0</v>
      </c>
      <c r="N46" s="548">
        <f>-SUMIFS('Diario Adm'!$E:$E,'Diario Adm'!$B:$B,N$7,'Diario Adm'!$C:$C,$A46)+M46</f>
        <v>1475000</v>
      </c>
    </row>
    <row r="47" spans="1:15" x14ac:dyDescent="0.25">
      <c r="A47" s="34">
        <v>231</v>
      </c>
      <c r="B47" s="77" t="str">
        <f>VLOOKUP(A47,Plan!A:B,2,0)</f>
        <v xml:space="preserve"> Fondos Pastoral Social</v>
      </c>
      <c r="C47" s="78">
        <f>-SUMIFS('Diario Adm'!$E:$E,'Diario Adm'!$B:$B,C$7,'Diario Adm'!$C:$C,$A47)</f>
        <v>2076559</v>
      </c>
      <c r="D47" s="78">
        <f>-SUMIFS('Diario Adm'!$E:$E,'Diario Adm'!$B:$B,D$7,'Diario Adm'!$C:$C,$A47)+C47</f>
        <v>2076559</v>
      </c>
      <c r="E47" s="78">
        <f>-SUMIFS('Diario Adm'!$E:$E,'Diario Adm'!$B:$B,E$7,'Diario Adm'!$C:$C,$A47)+D47</f>
        <v>2076559</v>
      </c>
      <c r="F47" s="78">
        <f>-SUMIFS('Diario Adm'!$E:$E,'Diario Adm'!$B:$B,F$7,'Diario Adm'!$C:$C,$A47)+E47</f>
        <v>2076559</v>
      </c>
      <c r="G47" s="78">
        <f>-SUMIFS('Diario Adm'!$E:$E,'Diario Adm'!$B:$B,G$7,'Diario Adm'!$C:$C,$A47)+F47</f>
        <v>2076559</v>
      </c>
      <c r="H47" s="78">
        <f>-SUMIFS('Diario Adm'!$E:$E,'Diario Adm'!$B:$B,H$7,'Diario Adm'!$C:$C,$A47)+G47</f>
        <v>2076559</v>
      </c>
      <c r="I47" s="78">
        <f>-SUMIFS('Diario Adm'!$E:$E,'Diario Adm'!$B:$B,I$7,'Diario Adm'!$C:$C,$A47)+H47</f>
        <v>2076559</v>
      </c>
      <c r="J47" s="78">
        <f>-SUMIFS('Diario Adm'!$E:$E,'Diario Adm'!$B:$B,J$7,'Diario Adm'!$C:$C,$A47)+I47</f>
        <v>2076559</v>
      </c>
      <c r="K47" s="78">
        <f>-SUMIFS('Diario Adm'!$E:$E,'Diario Adm'!$B:$B,K$7,'Diario Adm'!$C:$C,$A47)+J47</f>
        <v>2076559</v>
      </c>
      <c r="L47" s="78">
        <f>-SUMIFS('Diario Adm'!$E:$E,'Diario Adm'!$B:$B,L$7,'Diario Adm'!$C:$C,$A47)+K47</f>
        <v>2076559</v>
      </c>
      <c r="M47" s="78">
        <f>-SUMIFS('Diario Adm'!$E:$E,'Diario Adm'!$B:$B,M$7,'Diario Adm'!$C:$C,$A47)+L47</f>
        <v>0</v>
      </c>
      <c r="N47" s="548">
        <f>-SUMIFS('Diario Adm'!$E:$E,'Diario Adm'!$B:$B,N$7,'Diario Adm'!$C:$C,$A47)+M47</f>
        <v>1587495</v>
      </c>
    </row>
    <row r="48" spans="1:15" x14ac:dyDescent="0.25">
      <c r="B48" s="82" t="s">
        <v>47</v>
      </c>
      <c r="C48" s="82">
        <f t="shared" ref="C48:N48" si="5">SUM(C37:C47)</f>
        <v>125133775</v>
      </c>
      <c r="D48" s="82">
        <f t="shared" si="5"/>
        <v>127364939</v>
      </c>
      <c r="E48" s="82">
        <f t="shared" si="5"/>
        <v>127797375</v>
      </c>
      <c r="F48" s="82">
        <f t="shared" si="5"/>
        <v>131471469</v>
      </c>
      <c r="G48" s="82">
        <f t="shared" si="5"/>
        <v>132378309</v>
      </c>
      <c r="H48" s="82">
        <f t="shared" si="5"/>
        <v>132854898</v>
      </c>
      <c r="I48" s="82">
        <f t="shared" si="5"/>
        <v>134491375</v>
      </c>
      <c r="J48" s="82">
        <f t="shared" si="5"/>
        <v>139600531</v>
      </c>
      <c r="K48" s="82">
        <f t="shared" si="5"/>
        <v>142302598</v>
      </c>
      <c r="L48" s="82">
        <f t="shared" si="5"/>
        <v>142206871</v>
      </c>
      <c r="M48" s="82">
        <f t="shared" si="5"/>
        <v>140661396</v>
      </c>
      <c r="N48" s="82">
        <f t="shared" si="5"/>
        <v>142571063</v>
      </c>
    </row>
    <row r="49" spans="1:14" x14ac:dyDescent="0.25">
      <c r="B49" s="80"/>
      <c r="C49" s="86"/>
      <c r="D49" s="80"/>
      <c r="E49" s="80"/>
      <c r="F49" s="86"/>
      <c r="G49" s="80"/>
      <c r="H49" s="80"/>
      <c r="I49" s="80"/>
      <c r="J49" s="134"/>
      <c r="K49" s="134"/>
      <c r="L49" s="134"/>
      <c r="M49" s="134"/>
      <c r="N49" s="134"/>
    </row>
    <row r="50" spans="1:14" x14ac:dyDescent="0.25">
      <c r="B50" s="80"/>
      <c r="C50" s="86"/>
      <c r="D50" s="80"/>
      <c r="E50" s="80"/>
      <c r="F50" s="86"/>
      <c r="G50" s="80"/>
      <c r="H50" s="80"/>
      <c r="I50" s="80"/>
      <c r="J50" s="134"/>
      <c r="K50" s="134"/>
      <c r="L50" s="134"/>
      <c r="M50" s="134"/>
      <c r="N50" s="134"/>
    </row>
    <row r="51" spans="1:14" x14ac:dyDescent="0.25">
      <c r="B51" s="73" t="s">
        <v>32</v>
      </c>
      <c r="C51" s="72"/>
      <c r="D51" s="80"/>
      <c r="E51" s="80"/>
      <c r="F51" s="86"/>
      <c r="G51" s="80"/>
      <c r="H51" s="80"/>
      <c r="I51" s="80"/>
      <c r="J51" s="134"/>
      <c r="K51" s="134"/>
      <c r="L51" s="134"/>
      <c r="M51" s="134"/>
      <c r="N51" s="134"/>
    </row>
    <row r="52" spans="1:14" x14ac:dyDescent="0.25">
      <c r="B52" s="80"/>
      <c r="C52" s="86"/>
      <c r="D52" s="80"/>
      <c r="E52" s="80"/>
      <c r="F52" s="86"/>
      <c r="G52" s="80"/>
      <c r="H52" s="80"/>
      <c r="I52" s="80"/>
      <c r="J52" s="134"/>
      <c r="K52" s="134"/>
      <c r="L52" s="134"/>
      <c r="M52" s="134"/>
      <c r="N52" s="134"/>
    </row>
    <row r="53" spans="1:14" x14ac:dyDescent="0.25">
      <c r="B53" s="82" t="s">
        <v>33</v>
      </c>
      <c r="C53" s="93"/>
      <c r="D53" s="92"/>
      <c r="E53" s="87"/>
      <c r="F53" s="150"/>
      <c r="G53" s="92"/>
      <c r="H53" s="87"/>
      <c r="I53" s="87"/>
      <c r="J53" s="135"/>
      <c r="K53" s="135"/>
      <c r="L53" s="135"/>
      <c r="M53" s="135"/>
      <c r="N53" s="135"/>
    </row>
    <row r="54" spans="1:14" x14ac:dyDescent="0.25">
      <c r="B54" s="80"/>
      <c r="C54" s="86"/>
      <c r="D54" s="92"/>
      <c r="E54" s="86"/>
      <c r="F54" s="92"/>
      <c r="G54" s="92"/>
      <c r="H54" s="86"/>
      <c r="I54" s="92"/>
      <c r="J54" s="151"/>
      <c r="K54" s="151"/>
      <c r="L54" s="151"/>
      <c r="M54" s="151"/>
      <c r="N54" s="151"/>
    </row>
    <row r="55" spans="1:14" x14ac:dyDescent="0.25">
      <c r="B55" s="73" t="s">
        <v>0</v>
      </c>
      <c r="C55" s="73"/>
      <c r="D55" s="80"/>
      <c r="E55" s="80"/>
      <c r="F55" s="80"/>
      <c r="G55" s="80"/>
      <c r="H55" s="80"/>
      <c r="I55" s="80"/>
      <c r="J55" s="134"/>
      <c r="K55" s="134"/>
      <c r="L55" s="134"/>
      <c r="M55" s="134"/>
      <c r="N55" s="134"/>
    </row>
    <row r="56" spans="1:14" x14ac:dyDescent="0.25">
      <c r="A56" s="34">
        <v>300</v>
      </c>
      <c r="B56" s="77" t="s">
        <v>35</v>
      </c>
      <c r="C56" s="78">
        <f>-SUMIFS('Diario Adm'!$E:$E,'Diario Adm'!$B:$B,C$7,'Diario Adm'!$C:$C,$A56)</f>
        <v>11530679</v>
      </c>
      <c r="D56" s="78">
        <f>-SUMIFS('Diario Adm'!$E:$E,'Diario Adm'!$B:$B,D$7,'Diario Adm'!$C:$C,$A56)+C56</f>
        <v>11530679</v>
      </c>
      <c r="E56" s="78">
        <f>-SUMIFS('Diario Adm'!$E:$E,'Diario Adm'!$B:$B,E$7,'Diario Adm'!$C:$C,$A56)+D56</f>
        <v>11530679</v>
      </c>
      <c r="F56" s="78">
        <f>-SUMIFS('Diario Adm'!$E:$E,'Diario Adm'!$B:$B,F$7,'Diario Adm'!$C:$C,$A56)+E56</f>
        <v>11530679</v>
      </c>
      <c r="G56" s="78">
        <f>-SUMIFS('Diario Adm'!$E:$E,'Diario Adm'!$B:$B,G$7,'Diario Adm'!$C:$C,$A56)+F56</f>
        <v>11530679</v>
      </c>
      <c r="H56" s="78">
        <f>-SUMIFS('Diario Adm'!$E:$E,'Diario Adm'!$B:$B,H$7,'Diario Adm'!$C:$C,$A56)+G56</f>
        <v>11530679</v>
      </c>
      <c r="I56" s="78">
        <f>-SUMIFS('Diario Adm'!$E:$E,'Diario Adm'!$B:$B,I$7,'Diario Adm'!$C:$C,$A56)+H56</f>
        <v>11530679</v>
      </c>
      <c r="J56" s="78">
        <f>-SUMIFS('Diario Adm'!$E:$E,'Diario Adm'!$B:$B,J$7,'Diario Adm'!$C:$C,$A56)+I56</f>
        <v>11530679</v>
      </c>
      <c r="K56" s="78">
        <f>-SUMIFS('Diario Adm'!$E:$E,'Diario Adm'!$B:$B,K$7,'Diario Adm'!$C:$C,$A56)+J56</f>
        <v>11530679</v>
      </c>
      <c r="L56" s="78">
        <f>-SUMIFS('Diario Adm'!$E:$E,'Diario Adm'!$B:$B,L$7,'Diario Adm'!$C:$C,$A56)+K56</f>
        <v>11530679</v>
      </c>
      <c r="M56" s="78">
        <f>-SUMIFS('Diario Adm'!$E:$E,'Diario Adm'!$B:$B,M$7,'Diario Adm'!$C:$C,$A56)+L56</f>
        <v>11530679</v>
      </c>
      <c r="N56" s="78">
        <f>-SUMIFS('Diario Adm'!$E:$E,'Diario Adm'!$B:$B,N$7,'Diario Adm'!$C:$C,$A56)+M56</f>
        <v>11530679</v>
      </c>
    </row>
    <row r="57" spans="1:14" x14ac:dyDescent="0.25">
      <c r="A57" s="34">
        <v>311</v>
      </c>
      <c r="B57" s="77" t="s">
        <v>106</v>
      </c>
      <c r="C57" s="78">
        <f>-SUMIFS('Diario Adm'!$E:$E,'Diario Adm'!$B:$B,C$7,'Diario Adm'!$C:$C,$A57)</f>
        <v>-118607614</v>
      </c>
      <c r="D57" s="78">
        <f>-SUMIFS('Diario Adm'!$E:$E,'Diario Adm'!$B:$B,D$7,'Diario Adm'!$C:$C,$A57)+C57</f>
        <v>-118607614</v>
      </c>
      <c r="E57" s="78">
        <f>-SUMIFS('Diario Adm'!$E:$E,'Diario Adm'!$B:$B,E$7,'Diario Adm'!$C:$C,$A57)+D57</f>
        <v>-118607614</v>
      </c>
      <c r="F57" s="78">
        <f>-SUMIFS('Diario Adm'!$E:$E,'Diario Adm'!$B:$B,F$7,'Diario Adm'!$C:$C,$A57)+E57</f>
        <v>-118607614</v>
      </c>
      <c r="G57" s="78">
        <f>-SUMIFS('Diario Adm'!$E:$E,'Diario Adm'!$B:$B,G$7,'Diario Adm'!$C:$C,$A57)+F57</f>
        <v>-118607614</v>
      </c>
      <c r="H57" s="78">
        <f>-SUMIFS('Diario Adm'!$E:$E,'Diario Adm'!$B:$B,H$7,'Diario Adm'!$C:$C,$A57)+G57</f>
        <v>-118607614</v>
      </c>
      <c r="I57" s="78">
        <f>-SUMIFS('Diario Adm'!$E:$E,'Diario Adm'!$B:$B,I$7,'Diario Adm'!$C:$C,$A57)+H57</f>
        <v>-118607614</v>
      </c>
      <c r="J57" s="78">
        <f>-SUMIFS('Diario Adm'!$E:$E,'Diario Adm'!$B:$B,J$7,'Diario Adm'!$C:$C,$A57)+I57</f>
        <v>-118607614</v>
      </c>
      <c r="K57" s="78">
        <f>-SUMIFS('Diario Adm'!$E:$E,'Diario Adm'!$B:$B,K$7,'Diario Adm'!$C:$C,$A57)+J57</f>
        <v>-118607614</v>
      </c>
      <c r="L57" s="78">
        <f>-SUMIFS('Diario Adm'!$E:$E,'Diario Adm'!$B:$B,L$7,'Diario Adm'!$C:$C,$A57)+K57</f>
        <v>-118607614</v>
      </c>
      <c r="M57" s="78">
        <f>-SUMIFS('Diario Adm'!$E:$E,'Diario Adm'!$B:$B,M$7,'Diario Adm'!$C:$C,$A57)+L57</f>
        <v>-118607614</v>
      </c>
      <c r="N57" s="78">
        <f>-SUMIFS('Diario Adm'!$E:$E,'Diario Adm'!$B:$B,N$7,'Diario Adm'!$C:$C,$A57)+M57</f>
        <v>-118607614</v>
      </c>
    </row>
    <row r="58" spans="1:14" x14ac:dyDescent="0.25">
      <c r="A58" s="34">
        <v>320</v>
      </c>
      <c r="B58" s="77" t="s">
        <v>66</v>
      </c>
      <c r="C58" s="329">
        <f>+'Resultado Admin.'!C105</f>
        <v>-3761213</v>
      </c>
      <c r="D58" s="329">
        <f>+'Resultado Admin.'!D105+C58</f>
        <v>-7895112</v>
      </c>
      <c r="E58" s="329">
        <f>+'Resultado Admin.'!E105+D58</f>
        <v>-8457546</v>
      </c>
      <c r="F58" s="329">
        <f>+'Resultado Admin.'!F105+E58</f>
        <v>-9484613</v>
      </c>
      <c r="G58" s="329">
        <f>+'Resultado Admin.'!G105+F58</f>
        <v>-11243187</v>
      </c>
      <c r="H58" s="329">
        <f>+'Resultado Admin.'!H105+G58</f>
        <v>-13999189</v>
      </c>
      <c r="I58" s="329">
        <f>+'Resultado Admin.'!I105+H58</f>
        <v>-17587235</v>
      </c>
      <c r="J58" s="329">
        <f>+'Resultado Admin.'!J105+I58</f>
        <v>-20402470</v>
      </c>
      <c r="K58" s="329">
        <f>+'Resultado Admin.'!K105+J58</f>
        <v>-22311109</v>
      </c>
      <c r="L58" s="329">
        <f>+'Resultado Admin.'!L105+K58</f>
        <v>-24227998</v>
      </c>
      <c r="M58" s="329">
        <f>+'Resultado Admin.'!M105+L58</f>
        <v>-15388620</v>
      </c>
      <c r="N58" s="329">
        <f>+'Resultado Admin.'!N105+M58</f>
        <v>-28258812</v>
      </c>
    </row>
    <row r="59" spans="1:14" x14ac:dyDescent="0.25">
      <c r="A59" s="34">
        <v>330</v>
      </c>
      <c r="B59" s="77" t="s">
        <v>110</v>
      </c>
      <c r="C59" s="78">
        <f>-SUMIFS('Diario Adm'!$E:$E,'Diario Adm'!$B:$B,C$7,'Diario Adm'!$C:$C,$A59)</f>
        <v>0</v>
      </c>
      <c r="D59" s="78">
        <f>-SUMIFS('Diario Adm'!$E:$E,'Diario Adm'!$B:$B,D$7,'Diario Adm'!$C:$C,$A59)+C59</f>
        <v>0</v>
      </c>
      <c r="E59" s="78">
        <f>-SUMIFS('Diario Adm'!$E:$E,'Diario Adm'!$B:$B,E$7,'Diario Adm'!$C:$C,$A59)+D59</f>
        <v>0</v>
      </c>
      <c r="F59" s="78">
        <f>-SUMIFS('Diario Adm'!$E:$E,'Diario Adm'!$B:$B,F$7,'Diario Adm'!$C:$C,$A59)+E59</f>
        <v>0</v>
      </c>
      <c r="G59" s="78">
        <f>-SUMIFS('Diario Adm'!$E:$E,'Diario Adm'!$B:$B,G$7,'Diario Adm'!$C:$C,$A59)+F59</f>
        <v>0</v>
      </c>
      <c r="H59" s="78">
        <f>-SUMIFS('Diario Adm'!$E:$E,'Diario Adm'!$B:$B,H$7,'Diario Adm'!$C:$C,$A59)+G59</f>
        <v>0</v>
      </c>
      <c r="I59" s="78">
        <f>-SUMIFS('Diario Adm'!$E:$E,'Diario Adm'!$B:$B,I$7,'Diario Adm'!$C:$C,$A59)+H59</f>
        <v>0</v>
      </c>
      <c r="J59" s="78">
        <f>-SUMIFS('Diario Adm'!$E:$E,'Diario Adm'!$B:$B,J$7,'Diario Adm'!$C:$C,$A59)+I59</f>
        <v>0</v>
      </c>
      <c r="K59" s="78">
        <f>-SUMIFS('Diario Adm'!$E:$E,'Diario Adm'!$B:$B,K$7,'Diario Adm'!$C:$C,$A59)+J59</f>
        <v>0</v>
      </c>
      <c r="L59" s="78">
        <f>-SUMIFS('Diario Adm'!$E:$E,'Diario Adm'!$B:$B,L$7,'Diario Adm'!$C:$C,$A59)+K59</f>
        <v>0</v>
      </c>
      <c r="M59" s="78">
        <f>-SUMIFS('Diario Adm'!$E:$E,'Diario Adm'!$B:$B,M$7,'Diario Adm'!$C:$C,$A59)+L59</f>
        <v>0</v>
      </c>
      <c r="N59" s="78">
        <f>-SUMIFS('Diario Adm'!$E:$E,'Diario Adm'!$B:$B,N$7,'Diario Adm'!$C:$C,$A59)+M59</f>
        <v>0</v>
      </c>
    </row>
    <row r="60" spans="1:14" x14ac:dyDescent="0.25">
      <c r="B60" s="82" t="s">
        <v>37</v>
      </c>
      <c r="C60" s="330">
        <f t="shared" ref="C60:K60" si="6">SUM(C56:C59)</f>
        <v>-110838148</v>
      </c>
      <c r="D60" s="330">
        <f t="shared" si="6"/>
        <v>-114972047</v>
      </c>
      <c r="E60" s="330">
        <f t="shared" si="6"/>
        <v>-115534481</v>
      </c>
      <c r="F60" s="330">
        <f t="shared" si="6"/>
        <v>-116561548</v>
      </c>
      <c r="G60" s="330">
        <f t="shared" si="6"/>
        <v>-118320122</v>
      </c>
      <c r="H60" s="330">
        <f t="shared" si="6"/>
        <v>-121076124</v>
      </c>
      <c r="I60" s="330">
        <f t="shared" si="6"/>
        <v>-124664170</v>
      </c>
      <c r="J60" s="330">
        <f t="shared" si="6"/>
        <v>-127479405</v>
      </c>
      <c r="K60" s="330">
        <f t="shared" si="6"/>
        <v>-129388044</v>
      </c>
      <c r="L60" s="330">
        <f>SUM(L56:L59)</f>
        <v>-131304933</v>
      </c>
      <c r="M60" s="330">
        <f>SUM(M56:M59)</f>
        <v>-122465555</v>
      </c>
      <c r="N60" s="330">
        <f>SUM(N56:N59)</f>
        <v>-135335747</v>
      </c>
    </row>
    <row r="61" spans="1:14" x14ac:dyDescent="0.25">
      <c r="B61" s="80"/>
      <c r="C61" s="86"/>
      <c r="D61" s="80"/>
      <c r="E61" s="80"/>
      <c r="F61" s="86"/>
      <c r="G61" s="80"/>
      <c r="H61" s="80"/>
      <c r="I61" s="80"/>
      <c r="J61" s="134" t="s">
        <v>48</v>
      </c>
      <c r="K61" s="134" t="s">
        <v>48</v>
      </c>
      <c r="L61" s="134" t="s">
        <v>48</v>
      </c>
      <c r="M61" s="134" t="s">
        <v>48</v>
      </c>
      <c r="N61" s="134" t="s">
        <v>48</v>
      </c>
    </row>
    <row r="62" spans="1:14" x14ac:dyDescent="0.25">
      <c r="B62" s="88" t="s">
        <v>93</v>
      </c>
      <c r="C62" s="88">
        <f t="shared" ref="C62:J62" si="7">+C48+C53+C60</f>
        <v>14295627</v>
      </c>
      <c r="D62" s="88">
        <f t="shared" si="7"/>
        <v>12392892</v>
      </c>
      <c r="E62" s="88">
        <f t="shared" si="7"/>
        <v>12262894</v>
      </c>
      <c r="F62" s="88">
        <f t="shared" si="7"/>
        <v>14909921</v>
      </c>
      <c r="G62" s="88">
        <f t="shared" si="7"/>
        <v>14058187</v>
      </c>
      <c r="H62" s="88">
        <f t="shared" si="7"/>
        <v>11778774</v>
      </c>
      <c r="I62" s="88">
        <f t="shared" si="7"/>
        <v>9827205</v>
      </c>
      <c r="J62" s="88">
        <f t="shared" si="7"/>
        <v>12121126</v>
      </c>
      <c r="K62" s="88">
        <f>+K48+K53+K60</f>
        <v>12914554</v>
      </c>
      <c r="L62" s="88">
        <f>+L48+L53+L60</f>
        <v>10901938</v>
      </c>
      <c r="M62" s="88">
        <f>+M48+M53+M60</f>
        <v>18195841</v>
      </c>
      <c r="N62" s="88">
        <f>+N48+N53+N60</f>
        <v>7235316</v>
      </c>
    </row>
    <row r="63" spans="1:14" x14ac:dyDescent="0.25">
      <c r="B63" s="86"/>
      <c r="C63" s="86"/>
      <c r="D63" s="86"/>
      <c r="E63" s="86"/>
      <c r="F63" s="86"/>
      <c r="G63" s="86"/>
      <c r="H63" s="86"/>
      <c r="I63" s="86"/>
    </row>
    <row r="64" spans="1:14" x14ac:dyDescent="0.25">
      <c r="B64" s="86"/>
      <c r="C64" s="86">
        <f t="shared" ref="C64:N64" si="8">+C31-C62</f>
        <v>0</v>
      </c>
      <c r="D64" s="86">
        <f>+D31-D62</f>
        <v>0</v>
      </c>
      <c r="E64" s="86">
        <f>+E31-E62</f>
        <v>0</v>
      </c>
      <c r="F64" s="86">
        <f t="shared" si="8"/>
        <v>0</v>
      </c>
      <c r="G64" s="86">
        <f t="shared" si="8"/>
        <v>0</v>
      </c>
      <c r="H64" s="86">
        <f t="shared" si="8"/>
        <v>0</v>
      </c>
      <c r="I64" s="86">
        <f t="shared" si="8"/>
        <v>0</v>
      </c>
      <c r="J64" s="86">
        <f>+J31-J62</f>
        <v>0</v>
      </c>
      <c r="K64" s="86">
        <f>+K31-K62</f>
        <v>0</v>
      </c>
      <c r="L64" s="86">
        <f t="shared" si="8"/>
        <v>0</v>
      </c>
      <c r="M64" s="86">
        <f t="shared" si="8"/>
        <v>0</v>
      </c>
      <c r="N64" s="86">
        <f t="shared" si="8"/>
        <v>0</v>
      </c>
    </row>
    <row r="65" spans="2:14" x14ac:dyDescent="0.25">
      <c r="B65" s="86"/>
      <c r="C65" s="86"/>
      <c r="D65" s="86">
        <f>+C56-D56</f>
        <v>0</v>
      </c>
      <c r="E65" s="86">
        <f t="shared" ref="E65:N65" si="9">+D56-E56</f>
        <v>0</v>
      </c>
      <c r="F65" s="86">
        <f t="shared" si="9"/>
        <v>0</v>
      </c>
      <c r="G65" s="86">
        <f t="shared" si="9"/>
        <v>0</v>
      </c>
      <c r="H65" s="86">
        <f t="shared" si="9"/>
        <v>0</v>
      </c>
      <c r="I65" s="86">
        <f t="shared" si="9"/>
        <v>0</v>
      </c>
      <c r="J65" s="86">
        <f t="shared" si="9"/>
        <v>0</v>
      </c>
      <c r="K65" s="86">
        <f t="shared" si="9"/>
        <v>0</v>
      </c>
      <c r="L65" s="86">
        <f t="shared" si="9"/>
        <v>0</v>
      </c>
      <c r="M65" s="86">
        <f t="shared" si="9"/>
        <v>0</v>
      </c>
      <c r="N65" s="86">
        <f t="shared" si="9"/>
        <v>0</v>
      </c>
    </row>
    <row r="66" spans="2:14" x14ac:dyDescent="0.25">
      <c r="B66" s="86"/>
      <c r="C66" s="86"/>
      <c r="D66" s="86"/>
      <c r="E66" s="86"/>
      <c r="F66" s="86"/>
      <c r="G66" s="86"/>
      <c r="H66" s="86"/>
      <c r="I66" s="86"/>
    </row>
    <row r="67" spans="2:14" x14ac:dyDescent="0.25">
      <c r="B67" s="34" t="s">
        <v>126</v>
      </c>
      <c r="C67" s="86"/>
      <c r="D67" s="86">
        <v>0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</row>
    <row r="10780" spans="7:7" x14ac:dyDescent="0.25">
      <c r="G10780" s="34">
        <f>+F10779</f>
        <v>0</v>
      </c>
    </row>
    <row r="10794" spans="1:8" x14ac:dyDescent="0.25">
      <c r="H10794" s="34" t="s">
        <v>682</v>
      </c>
    </row>
    <row r="10797" spans="1:8" x14ac:dyDescent="0.25">
      <c r="A10797" s="34">
        <v>44168</v>
      </c>
      <c r="F10797" s="34">
        <v>38774</v>
      </c>
    </row>
    <row r="10800" spans="1:8" x14ac:dyDescent="0.25">
      <c r="A10800" s="34">
        <v>44168</v>
      </c>
      <c r="F10800" s="34">
        <v>280000</v>
      </c>
      <c r="H10800" s="34" t="s">
        <v>680</v>
      </c>
    </row>
    <row r="10803" spans="1:8" x14ac:dyDescent="0.25">
      <c r="A10803" s="34">
        <v>44168</v>
      </c>
      <c r="F10803" s="34">
        <v>60164</v>
      </c>
    </row>
    <row r="10806" spans="1:8" x14ac:dyDescent="0.25">
      <c r="A10806" s="34">
        <v>44168</v>
      </c>
    </row>
    <row r="10809" spans="1:8" x14ac:dyDescent="0.25">
      <c r="A10809" s="34">
        <v>44169</v>
      </c>
      <c r="F10809" s="34">
        <v>60000</v>
      </c>
      <c r="H10809" s="34" t="s">
        <v>673</v>
      </c>
    </row>
    <row r="10812" spans="1:8" x14ac:dyDescent="0.25">
      <c r="A10812" s="34">
        <v>44169</v>
      </c>
      <c r="F10812" s="34">
        <v>395000</v>
      </c>
      <c r="H10812" s="34" t="s">
        <v>680</v>
      </c>
    </row>
    <row r="10815" spans="1:8" x14ac:dyDescent="0.25">
      <c r="A10815" s="34">
        <v>44169</v>
      </c>
      <c r="F10815" s="34">
        <v>50000</v>
      </c>
      <c r="H10815" s="34" t="s">
        <v>683</v>
      </c>
    </row>
    <row r="10818" spans="1:8" x14ac:dyDescent="0.25">
      <c r="A10818" s="34">
        <v>44169</v>
      </c>
      <c r="F10818" s="34">
        <v>2591</v>
      </c>
    </row>
    <row r="10821" spans="1:8" x14ac:dyDescent="0.25">
      <c r="A10821" s="34">
        <v>44169</v>
      </c>
      <c r="F10821" s="34">
        <v>2245</v>
      </c>
    </row>
    <row r="10823" spans="1:8" x14ac:dyDescent="0.25">
      <c r="H10823" s="45"/>
    </row>
    <row r="10824" spans="1:8" x14ac:dyDescent="0.25">
      <c r="A10824" s="34">
        <v>44172</v>
      </c>
      <c r="F10824" s="34">
        <v>668800</v>
      </c>
      <c r="H10824" s="34" t="s">
        <v>684</v>
      </c>
    </row>
    <row r="10827" spans="1:8" x14ac:dyDescent="0.25">
      <c r="A10827" s="34">
        <v>44172</v>
      </c>
      <c r="F10827" s="34">
        <v>405000</v>
      </c>
      <c r="H10827" s="34" t="s">
        <v>685</v>
      </c>
    </row>
    <row r="10830" spans="1:8" x14ac:dyDescent="0.25">
      <c r="A10830" s="34">
        <v>44172</v>
      </c>
      <c r="F10830" s="34">
        <v>75000</v>
      </c>
      <c r="H10830" s="34" t="s">
        <v>686</v>
      </c>
    </row>
    <row r="10833" spans="1:8" x14ac:dyDescent="0.25">
      <c r="A10833" s="34">
        <v>44174</v>
      </c>
      <c r="F10833" s="34">
        <v>714000</v>
      </c>
      <c r="H10833" s="34" t="s">
        <v>687</v>
      </c>
    </row>
    <row r="10836" spans="1:8" x14ac:dyDescent="0.25">
      <c r="A10836" s="34">
        <v>44174</v>
      </c>
      <c r="F10836" s="34">
        <v>705000</v>
      </c>
      <c r="H10836" s="34" t="s">
        <v>679</v>
      </c>
    </row>
    <row r="10839" spans="1:8" x14ac:dyDescent="0.25">
      <c r="A10839" s="34">
        <v>44174</v>
      </c>
      <c r="F10839" s="34">
        <v>15000</v>
      </c>
      <c r="H10839" s="34" t="s">
        <v>688</v>
      </c>
    </row>
    <row r="10842" spans="1:8" x14ac:dyDescent="0.25">
      <c r="A10842" s="34">
        <v>44174</v>
      </c>
    </row>
    <row r="10845" spans="1:8" x14ac:dyDescent="0.25">
      <c r="A10845" s="34">
        <v>44174</v>
      </c>
      <c r="F10845" s="34">
        <v>56269</v>
      </c>
    </row>
    <row r="10848" spans="1:8" x14ac:dyDescent="0.25">
      <c r="A10848" s="34">
        <v>44174</v>
      </c>
      <c r="F10848" s="34">
        <v>1388</v>
      </c>
    </row>
    <row r="10851" spans="1:8" x14ac:dyDescent="0.25">
      <c r="A10851" s="34">
        <v>44174</v>
      </c>
      <c r="F10851" s="34">
        <v>1200000</v>
      </c>
      <c r="H10851" s="34" t="s">
        <v>689</v>
      </c>
    </row>
    <row r="10854" spans="1:8" x14ac:dyDescent="0.25">
      <c r="A10854" s="34">
        <v>44174</v>
      </c>
      <c r="F10854" s="34">
        <v>30000</v>
      </c>
      <c r="H10854" s="34" t="s">
        <v>690</v>
      </c>
    </row>
    <row r="10857" spans="1:8" x14ac:dyDescent="0.25">
      <c r="A10857" s="34">
        <v>44175</v>
      </c>
      <c r="F10857" s="34">
        <v>40000</v>
      </c>
      <c r="H10857" s="34" t="s">
        <v>676</v>
      </c>
    </row>
    <row r="10860" spans="1:8" x14ac:dyDescent="0.25">
      <c r="A10860" s="34">
        <v>44175</v>
      </c>
      <c r="F10860" s="34">
        <v>20000</v>
      </c>
      <c r="H10860" s="34" t="s">
        <v>691</v>
      </c>
    </row>
    <row r="10861" spans="1:8" x14ac:dyDescent="0.25">
      <c r="C10861" s="34">
        <v>3350</v>
      </c>
    </row>
    <row r="10863" spans="1:8" x14ac:dyDescent="0.25">
      <c r="A10863" s="34">
        <v>44175</v>
      </c>
      <c r="F10863" s="34">
        <v>610024</v>
      </c>
      <c r="H10863" s="34" t="s">
        <v>681</v>
      </c>
    </row>
    <row r="10866" spans="1:8" x14ac:dyDescent="0.25">
      <c r="A10866" s="34">
        <v>44175</v>
      </c>
      <c r="F10866" s="34">
        <v>20000</v>
      </c>
      <c r="H10866" s="34" t="s">
        <v>692</v>
      </c>
    </row>
    <row r="10869" spans="1:8" x14ac:dyDescent="0.25">
      <c r="A10869" s="34">
        <v>44175</v>
      </c>
      <c r="F10869" s="34">
        <v>10000</v>
      </c>
      <c r="H10869" s="34" t="s">
        <v>693</v>
      </c>
    </row>
    <row r="10872" spans="1:8" x14ac:dyDescent="0.25">
      <c r="A10872" s="34">
        <v>44175</v>
      </c>
      <c r="F10872" s="34">
        <v>5000</v>
      </c>
      <c r="H10872" s="34" t="s">
        <v>694</v>
      </c>
    </row>
    <row r="10875" spans="1:8" x14ac:dyDescent="0.25">
      <c r="A10875" s="34">
        <v>44175</v>
      </c>
      <c r="F10875" s="34">
        <v>25000</v>
      </c>
      <c r="H10875" s="34" t="s">
        <v>695</v>
      </c>
    </row>
    <row r="10878" spans="1:8" x14ac:dyDescent="0.25">
      <c r="A10878" s="34">
        <v>44176</v>
      </c>
      <c r="F10878" s="34">
        <v>155000</v>
      </c>
      <c r="H10878" s="34" t="s">
        <v>696</v>
      </c>
    </row>
    <row r="10881" spans="1:8" x14ac:dyDescent="0.25">
      <c r="A10881" s="34">
        <v>44176</v>
      </c>
      <c r="F10881" s="34">
        <v>20000</v>
      </c>
      <c r="H10881" s="34" t="s">
        <v>691</v>
      </c>
    </row>
    <row r="10882" spans="1:8" x14ac:dyDescent="0.25">
      <c r="C10882" s="34">
        <v>3350</v>
      </c>
    </row>
    <row r="10884" spans="1:8" x14ac:dyDescent="0.25">
      <c r="A10884" s="34">
        <v>44180</v>
      </c>
      <c r="F10884" s="34">
        <v>5000</v>
      </c>
      <c r="H10884" s="34" t="s">
        <v>674</v>
      </c>
    </row>
    <row r="10887" spans="1:8" x14ac:dyDescent="0.25">
      <c r="A10887" s="34">
        <v>44180</v>
      </c>
    </row>
    <row r="10890" spans="1:8" x14ac:dyDescent="0.25">
      <c r="A10890" s="34">
        <v>44180</v>
      </c>
      <c r="F10890" s="34">
        <v>40000</v>
      </c>
      <c r="H10890" s="34" t="s">
        <v>697</v>
      </c>
    </row>
    <row r="10891" spans="1:8" x14ac:dyDescent="0.25">
      <c r="C10891" s="34">
        <v>3350</v>
      </c>
    </row>
    <row r="10893" spans="1:8" x14ac:dyDescent="0.25">
      <c r="A10893" s="34">
        <v>44180</v>
      </c>
      <c r="F10893" s="34">
        <v>415000</v>
      </c>
      <c r="H10893" s="34" t="s">
        <v>698</v>
      </c>
    </row>
    <row r="10896" spans="1:8" x14ac:dyDescent="0.25">
      <c r="A10896" s="34">
        <v>44180</v>
      </c>
      <c r="F10896" s="34">
        <v>42394</v>
      </c>
    </row>
    <row r="10899" spans="1:8" x14ac:dyDescent="0.25">
      <c r="A10899" s="34">
        <v>44181</v>
      </c>
      <c r="F10899" s="34">
        <v>40000</v>
      </c>
      <c r="H10899" s="34" t="s">
        <v>674</v>
      </c>
    </row>
    <row r="10902" spans="1:8" x14ac:dyDescent="0.25">
      <c r="A10902" s="34">
        <v>44181</v>
      </c>
      <c r="F10902" s="34">
        <v>20000</v>
      </c>
      <c r="H10902" s="34" t="s">
        <v>678</v>
      </c>
    </row>
    <row r="10905" spans="1:8" x14ac:dyDescent="0.25">
      <c r="A10905" s="34">
        <v>44181</v>
      </c>
      <c r="C10905" s="34">
        <v>4210</v>
      </c>
      <c r="F10905" s="34">
        <v>100000</v>
      </c>
    </row>
  </sheetData>
  <mergeCells count="3">
    <mergeCell ref="B1:N1"/>
    <mergeCell ref="B3:N3"/>
    <mergeCell ref="B2:N2"/>
  </mergeCells>
  <phoneticPr fontId="6" type="noConversion"/>
  <printOptions horizontalCentered="1" verticalCentered="1"/>
  <pageMargins left="0" right="0" top="0.39370078740157483" bottom="0.39370078740157483" header="0" footer="0"/>
  <pageSetup scale="75" orientation="landscape" horizontalDpi="1200" verticalDpi="1200" r:id="rId1"/>
  <headerFooter alignWithMargins="0">
    <oddFooter>&amp;L&amp;F&amp;R&amp;A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3:P31"/>
  <sheetViews>
    <sheetView topLeftCell="B1" zoomScale="70" zoomScaleNormal="70" workbookViewId="0">
      <selection activeCell="B6" sqref="A6:XFD29"/>
    </sheetView>
  </sheetViews>
  <sheetFormatPr baseColWidth="10" defaultRowHeight="15.65" x14ac:dyDescent="0.25"/>
  <cols>
    <col min="1" max="1" width="15.296875" bestFit="1" customWidth="1"/>
    <col min="2" max="2" width="37" bestFit="1" customWidth="1"/>
    <col min="3" max="3" width="45.8984375" bestFit="1" customWidth="1"/>
    <col min="4" max="15" width="11.3984375" bestFit="1" customWidth="1"/>
    <col min="16" max="16" width="12.8984375" bestFit="1" customWidth="1"/>
  </cols>
  <sheetData>
    <row r="3" spans="1:16" x14ac:dyDescent="0.25">
      <c r="A3" s="410" t="s">
        <v>1130</v>
      </c>
      <c r="D3" s="410" t="s">
        <v>112</v>
      </c>
    </row>
    <row r="4" spans="1:16" x14ac:dyDescent="0.25">
      <c r="A4" s="410" t="s">
        <v>124</v>
      </c>
      <c r="B4" s="410" t="s">
        <v>113</v>
      </c>
      <c r="C4" s="410" t="s">
        <v>116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 t="s">
        <v>409</v>
      </c>
    </row>
    <row r="5" spans="1:16" x14ac:dyDescent="0.25">
      <c r="A5">
        <v>228</v>
      </c>
      <c r="B5" t="s">
        <v>702</v>
      </c>
      <c r="C5" t="s">
        <v>861</v>
      </c>
      <c r="D5" s="264">
        <v>0</v>
      </c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>
        <v>0</v>
      </c>
    </row>
    <row r="6" spans="1:16" x14ac:dyDescent="0.25">
      <c r="C6" t="s">
        <v>699</v>
      </c>
      <c r="D6" s="264">
        <v>-4215334</v>
      </c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>
        <v>-4215334</v>
      </c>
    </row>
    <row r="7" spans="1:16" x14ac:dyDescent="0.25">
      <c r="C7" t="s">
        <v>863</v>
      </c>
      <c r="D7" s="264">
        <v>128167387</v>
      </c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>
        <v>128167387</v>
      </c>
    </row>
    <row r="8" spans="1:16" x14ac:dyDescent="0.25">
      <c r="C8" t="s">
        <v>1075</v>
      </c>
      <c r="D8" s="264"/>
      <c r="E8" s="264">
        <v>147386718</v>
      </c>
      <c r="F8" s="264">
        <v>97318449</v>
      </c>
      <c r="G8" s="264"/>
      <c r="H8" s="264"/>
      <c r="I8" s="264"/>
      <c r="J8" s="264"/>
      <c r="K8" s="264"/>
      <c r="L8" s="264"/>
      <c r="M8" s="264"/>
      <c r="N8" s="264"/>
      <c r="O8" s="264"/>
      <c r="P8" s="264">
        <v>244705167</v>
      </c>
    </row>
    <row r="9" spans="1:16" x14ac:dyDescent="0.25">
      <c r="C9" t="s">
        <v>1244</v>
      </c>
      <c r="D9" s="264"/>
      <c r="E9" s="264"/>
      <c r="F9" s="264">
        <v>4222126</v>
      </c>
      <c r="G9" s="264"/>
      <c r="H9" s="264"/>
      <c r="I9" s="264"/>
      <c r="J9" s="264"/>
      <c r="K9" s="264"/>
      <c r="L9" s="264"/>
      <c r="M9" s="264"/>
      <c r="N9" s="264"/>
      <c r="O9" s="264"/>
      <c r="P9" s="264">
        <v>4222126</v>
      </c>
    </row>
    <row r="10" spans="1:16" x14ac:dyDescent="0.25">
      <c r="C10" t="s">
        <v>1245</v>
      </c>
      <c r="D10" s="264"/>
      <c r="E10" s="264"/>
      <c r="F10" s="264">
        <v>0</v>
      </c>
      <c r="G10" s="264"/>
      <c r="H10" s="264"/>
      <c r="I10" s="264"/>
      <c r="J10" s="264"/>
      <c r="K10" s="264"/>
      <c r="L10" s="264"/>
      <c r="M10" s="264"/>
      <c r="N10" s="264"/>
      <c r="O10" s="264"/>
      <c r="P10" s="264">
        <v>0</v>
      </c>
    </row>
    <row r="11" spans="1:16" x14ac:dyDescent="0.25">
      <c r="C11" t="s">
        <v>589</v>
      </c>
      <c r="D11" s="264">
        <v>-128167387</v>
      </c>
      <c r="E11" s="264">
        <v>-147386718</v>
      </c>
      <c r="F11" s="264">
        <v>-97318449</v>
      </c>
      <c r="G11" s="264">
        <v>-147352308</v>
      </c>
      <c r="H11" s="264">
        <v>-178844764</v>
      </c>
      <c r="I11" s="264">
        <v>-199334343</v>
      </c>
      <c r="J11" s="264">
        <v>-122724442</v>
      </c>
      <c r="K11" s="264"/>
      <c r="L11" s="264"/>
      <c r="M11" s="264"/>
      <c r="N11" s="264"/>
      <c r="O11" s="264"/>
      <c r="P11" s="264">
        <v>-1021128411</v>
      </c>
    </row>
    <row r="12" spans="1:16" x14ac:dyDescent="0.25">
      <c r="C12" t="s">
        <v>1285</v>
      </c>
      <c r="D12" s="264">
        <v>4215334</v>
      </c>
      <c r="E12" s="264"/>
      <c r="F12" s="264"/>
      <c r="G12" s="264"/>
      <c r="H12" s="264"/>
      <c r="I12" s="264"/>
      <c r="J12" s="264"/>
      <c r="K12" s="264"/>
      <c r="L12" s="264"/>
      <c r="M12" s="264"/>
      <c r="N12" s="264"/>
      <c r="O12" s="264"/>
      <c r="P12" s="264">
        <v>4215334</v>
      </c>
    </row>
    <row r="13" spans="1:16" x14ac:dyDescent="0.25">
      <c r="C13" t="s">
        <v>1286</v>
      </c>
      <c r="D13" s="264"/>
      <c r="E13" s="264">
        <v>-4222126</v>
      </c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>
        <v>-4222126</v>
      </c>
    </row>
    <row r="14" spans="1:16" x14ac:dyDescent="0.25">
      <c r="C14" t="s">
        <v>1710</v>
      </c>
      <c r="D14" s="264"/>
      <c r="E14" s="264"/>
      <c r="F14" s="264"/>
      <c r="G14" s="264">
        <v>147352308</v>
      </c>
      <c r="H14" s="264"/>
      <c r="I14" s="264"/>
      <c r="J14" s="264"/>
      <c r="K14" s="264"/>
      <c r="L14" s="264"/>
      <c r="M14" s="264"/>
      <c r="N14" s="264"/>
      <c r="O14" s="264"/>
      <c r="P14" s="264">
        <v>147352308</v>
      </c>
    </row>
    <row r="15" spans="1:16" x14ac:dyDescent="0.25">
      <c r="C15" t="s">
        <v>1751</v>
      </c>
      <c r="D15" s="264"/>
      <c r="E15" s="264"/>
      <c r="F15" s="264"/>
      <c r="G15" s="264"/>
      <c r="H15" s="264">
        <v>178844764</v>
      </c>
      <c r="I15" s="264"/>
      <c r="J15" s="264"/>
      <c r="K15" s="264"/>
      <c r="L15" s="264"/>
      <c r="M15" s="264"/>
      <c r="N15" s="264"/>
      <c r="O15" s="264"/>
      <c r="P15" s="264">
        <v>178844764</v>
      </c>
    </row>
    <row r="16" spans="1:16" x14ac:dyDescent="0.25">
      <c r="C16" t="s">
        <v>1752</v>
      </c>
      <c r="D16" s="264"/>
      <c r="E16" s="264"/>
      <c r="F16" s="264"/>
      <c r="G16" s="264"/>
      <c r="H16" s="264">
        <v>0</v>
      </c>
      <c r="I16" s="264"/>
      <c r="J16" s="264"/>
      <c r="K16" s="264"/>
      <c r="L16" s="264"/>
      <c r="M16" s="264"/>
      <c r="N16" s="264"/>
      <c r="O16" s="264"/>
      <c r="P16" s="264">
        <v>0</v>
      </c>
    </row>
    <row r="17" spans="1:16" x14ac:dyDescent="0.25">
      <c r="C17" t="s">
        <v>1784</v>
      </c>
      <c r="D17" s="264"/>
      <c r="E17" s="264"/>
      <c r="F17" s="264"/>
      <c r="G17" s="264"/>
      <c r="H17" s="264"/>
      <c r="I17" s="264">
        <v>199334119</v>
      </c>
      <c r="J17" s="264">
        <v>122724442</v>
      </c>
      <c r="K17" s="264"/>
      <c r="L17" s="264"/>
      <c r="M17" s="264"/>
      <c r="N17" s="264"/>
      <c r="O17" s="264"/>
      <c r="P17" s="264">
        <v>322058561</v>
      </c>
    </row>
    <row r="18" spans="1:16" x14ac:dyDescent="0.25">
      <c r="C18" t="s">
        <v>1785</v>
      </c>
      <c r="D18" s="264"/>
      <c r="E18" s="264"/>
      <c r="F18" s="264"/>
      <c r="G18" s="264"/>
      <c r="H18" s="264"/>
      <c r="I18" s="264">
        <v>0</v>
      </c>
      <c r="J18" s="264"/>
      <c r="K18" s="264"/>
      <c r="L18" s="264"/>
      <c r="M18" s="264"/>
      <c r="N18" s="264"/>
      <c r="O18" s="264"/>
      <c r="P18" s="264">
        <v>0</v>
      </c>
    </row>
    <row r="19" spans="1:16" x14ac:dyDescent="0.25">
      <c r="C19" t="s">
        <v>2015</v>
      </c>
      <c r="D19" s="264"/>
      <c r="E19" s="264"/>
      <c r="F19" s="264"/>
      <c r="G19" s="264"/>
      <c r="H19" s="264"/>
      <c r="I19" s="264"/>
      <c r="J19" s="264"/>
      <c r="K19" s="264">
        <v>105882024</v>
      </c>
      <c r="L19" s="264"/>
      <c r="M19" s="264"/>
      <c r="N19" s="264"/>
      <c r="O19" s="264"/>
      <c r="P19" s="264">
        <v>105882024</v>
      </c>
    </row>
    <row r="20" spans="1:16" x14ac:dyDescent="0.25">
      <c r="C20" t="s">
        <v>2020</v>
      </c>
      <c r="D20" s="264"/>
      <c r="E20" s="264"/>
      <c r="F20" s="264"/>
      <c r="G20" s="264"/>
      <c r="H20" s="264"/>
      <c r="I20" s="264"/>
      <c r="J20" s="264"/>
      <c r="K20" s="264">
        <v>224</v>
      </c>
      <c r="L20" s="264"/>
      <c r="M20" s="264"/>
      <c r="N20" s="264"/>
      <c r="O20" s="264"/>
      <c r="P20" s="264">
        <v>224</v>
      </c>
    </row>
    <row r="21" spans="1:16" x14ac:dyDescent="0.25">
      <c r="C21" t="s">
        <v>2098</v>
      </c>
      <c r="D21" s="264"/>
      <c r="E21" s="264"/>
      <c r="F21" s="264"/>
      <c r="G21" s="264"/>
      <c r="H21" s="264"/>
      <c r="I21" s="264"/>
      <c r="J21" s="264"/>
      <c r="K21" s="264"/>
      <c r="L21" s="264">
        <v>222463036</v>
      </c>
      <c r="M21" s="264"/>
      <c r="N21" s="264"/>
      <c r="O21" s="264"/>
      <c r="P21" s="264">
        <v>222463036</v>
      </c>
    </row>
    <row r="22" spans="1:16" x14ac:dyDescent="0.25">
      <c r="C22" t="s">
        <v>2101</v>
      </c>
      <c r="D22" s="264"/>
      <c r="E22" s="264"/>
      <c r="F22" s="264"/>
      <c r="G22" s="264"/>
      <c r="H22" s="264"/>
      <c r="I22" s="264"/>
      <c r="J22" s="264"/>
      <c r="K22" s="264"/>
      <c r="L22" s="264">
        <v>-222463036</v>
      </c>
      <c r="M22" s="264"/>
      <c r="N22" s="264"/>
      <c r="O22" s="264"/>
      <c r="P22" s="264">
        <v>-222463036</v>
      </c>
    </row>
    <row r="23" spans="1:16" x14ac:dyDescent="0.25">
      <c r="C23" t="s">
        <v>2105</v>
      </c>
      <c r="D23" s="264"/>
      <c r="E23" s="264"/>
      <c r="F23" s="264"/>
      <c r="G23" s="264"/>
      <c r="H23" s="264"/>
      <c r="I23" s="264"/>
      <c r="J23" s="264"/>
      <c r="K23" s="264">
        <v>-105882024</v>
      </c>
      <c r="L23" s="264"/>
      <c r="M23" s="264"/>
      <c r="N23" s="264"/>
      <c r="O23" s="264"/>
      <c r="P23" s="264">
        <v>-105882024</v>
      </c>
    </row>
    <row r="24" spans="1:16" x14ac:dyDescent="0.25">
      <c r="C24" t="s">
        <v>2183</v>
      </c>
      <c r="D24" s="264"/>
      <c r="E24" s="264"/>
      <c r="F24" s="264"/>
      <c r="G24" s="264"/>
      <c r="H24" s="264"/>
      <c r="I24" s="264"/>
      <c r="J24" s="264"/>
      <c r="K24" s="264"/>
      <c r="L24" s="264"/>
      <c r="M24" s="264">
        <v>50248964</v>
      </c>
      <c r="N24" s="264"/>
      <c r="O24" s="264"/>
      <c r="P24" s="264">
        <v>50248964</v>
      </c>
    </row>
    <row r="25" spans="1:16" x14ac:dyDescent="0.25">
      <c r="C25" t="s">
        <v>2187</v>
      </c>
      <c r="D25" s="264"/>
      <c r="E25" s="264"/>
      <c r="F25" s="264"/>
      <c r="G25" s="264"/>
      <c r="H25" s="264"/>
      <c r="I25" s="264"/>
      <c r="J25" s="264"/>
      <c r="K25" s="264"/>
      <c r="L25" s="264"/>
      <c r="M25" s="264">
        <v>-50248964</v>
      </c>
      <c r="N25" s="264"/>
      <c r="O25" s="264"/>
      <c r="P25" s="264">
        <v>-50248964</v>
      </c>
    </row>
    <row r="26" spans="1:16" x14ac:dyDescent="0.25">
      <c r="C26" t="s">
        <v>2354</v>
      </c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>
        <v>106523067</v>
      </c>
      <c r="O26" s="264"/>
      <c r="P26" s="264">
        <v>106523067</v>
      </c>
    </row>
    <row r="27" spans="1:16" x14ac:dyDescent="0.25">
      <c r="C27" t="s">
        <v>2364</v>
      </c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>
        <v>-106523067</v>
      </c>
      <c r="O27" s="264"/>
      <c r="P27" s="264">
        <v>-106523067</v>
      </c>
    </row>
    <row r="28" spans="1:16" x14ac:dyDescent="0.25">
      <c r="C28" t="s">
        <v>2404</v>
      </c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>
        <v>163057739</v>
      </c>
      <c r="P28" s="264">
        <v>163057739</v>
      </c>
    </row>
    <row r="29" spans="1:16" x14ac:dyDescent="0.25">
      <c r="C29" t="s">
        <v>2523</v>
      </c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4"/>
      <c r="O29" s="264">
        <v>-163057739</v>
      </c>
      <c r="P29" s="264">
        <v>-163057739</v>
      </c>
    </row>
    <row r="30" spans="1:16" x14ac:dyDescent="0.25">
      <c r="A30" t="s">
        <v>1283</v>
      </c>
      <c r="D30" s="264">
        <v>0</v>
      </c>
      <c r="E30" s="264">
        <v>-4222126</v>
      </c>
      <c r="F30" s="264">
        <v>4222126</v>
      </c>
      <c r="G30" s="264">
        <v>0</v>
      </c>
      <c r="H30" s="264">
        <v>0</v>
      </c>
      <c r="I30" s="264">
        <v>-224</v>
      </c>
      <c r="J30" s="264">
        <v>0</v>
      </c>
      <c r="K30" s="264">
        <v>224</v>
      </c>
      <c r="L30" s="264">
        <v>0</v>
      </c>
      <c r="M30" s="264">
        <v>0</v>
      </c>
      <c r="N30" s="264">
        <v>0</v>
      </c>
      <c r="O30" s="264">
        <v>0</v>
      </c>
      <c r="P30" s="264">
        <v>0</v>
      </c>
    </row>
    <row r="31" spans="1:16" x14ac:dyDescent="0.25">
      <c r="A31" t="s">
        <v>409</v>
      </c>
      <c r="D31" s="264">
        <v>0</v>
      </c>
      <c r="E31" s="264">
        <v>-4222126</v>
      </c>
      <c r="F31" s="264">
        <v>4222126</v>
      </c>
      <c r="G31" s="264">
        <v>0</v>
      </c>
      <c r="H31" s="264">
        <v>0</v>
      </c>
      <c r="I31" s="264">
        <v>-224</v>
      </c>
      <c r="J31" s="264">
        <v>0</v>
      </c>
      <c r="K31" s="264">
        <v>224</v>
      </c>
      <c r="L31" s="264">
        <v>0</v>
      </c>
      <c r="M31" s="264">
        <v>0</v>
      </c>
      <c r="N31" s="264">
        <v>0</v>
      </c>
      <c r="O31" s="264">
        <v>0</v>
      </c>
      <c r="P31" s="264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</sheetPr>
  <dimension ref="A1:N10802"/>
  <sheetViews>
    <sheetView tabSelected="1" zoomScale="85" zoomScaleNormal="85" workbookViewId="0">
      <pane ySplit="1" topLeftCell="A5979" activePane="bottomLeft" state="frozen"/>
      <selection pane="bottomLeft" activeCell="A5984" sqref="A5984:I5988"/>
    </sheetView>
  </sheetViews>
  <sheetFormatPr baseColWidth="10" defaultColWidth="10.8984375" defaultRowHeight="15.65" x14ac:dyDescent="0.25"/>
  <cols>
    <col min="1" max="1" width="11.3984375" style="339" customWidth="1"/>
    <col min="2" max="2" width="3.3984375" style="340" customWidth="1"/>
    <col min="3" max="3" width="7.09765625" style="338" customWidth="1"/>
    <col min="4" max="4" width="39.296875" style="340" bestFit="1" customWidth="1"/>
    <col min="5" max="5" width="13.59765625" style="341" bestFit="1" customWidth="1"/>
    <col min="6" max="6" width="17" style="345" customWidth="1"/>
    <col min="7" max="7" width="14.796875" style="345" customWidth="1"/>
    <col min="8" max="8" width="41.796875" style="338" customWidth="1"/>
    <col min="9" max="9" width="12.796875" style="340" bestFit="1" customWidth="1"/>
    <col min="10" max="10" width="12.796875" style="340" customWidth="1"/>
    <col min="11" max="11" width="47.59765625" style="209" bestFit="1" customWidth="1"/>
    <col min="12" max="12" width="10.3984375" style="340" bestFit="1" customWidth="1"/>
    <col min="13" max="13" width="10.796875" style="338" customWidth="1"/>
    <col min="14" max="14" width="34.3984375" bestFit="1" customWidth="1"/>
    <col min="15" max="15" width="35.59765625" style="338" bestFit="1" customWidth="1"/>
    <col min="16" max="16384" width="10.8984375" style="338"/>
  </cols>
  <sheetData>
    <row r="1" spans="1:14" x14ac:dyDescent="0.25">
      <c r="A1" s="336" t="s">
        <v>111</v>
      </c>
      <c r="B1" s="336" t="s">
        <v>112</v>
      </c>
      <c r="C1" s="336" t="s">
        <v>124</v>
      </c>
      <c r="D1" s="336" t="s">
        <v>113</v>
      </c>
      <c r="E1" s="337" t="s">
        <v>298</v>
      </c>
      <c r="F1" s="337" t="s">
        <v>114</v>
      </c>
      <c r="G1" s="337" t="s">
        <v>115</v>
      </c>
      <c r="H1" s="336" t="s">
        <v>116</v>
      </c>
      <c r="I1" s="336" t="s">
        <v>297</v>
      </c>
      <c r="J1" s="336" t="s">
        <v>573</v>
      </c>
      <c r="K1" s="363" t="s">
        <v>612</v>
      </c>
      <c r="L1" s="336" t="s">
        <v>609</v>
      </c>
      <c r="M1" s="336" t="s">
        <v>624</v>
      </c>
      <c r="N1" s="363" t="s">
        <v>448</v>
      </c>
    </row>
    <row r="2" spans="1:14" ht="14.95" customHeight="1" x14ac:dyDescent="0.25">
      <c r="A2" s="339">
        <v>44197</v>
      </c>
      <c r="B2" s="340">
        <v>1</v>
      </c>
      <c r="C2">
        <v>115</v>
      </c>
      <c r="D2" s="159" t="s">
        <v>256</v>
      </c>
      <c r="E2" s="341">
        <f t="shared" ref="E2:E24" si="0">+F2-G2</f>
        <v>12855633</v>
      </c>
      <c r="F2" s="342">
        <f>12855940-307</f>
        <v>12855633</v>
      </c>
      <c r="G2" s="338">
        <v>0</v>
      </c>
      <c r="H2" s="343" t="s">
        <v>725</v>
      </c>
      <c r="I2" s="401" t="s">
        <v>131</v>
      </c>
      <c r="J2" s="401"/>
      <c r="K2" s="208"/>
      <c r="L2" s="401"/>
    </row>
    <row r="3" spans="1:14" ht="14.95" customHeight="1" x14ac:dyDescent="0.25">
      <c r="A3" s="339">
        <v>44197</v>
      </c>
      <c r="B3" s="340">
        <v>1</v>
      </c>
      <c r="C3">
        <v>116</v>
      </c>
      <c r="D3" s="159" t="s">
        <v>464</v>
      </c>
      <c r="E3" s="341">
        <f t="shared" si="0"/>
        <v>2243143</v>
      </c>
      <c r="F3" s="342">
        <v>2243143</v>
      </c>
      <c r="G3" s="338">
        <v>0</v>
      </c>
      <c r="H3" s="343" t="s">
        <v>725</v>
      </c>
      <c r="I3" s="401" t="s">
        <v>131</v>
      </c>
      <c r="J3" s="401"/>
      <c r="K3" s="208"/>
      <c r="L3" s="401"/>
    </row>
    <row r="4" spans="1:14" ht="14.95" customHeight="1" x14ac:dyDescent="0.25">
      <c r="A4" s="339">
        <v>44197</v>
      </c>
      <c r="B4" s="340">
        <v>1</v>
      </c>
      <c r="C4">
        <v>118</v>
      </c>
      <c r="D4" s="159" t="s">
        <v>463</v>
      </c>
      <c r="E4" s="341">
        <f t="shared" si="0"/>
        <v>1039317900</v>
      </c>
      <c r="F4" s="342">
        <v>1039317900</v>
      </c>
      <c r="G4" s="338">
        <v>0</v>
      </c>
      <c r="H4" s="343" t="s">
        <v>725</v>
      </c>
      <c r="I4" s="401" t="s">
        <v>131</v>
      </c>
      <c r="J4" s="401"/>
      <c r="K4" s="208"/>
      <c r="L4" s="401"/>
    </row>
    <row r="5" spans="1:14" ht="14.95" customHeight="1" x14ac:dyDescent="0.25">
      <c r="A5" s="339">
        <v>44197</v>
      </c>
      <c r="B5" s="340">
        <v>1</v>
      </c>
      <c r="C5">
        <v>119</v>
      </c>
      <c r="D5" s="159" t="s">
        <v>724</v>
      </c>
      <c r="E5" s="341">
        <f t="shared" si="0"/>
        <v>418001289</v>
      </c>
      <c r="F5" s="342">
        <v>418001289</v>
      </c>
      <c r="G5" s="338">
        <v>0</v>
      </c>
      <c r="H5" s="343" t="s">
        <v>725</v>
      </c>
      <c r="I5" s="401" t="s">
        <v>131</v>
      </c>
      <c r="J5" s="401"/>
      <c r="K5" s="208"/>
      <c r="L5" s="401"/>
    </row>
    <row r="6" spans="1:14" ht="14.95" customHeight="1" x14ac:dyDescent="0.25">
      <c r="A6" s="339">
        <v>44197</v>
      </c>
      <c r="B6" s="340">
        <v>1</v>
      </c>
      <c r="C6">
        <v>1130</v>
      </c>
      <c r="D6" s="159" t="s">
        <v>248</v>
      </c>
      <c r="E6" s="341">
        <f t="shared" si="0"/>
        <v>166000</v>
      </c>
      <c r="F6" s="342">
        <v>166000</v>
      </c>
      <c r="G6" s="338">
        <v>0</v>
      </c>
      <c r="H6" s="343" t="s">
        <v>725</v>
      </c>
      <c r="I6" s="401" t="s">
        <v>131</v>
      </c>
      <c r="J6" s="401"/>
      <c r="K6" s="208"/>
      <c r="L6" s="401"/>
      <c r="M6" s="344"/>
    </row>
    <row r="7" spans="1:14" ht="14.95" customHeight="1" x14ac:dyDescent="0.25">
      <c r="A7" s="339">
        <v>44197</v>
      </c>
      <c r="B7" s="340">
        <v>1</v>
      </c>
      <c r="C7" s="399">
        <v>1218</v>
      </c>
      <c r="D7" s="400" t="s">
        <v>250</v>
      </c>
      <c r="E7" s="341">
        <f t="shared" si="0"/>
        <v>8846511</v>
      </c>
      <c r="F7" s="342">
        <v>8846511</v>
      </c>
      <c r="G7" s="338">
        <v>0</v>
      </c>
      <c r="H7" s="343" t="s">
        <v>725</v>
      </c>
      <c r="I7" s="401" t="s">
        <v>131</v>
      </c>
      <c r="J7" s="401"/>
      <c r="K7" s="208"/>
      <c r="L7" s="401"/>
    </row>
    <row r="8" spans="1:14" ht="14.95" customHeight="1" x14ac:dyDescent="0.25">
      <c r="A8" s="339">
        <v>44197</v>
      </c>
      <c r="B8" s="340">
        <v>1</v>
      </c>
      <c r="C8">
        <v>133</v>
      </c>
      <c r="D8" s="159" t="s">
        <v>394</v>
      </c>
      <c r="E8" s="341">
        <f t="shared" si="0"/>
        <v>3000000</v>
      </c>
      <c r="F8" s="346">
        <v>3000000</v>
      </c>
      <c r="G8" s="346">
        <v>0</v>
      </c>
      <c r="H8" s="343" t="s">
        <v>725</v>
      </c>
      <c r="I8" s="401" t="s">
        <v>131</v>
      </c>
      <c r="J8" s="401"/>
      <c r="K8" s="208"/>
      <c r="L8" s="401"/>
      <c r="N8" t="str">
        <f>IF(M8&lt;&gt;"",VLOOKUP(M8,Plan!F:G,2,0),"")</f>
        <v/>
      </c>
    </row>
    <row r="9" spans="1:14" ht="14.95" customHeight="1" x14ac:dyDescent="0.25">
      <c r="A9" s="339">
        <v>44197</v>
      </c>
      <c r="B9" s="340">
        <v>1</v>
      </c>
      <c r="C9">
        <v>135</v>
      </c>
      <c r="D9" s="159" t="s">
        <v>117</v>
      </c>
      <c r="E9" s="341">
        <f t="shared" si="0"/>
        <v>45575499</v>
      </c>
      <c r="F9" s="346">
        <v>45575499</v>
      </c>
      <c r="G9" s="346">
        <v>0</v>
      </c>
      <c r="H9" s="343" t="s">
        <v>725</v>
      </c>
      <c r="I9" s="401" t="s">
        <v>131</v>
      </c>
      <c r="J9" s="401"/>
      <c r="K9" s="208"/>
      <c r="L9" s="401"/>
      <c r="N9" t="str">
        <f>IF(M9&lt;&gt;"",VLOOKUP(M9,Plan!F:G,2,0),"")</f>
        <v/>
      </c>
    </row>
    <row r="10" spans="1:14" ht="14.95" customHeight="1" x14ac:dyDescent="0.25">
      <c r="A10" s="339">
        <v>44197</v>
      </c>
      <c r="B10" s="340">
        <v>1</v>
      </c>
      <c r="C10">
        <v>136</v>
      </c>
      <c r="D10" s="159" t="s">
        <v>336</v>
      </c>
      <c r="E10" s="341">
        <f t="shared" si="0"/>
        <v>926724594</v>
      </c>
      <c r="F10" s="342">
        <v>926724594</v>
      </c>
      <c r="G10" s="342">
        <v>0</v>
      </c>
      <c r="H10" s="343" t="s">
        <v>725</v>
      </c>
      <c r="I10" s="401" t="s">
        <v>131</v>
      </c>
      <c r="J10" s="401"/>
      <c r="K10" s="208"/>
      <c r="L10" s="401"/>
      <c r="N10" t="str">
        <f>IF(M10&lt;&gt;"",VLOOKUP(M10,Plan!F:G,2,0),"")</f>
        <v/>
      </c>
    </row>
    <row r="11" spans="1:14" ht="14.95" customHeight="1" x14ac:dyDescent="0.25">
      <c r="A11" s="339">
        <v>44197</v>
      </c>
      <c r="B11" s="340">
        <v>1</v>
      </c>
      <c r="C11">
        <v>1361</v>
      </c>
      <c r="D11" s="159" t="s">
        <v>708</v>
      </c>
      <c r="E11" s="341">
        <f t="shared" si="0"/>
        <v>22540273</v>
      </c>
      <c r="F11" s="342">
        <v>22540273</v>
      </c>
      <c r="G11" s="342">
        <v>0</v>
      </c>
      <c r="H11" s="343" t="s">
        <v>725</v>
      </c>
      <c r="I11" s="401" t="s">
        <v>131</v>
      </c>
      <c r="J11" s="401"/>
      <c r="K11" s="208"/>
      <c r="L11" s="401"/>
      <c r="N11" t="str">
        <f>IF(M11&lt;&gt;"",VLOOKUP(M11,Plan!F:G,2,0),"")</f>
        <v/>
      </c>
    </row>
    <row r="12" spans="1:14" ht="14.95" customHeight="1" x14ac:dyDescent="0.25">
      <c r="A12" s="339">
        <v>44197</v>
      </c>
      <c r="B12" s="340">
        <v>1</v>
      </c>
      <c r="C12">
        <v>1362</v>
      </c>
      <c r="D12" s="159" t="s">
        <v>525</v>
      </c>
      <c r="E12" s="341">
        <f t="shared" si="0"/>
        <v>4836183</v>
      </c>
      <c r="F12" s="346">
        <v>4836183</v>
      </c>
      <c r="G12" s="346">
        <v>0</v>
      </c>
      <c r="H12" s="343" t="s">
        <v>725</v>
      </c>
      <c r="I12" s="401" t="s">
        <v>131</v>
      </c>
      <c r="J12" s="401"/>
      <c r="K12" s="208"/>
      <c r="L12" s="401"/>
      <c r="N12" t="str">
        <f>IF(M12&lt;&gt;"",VLOOKUP(M12,Plan!F:G,2,0),"")</f>
        <v/>
      </c>
    </row>
    <row r="13" spans="1:14" ht="14.95" customHeight="1" x14ac:dyDescent="0.25">
      <c r="A13" s="339">
        <v>44197</v>
      </c>
      <c r="B13" s="340">
        <v>1</v>
      </c>
      <c r="C13">
        <v>137</v>
      </c>
      <c r="D13" s="159" t="s">
        <v>610</v>
      </c>
      <c r="E13" s="341">
        <f t="shared" si="0"/>
        <v>420960472</v>
      </c>
      <c r="F13" s="342">
        <v>420960472</v>
      </c>
      <c r="G13" s="342">
        <v>0</v>
      </c>
      <c r="H13" s="343" t="s">
        <v>725</v>
      </c>
      <c r="I13" s="401" t="s">
        <v>131</v>
      </c>
      <c r="J13" s="401"/>
      <c r="K13" s="208"/>
      <c r="L13" s="401"/>
      <c r="N13" t="str">
        <f>IF(M13&lt;&gt;"",VLOOKUP(M13,Plan!F:G,2,0),"")</f>
        <v/>
      </c>
    </row>
    <row r="14" spans="1:14" ht="14.95" customHeight="1" x14ac:dyDescent="0.25">
      <c r="A14" s="339">
        <v>44197</v>
      </c>
      <c r="B14" s="340">
        <v>1</v>
      </c>
      <c r="C14">
        <v>138</v>
      </c>
      <c r="D14" s="159" t="s">
        <v>613</v>
      </c>
      <c r="E14" s="341">
        <f t="shared" si="0"/>
        <v>43145258</v>
      </c>
      <c r="F14" s="342">
        <v>43145258</v>
      </c>
      <c r="G14" s="342">
        <v>0</v>
      </c>
      <c r="H14" s="343" t="s">
        <v>725</v>
      </c>
      <c r="I14" s="401" t="s">
        <v>131</v>
      </c>
      <c r="J14" s="401"/>
      <c r="K14" s="208"/>
      <c r="L14" s="401"/>
      <c r="N14" t="str">
        <f>IF(M14&lt;&gt;"",VLOOKUP(M14,Plan!F:G,2,0),"")</f>
        <v/>
      </c>
    </row>
    <row r="15" spans="1:14" ht="14.95" customHeight="1" x14ac:dyDescent="0.25">
      <c r="A15" s="339">
        <v>44197</v>
      </c>
      <c r="B15" s="340">
        <v>1</v>
      </c>
      <c r="C15">
        <v>141</v>
      </c>
      <c r="D15" s="159" t="s">
        <v>378</v>
      </c>
      <c r="E15" s="341">
        <f t="shared" si="0"/>
        <v>110822645</v>
      </c>
      <c r="F15" s="342">
        <v>110822645</v>
      </c>
      <c r="G15" s="346">
        <v>0</v>
      </c>
      <c r="H15" s="343" t="s">
        <v>725</v>
      </c>
      <c r="I15" s="401" t="s">
        <v>131</v>
      </c>
      <c r="J15" s="401"/>
      <c r="K15" s="208"/>
      <c r="L15" s="401"/>
      <c r="N15" t="str">
        <f>IF(M15&lt;&gt;"",VLOOKUP(M15,Plan!F:G,2,0),"")</f>
        <v/>
      </c>
    </row>
    <row r="16" spans="1:14" ht="14.95" customHeight="1" x14ac:dyDescent="0.25">
      <c r="A16" s="339">
        <v>44197</v>
      </c>
      <c r="B16" s="340">
        <v>1</v>
      </c>
      <c r="C16" s="370">
        <v>201</v>
      </c>
      <c r="D16" s="395" t="s">
        <v>71</v>
      </c>
      <c r="E16" s="341">
        <f t="shared" si="0"/>
        <v>-183911</v>
      </c>
      <c r="F16" s="346">
        <v>0</v>
      </c>
      <c r="G16" s="346">
        <v>183911</v>
      </c>
      <c r="H16" s="343" t="s">
        <v>725</v>
      </c>
      <c r="I16" s="401" t="s">
        <v>131</v>
      </c>
      <c r="J16" s="401"/>
      <c r="K16" s="208"/>
      <c r="L16" s="401"/>
      <c r="N16" t="str">
        <f>IF(M16&lt;&gt;"",VLOOKUP(M16,Plan!F:G,2,0),"")</f>
        <v/>
      </c>
    </row>
    <row r="17" spans="1:14" ht="14.95" customHeight="1" x14ac:dyDescent="0.25">
      <c r="A17" s="339">
        <v>44197</v>
      </c>
      <c r="B17" s="340">
        <v>1</v>
      </c>
      <c r="C17" s="370">
        <v>202</v>
      </c>
      <c r="D17" s="395" t="s">
        <v>72</v>
      </c>
      <c r="E17" s="341">
        <f t="shared" si="0"/>
        <v>-3091523</v>
      </c>
      <c r="F17" s="342">
        <v>0</v>
      </c>
      <c r="G17" s="342">
        <v>3091523</v>
      </c>
      <c r="H17" s="343" t="s">
        <v>725</v>
      </c>
      <c r="I17" s="401" t="s">
        <v>131</v>
      </c>
      <c r="J17" s="401"/>
      <c r="K17" s="208"/>
      <c r="L17" s="401"/>
      <c r="N17" t="str">
        <f>IF(M17&lt;&gt;"",VLOOKUP(M17,Plan!F:G,2,0),"")</f>
        <v/>
      </c>
    </row>
    <row r="18" spans="1:14" ht="14.95" customHeight="1" x14ac:dyDescent="0.25">
      <c r="A18" s="339">
        <v>44197</v>
      </c>
      <c r="B18" s="340">
        <v>1</v>
      </c>
      <c r="C18" s="370">
        <v>203</v>
      </c>
      <c r="D18" s="395" t="s">
        <v>94</v>
      </c>
      <c r="E18" s="341">
        <f t="shared" si="0"/>
        <v>-78408</v>
      </c>
      <c r="F18" s="408">
        <v>0</v>
      </c>
      <c r="G18" s="408">
        <v>78408</v>
      </c>
      <c r="H18" s="343" t="s">
        <v>725</v>
      </c>
      <c r="I18" s="401" t="s">
        <v>131</v>
      </c>
      <c r="J18" s="401"/>
      <c r="K18" s="208"/>
      <c r="L18" s="401"/>
    </row>
    <row r="19" spans="1:14" ht="14.95" customHeight="1" x14ac:dyDescent="0.25">
      <c r="A19" s="339">
        <v>44197</v>
      </c>
      <c r="B19" s="340">
        <v>1</v>
      </c>
      <c r="C19" s="370">
        <v>204</v>
      </c>
      <c r="D19" s="395" t="s">
        <v>444</v>
      </c>
      <c r="E19" s="341">
        <f t="shared" si="0"/>
        <v>-326103</v>
      </c>
      <c r="F19" s="346">
        <v>0</v>
      </c>
      <c r="G19" s="346">
        <v>326103</v>
      </c>
      <c r="H19" s="343" t="s">
        <v>725</v>
      </c>
      <c r="I19" s="401" t="s">
        <v>131</v>
      </c>
      <c r="J19" s="401"/>
      <c r="K19" s="208"/>
      <c r="L19" s="401"/>
      <c r="N19" t="str">
        <f>IF(M19&lt;&gt;"",VLOOKUP(M19,Plan!F:G,2,0),"")</f>
        <v/>
      </c>
    </row>
    <row r="20" spans="1:14" ht="14.95" customHeight="1" x14ac:dyDescent="0.25">
      <c r="A20" s="339">
        <v>44197</v>
      </c>
      <c r="B20" s="340">
        <v>1</v>
      </c>
      <c r="C20">
        <v>210</v>
      </c>
      <c r="D20" s="159" t="s">
        <v>650</v>
      </c>
      <c r="E20" s="341">
        <f t="shared" si="0"/>
        <v>-30054942</v>
      </c>
      <c r="F20" s="346">
        <v>0</v>
      </c>
      <c r="G20" s="346">
        <v>30054942</v>
      </c>
      <c r="H20" s="343" t="s">
        <v>725</v>
      </c>
      <c r="I20" s="401" t="s">
        <v>131</v>
      </c>
      <c r="J20" s="401"/>
      <c r="K20" s="208"/>
      <c r="L20" s="401"/>
      <c r="N20" t="str">
        <f>IF(M20&lt;&gt;"",VLOOKUP(M20,Plan!F:G,2,0),"")</f>
        <v/>
      </c>
    </row>
    <row r="21" spans="1:14" ht="14.95" customHeight="1" x14ac:dyDescent="0.25">
      <c r="A21" s="339">
        <v>44197</v>
      </c>
      <c r="B21" s="340">
        <v>1</v>
      </c>
      <c r="C21">
        <v>216</v>
      </c>
      <c r="D21" s="159" t="s">
        <v>645</v>
      </c>
      <c r="E21" s="341">
        <f t="shared" si="0"/>
        <v>-1943069</v>
      </c>
      <c r="F21" s="346">
        <v>0</v>
      </c>
      <c r="G21" s="346">
        <v>1943069</v>
      </c>
      <c r="H21" s="343" t="s">
        <v>725</v>
      </c>
      <c r="I21" s="401" t="s">
        <v>131</v>
      </c>
      <c r="J21" s="401"/>
      <c r="K21" s="208"/>
      <c r="L21" s="401"/>
      <c r="N21" t="str">
        <f>IF(M21&lt;&gt;"",VLOOKUP(M21,Plan!F:G,2,0),"")</f>
        <v/>
      </c>
    </row>
    <row r="22" spans="1:14" ht="14.95" customHeight="1" x14ac:dyDescent="0.25">
      <c r="A22" s="339">
        <v>44197</v>
      </c>
      <c r="B22" s="340">
        <v>1</v>
      </c>
      <c r="C22">
        <v>217</v>
      </c>
      <c r="D22" s="159" t="s">
        <v>646</v>
      </c>
      <c r="E22" s="341">
        <f t="shared" si="0"/>
        <v>-595000</v>
      </c>
      <c r="F22" s="342">
        <v>0</v>
      </c>
      <c r="G22" s="342">
        <v>595000</v>
      </c>
      <c r="H22" s="343" t="s">
        <v>725</v>
      </c>
      <c r="I22" s="401" t="s">
        <v>131</v>
      </c>
      <c r="J22" s="401"/>
      <c r="K22" s="208"/>
      <c r="L22" s="401"/>
      <c r="N22" t="str">
        <f>IF(M22&lt;&gt;"",VLOOKUP(M22,Plan!F:G,2,0),"")</f>
        <v/>
      </c>
    </row>
    <row r="23" spans="1:14" ht="14.95" customHeight="1" x14ac:dyDescent="0.25">
      <c r="A23" s="339">
        <v>44197</v>
      </c>
      <c r="B23" s="340">
        <v>1</v>
      </c>
      <c r="C23">
        <v>301</v>
      </c>
      <c r="D23" s="159" t="s">
        <v>252</v>
      </c>
      <c r="E23" s="341">
        <f t="shared" si="0"/>
        <v>-684178804</v>
      </c>
      <c r="F23" s="408">
        <v>0</v>
      </c>
      <c r="G23" s="408">
        <v>684178804</v>
      </c>
      <c r="H23" s="343" t="s">
        <v>725</v>
      </c>
      <c r="I23" s="340" t="s">
        <v>131</v>
      </c>
    </row>
    <row r="24" spans="1:14" ht="14.95" customHeight="1" x14ac:dyDescent="0.25">
      <c r="A24" s="339">
        <v>44197</v>
      </c>
      <c r="B24" s="340">
        <v>1</v>
      </c>
      <c r="C24">
        <v>310</v>
      </c>
      <c r="D24" s="159" t="s">
        <v>254</v>
      </c>
      <c r="E24" s="341">
        <f t="shared" si="0"/>
        <v>-2338583640</v>
      </c>
      <c r="F24" s="397">
        <v>0</v>
      </c>
      <c r="G24" s="397">
        <f>1687820191+650763759-3-307</f>
        <v>2338583640</v>
      </c>
      <c r="H24" s="343" t="s">
        <v>725</v>
      </c>
      <c r="I24" s="398" t="s">
        <v>131</v>
      </c>
      <c r="J24" s="398"/>
      <c r="K24" s="399"/>
      <c r="L24" s="398"/>
      <c r="N24" t="str">
        <f>IF(M24&lt;&gt;"",VLOOKUP(M24,Plan!F:G,2,0),"")</f>
        <v/>
      </c>
    </row>
    <row r="25" spans="1:14" ht="14.95" customHeight="1" x14ac:dyDescent="0.25">
      <c r="C25"/>
      <c r="D25"/>
      <c r="E25" s="396"/>
      <c r="F25" s="397"/>
      <c r="G25" s="397"/>
      <c r="H25" s="347"/>
      <c r="I25" s="398"/>
      <c r="J25" s="398"/>
      <c r="K25" s="399"/>
      <c r="L25" s="398"/>
    </row>
    <row r="26" spans="1:14" ht="14.95" customHeight="1" x14ac:dyDescent="0.25">
      <c r="A26" s="339">
        <v>44207</v>
      </c>
      <c r="B26" s="340">
        <v>1</v>
      </c>
      <c r="C26" s="338">
        <v>204</v>
      </c>
      <c r="D26" s="338" t="s">
        <v>444</v>
      </c>
      <c r="E26" s="341">
        <f>+F26-G26</f>
        <v>326103</v>
      </c>
      <c r="F26" s="346">
        <v>326103</v>
      </c>
      <c r="G26" s="346">
        <v>0</v>
      </c>
      <c r="H26" s="338" t="s">
        <v>407</v>
      </c>
      <c r="I26" s="343" t="s">
        <v>131</v>
      </c>
      <c r="J26" s="401"/>
      <c r="K26" s="208"/>
      <c r="L26" s="401"/>
    </row>
    <row r="27" spans="1:14" ht="14.95" customHeight="1" x14ac:dyDescent="0.25">
      <c r="A27" s="339">
        <f>+A26</f>
        <v>44207</v>
      </c>
      <c r="B27" s="338">
        <f>+B26</f>
        <v>1</v>
      </c>
      <c r="C27" s="338">
        <v>141</v>
      </c>
      <c r="D27" s="338" t="s">
        <v>378</v>
      </c>
      <c r="E27" s="341">
        <f>+F27-G27</f>
        <v>-326103</v>
      </c>
      <c r="F27" s="346">
        <v>0</v>
      </c>
      <c r="G27" s="346">
        <v>326103</v>
      </c>
      <c r="H27" s="338" t="s">
        <v>407</v>
      </c>
      <c r="I27" s="343" t="s">
        <v>131</v>
      </c>
      <c r="J27" s="401"/>
      <c r="K27" s="208"/>
      <c r="L27" s="401"/>
    </row>
    <row r="28" spans="1:14" ht="14.95" customHeight="1" x14ac:dyDescent="0.25"/>
    <row r="29" spans="1:14" ht="14.95" customHeight="1" x14ac:dyDescent="0.25">
      <c r="A29" s="339">
        <v>44211</v>
      </c>
      <c r="B29" s="340">
        <v>1</v>
      </c>
      <c r="C29" s="338">
        <v>4130</v>
      </c>
      <c r="D29" s="340" t="str">
        <f>VLOOKUP(C29,Plan!A$1:B$65542,2,0)</f>
        <v>Aporte Vicaria</v>
      </c>
      <c r="E29" s="341">
        <f>+F29-G29</f>
        <v>20000</v>
      </c>
      <c r="F29" s="346">
        <v>20000</v>
      </c>
      <c r="G29" s="346">
        <v>0</v>
      </c>
      <c r="H29" s="343" t="s">
        <v>778</v>
      </c>
      <c r="I29" s="401" t="s">
        <v>131</v>
      </c>
    </row>
    <row r="30" spans="1:14" ht="14.95" customHeight="1" x14ac:dyDescent="0.25">
      <c r="A30" s="339">
        <f>+A29</f>
        <v>44211</v>
      </c>
      <c r="B30" s="340">
        <f>+B29</f>
        <v>1</v>
      </c>
      <c r="C30" s="338">
        <v>141</v>
      </c>
      <c r="D30" s="340" t="str">
        <f>VLOOKUP(C30,Plan!A$1:B$65542,2,0)</f>
        <v>Cuentas por Cobrar a Administración</v>
      </c>
      <c r="E30" s="341">
        <f>+F30-G30</f>
        <v>-20000</v>
      </c>
      <c r="F30" s="346"/>
      <c r="G30" s="346">
        <f>+F29</f>
        <v>20000</v>
      </c>
      <c r="H30" s="338" t="str">
        <f>+H29</f>
        <v>Aporte Esc.de Verano Vic.Cordillera</v>
      </c>
      <c r="I30" s="401" t="s">
        <v>131</v>
      </c>
    </row>
    <row r="31" spans="1:14" ht="14.95" customHeight="1" x14ac:dyDescent="0.25"/>
    <row r="32" spans="1:14" ht="14.95" customHeight="1" x14ac:dyDescent="0.25">
      <c r="F32" s="346"/>
      <c r="G32" s="346"/>
      <c r="I32" s="401"/>
      <c r="J32" s="401"/>
      <c r="K32" s="208"/>
      <c r="L32" s="401"/>
    </row>
    <row r="33" spans="1:14" s="347" customFormat="1" x14ac:dyDescent="0.25">
      <c r="A33" s="339">
        <v>44200</v>
      </c>
      <c r="B33" s="340">
        <v>1</v>
      </c>
      <c r="C33" s="338">
        <v>115</v>
      </c>
      <c r="D33" s="347" t="str">
        <f>VLOOKUP(C33,Plan!A$1:B$65542,2,0)</f>
        <v>Disponible Cali B.Chile</v>
      </c>
      <c r="E33" s="341">
        <f>+F33-G33</f>
        <v>20000</v>
      </c>
      <c r="F33" s="346">
        <v>20000</v>
      </c>
      <c r="G33" s="346">
        <v>0</v>
      </c>
      <c r="H33" s="338" t="s">
        <v>782</v>
      </c>
      <c r="I33" s="401" t="s">
        <v>131</v>
      </c>
      <c r="K33" s="370"/>
      <c r="N33" s="370"/>
    </row>
    <row r="34" spans="1:14" s="347" customFormat="1" x14ac:dyDescent="0.25">
      <c r="A34" s="339">
        <f>+A33</f>
        <v>44200</v>
      </c>
      <c r="B34" s="340">
        <f>+B33</f>
        <v>1</v>
      </c>
      <c r="C34" s="338">
        <v>1222</v>
      </c>
      <c r="D34" s="347" t="str">
        <f>VLOOKUP(C34,Plan!A$1:B$65542,2,0)</f>
        <v>Otros Valores -Oficina y Transferencias (249)</v>
      </c>
      <c r="E34" s="341">
        <f>+F34-G34</f>
        <v>-20000</v>
      </c>
      <c r="F34" s="346"/>
      <c r="G34" s="346">
        <f>+F33</f>
        <v>20000</v>
      </c>
      <c r="H34" s="338" t="str">
        <f>+H33</f>
        <v>Benjamin Gutierrez / 249</v>
      </c>
      <c r="I34" s="401" t="str">
        <f>+I33</f>
        <v>Cali</v>
      </c>
      <c r="K34" s="370"/>
      <c r="N34" s="370"/>
    </row>
    <row r="35" spans="1:14" s="347" customFormat="1" x14ac:dyDescent="0.25">
      <c r="A35" s="339"/>
      <c r="B35" s="340"/>
      <c r="C35" s="338"/>
      <c r="D35" s="340"/>
      <c r="E35" s="341"/>
      <c r="F35" s="345"/>
      <c r="G35" s="345"/>
      <c r="H35" s="338"/>
      <c r="I35" s="340"/>
      <c r="K35" s="370"/>
      <c r="N35" s="370"/>
    </row>
    <row r="36" spans="1:14" s="347" customFormat="1" x14ac:dyDescent="0.25">
      <c r="A36" s="339">
        <v>44200</v>
      </c>
      <c r="B36" s="340">
        <v>1</v>
      </c>
      <c r="C36" s="338">
        <v>115</v>
      </c>
      <c r="D36" s="347" t="str">
        <f>VLOOKUP(C36,Plan!A$1:B$65542,2,0)</f>
        <v>Disponible Cali B.Chile</v>
      </c>
      <c r="E36" s="341">
        <f>+F36-G36</f>
        <v>150000</v>
      </c>
      <c r="F36" s="346">
        <v>150000</v>
      </c>
      <c r="G36" s="346">
        <v>0</v>
      </c>
      <c r="H36" s="338" t="s">
        <v>781</v>
      </c>
      <c r="I36" s="401" t="s">
        <v>131</v>
      </c>
      <c r="K36" s="370"/>
      <c r="N36" s="370"/>
    </row>
    <row r="37" spans="1:14" s="347" customFormat="1" x14ac:dyDescent="0.25">
      <c r="A37" s="339">
        <f>+A36</f>
        <v>44200</v>
      </c>
      <c r="B37" s="340">
        <f>+B36</f>
        <v>1</v>
      </c>
      <c r="C37" s="338">
        <v>3210</v>
      </c>
      <c r="D37" s="347" t="str">
        <f>VLOOKUP(C37,Plan!A$1:B$65542,2,0)</f>
        <v>Donacion Construccion</v>
      </c>
      <c r="E37" s="341">
        <f>+F37-G37</f>
        <v>-150000</v>
      </c>
      <c r="F37" s="346"/>
      <c r="G37" s="346">
        <f>+F36</f>
        <v>150000</v>
      </c>
      <c r="H37" s="338" t="str">
        <f>+H36</f>
        <v>Italo Lubiano / Azul</v>
      </c>
      <c r="I37" s="401" t="str">
        <f>+I36</f>
        <v>Cali</v>
      </c>
      <c r="K37" s="370"/>
      <c r="N37" s="370"/>
    </row>
    <row r="38" spans="1:14" s="347" customFormat="1" x14ac:dyDescent="0.25">
      <c r="A38" s="369"/>
      <c r="E38" s="396"/>
      <c r="F38" s="396"/>
      <c r="G38" s="396"/>
      <c r="K38" s="370"/>
      <c r="N38" s="370"/>
    </row>
    <row r="39" spans="1:14" s="347" customFormat="1" x14ac:dyDescent="0.25">
      <c r="A39" s="339">
        <v>44200</v>
      </c>
      <c r="B39" s="340">
        <v>1</v>
      </c>
      <c r="C39" s="338">
        <v>115</v>
      </c>
      <c r="D39" s="347" t="str">
        <f>VLOOKUP(C39,Plan!A$1:B$65542,2,0)</f>
        <v>Disponible Cali B.Chile</v>
      </c>
      <c r="E39" s="341">
        <f>+F39-G39</f>
        <v>17500</v>
      </c>
      <c r="F39" s="346">
        <v>17500</v>
      </c>
      <c r="G39" s="346">
        <v>0</v>
      </c>
      <c r="H39" s="338" t="s">
        <v>783</v>
      </c>
      <c r="I39" s="401" t="s">
        <v>131</v>
      </c>
      <c r="K39" s="370"/>
      <c r="N39" s="370"/>
    </row>
    <row r="40" spans="1:14" s="347" customFormat="1" x14ac:dyDescent="0.25">
      <c r="A40" s="339">
        <f>+A39</f>
        <v>44200</v>
      </c>
      <c r="B40" s="340">
        <f>+B39</f>
        <v>1</v>
      </c>
      <c r="C40" s="338">
        <v>1222</v>
      </c>
      <c r="D40" s="347" t="str">
        <f>VLOOKUP(C40,Plan!A$1:B$65542,2,0)</f>
        <v>Otros Valores -Oficina y Transferencias (249)</v>
      </c>
      <c r="E40" s="341">
        <f>+F40-G40</f>
        <v>-17500</v>
      </c>
      <c r="F40" s="346"/>
      <c r="G40" s="346">
        <f>+F39</f>
        <v>17500</v>
      </c>
      <c r="H40" s="338" t="str">
        <f>+H39</f>
        <v>Arantxa Ereche T&amp; / 249</v>
      </c>
      <c r="I40" s="401" t="str">
        <f>+I39</f>
        <v>Cali</v>
      </c>
      <c r="K40" s="370"/>
      <c r="N40" s="370"/>
    </row>
    <row r="41" spans="1:14" s="347" customFormat="1" x14ac:dyDescent="0.25">
      <c r="A41" s="369"/>
      <c r="E41" s="396"/>
      <c r="F41" s="396"/>
      <c r="G41" s="396"/>
      <c r="K41" s="370"/>
      <c r="N41" s="370"/>
    </row>
    <row r="42" spans="1:14" s="347" customFormat="1" x14ac:dyDescent="0.25">
      <c r="A42" s="339">
        <v>44200</v>
      </c>
      <c r="B42" s="340">
        <v>1</v>
      </c>
      <c r="C42" s="338">
        <v>115</v>
      </c>
      <c r="D42" s="347" t="str">
        <f>VLOOKUP(C42,Plan!A$1:B$65542,2,0)</f>
        <v>Disponible Cali B.Chile</v>
      </c>
      <c r="E42" s="341">
        <f>+F42-G42</f>
        <v>250000</v>
      </c>
      <c r="F42" s="346">
        <v>250000</v>
      </c>
      <c r="G42" s="346">
        <v>0</v>
      </c>
      <c r="H42" s="338" t="s">
        <v>784</v>
      </c>
      <c r="I42" s="401" t="s">
        <v>131</v>
      </c>
      <c r="K42" s="370"/>
      <c r="N42" s="370"/>
    </row>
    <row r="43" spans="1:14" s="347" customFormat="1" x14ac:dyDescent="0.25">
      <c r="A43" s="339">
        <f>+A42</f>
        <v>44200</v>
      </c>
      <c r="B43" s="340">
        <f>+B42</f>
        <v>1</v>
      </c>
      <c r="C43" s="338">
        <v>3210</v>
      </c>
      <c r="D43" s="347" t="str">
        <f>VLOOKUP(C43,Plan!A$1:B$65542,2,0)</f>
        <v>Donacion Construccion</v>
      </c>
      <c r="E43" s="341">
        <f>+F43-G43</f>
        <v>-250000</v>
      </c>
      <c r="F43" s="346"/>
      <c r="G43" s="346">
        <f>+F42</f>
        <v>250000</v>
      </c>
      <c r="H43" s="338" t="str">
        <f>+H42</f>
        <v>Emilio Deik M / Azul</v>
      </c>
      <c r="I43" s="401" t="str">
        <f>+I42</f>
        <v>Cali</v>
      </c>
      <c r="K43" s="370"/>
      <c r="N43" s="370"/>
    </row>
    <row r="44" spans="1:14" s="347" customFormat="1" x14ac:dyDescent="0.25">
      <c r="A44" s="369"/>
      <c r="E44" s="396"/>
      <c r="F44" s="396"/>
      <c r="G44" s="396"/>
      <c r="K44" s="370"/>
      <c r="N44" s="370"/>
    </row>
    <row r="45" spans="1:14" s="347" customFormat="1" x14ac:dyDescent="0.25">
      <c r="A45" s="339">
        <v>44200</v>
      </c>
      <c r="B45" s="340">
        <v>1</v>
      </c>
      <c r="C45" s="338">
        <v>115</v>
      </c>
      <c r="D45" s="347" t="str">
        <f>VLOOKUP(C45,Plan!A$1:B$65542,2,0)</f>
        <v>Disponible Cali B.Chile</v>
      </c>
      <c r="E45" s="341">
        <f>+F45-G45</f>
        <v>15000</v>
      </c>
      <c r="F45" s="346">
        <v>15000</v>
      </c>
      <c r="G45" s="346">
        <v>0</v>
      </c>
      <c r="H45" s="338" t="s">
        <v>785</v>
      </c>
      <c r="I45" s="401" t="s">
        <v>131</v>
      </c>
      <c r="K45" s="370"/>
      <c r="N45" s="370"/>
    </row>
    <row r="46" spans="1:14" s="347" customFormat="1" x14ac:dyDescent="0.25">
      <c r="A46" s="339">
        <f>+A45</f>
        <v>44200</v>
      </c>
      <c r="B46" s="340">
        <f>+B45</f>
        <v>1</v>
      </c>
      <c r="C46" s="338">
        <v>1217</v>
      </c>
      <c r="D46" s="347" t="str">
        <f>VLOOKUP(C46,Plan!A$1:B$65542,2,0)</f>
        <v>Otros Valores -Oficina y Transferencias (248)</v>
      </c>
      <c r="E46" s="341">
        <f>+F46-G46</f>
        <v>-15000</v>
      </c>
      <c r="F46" s="346"/>
      <c r="G46" s="346">
        <f>+F45</f>
        <v>15000</v>
      </c>
      <c r="H46" s="338" t="str">
        <f>+H45</f>
        <v>Fabian Rodriguez / 248</v>
      </c>
      <c r="I46" s="401" t="str">
        <f>+I45</f>
        <v>Cali</v>
      </c>
      <c r="K46" s="370"/>
      <c r="N46" s="370"/>
    </row>
    <row r="47" spans="1:14" s="347" customFormat="1" x14ac:dyDescent="0.25">
      <c r="A47" s="369"/>
      <c r="E47" s="396"/>
      <c r="F47" s="396"/>
      <c r="G47" s="396"/>
      <c r="K47" s="370"/>
      <c r="N47" s="370"/>
    </row>
    <row r="48" spans="1:14" s="347" customFormat="1" x14ac:dyDescent="0.25">
      <c r="A48" s="339">
        <v>44200</v>
      </c>
      <c r="B48" s="340">
        <v>1</v>
      </c>
      <c r="C48" s="338">
        <v>115</v>
      </c>
      <c r="D48" s="347" t="str">
        <f>VLOOKUP(C48,Plan!A$1:B$65542,2,0)</f>
        <v>Disponible Cali B.Chile</v>
      </c>
      <c r="E48" s="341">
        <f>+F48-G48</f>
        <v>70000</v>
      </c>
      <c r="F48" s="346">
        <v>70000</v>
      </c>
      <c r="G48" s="346">
        <v>0</v>
      </c>
      <c r="H48" s="338" t="s">
        <v>786</v>
      </c>
      <c r="I48" s="401" t="s">
        <v>131</v>
      </c>
      <c r="K48" s="370"/>
      <c r="N48" s="370"/>
    </row>
    <row r="49" spans="1:14" s="347" customFormat="1" x14ac:dyDescent="0.25">
      <c r="A49" s="339">
        <f>+A48</f>
        <v>44200</v>
      </c>
      <c r="B49" s="340">
        <f>+B48</f>
        <v>1</v>
      </c>
      <c r="C49" s="338">
        <v>3210</v>
      </c>
      <c r="D49" s="347" t="str">
        <f>VLOOKUP(C49,Plan!A$1:B$65542,2,0)</f>
        <v>Donacion Construccion</v>
      </c>
      <c r="E49" s="341">
        <f>+F49-G49</f>
        <v>-70000</v>
      </c>
      <c r="F49" s="346"/>
      <c r="G49" s="346">
        <f>+F48</f>
        <v>70000</v>
      </c>
      <c r="H49" s="338" t="str">
        <f>+H48</f>
        <v>Juan Sebastian Davila M / Azul</v>
      </c>
      <c r="I49" s="401" t="str">
        <f>+I48</f>
        <v>Cali</v>
      </c>
      <c r="K49" s="370"/>
      <c r="N49" s="370"/>
    </row>
    <row r="50" spans="1:14" s="347" customFormat="1" x14ac:dyDescent="0.25">
      <c r="A50" s="369"/>
      <c r="E50" s="396"/>
      <c r="F50" s="396"/>
      <c r="G50" s="396"/>
      <c r="K50" s="370"/>
      <c r="N50" s="370"/>
    </row>
    <row r="51" spans="1:14" s="347" customFormat="1" x14ac:dyDescent="0.25">
      <c r="A51" s="339">
        <v>44200</v>
      </c>
      <c r="B51" s="340">
        <v>1</v>
      </c>
      <c r="C51" s="338">
        <v>115</v>
      </c>
      <c r="D51" s="347" t="str">
        <f>VLOOKUP(C51,Plan!A$1:B$65542,2,0)</f>
        <v>Disponible Cali B.Chile</v>
      </c>
      <c r="E51" s="341">
        <f>+F51-G51</f>
        <v>24000</v>
      </c>
      <c r="F51" s="346">
        <v>24000</v>
      </c>
      <c r="G51" s="346">
        <v>0</v>
      </c>
      <c r="H51" s="338" t="s">
        <v>787</v>
      </c>
      <c r="I51" s="401" t="s">
        <v>131</v>
      </c>
      <c r="K51" s="370"/>
      <c r="N51" s="370"/>
    </row>
    <row r="52" spans="1:14" s="347" customFormat="1" x14ac:dyDescent="0.25">
      <c r="A52" s="339">
        <f>+A51</f>
        <v>44200</v>
      </c>
      <c r="B52" s="340">
        <f>+B51</f>
        <v>1</v>
      </c>
      <c r="C52" s="338">
        <v>1222</v>
      </c>
      <c r="D52" s="347" t="str">
        <f>VLOOKUP(C52,Plan!A$1:B$65542,2,0)</f>
        <v>Otros Valores -Oficina y Transferencias (249)</v>
      </c>
      <c r="E52" s="341">
        <f>+F52-G52</f>
        <v>-24000</v>
      </c>
      <c r="F52" s="346"/>
      <c r="G52" s="346">
        <f>+F51</f>
        <v>24000</v>
      </c>
      <c r="H52" s="338" t="str">
        <f>+H51</f>
        <v>Juan Pablo Ríos Ross / 249</v>
      </c>
      <c r="I52" s="401" t="str">
        <f>+I51</f>
        <v>Cali</v>
      </c>
      <c r="K52" s="370"/>
      <c r="N52" s="370"/>
    </row>
    <row r="53" spans="1:14" s="347" customFormat="1" x14ac:dyDescent="0.25">
      <c r="A53" s="369"/>
      <c r="E53" s="396"/>
      <c r="F53" s="396"/>
      <c r="G53" s="396"/>
      <c r="K53" s="370"/>
      <c r="N53" s="370"/>
    </row>
    <row r="54" spans="1:14" s="347" customFormat="1" x14ac:dyDescent="0.25">
      <c r="A54" s="339">
        <v>44200</v>
      </c>
      <c r="B54" s="340">
        <v>1</v>
      </c>
      <c r="C54" s="338">
        <v>115</v>
      </c>
      <c r="D54" s="340" t="str">
        <f>VLOOKUP(C54,Plan!A$1:B$65542,2,0)</f>
        <v>Disponible Cali B.Chile</v>
      </c>
      <c r="E54" s="341">
        <f>+F54-G54</f>
        <v>40000</v>
      </c>
      <c r="F54" s="346">
        <v>40000</v>
      </c>
      <c r="G54" s="346">
        <v>0</v>
      </c>
      <c r="H54" s="338" t="s">
        <v>788</v>
      </c>
      <c r="I54" s="401" t="s">
        <v>131</v>
      </c>
      <c r="K54" s="370"/>
      <c r="N54" s="370"/>
    </row>
    <row r="55" spans="1:14" s="347" customFormat="1" x14ac:dyDescent="0.25">
      <c r="A55" s="339">
        <f>+A54</f>
        <v>44200</v>
      </c>
      <c r="B55" s="340">
        <f>+B54</f>
        <v>1</v>
      </c>
      <c r="C55" s="338">
        <v>1217</v>
      </c>
      <c r="D55" s="340" t="str">
        <f>VLOOKUP(C55,Plan!A$1:B$65542,2,0)</f>
        <v>Otros Valores -Oficina y Transferencias (248)</v>
      </c>
      <c r="E55" s="341">
        <f>+F55-G55</f>
        <v>-40000</v>
      </c>
      <c r="F55" s="346"/>
      <c r="G55" s="346">
        <f>+F54</f>
        <v>40000</v>
      </c>
      <c r="H55" s="338" t="str">
        <f>+H54</f>
        <v>M. Dominguez / 248</v>
      </c>
      <c r="I55" s="401" t="str">
        <f>+I54</f>
        <v>Cali</v>
      </c>
      <c r="K55" s="370"/>
      <c r="N55" s="370"/>
    </row>
    <row r="56" spans="1:14" s="347" customFormat="1" x14ac:dyDescent="0.25">
      <c r="A56" s="369"/>
      <c r="E56" s="396"/>
      <c r="F56" s="396"/>
      <c r="G56" s="396"/>
      <c r="K56" s="370"/>
      <c r="N56" s="370"/>
    </row>
    <row r="57" spans="1:14" s="347" customFormat="1" x14ac:dyDescent="0.25">
      <c r="A57" s="339">
        <v>44200</v>
      </c>
      <c r="B57" s="340">
        <v>1</v>
      </c>
      <c r="C57" s="338">
        <v>141</v>
      </c>
      <c r="D57" s="340" t="str">
        <f>VLOOKUP(C57,Plan!A$1:B$65542,2,0)</f>
        <v>Cuentas por Cobrar a Administración</v>
      </c>
      <c r="E57" s="341">
        <f>+F57-G57</f>
        <v>3000000</v>
      </c>
      <c r="F57" s="346">
        <v>3000000</v>
      </c>
      <c r="G57" s="346">
        <v>0</v>
      </c>
      <c r="H57" s="338" t="s">
        <v>789</v>
      </c>
      <c r="I57" s="401" t="s">
        <v>131</v>
      </c>
      <c r="K57" s="370"/>
      <c r="N57" s="370"/>
    </row>
    <row r="58" spans="1:14" s="347" customFormat="1" x14ac:dyDescent="0.25">
      <c r="A58" s="339">
        <f>+A57</f>
        <v>44200</v>
      </c>
      <c r="B58" s="340">
        <f>+B57</f>
        <v>1</v>
      </c>
      <c r="C58" s="338">
        <v>115</v>
      </c>
      <c r="D58" s="340" t="str">
        <f>VLOOKUP(C58,Plan!A$1:B$65542,2,0)</f>
        <v>Disponible Cali B.Chile</v>
      </c>
      <c r="E58" s="341">
        <f>+F58-G58</f>
        <v>-3000000</v>
      </c>
      <c r="F58" s="346">
        <v>0</v>
      </c>
      <c r="G58" s="346">
        <f>+F57</f>
        <v>3000000</v>
      </c>
      <c r="H58" s="338" t="str">
        <f>+H57</f>
        <v>Traspaso a Cta, Administración</v>
      </c>
      <c r="I58" s="401" t="str">
        <f>+I57</f>
        <v>Cali</v>
      </c>
      <c r="K58" s="370"/>
      <c r="N58" s="370"/>
    </row>
    <row r="59" spans="1:14" s="347" customFormat="1" x14ac:dyDescent="0.25">
      <c r="A59" s="369"/>
      <c r="E59" s="396"/>
      <c r="F59" s="396"/>
      <c r="G59" s="396"/>
      <c r="K59" s="370"/>
      <c r="N59" s="370"/>
    </row>
    <row r="60" spans="1:14" s="347" customFormat="1" x14ac:dyDescent="0.25">
      <c r="A60" s="339">
        <v>44200</v>
      </c>
      <c r="B60" s="340">
        <v>1</v>
      </c>
      <c r="C60" s="338">
        <v>115</v>
      </c>
      <c r="D60" s="340" t="str">
        <f>VLOOKUP(C60,Plan!A$1:B$65542,2,0)</f>
        <v>Disponible Cali B.Chile</v>
      </c>
      <c r="E60" s="341">
        <f>+F60-G60</f>
        <v>0</v>
      </c>
      <c r="F60" s="346">
        <v>0</v>
      </c>
      <c r="G60" s="346">
        <v>0</v>
      </c>
      <c r="H60" s="338" t="s">
        <v>790</v>
      </c>
      <c r="I60" s="401" t="s">
        <v>131</v>
      </c>
      <c r="K60" s="370"/>
      <c r="N60" s="370"/>
    </row>
    <row r="61" spans="1:14" s="347" customFormat="1" x14ac:dyDescent="0.25">
      <c r="A61" s="339">
        <f>+A60</f>
        <v>44200</v>
      </c>
      <c r="B61" s="340">
        <f>+B60</f>
        <v>1</v>
      </c>
      <c r="C61" s="347">
        <v>4171</v>
      </c>
      <c r="D61" s="340" t="str">
        <f>VLOOKUP(C61,Plan!A$1:B$65542,2,0)</f>
        <v xml:space="preserve">        Campaña 1%</v>
      </c>
      <c r="E61" s="341">
        <f>+F61-G61</f>
        <v>0</v>
      </c>
      <c r="F61" s="346"/>
      <c r="G61" s="346">
        <f>+F60</f>
        <v>0</v>
      </c>
      <c r="H61" s="338" t="str">
        <f>+H60</f>
        <v>Transf. ElMestizo, Premio Campaña Diciembre</v>
      </c>
      <c r="I61" s="401" t="str">
        <f>+I60</f>
        <v>Cali</v>
      </c>
      <c r="K61" s="370"/>
      <c r="N61" s="370"/>
    </row>
    <row r="62" spans="1:14" s="347" customFormat="1" x14ac:dyDescent="0.25">
      <c r="A62" s="369"/>
      <c r="E62" s="396"/>
      <c r="F62" s="396"/>
      <c r="G62" s="396"/>
      <c r="K62" s="370"/>
      <c r="N62" s="370"/>
    </row>
    <row r="63" spans="1:14" s="347" customFormat="1" x14ac:dyDescent="0.25">
      <c r="A63" s="339">
        <v>44200</v>
      </c>
      <c r="B63" s="340">
        <v>1</v>
      </c>
      <c r="C63" s="338">
        <v>115</v>
      </c>
      <c r="D63" s="340" t="str">
        <f>VLOOKUP(C63,Plan!A$1:B$65542,2,0)</f>
        <v>Disponible Cali B.Chile</v>
      </c>
      <c r="E63" s="341">
        <f>+F63-G63</f>
        <v>48000</v>
      </c>
      <c r="F63" s="346">
        <v>48000</v>
      </c>
      <c r="G63" s="346">
        <v>0</v>
      </c>
      <c r="H63" s="338" t="s">
        <v>549</v>
      </c>
      <c r="I63" s="401" t="s">
        <v>131</v>
      </c>
      <c r="K63" s="370"/>
      <c r="N63" s="370"/>
    </row>
    <row r="64" spans="1:14" s="347" customFormat="1" x14ac:dyDescent="0.25">
      <c r="A64" s="339">
        <f>+A63</f>
        <v>44200</v>
      </c>
      <c r="B64" s="340">
        <f>+B63</f>
        <v>1</v>
      </c>
      <c r="C64" s="338">
        <v>1217</v>
      </c>
      <c r="D64" s="340" t="str">
        <f>VLOOKUP(C64,Plan!A$1:B$65542,2,0)</f>
        <v>Otros Valores -Oficina y Transferencias (248)</v>
      </c>
      <c r="E64" s="341">
        <f>+F64-G64</f>
        <v>-48000</v>
      </c>
      <c r="F64" s="346"/>
      <c r="G64" s="346">
        <f>+F63</f>
        <v>48000</v>
      </c>
      <c r="H64" s="338" t="str">
        <f>+H63</f>
        <v>Enrique Ferrer / 248</v>
      </c>
      <c r="I64" s="401" t="str">
        <f>+I63</f>
        <v>Cali</v>
      </c>
      <c r="K64" s="370"/>
      <c r="N64" s="370"/>
    </row>
    <row r="65" spans="1:14" s="347" customFormat="1" x14ac:dyDescent="0.25">
      <c r="A65" s="369"/>
      <c r="E65" s="396"/>
      <c r="F65" s="396"/>
      <c r="G65" s="396"/>
      <c r="K65" s="370"/>
      <c r="N65" s="370"/>
    </row>
    <row r="66" spans="1:14" s="347" customFormat="1" x14ac:dyDescent="0.25">
      <c r="A66" s="339">
        <v>44200</v>
      </c>
      <c r="B66" s="340">
        <v>1</v>
      </c>
      <c r="C66" s="338">
        <v>115</v>
      </c>
      <c r="D66" s="340" t="str">
        <f>VLOOKUP(C66,Plan!A$1:B$65542,2,0)</f>
        <v>Disponible Cali B.Chile</v>
      </c>
      <c r="E66" s="341">
        <f>+F66-G66</f>
        <v>40000</v>
      </c>
      <c r="F66" s="346">
        <v>40000</v>
      </c>
      <c r="G66" s="346">
        <v>0</v>
      </c>
      <c r="H66" s="338" t="s">
        <v>791</v>
      </c>
      <c r="I66" s="401" t="s">
        <v>131</v>
      </c>
      <c r="K66" s="370"/>
      <c r="N66" s="370"/>
    </row>
    <row r="67" spans="1:14" s="347" customFormat="1" x14ac:dyDescent="0.25">
      <c r="A67" s="339">
        <f>+A66</f>
        <v>44200</v>
      </c>
      <c r="B67" s="340">
        <f>+B66</f>
        <v>1</v>
      </c>
      <c r="C67" s="338">
        <v>1222</v>
      </c>
      <c r="D67" s="340" t="str">
        <f>VLOOKUP(C67,Plan!A$1:B$65542,2,0)</f>
        <v>Otros Valores -Oficina y Transferencias (249)</v>
      </c>
      <c r="E67" s="341">
        <f>+F67-G67</f>
        <v>-40000</v>
      </c>
      <c r="F67" s="346"/>
      <c r="G67" s="346">
        <f>+F66</f>
        <v>40000</v>
      </c>
      <c r="H67" s="338" t="str">
        <f>+H66</f>
        <v>Ricardo Cañas C / 249</v>
      </c>
      <c r="I67" s="401" t="str">
        <f>+I66</f>
        <v>Cali</v>
      </c>
      <c r="K67" s="370"/>
      <c r="N67" s="370"/>
    </row>
    <row r="68" spans="1:14" s="347" customFormat="1" x14ac:dyDescent="0.25">
      <c r="A68" s="369"/>
      <c r="E68" s="396"/>
      <c r="F68" s="396"/>
      <c r="G68" s="396"/>
      <c r="K68" s="370"/>
      <c r="N68" s="370"/>
    </row>
    <row r="69" spans="1:14" s="347" customFormat="1" x14ac:dyDescent="0.25">
      <c r="A69" s="339">
        <v>44200</v>
      </c>
      <c r="B69" s="340">
        <v>1</v>
      </c>
      <c r="C69" s="338">
        <v>115</v>
      </c>
      <c r="D69" s="347" t="str">
        <f>VLOOKUP(C69,Plan!A$1:B$65542,2,0)</f>
        <v>Disponible Cali B.Chile</v>
      </c>
      <c r="E69" s="341">
        <f>+F69-G69</f>
        <v>20000</v>
      </c>
      <c r="F69" s="346">
        <v>20000</v>
      </c>
      <c r="G69" s="346">
        <v>0</v>
      </c>
      <c r="H69" s="338" t="s">
        <v>792</v>
      </c>
      <c r="I69" s="401" t="s">
        <v>131</v>
      </c>
      <c r="K69" s="370"/>
      <c r="N69" s="370"/>
    </row>
    <row r="70" spans="1:14" s="347" customFormat="1" x14ac:dyDescent="0.25">
      <c r="A70" s="339">
        <f>+A69</f>
        <v>44200</v>
      </c>
      <c r="B70" s="340">
        <f>+B69</f>
        <v>1</v>
      </c>
      <c r="C70" s="338">
        <v>3210</v>
      </c>
      <c r="D70" s="347" t="str">
        <f>VLOOKUP(C70,Plan!A$1:B$65542,2,0)</f>
        <v>Donacion Construccion</v>
      </c>
      <c r="E70" s="341">
        <f>+F70-G70</f>
        <v>-20000</v>
      </c>
      <c r="F70" s="346"/>
      <c r="G70" s="346">
        <f>+F69</f>
        <v>20000</v>
      </c>
      <c r="H70" s="338" t="str">
        <f>+H69</f>
        <v>Fco.Javier Campos / Azul</v>
      </c>
      <c r="I70" s="401" t="str">
        <f>+I69</f>
        <v>Cali</v>
      </c>
      <c r="K70" s="370"/>
      <c r="N70" s="370"/>
    </row>
    <row r="71" spans="1:14" s="347" customFormat="1" x14ac:dyDescent="0.25">
      <c r="A71" s="369"/>
      <c r="E71" s="396"/>
      <c r="F71" s="396"/>
      <c r="G71" s="396"/>
      <c r="K71" s="370"/>
      <c r="N71" s="370"/>
    </row>
    <row r="72" spans="1:14" s="347" customFormat="1" x14ac:dyDescent="0.25">
      <c r="A72" s="339">
        <v>44200</v>
      </c>
      <c r="B72" s="340">
        <v>1</v>
      </c>
      <c r="C72" s="338">
        <v>115</v>
      </c>
      <c r="D72" s="340" t="str">
        <f>VLOOKUP(C72,Plan!A$1:B$65542,2,0)</f>
        <v>Disponible Cali B.Chile</v>
      </c>
      <c r="E72" s="341">
        <f>+F72-G72</f>
        <v>20000</v>
      </c>
      <c r="F72" s="346">
        <v>20000</v>
      </c>
      <c r="G72" s="346">
        <v>0</v>
      </c>
      <c r="H72" s="338" t="s">
        <v>548</v>
      </c>
      <c r="I72" s="401" t="s">
        <v>131</v>
      </c>
      <c r="K72" s="370"/>
      <c r="N72" s="370"/>
    </row>
    <row r="73" spans="1:14" s="347" customFormat="1" x14ac:dyDescent="0.25">
      <c r="A73" s="339">
        <f>+A72</f>
        <v>44200</v>
      </c>
      <c r="B73" s="340">
        <f>+B72</f>
        <v>1</v>
      </c>
      <c r="C73" s="338">
        <v>1222</v>
      </c>
      <c r="D73" s="340" t="str">
        <f>VLOOKUP(C73,Plan!A$1:B$65542,2,0)</f>
        <v>Otros Valores -Oficina y Transferencias (249)</v>
      </c>
      <c r="E73" s="341">
        <f>+F73-G73</f>
        <v>-20000</v>
      </c>
      <c r="F73" s="346"/>
      <c r="G73" s="346">
        <f>+F72</f>
        <v>20000</v>
      </c>
      <c r="H73" s="338" t="str">
        <f>+H72</f>
        <v>Josefina Claude / 249</v>
      </c>
      <c r="I73" s="401" t="str">
        <f>+I72</f>
        <v>Cali</v>
      </c>
      <c r="K73" s="370"/>
      <c r="N73" s="370"/>
    </row>
    <row r="74" spans="1:14" s="347" customFormat="1" x14ac:dyDescent="0.25">
      <c r="A74" s="369"/>
      <c r="E74" s="396"/>
      <c r="F74" s="396"/>
      <c r="G74" s="396"/>
      <c r="K74" s="370"/>
      <c r="N74" s="370"/>
    </row>
    <row r="75" spans="1:14" s="347" customFormat="1" x14ac:dyDescent="0.25">
      <c r="A75" s="339">
        <v>44200</v>
      </c>
      <c r="B75" s="340">
        <v>1</v>
      </c>
      <c r="C75" s="338">
        <v>115</v>
      </c>
      <c r="D75" s="347" t="str">
        <f>VLOOKUP(C75,Plan!A$1:B$65542,2,0)</f>
        <v>Disponible Cali B.Chile</v>
      </c>
      <c r="E75" s="341">
        <f>+F75-G75</f>
        <v>30000</v>
      </c>
      <c r="F75" s="346">
        <v>30000</v>
      </c>
      <c r="G75" s="346">
        <v>0</v>
      </c>
      <c r="H75" s="338" t="s">
        <v>793</v>
      </c>
      <c r="I75" s="401" t="s">
        <v>131</v>
      </c>
      <c r="K75" s="370"/>
      <c r="N75" s="370"/>
    </row>
    <row r="76" spans="1:14" s="347" customFormat="1" x14ac:dyDescent="0.25">
      <c r="A76" s="339">
        <f>+A75</f>
        <v>44200</v>
      </c>
      <c r="B76" s="340">
        <f>+B75</f>
        <v>1</v>
      </c>
      <c r="C76" s="338">
        <v>3210</v>
      </c>
      <c r="D76" s="347" t="str">
        <f>VLOOKUP(C76,Plan!A$1:B$65542,2,0)</f>
        <v>Donacion Construccion</v>
      </c>
      <c r="E76" s="341">
        <f>+F76-G76</f>
        <v>-30000</v>
      </c>
      <c r="F76" s="346"/>
      <c r="G76" s="346">
        <f>+F75</f>
        <v>30000</v>
      </c>
      <c r="H76" s="338" t="str">
        <f>+H75</f>
        <v>Segio Rodriguez / Azul</v>
      </c>
      <c r="I76" s="401" t="str">
        <f>+I75</f>
        <v>Cali</v>
      </c>
      <c r="K76" s="370"/>
      <c r="N76" s="370"/>
    </row>
    <row r="77" spans="1:14" s="347" customFormat="1" x14ac:dyDescent="0.25">
      <c r="A77" s="369"/>
      <c r="E77" s="396"/>
      <c r="F77" s="396"/>
      <c r="G77" s="396"/>
      <c r="K77" s="370"/>
      <c r="N77" s="370"/>
    </row>
    <row r="78" spans="1:14" s="347" customFormat="1" x14ac:dyDescent="0.25">
      <c r="A78" s="339">
        <v>44200</v>
      </c>
      <c r="B78" s="340">
        <v>1</v>
      </c>
      <c r="C78" s="338">
        <v>115</v>
      </c>
      <c r="D78" s="340" t="str">
        <f>VLOOKUP(C78,Plan!A$1:B$65542,2,0)</f>
        <v>Disponible Cali B.Chile</v>
      </c>
      <c r="E78" s="341">
        <f>+F78-G78</f>
        <v>50000</v>
      </c>
      <c r="F78" s="346">
        <v>50000</v>
      </c>
      <c r="G78" s="346">
        <v>0</v>
      </c>
      <c r="H78" s="338" t="s">
        <v>547</v>
      </c>
      <c r="I78" s="401" t="s">
        <v>131</v>
      </c>
      <c r="K78" s="370"/>
      <c r="N78" s="370"/>
    </row>
    <row r="79" spans="1:14" s="347" customFormat="1" x14ac:dyDescent="0.25">
      <c r="A79" s="339">
        <f>+A78</f>
        <v>44200</v>
      </c>
      <c r="B79" s="340">
        <f>+B78</f>
        <v>1</v>
      </c>
      <c r="C79" s="338">
        <v>1222</v>
      </c>
      <c r="D79" s="340" t="str">
        <f>VLOOKUP(C79,Plan!A$1:B$65542,2,0)</f>
        <v>Otros Valores -Oficina y Transferencias (249)</v>
      </c>
      <c r="E79" s="341">
        <f>+F79-G79</f>
        <v>-50000</v>
      </c>
      <c r="F79" s="346"/>
      <c r="G79" s="346">
        <f>+F78</f>
        <v>50000</v>
      </c>
      <c r="H79" s="338" t="str">
        <f>+H78</f>
        <v>Jorge Claude / 249</v>
      </c>
      <c r="I79" s="401" t="str">
        <f>+I78</f>
        <v>Cali</v>
      </c>
      <c r="K79" s="370"/>
      <c r="N79" s="370"/>
    </row>
    <row r="80" spans="1:14" s="347" customFormat="1" x14ac:dyDescent="0.25">
      <c r="A80" s="369"/>
      <c r="E80" s="396"/>
      <c r="F80" s="396"/>
      <c r="G80" s="396"/>
      <c r="K80" s="370"/>
      <c r="N80" s="370"/>
    </row>
    <row r="81" spans="1:14" s="347" customFormat="1" x14ac:dyDescent="0.25">
      <c r="A81" s="339">
        <v>44200</v>
      </c>
      <c r="B81" s="340">
        <v>1</v>
      </c>
      <c r="C81" s="338">
        <v>115</v>
      </c>
      <c r="D81" s="340" t="str">
        <f>VLOOKUP(C81,Plan!A$1:B$65542,2,0)</f>
        <v>Disponible Cali B.Chile</v>
      </c>
      <c r="E81" s="341">
        <f>+F81-G81</f>
        <v>15000</v>
      </c>
      <c r="F81" s="346">
        <v>15000</v>
      </c>
      <c r="G81" s="346">
        <v>0</v>
      </c>
      <c r="H81" s="338" t="s">
        <v>794</v>
      </c>
      <c r="I81" s="401" t="s">
        <v>131</v>
      </c>
      <c r="K81" s="370"/>
      <c r="N81" s="370"/>
    </row>
    <row r="82" spans="1:14" s="347" customFormat="1" x14ac:dyDescent="0.25">
      <c r="A82" s="339">
        <f>+A81</f>
        <v>44200</v>
      </c>
      <c r="B82" s="340">
        <f>+B81</f>
        <v>1</v>
      </c>
      <c r="C82" s="338">
        <v>1222</v>
      </c>
      <c r="D82" s="340" t="str">
        <f>VLOOKUP(C82,Plan!A$1:B$65542,2,0)</f>
        <v>Otros Valores -Oficina y Transferencias (249)</v>
      </c>
      <c r="E82" s="341">
        <f>+F82-G82</f>
        <v>-15000</v>
      </c>
      <c r="F82" s="346"/>
      <c r="G82" s="346">
        <f>+F81</f>
        <v>15000</v>
      </c>
      <c r="H82" s="338" t="str">
        <f>+H81</f>
        <v>Paulina Grez/ 249</v>
      </c>
      <c r="I82" s="401" t="str">
        <f>+I81</f>
        <v>Cali</v>
      </c>
      <c r="K82" s="370"/>
      <c r="N82" s="370"/>
    </row>
    <row r="83" spans="1:14" s="347" customFormat="1" x14ac:dyDescent="0.25">
      <c r="A83" s="369"/>
      <c r="E83" s="396"/>
      <c r="F83" s="396"/>
      <c r="G83" s="396"/>
      <c r="K83" s="370"/>
      <c r="N83" s="370"/>
    </row>
    <row r="84" spans="1:14" s="347" customFormat="1" x14ac:dyDescent="0.25">
      <c r="A84" s="339">
        <v>44200</v>
      </c>
      <c r="B84" s="340">
        <v>1</v>
      </c>
      <c r="C84" s="338">
        <v>115</v>
      </c>
      <c r="D84" s="340" t="str">
        <f>VLOOKUP(C84,Plan!A$1:B$65542,2,0)</f>
        <v>Disponible Cali B.Chile</v>
      </c>
      <c r="E84" s="341">
        <f>+F84-G84</f>
        <v>25000</v>
      </c>
      <c r="F84" s="346">
        <v>25000</v>
      </c>
      <c r="G84" s="346">
        <v>0</v>
      </c>
      <c r="H84" s="338" t="s">
        <v>639</v>
      </c>
      <c r="I84" s="401" t="s">
        <v>131</v>
      </c>
      <c r="K84" s="370"/>
      <c r="N84" s="370"/>
    </row>
    <row r="85" spans="1:14" s="347" customFormat="1" x14ac:dyDescent="0.25">
      <c r="A85" s="339">
        <f>+A84</f>
        <v>44200</v>
      </c>
      <c r="B85" s="340">
        <f>+B84</f>
        <v>1</v>
      </c>
      <c r="C85" s="338">
        <v>1217</v>
      </c>
      <c r="D85" s="340" t="str">
        <f>VLOOKUP(C85,Plan!A$1:B$65542,2,0)</f>
        <v>Otros Valores -Oficina y Transferencias (248)</v>
      </c>
      <c r="E85" s="341">
        <f>+F85-G85</f>
        <v>-25000</v>
      </c>
      <c r="F85" s="346"/>
      <c r="G85" s="346">
        <f>+F84</f>
        <v>25000</v>
      </c>
      <c r="H85" s="338" t="str">
        <f>+H84</f>
        <v>Florencia Garcia / 248</v>
      </c>
      <c r="I85" s="401" t="str">
        <f>+I84</f>
        <v>Cali</v>
      </c>
      <c r="K85" s="370"/>
      <c r="N85" s="370"/>
    </row>
    <row r="86" spans="1:14" s="347" customFormat="1" x14ac:dyDescent="0.25">
      <c r="A86" s="369"/>
      <c r="E86" s="396"/>
      <c r="F86" s="396"/>
      <c r="G86" s="396"/>
      <c r="K86" s="370"/>
      <c r="N86" s="370"/>
    </row>
    <row r="87" spans="1:14" s="347" customFormat="1" x14ac:dyDescent="0.25">
      <c r="A87" s="339">
        <v>44200</v>
      </c>
      <c r="B87" s="340">
        <v>1</v>
      </c>
      <c r="C87" s="338">
        <v>115</v>
      </c>
      <c r="D87" s="340" t="str">
        <f>VLOOKUP(C87,Plan!A$1:B$65542,2,0)</f>
        <v>Disponible Cali B.Chile</v>
      </c>
      <c r="E87" s="341">
        <f>+F87-G87</f>
        <v>80000</v>
      </c>
      <c r="F87" s="346">
        <v>80000</v>
      </c>
      <c r="G87" s="346">
        <v>0</v>
      </c>
      <c r="H87" s="338" t="s">
        <v>797</v>
      </c>
      <c r="I87" s="401" t="s">
        <v>131</v>
      </c>
      <c r="K87" s="370"/>
      <c r="N87" s="370"/>
    </row>
    <row r="88" spans="1:14" s="347" customFormat="1" x14ac:dyDescent="0.25">
      <c r="A88" s="339">
        <f>+A87</f>
        <v>44200</v>
      </c>
      <c r="B88" s="340">
        <f>+B87</f>
        <v>1</v>
      </c>
      <c r="C88" s="338">
        <v>1217</v>
      </c>
      <c r="D88" s="340" t="str">
        <f>VLOOKUP(C88,Plan!A$1:B$65542,2,0)</f>
        <v>Otros Valores -Oficina y Transferencias (248)</v>
      </c>
      <c r="E88" s="341">
        <f>+F88-G88</f>
        <v>-80000</v>
      </c>
      <c r="F88" s="346"/>
      <c r="G88" s="346">
        <f>+F87</f>
        <v>80000</v>
      </c>
      <c r="H88" s="338" t="str">
        <f>+H87</f>
        <v>R. Casas del Valle / 248</v>
      </c>
      <c r="I88" s="401" t="str">
        <f>+I87</f>
        <v>Cali</v>
      </c>
      <c r="K88" s="370"/>
      <c r="N88" s="370"/>
    </row>
    <row r="89" spans="1:14" s="347" customFormat="1" x14ac:dyDescent="0.25">
      <c r="A89" s="369"/>
      <c r="E89" s="396"/>
      <c r="F89" s="396"/>
      <c r="G89" s="396"/>
      <c r="K89" s="370"/>
      <c r="N89" s="370"/>
    </row>
    <row r="90" spans="1:14" s="347" customFormat="1" x14ac:dyDescent="0.25">
      <c r="A90" s="339">
        <v>44200</v>
      </c>
      <c r="B90" s="340">
        <v>1</v>
      </c>
      <c r="C90" s="338">
        <v>115</v>
      </c>
      <c r="D90" s="347" t="str">
        <f>VLOOKUP(C90,Plan!A$1:B$65542,2,0)</f>
        <v>Disponible Cali B.Chile</v>
      </c>
      <c r="E90" s="341">
        <f>+F90-G90</f>
        <v>45000</v>
      </c>
      <c r="F90" s="346">
        <v>45000</v>
      </c>
      <c r="G90" s="346">
        <v>0</v>
      </c>
      <c r="H90" s="338" t="s">
        <v>795</v>
      </c>
      <c r="I90" s="401" t="s">
        <v>131</v>
      </c>
      <c r="K90" s="370"/>
      <c r="N90" s="370"/>
    </row>
    <row r="91" spans="1:14" s="347" customFormat="1" x14ac:dyDescent="0.25">
      <c r="A91" s="339">
        <f>+A90</f>
        <v>44200</v>
      </c>
      <c r="B91" s="340">
        <f>+B90</f>
        <v>1</v>
      </c>
      <c r="C91" s="338">
        <v>3210</v>
      </c>
      <c r="D91" s="347" t="str">
        <f>VLOOKUP(C91,Plan!A$1:B$65542,2,0)</f>
        <v>Donacion Construccion</v>
      </c>
      <c r="E91" s="341">
        <f>+F91-G91</f>
        <v>-45000</v>
      </c>
      <c r="F91" s="346"/>
      <c r="G91" s="346">
        <f>+F90</f>
        <v>45000</v>
      </c>
      <c r="H91" s="338" t="str">
        <f>+H90</f>
        <v>Patricia Romero / Azul</v>
      </c>
      <c r="I91" s="401" t="str">
        <f>+I90</f>
        <v>Cali</v>
      </c>
      <c r="K91" s="370"/>
      <c r="N91" s="370"/>
    </row>
    <row r="92" spans="1:14" s="347" customFormat="1" x14ac:dyDescent="0.25">
      <c r="A92" s="369"/>
      <c r="E92" s="396"/>
      <c r="F92" s="396"/>
      <c r="G92" s="396"/>
      <c r="K92" s="370"/>
      <c r="N92" s="370"/>
    </row>
    <row r="93" spans="1:14" s="347" customFormat="1" x14ac:dyDescent="0.25">
      <c r="A93" s="339">
        <v>44200</v>
      </c>
      <c r="B93" s="340">
        <v>1</v>
      </c>
      <c r="C93" s="338">
        <v>115</v>
      </c>
      <c r="D93" s="340" t="str">
        <f>VLOOKUP(C93,Plan!A$1:B$65542,2,0)</f>
        <v>Disponible Cali B.Chile</v>
      </c>
      <c r="E93" s="341">
        <f>+F93-G93</f>
        <v>100000</v>
      </c>
      <c r="F93" s="346">
        <v>100000</v>
      </c>
      <c r="G93" s="346">
        <v>0</v>
      </c>
      <c r="H93" s="338" t="s">
        <v>627</v>
      </c>
      <c r="I93" s="401" t="s">
        <v>131</v>
      </c>
      <c r="K93" s="370"/>
      <c r="N93" s="370"/>
    </row>
    <row r="94" spans="1:14" s="347" customFormat="1" x14ac:dyDescent="0.25">
      <c r="A94" s="339">
        <f>+A93</f>
        <v>44200</v>
      </c>
      <c r="B94" s="340">
        <f>+B93</f>
        <v>1</v>
      </c>
      <c r="C94" s="338">
        <v>1217</v>
      </c>
      <c r="D94" s="340" t="str">
        <f>VLOOKUP(C94,Plan!A$1:B$65542,2,0)</f>
        <v>Otros Valores -Oficina y Transferencias (248)</v>
      </c>
      <c r="E94" s="341">
        <f>+F94-G94</f>
        <v>-100000</v>
      </c>
      <c r="F94" s="346"/>
      <c r="G94" s="346">
        <f>+F93</f>
        <v>100000</v>
      </c>
      <c r="H94" s="338" t="str">
        <f>+H93</f>
        <v>I. Ureta / 248</v>
      </c>
      <c r="I94" s="401" t="str">
        <f>+I93</f>
        <v>Cali</v>
      </c>
      <c r="K94" s="370"/>
      <c r="N94" s="370"/>
    </row>
    <row r="95" spans="1:14" s="347" customFormat="1" x14ac:dyDescent="0.25">
      <c r="A95" s="369"/>
      <c r="E95" s="396"/>
      <c r="F95" s="396"/>
      <c r="G95" s="396"/>
      <c r="K95" s="370"/>
      <c r="N95" s="370"/>
    </row>
    <row r="96" spans="1:14" s="347" customFormat="1" x14ac:dyDescent="0.25">
      <c r="A96" s="339">
        <v>44200</v>
      </c>
      <c r="B96" s="340">
        <v>1</v>
      </c>
      <c r="C96" s="338">
        <v>115</v>
      </c>
      <c r="D96" s="340" t="str">
        <f>VLOOKUP(C96,Plan!A$1:B$65542,2,0)</f>
        <v>Disponible Cali B.Chile</v>
      </c>
      <c r="E96" s="341">
        <f>+F96-G96</f>
        <v>25000</v>
      </c>
      <c r="F96" s="346">
        <v>25000</v>
      </c>
      <c r="G96" s="346">
        <v>0</v>
      </c>
      <c r="H96" s="338" t="s">
        <v>658</v>
      </c>
      <c r="I96" s="401" t="s">
        <v>131</v>
      </c>
      <c r="K96" s="370"/>
      <c r="N96" s="370"/>
    </row>
    <row r="97" spans="1:14" s="347" customFormat="1" x14ac:dyDescent="0.25">
      <c r="A97" s="339">
        <f>+A96</f>
        <v>44200</v>
      </c>
      <c r="B97" s="340">
        <f>+B96</f>
        <v>1</v>
      </c>
      <c r="C97" s="338">
        <v>1222</v>
      </c>
      <c r="D97" s="340" t="str">
        <f>VLOOKUP(C97,Plan!A$1:B$65542,2,0)</f>
        <v>Otros Valores -Oficina y Transferencias (249)</v>
      </c>
      <c r="E97" s="341">
        <f>+F97-G97</f>
        <v>-25000</v>
      </c>
      <c r="F97" s="346"/>
      <c r="G97" s="346">
        <f>+F96</f>
        <v>25000</v>
      </c>
      <c r="H97" s="338" t="str">
        <f>+H96</f>
        <v>Maria Dolores Rioseco / 249</v>
      </c>
      <c r="I97" s="401" t="str">
        <f>+I96</f>
        <v>Cali</v>
      </c>
      <c r="K97" s="370"/>
      <c r="N97" s="370"/>
    </row>
    <row r="98" spans="1:14" s="347" customFormat="1" x14ac:dyDescent="0.25">
      <c r="A98" s="369"/>
      <c r="E98" s="396"/>
      <c r="F98" s="396"/>
      <c r="G98" s="396"/>
      <c r="K98" s="370"/>
      <c r="N98" s="370"/>
    </row>
    <row r="99" spans="1:14" s="347" customFormat="1" x14ac:dyDescent="0.25">
      <c r="A99" s="339">
        <v>44200</v>
      </c>
      <c r="B99" s="340">
        <v>1</v>
      </c>
      <c r="C99" s="338">
        <v>115</v>
      </c>
      <c r="D99" s="340" t="str">
        <f>VLOOKUP(C99,Plan!A$1:B$65542,2,0)</f>
        <v>Disponible Cali B.Chile</v>
      </c>
      <c r="E99" s="341">
        <f>+F99-G99</f>
        <v>55000</v>
      </c>
      <c r="F99" s="346">
        <v>55000</v>
      </c>
      <c r="G99" s="346">
        <v>0</v>
      </c>
      <c r="H99" s="338" t="s">
        <v>670</v>
      </c>
      <c r="I99" s="401" t="s">
        <v>131</v>
      </c>
      <c r="K99" s="370"/>
      <c r="N99" s="370"/>
    </row>
    <row r="100" spans="1:14" s="347" customFormat="1" x14ac:dyDescent="0.25">
      <c r="A100" s="339">
        <f>+A99</f>
        <v>44200</v>
      </c>
      <c r="B100" s="340">
        <f>+B99</f>
        <v>1</v>
      </c>
      <c r="C100" s="338">
        <v>1222</v>
      </c>
      <c r="D100" s="340" t="str">
        <f>VLOOKUP(C100,Plan!A$1:B$65542,2,0)</f>
        <v>Otros Valores -Oficina y Transferencias (249)</v>
      </c>
      <c r="E100" s="341">
        <f>+F100-G100</f>
        <v>-55000</v>
      </c>
      <c r="F100" s="346"/>
      <c r="G100" s="346">
        <f>+F99</f>
        <v>55000</v>
      </c>
      <c r="H100" s="338" t="str">
        <f>+H99</f>
        <v>Enrique Brahm / 249</v>
      </c>
      <c r="I100" s="401" t="str">
        <f>+I99</f>
        <v>Cali</v>
      </c>
      <c r="K100" s="370"/>
      <c r="N100" s="370"/>
    </row>
    <row r="101" spans="1:14" s="347" customFormat="1" x14ac:dyDescent="0.25">
      <c r="A101" s="369"/>
      <c r="E101" s="396"/>
      <c r="F101" s="396"/>
      <c r="G101" s="396"/>
      <c r="K101" s="370"/>
      <c r="N101" s="370"/>
    </row>
    <row r="102" spans="1:14" s="347" customFormat="1" x14ac:dyDescent="0.25">
      <c r="A102" s="339">
        <v>44200</v>
      </c>
      <c r="B102" s="340">
        <v>1</v>
      </c>
      <c r="C102" s="338">
        <v>115</v>
      </c>
      <c r="D102" s="340" t="str">
        <f>VLOOKUP(C102,Plan!A$1:B$65542,2,0)</f>
        <v>Disponible Cali B.Chile</v>
      </c>
      <c r="E102" s="341">
        <f>+F102-G102</f>
        <v>40000</v>
      </c>
      <c r="F102" s="346">
        <v>40000</v>
      </c>
      <c r="G102" s="346">
        <v>0</v>
      </c>
      <c r="H102" s="338" t="s">
        <v>796</v>
      </c>
      <c r="I102" s="401" t="s">
        <v>131</v>
      </c>
      <c r="K102" s="370"/>
      <c r="N102" s="370"/>
    </row>
    <row r="103" spans="1:14" s="347" customFormat="1" x14ac:dyDescent="0.25">
      <c r="A103" s="339">
        <f>+A102</f>
        <v>44200</v>
      </c>
      <c r="B103" s="340">
        <f>+B102</f>
        <v>1</v>
      </c>
      <c r="C103" s="338">
        <v>1222</v>
      </c>
      <c r="D103" s="340" t="str">
        <f>VLOOKUP(C103,Plan!A$1:B$65542,2,0)</f>
        <v>Otros Valores -Oficina y Transferencias (249)</v>
      </c>
      <c r="E103" s="341">
        <f>+F103-G103</f>
        <v>-40000</v>
      </c>
      <c r="F103" s="346"/>
      <c r="G103" s="346">
        <f>+F102</f>
        <v>40000</v>
      </c>
      <c r="H103" s="338" t="str">
        <f>+H102</f>
        <v>Raul Strappa / 249</v>
      </c>
      <c r="I103" s="401" t="str">
        <f>+I102</f>
        <v>Cali</v>
      </c>
      <c r="K103" s="370"/>
      <c r="N103" s="370"/>
    </row>
    <row r="104" spans="1:14" s="347" customFormat="1" x14ac:dyDescent="0.25">
      <c r="A104" s="369"/>
      <c r="E104" s="396"/>
      <c r="F104" s="396"/>
      <c r="G104" s="396"/>
      <c r="K104" s="370"/>
      <c r="N104" s="370"/>
    </row>
    <row r="105" spans="1:14" s="347" customFormat="1" x14ac:dyDescent="0.25">
      <c r="A105" s="339">
        <v>44200</v>
      </c>
      <c r="B105" s="340">
        <v>1</v>
      </c>
      <c r="C105" s="338">
        <v>115</v>
      </c>
      <c r="D105" s="340" t="str">
        <f>VLOOKUP(C105,Plan!A$1:B$65542,2,0)</f>
        <v>Disponible Cali B.Chile</v>
      </c>
      <c r="E105" s="341">
        <f>+F105-G105</f>
        <v>50000</v>
      </c>
      <c r="F105" s="346">
        <v>50000</v>
      </c>
      <c r="G105" s="346">
        <v>0</v>
      </c>
      <c r="H105" s="338" t="s">
        <v>798</v>
      </c>
      <c r="I105" s="401" t="s">
        <v>131</v>
      </c>
      <c r="K105" s="370"/>
      <c r="N105" s="370"/>
    </row>
    <row r="106" spans="1:14" s="347" customFormat="1" x14ac:dyDescent="0.25">
      <c r="A106" s="339">
        <f>+A105</f>
        <v>44200</v>
      </c>
      <c r="B106" s="340">
        <f>+B105</f>
        <v>1</v>
      </c>
      <c r="C106" s="338">
        <v>1222</v>
      </c>
      <c r="D106" s="340" t="str">
        <f>VLOOKUP(C106,Plan!A$1:B$65542,2,0)</f>
        <v>Otros Valores -Oficina y Transferencias (249)</v>
      </c>
      <c r="E106" s="341">
        <f>+F106-G106</f>
        <v>-50000</v>
      </c>
      <c r="F106" s="346"/>
      <c r="G106" s="346">
        <f>+F105</f>
        <v>50000</v>
      </c>
      <c r="H106" s="338" t="str">
        <f>+H105</f>
        <v>Franciasco Salazar /249</v>
      </c>
      <c r="I106" s="401" t="str">
        <f>+I105</f>
        <v>Cali</v>
      </c>
      <c r="K106" s="370"/>
      <c r="N106" s="370"/>
    </row>
    <row r="107" spans="1:14" s="347" customFormat="1" x14ac:dyDescent="0.25">
      <c r="A107" s="369"/>
      <c r="E107" s="396"/>
      <c r="F107" s="396"/>
      <c r="G107" s="396"/>
      <c r="K107" s="370"/>
      <c r="N107" s="370"/>
    </row>
    <row r="108" spans="1:14" s="347" customFormat="1" x14ac:dyDescent="0.25">
      <c r="A108" s="339">
        <v>44200</v>
      </c>
      <c r="B108" s="340">
        <v>1</v>
      </c>
      <c r="C108" s="338">
        <v>115</v>
      </c>
      <c r="D108" s="347" t="str">
        <f>VLOOKUP(C108,Plan!A$1:B$65542,2,0)</f>
        <v>Disponible Cali B.Chile</v>
      </c>
      <c r="E108" s="341">
        <f>+F108-G108</f>
        <v>30000</v>
      </c>
      <c r="F108" s="346">
        <v>30000</v>
      </c>
      <c r="G108" s="346">
        <v>0</v>
      </c>
      <c r="H108" s="338" t="s">
        <v>848</v>
      </c>
      <c r="I108" s="401" t="s">
        <v>131</v>
      </c>
      <c r="K108" s="370"/>
      <c r="N108" s="370"/>
    </row>
    <row r="109" spans="1:14" s="347" customFormat="1" x14ac:dyDescent="0.25">
      <c r="A109" s="339">
        <f>+A108</f>
        <v>44200</v>
      </c>
      <c r="B109" s="340">
        <f>+B108</f>
        <v>1</v>
      </c>
      <c r="C109" s="338">
        <v>3210</v>
      </c>
      <c r="D109" s="347" t="str">
        <f>VLOOKUP(C109,Plan!A$1:B$65542,2,0)</f>
        <v>Donacion Construccion</v>
      </c>
      <c r="E109" s="341">
        <f>+F109-G109</f>
        <v>-30000</v>
      </c>
      <c r="F109" s="346"/>
      <c r="G109" s="346">
        <f>+F108</f>
        <v>30000</v>
      </c>
      <c r="H109" s="338" t="str">
        <f>+H108</f>
        <v>Patrick Horn / Azul</v>
      </c>
      <c r="I109" s="401" t="str">
        <f>+I108</f>
        <v>Cali</v>
      </c>
      <c r="K109" s="370"/>
      <c r="N109" s="370"/>
    </row>
    <row r="110" spans="1:14" s="347" customFormat="1" x14ac:dyDescent="0.25">
      <c r="A110" s="369"/>
      <c r="E110" s="396"/>
      <c r="F110" s="396"/>
      <c r="G110" s="396"/>
      <c r="K110" s="370"/>
      <c r="N110" s="370"/>
    </row>
    <row r="111" spans="1:14" s="347" customFormat="1" x14ac:dyDescent="0.25">
      <c r="A111" s="339">
        <v>44200</v>
      </c>
      <c r="B111" s="340">
        <v>1</v>
      </c>
      <c r="C111" s="338">
        <v>115</v>
      </c>
      <c r="D111" s="347" t="str">
        <f>VLOOKUP(C111,Plan!A$1:B$65542,2,0)</f>
        <v>Disponible Cali B.Chile</v>
      </c>
      <c r="E111" s="341">
        <f>+F111-G111</f>
        <v>5000</v>
      </c>
      <c r="F111" s="346">
        <v>5000</v>
      </c>
      <c r="G111" s="346">
        <v>0</v>
      </c>
      <c r="H111" s="338"/>
      <c r="I111" s="401" t="s">
        <v>131</v>
      </c>
      <c r="K111" s="370"/>
      <c r="N111" s="370"/>
    </row>
    <row r="112" spans="1:14" s="347" customFormat="1" x14ac:dyDescent="0.25">
      <c r="A112" s="339">
        <f>+A111</f>
        <v>44200</v>
      </c>
      <c r="B112" s="340">
        <f>+B111</f>
        <v>1</v>
      </c>
      <c r="C112" s="338">
        <v>216</v>
      </c>
      <c r="D112" s="347" t="str">
        <f>VLOOKUP(C112,Plan!A$1:B$65542,2,0)</f>
        <v>Cuenta por Pagar a Administración Colectas</v>
      </c>
      <c r="E112" s="341">
        <f>+F112-G112</f>
        <v>-5000</v>
      </c>
      <c r="F112" s="346"/>
      <c r="G112" s="346">
        <f>+F111</f>
        <v>5000</v>
      </c>
      <c r="H112" s="338">
        <f>+H111</f>
        <v>0</v>
      </c>
      <c r="I112" s="401" t="str">
        <f>+I111</f>
        <v>Cali</v>
      </c>
      <c r="K112" s="370"/>
      <c r="N112" s="370"/>
    </row>
    <row r="113" spans="1:14" s="347" customFormat="1" x14ac:dyDescent="0.25">
      <c r="A113" s="369"/>
      <c r="E113" s="396"/>
      <c r="F113" s="396"/>
      <c r="G113" s="396"/>
      <c r="K113" s="370"/>
      <c r="N113" s="370"/>
    </row>
    <row r="114" spans="1:14" s="347" customFormat="1" x14ac:dyDescent="0.25">
      <c r="A114" s="339">
        <v>44200</v>
      </c>
      <c r="B114" s="340">
        <v>1</v>
      </c>
      <c r="C114" s="338">
        <v>115</v>
      </c>
      <c r="D114" s="347" t="str">
        <f>VLOOKUP(C114,Plan!A$1:B$65542,2,0)</f>
        <v>Disponible Cali B.Chile</v>
      </c>
      <c r="E114" s="341">
        <f>+F114-G114</f>
        <v>8000</v>
      </c>
      <c r="F114" s="346">
        <v>8000</v>
      </c>
      <c r="G114" s="346">
        <v>0</v>
      </c>
      <c r="H114" s="338"/>
      <c r="I114" s="401" t="s">
        <v>131</v>
      </c>
      <c r="K114" s="370"/>
      <c r="N114" s="370"/>
    </row>
    <row r="115" spans="1:14" s="347" customFormat="1" x14ac:dyDescent="0.25">
      <c r="A115" s="339">
        <f>+A114</f>
        <v>44200</v>
      </c>
      <c r="B115" s="340">
        <f>+B114</f>
        <v>1</v>
      </c>
      <c r="C115" s="338">
        <v>216</v>
      </c>
      <c r="D115" s="347" t="str">
        <f>VLOOKUP(C115,Plan!A$1:B$65542,2,0)</f>
        <v>Cuenta por Pagar a Administración Colectas</v>
      </c>
      <c r="E115" s="341">
        <f>+F115-G115</f>
        <v>-8000</v>
      </c>
      <c r="F115" s="346"/>
      <c r="G115" s="346">
        <f>+F114</f>
        <v>8000</v>
      </c>
      <c r="H115" s="338">
        <f>+H114</f>
        <v>0</v>
      </c>
      <c r="I115" s="401" t="str">
        <f>+I114</f>
        <v>Cali</v>
      </c>
      <c r="K115" s="370"/>
      <c r="N115" s="370"/>
    </row>
    <row r="116" spans="1:14" s="347" customFormat="1" x14ac:dyDescent="0.25">
      <c r="A116" s="369"/>
      <c r="E116" s="396"/>
      <c r="F116" s="396"/>
      <c r="G116" s="396"/>
      <c r="K116" s="370"/>
      <c r="N116" s="370"/>
    </row>
    <row r="117" spans="1:14" s="347" customFormat="1" x14ac:dyDescent="0.25">
      <c r="A117" s="339">
        <v>44200</v>
      </c>
      <c r="B117" s="340">
        <v>1</v>
      </c>
      <c r="C117" s="338">
        <v>115</v>
      </c>
      <c r="D117" s="340" t="str">
        <f>VLOOKUP(C117,Plan!A$1:B$65542,2,0)</f>
        <v>Disponible Cali B.Chile</v>
      </c>
      <c r="E117" s="341">
        <f>+F117-G117</f>
        <v>10000</v>
      </c>
      <c r="F117" s="346">
        <v>10000</v>
      </c>
      <c r="G117" s="346">
        <v>0</v>
      </c>
      <c r="H117" s="338" t="s">
        <v>566</v>
      </c>
      <c r="I117" s="401" t="s">
        <v>131</v>
      </c>
      <c r="K117" s="370"/>
      <c r="N117" s="370"/>
    </row>
    <row r="118" spans="1:14" s="347" customFormat="1" x14ac:dyDescent="0.25">
      <c r="A118" s="339">
        <f>+A117</f>
        <v>44200</v>
      </c>
      <c r="B118" s="340">
        <f>+B117</f>
        <v>1</v>
      </c>
      <c r="C118" s="338">
        <v>1222</v>
      </c>
      <c r="D118" s="340" t="str">
        <f>VLOOKUP(C118,Plan!A$1:B$65542,2,0)</f>
        <v>Otros Valores -Oficina y Transferencias (249)</v>
      </c>
      <c r="E118" s="341">
        <f>+F118-G118</f>
        <v>-10000</v>
      </c>
      <c r="F118" s="346"/>
      <c r="G118" s="346">
        <f>+F117</f>
        <v>10000</v>
      </c>
      <c r="H118" s="338" t="str">
        <f>+H117</f>
        <v>Ana Maria Ugarte / 249</v>
      </c>
      <c r="I118" s="401" t="str">
        <f>+I117</f>
        <v>Cali</v>
      </c>
      <c r="K118" s="370"/>
      <c r="N118" s="370"/>
    </row>
    <row r="119" spans="1:14" s="347" customFormat="1" x14ac:dyDescent="0.25">
      <c r="A119" s="369"/>
      <c r="E119" s="396"/>
      <c r="F119" s="396"/>
      <c r="G119" s="396"/>
      <c r="K119" s="370"/>
      <c r="N119" s="370"/>
    </row>
    <row r="120" spans="1:14" s="347" customFormat="1" x14ac:dyDescent="0.25">
      <c r="A120" s="339">
        <v>44200</v>
      </c>
      <c r="B120" s="340">
        <v>1</v>
      </c>
      <c r="C120" s="338">
        <v>115</v>
      </c>
      <c r="D120" s="340" t="str">
        <f>VLOOKUP(C120,Plan!A$1:B$65542,2,0)</f>
        <v>Disponible Cali B.Chile</v>
      </c>
      <c r="E120" s="341">
        <f>+F120-G120</f>
        <v>50000</v>
      </c>
      <c r="F120" s="346">
        <v>50000</v>
      </c>
      <c r="G120" s="346">
        <v>0</v>
      </c>
      <c r="H120" s="338" t="s">
        <v>799</v>
      </c>
      <c r="I120" s="401" t="s">
        <v>131</v>
      </c>
      <c r="K120" s="370"/>
      <c r="N120" s="370"/>
    </row>
    <row r="121" spans="1:14" s="347" customFormat="1" x14ac:dyDescent="0.25">
      <c r="A121" s="339">
        <f>+A120</f>
        <v>44200</v>
      </c>
      <c r="B121" s="340">
        <f>+B120</f>
        <v>1</v>
      </c>
      <c r="C121" s="338">
        <v>1222</v>
      </c>
      <c r="D121" s="340" t="str">
        <f>VLOOKUP(C121,Plan!A$1:B$65542,2,0)</f>
        <v>Otros Valores -Oficina y Transferencias (249)</v>
      </c>
      <c r="E121" s="341">
        <f>+F121-G121</f>
        <v>-50000</v>
      </c>
      <c r="F121" s="346"/>
      <c r="G121" s="346">
        <f>+F120</f>
        <v>50000</v>
      </c>
      <c r="H121" s="338" t="str">
        <f>+H120</f>
        <v>Matías Ubilla /249</v>
      </c>
      <c r="I121" s="401" t="str">
        <f>+I120</f>
        <v>Cali</v>
      </c>
      <c r="K121" s="370"/>
      <c r="N121" s="370"/>
    </row>
    <row r="122" spans="1:14" s="347" customFormat="1" x14ac:dyDescent="0.25">
      <c r="A122" s="369"/>
      <c r="E122" s="396"/>
      <c r="F122" s="396"/>
      <c r="G122" s="396"/>
      <c r="K122" s="370"/>
      <c r="N122" s="370"/>
    </row>
    <row r="123" spans="1:14" s="347" customFormat="1" x14ac:dyDescent="0.25">
      <c r="A123" s="339">
        <v>44200</v>
      </c>
      <c r="B123" s="340">
        <v>1</v>
      </c>
      <c r="C123" s="338">
        <v>115</v>
      </c>
      <c r="D123" s="340" t="str">
        <f>VLOOKUP(C123,Plan!A$1:B$65542,2,0)</f>
        <v>Disponible Cali B.Chile</v>
      </c>
      <c r="E123" s="341">
        <f>+F123-G123</f>
        <v>150000</v>
      </c>
      <c r="F123" s="346">
        <v>150000</v>
      </c>
      <c r="G123" s="346">
        <v>0</v>
      </c>
      <c r="H123" s="338" t="s">
        <v>800</v>
      </c>
      <c r="I123" s="401" t="s">
        <v>131</v>
      </c>
      <c r="K123" s="370"/>
      <c r="N123" s="370"/>
    </row>
    <row r="124" spans="1:14" s="347" customFormat="1" x14ac:dyDescent="0.25">
      <c r="A124" s="339">
        <f>+A123</f>
        <v>44200</v>
      </c>
      <c r="B124" s="340">
        <f>+B123</f>
        <v>1</v>
      </c>
      <c r="C124" s="338">
        <v>1222</v>
      </c>
      <c r="D124" s="340" t="str">
        <f>VLOOKUP(C124,Plan!A$1:B$65542,2,0)</f>
        <v>Otros Valores -Oficina y Transferencias (249)</v>
      </c>
      <c r="E124" s="341">
        <f>+F124-G124</f>
        <v>-150000</v>
      </c>
      <c r="F124" s="346"/>
      <c r="G124" s="346">
        <f>+F123</f>
        <v>150000</v>
      </c>
      <c r="H124" s="338" t="str">
        <f>+H123</f>
        <v>Jose M. Ureta C / 249</v>
      </c>
      <c r="I124" s="401" t="str">
        <f>+I123</f>
        <v>Cali</v>
      </c>
      <c r="K124" s="370"/>
      <c r="N124" s="370"/>
    </row>
    <row r="125" spans="1:14" s="347" customFormat="1" x14ac:dyDescent="0.25">
      <c r="A125" s="369"/>
      <c r="E125" s="396"/>
      <c r="F125" s="396"/>
      <c r="G125" s="396"/>
      <c r="K125" s="370"/>
      <c r="N125" s="370"/>
    </row>
    <row r="126" spans="1:14" s="347" customFormat="1" x14ac:dyDescent="0.25">
      <c r="A126" s="339">
        <v>44200</v>
      </c>
      <c r="B126" s="340">
        <v>1</v>
      </c>
      <c r="C126" s="338">
        <v>115</v>
      </c>
      <c r="D126" s="340" t="str">
        <f>VLOOKUP(C126,Plan!A$1:B$65542,2,0)</f>
        <v>Disponible Cali B.Chile</v>
      </c>
      <c r="E126" s="341">
        <f>+F126-G126</f>
        <v>10000</v>
      </c>
      <c r="F126" s="346">
        <v>10000</v>
      </c>
      <c r="G126" s="346">
        <v>0</v>
      </c>
      <c r="H126" s="338" t="s">
        <v>817</v>
      </c>
      <c r="I126" s="401" t="s">
        <v>131</v>
      </c>
      <c r="K126" s="370"/>
      <c r="N126" s="370"/>
    </row>
    <row r="127" spans="1:14" s="347" customFormat="1" x14ac:dyDescent="0.25">
      <c r="A127" s="339">
        <f>+A126</f>
        <v>44200</v>
      </c>
      <c r="B127" s="340">
        <f>+B126</f>
        <v>1</v>
      </c>
      <c r="C127" s="338">
        <v>1222</v>
      </c>
      <c r="D127" s="340" t="str">
        <f>VLOOKUP(C127,Plan!A$1:B$65542,2,0)</f>
        <v>Otros Valores -Oficina y Transferencias (249)</v>
      </c>
      <c r="E127" s="341">
        <f>+F127-G127</f>
        <v>-10000</v>
      </c>
      <c r="F127" s="346"/>
      <c r="G127" s="346">
        <f>+F126</f>
        <v>10000</v>
      </c>
      <c r="H127" s="338" t="str">
        <f>+H126</f>
        <v>Ignacio Prat / 249</v>
      </c>
      <c r="I127" s="401" t="str">
        <f>+I126</f>
        <v>Cali</v>
      </c>
      <c r="K127" s="370"/>
      <c r="N127" s="370"/>
    </row>
    <row r="128" spans="1:14" s="347" customFormat="1" x14ac:dyDescent="0.25">
      <c r="A128" s="369"/>
      <c r="E128" s="396"/>
      <c r="F128" s="396"/>
      <c r="G128" s="396"/>
      <c r="K128" s="370"/>
      <c r="N128" s="370"/>
    </row>
    <row r="129" spans="1:14" s="347" customFormat="1" x14ac:dyDescent="0.25">
      <c r="A129" s="339">
        <v>44200</v>
      </c>
      <c r="B129" s="340">
        <v>1</v>
      </c>
      <c r="C129" s="338">
        <v>115</v>
      </c>
      <c r="D129" s="347" t="str">
        <f>VLOOKUP(C129,Plan!A$1:B$65542,2,0)</f>
        <v>Disponible Cali B.Chile</v>
      </c>
      <c r="E129" s="341">
        <f>+F129-G129</f>
        <v>20000</v>
      </c>
      <c r="F129" s="346">
        <v>20000</v>
      </c>
      <c r="G129" s="346">
        <v>0</v>
      </c>
      <c r="H129" s="338" t="s">
        <v>801</v>
      </c>
      <c r="I129" s="401" t="s">
        <v>131</v>
      </c>
      <c r="K129" s="370"/>
      <c r="N129" s="370"/>
    </row>
    <row r="130" spans="1:14" s="347" customFormat="1" x14ac:dyDescent="0.25">
      <c r="A130" s="339">
        <f>+A129</f>
        <v>44200</v>
      </c>
      <c r="B130" s="340">
        <f>+B129</f>
        <v>1</v>
      </c>
      <c r="C130" s="338">
        <v>3210</v>
      </c>
      <c r="D130" s="347" t="str">
        <f>VLOOKUP(C130,Plan!A$1:B$65542,2,0)</f>
        <v>Donacion Construccion</v>
      </c>
      <c r="E130" s="341">
        <f>+F130-G130</f>
        <v>-20000</v>
      </c>
      <c r="F130" s="346"/>
      <c r="G130" s="346">
        <f>+F129</f>
        <v>20000</v>
      </c>
      <c r="H130" s="338" t="str">
        <f>+H129</f>
        <v>Karina Rabino  / Azul</v>
      </c>
      <c r="I130" s="401" t="str">
        <f>+I129</f>
        <v>Cali</v>
      </c>
      <c r="K130" s="370"/>
      <c r="N130" s="370"/>
    </row>
    <row r="131" spans="1:14" s="347" customFormat="1" x14ac:dyDescent="0.25">
      <c r="A131" s="369"/>
      <c r="E131" s="396"/>
      <c r="F131" s="396"/>
      <c r="G131" s="396"/>
      <c r="K131" s="370"/>
      <c r="N131" s="370"/>
    </row>
    <row r="132" spans="1:14" s="347" customFormat="1" x14ac:dyDescent="0.25">
      <c r="A132" s="339">
        <v>44200</v>
      </c>
      <c r="B132" s="340">
        <v>1</v>
      </c>
      <c r="C132" s="338">
        <v>115</v>
      </c>
      <c r="D132" s="347" t="str">
        <f>VLOOKUP(C132,Plan!A$1:B$65542,2,0)</f>
        <v>Disponible Cali B.Chile</v>
      </c>
      <c r="E132" s="341">
        <f>+F132-G132</f>
        <v>4907</v>
      </c>
      <c r="F132" s="346">
        <v>4907</v>
      </c>
      <c r="G132" s="346">
        <v>0</v>
      </c>
      <c r="H132" s="338" t="s">
        <v>802</v>
      </c>
      <c r="I132" s="401" t="s">
        <v>131</v>
      </c>
      <c r="K132" s="370"/>
      <c r="N132" s="370"/>
    </row>
    <row r="133" spans="1:14" s="347" customFormat="1" x14ac:dyDescent="0.25">
      <c r="A133" s="339">
        <f>+A132</f>
        <v>44200</v>
      </c>
      <c r="B133" s="340">
        <f>+B132</f>
        <v>1</v>
      </c>
      <c r="C133" s="338">
        <v>216</v>
      </c>
      <c r="D133" s="347" t="str">
        <f>VLOOKUP(C133,Plan!A$1:B$65542,2,0)</f>
        <v>Cuenta por Pagar a Administración Colectas</v>
      </c>
      <c r="E133" s="341">
        <f>+F133-G133</f>
        <v>-4907</v>
      </c>
      <c r="F133" s="346"/>
      <c r="G133" s="346">
        <f>+F132</f>
        <v>4907</v>
      </c>
      <c r="H133" s="338" t="str">
        <f>+H132</f>
        <v>Abono  TBK por DCT</v>
      </c>
      <c r="I133" s="401" t="str">
        <f>+I132</f>
        <v>Cali</v>
      </c>
      <c r="K133" s="370"/>
      <c r="N133" s="370"/>
    </row>
    <row r="134" spans="1:14" s="347" customFormat="1" x14ac:dyDescent="0.25">
      <c r="A134" s="369"/>
      <c r="E134" s="396"/>
      <c r="F134" s="396"/>
      <c r="G134" s="396"/>
      <c r="K134" s="370"/>
      <c r="N134" s="370"/>
    </row>
    <row r="135" spans="1:14" s="347" customFormat="1" x14ac:dyDescent="0.25">
      <c r="A135" s="339">
        <v>44200</v>
      </c>
      <c r="B135" s="340">
        <v>1</v>
      </c>
      <c r="C135" s="338">
        <v>115</v>
      </c>
      <c r="D135" s="340" t="str">
        <f>VLOOKUP(C135,Plan!A$1:B$65542,2,0)</f>
        <v>Disponible Cali B.Chile</v>
      </c>
      <c r="E135" s="341">
        <f>+F135-G135</f>
        <v>70000</v>
      </c>
      <c r="F135" s="346">
        <v>70000</v>
      </c>
      <c r="G135" s="346">
        <v>0</v>
      </c>
      <c r="H135" t="s">
        <v>997</v>
      </c>
      <c r="I135" s="401" t="s">
        <v>131</v>
      </c>
      <c r="K135" s="370"/>
      <c r="N135" s="370"/>
    </row>
    <row r="136" spans="1:14" s="347" customFormat="1" x14ac:dyDescent="0.25">
      <c r="A136" s="339">
        <f>+A135</f>
        <v>44200</v>
      </c>
      <c r="B136" s="340">
        <f>+B135</f>
        <v>1</v>
      </c>
      <c r="C136" s="338">
        <v>1222</v>
      </c>
      <c r="D136" s="340" t="str">
        <f>VLOOKUP(C136,Plan!A$1:B$65542,2,0)</f>
        <v>Otros Valores -Oficina y Transferencias (249)</v>
      </c>
      <c r="E136" s="341">
        <f>+F136-G136</f>
        <v>-70000</v>
      </c>
      <c r="F136" s="346"/>
      <c r="G136" s="346">
        <f>+F135</f>
        <v>70000</v>
      </c>
      <c r="H136" t="s">
        <v>997</v>
      </c>
      <c r="I136" s="401" t="str">
        <f>+I135</f>
        <v>Cali</v>
      </c>
      <c r="K136" s="370"/>
      <c r="N136" s="370"/>
    </row>
    <row r="137" spans="1:14" s="347" customFormat="1" x14ac:dyDescent="0.25">
      <c r="A137" s="369"/>
      <c r="E137" s="396"/>
      <c r="F137" s="396"/>
      <c r="G137" s="396"/>
      <c r="K137" s="370"/>
      <c r="N137" s="370"/>
    </row>
    <row r="138" spans="1:14" s="347" customFormat="1" x14ac:dyDescent="0.25">
      <c r="A138" s="339">
        <v>44200</v>
      </c>
      <c r="B138" s="340">
        <v>1</v>
      </c>
      <c r="C138" s="338">
        <v>115</v>
      </c>
      <c r="D138" s="340" t="str">
        <f>VLOOKUP(C138,Plan!A$1:B$65542,2,0)</f>
        <v>Disponible Cali B.Chile</v>
      </c>
      <c r="E138" s="341">
        <f>+F138-G138</f>
        <v>20000</v>
      </c>
      <c r="F138" s="346">
        <v>20000</v>
      </c>
      <c r="G138" s="346">
        <v>0</v>
      </c>
      <c r="H138" t="s">
        <v>981</v>
      </c>
      <c r="I138" s="401" t="s">
        <v>131</v>
      </c>
      <c r="K138" s="370"/>
      <c r="N138" s="370"/>
    </row>
    <row r="139" spans="1:14" s="347" customFormat="1" x14ac:dyDescent="0.25">
      <c r="A139" s="339">
        <f>+A138</f>
        <v>44200</v>
      </c>
      <c r="B139" s="340">
        <f>+B138</f>
        <v>1</v>
      </c>
      <c r="C139" s="338">
        <v>1222</v>
      </c>
      <c r="D139" s="340" t="str">
        <f>VLOOKUP(C139,Plan!A$1:B$65542,2,0)</f>
        <v>Otros Valores -Oficina y Transferencias (249)</v>
      </c>
      <c r="E139" s="341">
        <f>+F139-G139</f>
        <v>-20000</v>
      </c>
      <c r="F139" s="346"/>
      <c r="G139" s="346">
        <f>+F138</f>
        <v>20000</v>
      </c>
      <c r="H139" t="s">
        <v>981</v>
      </c>
      <c r="I139" s="401" t="str">
        <f>+I138</f>
        <v>Cali</v>
      </c>
      <c r="K139" s="370"/>
      <c r="N139" s="370"/>
    </row>
    <row r="140" spans="1:14" s="347" customFormat="1" x14ac:dyDescent="0.25">
      <c r="A140" s="369"/>
      <c r="E140" s="396"/>
      <c r="F140" s="396"/>
      <c r="G140" s="396"/>
      <c r="K140" s="370"/>
      <c r="N140" s="370"/>
    </row>
    <row r="141" spans="1:14" s="347" customFormat="1" x14ac:dyDescent="0.25">
      <c r="A141" s="339">
        <v>44200</v>
      </c>
      <c r="B141" s="340">
        <v>1</v>
      </c>
      <c r="C141" s="338">
        <v>115</v>
      </c>
      <c r="D141" s="347" t="str">
        <f>VLOOKUP(C141,Plan!A$1:B$65542,2,0)</f>
        <v>Disponible Cali B.Chile</v>
      </c>
      <c r="E141" s="341">
        <f>+F141-G141</f>
        <v>12000</v>
      </c>
      <c r="F141" s="346">
        <v>12000</v>
      </c>
      <c r="G141" s="346">
        <v>0</v>
      </c>
      <c r="H141" s="338"/>
      <c r="I141" s="401" t="s">
        <v>131</v>
      </c>
      <c r="K141" s="370"/>
      <c r="N141" s="370"/>
    </row>
    <row r="142" spans="1:14" s="347" customFormat="1" x14ac:dyDescent="0.25">
      <c r="A142" s="339">
        <f>+A141</f>
        <v>44200</v>
      </c>
      <c r="B142" s="340">
        <f>+B141</f>
        <v>1</v>
      </c>
      <c r="C142" s="338">
        <v>216</v>
      </c>
      <c r="D142" s="347" t="str">
        <f>VLOOKUP(C142,Plan!A$1:B$65542,2,0)</f>
        <v>Cuenta por Pagar a Administración Colectas</v>
      </c>
      <c r="E142" s="341">
        <f>+F142-G142</f>
        <v>-12000</v>
      </c>
      <c r="F142" s="346"/>
      <c r="G142" s="346">
        <f>+F141</f>
        <v>12000</v>
      </c>
      <c r="H142" s="338">
        <f>+H141</f>
        <v>0</v>
      </c>
      <c r="I142" s="401" t="str">
        <f>+I141</f>
        <v>Cali</v>
      </c>
      <c r="K142" s="370"/>
      <c r="N142" s="370"/>
    </row>
    <row r="143" spans="1:14" s="347" customFormat="1" x14ac:dyDescent="0.25">
      <c r="A143" s="369"/>
      <c r="E143" s="396"/>
      <c r="F143" s="396"/>
      <c r="G143" s="396"/>
      <c r="K143" s="370"/>
      <c r="N143" s="370"/>
    </row>
    <row r="144" spans="1:14" s="347" customFormat="1" x14ac:dyDescent="0.25">
      <c r="A144" s="339">
        <v>44201</v>
      </c>
      <c r="B144" s="340">
        <v>1</v>
      </c>
      <c r="C144" s="338">
        <v>115</v>
      </c>
      <c r="D144" s="340" t="str">
        <f>VLOOKUP(C144,Plan!A$1:B$65542,2,0)</f>
        <v>Disponible Cali B.Chile</v>
      </c>
      <c r="E144" s="341">
        <f>+F144-G144</f>
        <v>20000</v>
      </c>
      <c r="F144" s="346">
        <v>20000</v>
      </c>
      <c r="G144" s="346">
        <v>0</v>
      </c>
      <c r="H144" s="338" t="s">
        <v>803</v>
      </c>
      <c r="I144" s="401" t="s">
        <v>131</v>
      </c>
      <c r="K144" s="370"/>
      <c r="N144" s="370"/>
    </row>
    <row r="145" spans="1:14" s="347" customFormat="1" x14ac:dyDescent="0.25">
      <c r="A145" s="339">
        <f>+A144</f>
        <v>44201</v>
      </c>
      <c r="B145" s="340">
        <f>+B144</f>
        <v>1</v>
      </c>
      <c r="C145" s="338">
        <v>1222</v>
      </c>
      <c r="D145" s="340" t="str">
        <f>VLOOKUP(C145,Plan!A$1:B$65542,2,0)</f>
        <v>Otros Valores -Oficina y Transferencias (249)</v>
      </c>
      <c r="E145" s="341">
        <f>+F145-G145</f>
        <v>-20000</v>
      </c>
      <c r="F145" s="346"/>
      <c r="G145" s="346">
        <f>+F144</f>
        <v>20000</v>
      </c>
      <c r="H145" s="338" t="str">
        <f>+H144</f>
        <v>Maria Jose Muñoz / 249</v>
      </c>
      <c r="I145" s="401" t="str">
        <f>+I144</f>
        <v>Cali</v>
      </c>
      <c r="K145" s="370"/>
      <c r="N145" s="370"/>
    </row>
    <row r="146" spans="1:14" s="347" customFormat="1" x14ac:dyDescent="0.25">
      <c r="A146" s="369"/>
      <c r="E146" s="396"/>
      <c r="F146" s="396"/>
      <c r="G146" s="396"/>
      <c r="K146" s="370"/>
      <c r="N146" s="370"/>
    </row>
    <row r="147" spans="1:14" s="347" customFormat="1" x14ac:dyDescent="0.25">
      <c r="A147" s="339">
        <v>44201</v>
      </c>
      <c r="B147" s="340">
        <v>1</v>
      </c>
      <c r="C147" s="338">
        <v>115</v>
      </c>
      <c r="D147" s="340" t="str">
        <f>VLOOKUP(C147,Plan!A$1:B$65542,2,0)</f>
        <v>Disponible Cali B.Chile</v>
      </c>
      <c r="E147" s="341">
        <f>+F147-G147</f>
        <v>20000</v>
      </c>
      <c r="F147" s="346">
        <v>20000</v>
      </c>
      <c r="G147" s="346">
        <v>0</v>
      </c>
      <c r="H147" s="338" t="s">
        <v>567</v>
      </c>
      <c r="I147" s="401" t="s">
        <v>131</v>
      </c>
      <c r="K147" s="370"/>
      <c r="N147" s="370"/>
    </row>
    <row r="148" spans="1:14" s="347" customFormat="1" x14ac:dyDescent="0.25">
      <c r="A148" s="339">
        <f>+A147</f>
        <v>44201</v>
      </c>
      <c r="B148" s="340">
        <f>+B147</f>
        <v>1</v>
      </c>
      <c r="C148" s="338">
        <v>1222</v>
      </c>
      <c r="D148" s="340" t="str">
        <f>VLOOKUP(C148,Plan!A$1:B$65542,2,0)</f>
        <v>Otros Valores -Oficina y Transferencias (249)</v>
      </c>
      <c r="E148" s="341">
        <f>+F148-G148</f>
        <v>-20000</v>
      </c>
      <c r="F148" s="346"/>
      <c r="G148" s="346">
        <f>+F147</f>
        <v>20000</v>
      </c>
      <c r="H148" s="338" t="str">
        <f>+H147</f>
        <v>Fca. Orrego / 249</v>
      </c>
      <c r="I148" s="401" t="str">
        <f>+I147</f>
        <v>Cali</v>
      </c>
      <c r="K148" s="370"/>
      <c r="N148" s="370"/>
    </row>
    <row r="149" spans="1:14" s="347" customFormat="1" x14ac:dyDescent="0.25">
      <c r="A149" s="369"/>
      <c r="E149" s="396"/>
      <c r="F149" s="396"/>
      <c r="G149" s="396"/>
      <c r="K149" s="370"/>
      <c r="N149" s="370"/>
    </row>
    <row r="150" spans="1:14" s="347" customFormat="1" x14ac:dyDescent="0.25">
      <c r="A150" s="339">
        <v>44201</v>
      </c>
      <c r="B150" s="340">
        <v>1</v>
      </c>
      <c r="C150" s="338">
        <v>115</v>
      </c>
      <c r="D150" s="340" t="str">
        <f>VLOOKUP(C150,Plan!A$1:B$65542,2,0)</f>
        <v>Disponible Cali B.Chile</v>
      </c>
      <c r="E150" s="341">
        <f>+F150-G150</f>
        <v>15000</v>
      </c>
      <c r="F150" s="346">
        <v>15000</v>
      </c>
      <c r="G150" s="346">
        <v>0</v>
      </c>
      <c r="H150" s="338" t="s">
        <v>804</v>
      </c>
      <c r="I150" s="401" t="s">
        <v>131</v>
      </c>
      <c r="K150" s="370"/>
      <c r="N150" s="370"/>
    </row>
    <row r="151" spans="1:14" s="347" customFormat="1" x14ac:dyDescent="0.25">
      <c r="A151" s="339">
        <f>+A150</f>
        <v>44201</v>
      </c>
      <c r="B151" s="340">
        <f>+B150</f>
        <v>1</v>
      </c>
      <c r="C151" s="338">
        <v>1216</v>
      </c>
      <c r="D151" s="340" t="str">
        <f>VLOOKUP(C151,Plan!A$1:B$65542,2,0)</f>
        <v>Otros Valores Recaudadoras</v>
      </c>
      <c r="E151" s="341">
        <f>+F151-G151</f>
        <v>-15000</v>
      </c>
      <c r="F151" s="346"/>
      <c r="G151" s="346">
        <f>+F150</f>
        <v>15000</v>
      </c>
      <c r="H151" s="338" t="str">
        <f>+H150</f>
        <v>Ana Maria Reyes</v>
      </c>
      <c r="I151" s="401" t="str">
        <f>+I150</f>
        <v>Cali</v>
      </c>
      <c r="K151" s="370"/>
      <c r="N151" s="370"/>
    </row>
    <row r="152" spans="1:14" s="347" customFormat="1" x14ac:dyDescent="0.25">
      <c r="A152" s="369"/>
      <c r="E152" s="396"/>
      <c r="F152" s="396"/>
      <c r="G152" s="396"/>
      <c r="K152" s="370"/>
      <c r="N152" s="370"/>
    </row>
    <row r="153" spans="1:14" s="347" customFormat="1" x14ac:dyDescent="0.25">
      <c r="A153" s="339">
        <v>44201</v>
      </c>
      <c r="B153" s="340">
        <v>1</v>
      </c>
      <c r="C153" s="338">
        <v>115</v>
      </c>
      <c r="D153" s="347" t="str">
        <f>VLOOKUP(C153,Plan!A$1:B$65542,2,0)</f>
        <v>Disponible Cali B.Chile</v>
      </c>
      <c r="E153" s="341">
        <f>+F153-G153</f>
        <v>50000</v>
      </c>
      <c r="F153" s="346">
        <v>50000</v>
      </c>
      <c r="G153" s="346">
        <v>0</v>
      </c>
      <c r="H153" s="338" t="s">
        <v>805</v>
      </c>
      <c r="I153" s="401" t="s">
        <v>131</v>
      </c>
      <c r="K153" s="370"/>
      <c r="N153" s="370"/>
    </row>
    <row r="154" spans="1:14" s="347" customFormat="1" x14ac:dyDescent="0.25">
      <c r="A154" s="339">
        <f>+A153</f>
        <v>44201</v>
      </c>
      <c r="B154" s="340">
        <f>+B153</f>
        <v>1</v>
      </c>
      <c r="C154" s="338">
        <v>3210</v>
      </c>
      <c r="D154" s="347" t="str">
        <f>VLOOKUP(C154,Plan!A$1:B$65542,2,0)</f>
        <v>Donacion Construccion</v>
      </c>
      <c r="E154" s="341">
        <f>+F154-G154</f>
        <v>-50000</v>
      </c>
      <c r="F154" s="346"/>
      <c r="G154" s="346">
        <f>+F153</f>
        <v>50000</v>
      </c>
      <c r="H154" s="338" t="str">
        <f>+H153</f>
        <v>JAVE / Azul</v>
      </c>
      <c r="I154" s="401" t="str">
        <f>+I153</f>
        <v>Cali</v>
      </c>
      <c r="K154" s="370"/>
      <c r="N154" s="370"/>
    </row>
    <row r="155" spans="1:14" s="347" customFormat="1" x14ac:dyDescent="0.25">
      <c r="A155" s="369"/>
      <c r="E155" s="396"/>
      <c r="F155" s="396"/>
      <c r="G155" s="396"/>
      <c r="K155" s="370"/>
      <c r="N155" s="370"/>
    </row>
    <row r="156" spans="1:14" s="347" customFormat="1" x14ac:dyDescent="0.25">
      <c r="A156" s="339">
        <v>44201</v>
      </c>
      <c r="B156" s="340">
        <v>1</v>
      </c>
      <c r="C156" s="338">
        <v>115</v>
      </c>
      <c r="D156" s="340" t="str">
        <f>VLOOKUP(C156,Plan!A$1:B$65542,2,0)</f>
        <v>Disponible Cali B.Chile</v>
      </c>
      <c r="E156" s="341">
        <f>+F156-G156</f>
        <v>10000</v>
      </c>
      <c r="F156" s="346">
        <v>10000</v>
      </c>
      <c r="G156" s="346">
        <v>0</v>
      </c>
      <c r="H156" s="338" t="s">
        <v>806</v>
      </c>
      <c r="I156" s="401" t="s">
        <v>131</v>
      </c>
      <c r="K156" s="370"/>
      <c r="N156" s="370"/>
    </row>
    <row r="157" spans="1:14" s="347" customFormat="1" x14ac:dyDescent="0.25">
      <c r="A157" s="339">
        <f>+A156</f>
        <v>44201</v>
      </c>
      <c r="B157" s="340">
        <f>+B156</f>
        <v>1</v>
      </c>
      <c r="C157" s="338">
        <v>3210</v>
      </c>
      <c r="D157" s="340" t="str">
        <f>VLOOKUP(C157,Plan!A$1:B$65542,2,0)</f>
        <v>Donacion Construccion</v>
      </c>
      <c r="E157" s="341">
        <f>+F157-G157</f>
        <v>-10000</v>
      </c>
      <c r="F157" s="346"/>
      <c r="G157" s="346">
        <f>+F156</f>
        <v>10000</v>
      </c>
      <c r="H157" s="338" t="str">
        <f>+H156</f>
        <v>Maria del Pilar Herrera / Azul</v>
      </c>
      <c r="I157" s="401" t="str">
        <f>+I156</f>
        <v>Cali</v>
      </c>
      <c r="K157" s="370"/>
      <c r="N157" s="370"/>
    </row>
    <row r="158" spans="1:14" s="347" customFormat="1" x14ac:dyDescent="0.25">
      <c r="A158" s="369"/>
      <c r="E158" s="396"/>
      <c r="F158" s="396"/>
      <c r="G158" s="396"/>
      <c r="K158" s="370"/>
      <c r="N158" s="370"/>
    </row>
    <row r="159" spans="1:14" s="347" customFormat="1" x14ac:dyDescent="0.25">
      <c r="A159" s="339">
        <v>44201</v>
      </c>
      <c r="B159" s="340">
        <v>1</v>
      </c>
      <c r="C159" s="338">
        <v>115</v>
      </c>
      <c r="D159" s="340" t="str">
        <f>VLOOKUP(C159,Plan!A$1:B$65542,2,0)</f>
        <v>Disponible Cali B.Chile</v>
      </c>
      <c r="E159" s="341">
        <f>+F159-G159</f>
        <v>1435887</v>
      </c>
      <c r="F159" s="346">
        <v>1435887</v>
      </c>
      <c r="G159" s="346">
        <v>0</v>
      </c>
      <c r="H159" s="343" t="s">
        <v>807</v>
      </c>
      <c r="I159" s="401" t="s">
        <v>131</v>
      </c>
      <c r="K159" s="370"/>
      <c r="N159" s="370"/>
    </row>
    <row r="160" spans="1:14" s="347" customFormat="1" x14ac:dyDescent="0.25">
      <c r="A160" s="339">
        <f>+A159</f>
        <v>44201</v>
      </c>
      <c r="B160" s="340">
        <f>+B159</f>
        <v>1</v>
      </c>
      <c r="C160" s="338">
        <v>4150</v>
      </c>
      <c r="D160" s="340" t="str">
        <f>VLOOKUP(C160,Plan!A$1:B$65542,2,0)</f>
        <v>Comisiones Cali Tarjetas de Creditos</v>
      </c>
      <c r="E160" s="341">
        <f>+F160-G160</f>
        <v>0</v>
      </c>
      <c r="F160" s="346">
        <v>0</v>
      </c>
      <c r="G160" s="346">
        <v>0</v>
      </c>
      <c r="H160" s="338" t="str">
        <f>+H159</f>
        <v>Abono TBK Azules Dic/2020</v>
      </c>
      <c r="I160" s="401" t="s">
        <v>131</v>
      </c>
      <c r="K160" s="370"/>
      <c r="N160" s="370"/>
    </row>
    <row r="161" spans="1:14" s="347" customFormat="1" x14ac:dyDescent="0.25">
      <c r="A161" s="369">
        <f>+A159</f>
        <v>44201</v>
      </c>
      <c r="B161" s="347">
        <f>+B159</f>
        <v>1</v>
      </c>
      <c r="C161" s="338">
        <v>3210</v>
      </c>
      <c r="D161" s="340" t="str">
        <f>VLOOKUP(C161,Plan!A$1:B$65542,2,0)</f>
        <v>Donacion Construccion</v>
      </c>
      <c r="E161" s="341">
        <f>+F161-G161</f>
        <v>-1435887</v>
      </c>
      <c r="F161" s="346">
        <v>0</v>
      </c>
      <c r="G161" s="346">
        <f>+F159</f>
        <v>1435887</v>
      </c>
      <c r="H161" s="338" t="str">
        <f>+H159</f>
        <v>Abono TBK Azules Dic/2020</v>
      </c>
      <c r="I161" s="401" t="s">
        <v>131</v>
      </c>
      <c r="K161" s="370"/>
      <c r="N161" s="370"/>
    </row>
    <row r="162" spans="1:14" s="347" customFormat="1" x14ac:dyDescent="0.25">
      <c r="A162" s="369"/>
      <c r="E162" s="396"/>
      <c r="F162" s="396"/>
      <c r="G162" s="396"/>
      <c r="K162" s="370"/>
      <c r="N162" s="370"/>
    </row>
    <row r="163" spans="1:14" s="347" customFormat="1" x14ac:dyDescent="0.25">
      <c r="A163" s="339">
        <v>44201</v>
      </c>
      <c r="B163" s="340">
        <v>1</v>
      </c>
      <c r="C163" s="338">
        <v>115</v>
      </c>
      <c r="D163" s="347" t="str">
        <f>VLOOKUP(C163,Plan!A$1:B$65542,2,0)</f>
        <v>Disponible Cali B.Chile</v>
      </c>
      <c r="E163" s="341">
        <f>+F163-G163</f>
        <v>14721</v>
      </c>
      <c r="F163" s="346">
        <v>14721</v>
      </c>
      <c r="G163" s="346">
        <v>0</v>
      </c>
      <c r="H163" s="338" t="s">
        <v>802</v>
      </c>
      <c r="I163" s="401" t="s">
        <v>131</v>
      </c>
      <c r="K163" s="370"/>
      <c r="N163" s="370"/>
    </row>
    <row r="164" spans="1:14" s="347" customFormat="1" x14ac:dyDescent="0.25">
      <c r="A164" s="339">
        <f>+A163</f>
        <v>44201</v>
      </c>
      <c r="B164" s="340">
        <f>+B163</f>
        <v>1</v>
      </c>
      <c r="C164" s="338">
        <v>216</v>
      </c>
      <c r="D164" s="347" t="str">
        <f>VLOOKUP(C164,Plan!A$1:B$65542,2,0)</f>
        <v>Cuenta por Pagar a Administración Colectas</v>
      </c>
      <c r="E164" s="341">
        <f>+F164-G164</f>
        <v>-14721</v>
      </c>
      <c r="F164" s="346"/>
      <c r="G164" s="346">
        <f>+F163</f>
        <v>14721</v>
      </c>
      <c r="H164" s="338" t="str">
        <f>+H163</f>
        <v>Abono  TBK por DCT</v>
      </c>
      <c r="I164" s="401" t="str">
        <f>+I163</f>
        <v>Cali</v>
      </c>
      <c r="K164" s="370"/>
      <c r="N164" s="370"/>
    </row>
    <row r="165" spans="1:14" s="347" customFormat="1" x14ac:dyDescent="0.25">
      <c r="A165" s="369"/>
      <c r="E165" s="396"/>
      <c r="F165" s="396"/>
      <c r="G165" s="396"/>
      <c r="K165" s="370"/>
      <c r="N165" s="370"/>
    </row>
    <row r="166" spans="1:14" s="347" customFormat="1" x14ac:dyDescent="0.25">
      <c r="A166" s="339">
        <v>44201</v>
      </c>
      <c r="B166" s="340">
        <v>1</v>
      </c>
      <c r="C166" s="338">
        <v>115</v>
      </c>
      <c r="D166" s="340" t="str">
        <f>VLOOKUP(C166,Plan!A$1:B$65542,2,0)</f>
        <v>Disponible Cali B.Chile</v>
      </c>
      <c r="E166" s="341">
        <f>+F166-G166</f>
        <v>60000</v>
      </c>
      <c r="F166" s="346">
        <v>60000</v>
      </c>
      <c r="G166" s="346">
        <v>0</v>
      </c>
      <c r="H166" s="338" t="s">
        <v>818</v>
      </c>
      <c r="I166" s="401" t="s">
        <v>131</v>
      </c>
      <c r="K166" s="370"/>
      <c r="N166" s="370"/>
    </row>
    <row r="167" spans="1:14" s="347" customFormat="1" x14ac:dyDescent="0.25">
      <c r="A167" s="339">
        <f>+A166</f>
        <v>44201</v>
      </c>
      <c r="B167" s="340">
        <f>+B166</f>
        <v>1</v>
      </c>
      <c r="C167" s="338">
        <v>1216</v>
      </c>
      <c r="D167" s="340" t="str">
        <f>VLOOKUP(C167,Plan!A$1:B$65542,2,0)</f>
        <v>Otros Valores Recaudadoras</v>
      </c>
      <c r="E167" s="341">
        <f>+F167-G167</f>
        <v>-60000</v>
      </c>
      <c r="F167" s="346"/>
      <c r="G167" s="346">
        <f>+F166</f>
        <v>60000</v>
      </c>
      <c r="H167" s="338" t="str">
        <f>+H166</f>
        <v>Jose T. Poblete  /248</v>
      </c>
      <c r="I167" s="401" t="str">
        <f>+I166</f>
        <v>Cali</v>
      </c>
      <c r="K167" s="370"/>
      <c r="N167" s="370"/>
    </row>
    <row r="168" spans="1:14" s="347" customFormat="1" x14ac:dyDescent="0.25">
      <c r="A168" s="369"/>
      <c r="E168" s="396"/>
      <c r="F168" s="396"/>
      <c r="G168" s="396"/>
      <c r="K168" s="370"/>
      <c r="N168" s="370"/>
    </row>
    <row r="169" spans="1:14" s="347" customFormat="1" x14ac:dyDescent="0.25">
      <c r="A169" s="339">
        <v>44201</v>
      </c>
      <c r="B169" s="340">
        <v>1</v>
      </c>
      <c r="C169" s="338">
        <v>115</v>
      </c>
      <c r="D169" s="340" t="str">
        <f>VLOOKUP(C169,Plan!A$1:B$65542,2,0)</f>
        <v>Disponible Cali B.Chile</v>
      </c>
      <c r="E169" s="341">
        <f>+F169-G169</f>
        <v>59000</v>
      </c>
      <c r="F169" s="346">
        <v>59000</v>
      </c>
      <c r="G169" s="346">
        <v>0</v>
      </c>
      <c r="H169" s="338"/>
      <c r="I169" s="401" t="s">
        <v>131</v>
      </c>
      <c r="K169" s="370"/>
      <c r="N169" s="370"/>
    </row>
    <row r="170" spans="1:14" s="347" customFormat="1" x14ac:dyDescent="0.25">
      <c r="A170" s="339">
        <f>+A169</f>
        <v>44201</v>
      </c>
      <c r="B170" s="340">
        <f>+B169</f>
        <v>1</v>
      </c>
      <c r="C170" s="338">
        <v>1130</v>
      </c>
      <c r="D170" s="340" t="str">
        <f>VLOOKUP(C170,Plan!A$1:B$65542,2,0)</f>
        <v>Disponible Ch. Fecha</v>
      </c>
      <c r="E170" s="341">
        <f>+F170-G170</f>
        <v>-59000</v>
      </c>
      <c r="F170" s="346"/>
      <c r="G170" s="346">
        <f>+F169</f>
        <v>59000</v>
      </c>
      <c r="H170" s="338">
        <f>+H169</f>
        <v>0</v>
      </c>
      <c r="I170" s="401" t="str">
        <f>+I169</f>
        <v>Cali</v>
      </c>
      <c r="K170" s="370"/>
      <c r="N170" s="370"/>
    </row>
    <row r="171" spans="1:14" s="347" customFormat="1" x14ac:dyDescent="0.25">
      <c r="A171" s="369"/>
      <c r="E171" s="396"/>
      <c r="F171" s="396"/>
      <c r="G171" s="396"/>
      <c r="K171" s="370"/>
      <c r="N171" s="370"/>
    </row>
    <row r="172" spans="1:14" s="347" customFormat="1" x14ac:dyDescent="0.25">
      <c r="A172" s="339">
        <v>44202</v>
      </c>
      <c r="B172" s="340">
        <v>1</v>
      </c>
      <c r="C172" s="338">
        <v>115</v>
      </c>
      <c r="D172" s="340" t="str">
        <f>VLOOKUP(C172,Plan!A$1:B$65542,2,0)</f>
        <v>Disponible Cali B.Chile</v>
      </c>
      <c r="E172" s="341">
        <f>+F172-G172</f>
        <v>120000</v>
      </c>
      <c r="F172" s="346">
        <v>120000</v>
      </c>
      <c r="G172" s="346">
        <v>0</v>
      </c>
      <c r="H172" s="338" t="s">
        <v>808</v>
      </c>
      <c r="I172" s="401" t="s">
        <v>131</v>
      </c>
      <c r="K172" s="370"/>
      <c r="N172" s="370"/>
    </row>
    <row r="173" spans="1:14" s="347" customFormat="1" x14ac:dyDescent="0.25">
      <c r="A173" s="339">
        <f>+A172</f>
        <v>44202</v>
      </c>
      <c r="B173" s="340">
        <f>+B172</f>
        <v>1</v>
      </c>
      <c r="C173" s="338">
        <v>3210</v>
      </c>
      <c r="D173" s="340" t="str">
        <f>VLOOKUP(C173,Plan!A$1:B$65542,2,0)</f>
        <v>Donacion Construccion</v>
      </c>
      <c r="E173" s="341">
        <f>+F173-G173</f>
        <v>-120000</v>
      </c>
      <c r="F173" s="346"/>
      <c r="G173" s="346">
        <f>+F172</f>
        <v>120000</v>
      </c>
      <c r="H173" s="338" t="str">
        <f>+H172</f>
        <v>Felipe Walker  / Azul</v>
      </c>
      <c r="I173" s="401" t="str">
        <f>+I172</f>
        <v>Cali</v>
      </c>
      <c r="K173" s="370"/>
      <c r="N173" s="370"/>
    </row>
    <row r="174" spans="1:14" s="347" customFormat="1" x14ac:dyDescent="0.25">
      <c r="A174" s="369"/>
      <c r="E174" s="396"/>
      <c r="F174" s="396"/>
      <c r="G174" s="396"/>
      <c r="K174" s="370"/>
      <c r="N174" s="370"/>
    </row>
    <row r="175" spans="1:14" s="347" customFormat="1" x14ac:dyDescent="0.25">
      <c r="A175" s="339">
        <v>44202</v>
      </c>
      <c r="B175" s="340">
        <v>1</v>
      </c>
      <c r="C175" s="338">
        <v>115</v>
      </c>
      <c r="D175" s="340" t="str">
        <f>VLOOKUP(C175,Plan!A$1:B$65542,2,0)</f>
        <v>Disponible Cali B.Chile</v>
      </c>
      <c r="E175" s="341">
        <f>+F175-G175</f>
        <v>40000</v>
      </c>
      <c r="F175" s="346">
        <v>40000</v>
      </c>
      <c r="G175" s="346">
        <v>0</v>
      </c>
      <c r="H175" s="338" t="s">
        <v>809</v>
      </c>
      <c r="I175" s="401" t="s">
        <v>131</v>
      </c>
      <c r="K175" s="370"/>
      <c r="N175" s="370"/>
    </row>
    <row r="176" spans="1:14" s="347" customFormat="1" x14ac:dyDescent="0.25">
      <c r="A176" s="339">
        <f>+A175</f>
        <v>44202</v>
      </c>
      <c r="B176" s="340">
        <f>+B175</f>
        <v>1</v>
      </c>
      <c r="C176" s="338">
        <v>1222</v>
      </c>
      <c r="D176" s="340" t="str">
        <f>VLOOKUP(C176,Plan!A$1:B$65542,2,0)</f>
        <v>Otros Valores -Oficina y Transferencias (249)</v>
      </c>
      <c r="E176" s="341">
        <f>+F176-G176</f>
        <v>-40000</v>
      </c>
      <c r="F176" s="346"/>
      <c r="G176" s="346">
        <f>+F175</f>
        <v>40000</v>
      </c>
      <c r="H176" s="338" t="str">
        <f>+H175</f>
        <v>Juan Rafael Arnaiz / 249</v>
      </c>
      <c r="I176" s="401" t="str">
        <f>+I175</f>
        <v>Cali</v>
      </c>
      <c r="K176" s="370"/>
      <c r="N176" s="370"/>
    </row>
    <row r="177" spans="1:14" s="347" customFormat="1" x14ac:dyDescent="0.25">
      <c r="A177" s="369"/>
      <c r="E177" s="396"/>
      <c r="F177" s="396"/>
      <c r="G177" s="396"/>
      <c r="K177" s="370"/>
      <c r="N177" s="370"/>
    </row>
    <row r="178" spans="1:14" s="347" customFormat="1" x14ac:dyDescent="0.25">
      <c r="A178" s="339">
        <v>44202</v>
      </c>
      <c r="B178" s="340">
        <v>1</v>
      </c>
      <c r="C178" s="338">
        <v>115</v>
      </c>
      <c r="D178" s="340" t="str">
        <f>VLOOKUP(C178,Plan!A$1:B$65542,2,0)</f>
        <v>Disponible Cali B.Chile</v>
      </c>
      <c r="E178" s="341">
        <f>+F178-G178</f>
        <v>15000</v>
      </c>
      <c r="F178" s="346">
        <v>15000</v>
      </c>
      <c r="G178" s="346">
        <v>0</v>
      </c>
      <c r="H178" s="338" t="s">
        <v>810</v>
      </c>
      <c r="I178" s="401" t="s">
        <v>131</v>
      </c>
      <c r="K178" s="370"/>
      <c r="N178" s="370"/>
    </row>
    <row r="179" spans="1:14" s="347" customFormat="1" x14ac:dyDescent="0.25">
      <c r="A179" s="339">
        <f>+A178</f>
        <v>44202</v>
      </c>
      <c r="B179" s="340">
        <f>+B178</f>
        <v>1</v>
      </c>
      <c r="C179" s="338">
        <v>3210</v>
      </c>
      <c r="D179" s="340" t="str">
        <f>VLOOKUP(C179,Plan!A$1:B$65542,2,0)</f>
        <v>Donacion Construccion</v>
      </c>
      <c r="E179" s="341">
        <f>+F179-G179</f>
        <v>-15000</v>
      </c>
      <c r="F179" s="346"/>
      <c r="G179" s="346">
        <f>+F178</f>
        <v>15000</v>
      </c>
      <c r="H179" s="338" t="str">
        <f>+H178</f>
        <v>Jose Miguel Wielandt V / Azul</v>
      </c>
      <c r="I179" s="401" t="str">
        <f>+I178</f>
        <v>Cali</v>
      </c>
      <c r="K179" s="370"/>
      <c r="N179" s="370"/>
    </row>
    <row r="180" spans="1:14" s="347" customFormat="1" x14ac:dyDescent="0.25">
      <c r="A180" s="369"/>
      <c r="E180" s="396"/>
      <c r="F180" s="396"/>
      <c r="G180" s="396"/>
      <c r="K180" s="370"/>
      <c r="N180" s="370"/>
    </row>
    <row r="181" spans="1:14" s="347" customFormat="1" x14ac:dyDescent="0.25">
      <c r="A181" s="339">
        <v>44202</v>
      </c>
      <c r="B181" s="340">
        <v>1</v>
      </c>
      <c r="C181" s="338">
        <v>115</v>
      </c>
      <c r="D181" s="340" t="str">
        <f>VLOOKUP(C181,Plan!A$1:B$65542,2,0)</f>
        <v>Disponible Cali B.Chile</v>
      </c>
      <c r="E181" s="341">
        <f>+F181-G181</f>
        <v>8846507</v>
      </c>
      <c r="F181" s="346">
        <v>8846507</v>
      </c>
      <c r="G181" s="346">
        <v>0</v>
      </c>
      <c r="H181" s="338" t="s">
        <v>811</v>
      </c>
      <c r="I181" s="401" t="s">
        <v>131</v>
      </c>
      <c r="K181" s="370"/>
      <c r="M181" s="347">
        <v>8446557</v>
      </c>
      <c r="N181" s="370"/>
    </row>
    <row r="182" spans="1:14" s="347" customFormat="1" x14ac:dyDescent="0.25">
      <c r="A182" s="339">
        <f>+A181</f>
        <v>44202</v>
      </c>
      <c r="B182" s="340">
        <f>+B181</f>
        <v>1</v>
      </c>
      <c r="C182" s="338">
        <v>1218</v>
      </c>
      <c r="D182" s="340" t="str">
        <f>VLOOKUP(C182,Plan!A$1:B$65542,2,0)</f>
        <v>Otros Valores Tarjeta de Credito</v>
      </c>
      <c r="E182" s="341">
        <f>+F182-G182</f>
        <v>-8846507</v>
      </c>
      <c r="F182" s="346"/>
      <c r="G182" s="346">
        <f>+F181</f>
        <v>8846507</v>
      </c>
      <c r="H182" s="338" t="str">
        <f>+H181</f>
        <v>Abono TBK 248 y 249 Diciembre/2020</v>
      </c>
      <c r="I182" s="401" t="str">
        <f>+I181</f>
        <v>Cali</v>
      </c>
      <c r="K182" s="370"/>
      <c r="N182" s="370"/>
    </row>
    <row r="183" spans="1:14" s="347" customFormat="1" x14ac:dyDescent="0.25">
      <c r="A183" s="369"/>
      <c r="E183" s="396"/>
      <c r="F183" s="396"/>
      <c r="G183" s="396"/>
      <c r="K183" s="370"/>
      <c r="N183" s="370"/>
    </row>
    <row r="184" spans="1:14" s="347" customFormat="1" x14ac:dyDescent="0.25">
      <c r="A184" s="339">
        <v>44202</v>
      </c>
      <c r="B184" s="340">
        <v>1</v>
      </c>
      <c r="C184" s="338">
        <v>115</v>
      </c>
      <c r="D184" s="340" t="str">
        <f>VLOOKUP(C184,Plan!A$1:B$65542,2,0)</f>
        <v>Disponible Cali B.Chile</v>
      </c>
      <c r="E184" s="341">
        <f>+F184-G184</f>
        <v>18000</v>
      </c>
      <c r="F184" s="346">
        <v>18000</v>
      </c>
      <c r="G184" s="346">
        <v>0</v>
      </c>
      <c r="H184" s="338" t="s">
        <v>812</v>
      </c>
      <c r="I184" s="401" t="s">
        <v>131</v>
      </c>
      <c r="K184" s="370"/>
      <c r="N184" s="370"/>
    </row>
    <row r="185" spans="1:14" s="347" customFormat="1" x14ac:dyDescent="0.25">
      <c r="A185" s="339">
        <f>+A184</f>
        <v>44202</v>
      </c>
      <c r="B185" s="340">
        <f>+B184</f>
        <v>1</v>
      </c>
      <c r="C185" s="338">
        <v>1217</v>
      </c>
      <c r="D185" s="340" t="str">
        <f>VLOOKUP(C185,Plan!A$1:B$65542,2,0)</f>
        <v>Otros Valores -Oficina y Transferencias (248)</v>
      </c>
      <c r="E185" s="341">
        <f>+F185-G185</f>
        <v>-18000</v>
      </c>
      <c r="F185" s="346"/>
      <c r="G185" s="346">
        <f>+F184</f>
        <v>18000</v>
      </c>
      <c r="H185" s="338" t="str">
        <f>+H184</f>
        <v>Carlos Barriga / 248</v>
      </c>
      <c r="I185" s="401" t="str">
        <f>+I184</f>
        <v>Cali</v>
      </c>
      <c r="K185" s="370"/>
      <c r="N185" s="370"/>
    </row>
    <row r="186" spans="1:14" s="347" customFormat="1" x14ac:dyDescent="0.25">
      <c r="A186" s="369"/>
      <c r="E186" s="396"/>
      <c r="F186" s="396"/>
      <c r="G186" s="396"/>
      <c r="K186" s="370"/>
      <c r="N186" s="370"/>
    </row>
    <row r="187" spans="1:14" s="347" customFormat="1" x14ac:dyDescent="0.25">
      <c r="A187" s="339">
        <v>44202</v>
      </c>
      <c r="B187" s="340">
        <v>1</v>
      </c>
      <c r="C187" s="338">
        <v>115</v>
      </c>
      <c r="D187" s="340" t="str">
        <f>VLOOKUP(C187,Plan!A$1:B$65542,2,0)</f>
        <v>Disponible Cali B.Chile</v>
      </c>
      <c r="E187" s="341">
        <f>+F187-G187</f>
        <v>55000</v>
      </c>
      <c r="F187" s="346">
        <v>55000</v>
      </c>
      <c r="G187" s="346">
        <v>0</v>
      </c>
      <c r="H187" s="338" t="s">
        <v>565</v>
      </c>
      <c r="I187" s="401" t="s">
        <v>131</v>
      </c>
      <c r="K187" s="370"/>
      <c r="N187" s="370"/>
    </row>
    <row r="188" spans="1:14" s="347" customFormat="1" x14ac:dyDescent="0.25">
      <c r="A188" s="339">
        <f>+A187</f>
        <v>44202</v>
      </c>
      <c r="B188" s="340">
        <f>+B187</f>
        <v>1</v>
      </c>
      <c r="C188" s="338">
        <v>1217</v>
      </c>
      <c r="D188" s="340" t="str">
        <f>VLOOKUP(C188,Plan!A$1:B$65542,2,0)</f>
        <v>Otros Valores -Oficina y Transferencias (248)</v>
      </c>
      <c r="E188" s="341">
        <f>+F188-G188</f>
        <v>-55000</v>
      </c>
      <c r="F188" s="346"/>
      <c r="G188" s="346">
        <f>+F187</f>
        <v>55000</v>
      </c>
      <c r="H188" s="338" t="str">
        <f>+H187</f>
        <v>D. Vassiliu / 248</v>
      </c>
      <c r="I188" s="401" t="str">
        <f>+I187</f>
        <v>Cali</v>
      </c>
      <c r="K188" s="370"/>
      <c r="N188" s="370"/>
    </row>
    <row r="189" spans="1:14" s="347" customFormat="1" x14ac:dyDescent="0.25">
      <c r="A189" s="369"/>
      <c r="E189" s="396"/>
      <c r="F189" s="396"/>
      <c r="G189" s="396"/>
      <c r="K189" s="370"/>
      <c r="N189" s="370"/>
    </row>
    <row r="190" spans="1:14" s="347" customFormat="1" x14ac:dyDescent="0.25">
      <c r="A190" s="339">
        <v>44202</v>
      </c>
      <c r="B190" s="340">
        <v>1</v>
      </c>
      <c r="C190" s="338">
        <v>115</v>
      </c>
      <c r="D190" s="340" t="str">
        <f>VLOOKUP(C190,Plan!A$1:B$65542,2,0)</f>
        <v>Disponible Cali B.Chile</v>
      </c>
      <c r="E190" s="341">
        <f>+F190-G190</f>
        <v>20000</v>
      </c>
      <c r="F190" s="346">
        <v>20000</v>
      </c>
      <c r="G190" s="346">
        <v>0</v>
      </c>
      <c r="H190" s="347" t="s">
        <v>813</v>
      </c>
      <c r="I190" s="401" t="s">
        <v>131</v>
      </c>
      <c r="K190" s="370"/>
      <c r="N190" s="370"/>
    </row>
    <row r="191" spans="1:14" s="347" customFormat="1" x14ac:dyDescent="0.25">
      <c r="A191" s="339">
        <f>+A190</f>
        <v>44202</v>
      </c>
      <c r="B191" s="340">
        <f>+B190</f>
        <v>1</v>
      </c>
      <c r="C191" s="338">
        <v>1222</v>
      </c>
      <c r="D191" s="340" t="str">
        <f>VLOOKUP(C191,Plan!A$1:B$65542,2,0)</f>
        <v>Otros Valores -Oficina y Transferencias (249)</v>
      </c>
      <c r="E191" s="341">
        <f>+F191-G191</f>
        <v>-20000</v>
      </c>
      <c r="F191" s="346"/>
      <c r="G191" s="346">
        <f>+F190</f>
        <v>20000</v>
      </c>
      <c r="H191" s="338" t="str">
        <f>+H190</f>
        <v>M.Luz Montt / 249</v>
      </c>
      <c r="I191" s="401" t="str">
        <f>+I190</f>
        <v>Cali</v>
      </c>
      <c r="K191" s="370"/>
      <c r="N191" s="370"/>
    </row>
    <row r="192" spans="1:14" s="347" customFormat="1" x14ac:dyDescent="0.25">
      <c r="A192" s="369"/>
      <c r="E192" s="396"/>
      <c r="F192" s="396"/>
      <c r="G192" s="396"/>
      <c r="K192" s="370"/>
      <c r="N192" s="370"/>
    </row>
    <row r="193" spans="1:14" s="347" customFormat="1" x14ac:dyDescent="0.25">
      <c r="A193" s="339">
        <v>44202</v>
      </c>
      <c r="B193" s="340">
        <v>1</v>
      </c>
      <c r="C193" s="338">
        <v>4170</v>
      </c>
      <c r="D193" s="340" t="str">
        <f>VLOOKUP(C193,Plan!A$1:B$65542,2,0)</f>
        <v>Cali otros</v>
      </c>
      <c r="E193" s="341">
        <f>+F193-G193</f>
        <v>2076</v>
      </c>
      <c r="F193" s="346">
        <v>2076</v>
      </c>
      <c r="G193" s="346">
        <v>0</v>
      </c>
      <c r="H193" s="338" t="s">
        <v>738</v>
      </c>
      <c r="I193" s="401" t="s">
        <v>131</v>
      </c>
      <c r="K193" s="370"/>
      <c r="N193" s="370"/>
    </row>
    <row r="194" spans="1:14" s="347" customFormat="1" x14ac:dyDescent="0.25">
      <c r="A194" s="339">
        <f>+A193</f>
        <v>44202</v>
      </c>
      <c r="B194" s="340">
        <f>+B193</f>
        <v>1</v>
      </c>
      <c r="C194" s="338">
        <v>115</v>
      </c>
      <c r="D194" s="340" t="str">
        <f>VLOOKUP(C194,Plan!A$1:B$65542,2,0)</f>
        <v>Disponible Cali B.Chile</v>
      </c>
      <c r="E194" s="341">
        <f>+F194-G194</f>
        <v>-2076</v>
      </c>
      <c r="F194" s="346"/>
      <c r="G194" s="346">
        <f>+F193</f>
        <v>2076</v>
      </c>
      <c r="H194" s="338" t="s">
        <v>738</v>
      </c>
      <c r="I194" s="401" t="s">
        <v>131</v>
      </c>
      <c r="K194" s="370"/>
      <c r="N194" s="370"/>
    </row>
    <row r="195" spans="1:14" s="347" customFormat="1" x14ac:dyDescent="0.25">
      <c r="A195" s="369"/>
      <c r="E195" s="396"/>
      <c r="F195" s="396"/>
      <c r="G195" s="396"/>
      <c r="K195" s="370"/>
      <c r="N195" s="370"/>
    </row>
    <row r="196" spans="1:14" s="347" customFormat="1" x14ac:dyDescent="0.25">
      <c r="A196" s="339">
        <v>44203</v>
      </c>
      <c r="B196" s="340">
        <v>1</v>
      </c>
      <c r="C196" s="338">
        <v>115</v>
      </c>
      <c r="D196" s="347" t="str">
        <f>VLOOKUP(C196,Plan!A$1:B$65542,2,0)</f>
        <v>Disponible Cali B.Chile</v>
      </c>
      <c r="E196" s="341">
        <f>+F196-G196</f>
        <v>2944</v>
      </c>
      <c r="F196" s="346">
        <v>2944</v>
      </c>
      <c r="G196" s="346">
        <v>0</v>
      </c>
      <c r="H196" s="338" t="s">
        <v>802</v>
      </c>
      <c r="I196" s="401" t="s">
        <v>131</v>
      </c>
      <c r="K196" s="370"/>
      <c r="N196" s="370"/>
    </row>
    <row r="197" spans="1:14" s="347" customFormat="1" x14ac:dyDescent="0.25">
      <c r="A197" s="339">
        <f>+A196</f>
        <v>44203</v>
      </c>
      <c r="B197" s="340">
        <f>+B196</f>
        <v>1</v>
      </c>
      <c r="C197" s="338">
        <v>216</v>
      </c>
      <c r="D197" s="347" t="str">
        <f>VLOOKUP(C197,Plan!A$1:B$65542,2,0)</f>
        <v>Cuenta por Pagar a Administración Colectas</v>
      </c>
      <c r="E197" s="341">
        <f>+F197-G197</f>
        <v>-2944</v>
      </c>
      <c r="F197" s="346"/>
      <c r="G197" s="346">
        <f>+F196</f>
        <v>2944</v>
      </c>
      <c r="H197" s="338" t="str">
        <f>+H196</f>
        <v>Abono  TBK por DCT</v>
      </c>
      <c r="I197" s="401" t="str">
        <f>+I196</f>
        <v>Cali</v>
      </c>
      <c r="K197" s="370"/>
      <c r="N197" s="370"/>
    </row>
    <row r="198" spans="1:14" s="347" customFormat="1" x14ac:dyDescent="0.25">
      <c r="A198" s="369"/>
      <c r="E198" s="396"/>
      <c r="F198" s="396"/>
      <c r="G198" s="396"/>
      <c r="K198" s="370"/>
      <c r="N198" s="370"/>
    </row>
    <row r="199" spans="1:14" s="347" customFormat="1" x14ac:dyDescent="0.25">
      <c r="A199" s="339">
        <v>44203</v>
      </c>
      <c r="B199" s="340">
        <v>1</v>
      </c>
      <c r="C199" s="338">
        <v>115</v>
      </c>
      <c r="D199" s="340" t="str">
        <f>VLOOKUP(C199,Plan!A$1:B$65542,2,0)</f>
        <v>Disponible Cali B.Chile</v>
      </c>
      <c r="E199" s="341">
        <f>+F199-G199</f>
        <v>1400000</v>
      </c>
      <c r="F199" s="346">
        <v>1400000</v>
      </c>
      <c r="G199" s="346">
        <v>0</v>
      </c>
      <c r="H199" s="338" t="s">
        <v>814</v>
      </c>
      <c r="I199" s="401" t="s">
        <v>131</v>
      </c>
      <c r="K199" s="370"/>
      <c r="N199" s="370"/>
    </row>
    <row r="200" spans="1:14" s="347" customFormat="1" x14ac:dyDescent="0.25">
      <c r="A200" s="339">
        <f>+A199</f>
        <v>44203</v>
      </c>
      <c r="B200" s="340">
        <f>+B199</f>
        <v>1</v>
      </c>
      <c r="C200" s="338">
        <v>3210</v>
      </c>
      <c r="D200" s="340" t="str">
        <f>VLOOKUP(C200,Plan!A$1:B$65542,2,0)</f>
        <v>Donacion Construccion</v>
      </c>
      <c r="E200" s="341">
        <f>+F200-G200</f>
        <v>-1400000</v>
      </c>
      <c r="F200" s="346"/>
      <c r="G200" s="346">
        <f>+F199</f>
        <v>1400000</v>
      </c>
      <c r="H200" s="338" t="str">
        <f>+H199</f>
        <v>Fco. Larraín Cruzat</v>
      </c>
      <c r="I200" s="401" t="str">
        <f>+I199</f>
        <v>Cali</v>
      </c>
      <c r="K200" s="370"/>
      <c r="N200" s="370"/>
    </row>
    <row r="201" spans="1:14" s="347" customFormat="1" x14ac:dyDescent="0.25">
      <c r="A201" s="369"/>
      <c r="E201" s="396"/>
      <c r="F201" s="396"/>
      <c r="G201" s="396"/>
      <c r="K201" s="370"/>
      <c r="N201" s="370"/>
    </row>
    <row r="202" spans="1:14" s="347" customFormat="1" x14ac:dyDescent="0.25">
      <c r="A202" s="339">
        <v>44204</v>
      </c>
      <c r="B202" s="340">
        <v>1</v>
      </c>
      <c r="C202" s="338">
        <v>115</v>
      </c>
      <c r="D202" s="340" t="str">
        <f>VLOOKUP(C202,Plan!A$1:B$65542,2,0)</f>
        <v>Disponible Cali B.Chile</v>
      </c>
      <c r="E202" s="341">
        <f>+F202-G202</f>
        <v>40000</v>
      </c>
      <c r="F202" s="346">
        <v>40000</v>
      </c>
      <c r="G202" s="346">
        <v>0</v>
      </c>
      <c r="H202" s="347" t="s">
        <v>640</v>
      </c>
      <c r="I202" s="401" t="s">
        <v>131</v>
      </c>
      <c r="K202" s="370"/>
      <c r="N202" s="370"/>
    </row>
    <row r="203" spans="1:14" s="347" customFormat="1" x14ac:dyDescent="0.25">
      <c r="A203" s="339">
        <f>+A202</f>
        <v>44204</v>
      </c>
      <c r="B203" s="340">
        <f>+B202</f>
        <v>1</v>
      </c>
      <c r="C203" s="338">
        <v>1222</v>
      </c>
      <c r="D203" s="340" t="str">
        <f>VLOOKUP(C203,Plan!A$1:B$65542,2,0)</f>
        <v>Otros Valores -Oficina y Transferencias (249)</v>
      </c>
      <c r="E203" s="341">
        <f>+F203-G203</f>
        <v>-40000</v>
      </c>
      <c r="F203" s="346"/>
      <c r="G203" s="346">
        <f>+F202</f>
        <v>40000</v>
      </c>
      <c r="H203" s="338" t="str">
        <f>+H202</f>
        <v>Mauricio Hargous / 249</v>
      </c>
      <c r="I203" s="401" t="str">
        <f>+I202</f>
        <v>Cali</v>
      </c>
      <c r="K203" s="370"/>
      <c r="N203" s="370"/>
    </row>
    <row r="204" spans="1:14" s="347" customFormat="1" x14ac:dyDescent="0.25">
      <c r="A204" s="369"/>
      <c r="E204" s="396"/>
      <c r="F204" s="396"/>
      <c r="G204" s="396"/>
      <c r="K204" s="370"/>
      <c r="N204" s="370"/>
    </row>
    <row r="205" spans="1:14" s="347" customFormat="1" x14ac:dyDescent="0.25">
      <c r="A205" s="339">
        <v>44204</v>
      </c>
      <c r="B205" s="340">
        <v>1</v>
      </c>
      <c r="C205" s="338">
        <v>115</v>
      </c>
      <c r="D205" s="347" t="str">
        <f>VLOOKUP(C205,Plan!A$1:B$65542,2,0)</f>
        <v>Disponible Cali B.Chile</v>
      </c>
      <c r="E205" s="341">
        <f>+F205-G205</f>
        <v>19629</v>
      </c>
      <c r="F205" s="346">
        <v>19629</v>
      </c>
      <c r="G205" s="346">
        <v>0</v>
      </c>
      <c r="H205" s="338" t="s">
        <v>802</v>
      </c>
      <c r="I205" s="401" t="s">
        <v>131</v>
      </c>
      <c r="K205" s="370"/>
      <c r="N205" s="370"/>
    </row>
    <row r="206" spans="1:14" s="347" customFormat="1" x14ac:dyDescent="0.25">
      <c r="A206" s="339">
        <f>+A205</f>
        <v>44204</v>
      </c>
      <c r="B206" s="340">
        <f>+B205</f>
        <v>1</v>
      </c>
      <c r="C206" s="338">
        <v>216</v>
      </c>
      <c r="D206" s="347" t="str">
        <f>VLOOKUP(C206,Plan!A$1:B$65542,2,0)</f>
        <v>Cuenta por Pagar a Administración Colectas</v>
      </c>
      <c r="E206" s="341">
        <f>+F206-G206</f>
        <v>-19629</v>
      </c>
      <c r="F206" s="346"/>
      <c r="G206" s="346">
        <f>+F205</f>
        <v>19629</v>
      </c>
      <c r="H206" s="338" t="str">
        <f>+H205</f>
        <v>Abono  TBK por DCT</v>
      </c>
      <c r="I206" s="401" t="str">
        <f>+I205</f>
        <v>Cali</v>
      </c>
      <c r="K206" s="370"/>
      <c r="N206" s="370"/>
    </row>
    <row r="207" spans="1:14" s="347" customFormat="1" x14ac:dyDescent="0.25">
      <c r="A207" s="369"/>
      <c r="E207" s="396"/>
      <c r="F207" s="396"/>
      <c r="G207" s="396"/>
      <c r="K207" s="370"/>
      <c r="N207" s="370"/>
    </row>
    <row r="208" spans="1:14" s="347" customFormat="1" x14ac:dyDescent="0.25">
      <c r="A208" s="339">
        <v>44204</v>
      </c>
      <c r="B208" s="340">
        <v>1</v>
      </c>
      <c r="C208" s="338">
        <v>115</v>
      </c>
      <c r="D208" s="340" t="str">
        <f>VLOOKUP(C208,Plan!A$1:B$65542,2,0)</f>
        <v>Disponible Cali B.Chile</v>
      </c>
      <c r="E208" s="341">
        <f>+F208-G208</f>
        <v>10000</v>
      </c>
      <c r="F208" s="346">
        <v>10000</v>
      </c>
      <c r="G208" s="346">
        <v>0</v>
      </c>
      <c r="H208" s="338" t="s">
        <v>815</v>
      </c>
      <c r="I208" s="401" t="s">
        <v>131</v>
      </c>
      <c r="K208" s="370"/>
      <c r="N208" s="370"/>
    </row>
    <row r="209" spans="1:14" s="347" customFormat="1" x14ac:dyDescent="0.25">
      <c r="A209" s="339">
        <f>+A208</f>
        <v>44204</v>
      </c>
      <c r="B209" s="340">
        <f>+B208</f>
        <v>1</v>
      </c>
      <c r="C209" s="338">
        <v>1222</v>
      </c>
      <c r="D209" s="340" t="str">
        <f>VLOOKUP(C209,Plan!A$1:B$65542,2,0)</f>
        <v>Otros Valores -Oficina y Transferencias (249)</v>
      </c>
      <c r="E209" s="341">
        <f>+F209-G209</f>
        <v>-10000</v>
      </c>
      <c r="F209" s="346"/>
      <c r="G209" s="346">
        <f>+F208</f>
        <v>10000</v>
      </c>
      <c r="H209" s="338" t="str">
        <f>+H208</f>
        <v>Monica Barañao / 249</v>
      </c>
      <c r="I209" s="401" t="str">
        <f>+I208</f>
        <v>Cali</v>
      </c>
      <c r="K209" s="370"/>
      <c r="N209" s="370"/>
    </row>
    <row r="210" spans="1:14" s="347" customFormat="1" x14ac:dyDescent="0.25">
      <c r="A210" s="369"/>
      <c r="E210" s="396"/>
      <c r="F210" s="396"/>
      <c r="G210" s="396"/>
      <c r="K210" s="370"/>
      <c r="N210" s="370"/>
    </row>
    <row r="211" spans="1:14" s="347" customFormat="1" x14ac:dyDescent="0.25">
      <c r="A211" s="339">
        <v>44204</v>
      </c>
      <c r="B211" s="340">
        <v>1</v>
      </c>
      <c r="C211" s="338">
        <v>115</v>
      </c>
      <c r="D211" s="340" t="str">
        <f>VLOOKUP(C211,Plan!A$1:B$65542,2,0)</f>
        <v>Disponible Cali B.Chile</v>
      </c>
      <c r="E211" s="341">
        <f>+F211-G211</f>
        <v>10000</v>
      </c>
      <c r="F211" s="346">
        <v>10000</v>
      </c>
      <c r="G211" s="346">
        <v>0</v>
      </c>
      <c r="H211" s="338" t="s">
        <v>816</v>
      </c>
      <c r="I211" s="401" t="s">
        <v>131</v>
      </c>
      <c r="K211" s="370"/>
      <c r="N211" s="370"/>
    </row>
    <row r="212" spans="1:14" s="347" customFormat="1" x14ac:dyDescent="0.25">
      <c r="A212" s="339">
        <f>+A211</f>
        <v>44204</v>
      </c>
      <c r="B212" s="340">
        <f>+B211</f>
        <v>1</v>
      </c>
      <c r="C212" s="338">
        <v>3210</v>
      </c>
      <c r="D212" s="340" t="str">
        <f>VLOOKUP(C212,Plan!A$1:B$65542,2,0)</f>
        <v>Donacion Construccion</v>
      </c>
      <c r="E212" s="341">
        <f>+F212-G212</f>
        <v>-10000</v>
      </c>
      <c r="F212" s="346"/>
      <c r="G212" s="346">
        <f>+F211</f>
        <v>10000</v>
      </c>
      <c r="H212" s="338" t="str">
        <f>+H211</f>
        <v>Monica Barañao / Azul</v>
      </c>
      <c r="I212" s="401" t="str">
        <f>+I211</f>
        <v>Cali</v>
      </c>
      <c r="K212" s="370"/>
      <c r="N212" s="370"/>
    </row>
    <row r="213" spans="1:14" s="347" customFormat="1" x14ac:dyDescent="0.25">
      <c r="A213" s="369"/>
      <c r="E213" s="396"/>
      <c r="F213" s="396"/>
      <c r="G213" s="396"/>
      <c r="K213" s="370"/>
      <c r="N213" s="370"/>
    </row>
    <row r="214" spans="1:14" s="347" customFormat="1" x14ac:dyDescent="0.25">
      <c r="A214" s="339">
        <v>44207</v>
      </c>
      <c r="B214" s="340">
        <v>1</v>
      </c>
      <c r="C214" s="338">
        <v>115</v>
      </c>
      <c r="D214" s="340" t="str">
        <f>VLOOKUP(C214,Plan!A$1:B$65542,2,0)</f>
        <v>Disponible Cali B.Chile</v>
      </c>
      <c r="E214" s="341">
        <f>+F214-G214</f>
        <v>750000</v>
      </c>
      <c r="F214" s="346">
        <v>750000</v>
      </c>
      <c r="G214" s="346">
        <v>0</v>
      </c>
      <c r="H214" s="338" t="s">
        <v>819</v>
      </c>
      <c r="I214" s="401" t="s">
        <v>131</v>
      </c>
      <c r="K214" s="370"/>
      <c r="N214" s="370"/>
    </row>
    <row r="215" spans="1:14" s="347" customFormat="1" x14ac:dyDescent="0.25">
      <c r="A215" s="339">
        <f>+A214</f>
        <v>44207</v>
      </c>
      <c r="B215" s="340">
        <f>+B214</f>
        <v>1</v>
      </c>
      <c r="C215" s="338">
        <v>3210</v>
      </c>
      <c r="D215" s="340" t="str">
        <f>VLOOKUP(C215,Plan!A$1:B$65542,2,0)</f>
        <v>Donacion Construccion</v>
      </c>
      <c r="E215" s="341">
        <f>+F215-G215</f>
        <v>-750000</v>
      </c>
      <c r="F215" s="346"/>
      <c r="G215" s="346">
        <f>+F214</f>
        <v>750000</v>
      </c>
      <c r="H215" s="338" t="str">
        <f>+H214</f>
        <v>Emilio Deik / Azul</v>
      </c>
      <c r="I215" s="401" t="str">
        <f>+I214</f>
        <v>Cali</v>
      </c>
      <c r="K215" s="370"/>
      <c r="N215" s="370"/>
    </row>
    <row r="216" spans="1:14" s="347" customFormat="1" x14ac:dyDescent="0.25">
      <c r="A216" s="369"/>
      <c r="E216" s="396"/>
      <c r="F216" s="396"/>
      <c r="G216" s="396"/>
      <c r="K216" s="370"/>
      <c r="N216" s="370"/>
    </row>
    <row r="217" spans="1:14" s="347" customFormat="1" x14ac:dyDescent="0.25">
      <c r="A217" s="339">
        <v>44207</v>
      </c>
      <c r="B217" s="340">
        <v>1</v>
      </c>
      <c r="C217" s="338">
        <v>115</v>
      </c>
      <c r="D217" s="347" t="str">
        <f>VLOOKUP(C217,Plan!A$1:B$65542,2,0)</f>
        <v>Disponible Cali B.Chile</v>
      </c>
      <c r="E217" s="341">
        <f>+F217-G217</f>
        <v>10000</v>
      </c>
      <c r="F217" s="346">
        <v>10000</v>
      </c>
      <c r="G217" s="346">
        <v>0</v>
      </c>
      <c r="H217" s="338"/>
      <c r="I217" s="401" t="s">
        <v>131</v>
      </c>
      <c r="K217" s="370"/>
      <c r="N217" s="370"/>
    </row>
    <row r="218" spans="1:14" s="347" customFormat="1" x14ac:dyDescent="0.25">
      <c r="A218" s="339">
        <f>+A217</f>
        <v>44207</v>
      </c>
      <c r="B218" s="340">
        <f>+B217</f>
        <v>1</v>
      </c>
      <c r="C218" s="338">
        <v>216</v>
      </c>
      <c r="D218" s="347" t="str">
        <f>VLOOKUP(C218,Plan!A$1:B$65542,2,0)</f>
        <v>Cuenta por Pagar a Administración Colectas</v>
      </c>
      <c r="E218" s="341">
        <f>+F218-G218</f>
        <v>-10000</v>
      </c>
      <c r="F218" s="346"/>
      <c r="G218" s="346">
        <f>+F217</f>
        <v>10000</v>
      </c>
      <c r="H218" s="338">
        <f>+H217</f>
        <v>0</v>
      </c>
      <c r="I218" s="401" t="str">
        <f>+I217</f>
        <v>Cali</v>
      </c>
      <c r="K218" s="370"/>
      <c r="N218" s="370"/>
    </row>
    <row r="219" spans="1:14" s="347" customFormat="1" x14ac:dyDescent="0.25">
      <c r="A219" s="369"/>
      <c r="E219" s="396"/>
      <c r="F219" s="396"/>
      <c r="G219" s="396"/>
      <c r="K219" s="370"/>
      <c r="N219" s="370"/>
    </row>
    <row r="220" spans="1:14" s="347" customFormat="1" x14ac:dyDescent="0.25">
      <c r="A220" s="339">
        <v>44207</v>
      </c>
      <c r="B220" s="340">
        <v>1</v>
      </c>
      <c r="C220" s="338">
        <v>115</v>
      </c>
      <c r="D220" s="340" t="str">
        <f>VLOOKUP(C220,Plan!A$1:B$65542,2,0)</f>
        <v>Disponible Cali B.Chile</v>
      </c>
      <c r="E220" s="341">
        <f>+F220-G220</f>
        <v>30000</v>
      </c>
      <c r="F220" s="346">
        <v>30000</v>
      </c>
      <c r="G220" s="346">
        <v>0</v>
      </c>
      <c r="H220" s="338" t="s">
        <v>657</v>
      </c>
      <c r="I220" s="401" t="s">
        <v>131</v>
      </c>
      <c r="K220" s="370"/>
      <c r="N220" s="370"/>
    </row>
    <row r="221" spans="1:14" s="347" customFormat="1" x14ac:dyDescent="0.25">
      <c r="A221" s="339">
        <f>+A220</f>
        <v>44207</v>
      </c>
      <c r="B221" s="340">
        <f>+B220</f>
        <v>1</v>
      </c>
      <c r="C221" s="338">
        <v>1222</v>
      </c>
      <c r="D221" s="340" t="str">
        <f>VLOOKUP(C221,Plan!A$1:B$65542,2,0)</f>
        <v>Otros Valores -Oficina y Transferencias (249)</v>
      </c>
      <c r="E221" s="341">
        <f>+F221-G221</f>
        <v>-30000</v>
      </c>
      <c r="F221" s="346"/>
      <c r="G221" s="346">
        <f>+F220</f>
        <v>30000</v>
      </c>
      <c r="H221" s="338" t="str">
        <f>+H220</f>
        <v>Horacio Cartagena / 249</v>
      </c>
      <c r="I221" s="401" t="str">
        <f>+I220</f>
        <v>Cali</v>
      </c>
      <c r="K221" s="370"/>
      <c r="N221" s="370"/>
    </row>
    <row r="222" spans="1:14" s="347" customFormat="1" x14ac:dyDescent="0.25">
      <c r="A222" s="369"/>
      <c r="E222" s="396"/>
      <c r="F222" s="396"/>
      <c r="G222" s="396"/>
      <c r="K222" s="370"/>
      <c r="N222" s="370"/>
    </row>
    <row r="223" spans="1:14" s="347" customFormat="1" x14ac:dyDescent="0.25">
      <c r="A223" s="339">
        <v>44207</v>
      </c>
      <c r="B223" s="340">
        <v>1</v>
      </c>
      <c r="C223" s="338">
        <v>115</v>
      </c>
      <c r="D223" s="340" t="str">
        <f>VLOOKUP(C223,Plan!A$1:B$65542,2,0)</f>
        <v>Disponible Cali B.Chile</v>
      </c>
      <c r="E223" s="341">
        <f>+F223-G223</f>
        <v>30000</v>
      </c>
      <c r="F223" s="346">
        <v>30000</v>
      </c>
      <c r="G223" s="346">
        <v>0</v>
      </c>
      <c r="H223" s="338" t="s">
        <v>820</v>
      </c>
      <c r="I223" s="401" t="s">
        <v>131</v>
      </c>
      <c r="K223" s="370"/>
      <c r="N223" s="370"/>
    </row>
    <row r="224" spans="1:14" s="347" customFormat="1" x14ac:dyDescent="0.25">
      <c r="A224" s="339">
        <f>+A223</f>
        <v>44207</v>
      </c>
      <c r="B224" s="340">
        <f>+B223</f>
        <v>1</v>
      </c>
      <c r="C224" s="338">
        <v>3210</v>
      </c>
      <c r="D224" s="340" t="str">
        <f>VLOOKUP(C224,Plan!A$1:B$65542,2,0)</f>
        <v>Donacion Construccion</v>
      </c>
      <c r="E224" s="341">
        <f>+F224-G224</f>
        <v>-30000</v>
      </c>
      <c r="F224" s="346"/>
      <c r="G224" s="346">
        <f>+F223</f>
        <v>30000</v>
      </c>
      <c r="H224" s="338" t="str">
        <f>+H223</f>
        <v>M. Solange Vinet / Azul</v>
      </c>
      <c r="I224" s="401" t="str">
        <f>+I223</f>
        <v>Cali</v>
      </c>
      <c r="K224" s="370"/>
      <c r="N224" s="370"/>
    </row>
    <row r="225" spans="1:14" s="347" customFormat="1" x14ac:dyDescent="0.25">
      <c r="A225" s="369"/>
      <c r="E225" s="396"/>
      <c r="F225" s="396"/>
      <c r="G225" s="396"/>
      <c r="K225" s="370"/>
      <c r="N225" s="370"/>
    </row>
    <row r="226" spans="1:14" s="347" customFormat="1" x14ac:dyDescent="0.25">
      <c r="A226" s="339">
        <v>44207</v>
      </c>
      <c r="B226" s="340">
        <v>1</v>
      </c>
      <c r="C226" s="338">
        <v>115</v>
      </c>
      <c r="D226" s="347" t="str">
        <f>VLOOKUP(C226,Plan!A$1:B$65542,2,0)</f>
        <v>Disponible Cali B.Chile</v>
      </c>
      <c r="E226" s="341">
        <f>+F226-G226</f>
        <v>1500</v>
      </c>
      <c r="F226" s="346">
        <v>1500</v>
      </c>
      <c r="G226" s="346">
        <v>0</v>
      </c>
      <c r="H226" s="338"/>
      <c r="I226" s="401" t="s">
        <v>131</v>
      </c>
      <c r="K226" s="370"/>
      <c r="N226" s="370"/>
    </row>
    <row r="227" spans="1:14" s="347" customFormat="1" x14ac:dyDescent="0.25">
      <c r="A227" s="339">
        <f>+A226</f>
        <v>44207</v>
      </c>
      <c r="B227" s="340">
        <f>+B226</f>
        <v>1</v>
      </c>
      <c r="C227" s="338">
        <v>216</v>
      </c>
      <c r="D227" s="347" t="str">
        <f>VLOOKUP(C227,Plan!A$1:B$65542,2,0)</f>
        <v>Cuenta por Pagar a Administración Colectas</v>
      </c>
      <c r="E227" s="341">
        <f>+F227-G227</f>
        <v>-1500</v>
      </c>
      <c r="F227" s="346"/>
      <c r="G227" s="346">
        <f>+F226</f>
        <v>1500</v>
      </c>
      <c r="H227" s="338"/>
      <c r="I227" s="401" t="str">
        <f>+I226</f>
        <v>Cali</v>
      </c>
      <c r="K227" s="370"/>
      <c r="N227" s="370"/>
    </row>
    <row r="228" spans="1:14" s="347" customFormat="1" x14ac:dyDescent="0.25">
      <c r="A228" s="369"/>
      <c r="E228" s="396"/>
      <c r="F228" s="396"/>
      <c r="G228" s="396"/>
      <c r="K228" s="370"/>
      <c r="N228" s="370"/>
    </row>
    <row r="229" spans="1:14" s="347" customFormat="1" x14ac:dyDescent="0.25">
      <c r="A229" s="339">
        <v>44207</v>
      </c>
      <c r="B229" s="340">
        <v>1</v>
      </c>
      <c r="C229" s="338">
        <v>115</v>
      </c>
      <c r="D229" s="347" t="str">
        <f>VLOOKUP(C229,Plan!A$1:B$65542,2,0)</f>
        <v>Disponible Cali B.Chile</v>
      </c>
      <c r="E229" s="341">
        <f>+F229-G229</f>
        <v>50000</v>
      </c>
      <c r="F229" s="346">
        <v>50000</v>
      </c>
      <c r="G229" s="346">
        <v>0</v>
      </c>
      <c r="H229" s="338" t="s">
        <v>781</v>
      </c>
      <c r="I229" s="401" t="s">
        <v>131</v>
      </c>
      <c r="K229" s="370"/>
      <c r="N229" s="370"/>
    </row>
    <row r="230" spans="1:14" s="347" customFormat="1" x14ac:dyDescent="0.25">
      <c r="A230" s="339">
        <f>+A229</f>
        <v>44207</v>
      </c>
      <c r="B230" s="340">
        <f>+B229</f>
        <v>1</v>
      </c>
      <c r="C230" s="338">
        <v>3210</v>
      </c>
      <c r="D230" s="347" t="str">
        <f>VLOOKUP(C230,Plan!A$1:B$65542,2,0)</f>
        <v>Donacion Construccion</v>
      </c>
      <c r="E230" s="341">
        <f>+F230-G230</f>
        <v>-50000</v>
      </c>
      <c r="F230" s="346"/>
      <c r="G230" s="346">
        <f>+F229</f>
        <v>50000</v>
      </c>
      <c r="H230" s="338" t="str">
        <f>+H229</f>
        <v>Italo Lubiano / Azul</v>
      </c>
      <c r="I230" s="401" t="str">
        <f>+I229</f>
        <v>Cali</v>
      </c>
      <c r="K230" s="370"/>
      <c r="N230" s="370"/>
    </row>
    <row r="231" spans="1:14" s="347" customFormat="1" x14ac:dyDescent="0.25">
      <c r="A231" s="369"/>
      <c r="E231" s="396"/>
      <c r="F231" s="396"/>
      <c r="G231" s="396"/>
      <c r="K231" s="370"/>
      <c r="N231" s="370"/>
    </row>
    <row r="232" spans="1:14" s="347" customFormat="1" x14ac:dyDescent="0.25">
      <c r="A232" s="339">
        <v>44207</v>
      </c>
      <c r="B232" s="340">
        <v>1</v>
      </c>
      <c r="C232" s="338">
        <v>115</v>
      </c>
      <c r="D232" s="340" t="str">
        <f>VLOOKUP(C232,Plan!A$1:B$65542,2,0)</f>
        <v>Disponible Cali B.Chile</v>
      </c>
      <c r="E232" s="341">
        <f>+F232-G232</f>
        <v>30000</v>
      </c>
      <c r="F232" s="346">
        <v>30000</v>
      </c>
      <c r="G232" s="346">
        <v>0</v>
      </c>
      <c r="H232" s="338" t="s">
        <v>821</v>
      </c>
      <c r="I232" s="401" t="s">
        <v>131</v>
      </c>
      <c r="K232" s="370"/>
      <c r="N232" s="370"/>
    </row>
    <row r="233" spans="1:14" s="347" customFormat="1" x14ac:dyDescent="0.25">
      <c r="A233" s="339">
        <f>+A232</f>
        <v>44207</v>
      </c>
      <c r="B233" s="340">
        <f>+B232</f>
        <v>1</v>
      </c>
      <c r="C233" s="338">
        <v>1222</v>
      </c>
      <c r="D233" s="340" t="str">
        <f>VLOOKUP(C233,Plan!A$1:B$65542,2,0)</f>
        <v>Otros Valores -Oficina y Transferencias (249)</v>
      </c>
      <c r="E233" s="341">
        <f>+F233-G233</f>
        <v>-30000</v>
      </c>
      <c r="F233" s="346"/>
      <c r="G233" s="346">
        <f>+F232</f>
        <v>30000</v>
      </c>
      <c r="H233" s="338" t="str">
        <f>+H232</f>
        <v>Enrique Hurtado / 249</v>
      </c>
      <c r="I233" s="401" t="str">
        <f>+I232</f>
        <v>Cali</v>
      </c>
      <c r="K233" s="370"/>
      <c r="N233" s="370"/>
    </row>
    <row r="234" spans="1:14" s="347" customFormat="1" x14ac:dyDescent="0.25">
      <c r="A234" s="369"/>
      <c r="E234" s="396"/>
      <c r="F234" s="396"/>
      <c r="G234" s="396"/>
      <c r="K234" s="370"/>
      <c r="N234" s="370"/>
    </row>
    <row r="235" spans="1:14" s="347" customFormat="1" x14ac:dyDescent="0.25">
      <c r="A235" s="339">
        <v>44207</v>
      </c>
      <c r="B235" s="340">
        <v>1</v>
      </c>
      <c r="C235" s="338">
        <v>115</v>
      </c>
      <c r="D235" s="340" t="str">
        <f>VLOOKUP(C235,Plan!A$1:B$65542,2,0)</f>
        <v>Disponible Cali B.Chile</v>
      </c>
      <c r="E235" s="341">
        <f>+F235-G235</f>
        <v>10000</v>
      </c>
      <c r="F235" s="346">
        <v>10000</v>
      </c>
      <c r="G235" s="346">
        <v>0</v>
      </c>
      <c r="H235" s="338" t="s">
        <v>822</v>
      </c>
      <c r="I235" s="401" t="s">
        <v>131</v>
      </c>
      <c r="K235" s="370"/>
      <c r="N235" s="370"/>
    </row>
    <row r="236" spans="1:14" s="347" customFormat="1" x14ac:dyDescent="0.25">
      <c r="A236" s="339">
        <f>+A235</f>
        <v>44207</v>
      </c>
      <c r="B236" s="340">
        <f>+B235</f>
        <v>1</v>
      </c>
      <c r="C236" s="338">
        <v>1217</v>
      </c>
      <c r="D236" s="340" t="str">
        <f>VLOOKUP(C236,Plan!A$1:B$65542,2,0)</f>
        <v>Otros Valores -Oficina y Transferencias (248)</v>
      </c>
      <c r="E236" s="341">
        <f>+F236-G236</f>
        <v>-10000</v>
      </c>
      <c r="F236" s="346"/>
      <c r="G236" s="346">
        <f>+F235</f>
        <v>10000</v>
      </c>
      <c r="H236" s="338" t="str">
        <f>+H235</f>
        <v>Carmen Gloria Rivas / 248</v>
      </c>
      <c r="I236" s="401" t="str">
        <f>+I235</f>
        <v>Cali</v>
      </c>
      <c r="K236" s="370"/>
      <c r="N236" s="370"/>
    </row>
    <row r="237" spans="1:14" s="347" customFormat="1" x14ac:dyDescent="0.25">
      <c r="A237" s="369"/>
      <c r="E237" s="396"/>
      <c r="F237" s="396"/>
      <c r="G237" s="396"/>
      <c r="K237" s="370"/>
      <c r="N237" s="370"/>
    </row>
    <row r="238" spans="1:14" s="347" customFormat="1" x14ac:dyDescent="0.25">
      <c r="A238" s="339">
        <v>44207</v>
      </c>
      <c r="B238" s="340">
        <v>1</v>
      </c>
      <c r="C238" s="338">
        <v>115</v>
      </c>
      <c r="D238" s="347" t="str">
        <f>VLOOKUP(C238,Plan!A$1:B$65542,2,0)</f>
        <v>Disponible Cali B.Chile</v>
      </c>
      <c r="E238" s="341">
        <f>+F238-G238</f>
        <v>500000</v>
      </c>
      <c r="F238" s="346">
        <v>500000</v>
      </c>
      <c r="G238" s="346">
        <v>0</v>
      </c>
      <c r="H238" s="338" t="s">
        <v>823</v>
      </c>
      <c r="I238" s="401" t="s">
        <v>131</v>
      </c>
      <c r="K238" s="370"/>
      <c r="N238" s="370"/>
    </row>
    <row r="239" spans="1:14" s="347" customFormat="1" x14ac:dyDescent="0.25">
      <c r="A239" s="339">
        <f>+A238</f>
        <v>44207</v>
      </c>
      <c r="B239" s="340">
        <f>+B238</f>
        <v>1</v>
      </c>
      <c r="C239" s="338">
        <v>3210</v>
      </c>
      <c r="D239" s="347" t="str">
        <f>VLOOKUP(C239,Plan!A$1:B$65542,2,0)</f>
        <v>Donacion Construccion</v>
      </c>
      <c r="E239" s="341">
        <f>+F239-G239</f>
        <v>-500000</v>
      </c>
      <c r="F239" s="346"/>
      <c r="G239" s="346">
        <f>+F238</f>
        <v>500000</v>
      </c>
      <c r="H239" s="338" t="str">
        <f>+H238</f>
        <v>Julio Rendic L / Azul</v>
      </c>
      <c r="I239" s="401" t="str">
        <f>+I238</f>
        <v>Cali</v>
      </c>
      <c r="K239" s="370"/>
      <c r="N239" s="370"/>
    </row>
    <row r="240" spans="1:14" s="347" customFormat="1" x14ac:dyDescent="0.25">
      <c r="A240" s="369"/>
      <c r="E240" s="396"/>
      <c r="F240" s="396"/>
      <c r="G240" s="396"/>
      <c r="K240" s="370"/>
      <c r="N240" s="370"/>
    </row>
    <row r="241" spans="1:14" s="347" customFormat="1" x14ac:dyDescent="0.25">
      <c r="A241" s="339">
        <v>44207</v>
      </c>
      <c r="B241" s="340">
        <v>1</v>
      </c>
      <c r="C241" s="338">
        <v>115</v>
      </c>
      <c r="D241" s="340" t="str">
        <f>VLOOKUP(C241,Plan!A$1:B$65542,2,0)</f>
        <v>Disponible Cali B.Chile</v>
      </c>
      <c r="E241" s="341">
        <f>+F241-G241</f>
        <v>64000</v>
      </c>
      <c r="F241" s="346">
        <v>64000</v>
      </c>
      <c r="G241" s="346">
        <v>0</v>
      </c>
      <c r="H241" s="338" t="s">
        <v>550</v>
      </c>
      <c r="I241" s="401" t="s">
        <v>131</v>
      </c>
      <c r="K241" s="370"/>
      <c r="N241" s="370"/>
    </row>
    <row r="242" spans="1:14" s="347" customFormat="1" x14ac:dyDescent="0.25">
      <c r="A242" s="339">
        <f>+A241</f>
        <v>44207</v>
      </c>
      <c r="B242" s="340">
        <f>+B241</f>
        <v>1</v>
      </c>
      <c r="C242" s="338">
        <v>1217</v>
      </c>
      <c r="D242" s="340" t="str">
        <f>VLOOKUP(C242,Plan!A$1:B$65542,2,0)</f>
        <v>Otros Valores -Oficina y Transferencias (248)</v>
      </c>
      <c r="E242" s="341">
        <f>+F242-G242</f>
        <v>-64000</v>
      </c>
      <c r="F242" s="346"/>
      <c r="G242" s="346">
        <f>+F241</f>
        <v>64000</v>
      </c>
      <c r="H242" s="338" t="str">
        <f>+H241</f>
        <v>Leonardo Robles / 248</v>
      </c>
      <c r="I242" s="401" t="str">
        <f>+I241</f>
        <v>Cali</v>
      </c>
      <c r="K242" s="370"/>
      <c r="N242" s="370"/>
    </row>
    <row r="243" spans="1:14" s="347" customFormat="1" x14ac:dyDescent="0.25">
      <c r="A243" s="369"/>
      <c r="E243" s="396"/>
      <c r="F243" s="396"/>
      <c r="G243" s="396"/>
      <c r="K243" s="370"/>
      <c r="N243" s="370"/>
    </row>
    <row r="244" spans="1:14" s="347" customFormat="1" x14ac:dyDescent="0.25">
      <c r="A244" s="339">
        <v>44207</v>
      </c>
      <c r="B244" s="340">
        <v>1</v>
      </c>
      <c r="C244" s="338">
        <v>115</v>
      </c>
      <c r="D244" s="340" t="str">
        <f>VLOOKUP(C244,Plan!A$1:B$65542,2,0)</f>
        <v>Disponible Cali B.Chile</v>
      </c>
      <c r="E244" s="341">
        <f>+F244-G244</f>
        <v>15000</v>
      </c>
      <c r="F244" s="346">
        <v>15000</v>
      </c>
      <c r="G244" s="346">
        <v>0</v>
      </c>
      <c r="H244" s="338" t="s">
        <v>1687</v>
      </c>
      <c r="I244" s="401" t="s">
        <v>131</v>
      </c>
      <c r="K244" s="370"/>
      <c r="N244" s="370"/>
    </row>
    <row r="245" spans="1:14" s="347" customFormat="1" x14ac:dyDescent="0.25">
      <c r="A245" s="339">
        <f>+A244</f>
        <v>44207</v>
      </c>
      <c r="B245" s="340">
        <f>+B244</f>
        <v>1</v>
      </c>
      <c r="C245" s="338">
        <v>1216</v>
      </c>
      <c r="D245" s="340" t="str">
        <f>VLOOKUP(C245,Plan!A$1:B$65542,2,0)</f>
        <v>Otros Valores Recaudadoras</v>
      </c>
      <c r="E245" s="341">
        <f>+F245-G245</f>
        <v>-15000</v>
      </c>
      <c r="F245" s="346"/>
      <c r="G245" s="346">
        <f>+F244</f>
        <v>15000</v>
      </c>
      <c r="H245" s="338" t="s">
        <v>1687</v>
      </c>
      <c r="I245" s="401" t="str">
        <f>+I244</f>
        <v>Cali</v>
      </c>
      <c r="K245" s="370"/>
      <c r="N245" s="370"/>
    </row>
    <row r="246" spans="1:14" s="347" customFormat="1" x14ac:dyDescent="0.25">
      <c r="A246" s="369"/>
      <c r="E246" s="396"/>
      <c r="F246" s="396"/>
      <c r="G246" s="396"/>
      <c r="K246" s="370"/>
      <c r="N246" s="370"/>
    </row>
    <row r="247" spans="1:14" s="347" customFormat="1" x14ac:dyDescent="0.25">
      <c r="A247" s="339">
        <v>44207</v>
      </c>
      <c r="B247" s="340">
        <v>1</v>
      </c>
      <c r="C247" s="338">
        <v>115</v>
      </c>
      <c r="D247" s="340" t="str">
        <f>VLOOKUP(C247,Plan!A$1:B$65542,2,0)</f>
        <v>Disponible Cali B.Chile</v>
      </c>
      <c r="E247" s="341">
        <f>+F247-G247</f>
        <v>14000</v>
      </c>
      <c r="F247" s="346">
        <v>14000</v>
      </c>
      <c r="G247" s="346">
        <v>0</v>
      </c>
      <c r="H247" s="338" t="s">
        <v>1687</v>
      </c>
      <c r="I247" s="401" t="s">
        <v>131</v>
      </c>
      <c r="K247" s="370"/>
      <c r="N247" s="370"/>
    </row>
    <row r="248" spans="1:14" s="347" customFormat="1" x14ac:dyDescent="0.25">
      <c r="A248" s="339">
        <f>+A247</f>
        <v>44207</v>
      </c>
      <c r="B248" s="340">
        <f>+B247</f>
        <v>1</v>
      </c>
      <c r="C248" s="338">
        <v>1216</v>
      </c>
      <c r="D248" s="340" t="str">
        <f>VLOOKUP(C248,Plan!A$1:B$65542,2,0)</f>
        <v>Otros Valores Recaudadoras</v>
      </c>
      <c r="E248" s="341">
        <f>+F248-G248</f>
        <v>-14000</v>
      </c>
      <c r="F248" s="346"/>
      <c r="G248" s="346">
        <f>+F247</f>
        <v>14000</v>
      </c>
      <c r="H248" s="338" t="s">
        <v>1687</v>
      </c>
      <c r="I248" s="401" t="str">
        <f>+I247</f>
        <v>Cali</v>
      </c>
      <c r="K248" s="370"/>
      <c r="N248" s="370"/>
    </row>
    <row r="249" spans="1:14" s="347" customFormat="1" x14ac:dyDescent="0.25">
      <c r="A249" s="369"/>
      <c r="E249" s="396"/>
      <c r="F249" s="396"/>
      <c r="G249" s="396"/>
      <c r="K249" s="370"/>
      <c r="N249" s="370"/>
    </row>
    <row r="250" spans="1:14" s="347" customFormat="1" x14ac:dyDescent="0.25">
      <c r="A250" s="339">
        <v>44207</v>
      </c>
      <c r="B250" s="340">
        <v>1</v>
      </c>
      <c r="C250" s="338">
        <v>115</v>
      </c>
      <c r="D250" s="340" t="str">
        <f>VLOOKUP(C250,Plan!A$1:B$65542,2,0)</f>
        <v>Disponible Cali B.Chile</v>
      </c>
      <c r="E250" s="341">
        <f>+F250-G250</f>
        <v>215000</v>
      </c>
      <c r="F250" s="346">
        <v>215000</v>
      </c>
      <c r="G250" s="346">
        <v>0</v>
      </c>
      <c r="H250" s="338" t="s">
        <v>1687</v>
      </c>
      <c r="I250" s="401" t="s">
        <v>131</v>
      </c>
      <c r="K250" s="370"/>
      <c r="N250" s="370"/>
    </row>
    <row r="251" spans="1:14" s="347" customFormat="1" x14ac:dyDescent="0.25">
      <c r="A251" s="339">
        <f>+A250</f>
        <v>44207</v>
      </c>
      <c r="B251" s="340">
        <f>+B250</f>
        <v>1</v>
      </c>
      <c r="C251" s="338">
        <v>1216</v>
      </c>
      <c r="D251" s="340" t="str">
        <f>VLOOKUP(C251,Plan!A$1:B$65542,2,0)</f>
        <v>Otros Valores Recaudadoras</v>
      </c>
      <c r="E251" s="341">
        <f>+F251-G251</f>
        <v>-215000</v>
      </c>
      <c r="F251" s="346"/>
      <c r="G251" s="346">
        <f>+F250</f>
        <v>215000</v>
      </c>
      <c r="H251" s="338" t="s">
        <v>1687</v>
      </c>
      <c r="I251" s="401" t="str">
        <f>+I250</f>
        <v>Cali</v>
      </c>
      <c r="K251" s="370"/>
      <c r="N251" s="370"/>
    </row>
    <row r="252" spans="1:14" s="347" customFormat="1" x14ac:dyDescent="0.25">
      <c r="A252" s="369"/>
      <c r="E252" s="396"/>
      <c r="F252" s="396"/>
      <c r="G252" s="396"/>
      <c r="K252" s="370"/>
      <c r="N252" s="370"/>
    </row>
    <row r="253" spans="1:14" s="347" customFormat="1" x14ac:dyDescent="0.25">
      <c r="A253" s="339">
        <v>44208</v>
      </c>
      <c r="B253" s="340">
        <v>1</v>
      </c>
      <c r="C253" s="338">
        <v>115</v>
      </c>
      <c r="D253" s="340" t="str">
        <f>VLOOKUP(C253,Plan!A$1:B$65542,2,0)</f>
        <v>Disponible Cali B.Chile</v>
      </c>
      <c r="E253" s="341">
        <f>+F253-G253</f>
        <v>7400</v>
      </c>
      <c r="F253" s="346">
        <v>7400</v>
      </c>
      <c r="G253" s="346">
        <v>0</v>
      </c>
      <c r="H253" s="338" t="s">
        <v>824</v>
      </c>
      <c r="I253" s="401" t="s">
        <v>131</v>
      </c>
      <c r="K253" s="370"/>
      <c r="N253" s="370"/>
    </row>
    <row r="254" spans="1:14" s="347" customFormat="1" x14ac:dyDescent="0.25">
      <c r="A254" s="339">
        <f>+A253</f>
        <v>44208</v>
      </c>
      <c r="B254" s="340">
        <f>+B253</f>
        <v>1</v>
      </c>
      <c r="C254" s="338">
        <v>1217</v>
      </c>
      <c r="D254" s="340" t="str">
        <f>VLOOKUP(C254,Plan!A$1:B$65542,2,0)</f>
        <v>Otros Valores -Oficina y Transferencias (248)</v>
      </c>
      <c r="E254" s="341">
        <f>+F254-G254</f>
        <v>-7400</v>
      </c>
      <c r="F254" s="346"/>
      <c r="G254" s="346">
        <f>+F253</f>
        <v>7400</v>
      </c>
      <c r="H254" s="338" t="str">
        <f>+H253</f>
        <v>Maria Elisa Cruzat Silva / 248</v>
      </c>
      <c r="I254" s="401" t="str">
        <f>+I253</f>
        <v>Cali</v>
      </c>
      <c r="K254" s="370"/>
      <c r="N254" s="370"/>
    </row>
    <row r="255" spans="1:14" s="347" customFormat="1" x14ac:dyDescent="0.25">
      <c r="A255" s="369"/>
      <c r="E255" s="396"/>
      <c r="F255" s="396"/>
      <c r="G255" s="396"/>
      <c r="K255" s="370"/>
      <c r="N255" s="370"/>
    </row>
    <row r="256" spans="1:14" s="347" customFormat="1" x14ac:dyDescent="0.25">
      <c r="A256" s="339">
        <v>44208</v>
      </c>
      <c r="B256" s="340">
        <v>1</v>
      </c>
      <c r="C256" s="338">
        <v>115</v>
      </c>
      <c r="D256" s="347" t="str">
        <f>VLOOKUP(C256,Plan!A$1:B$65542,2,0)</f>
        <v>Disponible Cali B.Chile</v>
      </c>
      <c r="E256" s="341">
        <f>+F256-G256</f>
        <v>9814</v>
      </c>
      <c r="F256" s="346">
        <v>9814</v>
      </c>
      <c r="G256" s="346">
        <v>0</v>
      </c>
      <c r="H256" s="338" t="s">
        <v>802</v>
      </c>
      <c r="I256" s="401" t="s">
        <v>131</v>
      </c>
      <c r="K256" s="370"/>
      <c r="N256" s="370"/>
    </row>
    <row r="257" spans="1:14" s="347" customFormat="1" x14ac:dyDescent="0.25">
      <c r="A257" s="339">
        <f>+A256</f>
        <v>44208</v>
      </c>
      <c r="B257" s="340">
        <f>+B256</f>
        <v>1</v>
      </c>
      <c r="C257" s="338">
        <v>216</v>
      </c>
      <c r="D257" s="347" t="str">
        <f>VLOOKUP(C257,Plan!A$1:B$65542,2,0)</f>
        <v>Cuenta por Pagar a Administración Colectas</v>
      </c>
      <c r="E257" s="341">
        <f>+F257-G257</f>
        <v>-9814</v>
      </c>
      <c r="F257" s="346"/>
      <c r="G257" s="346">
        <f>+F256</f>
        <v>9814</v>
      </c>
      <c r="H257" s="338" t="str">
        <f>+H256</f>
        <v>Abono  TBK por DCT</v>
      </c>
      <c r="I257" s="401" t="str">
        <f>+I256</f>
        <v>Cali</v>
      </c>
      <c r="K257" s="370"/>
      <c r="N257" s="370"/>
    </row>
    <row r="258" spans="1:14" s="347" customFormat="1" x14ac:dyDescent="0.25">
      <c r="A258" s="369"/>
      <c r="E258" s="396"/>
      <c r="F258" s="396"/>
      <c r="G258" s="396"/>
      <c r="K258" s="370"/>
      <c r="N258" s="370"/>
    </row>
    <row r="259" spans="1:14" s="347" customFormat="1" x14ac:dyDescent="0.25">
      <c r="A259" s="339">
        <v>44208</v>
      </c>
      <c r="B259" s="340">
        <v>1</v>
      </c>
      <c r="C259" s="338">
        <v>115</v>
      </c>
      <c r="D259" s="347" t="str">
        <f>VLOOKUP(C259,Plan!A$1:B$65542,2,0)</f>
        <v>Disponible Cali B.Chile</v>
      </c>
      <c r="E259" s="341">
        <f>+F259-G259</f>
        <v>30000000</v>
      </c>
      <c r="F259" s="346">
        <v>30000000</v>
      </c>
      <c r="G259" s="346">
        <v>0</v>
      </c>
      <c r="H259" s="338" t="s">
        <v>825</v>
      </c>
      <c r="I259" s="401" t="s">
        <v>131</v>
      </c>
      <c r="K259" s="370"/>
      <c r="N259" s="370"/>
    </row>
    <row r="260" spans="1:14" s="347" customFormat="1" x14ac:dyDescent="0.25">
      <c r="A260" s="339">
        <f>+A259</f>
        <v>44208</v>
      </c>
      <c r="B260" s="340">
        <f>+B259</f>
        <v>1</v>
      </c>
      <c r="C260" s="338">
        <v>3210</v>
      </c>
      <c r="D260" s="347" t="str">
        <f>VLOOKUP(C260,Plan!A$1:B$65542,2,0)</f>
        <v>Donacion Construccion</v>
      </c>
      <c r="E260" s="341">
        <f>+F260-G260</f>
        <v>-30000000</v>
      </c>
      <c r="F260" s="346"/>
      <c r="G260" s="346">
        <f>+F259</f>
        <v>30000000</v>
      </c>
      <c r="H260" s="338" t="str">
        <f>+H259</f>
        <v>Mario Vinagre / Azul</v>
      </c>
      <c r="I260" s="401" t="str">
        <f>+I259</f>
        <v>Cali</v>
      </c>
      <c r="K260" s="370"/>
      <c r="N260" s="370"/>
    </row>
    <row r="261" spans="1:14" s="347" customFormat="1" x14ac:dyDescent="0.25">
      <c r="A261" s="369"/>
      <c r="E261" s="396"/>
      <c r="F261" s="396"/>
      <c r="G261" s="396"/>
      <c r="K261" s="370"/>
      <c r="N261" s="370"/>
    </row>
    <row r="262" spans="1:14" s="347" customFormat="1" x14ac:dyDescent="0.25">
      <c r="A262" s="339">
        <v>44209</v>
      </c>
      <c r="B262" s="340">
        <v>1</v>
      </c>
      <c r="C262" s="338">
        <v>115</v>
      </c>
      <c r="D262" s="340" t="str">
        <f>VLOOKUP(C262,Plan!A$1:B$65542,2,0)</f>
        <v>Disponible Cali B.Chile</v>
      </c>
      <c r="E262" s="341">
        <f>+F262-G262</f>
        <v>100000</v>
      </c>
      <c r="F262" s="346">
        <v>100000</v>
      </c>
      <c r="G262" s="346">
        <v>0</v>
      </c>
      <c r="H262" s="338" t="s">
        <v>826</v>
      </c>
      <c r="I262" s="401" t="s">
        <v>131</v>
      </c>
      <c r="K262" s="370"/>
      <c r="N262" s="370"/>
    </row>
    <row r="263" spans="1:14" s="347" customFormat="1" x14ac:dyDescent="0.25">
      <c r="A263" s="339">
        <f>+A262</f>
        <v>44209</v>
      </c>
      <c r="B263" s="340">
        <f>+B262</f>
        <v>1</v>
      </c>
      <c r="C263" s="338">
        <v>1222</v>
      </c>
      <c r="D263" s="340" t="str">
        <f>VLOOKUP(C263,Plan!A$1:B$65542,2,0)</f>
        <v>Otros Valores -Oficina y Transferencias (249)</v>
      </c>
      <c r="E263" s="341">
        <f>+F263-G263</f>
        <v>-100000</v>
      </c>
      <c r="F263" s="346">
        <v>0</v>
      </c>
      <c r="G263" s="346">
        <f>+F262</f>
        <v>100000</v>
      </c>
      <c r="H263" s="338" t="str">
        <f>+H262</f>
        <v>Santiago Doña V / 249</v>
      </c>
      <c r="I263" s="401" t="str">
        <f>+I262</f>
        <v>Cali</v>
      </c>
      <c r="K263" s="370"/>
      <c r="N263" s="370"/>
    </row>
    <row r="264" spans="1:14" s="347" customFormat="1" x14ac:dyDescent="0.25">
      <c r="A264" s="369"/>
      <c r="E264" s="396"/>
      <c r="F264" s="396"/>
      <c r="G264" s="396"/>
      <c r="K264" s="370"/>
      <c r="N264" s="370"/>
    </row>
    <row r="265" spans="1:14" s="347" customFormat="1" x14ac:dyDescent="0.25">
      <c r="A265" s="339">
        <v>44209</v>
      </c>
      <c r="B265" s="340">
        <v>1</v>
      </c>
      <c r="C265" s="338">
        <v>115</v>
      </c>
      <c r="D265" s="347" t="str">
        <f>VLOOKUP(C265,Plan!A$1:B$65542,2,0)</f>
        <v>Disponible Cali B.Chile</v>
      </c>
      <c r="E265" s="341">
        <f>+F265-G265</f>
        <v>20000</v>
      </c>
      <c r="F265" s="346">
        <v>20000</v>
      </c>
      <c r="G265" s="346">
        <v>0</v>
      </c>
      <c r="H265" s="338" t="s">
        <v>827</v>
      </c>
      <c r="I265" s="401" t="s">
        <v>131</v>
      </c>
      <c r="K265" s="370"/>
      <c r="N265" s="370"/>
    </row>
    <row r="266" spans="1:14" s="347" customFormat="1" x14ac:dyDescent="0.25">
      <c r="A266" s="339">
        <f>+A265</f>
        <v>44209</v>
      </c>
      <c r="B266" s="340">
        <f>+B265</f>
        <v>1</v>
      </c>
      <c r="C266" s="338">
        <v>3210</v>
      </c>
      <c r="D266" s="347" t="str">
        <f>VLOOKUP(C266,Plan!A$1:B$65542,2,0)</f>
        <v>Donacion Construccion</v>
      </c>
      <c r="E266" s="341">
        <f>+F266-G266</f>
        <v>-20000</v>
      </c>
      <c r="F266" s="346">
        <v>0</v>
      </c>
      <c r="G266" s="346">
        <f>+F265</f>
        <v>20000</v>
      </c>
      <c r="H266" s="338" t="str">
        <f>+H265</f>
        <v>Maria Graciela Garrida / Azul</v>
      </c>
      <c r="I266" s="401" t="str">
        <f>+I265</f>
        <v>Cali</v>
      </c>
      <c r="K266" s="370"/>
      <c r="N266" s="370"/>
    </row>
    <row r="267" spans="1:14" s="347" customFormat="1" x14ac:dyDescent="0.25">
      <c r="A267" s="369"/>
      <c r="E267" s="396"/>
      <c r="F267" s="396"/>
      <c r="G267" s="396"/>
      <c r="K267" s="370"/>
      <c r="N267" s="370"/>
    </row>
    <row r="268" spans="1:14" s="347" customFormat="1" x14ac:dyDescent="0.25">
      <c r="A268" s="339">
        <v>44209</v>
      </c>
      <c r="B268" s="340">
        <v>1</v>
      </c>
      <c r="C268" s="338">
        <v>115</v>
      </c>
      <c r="D268" s="340" t="str">
        <f>VLOOKUP(C268,Plan!A$1:B$65542,2,0)</f>
        <v>Disponible Cali B.Chile</v>
      </c>
      <c r="E268" s="341">
        <f>+F268-G268</f>
        <v>25000</v>
      </c>
      <c r="F268" s="346">
        <v>25000</v>
      </c>
      <c r="G268" s="346">
        <v>0</v>
      </c>
      <c r="H268" s="338" t="s">
        <v>828</v>
      </c>
      <c r="I268" s="401" t="s">
        <v>131</v>
      </c>
      <c r="K268" s="370"/>
      <c r="N268" s="370"/>
    </row>
    <row r="269" spans="1:14" s="347" customFormat="1" x14ac:dyDescent="0.25">
      <c r="A269" s="339">
        <f>+A268</f>
        <v>44209</v>
      </c>
      <c r="B269" s="340">
        <f>+B268</f>
        <v>1</v>
      </c>
      <c r="C269" s="338">
        <v>1222</v>
      </c>
      <c r="D269" s="340" t="str">
        <f>VLOOKUP(C269,Plan!A$1:B$65542,2,0)</f>
        <v>Otros Valores -Oficina y Transferencias (249)</v>
      </c>
      <c r="E269" s="341">
        <f>+F269-G269</f>
        <v>-25000</v>
      </c>
      <c r="F269" s="346">
        <v>0</v>
      </c>
      <c r="G269" s="346">
        <f>+F268</f>
        <v>25000</v>
      </c>
      <c r="H269" s="338" t="str">
        <f>+H268</f>
        <v>Maria Graciela Garrida / 249</v>
      </c>
      <c r="I269" s="401" t="str">
        <f>+I268</f>
        <v>Cali</v>
      </c>
      <c r="K269" s="370"/>
      <c r="N269" s="370"/>
    </row>
    <row r="270" spans="1:14" s="347" customFormat="1" x14ac:dyDescent="0.25">
      <c r="A270" s="369"/>
      <c r="E270" s="396"/>
      <c r="F270" s="396"/>
      <c r="G270" s="396"/>
      <c r="K270" s="370"/>
      <c r="N270" s="370"/>
    </row>
    <row r="271" spans="1:14" s="347" customFormat="1" x14ac:dyDescent="0.25">
      <c r="A271" s="339">
        <v>44209</v>
      </c>
      <c r="B271" s="340">
        <v>1</v>
      </c>
      <c r="C271" s="338">
        <v>115</v>
      </c>
      <c r="D271" s="340" t="str">
        <f>VLOOKUP(C271,Plan!A$1:B$65542,2,0)</f>
        <v>Disponible Cali B.Chile</v>
      </c>
      <c r="E271" s="341">
        <f>+F271-G271</f>
        <v>50000</v>
      </c>
      <c r="F271" s="346">
        <v>50000</v>
      </c>
      <c r="G271" s="346">
        <v>0</v>
      </c>
      <c r="H271" s="338" t="s">
        <v>1687</v>
      </c>
      <c r="I271" s="401" t="s">
        <v>131</v>
      </c>
      <c r="K271" s="370"/>
      <c r="N271" s="370"/>
    </row>
    <row r="272" spans="1:14" s="347" customFormat="1" x14ac:dyDescent="0.25">
      <c r="A272" s="339">
        <f>+A271</f>
        <v>44209</v>
      </c>
      <c r="B272" s="340">
        <f>+B271</f>
        <v>1</v>
      </c>
      <c r="C272" s="338">
        <v>1216</v>
      </c>
      <c r="D272" s="340" t="str">
        <f>VLOOKUP(C272,Plan!A$1:B$65542,2,0)</f>
        <v>Otros Valores Recaudadoras</v>
      </c>
      <c r="E272" s="341">
        <f>+F272-G272</f>
        <v>-50000</v>
      </c>
      <c r="F272" s="346">
        <v>0</v>
      </c>
      <c r="G272" s="346">
        <f>+F271</f>
        <v>50000</v>
      </c>
      <c r="H272" s="338" t="s">
        <v>1687</v>
      </c>
      <c r="I272" s="401" t="str">
        <f>+I271</f>
        <v>Cali</v>
      </c>
      <c r="K272" s="370"/>
      <c r="N272" s="370"/>
    </row>
    <row r="273" spans="1:14" s="347" customFormat="1" x14ac:dyDescent="0.25">
      <c r="A273" s="369"/>
      <c r="E273" s="396"/>
      <c r="F273" s="396"/>
      <c r="G273" s="396"/>
      <c r="K273" s="370"/>
      <c r="N273" s="370"/>
    </row>
    <row r="274" spans="1:14" s="347" customFormat="1" x14ac:dyDescent="0.25">
      <c r="A274" s="339">
        <v>44209</v>
      </c>
      <c r="B274" s="340">
        <v>1</v>
      </c>
      <c r="C274" s="338">
        <v>115</v>
      </c>
      <c r="D274" s="340" t="str">
        <f>VLOOKUP(C274,Plan!A$1:B$65542,2,0)</f>
        <v>Disponible Cali B.Chile</v>
      </c>
      <c r="E274" s="341">
        <f>+F274-G274</f>
        <v>30000</v>
      </c>
      <c r="F274" s="346">
        <v>30000</v>
      </c>
      <c r="G274" s="346">
        <v>0</v>
      </c>
      <c r="H274" s="338" t="s">
        <v>1687</v>
      </c>
      <c r="I274" s="401" t="s">
        <v>131</v>
      </c>
      <c r="K274" s="370"/>
      <c r="N274" s="370"/>
    </row>
    <row r="275" spans="1:14" s="347" customFormat="1" x14ac:dyDescent="0.25">
      <c r="A275" s="339">
        <f>+A274</f>
        <v>44209</v>
      </c>
      <c r="B275" s="340">
        <f>+B274</f>
        <v>1</v>
      </c>
      <c r="C275" s="338">
        <v>1216</v>
      </c>
      <c r="D275" s="340" t="str">
        <f>VLOOKUP(C275,Plan!A$1:B$65542,2,0)</f>
        <v>Otros Valores Recaudadoras</v>
      </c>
      <c r="E275" s="341">
        <f>+F275-G275</f>
        <v>-30000</v>
      </c>
      <c r="F275" s="346">
        <v>0</v>
      </c>
      <c r="G275" s="346">
        <f>+F274</f>
        <v>30000</v>
      </c>
      <c r="H275" s="338" t="s">
        <v>1687</v>
      </c>
      <c r="I275" s="401" t="str">
        <f>+I274</f>
        <v>Cali</v>
      </c>
      <c r="K275" s="370"/>
      <c r="N275" s="370"/>
    </row>
    <row r="276" spans="1:14" s="347" customFormat="1" x14ac:dyDescent="0.25">
      <c r="A276" s="369"/>
      <c r="E276" s="396"/>
      <c r="F276" s="396"/>
      <c r="G276" s="396"/>
      <c r="K276" s="370"/>
      <c r="N276" s="370"/>
    </row>
    <row r="277" spans="1:14" s="347" customFormat="1" x14ac:dyDescent="0.25">
      <c r="A277" s="339">
        <v>44210</v>
      </c>
      <c r="B277" s="340">
        <v>1</v>
      </c>
      <c r="C277" s="338">
        <v>115</v>
      </c>
      <c r="D277" s="347" t="str">
        <f>VLOOKUP(C277,Plan!A$1:B$65542,2,0)</f>
        <v>Disponible Cali B.Chile</v>
      </c>
      <c r="E277" s="341">
        <f>+F277-G277</f>
        <v>30000</v>
      </c>
      <c r="F277" s="346">
        <v>30000</v>
      </c>
      <c r="G277" s="346">
        <v>0</v>
      </c>
      <c r="H277" s="338" t="s">
        <v>829</v>
      </c>
      <c r="I277" s="401" t="s">
        <v>131</v>
      </c>
      <c r="K277" s="370"/>
      <c r="N277" s="370"/>
    </row>
    <row r="278" spans="1:14" s="347" customFormat="1" x14ac:dyDescent="0.25">
      <c r="A278" s="339">
        <f>+A277</f>
        <v>44210</v>
      </c>
      <c r="B278" s="340">
        <f>+B277</f>
        <v>1</v>
      </c>
      <c r="C278" s="338">
        <v>3210</v>
      </c>
      <c r="D278" s="347" t="str">
        <f>VLOOKUP(C278,Plan!A$1:B$65542,2,0)</f>
        <v>Donacion Construccion</v>
      </c>
      <c r="E278" s="341">
        <f>+F278-G278</f>
        <v>-30000</v>
      </c>
      <c r="F278" s="346">
        <v>0</v>
      </c>
      <c r="G278" s="346">
        <f>+F277</f>
        <v>30000</v>
      </c>
      <c r="H278" s="338" t="str">
        <f>+H277</f>
        <v>Marcela Pinto Z / Azul</v>
      </c>
      <c r="I278" s="401" t="str">
        <f>+I277</f>
        <v>Cali</v>
      </c>
      <c r="K278" s="370"/>
      <c r="N278" s="370"/>
    </row>
    <row r="279" spans="1:14" s="347" customFormat="1" x14ac:dyDescent="0.25">
      <c r="A279" s="369"/>
      <c r="E279" s="396"/>
      <c r="F279" s="396"/>
      <c r="G279" s="396"/>
      <c r="K279" s="370"/>
      <c r="N279" s="370"/>
    </row>
    <row r="280" spans="1:14" s="347" customFormat="1" x14ac:dyDescent="0.25">
      <c r="A280" s="339">
        <v>44210</v>
      </c>
      <c r="B280" s="340">
        <v>1</v>
      </c>
      <c r="C280" s="338">
        <v>115</v>
      </c>
      <c r="D280" s="340" t="str">
        <f>VLOOKUP(C280,Plan!A$1:B$65542,2,0)</f>
        <v>Disponible Cali B.Chile</v>
      </c>
      <c r="E280" s="341">
        <f>+F280-G280</f>
        <v>9000</v>
      </c>
      <c r="F280" s="346">
        <v>9000</v>
      </c>
      <c r="G280" s="346">
        <v>0</v>
      </c>
      <c r="H280" s="338" t="s">
        <v>656</v>
      </c>
      <c r="I280" s="401" t="s">
        <v>131</v>
      </c>
      <c r="K280" s="370"/>
      <c r="N280" s="370"/>
    </row>
    <row r="281" spans="1:14" s="347" customFormat="1" x14ac:dyDescent="0.25">
      <c r="A281" s="339">
        <f>+A280</f>
        <v>44210</v>
      </c>
      <c r="B281" s="340">
        <f>+B280</f>
        <v>1</v>
      </c>
      <c r="C281" s="338">
        <v>1217</v>
      </c>
      <c r="D281" s="340" t="str">
        <f>VLOOKUP(C281,Plan!A$1:B$65542,2,0)</f>
        <v>Otros Valores -Oficina y Transferencias (248)</v>
      </c>
      <c r="E281" s="341">
        <f>+F281-G281</f>
        <v>-9000</v>
      </c>
      <c r="F281" s="346">
        <v>0</v>
      </c>
      <c r="G281" s="346">
        <f>+F280</f>
        <v>9000</v>
      </c>
      <c r="H281" s="338" t="str">
        <f>+H280</f>
        <v>M.Cristina Valenzuela / 248</v>
      </c>
      <c r="I281" s="401" t="str">
        <f>+I280</f>
        <v>Cali</v>
      </c>
      <c r="K281" s="370"/>
      <c r="N281" s="370"/>
    </row>
    <row r="282" spans="1:14" s="347" customFormat="1" x14ac:dyDescent="0.25">
      <c r="A282" s="369"/>
      <c r="E282" s="396"/>
      <c r="F282" s="396"/>
      <c r="G282" s="396"/>
      <c r="K282" s="370"/>
      <c r="N282" s="370"/>
    </row>
    <row r="283" spans="1:14" s="347" customFormat="1" x14ac:dyDescent="0.25">
      <c r="A283" s="339">
        <v>44211</v>
      </c>
      <c r="B283" s="340">
        <v>1</v>
      </c>
      <c r="C283" s="338">
        <v>202</v>
      </c>
      <c r="D283" s="340" t="str">
        <f>VLOOKUP(C283,Plan!A$1:B$65542,2,0)</f>
        <v>Arzobispado por pagar</v>
      </c>
      <c r="E283" s="341">
        <f>+F283-G283</f>
        <v>3150666</v>
      </c>
      <c r="F283" s="346">
        <v>3150666</v>
      </c>
      <c r="G283" s="346">
        <v>0</v>
      </c>
      <c r="H283" s="343" t="s">
        <v>830</v>
      </c>
      <c r="I283" s="340" t="s">
        <v>131</v>
      </c>
      <c r="K283" s="370"/>
      <c r="N283" s="370"/>
    </row>
    <row r="284" spans="1:14" s="347" customFormat="1" x14ac:dyDescent="0.25">
      <c r="A284" s="339">
        <f>+A283</f>
        <v>44211</v>
      </c>
      <c r="B284" s="340">
        <f>+B283</f>
        <v>1</v>
      </c>
      <c r="C284" s="338">
        <v>201</v>
      </c>
      <c r="D284" s="340" t="str">
        <f>VLOOKUP(C284,Plan!A$1:B$65542,2,0)</f>
        <v>1% por pagar</v>
      </c>
      <c r="E284" s="341">
        <f>+F284-G284</f>
        <v>124767</v>
      </c>
      <c r="F284" s="346">
        <v>124767</v>
      </c>
      <c r="G284" s="346">
        <v>0</v>
      </c>
      <c r="H284" s="338" t="str">
        <f>+H283</f>
        <v>Rendicion CALI Recaudado Diciembre/20</v>
      </c>
      <c r="I284" s="340" t="s">
        <v>131</v>
      </c>
      <c r="K284" s="370"/>
      <c r="N284" s="370"/>
    </row>
    <row r="285" spans="1:14" s="347" customFormat="1" x14ac:dyDescent="0.25">
      <c r="A285" s="339">
        <f>+A283</f>
        <v>44211</v>
      </c>
      <c r="B285" s="340">
        <f>+B283</f>
        <v>1</v>
      </c>
      <c r="C285" s="338">
        <v>115</v>
      </c>
      <c r="D285" s="340" t="str">
        <f>VLOOKUP(C285,Plan!A$1:B$65542,2,0)</f>
        <v>Disponible Cali B.Chile</v>
      </c>
      <c r="E285" s="341">
        <f>+F285-G285</f>
        <v>-3275433</v>
      </c>
      <c r="F285" s="346">
        <v>0</v>
      </c>
      <c r="G285" s="346">
        <v>3275433</v>
      </c>
      <c r="H285" s="338" t="str">
        <f>+H283</f>
        <v>Rendicion CALI Recaudado Diciembre/20</v>
      </c>
      <c r="I285" s="401" t="str">
        <f>+I283</f>
        <v>Cali</v>
      </c>
      <c r="K285" s="370"/>
      <c r="N285" s="370"/>
    </row>
    <row r="286" spans="1:14" s="347" customFormat="1" x14ac:dyDescent="0.25">
      <c r="A286" s="339"/>
      <c r="B286" s="340"/>
      <c r="C286" s="338"/>
      <c r="D286" s="340"/>
      <c r="E286" s="341"/>
      <c r="F286" s="345"/>
      <c r="G286" s="345"/>
      <c r="H286" s="338"/>
      <c r="I286" s="340"/>
      <c r="K286" s="370"/>
      <c r="N286" s="370"/>
    </row>
    <row r="287" spans="1:14" s="347" customFormat="1" x14ac:dyDescent="0.25">
      <c r="A287" s="339">
        <v>44211</v>
      </c>
      <c r="B287" s="340">
        <v>1</v>
      </c>
      <c r="C287" s="338">
        <v>4170</v>
      </c>
      <c r="D287" s="340" t="str">
        <f>VLOOKUP(C287,Plan!A$1:B$65542,2,0)</f>
        <v>Cali otros</v>
      </c>
      <c r="E287" s="341">
        <f>+F287-G287</f>
        <v>166667</v>
      </c>
      <c r="F287" s="346">
        <v>166667</v>
      </c>
      <c r="G287" s="346">
        <v>0</v>
      </c>
      <c r="H287" s="343" t="s">
        <v>831</v>
      </c>
      <c r="I287" s="340" t="s">
        <v>131</v>
      </c>
      <c r="K287" s="370"/>
      <c r="N287" s="370"/>
    </row>
    <row r="288" spans="1:14" s="347" customFormat="1" x14ac:dyDescent="0.25">
      <c r="A288" s="339">
        <f>+A287</f>
        <v>44211</v>
      </c>
      <c r="B288" s="340">
        <f>+B287</f>
        <v>1</v>
      </c>
      <c r="C288" s="338">
        <v>204</v>
      </c>
      <c r="D288" s="340" t="str">
        <f>VLOOKUP(C288,Plan!A$1:B$65542,2,0)</f>
        <v>Retención Honorarios Cali</v>
      </c>
      <c r="E288" s="341">
        <f>+F288-G288</f>
        <v>-19167</v>
      </c>
      <c r="F288" s="346">
        <v>0</v>
      </c>
      <c r="G288" s="346">
        <v>19167</v>
      </c>
      <c r="H288" s="338" t="str">
        <f>+H287</f>
        <v xml:space="preserve"> G. de la Vega Hon. Diciembre</v>
      </c>
      <c r="I288" s="401" t="str">
        <f>+I287</f>
        <v>Cali</v>
      </c>
      <c r="K288" s="370"/>
      <c r="N288" s="370"/>
    </row>
    <row r="289" spans="1:14" s="347" customFormat="1" x14ac:dyDescent="0.25">
      <c r="A289" s="339">
        <f>+A287</f>
        <v>44211</v>
      </c>
      <c r="B289" s="340">
        <f>+B287</f>
        <v>1</v>
      </c>
      <c r="C289" s="338">
        <v>115</v>
      </c>
      <c r="D289" s="340" t="str">
        <f>VLOOKUP(C289,Plan!A$1:B$65542,2,0)</f>
        <v>Disponible Cali B.Chile</v>
      </c>
      <c r="E289" s="341">
        <f>+F289-G289</f>
        <v>-147500</v>
      </c>
      <c r="F289" s="346">
        <v>0</v>
      </c>
      <c r="G289" s="346">
        <v>147500</v>
      </c>
      <c r="H289" s="338" t="str">
        <f>+H287</f>
        <v xml:space="preserve"> G. de la Vega Hon. Diciembre</v>
      </c>
      <c r="I289" s="401" t="str">
        <f>+I287</f>
        <v>Cali</v>
      </c>
      <c r="K289" s="370"/>
      <c r="N289" s="370"/>
    </row>
    <row r="290" spans="1:14" s="347" customFormat="1" x14ac:dyDescent="0.25">
      <c r="A290" s="339"/>
      <c r="B290" s="340"/>
      <c r="C290" s="338"/>
      <c r="D290" s="340"/>
      <c r="E290" s="341"/>
      <c r="F290" s="345"/>
      <c r="G290" s="345"/>
      <c r="H290" s="338"/>
      <c r="I290" s="340"/>
      <c r="K290" s="370"/>
      <c r="N290" s="370"/>
    </row>
    <row r="291" spans="1:14" s="347" customFormat="1" x14ac:dyDescent="0.25">
      <c r="A291" s="339">
        <v>44211</v>
      </c>
      <c r="B291" s="340">
        <v>1</v>
      </c>
      <c r="C291" s="338">
        <v>203</v>
      </c>
      <c r="D291" s="340" t="s">
        <v>94</v>
      </c>
      <c r="E291" s="341">
        <f>+F291-G291</f>
        <v>78480</v>
      </c>
      <c r="F291" s="346">
        <v>78480</v>
      </c>
      <c r="G291" s="346">
        <v>0</v>
      </c>
      <c r="H291" s="343" t="s">
        <v>568</v>
      </c>
      <c r="I291" s="340" t="s">
        <v>131</v>
      </c>
      <c r="K291" s="370"/>
      <c r="N291" s="370"/>
    </row>
    <row r="292" spans="1:14" s="347" customFormat="1" x14ac:dyDescent="0.25">
      <c r="A292" s="339">
        <f>+A291</f>
        <v>44211</v>
      </c>
      <c r="B292" s="340">
        <f>+B291</f>
        <v>1</v>
      </c>
      <c r="C292" s="338">
        <v>204</v>
      </c>
      <c r="D292" s="340" t="s">
        <v>444</v>
      </c>
      <c r="E292" s="341">
        <f>+F292-G292</f>
        <v>-9025</v>
      </c>
      <c r="F292" s="346">
        <v>0</v>
      </c>
      <c r="G292" s="346">
        <v>9025</v>
      </c>
      <c r="H292" s="338" t="s">
        <v>568</v>
      </c>
      <c r="I292" s="401" t="str">
        <f>+I291</f>
        <v>Cali</v>
      </c>
      <c r="K292" s="370"/>
      <c r="N292" s="370"/>
    </row>
    <row r="293" spans="1:14" s="347" customFormat="1" x14ac:dyDescent="0.25">
      <c r="A293" s="339">
        <f>+A291</f>
        <v>44211</v>
      </c>
      <c r="B293" s="340">
        <f>+B291</f>
        <v>1</v>
      </c>
      <c r="C293" s="338">
        <v>115</v>
      </c>
      <c r="D293" s="340" t="s">
        <v>256</v>
      </c>
      <c r="E293" s="341">
        <f>+F293-G293</f>
        <v>-69455</v>
      </c>
      <c r="F293" s="346">
        <v>0</v>
      </c>
      <c r="G293" s="346">
        <v>69455</v>
      </c>
      <c r="H293" s="338" t="s">
        <v>568</v>
      </c>
      <c r="I293" s="401" t="str">
        <f>+I291</f>
        <v>Cali</v>
      </c>
      <c r="K293" s="370"/>
      <c r="N293" s="370"/>
    </row>
    <row r="294" spans="1:14" s="347" customFormat="1" x14ac:dyDescent="0.25">
      <c r="A294" s="369"/>
      <c r="E294" s="396"/>
      <c r="F294" s="396"/>
      <c r="G294" s="396"/>
      <c r="K294" s="370"/>
      <c r="N294" s="370"/>
    </row>
    <row r="295" spans="1:14" s="347" customFormat="1" x14ac:dyDescent="0.25">
      <c r="A295" s="339">
        <v>44211</v>
      </c>
      <c r="B295" s="340">
        <v>1</v>
      </c>
      <c r="C295" s="338">
        <v>115</v>
      </c>
      <c r="D295" s="340" t="str">
        <f>VLOOKUP(C295,Plan!A$1:B$65542,2,0)</f>
        <v>Disponible Cali B.Chile</v>
      </c>
      <c r="E295" s="341">
        <f>+F295-G295</f>
        <v>20000</v>
      </c>
      <c r="F295" s="346">
        <v>20000</v>
      </c>
      <c r="G295" s="346">
        <v>0</v>
      </c>
      <c r="H295" s="338" t="s">
        <v>832</v>
      </c>
      <c r="I295" s="401" t="s">
        <v>131</v>
      </c>
      <c r="K295" s="370"/>
      <c r="N295" s="370"/>
    </row>
    <row r="296" spans="1:14" s="347" customFormat="1" x14ac:dyDescent="0.25">
      <c r="A296" s="339">
        <f>+A295</f>
        <v>44211</v>
      </c>
      <c r="B296" s="340">
        <f>+B295</f>
        <v>1</v>
      </c>
      <c r="C296" s="338">
        <v>1222</v>
      </c>
      <c r="D296" s="340" t="str">
        <f>VLOOKUP(C296,Plan!A$1:B$65542,2,0)</f>
        <v>Otros Valores -Oficina y Transferencias (249)</v>
      </c>
      <c r="E296" s="341">
        <f>+F296-G296</f>
        <v>-20000</v>
      </c>
      <c r="F296" s="346">
        <v>0</v>
      </c>
      <c r="G296" s="346">
        <f>+F295</f>
        <v>20000</v>
      </c>
      <c r="H296" s="338" t="str">
        <f>+H295</f>
        <v>Bernardita Egaña /249</v>
      </c>
      <c r="I296" s="401" t="str">
        <f>+I295</f>
        <v>Cali</v>
      </c>
      <c r="K296" s="370"/>
      <c r="N296" s="370"/>
    </row>
    <row r="297" spans="1:14" s="347" customFormat="1" ht="15.65" customHeight="1" x14ac:dyDescent="0.25">
      <c r="A297" s="369"/>
      <c r="E297" s="396"/>
      <c r="F297" s="396"/>
      <c r="G297" s="396"/>
      <c r="K297" s="370"/>
      <c r="N297" s="370"/>
    </row>
    <row r="298" spans="1:14" s="347" customFormat="1" x14ac:dyDescent="0.25">
      <c r="A298" s="339">
        <v>44211</v>
      </c>
      <c r="B298" s="340">
        <v>1</v>
      </c>
      <c r="C298" s="338">
        <v>115</v>
      </c>
      <c r="D298" s="340" t="str">
        <f>VLOOKUP(C298,Plan!A$1:B$65542,2,0)</f>
        <v>Disponible Cali B.Chile</v>
      </c>
      <c r="E298" s="341">
        <f>+F298-G298</f>
        <v>150000</v>
      </c>
      <c r="F298" s="346">
        <v>150000</v>
      </c>
      <c r="G298" s="346">
        <v>0</v>
      </c>
      <c r="H298" s="338" t="s">
        <v>551</v>
      </c>
      <c r="I298" s="401" t="s">
        <v>131</v>
      </c>
      <c r="K298" s="370"/>
      <c r="N298" s="370"/>
    </row>
    <row r="299" spans="1:14" s="347" customFormat="1" x14ac:dyDescent="0.25">
      <c r="A299" s="339">
        <f>+A298</f>
        <v>44211</v>
      </c>
      <c r="B299" s="340">
        <f>+B298</f>
        <v>1</v>
      </c>
      <c r="C299" s="338">
        <v>1217</v>
      </c>
      <c r="D299" s="340" t="str">
        <f>VLOOKUP(C299,Plan!A$1:B$65542,2,0)</f>
        <v>Otros Valores -Oficina y Transferencias (248)</v>
      </c>
      <c r="E299" s="341">
        <f>+F299-G299</f>
        <v>-150000</v>
      </c>
      <c r="F299" s="346">
        <v>0</v>
      </c>
      <c r="G299" s="346">
        <f>+F298</f>
        <v>150000</v>
      </c>
      <c r="H299" s="338" t="str">
        <f>+H298</f>
        <v>Patricio Abalos / 248</v>
      </c>
      <c r="I299" s="401" t="str">
        <f>+I298</f>
        <v>Cali</v>
      </c>
      <c r="K299" s="370"/>
      <c r="N299" s="370"/>
    </row>
    <row r="300" spans="1:14" s="347" customFormat="1" x14ac:dyDescent="0.25">
      <c r="A300" s="369"/>
      <c r="E300" s="396"/>
      <c r="F300" s="396"/>
      <c r="G300" s="396"/>
      <c r="K300" s="370"/>
      <c r="N300" s="370"/>
    </row>
    <row r="301" spans="1:14" s="347" customFormat="1" x14ac:dyDescent="0.25">
      <c r="A301" s="339">
        <v>44214</v>
      </c>
      <c r="B301" s="340">
        <v>1</v>
      </c>
      <c r="C301" s="338">
        <v>115</v>
      </c>
      <c r="D301" s="347" t="str">
        <f>VLOOKUP(C301,Plan!A$1:B$65542,2,0)</f>
        <v>Disponible Cali B.Chile</v>
      </c>
      <c r="E301" s="341">
        <f>+F301-G301</f>
        <v>8000</v>
      </c>
      <c r="F301" s="346">
        <v>8000</v>
      </c>
      <c r="G301" s="346">
        <v>0</v>
      </c>
      <c r="H301" s="338"/>
      <c r="I301" s="401" t="s">
        <v>131</v>
      </c>
      <c r="K301" s="370"/>
      <c r="N301" s="370"/>
    </row>
    <row r="302" spans="1:14" s="347" customFormat="1" x14ac:dyDescent="0.25">
      <c r="A302" s="339">
        <f>+A301</f>
        <v>44214</v>
      </c>
      <c r="B302" s="340">
        <f>+B301</f>
        <v>1</v>
      </c>
      <c r="C302" s="338">
        <v>216</v>
      </c>
      <c r="D302" s="347" t="str">
        <f>VLOOKUP(C302,Plan!A$1:B$65542,2,0)</f>
        <v>Cuenta por Pagar a Administración Colectas</v>
      </c>
      <c r="E302" s="341">
        <f>+F302-G302</f>
        <v>-8000</v>
      </c>
      <c r="F302" s="346"/>
      <c r="G302" s="346">
        <f>+F301</f>
        <v>8000</v>
      </c>
      <c r="H302" s="338"/>
      <c r="I302" s="401" t="str">
        <f>+I301</f>
        <v>Cali</v>
      </c>
      <c r="K302" s="370"/>
      <c r="N302" s="370"/>
    </row>
    <row r="303" spans="1:14" s="347" customFormat="1" x14ac:dyDescent="0.25">
      <c r="A303" s="369"/>
      <c r="E303" s="396"/>
      <c r="F303" s="396"/>
      <c r="G303" s="396"/>
      <c r="K303" s="370"/>
      <c r="N303" s="370"/>
    </row>
    <row r="304" spans="1:14" s="347" customFormat="1" x14ac:dyDescent="0.25">
      <c r="A304" s="339">
        <v>44214</v>
      </c>
      <c r="B304" s="340">
        <v>1</v>
      </c>
      <c r="C304" s="338">
        <v>115</v>
      </c>
      <c r="D304" s="347" t="str">
        <f>VLOOKUP(C304,Plan!A$1:B$65542,2,0)</f>
        <v>Disponible Cali B.Chile</v>
      </c>
      <c r="E304" s="341">
        <f>+F304-G304</f>
        <v>5000</v>
      </c>
      <c r="F304" s="346">
        <v>5000</v>
      </c>
      <c r="G304" s="346">
        <v>0</v>
      </c>
      <c r="H304" s="338"/>
      <c r="I304" s="401" t="s">
        <v>131</v>
      </c>
      <c r="K304" s="370"/>
      <c r="N304" s="370"/>
    </row>
    <row r="305" spans="1:14" s="347" customFormat="1" x14ac:dyDescent="0.25">
      <c r="A305" s="339">
        <f>+A304</f>
        <v>44214</v>
      </c>
      <c r="B305" s="340">
        <f>+B304</f>
        <v>1</v>
      </c>
      <c r="C305" s="338">
        <v>216</v>
      </c>
      <c r="D305" s="347" t="str">
        <f>VLOOKUP(C305,Plan!A$1:B$65542,2,0)</f>
        <v>Cuenta por Pagar a Administración Colectas</v>
      </c>
      <c r="E305" s="341">
        <f>+F305-G305</f>
        <v>-5000</v>
      </c>
      <c r="F305" s="346"/>
      <c r="G305" s="346">
        <f>+F304</f>
        <v>5000</v>
      </c>
      <c r="H305" s="338"/>
      <c r="I305" s="401" t="str">
        <f>+I304</f>
        <v>Cali</v>
      </c>
      <c r="K305" s="370"/>
      <c r="N305" s="370"/>
    </row>
    <row r="306" spans="1:14" s="347" customFormat="1" x14ac:dyDescent="0.25">
      <c r="A306" s="369"/>
      <c r="E306" s="396"/>
      <c r="F306" s="396"/>
      <c r="G306" s="396"/>
      <c r="K306" s="370"/>
      <c r="N306" s="370"/>
    </row>
    <row r="307" spans="1:14" s="347" customFormat="1" x14ac:dyDescent="0.25">
      <c r="A307" s="339">
        <v>44215</v>
      </c>
      <c r="B307" s="340">
        <v>1</v>
      </c>
      <c r="C307" s="338">
        <v>115</v>
      </c>
      <c r="D307" s="347" t="str">
        <f>VLOOKUP(C307,Plan!A$1:B$65542,2,0)</f>
        <v>Disponible Cali B.Chile</v>
      </c>
      <c r="E307" s="341">
        <f>+F307-G307</f>
        <v>300000</v>
      </c>
      <c r="F307" s="346">
        <v>300000</v>
      </c>
      <c r="G307" s="346">
        <v>0</v>
      </c>
      <c r="H307" s="338" t="s">
        <v>833</v>
      </c>
      <c r="I307" s="401" t="s">
        <v>131</v>
      </c>
      <c r="K307" s="370"/>
      <c r="N307" s="370"/>
    </row>
    <row r="308" spans="1:14" s="347" customFormat="1" x14ac:dyDescent="0.25">
      <c r="A308" s="339">
        <f>+A307</f>
        <v>44215</v>
      </c>
      <c r="B308" s="340">
        <f>+B307</f>
        <v>1</v>
      </c>
      <c r="C308" s="338">
        <v>3210</v>
      </c>
      <c r="D308" s="347" t="str">
        <f>VLOOKUP(C308,Plan!A$1:B$65542,2,0)</f>
        <v>Donacion Construccion</v>
      </c>
      <c r="E308" s="341">
        <f>+F308-G308</f>
        <v>-300000</v>
      </c>
      <c r="F308" s="346">
        <v>0</v>
      </c>
      <c r="G308" s="346">
        <f>+F307</f>
        <v>300000</v>
      </c>
      <c r="H308" s="338" t="str">
        <f>+H307</f>
        <v>Constanza Vicuña /Azul</v>
      </c>
      <c r="I308" s="401" t="str">
        <f>+I307</f>
        <v>Cali</v>
      </c>
      <c r="K308" s="370"/>
      <c r="N308" s="370"/>
    </row>
    <row r="309" spans="1:14" s="347" customFormat="1" x14ac:dyDescent="0.25">
      <c r="A309" s="369"/>
      <c r="E309" s="396"/>
      <c r="F309" s="396"/>
      <c r="G309" s="396"/>
      <c r="K309" s="370"/>
      <c r="N309" s="370"/>
    </row>
    <row r="310" spans="1:14" s="347" customFormat="1" x14ac:dyDescent="0.25">
      <c r="A310" s="339">
        <v>44216</v>
      </c>
      <c r="B310" s="340">
        <v>1</v>
      </c>
      <c r="C310" s="338">
        <v>115</v>
      </c>
      <c r="D310" s="340" t="str">
        <f>VLOOKUP(C310,Plan!A$1:B$65542,2,0)</f>
        <v>Disponible Cali B.Chile</v>
      </c>
      <c r="E310" s="341">
        <f>+F310-G310</f>
        <v>18000</v>
      </c>
      <c r="F310" s="346">
        <v>18000</v>
      </c>
      <c r="G310" s="346">
        <v>0</v>
      </c>
      <c r="H310" s="338" t="s">
        <v>834</v>
      </c>
      <c r="I310" s="401" t="s">
        <v>131</v>
      </c>
      <c r="K310" s="370"/>
      <c r="N310" s="370"/>
    </row>
    <row r="311" spans="1:14" s="347" customFormat="1" x14ac:dyDescent="0.25">
      <c r="A311" s="339">
        <f>+A310</f>
        <v>44216</v>
      </c>
      <c r="B311" s="340">
        <f>+B310</f>
        <v>1</v>
      </c>
      <c r="C311" s="338">
        <v>1222</v>
      </c>
      <c r="D311" s="340" t="str">
        <f>VLOOKUP(C311,Plan!A$1:B$65542,2,0)</f>
        <v>Otros Valores -Oficina y Transferencias (249)</v>
      </c>
      <c r="E311" s="341">
        <f>+F311-G311</f>
        <v>-18000</v>
      </c>
      <c r="F311" s="346">
        <v>0</v>
      </c>
      <c r="G311" s="346">
        <f>+F310</f>
        <v>18000</v>
      </c>
      <c r="H311" s="338" t="str">
        <f>+H310</f>
        <v>S.Villegas /249</v>
      </c>
      <c r="I311" s="401" t="str">
        <f>+I310</f>
        <v>Cali</v>
      </c>
      <c r="K311" s="370"/>
      <c r="N311" s="370"/>
    </row>
    <row r="312" spans="1:14" s="347" customFormat="1" x14ac:dyDescent="0.25">
      <c r="A312" s="369"/>
      <c r="E312" s="396"/>
      <c r="F312" s="396"/>
      <c r="G312" s="396"/>
      <c r="K312" s="370"/>
      <c r="N312" s="370"/>
    </row>
    <row r="313" spans="1:14" s="347" customFormat="1" x14ac:dyDescent="0.25">
      <c r="A313" s="357">
        <v>44216</v>
      </c>
      <c r="B313" s="358">
        <v>1</v>
      </c>
      <c r="C313" s="358">
        <v>115</v>
      </c>
      <c r="D313" s="358" t="str">
        <f>VLOOKUP(C313,Plan!A$1:B$65542,2,0)</f>
        <v>Disponible Cali B.Chile</v>
      </c>
      <c r="E313" s="341">
        <f>+F313-G313</f>
        <v>1482126</v>
      </c>
      <c r="F313" s="361">
        <v>1482126</v>
      </c>
      <c r="G313" s="361">
        <v>0</v>
      </c>
      <c r="H313" s="360" t="s">
        <v>835</v>
      </c>
      <c r="I313" s="360" t="s">
        <v>131</v>
      </c>
      <c r="K313" s="370"/>
      <c r="N313" s="370"/>
    </row>
    <row r="314" spans="1:14" s="347" customFormat="1" x14ac:dyDescent="0.25">
      <c r="A314" s="357">
        <f>+A313</f>
        <v>44216</v>
      </c>
      <c r="B314" s="358">
        <f>+B313</f>
        <v>1</v>
      </c>
      <c r="C314" s="358">
        <v>4150</v>
      </c>
      <c r="D314" s="358" t="str">
        <f>VLOOKUP(C314,Plan!A$1:B$65542,2,0)</f>
        <v>Comisiones Cali Tarjetas de Creditos</v>
      </c>
      <c r="E314" s="341">
        <f>+F314-G314</f>
        <v>17874</v>
      </c>
      <c r="F314" s="361">
        <v>17874</v>
      </c>
      <c r="G314" s="361">
        <v>0</v>
      </c>
      <c r="H314" s="358" t="str">
        <f>+H313</f>
        <v>Abono Raimundo Sanchez TBK Azul DCT</v>
      </c>
      <c r="I314" s="360" t="s">
        <v>131</v>
      </c>
      <c r="K314" s="370"/>
      <c r="N314" s="370"/>
    </row>
    <row r="315" spans="1:14" s="347" customFormat="1" x14ac:dyDescent="0.25">
      <c r="A315" s="357">
        <f>+A313</f>
        <v>44216</v>
      </c>
      <c r="B315" s="358">
        <f>+B313</f>
        <v>1</v>
      </c>
      <c r="C315" s="358">
        <v>3210</v>
      </c>
      <c r="D315" s="358" t="str">
        <f>VLOOKUP(C315,Plan!A$1:B$65542,2,0)</f>
        <v>Donacion Construccion</v>
      </c>
      <c r="E315" s="341">
        <f>+F315-G315</f>
        <v>-1500000</v>
      </c>
      <c r="F315" s="361">
        <v>0</v>
      </c>
      <c r="G315" s="361">
        <v>1500000</v>
      </c>
      <c r="H315" s="358" t="str">
        <f>+H313</f>
        <v>Abono Raimundo Sanchez TBK Azul DCT</v>
      </c>
      <c r="I315" s="360" t="s">
        <v>131</v>
      </c>
      <c r="K315" s="370"/>
      <c r="N315" s="370"/>
    </row>
    <row r="316" spans="1:14" s="347" customFormat="1" x14ac:dyDescent="0.25">
      <c r="A316" s="369"/>
      <c r="E316" s="396"/>
      <c r="F316" s="396"/>
      <c r="G316" s="396"/>
      <c r="K316" s="370"/>
      <c r="N316" s="370"/>
    </row>
    <row r="317" spans="1:14" s="347" customFormat="1" x14ac:dyDescent="0.25">
      <c r="A317" s="339">
        <v>44216</v>
      </c>
      <c r="B317" s="340">
        <v>1</v>
      </c>
      <c r="C317" s="338">
        <v>115</v>
      </c>
      <c r="D317" s="347" t="str">
        <f>VLOOKUP(C317,Plan!A$1:B$65542,2,0)</f>
        <v>Disponible Cali B.Chile</v>
      </c>
      <c r="E317" s="341">
        <f>+F317-G317</f>
        <v>1000000</v>
      </c>
      <c r="F317" s="346">
        <v>1000000</v>
      </c>
      <c r="G317" s="346">
        <v>0</v>
      </c>
      <c r="H317" s="338" t="s">
        <v>836</v>
      </c>
      <c r="I317" s="401" t="s">
        <v>131</v>
      </c>
      <c r="K317" s="370"/>
      <c r="N317" s="370"/>
    </row>
    <row r="318" spans="1:14" s="347" customFormat="1" x14ac:dyDescent="0.25">
      <c r="A318" s="339">
        <f>+A317</f>
        <v>44216</v>
      </c>
      <c r="B318" s="340">
        <f>+B317</f>
        <v>1</v>
      </c>
      <c r="C318" s="338">
        <v>3210</v>
      </c>
      <c r="D318" s="347" t="str">
        <f>VLOOKUP(C318,Plan!A$1:B$65542,2,0)</f>
        <v>Donacion Construccion</v>
      </c>
      <c r="E318" s="341">
        <f>+F318-G318</f>
        <v>-1000000</v>
      </c>
      <c r="F318" s="346">
        <v>0</v>
      </c>
      <c r="G318" s="346">
        <f>+F317</f>
        <v>1000000</v>
      </c>
      <c r="H318" s="338" t="str">
        <f>+H317</f>
        <v>Inversiones Los Bumps Dos Ltda./Azul</v>
      </c>
      <c r="I318" s="401" t="str">
        <f>+I317</f>
        <v>Cali</v>
      </c>
      <c r="K318" s="370"/>
      <c r="N318" s="370"/>
    </row>
    <row r="319" spans="1:14" s="347" customFormat="1" x14ac:dyDescent="0.25">
      <c r="A319" s="369"/>
      <c r="E319" s="396"/>
      <c r="F319" s="396"/>
      <c r="G319" s="396"/>
      <c r="K319" s="370"/>
      <c r="N319" s="370"/>
    </row>
    <row r="320" spans="1:14" s="347" customFormat="1" x14ac:dyDescent="0.25">
      <c r="A320" s="339">
        <v>44217</v>
      </c>
      <c r="B320" s="340">
        <v>1</v>
      </c>
      <c r="C320" s="338">
        <v>115</v>
      </c>
      <c r="D320" s="340" t="str">
        <f>VLOOKUP(C320,Plan!A$1:B$65542,2,0)</f>
        <v>Disponible Cali B.Chile</v>
      </c>
      <c r="E320" s="341">
        <f>+F320-G320</f>
        <v>8000</v>
      </c>
      <c r="F320" s="346">
        <v>8000</v>
      </c>
      <c r="G320" s="346">
        <v>0</v>
      </c>
      <c r="H320" s="338" t="s">
        <v>837</v>
      </c>
      <c r="I320" s="401" t="s">
        <v>131</v>
      </c>
      <c r="K320" s="370"/>
      <c r="N320" s="370"/>
    </row>
    <row r="321" spans="1:14" s="347" customFormat="1" x14ac:dyDescent="0.25">
      <c r="A321" s="339">
        <f>+A320</f>
        <v>44217</v>
      </c>
      <c r="B321" s="340">
        <f>+B320</f>
        <v>1</v>
      </c>
      <c r="C321" s="338">
        <v>1222</v>
      </c>
      <c r="D321" s="340" t="str">
        <f>VLOOKUP(C321,Plan!A$1:B$65542,2,0)</f>
        <v>Otros Valores -Oficina y Transferencias (249)</v>
      </c>
      <c r="E321" s="341">
        <f>+F321-G321</f>
        <v>-8000</v>
      </c>
      <c r="F321" s="346">
        <v>0</v>
      </c>
      <c r="G321" s="346">
        <f>+F320</f>
        <v>8000</v>
      </c>
      <c r="H321" s="338" t="str">
        <f>+H320</f>
        <v>M.Alejandra de la Lastra /249</v>
      </c>
      <c r="I321" s="401" t="str">
        <f>+I320</f>
        <v>Cali</v>
      </c>
      <c r="K321" s="370"/>
      <c r="N321" s="370"/>
    </row>
    <row r="322" spans="1:14" s="347" customFormat="1" x14ac:dyDescent="0.25">
      <c r="A322" s="369"/>
      <c r="E322" s="396"/>
      <c r="F322" s="396"/>
      <c r="G322" s="396"/>
      <c r="K322" s="370"/>
      <c r="N322" s="370"/>
    </row>
    <row r="323" spans="1:14" s="347" customFormat="1" x14ac:dyDescent="0.25">
      <c r="A323" s="369"/>
      <c r="E323" s="396"/>
      <c r="F323" s="396"/>
      <c r="G323" s="396"/>
      <c r="K323" s="370"/>
      <c r="N323" s="370"/>
    </row>
    <row r="324" spans="1:14" s="347" customFormat="1" x14ac:dyDescent="0.25">
      <c r="A324" s="339">
        <v>44218</v>
      </c>
      <c r="B324" s="340">
        <v>1</v>
      </c>
      <c r="C324" s="338">
        <v>115</v>
      </c>
      <c r="D324" s="347" t="str">
        <f>VLOOKUP(C324,Plan!A$1:B$65542,2,0)</f>
        <v>Disponible Cali B.Chile</v>
      </c>
      <c r="E324" s="341">
        <f>+F324-G324</f>
        <v>30000</v>
      </c>
      <c r="F324" s="346">
        <v>30000</v>
      </c>
      <c r="G324" s="346">
        <v>0</v>
      </c>
      <c r="H324" s="338" t="s">
        <v>838</v>
      </c>
      <c r="I324" s="401" t="s">
        <v>131</v>
      </c>
      <c r="K324" s="370"/>
      <c r="N324" s="370"/>
    </row>
    <row r="325" spans="1:14" s="347" customFormat="1" x14ac:dyDescent="0.25">
      <c r="A325" s="339">
        <f>+A324</f>
        <v>44218</v>
      </c>
      <c r="B325" s="340">
        <f>+B324</f>
        <v>1</v>
      </c>
      <c r="C325" s="338">
        <v>1217</v>
      </c>
      <c r="D325" s="347" t="str">
        <f>VLOOKUP(C325,Plan!A$1:B$65542,2,0)</f>
        <v>Otros Valores -Oficina y Transferencias (248)</v>
      </c>
      <c r="E325" s="341">
        <f>+F325-G325</f>
        <v>-30000</v>
      </c>
      <c r="F325" s="346">
        <v>0</v>
      </c>
      <c r="G325" s="346">
        <f>+F324</f>
        <v>30000</v>
      </c>
      <c r="H325" s="338" t="str">
        <f>+H324</f>
        <v>Jose Miguel Guzman M / 248</v>
      </c>
      <c r="I325" s="401" t="str">
        <f>+I324</f>
        <v>Cali</v>
      </c>
      <c r="K325" s="370"/>
      <c r="N325" s="370"/>
    </row>
    <row r="326" spans="1:14" s="347" customFormat="1" x14ac:dyDescent="0.25">
      <c r="A326" s="369"/>
      <c r="E326" s="396"/>
      <c r="F326" s="396"/>
      <c r="G326" s="396"/>
      <c r="K326" s="370"/>
      <c r="N326" s="370"/>
    </row>
    <row r="327" spans="1:14" s="347" customFormat="1" x14ac:dyDescent="0.25">
      <c r="A327" s="339">
        <v>44221</v>
      </c>
      <c r="B327" s="340">
        <v>1</v>
      </c>
      <c r="C327" s="338">
        <v>115</v>
      </c>
      <c r="D327" s="340" t="str">
        <f>VLOOKUP(C327,Plan!A$1:B$65542,2,0)</f>
        <v>Disponible Cali B.Chile</v>
      </c>
      <c r="E327" s="341">
        <f>+F327-G327</f>
        <v>30000</v>
      </c>
      <c r="F327" s="346">
        <v>30000</v>
      </c>
      <c r="G327" s="346">
        <v>0</v>
      </c>
      <c r="H327" s="338" t="s">
        <v>641</v>
      </c>
      <c r="I327" s="401" t="s">
        <v>131</v>
      </c>
      <c r="K327" s="370"/>
      <c r="N327" s="370"/>
    </row>
    <row r="328" spans="1:14" s="347" customFormat="1" x14ac:dyDescent="0.25">
      <c r="A328" s="339">
        <f>+A327</f>
        <v>44221</v>
      </c>
      <c r="B328" s="340">
        <f>+B327</f>
        <v>1</v>
      </c>
      <c r="C328" s="338">
        <v>1217</v>
      </c>
      <c r="D328" s="340" t="str">
        <f>VLOOKUP(C328,Plan!A$1:B$65542,2,0)</f>
        <v>Otros Valores -Oficina y Transferencias (248)</v>
      </c>
      <c r="E328" s="341">
        <f>+F328-G328</f>
        <v>-30000</v>
      </c>
      <c r="F328" s="346">
        <v>0</v>
      </c>
      <c r="G328" s="346">
        <f>+F327</f>
        <v>30000</v>
      </c>
      <c r="H328" s="338" t="str">
        <f>+H327</f>
        <v>Luis Dominguez / 248</v>
      </c>
      <c r="I328" s="401" t="str">
        <f>+I327</f>
        <v>Cali</v>
      </c>
      <c r="K328" s="370"/>
      <c r="N328" s="370"/>
    </row>
    <row r="329" spans="1:14" s="347" customFormat="1" x14ac:dyDescent="0.25">
      <c r="A329" s="369"/>
      <c r="E329" s="396"/>
      <c r="F329" s="396"/>
      <c r="G329" s="396"/>
      <c r="K329" s="370"/>
      <c r="N329" s="370"/>
    </row>
    <row r="330" spans="1:14" s="347" customFormat="1" x14ac:dyDescent="0.25">
      <c r="A330" s="369"/>
      <c r="E330" s="396"/>
      <c r="F330" s="396"/>
      <c r="G330" s="396"/>
      <c r="K330" s="370"/>
      <c r="N330" s="370"/>
    </row>
    <row r="331" spans="1:14" s="347" customFormat="1" x14ac:dyDescent="0.25">
      <c r="A331" s="339">
        <v>44221</v>
      </c>
      <c r="B331" s="340">
        <v>1</v>
      </c>
      <c r="C331" s="338">
        <v>115</v>
      </c>
      <c r="D331" s="347" t="str">
        <f>VLOOKUP(C331,Plan!A$1:B$65542,2,0)</f>
        <v>Disponible Cali B.Chile</v>
      </c>
      <c r="E331" s="341">
        <f>+F331-G331</f>
        <v>20000</v>
      </c>
      <c r="F331" s="346">
        <v>20000</v>
      </c>
      <c r="G331" s="346">
        <v>0</v>
      </c>
      <c r="H331" t="s">
        <v>1033</v>
      </c>
      <c r="I331" s="401" t="s">
        <v>131</v>
      </c>
      <c r="K331" s="370"/>
      <c r="N331" s="370"/>
    </row>
    <row r="332" spans="1:14" s="347" customFormat="1" x14ac:dyDescent="0.25">
      <c r="A332" s="339">
        <f>+A331</f>
        <v>44221</v>
      </c>
      <c r="B332" s="340">
        <f>+B331</f>
        <v>1</v>
      </c>
      <c r="C332" s="338">
        <v>1222</v>
      </c>
      <c r="D332" s="347" t="str">
        <f>VLOOKUP(C332,Plan!A$1:B$65542,2,0)</f>
        <v>Otros Valores -Oficina y Transferencias (249)</v>
      </c>
      <c r="E332" s="341">
        <f>+F332-G332</f>
        <v>-20000</v>
      </c>
      <c r="F332" s="346">
        <v>0</v>
      </c>
      <c r="G332" s="346">
        <f>+F331</f>
        <v>20000</v>
      </c>
      <c r="H332" t="s">
        <v>1033</v>
      </c>
      <c r="I332" s="401" t="str">
        <f>+I331</f>
        <v>Cali</v>
      </c>
      <c r="K332" s="370"/>
      <c r="N332" s="370"/>
    </row>
    <row r="333" spans="1:14" s="347" customFormat="1" x14ac:dyDescent="0.25">
      <c r="A333" s="369"/>
      <c r="E333" s="396"/>
      <c r="F333" s="396"/>
      <c r="G333" s="396"/>
      <c r="K333" s="370"/>
      <c r="N333" s="370"/>
    </row>
    <row r="334" spans="1:14" s="347" customFormat="1" x14ac:dyDescent="0.25">
      <c r="A334" s="339">
        <v>44221</v>
      </c>
      <c r="B334" s="340">
        <v>1</v>
      </c>
      <c r="C334" s="338">
        <v>115</v>
      </c>
      <c r="D334" s="340" t="str">
        <f>VLOOKUP(C334,Plan!A$1:B$65542,2,0)</f>
        <v>Disponible Cali B.Chile</v>
      </c>
      <c r="E334" s="341">
        <f>+F334-G334</f>
        <v>30000</v>
      </c>
      <c r="F334" s="346">
        <v>30000</v>
      </c>
      <c r="G334" s="346">
        <v>0</v>
      </c>
      <c r="H334" s="338" t="s">
        <v>839</v>
      </c>
      <c r="I334" s="401" t="s">
        <v>131</v>
      </c>
      <c r="K334" s="370"/>
      <c r="N334" s="370"/>
    </row>
    <row r="335" spans="1:14" s="347" customFormat="1" x14ac:dyDescent="0.25">
      <c r="A335" s="339">
        <f>+A334</f>
        <v>44221</v>
      </c>
      <c r="B335" s="340">
        <f>+B334</f>
        <v>1</v>
      </c>
      <c r="C335" s="338">
        <v>1222</v>
      </c>
      <c r="D335" s="340" t="str">
        <f>VLOOKUP(C335,Plan!A$1:B$65542,2,0)</f>
        <v>Otros Valores -Oficina y Transferencias (249)</v>
      </c>
      <c r="E335" s="341">
        <f>+F335-G335</f>
        <v>-30000</v>
      </c>
      <c r="F335" s="346">
        <v>0</v>
      </c>
      <c r="G335" s="346">
        <f>+F334</f>
        <v>30000</v>
      </c>
      <c r="H335" s="338" t="str">
        <f>+H334</f>
        <v>Carmen Gloria Ovalle / 249</v>
      </c>
      <c r="I335" s="401" t="str">
        <f>+I334</f>
        <v>Cali</v>
      </c>
      <c r="K335" s="370"/>
      <c r="N335" s="370"/>
    </row>
    <row r="336" spans="1:14" s="347" customFormat="1" x14ac:dyDescent="0.25">
      <c r="A336" s="369"/>
      <c r="E336" s="396"/>
      <c r="F336" s="396"/>
      <c r="G336" s="396"/>
      <c r="K336" s="370"/>
      <c r="N336" s="370"/>
    </row>
    <row r="337" spans="1:14" s="347" customFormat="1" x14ac:dyDescent="0.25">
      <c r="A337" s="339">
        <v>44221</v>
      </c>
      <c r="B337" s="340">
        <v>1</v>
      </c>
      <c r="C337" s="338">
        <v>115</v>
      </c>
      <c r="D337" s="347" t="str">
        <f>VLOOKUP(C337,Plan!A$1:B$65542,2,0)</f>
        <v>Disponible Cali B.Chile</v>
      </c>
      <c r="E337" s="341">
        <f>+F337-G337</f>
        <v>10000</v>
      </c>
      <c r="F337" s="346">
        <v>10000</v>
      </c>
      <c r="G337" s="346">
        <v>0</v>
      </c>
      <c r="H337" s="338"/>
      <c r="I337" s="401" t="s">
        <v>131</v>
      </c>
      <c r="K337" s="370"/>
      <c r="N337" s="370"/>
    </row>
    <row r="338" spans="1:14" s="347" customFormat="1" x14ac:dyDescent="0.25">
      <c r="A338" s="339">
        <f>+A337</f>
        <v>44221</v>
      </c>
      <c r="B338" s="340">
        <f>+B337</f>
        <v>1</v>
      </c>
      <c r="C338" s="338">
        <v>216</v>
      </c>
      <c r="D338" s="347" t="str">
        <f>VLOOKUP(C338,Plan!A$1:B$65542,2,0)</f>
        <v>Cuenta por Pagar a Administración Colectas</v>
      </c>
      <c r="E338" s="341">
        <f>+F338-G338</f>
        <v>-10000</v>
      </c>
      <c r="F338" s="346"/>
      <c r="G338" s="346">
        <f>+F337</f>
        <v>10000</v>
      </c>
      <c r="H338" s="338"/>
      <c r="I338" s="401" t="str">
        <f>+I337</f>
        <v>Cali</v>
      </c>
      <c r="K338" s="370"/>
      <c r="N338" s="370"/>
    </row>
    <row r="339" spans="1:14" s="347" customFormat="1" x14ac:dyDescent="0.25">
      <c r="A339" s="369"/>
      <c r="E339" s="396"/>
      <c r="F339" s="396"/>
      <c r="G339" s="396"/>
      <c r="K339" s="370"/>
      <c r="N339" s="370"/>
    </row>
    <row r="340" spans="1:14" s="347" customFormat="1" x14ac:dyDescent="0.25">
      <c r="A340" s="339">
        <v>44221</v>
      </c>
      <c r="B340" s="340">
        <v>1</v>
      </c>
      <c r="C340" s="338">
        <v>115</v>
      </c>
      <c r="D340" s="347" t="str">
        <f>VLOOKUP(C340,Plan!A$1:B$65542,2,0)</f>
        <v>Disponible Cali B.Chile</v>
      </c>
      <c r="E340" s="341">
        <f>+F340-G340</f>
        <v>1500</v>
      </c>
      <c r="F340" s="346">
        <v>1500</v>
      </c>
      <c r="G340" s="346">
        <v>0</v>
      </c>
      <c r="H340" s="338"/>
      <c r="I340" s="401" t="s">
        <v>131</v>
      </c>
      <c r="K340" s="370"/>
      <c r="N340" s="370"/>
    </row>
    <row r="341" spans="1:14" s="347" customFormat="1" x14ac:dyDescent="0.25">
      <c r="A341" s="339">
        <f>+A340</f>
        <v>44221</v>
      </c>
      <c r="B341" s="340">
        <f>+B340</f>
        <v>1</v>
      </c>
      <c r="C341" s="338">
        <v>216</v>
      </c>
      <c r="D341" s="347" t="str">
        <f>VLOOKUP(C341,Plan!A$1:B$65542,2,0)</f>
        <v>Cuenta por Pagar a Administración Colectas</v>
      </c>
      <c r="E341" s="341">
        <f>+F341-G341</f>
        <v>-1500</v>
      </c>
      <c r="F341" s="346"/>
      <c r="G341" s="346">
        <f>+F340</f>
        <v>1500</v>
      </c>
      <c r="H341" s="338"/>
      <c r="I341" s="401" t="str">
        <f>+I340</f>
        <v>Cali</v>
      </c>
      <c r="K341" s="370"/>
      <c r="N341" s="370"/>
    </row>
    <row r="342" spans="1:14" s="347" customFormat="1" x14ac:dyDescent="0.25">
      <c r="A342" s="369"/>
      <c r="E342" s="396"/>
      <c r="F342" s="396"/>
      <c r="G342" s="396"/>
      <c r="K342" s="370"/>
      <c r="N342" s="370"/>
    </row>
    <row r="343" spans="1:14" s="347" customFormat="1" x14ac:dyDescent="0.25">
      <c r="A343" s="339">
        <v>44221</v>
      </c>
      <c r="B343" s="340">
        <v>1</v>
      </c>
      <c r="C343" s="338">
        <v>115</v>
      </c>
      <c r="D343" s="347" t="str">
        <f>VLOOKUP(C343,Plan!A$1:B$65542,2,0)</f>
        <v>Disponible Cali B.Chile</v>
      </c>
      <c r="E343" s="341">
        <f>+F343-G343</f>
        <v>10000</v>
      </c>
      <c r="F343" s="346">
        <v>10000</v>
      </c>
      <c r="G343" s="346">
        <v>0</v>
      </c>
      <c r="H343" s="338" t="s">
        <v>840</v>
      </c>
      <c r="I343" s="401" t="s">
        <v>131</v>
      </c>
      <c r="K343" s="370"/>
      <c r="N343" s="370"/>
    </row>
    <row r="344" spans="1:14" s="347" customFormat="1" x14ac:dyDescent="0.25">
      <c r="A344" s="339">
        <f>+A343</f>
        <v>44221</v>
      </c>
      <c r="B344" s="340">
        <f>+B343</f>
        <v>1</v>
      </c>
      <c r="C344" s="338">
        <v>3210</v>
      </c>
      <c r="D344" s="347" t="str">
        <f>VLOOKUP(C344,Plan!A$1:B$65542,2,0)</f>
        <v>Donacion Construccion</v>
      </c>
      <c r="E344" s="341">
        <f>+F344-G344</f>
        <v>-10000</v>
      </c>
      <c r="F344" s="346">
        <v>0</v>
      </c>
      <c r="G344" s="346">
        <f>+F343</f>
        <v>10000</v>
      </c>
      <c r="H344" s="338" t="str">
        <f>+H343</f>
        <v>Francisco Sanhueza / Azul</v>
      </c>
      <c r="I344" s="401" t="str">
        <f>+I343</f>
        <v>Cali</v>
      </c>
      <c r="K344" s="370"/>
      <c r="N344" s="370"/>
    </row>
    <row r="345" spans="1:14" s="347" customFormat="1" x14ac:dyDescent="0.25">
      <c r="A345" s="369"/>
      <c r="E345" s="396"/>
      <c r="F345" s="396"/>
      <c r="G345" s="396"/>
      <c r="K345" s="370"/>
      <c r="N345" s="370"/>
    </row>
    <row r="346" spans="1:14" s="347" customFormat="1" x14ac:dyDescent="0.25">
      <c r="A346" s="339">
        <v>44221</v>
      </c>
      <c r="B346" s="340">
        <v>1</v>
      </c>
      <c r="C346" s="338">
        <v>115</v>
      </c>
      <c r="D346" s="340" t="str">
        <f>VLOOKUP(C346,Plan!A$1:B$65542,2,0)</f>
        <v>Disponible Cali B.Chile</v>
      </c>
      <c r="E346" s="341">
        <f>+F346-G346</f>
        <v>1461147</v>
      </c>
      <c r="F346" s="346">
        <v>1461147</v>
      </c>
      <c r="G346" s="346">
        <v>0</v>
      </c>
      <c r="H346" s="343" t="s">
        <v>841</v>
      </c>
      <c r="I346" s="401" t="s">
        <v>131</v>
      </c>
      <c r="K346" s="370"/>
      <c r="N346" s="370"/>
    </row>
    <row r="347" spans="1:14" s="347" customFormat="1" x14ac:dyDescent="0.25">
      <c r="A347" s="339">
        <f>+A346</f>
        <v>44221</v>
      </c>
      <c r="B347" s="340">
        <f>+B346</f>
        <v>1</v>
      </c>
      <c r="C347" s="338">
        <v>4150</v>
      </c>
      <c r="D347" s="340" t="str">
        <f>VLOOKUP(C347,Plan!A$1:B$65542,2,0)</f>
        <v>Comisiones Cali Tarjetas de Creditos</v>
      </c>
      <c r="E347" s="341">
        <f>+F347-G347</f>
        <v>17597</v>
      </c>
      <c r="F347" s="346">
        <v>17597</v>
      </c>
      <c r="G347" s="346">
        <v>0</v>
      </c>
      <c r="H347" s="338" t="str">
        <f>+H346</f>
        <v>Abono TBK Azules Ene/2021</v>
      </c>
      <c r="I347" s="401" t="s">
        <v>131</v>
      </c>
      <c r="K347" s="370"/>
      <c r="N347" s="370"/>
    </row>
    <row r="348" spans="1:14" s="347" customFormat="1" x14ac:dyDescent="0.25">
      <c r="A348" s="369">
        <f>+A346</f>
        <v>44221</v>
      </c>
      <c r="B348" s="347">
        <f>+B346</f>
        <v>1</v>
      </c>
      <c r="C348" s="338">
        <v>3210</v>
      </c>
      <c r="D348" s="340" t="str">
        <f>VLOOKUP(C348,Plan!A$1:B$65542,2,0)</f>
        <v>Donacion Construccion</v>
      </c>
      <c r="E348" s="341">
        <f>+F348-G348</f>
        <v>-1478744</v>
      </c>
      <c r="F348" s="346">
        <v>0</v>
      </c>
      <c r="G348" s="346">
        <v>1478744</v>
      </c>
      <c r="H348" s="338" t="str">
        <f>+H346</f>
        <v>Abono TBK Azules Ene/2021</v>
      </c>
      <c r="I348" s="401" t="s">
        <v>131</v>
      </c>
      <c r="K348" s="370"/>
      <c r="N348" s="370"/>
    </row>
    <row r="349" spans="1:14" s="347" customFormat="1" x14ac:dyDescent="0.25">
      <c r="A349" s="369"/>
      <c r="E349" s="396"/>
      <c r="F349" s="396"/>
      <c r="G349" s="396"/>
      <c r="K349" s="370"/>
      <c r="N349" s="370"/>
    </row>
    <row r="350" spans="1:14" s="347" customFormat="1" x14ac:dyDescent="0.25">
      <c r="A350" s="339">
        <v>44221</v>
      </c>
      <c r="B350" s="340">
        <v>1</v>
      </c>
      <c r="C350" s="338">
        <v>115</v>
      </c>
      <c r="D350" s="340" t="str">
        <f>VLOOKUP(C350,Plan!A$1:B$65542,2,0)</f>
        <v>Disponible Cali B.Chile</v>
      </c>
      <c r="E350" s="341">
        <f>+F350-G350</f>
        <v>9374952</v>
      </c>
      <c r="F350" s="346">
        <v>9374952</v>
      </c>
      <c r="G350" s="346">
        <v>0</v>
      </c>
      <c r="H350" s="338" t="s">
        <v>842</v>
      </c>
      <c r="I350" s="401" t="s">
        <v>131</v>
      </c>
      <c r="K350" s="370"/>
      <c r="N350" s="370"/>
    </row>
    <row r="351" spans="1:14" s="347" customFormat="1" x14ac:dyDescent="0.25">
      <c r="A351" s="339">
        <f>+A350</f>
        <v>44221</v>
      </c>
      <c r="B351" s="340">
        <f>+B350</f>
        <v>1</v>
      </c>
      <c r="C351" s="338">
        <v>1218</v>
      </c>
      <c r="D351" s="340" t="str">
        <f>VLOOKUP(C351,Plan!A$1:B$65542,2,0)</f>
        <v>Otros Valores Tarjeta de Credito</v>
      </c>
      <c r="E351" s="341">
        <f>+F351-G351</f>
        <v>-9374952</v>
      </c>
      <c r="F351" s="346">
        <v>0</v>
      </c>
      <c r="G351" s="346">
        <f>+F350</f>
        <v>9374952</v>
      </c>
      <c r="H351" s="338" t="str">
        <f>+H350</f>
        <v>Abono TBK 248 y 249 Ene/2021</v>
      </c>
      <c r="I351" s="401" t="str">
        <f>+I350</f>
        <v>Cali</v>
      </c>
      <c r="K351" s="370"/>
      <c r="N351" s="370"/>
    </row>
    <row r="352" spans="1:14" s="347" customFormat="1" x14ac:dyDescent="0.25">
      <c r="A352" s="369"/>
      <c r="E352" s="396"/>
      <c r="F352" s="396"/>
      <c r="G352" s="396"/>
      <c r="K352" s="370"/>
      <c r="N352" s="370"/>
    </row>
    <row r="353" spans="1:14" s="347" customFormat="1" x14ac:dyDescent="0.25">
      <c r="A353" s="339">
        <v>44222</v>
      </c>
      <c r="B353" s="340">
        <v>1</v>
      </c>
      <c r="C353" s="338">
        <v>115</v>
      </c>
      <c r="D353" s="347" t="str">
        <f>VLOOKUP(C353,Plan!A$1:B$65542,2,0)</f>
        <v>Disponible Cali B.Chile</v>
      </c>
      <c r="E353" s="341">
        <f>+F353-G353</f>
        <v>29106860</v>
      </c>
      <c r="F353" s="346">
        <v>29106860</v>
      </c>
      <c r="G353" s="346">
        <v>0</v>
      </c>
      <c r="H353" s="338" t="s">
        <v>843</v>
      </c>
      <c r="I353" s="401" t="s">
        <v>131</v>
      </c>
      <c r="K353" s="370"/>
      <c r="N353" s="370"/>
    </row>
    <row r="354" spans="1:14" s="347" customFormat="1" x14ac:dyDescent="0.25">
      <c r="A354" s="339">
        <f>+A353</f>
        <v>44222</v>
      </c>
      <c r="B354" s="340">
        <f>+B353</f>
        <v>1</v>
      </c>
      <c r="C354" s="338">
        <v>3210</v>
      </c>
      <c r="D354" s="347" t="str">
        <f>VLOOKUP(C354,Plan!A$1:B$65542,2,0)</f>
        <v>Donacion Construccion</v>
      </c>
      <c r="E354" s="341">
        <f>+F354-G354</f>
        <v>-29106860</v>
      </c>
      <c r="F354" s="346">
        <v>0</v>
      </c>
      <c r="G354" s="346">
        <f>+F353</f>
        <v>29106860</v>
      </c>
      <c r="H354" s="338" t="str">
        <f>+H353</f>
        <v>Adm.e Inv. Convento Viejo Ltda</v>
      </c>
      <c r="I354" s="401" t="str">
        <f>+I353</f>
        <v>Cali</v>
      </c>
      <c r="K354" s="370"/>
      <c r="N354" s="370"/>
    </row>
    <row r="355" spans="1:14" s="347" customFormat="1" x14ac:dyDescent="0.25">
      <c r="A355" s="369"/>
      <c r="E355" s="396"/>
      <c r="F355" s="396"/>
      <c r="G355" s="396"/>
      <c r="K355" s="370"/>
      <c r="N355" s="370"/>
    </row>
    <row r="356" spans="1:14" s="347" customFormat="1" x14ac:dyDescent="0.25">
      <c r="A356" s="339">
        <v>44222</v>
      </c>
      <c r="B356" s="340">
        <v>1</v>
      </c>
      <c r="C356" s="338">
        <v>115</v>
      </c>
      <c r="D356" s="347" t="str">
        <f>VLOOKUP(C356,Plan!A$1:B$65542,2,0)</f>
        <v>Disponible Cali B.Chile</v>
      </c>
      <c r="E356" s="341">
        <f>+F356-G356</f>
        <v>200000</v>
      </c>
      <c r="F356" s="346">
        <v>200000</v>
      </c>
      <c r="G356" s="346">
        <v>0</v>
      </c>
      <c r="H356" s="338" t="s">
        <v>844</v>
      </c>
      <c r="I356" s="401" t="s">
        <v>131</v>
      </c>
      <c r="K356" s="370"/>
      <c r="N356" s="370"/>
    </row>
    <row r="357" spans="1:14" s="347" customFormat="1" x14ac:dyDescent="0.25">
      <c r="A357" s="339">
        <f>+A356</f>
        <v>44222</v>
      </c>
      <c r="B357" s="340">
        <f>+B356</f>
        <v>1</v>
      </c>
      <c r="C357" s="338">
        <v>3210</v>
      </c>
      <c r="D357" s="347" t="str">
        <f>VLOOKUP(C357,Plan!A$1:B$65542,2,0)</f>
        <v>Donacion Construccion</v>
      </c>
      <c r="E357" s="341">
        <f>+F357-G357</f>
        <v>-200000</v>
      </c>
      <c r="F357" s="346">
        <v>0</v>
      </c>
      <c r="G357" s="346">
        <f>+F356</f>
        <v>200000</v>
      </c>
      <c r="H357" s="338" t="str">
        <f>+H356</f>
        <v>Jorge Rodriguez W / Azul</v>
      </c>
      <c r="I357" s="401" t="str">
        <f>+I356</f>
        <v>Cali</v>
      </c>
      <c r="K357" s="370"/>
      <c r="N357" s="370"/>
    </row>
    <row r="358" spans="1:14" s="347" customFormat="1" x14ac:dyDescent="0.25">
      <c r="A358" s="369"/>
      <c r="E358" s="396"/>
      <c r="F358" s="396"/>
      <c r="G358" s="396"/>
      <c r="K358" s="370"/>
      <c r="N358" s="370"/>
    </row>
    <row r="359" spans="1:14" s="347" customFormat="1" x14ac:dyDescent="0.25">
      <c r="A359" s="339">
        <v>44222</v>
      </c>
      <c r="B359" s="340">
        <v>1</v>
      </c>
      <c r="C359" s="338">
        <v>115</v>
      </c>
      <c r="D359" s="347" t="str">
        <f>VLOOKUP(C359,Plan!A$1:B$65542,2,0)</f>
        <v>Disponible Cali B.Chile</v>
      </c>
      <c r="E359" s="341">
        <f>+F359-G359</f>
        <v>400000</v>
      </c>
      <c r="F359" s="346">
        <v>400000</v>
      </c>
      <c r="G359" s="346">
        <v>0</v>
      </c>
      <c r="H359" s="338" t="s">
        <v>845</v>
      </c>
      <c r="I359" s="401" t="s">
        <v>131</v>
      </c>
      <c r="K359" s="370"/>
      <c r="N359" s="370"/>
    </row>
    <row r="360" spans="1:14" s="347" customFormat="1" x14ac:dyDescent="0.25">
      <c r="A360" s="339">
        <f>+A359</f>
        <v>44222</v>
      </c>
      <c r="B360" s="340">
        <f>+B359</f>
        <v>1</v>
      </c>
      <c r="C360" s="338">
        <v>3210</v>
      </c>
      <c r="D360" s="347" t="str">
        <f>VLOOKUP(C360,Plan!A$1:B$65542,2,0)</f>
        <v>Donacion Construccion</v>
      </c>
      <c r="E360" s="341">
        <f>+F360-G360</f>
        <v>-400000</v>
      </c>
      <c r="F360" s="346">
        <v>0</v>
      </c>
      <c r="G360" s="346">
        <f>+F359</f>
        <v>400000</v>
      </c>
      <c r="H360" s="338" t="str">
        <f>+H359</f>
        <v>Joaquin Izcue / Azul</v>
      </c>
      <c r="I360" s="401" t="str">
        <f>+I359</f>
        <v>Cali</v>
      </c>
      <c r="K360" s="370"/>
      <c r="N360" s="370"/>
    </row>
    <row r="361" spans="1:14" s="347" customFormat="1" x14ac:dyDescent="0.25">
      <c r="A361" s="369"/>
      <c r="E361" s="396"/>
      <c r="F361" s="396"/>
      <c r="G361" s="396"/>
      <c r="K361" s="370"/>
      <c r="N361" s="370"/>
    </row>
    <row r="362" spans="1:14" s="347" customFormat="1" x14ac:dyDescent="0.25">
      <c r="A362" s="339">
        <v>44222</v>
      </c>
      <c r="B362" s="340">
        <v>1</v>
      </c>
      <c r="C362" s="338">
        <v>115</v>
      </c>
      <c r="D362" s="340" t="str">
        <f>VLOOKUP(C362,Plan!A$1:B$65542,2,0)</f>
        <v>Disponible Cali B.Chile</v>
      </c>
      <c r="E362" s="341">
        <f>+F362-G362</f>
        <v>750000</v>
      </c>
      <c r="F362" s="346">
        <v>750000</v>
      </c>
      <c r="G362" s="346">
        <v>0</v>
      </c>
      <c r="H362" s="338" t="s">
        <v>846</v>
      </c>
      <c r="I362" s="401" t="s">
        <v>131</v>
      </c>
      <c r="K362" s="370"/>
      <c r="N362" s="370"/>
    </row>
    <row r="363" spans="1:14" s="347" customFormat="1" x14ac:dyDescent="0.25">
      <c r="A363" s="339">
        <f>+A362</f>
        <v>44222</v>
      </c>
      <c r="B363" s="340">
        <f>+B362</f>
        <v>1</v>
      </c>
      <c r="C363" s="338">
        <v>1222</v>
      </c>
      <c r="D363" s="340" t="str">
        <f>VLOOKUP(C363,Plan!A$1:B$65542,2,0)</f>
        <v>Otros Valores -Oficina y Transferencias (249)</v>
      </c>
      <c r="E363" s="341">
        <f>+F363-G363</f>
        <v>-750000</v>
      </c>
      <c r="F363" s="346">
        <v>0</v>
      </c>
      <c r="G363" s="346">
        <f>+F362</f>
        <v>750000</v>
      </c>
      <c r="H363" s="338" t="str">
        <f>+H362</f>
        <v>Adriana Gonzalez / 249</v>
      </c>
      <c r="I363" s="401" t="str">
        <f>+I362</f>
        <v>Cali</v>
      </c>
      <c r="K363" s="370"/>
      <c r="N363" s="370"/>
    </row>
    <row r="364" spans="1:14" s="347" customFormat="1" x14ac:dyDescent="0.25">
      <c r="A364" s="369"/>
      <c r="E364" s="396"/>
      <c r="F364" s="396"/>
      <c r="G364" s="396"/>
      <c r="K364" s="370"/>
      <c r="N364" s="370"/>
    </row>
    <row r="365" spans="1:14" s="347" customFormat="1" x14ac:dyDescent="0.25">
      <c r="A365" s="339">
        <v>44223</v>
      </c>
      <c r="B365" s="340">
        <v>1</v>
      </c>
      <c r="C365" s="338">
        <v>115</v>
      </c>
      <c r="D365" s="347" t="str">
        <f>VLOOKUP(C365,Plan!A$1:B$65542,2,0)</f>
        <v>Disponible Cali B.Chile</v>
      </c>
      <c r="E365" s="341">
        <f>+F365-G365</f>
        <v>150000</v>
      </c>
      <c r="F365" s="346">
        <v>150000</v>
      </c>
      <c r="G365" s="346">
        <v>0</v>
      </c>
      <c r="H365" s="338" t="s">
        <v>781</v>
      </c>
      <c r="I365" s="401" t="s">
        <v>131</v>
      </c>
      <c r="K365" s="370"/>
      <c r="N365" s="370"/>
    </row>
    <row r="366" spans="1:14" s="347" customFormat="1" x14ac:dyDescent="0.25">
      <c r="A366" s="339">
        <f>+A365</f>
        <v>44223</v>
      </c>
      <c r="B366" s="340">
        <f>+B365</f>
        <v>1</v>
      </c>
      <c r="C366" s="338">
        <v>3210</v>
      </c>
      <c r="D366" s="347" t="str">
        <f>VLOOKUP(C366,Plan!A$1:B$65542,2,0)</f>
        <v>Donacion Construccion</v>
      </c>
      <c r="E366" s="341">
        <f>+F366-G366</f>
        <v>-150000</v>
      </c>
      <c r="F366" s="346">
        <v>0</v>
      </c>
      <c r="G366" s="346">
        <f>+F365</f>
        <v>150000</v>
      </c>
      <c r="H366" s="338" t="str">
        <f>+H365</f>
        <v>Italo Lubiano / Azul</v>
      </c>
      <c r="I366" s="401" t="str">
        <f>+I365</f>
        <v>Cali</v>
      </c>
      <c r="K366" s="370"/>
      <c r="N366" s="370"/>
    </row>
    <row r="367" spans="1:14" s="347" customFormat="1" x14ac:dyDescent="0.25">
      <c r="A367" s="369"/>
      <c r="E367" s="396"/>
      <c r="F367" s="396"/>
      <c r="G367" s="396"/>
      <c r="K367" s="370"/>
      <c r="N367" s="370"/>
    </row>
    <row r="368" spans="1:14" s="347" customFormat="1" x14ac:dyDescent="0.25">
      <c r="A368" s="357">
        <v>44223</v>
      </c>
      <c r="B368" s="358">
        <v>1</v>
      </c>
      <c r="C368" s="358">
        <v>115</v>
      </c>
      <c r="D368" s="358" t="str">
        <f>VLOOKUP(C368,Plan!A$1:B$65542,2,0)</f>
        <v>Disponible Cali B.Chile</v>
      </c>
      <c r="E368" s="341">
        <f>+F368-G368</f>
        <v>49405</v>
      </c>
      <c r="F368" s="361">
        <v>49405</v>
      </c>
      <c r="G368" s="361">
        <v>0</v>
      </c>
      <c r="H368" s="360" t="s">
        <v>847</v>
      </c>
      <c r="I368" s="360" t="s">
        <v>131</v>
      </c>
      <c r="K368" s="370"/>
      <c r="N368" s="370"/>
    </row>
    <row r="369" spans="1:14" s="347" customFormat="1" x14ac:dyDescent="0.25">
      <c r="A369" s="357">
        <f>+A368</f>
        <v>44223</v>
      </c>
      <c r="B369" s="358">
        <f>+B368</f>
        <v>1</v>
      </c>
      <c r="C369" s="358">
        <v>4150</v>
      </c>
      <c r="D369" s="358" t="str">
        <f>VLOOKUP(C369,Plan!A$1:B$65542,2,0)</f>
        <v>Comisiones Cali Tarjetas de Creditos</v>
      </c>
      <c r="E369" s="341">
        <f>+F369-G369</f>
        <v>595</v>
      </c>
      <c r="F369" s="361">
        <f>+G370-F368</f>
        <v>595</v>
      </c>
      <c r="G369" s="361">
        <v>0</v>
      </c>
      <c r="H369" s="358" t="str">
        <f>+H368</f>
        <v>Horacio Figueroa TBK 249 DCT</v>
      </c>
      <c r="I369" s="360" t="s">
        <v>131</v>
      </c>
      <c r="K369" s="370"/>
      <c r="N369" s="370"/>
    </row>
    <row r="370" spans="1:14" s="347" customFormat="1" x14ac:dyDescent="0.25">
      <c r="A370" s="357">
        <f>+A368</f>
        <v>44223</v>
      </c>
      <c r="B370" s="358">
        <f>+B368</f>
        <v>1</v>
      </c>
      <c r="C370" s="358">
        <v>1222</v>
      </c>
      <c r="D370" s="358" t="str">
        <f>VLOOKUP(C370,Plan!A$1:B$65542,2,0)</f>
        <v>Otros Valores -Oficina y Transferencias (249)</v>
      </c>
      <c r="E370" s="341">
        <f>+F370-G370</f>
        <v>-50000</v>
      </c>
      <c r="F370" s="361">
        <v>0</v>
      </c>
      <c r="G370" s="361">
        <v>50000</v>
      </c>
      <c r="H370" s="358" t="str">
        <f>+H368</f>
        <v>Horacio Figueroa TBK 249 DCT</v>
      </c>
      <c r="I370" s="360" t="s">
        <v>131</v>
      </c>
      <c r="K370" s="370"/>
      <c r="N370" s="370"/>
    </row>
    <row r="371" spans="1:14" s="347" customFormat="1" x14ac:dyDescent="0.25">
      <c r="A371" s="369"/>
      <c r="E371" s="396"/>
      <c r="F371" s="396"/>
      <c r="G371" s="396"/>
      <c r="K371" s="370"/>
      <c r="N371" s="370"/>
    </row>
    <row r="372" spans="1:14" s="347" customFormat="1" x14ac:dyDescent="0.25">
      <c r="A372" s="339">
        <v>44223</v>
      </c>
      <c r="B372" s="340">
        <v>1</v>
      </c>
      <c r="C372" s="338">
        <v>115</v>
      </c>
      <c r="D372" s="340" t="str">
        <f>VLOOKUP(C372,Plan!A$1:B$65542,2,0)</f>
        <v>Disponible Cali B.Chile</v>
      </c>
      <c r="E372" s="341">
        <f>+F372-G372</f>
        <v>10000</v>
      </c>
      <c r="F372" s="346">
        <v>10000</v>
      </c>
      <c r="G372" s="346">
        <v>0</v>
      </c>
      <c r="H372" s="338" t="s">
        <v>849</v>
      </c>
      <c r="I372" s="401" t="s">
        <v>131</v>
      </c>
      <c r="K372" s="370"/>
      <c r="N372" s="370"/>
    </row>
    <row r="373" spans="1:14" s="347" customFormat="1" x14ac:dyDescent="0.25">
      <c r="A373" s="339">
        <f>+A372</f>
        <v>44223</v>
      </c>
      <c r="B373" s="340">
        <f>+B372</f>
        <v>1</v>
      </c>
      <c r="C373" s="338">
        <v>1222</v>
      </c>
      <c r="D373" s="340" t="str">
        <f>VLOOKUP(C373,Plan!A$1:B$65542,2,0)</f>
        <v>Otros Valores -Oficina y Transferencias (249)</v>
      </c>
      <c r="E373" s="341">
        <f>+F373-G373</f>
        <v>-10000</v>
      </c>
      <c r="F373" s="346">
        <v>0</v>
      </c>
      <c r="G373" s="346">
        <f>+F372</f>
        <v>10000</v>
      </c>
      <c r="H373" s="338" t="str">
        <f>+H372</f>
        <v>José M. Perz de Castro / 249</v>
      </c>
      <c r="I373" s="401" t="str">
        <f>+I372</f>
        <v>Cali</v>
      </c>
      <c r="K373" s="370"/>
      <c r="N373" s="370"/>
    </row>
    <row r="374" spans="1:14" s="347" customFormat="1" x14ac:dyDescent="0.25">
      <c r="A374" s="369"/>
      <c r="E374" s="396"/>
      <c r="F374" s="396"/>
      <c r="G374" s="396"/>
      <c r="K374" s="370"/>
      <c r="N374" s="370"/>
    </row>
    <row r="375" spans="1:14" s="347" customFormat="1" x14ac:dyDescent="0.25">
      <c r="A375" s="339">
        <v>44223</v>
      </c>
      <c r="B375" s="340">
        <v>1</v>
      </c>
      <c r="C375" s="338">
        <v>115</v>
      </c>
      <c r="D375" s="340" t="str">
        <f>VLOOKUP(C375,Plan!A$1:B$65542,2,0)</f>
        <v>Disponible Cali B.Chile</v>
      </c>
      <c r="E375" s="341">
        <f>+F375-G375</f>
        <v>18000</v>
      </c>
      <c r="F375" s="346">
        <v>18000</v>
      </c>
      <c r="G375" s="346">
        <v>0</v>
      </c>
      <c r="H375" s="338" t="s">
        <v>850</v>
      </c>
      <c r="I375" s="401" t="s">
        <v>131</v>
      </c>
      <c r="K375" s="370"/>
      <c r="N375" s="370"/>
    </row>
    <row r="376" spans="1:14" s="347" customFormat="1" x14ac:dyDescent="0.25">
      <c r="A376" s="339">
        <f>+A375</f>
        <v>44223</v>
      </c>
      <c r="B376" s="340">
        <f>+B375</f>
        <v>1</v>
      </c>
      <c r="C376" s="338">
        <v>1217</v>
      </c>
      <c r="D376" s="340" t="str">
        <f>VLOOKUP(C376,Plan!A$1:B$65542,2,0)</f>
        <v>Otros Valores -Oficina y Transferencias (248)</v>
      </c>
      <c r="E376" s="341">
        <f>+F376-G376</f>
        <v>-18000</v>
      </c>
      <c r="F376" s="346">
        <v>0</v>
      </c>
      <c r="G376" s="346">
        <f>+F375</f>
        <v>18000</v>
      </c>
      <c r="H376" s="338" t="str">
        <f>+H375</f>
        <v>Carlos Barriga /248</v>
      </c>
      <c r="I376" s="401" t="str">
        <f>+I375</f>
        <v>Cali</v>
      </c>
      <c r="K376" s="370"/>
      <c r="N376" s="370"/>
    </row>
    <row r="377" spans="1:14" s="347" customFormat="1" x14ac:dyDescent="0.25">
      <c r="A377" s="369"/>
      <c r="E377" s="396"/>
      <c r="F377" s="396"/>
      <c r="G377" s="396"/>
      <c r="K377" s="370"/>
      <c r="N377" s="370"/>
    </row>
    <row r="378" spans="1:14" s="347" customFormat="1" x14ac:dyDescent="0.25">
      <c r="A378" s="339">
        <v>44224</v>
      </c>
      <c r="B378" s="340">
        <v>1</v>
      </c>
      <c r="C378" s="338">
        <v>115</v>
      </c>
      <c r="D378" s="340" t="str">
        <f>VLOOKUP(C378,Plan!A$1:B$65542,2,0)</f>
        <v>Disponible Cali B.Chile</v>
      </c>
      <c r="E378" s="341">
        <f>+F378-G378</f>
        <v>37000</v>
      </c>
      <c r="F378" s="346">
        <v>37000</v>
      </c>
      <c r="G378" s="346">
        <v>0</v>
      </c>
      <c r="H378" s="338" t="s">
        <v>851</v>
      </c>
      <c r="I378" s="401" t="s">
        <v>131</v>
      </c>
      <c r="K378" s="370"/>
      <c r="N378" s="370"/>
    </row>
    <row r="379" spans="1:14" s="347" customFormat="1" x14ac:dyDescent="0.25">
      <c r="A379" s="339">
        <f>+A378</f>
        <v>44224</v>
      </c>
      <c r="B379" s="340">
        <f>+B378</f>
        <v>1</v>
      </c>
      <c r="C379" s="338">
        <v>1222</v>
      </c>
      <c r="D379" s="340" t="str">
        <f>VLOOKUP(C379,Plan!A$1:B$65542,2,0)</f>
        <v>Otros Valores -Oficina y Transferencias (249)</v>
      </c>
      <c r="E379" s="341">
        <f>+F379-G379</f>
        <v>-37000</v>
      </c>
      <c r="F379" s="346">
        <v>0</v>
      </c>
      <c r="G379" s="346">
        <f>+F378</f>
        <v>37000</v>
      </c>
      <c r="H379" s="338" t="str">
        <f>+H378</f>
        <v>Juan Pabl oRios /249</v>
      </c>
      <c r="I379" s="401" t="str">
        <f>+I378</f>
        <v>Cali</v>
      </c>
      <c r="K379" s="370"/>
      <c r="N379" s="370"/>
    </row>
    <row r="380" spans="1:14" s="347" customFormat="1" x14ac:dyDescent="0.25">
      <c r="A380" s="369"/>
      <c r="E380" s="396"/>
      <c r="F380" s="396"/>
      <c r="G380" s="396"/>
      <c r="K380" s="370"/>
      <c r="N380" s="370"/>
    </row>
    <row r="381" spans="1:14" s="347" customFormat="1" x14ac:dyDescent="0.25">
      <c r="A381" s="339">
        <v>44224</v>
      </c>
      <c r="B381" s="340">
        <v>1</v>
      </c>
      <c r="C381" s="338">
        <v>141</v>
      </c>
      <c r="D381" s="340" t="str">
        <f>VLOOKUP(C381,Plan!A$1:B$65542,2,0)</f>
        <v>Cuentas por Cobrar a Administración</v>
      </c>
      <c r="E381" s="341">
        <f>+F381-G381</f>
        <v>5000000</v>
      </c>
      <c r="F381" s="346">
        <v>5000000</v>
      </c>
      <c r="G381" s="346">
        <v>0</v>
      </c>
      <c r="H381" s="338" t="s">
        <v>789</v>
      </c>
      <c r="I381" s="401" t="s">
        <v>131</v>
      </c>
      <c r="K381" s="370"/>
      <c r="N381" s="370"/>
    </row>
    <row r="382" spans="1:14" s="347" customFormat="1" x14ac:dyDescent="0.25">
      <c r="A382" s="339">
        <f>+A381</f>
        <v>44224</v>
      </c>
      <c r="B382" s="340">
        <f>+B381</f>
        <v>1</v>
      </c>
      <c r="C382" s="338">
        <v>115</v>
      </c>
      <c r="D382" s="340" t="str">
        <f>VLOOKUP(C382,Plan!A$1:B$65542,2,0)</f>
        <v>Disponible Cali B.Chile</v>
      </c>
      <c r="E382" s="341">
        <f>+F382-G382</f>
        <v>-5000000</v>
      </c>
      <c r="F382" s="346">
        <v>0</v>
      </c>
      <c r="G382" s="346">
        <f>+F381</f>
        <v>5000000</v>
      </c>
      <c r="H382" s="338" t="str">
        <f>+H381</f>
        <v>Traspaso a Cta, Administración</v>
      </c>
      <c r="I382" s="401" t="str">
        <f>+I381</f>
        <v>Cali</v>
      </c>
      <c r="K382" s="370"/>
      <c r="N382" s="370"/>
    </row>
    <row r="383" spans="1:14" s="347" customFormat="1" x14ac:dyDescent="0.25">
      <c r="A383" s="369"/>
      <c r="E383" s="396"/>
      <c r="F383" s="396"/>
      <c r="G383" s="396"/>
      <c r="K383" s="370"/>
      <c r="N383" s="370"/>
    </row>
    <row r="384" spans="1:14" s="347" customFormat="1" x14ac:dyDescent="0.25">
      <c r="A384" s="339">
        <v>44224</v>
      </c>
      <c r="B384" s="340">
        <v>1</v>
      </c>
      <c r="C384" s="338">
        <v>115</v>
      </c>
      <c r="D384" s="347" t="str">
        <f>VLOOKUP(C384,Plan!A$1:B$65542,2,0)</f>
        <v>Disponible Cali B.Chile</v>
      </c>
      <c r="E384" s="341">
        <f>+F384-G384</f>
        <v>73000</v>
      </c>
      <c r="F384" s="346">
        <v>73000</v>
      </c>
      <c r="G384" s="346">
        <v>0</v>
      </c>
      <c r="H384" s="338" t="s">
        <v>852</v>
      </c>
      <c r="I384" s="401" t="s">
        <v>131</v>
      </c>
      <c r="K384" s="370"/>
      <c r="N384" s="370"/>
    </row>
    <row r="385" spans="1:14" s="347" customFormat="1" x14ac:dyDescent="0.25">
      <c r="A385" s="339">
        <f>+A384</f>
        <v>44224</v>
      </c>
      <c r="B385" s="340">
        <f>+B384</f>
        <v>1</v>
      </c>
      <c r="C385" s="338">
        <v>3210</v>
      </c>
      <c r="D385" s="347" t="str">
        <f>VLOOKUP(C385,Plan!A$1:B$65542,2,0)</f>
        <v>Donacion Construccion</v>
      </c>
      <c r="E385" s="341">
        <f>+F385-G385</f>
        <v>-73000</v>
      </c>
      <c r="F385" s="346">
        <v>0</v>
      </c>
      <c r="G385" s="346">
        <f>+F384</f>
        <v>73000</v>
      </c>
      <c r="H385" s="338" t="str">
        <f>+H384</f>
        <v>Matias Silva / Azul</v>
      </c>
      <c r="I385" s="401" t="str">
        <f>+I384</f>
        <v>Cali</v>
      </c>
      <c r="K385" s="370"/>
      <c r="N385" s="370"/>
    </row>
    <row r="386" spans="1:14" s="347" customFormat="1" x14ac:dyDescent="0.25">
      <c r="A386" s="369"/>
      <c r="E386" s="396"/>
      <c r="F386" s="396"/>
      <c r="G386" s="396"/>
      <c r="K386" s="370"/>
      <c r="N386" s="370"/>
    </row>
    <row r="387" spans="1:14" s="347" customFormat="1" x14ac:dyDescent="0.25">
      <c r="A387" s="339">
        <v>44224</v>
      </c>
      <c r="B387" s="340">
        <v>1</v>
      </c>
      <c r="C387" s="338">
        <v>115</v>
      </c>
      <c r="D387" s="347" t="str">
        <f>VLOOKUP(C387,Plan!A$1:B$65542,2,0)</f>
        <v>Disponible Cali B.Chile</v>
      </c>
      <c r="E387" s="341">
        <f>+F387-G387</f>
        <v>20000</v>
      </c>
      <c r="F387" s="346">
        <v>20000</v>
      </c>
      <c r="G387" s="346">
        <v>0</v>
      </c>
      <c r="H387" s="338"/>
      <c r="I387" s="401" t="s">
        <v>131</v>
      </c>
      <c r="K387" s="370"/>
      <c r="N387" s="370"/>
    </row>
    <row r="388" spans="1:14" s="347" customFormat="1" x14ac:dyDescent="0.25">
      <c r="A388" s="339">
        <f>+A387</f>
        <v>44224</v>
      </c>
      <c r="B388" s="340">
        <f>+B387</f>
        <v>1</v>
      </c>
      <c r="C388" s="338">
        <v>216</v>
      </c>
      <c r="D388" s="347" t="str">
        <f>VLOOKUP(C388,Plan!A$1:B$65542,2,0)</f>
        <v>Cuenta por Pagar a Administración Colectas</v>
      </c>
      <c r="E388" s="341">
        <f>+F388-G388</f>
        <v>-20000</v>
      </c>
      <c r="F388" s="346"/>
      <c r="G388" s="346">
        <f>+F387</f>
        <v>20000</v>
      </c>
      <c r="H388" s="338"/>
      <c r="I388" s="401" t="str">
        <f>+I387</f>
        <v>Cali</v>
      </c>
      <c r="K388" s="370"/>
      <c r="N388" s="370"/>
    </row>
    <row r="389" spans="1:14" s="347" customFormat="1" x14ac:dyDescent="0.25">
      <c r="A389" s="369"/>
      <c r="E389" s="396"/>
      <c r="F389" s="396"/>
      <c r="G389" s="396"/>
      <c r="K389" s="370"/>
      <c r="N389" s="370"/>
    </row>
    <row r="390" spans="1:14" s="347" customFormat="1" x14ac:dyDescent="0.25">
      <c r="A390" s="339">
        <v>44224</v>
      </c>
      <c r="B390" s="340">
        <v>1</v>
      </c>
      <c r="C390" s="338">
        <v>115</v>
      </c>
      <c r="D390" s="340" t="str">
        <f>VLOOKUP(C390,Plan!A$1:B$65542,2,0)</f>
        <v>Disponible Cali B.Chile</v>
      </c>
      <c r="E390" s="341">
        <f>+F390-G390</f>
        <v>10000</v>
      </c>
      <c r="F390" s="346">
        <v>10000</v>
      </c>
      <c r="G390" s="346">
        <v>0</v>
      </c>
      <c r="H390" s="338" t="s">
        <v>853</v>
      </c>
      <c r="I390" s="401" t="s">
        <v>131</v>
      </c>
      <c r="K390" s="370"/>
      <c r="N390" s="370"/>
    </row>
    <row r="391" spans="1:14" s="347" customFormat="1" x14ac:dyDescent="0.25">
      <c r="A391" s="339">
        <f>+A390</f>
        <v>44224</v>
      </c>
      <c r="B391" s="340">
        <f>+B390</f>
        <v>1</v>
      </c>
      <c r="C391" s="338">
        <v>1222</v>
      </c>
      <c r="D391" s="340" t="str">
        <f>VLOOKUP(C391,Plan!A$1:B$65542,2,0)</f>
        <v>Otros Valores -Oficina y Transferencias (249)</v>
      </c>
      <c r="E391" s="341">
        <f>+F391-G391</f>
        <v>-10000</v>
      </c>
      <c r="F391" s="346">
        <v>0</v>
      </c>
      <c r="G391" s="346">
        <f>+F390</f>
        <v>10000</v>
      </c>
      <c r="H391" s="338" t="str">
        <f>+H390</f>
        <v>Isabel Guarda / 249</v>
      </c>
      <c r="I391" s="401" t="str">
        <f>+I390</f>
        <v>Cali</v>
      </c>
      <c r="K391" s="370"/>
      <c r="N391" s="370"/>
    </row>
    <row r="392" spans="1:14" s="347" customFormat="1" x14ac:dyDescent="0.25">
      <c r="A392" s="369"/>
      <c r="E392" s="396"/>
      <c r="F392" s="396"/>
      <c r="G392" s="396"/>
      <c r="K392" s="370"/>
      <c r="N392" s="370"/>
    </row>
    <row r="393" spans="1:14" s="347" customFormat="1" x14ac:dyDescent="0.25">
      <c r="A393" s="339">
        <v>44224</v>
      </c>
      <c r="B393" s="340">
        <v>1</v>
      </c>
      <c r="C393" s="338">
        <v>115</v>
      </c>
      <c r="D393" s="340" t="str">
        <f>VLOOKUP(C393,Plan!A$1:B$65542,2,0)</f>
        <v>Disponible Cali B.Chile</v>
      </c>
      <c r="E393" s="341">
        <f>+F393-G393</f>
        <v>150000</v>
      </c>
      <c r="F393" s="346">
        <v>150000</v>
      </c>
      <c r="G393" s="346">
        <v>0</v>
      </c>
      <c r="H393" s="338" t="s">
        <v>551</v>
      </c>
      <c r="I393" s="401" t="s">
        <v>131</v>
      </c>
      <c r="K393" s="370"/>
      <c r="N393" s="370"/>
    </row>
    <row r="394" spans="1:14" s="347" customFormat="1" x14ac:dyDescent="0.25">
      <c r="A394" s="339">
        <f>+A393</f>
        <v>44224</v>
      </c>
      <c r="B394" s="340">
        <f>+B393</f>
        <v>1</v>
      </c>
      <c r="C394" s="338">
        <v>1217</v>
      </c>
      <c r="D394" s="340" t="str">
        <f>VLOOKUP(C394,Plan!A$1:B$65542,2,0)</f>
        <v>Otros Valores -Oficina y Transferencias (248)</v>
      </c>
      <c r="E394" s="341">
        <f>+F394-G394</f>
        <v>-150000</v>
      </c>
      <c r="F394" s="346">
        <v>0</v>
      </c>
      <c r="G394" s="346">
        <f>+F393</f>
        <v>150000</v>
      </c>
      <c r="H394" s="338" t="str">
        <f>+H393</f>
        <v>Patricio Abalos / 248</v>
      </c>
      <c r="I394" s="401" t="str">
        <f>+I393</f>
        <v>Cali</v>
      </c>
      <c r="K394" s="370"/>
      <c r="N394" s="370"/>
    </row>
    <row r="395" spans="1:14" s="347" customFormat="1" x14ac:dyDescent="0.25">
      <c r="A395" s="369"/>
      <c r="E395" s="396"/>
      <c r="F395" s="396"/>
      <c r="G395" s="396"/>
      <c r="K395" s="370"/>
      <c r="N395" s="370"/>
    </row>
    <row r="396" spans="1:14" s="347" customFormat="1" x14ac:dyDescent="0.25">
      <c r="A396" s="339">
        <v>44224</v>
      </c>
      <c r="B396" s="340">
        <v>1</v>
      </c>
      <c r="C396" s="338">
        <v>115</v>
      </c>
      <c r="D396" s="340" t="str">
        <f>VLOOKUP(C396,Plan!A$1:B$65542,2,0)</f>
        <v>Disponible Cali B.Chile</v>
      </c>
      <c r="E396" s="341">
        <f>+F396-G396</f>
        <v>20000</v>
      </c>
      <c r="F396" s="346">
        <v>20000</v>
      </c>
      <c r="G396" s="346">
        <v>0</v>
      </c>
      <c r="H396" s="338" t="s">
        <v>552</v>
      </c>
      <c r="I396" s="401" t="s">
        <v>131</v>
      </c>
      <c r="K396" s="370"/>
      <c r="N396" s="370"/>
    </row>
    <row r="397" spans="1:14" s="347" customFormat="1" x14ac:dyDescent="0.25">
      <c r="A397" s="339">
        <f>+A396</f>
        <v>44224</v>
      </c>
      <c r="B397" s="340">
        <f>+B396</f>
        <v>1</v>
      </c>
      <c r="C397" s="338">
        <v>1222</v>
      </c>
      <c r="D397" s="340" t="str">
        <f>VLOOKUP(C397,Plan!A$1:B$65542,2,0)</f>
        <v>Otros Valores -Oficina y Transferencias (249)</v>
      </c>
      <c r="E397" s="341">
        <f>+F397-G397</f>
        <v>-20000</v>
      </c>
      <c r="F397" s="346">
        <v>0</v>
      </c>
      <c r="G397" s="346">
        <f>+F396</f>
        <v>20000</v>
      </c>
      <c r="H397" s="338" t="str">
        <f>+H396</f>
        <v>Arantxa Ereche / 249</v>
      </c>
      <c r="I397" s="401" t="str">
        <f>+I396</f>
        <v>Cali</v>
      </c>
      <c r="K397" s="370"/>
      <c r="N397" s="370"/>
    </row>
    <row r="398" spans="1:14" s="347" customFormat="1" x14ac:dyDescent="0.25">
      <c r="A398" s="369"/>
      <c r="E398" s="396"/>
      <c r="F398" s="396"/>
      <c r="G398" s="396"/>
      <c r="K398" s="370"/>
      <c r="N398" s="370"/>
    </row>
    <row r="399" spans="1:14" s="347" customFormat="1" x14ac:dyDescent="0.25">
      <c r="A399" s="339">
        <v>44224</v>
      </c>
      <c r="B399" s="340">
        <v>1</v>
      </c>
      <c r="C399" s="338">
        <v>115</v>
      </c>
      <c r="D399" s="340" t="str">
        <f>VLOOKUP(C399,Plan!A$1:B$65542,2,0)</f>
        <v>Disponible Cali B.Chile</v>
      </c>
      <c r="E399" s="341">
        <f>+F399-G399</f>
        <v>20000</v>
      </c>
      <c r="F399" s="346">
        <v>20000</v>
      </c>
      <c r="G399" s="346">
        <v>0</v>
      </c>
      <c r="H399" s="338" t="s">
        <v>854</v>
      </c>
      <c r="I399" s="401" t="s">
        <v>131</v>
      </c>
      <c r="K399" s="370"/>
      <c r="N399" s="370"/>
    </row>
    <row r="400" spans="1:14" s="347" customFormat="1" x14ac:dyDescent="0.25">
      <c r="A400" s="339">
        <f>+A399</f>
        <v>44224</v>
      </c>
      <c r="B400" s="340">
        <f>+B399</f>
        <v>1</v>
      </c>
      <c r="C400" s="338">
        <v>1222</v>
      </c>
      <c r="D400" s="340" t="str">
        <f>VLOOKUP(C400,Plan!A$1:B$65542,2,0)</f>
        <v>Otros Valores -Oficina y Transferencias (249)</v>
      </c>
      <c r="E400" s="341">
        <f>+F400-G400</f>
        <v>-20000</v>
      </c>
      <c r="F400" s="346">
        <v>0</v>
      </c>
      <c r="G400" s="346">
        <f>+F399</f>
        <v>20000</v>
      </c>
      <c r="H400" s="338" t="str">
        <f>+H399</f>
        <v>Macarena Galvez / 249</v>
      </c>
      <c r="I400" s="401" t="str">
        <f>+I399</f>
        <v>Cali</v>
      </c>
      <c r="K400" s="370"/>
      <c r="N400" s="370"/>
    </row>
    <row r="401" spans="1:14" s="347" customFormat="1" x14ac:dyDescent="0.25">
      <c r="A401" s="339"/>
      <c r="B401" s="340"/>
      <c r="C401" s="338"/>
      <c r="D401" s="340"/>
      <c r="E401" s="341"/>
      <c r="F401" s="342"/>
      <c r="G401" s="342"/>
      <c r="H401" s="338"/>
      <c r="I401" s="401"/>
      <c r="K401" s="370"/>
      <c r="N401" s="370"/>
    </row>
    <row r="402" spans="1:14" s="358" customFormat="1" x14ac:dyDescent="0.25">
      <c r="A402" s="357">
        <v>44225</v>
      </c>
      <c r="B402" s="358">
        <v>1</v>
      </c>
      <c r="C402" s="358">
        <v>3210</v>
      </c>
      <c r="D402" s="358" t="str">
        <f>VLOOKUP(C402,Plan!A$1:B$65542,2,0)</f>
        <v>Donacion Construccion</v>
      </c>
      <c r="E402" s="341">
        <f>+F402-G402</f>
        <v>1000000</v>
      </c>
      <c r="F402" s="361">
        <v>1000000</v>
      </c>
      <c r="G402" s="361">
        <v>0</v>
      </c>
      <c r="H402" s="358" t="s">
        <v>865</v>
      </c>
      <c r="I402" s="360" t="s">
        <v>131</v>
      </c>
      <c r="K402" s="428"/>
      <c r="N402" s="428"/>
    </row>
    <row r="403" spans="1:14" s="358" customFormat="1" x14ac:dyDescent="0.25">
      <c r="A403" s="357">
        <f>+A402</f>
        <v>44225</v>
      </c>
      <c r="B403" s="358">
        <f>+B402</f>
        <v>1</v>
      </c>
      <c r="C403" s="358">
        <v>115</v>
      </c>
      <c r="D403" s="358" t="str">
        <f>VLOOKUP(C403,Plan!A$1:B$65542,2,0)</f>
        <v>Disponible Cali B.Chile</v>
      </c>
      <c r="E403" s="341">
        <f>+F403-G403</f>
        <v>-1000000</v>
      </c>
      <c r="F403" s="346">
        <v>0</v>
      </c>
      <c r="G403" s="361">
        <f>+F402</f>
        <v>1000000</v>
      </c>
      <c r="H403" s="358" t="str">
        <f>+H402</f>
        <v>Dev.a Fund.aporte Inversiones Los Bumps</v>
      </c>
      <c r="I403" s="360" t="str">
        <f>+I402</f>
        <v>Cali</v>
      </c>
      <c r="K403" s="428"/>
      <c r="N403" s="428"/>
    </row>
    <row r="404" spans="1:14" s="358" customFormat="1" x14ac:dyDescent="0.25">
      <c r="A404" s="357"/>
      <c r="E404" s="359"/>
      <c r="F404" s="359"/>
      <c r="G404" s="359"/>
      <c r="K404" s="428"/>
      <c r="N404" s="428"/>
    </row>
    <row r="405" spans="1:14" s="358" customFormat="1" x14ac:dyDescent="0.25">
      <c r="A405" s="357">
        <v>44225</v>
      </c>
      <c r="B405" s="358">
        <v>1</v>
      </c>
      <c r="C405" s="358">
        <v>3210</v>
      </c>
      <c r="D405" s="358" t="str">
        <f>VLOOKUP(C405,Plan!A$1:B$65542,2,0)</f>
        <v>Donacion Construccion</v>
      </c>
      <c r="E405" s="341">
        <f>+F405-G405</f>
        <v>29106860</v>
      </c>
      <c r="F405" s="359">
        <v>29106860</v>
      </c>
      <c r="G405" s="361">
        <v>0</v>
      </c>
      <c r="H405" s="360" t="s">
        <v>1284</v>
      </c>
      <c r="I405" s="360" t="s">
        <v>131</v>
      </c>
      <c r="K405" s="428"/>
      <c r="N405" s="428"/>
    </row>
    <row r="406" spans="1:14" s="358" customFormat="1" x14ac:dyDescent="0.25">
      <c r="A406" s="357">
        <f>+A405</f>
        <v>44225</v>
      </c>
      <c r="B406" s="358">
        <f>+B405</f>
        <v>1</v>
      </c>
      <c r="C406" s="358">
        <v>115</v>
      </c>
      <c r="D406" s="358" t="str">
        <f>VLOOKUP(C406,Plan!A$1:B$65542,2,0)</f>
        <v>Disponible Cali B.Chile</v>
      </c>
      <c r="E406" s="341">
        <f>+F406-G406</f>
        <v>-29106860</v>
      </c>
      <c r="F406" s="346">
        <v>0</v>
      </c>
      <c r="G406" s="361">
        <f>+F405</f>
        <v>29106860</v>
      </c>
      <c r="H406" s="358" t="str">
        <f>+H405</f>
        <v>Dev.a Fund.aporte Inv.Convento inversiones Los Bumps</v>
      </c>
      <c r="I406" s="360" t="str">
        <f>+I405</f>
        <v>Cali</v>
      </c>
      <c r="K406" s="428"/>
      <c r="N406" s="428"/>
    </row>
    <row r="407" spans="1:14" s="347" customFormat="1" x14ac:dyDescent="0.25">
      <c r="A407" s="339"/>
      <c r="B407" s="340"/>
      <c r="C407" s="338"/>
      <c r="D407" s="340"/>
      <c r="E407" s="341"/>
      <c r="F407" s="345"/>
      <c r="G407" s="345"/>
      <c r="H407" s="338"/>
      <c r="I407" s="340"/>
      <c r="K407" s="370"/>
      <c r="N407" s="370"/>
    </row>
    <row r="408" spans="1:14" s="347" customFormat="1" x14ac:dyDescent="0.25">
      <c r="A408" s="339">
        <v>44225</v>
      </c>
      <c r="B408" s="340">
        <v>1</v>
      </c>
      <c r="C408" s="338">
        <v>141</v>
      </c>
      <c r="D408" s="340" t="str">
        <f>VLOOKUP(C408,Plan!A$1:B$65542,2,0)</f>
        <v>Cuentas por Cobrar a Administración</v>
      </c>
      <c r="E408" s="341">
        <f>+F408-G408</f>
        <v>118015</v>
      </c>
      <c r="F408" s="345">
        <v>118015</v>
      </c>
      <c r="G408" s="346">
        <v>0</v>
      </c>
      <c r="H408" s="338" t="s">
        <v>765</v>
      </c>
      <c r="I408" s="340" t="s">
        <v>131</v>
      </c>
      <c r="K408" s="370"/>
      <c r="N408" s="370"/>
    </row>
    <row r="409" spans="1:14" s="347" customFormat="1" x14ac:dyDescent="0.25">
      <c r="A409" s="339">
        <f>+A408</f>
        <v>44225</v>
      </c>
      <c r="B409" s="340">
        <f>+B408</f>
        <v>1</v>
      </c>
      <c r="C409" s="338">
        <v>115</v>
      </c>
      <c r="D409" s="340" t="str">
        <f>VLOOKUP(C409,Plan!A$1:B$65542,2,0)</f>
        <v>Disponible Cali B.Chile</v>
      </c>
      <c r="E409" s="341">
        <f>+F409-G409</f>
        <v>-118015</v>
      </c>
      <c r="F409" s="346">
        <v>0</v>
      </c>
      <c r="G409" s="346">
        <f>+F408</f>
        <v>118015</v>
      </c>
      <c r="H409" s="338" t="s">
        <v>765</v>
      </c>
      <c r="I409" s="340" t="s">
        <v>131</v>
      </c>
      <c r="K409" s="370"/>
      <c r="N409" s="370"/>
    </row>
    <row r="410" spans="1:14" s="347" customFormat="1" x14ac:dyDescent="0.25">
      <c r="A410" s="339"/>
      <c r="B410" s="340"/>
      <c r="C410" s="338"/>
      <c r="D410" s="340"/>
      <c r="E410" s="341"/>
      <c r="F410" s="345"/>
      <c r="G410" s="345"/>
      <c r="H410" s="338"/>
      <c r="I410" s="340"/>
      <c r="K410" s="370"/>
      <c r="N410" s="370"/>
    </row>
    <row r="411" spans="1:14" s="347" customFormat="1" x14ac:dyDescent="0.25">
      <c r="A411" s="339">
        <v>44225</v>
      </c>
      <c r="B411" s="340">
        <v>1</v>
      </c>
      <c r="C411" s="338">
        <v>116</v>
      </c>
      <c r="D411" s="340" t="str">
        <f>VLOOKUP(C411,Plan!A$1:B$65542,2,0)</f>
        <v>Disponible CALI Security</v>
      </c>
      <c r="E411" s="341">
        <f>+F411-G411</f>
        <v>60000000</v>
      </c>
      <c r="F411" s="346">
        <v>60000000</v>
      </c>
      <c r="G411" s="346">
        <v>0</v>
      </c>
      <c r="H411" s="338" t="s">
        <v>789</v>
      </c>
      <c r="I411" s="401" t="s">
        <v>131</v>
      </c>
      <c r="K411" s="370"/>
      <c r="N411" s="370"/>
    </row>
    <row r="412" spans="1:14" s="347" customFormat="1" x14ac:dyDescent="0.25">
      <c r="A412" s="339">
        <f>+A411</f>
        <v>44225</v>
      </c>
      <c r="B412" s="340">
        <f>+B411</f>
        <v>1</v>
      </c>
      <c r="C412" s="338">
        <v>115</v>
      </c>
      <c r="D412" s="340" t="str">
        <f>VLOOKUP(C412,Plan!A$1:B$65542,2,0)</f>
        <v>Disponible Cali B.Chile</v>
      </c>
      <c r="E412" s="341">
        <f>+F412-G412</f>
        <v>-60000000</v>
      </c>
      <c r="F412" s="346">
        <v>0</v>
      </c>
      <c r="G412" s="346">
        <f>+F411</f>
        <v>60000000</v>
      </c>
      <c r="H412" s="338" t="str">
        <f>+H411</f>
        <v>Traspaso a Cta, Administración</v>
      </c>
      <c r="I412" s="401" t="str">
        <f>+I411</f>
        <v>Cali</v>
      </c>
      <c r="K412" s="370"/>
      <c r="N412" s="370"/>
    </row>
    <row r="413" spans="1:14" s="347" customFormat="1" x14ac:dyDescent="0.25">
      <c r="A413" s="369"/>
      <c r="E413" s="396"/>
      <c r="F413" s="396"/>
      <c r="G413" s="396"/>
      <c r="K413" s="370"/>
      <c r="N413" s="370"/>
    </row>
    <row r="414" spans="1:14" s="347" customFormat="1" x14ac:dyDescent="0.25">
      <c r="A414" s="339">
        <v>44225</v>
      </c>
      <c r="B414" s="340">
        <v>1</v>
      </c>
      <c r="C414" s="338">
        <v>115</v>
      </c>
      <c r="D414" s="347" t="str">
        <f>VLOOKUP(C414,Plan!A$1:B$65542,2,0)</f>
        <v>Disponible Cali B.Chile</v>
      </c>
      <c r="E414" s="341">
        <f>+F414-G414</f>
        <v>40000</v>
      </c>
      <c r="F414" s="346">
        <v>40000</v>
      </c>
      <c r="G414" s="346">
        <v>0</v>
      </c>
      <c r="H414" s="338" t="s">
        <v>855</v>
      </c>
      <c r="I414" s="401" t="s">
        <v>131</v>
      </c>
      <c r="K414" s="370"/>
      <c r="N414" s="370"/>
    </row>
    <row r="415" spans="1:14" s="347" customFormat="1" x14ac:dyDescent="0.25">
      <c r="A415" s="339">
        <f>+A414</f>
        <v>44225</v>
      </c>
      <c r="B415" s="340">
        <f>+B414</f>
        <v>1</v>
      </c>
      <c r="C415" s="338">
        <v>3210</v>
      </c>
      <c r="D415" s="347" t="str">
        <f>VLOOKUP(C415,Plan!A$1:B$65542,2,0)</f>
        <v>Donacion Construccion</v>
      </c>
      <c r="E415" s="341">
        <f>+F415-G415</f>
        <v>-40000</v>
      </c>
      <c r="F415" s="346">
        <v>0</v>
      </c>
      <c r="G415" s="346">
        <f>+F414</f>
        <v>40000</v>
      </c>
      <c r="H415" s="338" t="str">
        <f>+H414</f>
        <v>Pedro Vicuña / Azul</v>
      </c>
      <c r="I415" s="401" t="str">
        <f>+I414</f>
        <v>Cali</v>
      </c>
      <c r="K415" s="370"/>
      <c r="N415" s="370"/>
    </row>
    <row r="416" spans="1:14" s="347" customFormat="1" x14ac:dyDescent="0.25">
      <c r="A416" s="369"/>
      <c r="E416" s="396"/>
      <c r="F416" s="396"/>
      <c r="G416" s="396"/>
      <c r="K416" s="370"/>
      <c r="N416" s="370"/>
    </row>
    <row r="417" spans="1:14" s="347" customFormat="1" x14ac:dyDescent="0.25">
      <c r="A417" s="339">
        <v>44225</v>
      </c>
      <c r="B417" s="340">
        <v>1</v>
      </c>
      <c r="C417" s="338">
        <v>115</v>
      </c>
      <c r="D417" s="340" t="str">
        <f>VLOOKUP(C417,Plan!A$1:B$65542,2,0)</f>
        <v>Disponible Cali B.Chile</v>
      </c>
      <c r="E417" s="341">
        <f>+F417-G417</f>
        <v>60000</v>
      </c>
      <c r="F417" s="346">
        <v>60000</v>
      </c>
      <c r="G417" s="346">
        <v>0</v>
      </c>
      <c r="H417" s="338" t="s">
        <v>856</v>
      </c>
      <c r="I417" s="401" t="s">
        <v>131</v>
      </c>
      <c r="K417" s="370"/>
      <c r="N417" s="370"/>
    </row>
    <row r="418" spans="1:14" s="347" customFormat="1" x14ac:dyDescent="0.25">
      <c r="A418" s="339">
        <f>+A417</f>
        <v>44225</v>
      </c>
      <c r="B418" s="340">
        <f>+B417</f>
        <v>1</v>
      </c>
      <c r="C418" s="338">
        <v>1222</v>
      </c>
      <c r="D418" s="340" t="str">
        <f>VLOOKUP(C418,Plan!A$1:B$65542,2,0)</f>
        <v>Otros Valores -Oficina y Transferencias (249)</v>
      </c>
      <c r="E418" s="341">
        <f>+F418-G418</f>
        <v>-60000</v>
      </c>
      <c r="F418" s="346">
        <v>0</v>
      </c>
      <c r="G418" s="346">
        <f>+F417</f>
        <v>60000</v>
      </c>
      <c r="H418" s="338" t="str">
        <f>+H417</f>
        <v>Carlos Lecaros / 249</v>
      </c>
      <c r="I418" s="401" t="str">
        <f>+I417</f>
        <v>Cali</v>
      </c>
      <c r="K418" s="370"/>
      <c r="N418" s="370"/>
    </row>
    <row r="419" spans="1:14" s="347" customFormat="1" x14ac:dyDescent="0.25">
      <c r="A419" s="369"/>
      <c r="E419" s="396"/>
      <c r="F419" s="396"/>
      <c r="G419" s="396"/>
      <c r="K419" s="370"/>
      <c r="N419" s="370"/>
    </row>
    <row r="420" spans="1:14" s="347" customFormat="1" x14ac:dyDescent="0.25">
      <c r="A420" s="339">
        <v>44225</v>
      </c>
      <c r="B420" s="340">
        <v>1</v>
      </c>
      <c r="C420" s="338">
        <v>115</v>
      </c>
      <c r="D420" s="347" t="str">
        <f>VLOOKUP(C420,Plan!A$1:B$65542,2,0)</f>
        <v>Disponible Cali B.Chile</v>
      </c>
      <c r="E420" s="341">
        <f>+F420-G420</f>
        <v>100000</v>
      </c>
      <c r="F420" s="346">
        <v>100000</v>
      </c>
      <c r="G420" s="346">
        <v>0</v>
      </c>
      <c r="H420" s="338" t="s">
        <v>857</v>
      </c>
      <c r="I420" s="401" t="s">
        <v>131</v>
      </c>
      <c r="K420" s="370"/>
      <c r="N420" s="370"/>
    </row>
    <row r="421" spans="1:14" s="347" customFormat="1" x14ac:dyDescent="0.25">
      <c r="A421" s="339">
        <f>+A420</f>
        <v>44225</v>
      </c>
      <c r="B421" s="340">
        <f>+B420</f>
        <v>1</v>
      </c>
      <c r="C421" s="338">
        <v>3210</v>
      </c>
      <c r="D421" s="347" t="str">
        <f>VLOOKUP(C421,Plan!A$1:B$65542,2,0)</f>
        <v>Donacion Construccion</v>
      </c>
      <c r="E421" s="341">
        <f>+F421-G421</f>
        <v>-100000</v>
      </c>
      <c r="F421" s="346">
        <v>0</v>
      </c>
      <c r="G421" s="346">
        <f>+F420</f>
        <v>100000</v>
      </c>
      <c r="H421" s="338" t="str">
        <f>+H420</f>
        <v>Fernando Rosati / Azul</v>
      </c>
      <c r="I421" s="401" t="str">
        <f>+I420</f>
        <v>Cali</v>
      </c>
      <c r="K421" s="370"/>
      <c r="N421" s="370"/>
    </row>
    <row r="422" spans="1:14" s="347" customFormat="1" x14ac:dyDescent="0.25">
      <c r="A422" s="369"/>
      <c r="E422" s="396"/>
      <c r="F422" s="396"/>
      <c r="G422" s="396"/>
      <c r="K422" s="370"/>
      <c r="N422" s="370"/>
    </row>
    <row r="423" spans="1:14" s="347" customFormat="1" x14ac:dyDescent="0.25">
      <c r="A423" s="339">
        <v>44227</v>
      </c>
      <c r="B423" s="340">
        <v>1</v>
      </c>
      <c r="C423" s="352">
        <v>3620</v>
      </c>
      <c r="D423" s="340" t="str">
        <f>VLOOKUP(C423,Plan!A:B,2,0)</f>
        <v>Cali Recaudadores</v>
      </c>
      <c r="E423" s="341">
        <f t="shared" ref="E423:E449" si="1">+F423-G423</f>
        <v>-419000</v>
      </c>
      <c r="F423" s="353">
        <v>0</v>
      </c>
      <c r="G423" s="353">
        <v>419000</v>
      </c>
      <c r="H423" s="354" t="s">
        <v>1271</v>
      </c>
      <c r="I423" s="355" t="s">
        <v>131</v>
      </c>
      <c r="K423" s="370"/>
      <c r="N423" s="370"/>
    </row>
    <row r="424" spans="1:14" s="347" customFormat="1" x14ac:dyDescent="0.25">
      <c r="A424" s="350">
        <f>+A423</f>
        <v>44227</v>
      </c>
      <c r="B424" s="351">
        <f>+B423</f>
        <v>1</v>
      </c>
      <c r="C424" s="352">
        <v>3621</v>
      </c>
      <c r="D424" s="340" t="str">
        <f>VLOOKUP(C424,Plan!A:B,2,0)</f>
        <v>Cali Recaudadores (249)</v>
      </c>
      <c r="E424" s="341">
        <f t="shared" si="1"/>
        <v>0</v>
      </c>
      <c r="F424" s="353">
        <v>0</v>
      </c>
      <c r="G424" s="353">
        <v>0</v>
      </c>
      <c r="H424" s="354" t="str">
        <f t="shared" ref="H424:H431" si="2">+H423</f>
        <v>Centralización Recaudación Enero</v>
      </c>
      <c r="I424" s="355" t="s">
        <v>131</v>
      </c>
      <c r="K424" s="370"/>
      <c r="N424" s="370"/>
    </row>
    <row r="425" spans="1:14" s="347" customFormat="1" x14ac:dyDescent="0.25">
      <c r="A425" s="350">
        <f t="shared" ref="A425:B429" si="3">+A423</f>
        <v>44227</v>
      </c>
      <c r="B425" s="351">
        <f t="shared" si="3"/>
        <v>1</v>
      </c>
      <c r="C425" s="352">
        <v>3630</v>
      </c>
      <c r="D425" s="340" t="str">
        <f>VLOOKUP(C425,Plan!A:B,2,0)</f>
        <v>Cali Oficina Parroquial</v>
      </c>
      <c r="E425" s="341">
        <f t="shared" si="1"/>
        <v>-909400</v>
      </c>
      <c r="F425" s="353">
        <v>0</v>
      </c>
      <c r="G425" s="353">
        <v>909400</v>
      </c>
      <c r="H425" s="354" t="str">
        <f t="shared" si="2"/>
        <v>Centralización Recaudación Enero</v>
      </c>
      <c r="I425" s="355" t="s">
        <v>131</v>
      </c>
      <c r="K425" s="370"/>
      <c r="N425" s="370"/>
    </row>
    <row r="426" spans="1:14" s="347" customFormat="1" x14ac:dyDescent="0.25">
      <c r="A426" s="350">
        <f t="shared" si="3"/>
        <v>44227</v>
      </c>
      <c r="B426" s="351">
        <f t="shared" si="3"/>
        <v>1</v>
      </c>
      <c r="C426" s="352">
        <v>3631</v>
      </c>
      <c r="D426" s="340" t="str">
        <f>VLOOKUP(C426,Plan!A:B,2,0)</f>
        <v>Cali Oficina Parroquial (249)</v>
      </c>
      <c r="E426" s="341">
        <f t="shared" si="1"/>
        <v>-2579500</v>
      </c>
      <c r="F426" s="353">
        <v>0</v>
      </c>
      <c r="G426" s="353">
        <v>2579500</v>
      </c>
      <c r="H426" s="354" t="str">
        <f t="shared" si="2"/>
        <v>Centralización Recaudación Enero</v>
      </c>
      <c r="I426" s="355" t="s">
        <v>131</v>
      </c>
      <c r="K426" s="370"/>
      <c r="N426" s="370"/>
    </row>
    <row r="427" spans="1:14" s="347" customFormat="1" x14ac:dyDescent="0.25">
      <c r="A427" s="350">
        <f t="shared" si="3"/>
        <v>44227</v>
      </c>
      <c r="B427" s="351">
        <f t="shared" si="3"/>
        <v>1</v>
      </c>
      <c r="C427" s="352">
        <v>3640</v>
      </c>
      <c r="D427" s="340" t="str">
        <f>VLOOKUP(C427,Plan!A:B,2,0)</f>
        <v>Cali Tarjetas de Creditos</v>
      </c>
      <c r="E427" s="341">
        <f t="shared" si="1"/>
        <v>-4406600</v>
      </c>
      <c r="F427" s="353">
        <v>0</v>
      </c>
      <c r="G427" s="353">
        <v>4406600</v>
      </c>
      <c r="H427" s="354" t="str">
        <f t="shared" si="2"/>
        <v>Centralización Recaudación Enero</v>
      </c>
      <c r="I427" s="355" t="s">
        <v>131</v>
      </c>
      <c r="K427" s="370"/>
      <c r="N427" s="370"/>
    </row>
    <row r="428" spans="1:14" s="347" customFormat="1" x14ac:dyDescent="0.25">
      <c r="A428" s="350">
        <f t="shared" si="3"/>
        <v>44227</v>
      </c>
      <c r="B428" s="351">
        <f t="shared" si="3"/>
        <v>1</v>
      </c>
      <c r="C428" s="352">
        <v>3641</v>
      </c>
      <c r="D428" s="340" t="str">
        <f>VLOOKUP(C428,Plan!A:B,2,0)</f>
        <v>Cali Tarjetas de Creditos (249)</v>
      </c>
      <c r="E428" s="341">
        <f t="shared" si="1"/>
        <v>-5081258</v>
      </c>
      <c r="F428" s="353">
        <v>0</v>
      </c>
      <c r="G428" s="353">
        <v>5081258</v>
      </c>
      <c r="H428" s="354" t="str">
        <f t="shared" si="2"/>
        <v>Centralización Recaudación Enero</v>
      </c>
      <c r="I428" s="355" t="s">
        <v>131</v>
      </c>
      <c r="K428" s="370"/>
      <c r="N428" s="370"/>
    </row>
    <row r="429" spans="1:14" s="347" customFormat="1" x14ac:dyDescent="0.25">
      <c r="A429" s="350">
        <f t="shared" si="3"/>
        <v>44227</v>
      </c>
      <c r="B429" s="351">
        <f t="shared" si="3"/>
        <v>1</v>
      </c>
      <c r="C429" s="352">
        <v>1216</v>
      </c>
      <c r="D429" s="340" t="str">
        <f>VLOOKUP(C429,Plan!A:B,2,0)</f>
        <v>Otros Valores Recaudadoras</v>
      </c>
      <c r="E429" s="341">
        <f t="shared" si="1"/>
        <v>419000</v>
      </c>
      <c r="F429" s="353">
        <f>+G423+G424</f>
        <v>419000</v>
      </c>
      <c r="G429" s="353">
        <v>0</v>
      </c>
      <c r="H429" s="354" t="str">
        <f t="shared" si="2"/>
        <v>Centralización Recaudación Enero</v>
      </c>
      <c r="I429" s="355" t="s">
        <v>131</v>
      </c>
      <c r="K429" s="370"/>
      <c r="N429" s="370"/>
    </row>
    <row r="430" spans="1:14" s="347" customFormat="1" x14ac:dyDescent="0.25">
      <c r="A430" s="350">
        <f>+A429</f>
        <v>44227</v>
      </c>
      <c r="B430" s="351">
        <f>+B429</f>
        <v>1</v>
      </c>
      <c r="C430" s="352">
        <v>1217</v>
      </c>
      <c r="D430" s="340" t="str">
        <f>VLOOKUP(C430,Plan!A:B,2,0)</f>
        <v>Otros Valores -Oficina y Transferencias (248)</v>
      </c>
      <c r="E430" s="341">
        <f t="shared" si="1"/>
        <v>909400</v>
      </c>
      <c r="F430" s="353">
        <f>+G425</f>
        <v>909400</v>
      </c>
      <c r="G430" s="353">
        <v>0</v>
      </c>
      <c r="H430" s="354" t="str">
        <f t="shared" si="2"/>
        <v>Centralización Recaudación Enero</v>
      </c>
      <c r="I430" s="355" t="s">
        <v>131</v>
      </c>
      <c r="K430" s="370"/>
      <c r="N430" s="370"/>
    </row>
    <row r="431" spans="1:14" s="347" customFormat="1" x14ac:dyDescent="0.25">
      <c r="A431" s="350">
        <f>+A430</f>
        <v>44227</v>
      </c>
      <c r="B431" s="351">
        <f>+B430</f>
        <v>1</v>
      </c>
      <c r="C431" s="352">
        <v>1222</v>
      </c>
      <c r="D431" s="340" t="str">
        <f>VLOOKUP(C431,Plan!A:B,2,0)</f>
        <v>Otros Valores -Oficina y Transferencias (249)</v>
      </c>
      <c r="E431" s="341">
        <f t="shared" si="1"/>
        <v>2579500</v>
      </c>
      <c r="F431" s="353">
        <f>+G426</f>
        <v>2579500</v>
      </c>
      <c r="G431" s="353">
        <v>0</v>
      </c>
      <c r="H431" s="354" t="str">
        <f t="shared" si="2"/>
        <v>Centralización Recaudación Enero</v>
      </c>
      <c r="I431" s="355" t="s">
        <v>131</v>
      </c>
      <c r="K431" s="370"/>
      <c r="N431" s="370"/>
    </row>
    <row r="432" spans="1:14" s="347" customFormat="1" x14ac:dyDescent="0.25">
      <c r="A432" s="350">
        <f>+A430</f>
        <v>44227</v>
      </c>
      <c r="B432" s="351">
        <f>+B430</f>
        <v>1</v>
      </c>
      <c r="C432" s="352">
        <v>1218</v>
      </c>
      <c r="D432" s="340" t="str">
        <f>VLOOKUP(C432,Plan!A:B,2,0)</f>
        <v>Otros Valores Tarjeta de Credito</v>
      </c>
      <c r="E432" s="341">
        <f t="shared" si="1"/>
        <v>9487858</v>
      </c>
      <c r="F432" s="353">
        <f>+G427+G428</f>
        <v>9487858</v>
      </c>
      <c r="G432" s="353">
        <v>0</v>
      </c>
      <c r="H432" s="354" t="str">
        <f>+H430</f>
        <v>Centralización Recaudación Enero</v>
      </c>
      <c r="I432" s="355" t="s">
        <v>131</v>
      </c>
      <c r="K432" s="370"/>
      <c r="N432" s="370"/>
    </row>
    <row r="433" spans="1:14" s="347" customFormat="1" x14ac:dyDescent="0.25">
      <c r="A433" s="350">
        <f t="shared" ref="A433:B440" si="4">+A432</f>
        <v>44227</v>
      </c>
      <c r="B433" s="351">
        <f t="shared" si="4"/>
        <v>1</v>
      </c>
      <c r="C433" s="352">
        <v>202</v>
      </c>
      <c r="D433" s="340" t="str">
        <f>VLOOKUP(C433,Plan!A:B,2,0)</f>
        <v>Arzobispado por pagar</v>
      </c>
      <c r="E433" s="341">
        <f t="shared" si="1"/>
        <v>-2997799</v>
      </c>
      <c r="F433" s="353">
        <v>0</v>
      </c>
      <c r="G433" s="353">
        <f>+ROUND((((G423+G425+G427)*0.99)*0.88)*0.6,0)</f>
        <v>2997799</v>
      </c>
      <c r="H433" s="354" t="str">
        <f t="shared" ref="H433:H449" si="5">+H432</f>
        <v>Centralización Recaudación Enero</v>
      </c>
      <c r="I433" s="355" t="s">
        <v>131</v>
      </c>
      <c r="K433" s="370"/>
      <c r="N433" s="370"/>
    </row>
    <row r="434" spans="1:14" s="347" customFormat="1" x14ac:dyDescent="0.25">
      <c r="A434" s="350">
        <f t="shared" si="4"/>
        <v>44227</v>
      </c>
      <c r="B434" s="351">
        <f t="shared" si="4"/>
        <v>1</v>
      </c>
      <c r="C434" s="352">
        <v>4120</v>
      </c>
      <c r="D434" s="340" t="str">
        <f>VLOOKUP(C434,Plan!A:B,2,0)</f>
        <v>Aporte Arzobispado</v>
      </c>
      <c r="E434" s="341">
        <f t="shared" si="1"/>
        <v>2997799</v>
      </c>
      <c r="F434" s="353">
        <f>+G433</f>
        <v>2997799</v>
      </c>
      <c r="G434" s="353">
        <v>0</v>
      </c>
      <c r="H434" s="354" t="str">
        <f t="shared" si="5"/>
        <v>Centralización Recaudación Enero</v>
      </c>
      <c r="I434" s="355" t="s">
        <v>131</v>
      </c>
      <c r="K434" s="370"/>
      <c r="N434" s="370"/>
    </row>
    <row r="435" spans="1:14" s="347" customFormat="1" x14ac:dyDescent="0.25">
      <c r="A435" s="350">
        <f t="shared" si="4"/>
        <v>44227</v>
      </c>
      <c r="B435" s="351">
        <f t="shared" si="4"/>
        <v>1</v>
      </c>
      <c r="C435" s="352">
        <v>203</v>
      </c>
      <c r="D435" s="340" t="str">
        <f>VLOOKUP(C435,Plan!A:B,2,0)</f>
        <v>Recaudadoras por pagar</v>
      </c>
      <c r="E435" s="341">
        <f t="shared" si="1"/>
        <v>-50280</v>
      </c>
      <c r="F435" s="353">
        <v>0</v>
      </c>
      <c r="G435" s="356">
        <f>+F429*0.12</f>
        <v>50280</v>
      </c>
      <c r="H435" s="354" t="str">
        <f t="shared" si="5"/>
        <v>Centralización Recaudación Enero</v>
      </c>
      <c r="I435" s="355" t="s">
        <v>131</v>
      </c>
      <c r="K435" s="370"/>
      <c r="N435" s="370"/>
    </row>
    <row r="436" spans="1:14" s="347" customFormat="1" x14ac:dyDescent="0.25">
      <c r="A436" s="350">
        <f t="shared" si="4"/>
        <v>44227</v>
      </c>
      <c r="B436" s="351">
        <f t="shared" si="4"/>
        <v>1</v>
      </c>
      <c r="C436" s="352">
        <v>201</v>
      </c>
      <c r="D436" s="340" t="str">
        <f>VLOOKUP(C436,Plan!A:B,2,0)</f>
        <v>1% por pagar</v>
      </c>
      <c r="E436" s="341">
        <f t="shared" si="1"/>
        <v>-133958</v>
      </c>
      <c r="F436" s="353">
        <v>0</v>
      </c>
      <c r="G436" s="356">
        <f>ROUND(SUM(G423:G428)*0.01,0)</f>
        <v>133958</v>
      </c>
      <c r="H436" s="354" t="str">
        <f t="shared" si="5"/>
        <v>Centralización Recaudación Enero</v>
      </c>
      <c r="I436" s="355" t="s">
        <v>131</v>
      </c>
      <c r="K436" s="370"/>
      <c r="N436" s="370"/>
    </row>
    <row r="437" spans="1:14" s="347" customFormat="1" x14ac:dyDescent="0.25">
      <c r="A437" s="350">
        <f t="shared" si="4"/>
        <v>44227</v>
      </c>
      <c r="B437" s="351">
        <f t="shared" si="4"/>
        <v>1</v>
      </c>
      <c r="C437" s="352">
        <v>4140</v>
      </c>
      <c r="D437" s="340" t="str">
        <f>VLOOKUP(C437,Plan!A:B,2,0)</f>
        <v>Comisiones Cali Recaudadores</v>
      </c>
      <c r="E437" s="341">
        <f t="shared" si="1"/>
        <v>50280</v>
      </c>
      <c r="F437" s="353">
        <f>+G435</f>
        <v>50280</v>
      </c>
      <c r="G437" s="353">
        <v>0</v>
      </c>
      <c r="H437" s="354" t="str">
        <f t="shared" si="5"/>
        <v>Centralización Recaudación Enero</v>
      </c>
      <c r="I437" s="355" t="s">
        <v>131</v>
      </c>
      <c r="K437" s="370"/>
      <c r="N437" s="370"/>
    </row>
    <row r="438" spans="1:14" s="347" customFormat="1" x14ac:dyDescent="0.25">
      <c r="A438" s="350">
        <f t="shared" si="4"/>
        <v>44227</v>
      </c>
      <c r="B438" s="351">
        <f t="shared" si="4"/>
        <v>1</v>
      </c>
      <c r="C438" s="352">
        <v>4110</v>
      </c>
      <c r="D438" s="340" t="str">
        <f>VLOOKUP(C438,Plan!A:B,2,0)</f>
        <v>Aporte Papal</v>
      </c>
      <c r="E438" s="341">
        <f t="shared" si="1"/>
        <v>133958</v>
      </c>
      <c r="F438" s="353">
        <f>+G436</f>
        <v>133958</v>
      </c>
      <c r="G438" s="353">
        <v>0</v>
      </c>
      <c r="H438" s="354" t="str">
        <f t="shared" si="5"/>
        <v>Centralización Recaudación Enero</v>
      </c>
      <c r="I438" s="355" t="s">
        <v>131</v>
      </c>
      <c r="K438" s="370"/>
      <c r="N438" s="370"/>
    </row>
    <row r="439" spans="1:14" s="347" customFormat="1" x14ac:dyDescent="0.25">
      <c r="A439" s="350">
        <f t="shared" si="4"/>
        <v>44227</v>
      </c>
      <c r="B439" s="351">
        <f t="shared" si="4"/>
        <v>1</v>
      </c>
      <c r="C439" s="352">
        <v>3610</v>
      </c>
      <c r="D439" s="340" t="str">
        <f>VLOOKUP(C439,Plan!A:B,2,0)</f>
        <v>Cali  Arzobispado</v>
      </c>
      <c r="E439" s="341">
        <f t="shared" si="1"/>
        <v>-6283561</v>
      </c>
      <c r="F439" s="353">
        <v>0</v>
      </c>
      <c r="G439" s="353">
        <v>6283561</v>
      </c>
      <c r="H439" s="354" t="str">
        <f t="shared" si="5"/>
        <v>Centralización Recaudación Enero</v>
      </c>
      <c r="I439" s="355" t="s">
        <v>131</v>
      </c>
      <c r="K439" s="370"/>
      <c r="N439" s="370"/>
    </row>
    <row r="440" spans="1:14" s="347" customFormat="1" x14ac:dyDescent="0.25">
      <c r="A440" s="350">
        <f t="shared" si="4"/>
        <v>44227</v>
      </c>
      <c r="B440" s="351">
        <f t="shared" si="4"/>
        <v>1</v>
      </c>
      <c r="C440" s="352">
        <v>3611</v>
      </c>
      <c r="D440" s="340" t="str">
        <f>VLOOKUP(C440,Plan!A:B,2,0)</f>
        <v>Cali  Arzobispado (249)</v>
      </c>
      <c r="E440" s="341">
        <f t="shared" si="1"/>
        <v>-2006500</v>
      </c>
      <c r="F440" s="353">
        <v>0</v>
      </c>
      <c r="G440" s="353">
        <v>2006500</v>
      </c>
      <c r="H440" s="354" t="str">
        <f t="shared" si="5"/>
        <v>Centralización Recaudación Enero</v>
      </c>
      <c r="I440" s="355" t="s">
        <v>131</v>
      </c>
      <c r="K440" s="370"/>
      <c r="N440" s="370"/>
    </row>
    <row r="441" spans="1:14" s="347" customFormat="1" x14ac:dyDescent="0.25">
      <c r="A441" s="350">
        <f t="shared" ref="A441:B443" si="6">+A439</f>
        <v>44227</v>
      </c>
      <c r="B441" s="351">
        <f t="shared" si="6"/>
        <v>1</v>
      </c>
      <c r="C441" s="352">
        <v>4160</v>
      </c>
      <c r="D441" s="340" t="str">
        <f>VLOOKUP(C441,Plan!A:B,2,0)</f>
        <v>Comisiones Cali Arzobispado</v>
      </c>
      <c r="E441" s="341">
        <f t="shared" si="1"/>
        <v>421393</v>
      </c>
      <c r="F441" s="353">
        <v>421393</v>
      </c>
      <c r="G441" s="353">
        <v>0</v>
      </c>
      <c r="H441" s="354" t="str">
        <f t="shared" si="5"/>
        <v>Centralización Recaudación Enero</v>
      </c>
      <c r="I441" s="355" t="s">
        <v>131</v>
      </c>
      <c r="K441" s="370"/>
      <c r="N441" s="370"/>
    </row>
    <row r="442" spans="1:14" s="347" customFormat="1" x14ac:dyDescent="0.25">
      <c r="A442" s="350">
        <f t="shared" si="6"/>
        <v>44227</v>
      </c>
      <c r="B442" s="351">
        <f t="shared" si="6"/>
        <v>1</v>
      </c>
      <c r="C442" s="352">
        <v>4160</v>
      </c>
      <c r="D442" s="340" t="str">
        <f>VLOOKUP(C442,Plan!A:B,2,0)</f>
        <v>Comisiones Cali Arzobispado</v>
      </c>
      <c r="E442" s="341">
        <f t="shared" si="1"/>
        <v>50163</v>
      </c>
      <c r="F442" s="353">
        <v>50163</v>
      </c>
      <c r="G442" s="353">
        <v>0</v>
      </c>
      <c r="H442" s="354" t="str">
        <f t="shared" si="5"/>
        <v>Centralización Recaudación Enero</v>
      </c>
      <c r="I442" s="355" t="s">
        <v>131</v>
      </c>
      <c r="K442" s="370"/>
      <c r="N442" s="370"/>
    </row>
    <row r="443" spans="1:14" s="347" customFormat="1" x14ac:dyDescent="0.25">
      <c r="A443" s="350">
        <f t="shared" si="6"/>
        <v>44227</v>
      </c>
      <c r="B443" s="351">
        <f t="shared" si="6"/>
        <v>1</v>
      </c>
      <c r="C443" s="352">
        <v>4120</v>
      </c>
      <c r="D443" s="340" t="str">
        <f>VLOOKUP(C443,Plan!A:B,2,0)</f>
        <v>Aporte Arzobispado</v>
      </c>
      <c r="E443" s="341">
        <f t="shared" si="1"/>
        <v>3479599</v>
      </c>
      <c r="F443" s="353">
        <f>ROUND((+G439-F441-F444)*0.6,0)</f>
        <v>3479599</v>
      </c>
      <c r="G443" s="353">
        <v>0</v>
      </c>
      <c r="H443" s="354" t="str">
        <f t="shared" si="5"/>
        <v>Centralización Recaudación Enero</v>
      </c>
      <c r="I443" s="355" t="s">
        <v>131</v>
      </c>
      <c r="K443" s="370"/>
      <c r="N443" s="370"/>
    </row>
    <row r="444" spans="1:14" s="347" customFormat="1" x14ac:dyDescent="0.25">
      <c r="A444" s="350">
        <f>+A443</f>
        <v>44227</v>
      </c>
      <c r="B444" s="351">
        <f>+B443</f>
        <v>1</v>
      </c>
      <c r="C444" s="352">
        <v>4110</v>
      </c>
      <c r="D444" s="340" t="str">
        <f>VLOOKUP(C444,Plan!A:B,2,0)</f>
        <v>Aporte Papal</v>
      </c>
      <c r="E444" s="341">
        <f t="shared" si="1"/>
        <v>62836</v>
      </c>
      <c r="F444" s="353">
        <f>ROUND((+G439)*0.01,0)</f>
        <v>62836</v>
      </c>
      <c r="G444" s="353">
        <v>0</v>
      </c>
      <c r="H444" s="354" t="str">
        <f t="shared" si="5"/>
        <v>Centralización Recaudación Enero</v>
      </c>
      <c r="I444" s="355" t="s">
        <v>131</v>
      </c>
      <c r="K444" s="370"/>
      <c r="N444" s="370"/>
    </row>
    <row r="445" spans="1:14" s="347" customFormat="1" x14ac:dyDescent="0.25">
      <c r="A445" s="350">
        <f>+A444</f>
        <v>44227</v>
      </c>
      <c r="B445" s="351">
        <f>+B444</f>
        <v>1</v>
      </c>
      <c r="C445" s="352">
        <v>4110</v>
      </c>
      <c r="D445" s="340" t="str">
        <f>VLOOKUP(C445,Plan!A:B,2,0)</f>
        <v>Aporte Papal</v>
      </c>
      <c r="E445" s="341">
        <f t="shared" si="1"/>
        <v>20065</v>
      </c>
      <c r="F445" s="353">
        <f>(+G440)*0.01</f>
        <v>20065</v>
      </c>
      <c r="G445" s="353">
        <v>0</v>
      </c>
      <c r="H445" s="354" t="str">
        <f t="shared" si="5"/>
        <v>Centralización Recaudación Enero</v>
      </c>
      <c r="I445" s="355" t="s">
        <v>131</v>
      </c>
      <c r="K445" s="370"/>
      <c r="N445" s="370"/>
    </row>
    <row r="446" spans="1:14" s="347" customFormat="1" x14ac:dyDescent="0.25">
      <c r="A446" s="350">
        <f>+A444</f>
        <v>44227</v>
      </c>
      <c r="B446" s="351">
        <f>+B444</f>
        <v>1</v>
      </c>
      <c r="C446" s="352">
        <v>1219</v>
      </c>
      <c r="D446" s="340" t="str">
        <f>VLOOKUP(C446,Plan!A:B,2,0)</f>
        <v>Otros Valores Arzobispado (248)</v>
      </c>
      <c r="E446" s="341">
        <f t="shared" si="1"/>
        <v>2319733</v>
      </c>
      <c r="F446" s="353">
        <f>+G439-F441-F443-F444</f>
        <v>2319733</v>
      </c>
      <c r="G446" s="353">
        <v>0</v>
      </c>
      <c r="H446" s="354" t="str">
        <f t="shared" si="5"/>
        <v>Centralización Recaudación Enero</v>
      </c>
      <c r="I446" s="355" t="s">
        <v>131</v>
      </c>
      <c r="K446" s="370"/>
      <c r="N446" s="370"/>
    </row>
    <row r="447" spans="1:14" s="347" customFormat="1" x14ac:dyDescent="0.25">
      <c r="A447" s="350">
        <f>+A446</f>
        <v>44227</v>
      </c>
      <c r="B447" s="351">
        <f>+B446</f>
        <v>1</v>
      </c>
      <c r="C447" s="352">
        <v>1220</v>
      </c>
      <c r="D447" s="340" t="str">
        <f>VLOOKUP(C447,Plan!A:B,2,0)</f>
        <v>Otros Valores Arzobispado (249)</v>
      </c>
      <c r="E447" s="341">
        <f t="shared" si="1"/>
        <v>1936272</v>
      </c>
      <c r="F447" s="353">
        <f>+G440-F442-F445</f>
        <v>1936272</v>
      </c>
      <c r="G447" s="353">
        <v>0</v>
      </c>
      <c r="H447" s="354" t="str">
        <f t="shared" si="5"/>
        <v>Centralización Recaudación Enero</v>
      </c>
      <c r="I447" s="355" t="s">
        <v>131</v>
      </c>
      <c r="K447" s="370"/>
      <c r="N447" s="370"/>
    </row>
    <row r="448" spans="1:14" s="347" customFormat="1" x14ac:dyDescent="0.25">
      <c r="A448" s="350">
        <f>+A446</f>
        <v>44227</v>
      </c>
      <c r="B448" s="351">
        <f>+B446</f>
        <v>1</v>
      </c>
      <c r="C448" s="352">
        <v>1218</v>
      </c>
      <c r="D448" s="340" t="str">
        <f>VLOOKUP(C448,Plan!A:B,2,0)</f>
        <v>Otros Valores Tarjeta de Credito</v>
      </c>
      <c r="E448" s="341">
        <f t="shared" si="1"/>
        <v>-112906</v>
      </c>
      <c r="F448" s="353">
        <f>+G441+G443</f>
        <v>0</v>
      </c>
      <c r="G448" s="353">
        <f>+F449</f>
        <v>112906</v>
      </c>
      <c r="H448" s="354" t="str">
        <f t="shared" si="5"/>
        <v>Centralización Recaudación Enero</v>
      </c>
      <c r="I448" s="355" t="s">
        <v>131</v>
      </c>
      <c r="K448" s="370"/>
      <c r="N448" s="370"/>
    </row>
    <row r="449" spans="1:14" s="347" customFormat="1" x14ac:dyDescent="0.25">
      <c r="A449" s="350">
        <f>+A446</f>
        <v>44227</v>
      </c>
      <c r="B449" s="351">
        <f>+B446</f>
        <v>1</v>
      </c>
      <c r="C449" s="352">
        <v>4150</v>
      </c>
      <c r="D449" s="340" t="str">
        <f>VLOOKUP(C449,Plan!A:B,2,0)</f>
        <v>Comisiones Cali Tarjetas de Creditos</v>
      </c>
      <c r="E449" s="341">
        <f t="shared" si="1"/>
        <v>112906</v>
      </c>
      <c r="F449" s="353">
        <f>ROUND(+(G428+G427)*(1-0.9881),0)</f>
        <v>112906</v>
      </c>
      <c r="G449" s="353">
        <v>0</v>
      </c>
      <c r="H449" s="354" t="str">
        <f t="shared" si="5"/>
        <v>Centralización Recaudación Enero</v>
      </c>
      <c r="I449" s="355" t="s">
        <v>131</v>
      </c>
      <c r="K449" s="370"/>
      <c r="N449" s="370"/>
    </row>
    <row r="450" spans="1:14" s="347" customFormat="1" x14ac:dyDescent="0.25">
      <c r="A450" s="369"/>
      <c r="D450" s="340"/>
      <c r="E450" s="396"/>
      <c r="F450" s="396"/>
      <c r="G450" s="396"/>
      <c r="K450" s="370"/>
      <c r="N450" s="370"/>
    </row>
    <row r="451" spans="1:14" s="347" customFormat="1" x14ac:dyDescent="0.25">
      <c r="A451" s="402">
        <f>+A448</f>
        <v>44227</v>
      </c>
      <c r="B451" s="403">
        <f>+B448</f>
        <v>1</v>
      </c>
      <c r="C451" s="404">
        <v>1130</v>
      </c>
      <c r="D451" s="340" t="str">
        <f>VLOOKUP(C451,Plan!A:B,2,0)</f>
        <v>Disponible Ch. Fecha</v>
      </c>
      <c r="E451" s="341">
        <f>+F451-G451</f>
        <v>20000</v>
      </c>
      <c r="F451" s="346">
        <v>20000</v>
      </c>
      <c r="G451" s="346">
        <v>0</v>
      </c>
      <c r="H451" s="404" t="s">
        <v>553</v>
      </c>
      <c r="I451" s="403" t="s">
        <v>131</v>
      </c>
      <c r="K451" s="370"/>
      <c r="N451" s="370"/>
    </row>
    <row r="452" spans="1:14" s="347" customFormat="1" x14ac:dyDescent="0.25">
      <c r="A452" s="402">
        <f>+A451</f>
        <v>44227</v>
      </c>
      <c r="B452" s="403">
        <f>+B451</f>
        <v>1</v>
      </c>
      <c r="C452" s="404">
        <v>1216</v>
      </c>
      <c r="D452" s="340" t="str">
        <f>VLOOKUP(C452,Plan!A:B,2,0)</f>
        <v>Otros Valores Recaudadoras</v>
      </c>
      <c r="E452" s="341">
        <f>+F452-G452</f>
        <v>-20000</v>
      </c>
      <c r="F452" s="346">
        <v>0</v>
      </c>
      <c r="G452" s="346">
        <f>+F451</f>
        <v>20000</v>
      </c>
      <c r="H452" s="404" t="s">
        <v>553</v>
      </c>
      <c r="I452" s="403" t="s">
        <v>131</v>
      </c>
      <c r="K452" s="370"/>
      <c r="N452" s="370"/>
    </row>
    <row r="453" spans="1:14" s="347" customFormat="1" x14ac:dyDescent="0.25">
      <c r="A453" s="369"/>
      <c r="D453" s="340"/>
      <c r="E453" s="396"/>
      <c r="F453" s="396"/>
      <c r="G453" s="396"/>
      <c r="K453" s="370"/>
      <c r="N453" s="370"/>
    </row>
    <row r="454" spans="1:14" s="347" customFormat="1" x14ac:dyDescent="0.25">
      <c r="A454" s="402">
        <f>+A433</f>
        <v>44227</v>
      </c>
      <c r="B454" s="403">
        <f>+B433</f>
        <v>1</v>
      </c>
      <c r="C454" s="338">
        <v>125</v>
      </c>
      <c r="D454" s="340" t="str">
        <f>VLOOKUP(C454,Plan!A:B,2,0)</f>
        <v>Depósito a plazo Cali</v>
      </c>
      <c r="E454" s="341">
        <f>+F454-G454</f>
        <v>0</v>
      </c>
      <c r="F454" s="346">
        <v>0</v>
      </c>
      <c r="G454" s="346">
        <v>0</v>
      </c>
      <c r="H454" s="343" t="s">
        <v>858</v>
      </c>
      <c r="I454" s="340" t="s">
        <v>131</v>
      </c>
      <c r="K454" s="370"/>
      <c r="N454" s="370"/>
    </row>
    <row r="455" spans="1:14" s="347" customFormat="1" x14ac:dyDescent="0.25">
      <c r="A455" s="402">
        <f>+A454</f>
        <v>44227</v>
      </c>
      <c r="B455" s="403">
        <f>+B454</f>
        <v>1</v>
      </c>
      <c r="C455" s="338">
        <v>6002</v>
      </c>
      <c r="D455" s="340" t="str">
        <f>VLOOKUP(C455,Plan!A:B,2,0)</f>
        <v>Intereses Financieros Cali</v>
      </c>
      <c r="E455" s="341">
        <f>+F455-G455</f>
        <v>0</v>
      </c>
      <c r="F455" s="346">
        <v>0</v>
      </c>
      <c r="G455" s="346">
        <f>+F454</f>
        <v>0</v>
      </c>
      <c r="H455" s="338" t="s">
        <v>858</v>
      </c>
      <c r="I455" s="340" t="s">
        <v>131</v>
      </c>
      <c r="K455" s="370"/>
      <c r="N455" s="370"/>
    </row>
    <row r="456" spans="1:14" s="347" customFormat="1" x14ac:dyDescent="0.25">
      <c r="A456" s="339"/>
      <c r="B456" s="340"/>
      <c r="C456" s="338"/>
      <c r="D456" s="340"/>
      <c r="E456" s="396"/>
      <c r="F456" s="396"/>
      <c r="G456" s="396"/>
      <c r="H456" s="338"/>
      <c r="I456" s="340"/>
      <c r="K456" s="370"/>
      <c r="N456" s="370"/>
    </row>
    <row r="457" spans="1:14" s="347" customFormat="1" x14ac:dyDescent="0.25">
      <c r="A457" s="402">
        <f>+A454</f>
        <v>44227</v>
      </c>
      <c r="B457" s="403">
        <f>+B454</f>
        <v>1</v>
      </c>
      <c r="C457" s="338">
        <v>118</v>
      </c>
      <c r="D457" s="340" t="str">
        <f>VLOOKUP(C457,Plan!A:B,2,0)</f>
        <v>Depósito a plazo Cali Banco Security</v>
      </c>
      <c r="E457" s="341">
        <f>+F457-G457</f>
        <v>0</v>
      </c>
      <c r="F457" s="346">
        <v>0</v>
      </c>
      <c r="G457" s="346">
        <v>0</v>
      </c>
      <c r="H457" s="343" t="s">
        <v>859</v>
      </c>
      <c r="I457" s="340" t="s">
        <v>131</v>
      </c>
      <c r="K457" s="370"/>
      <c r="N457" s="370"/>
    </row>
    <row r="458" spans="1:14" s="347" customFormat="1" x14ac:dyDescent="0.25">
      <c r="A458" s="402">
        <f>+A457</f>
        <v>44227</v>
      </c>
      <c r="B458" s="403">
        <f>+B457</f>
        <v>1</v>
      </c>
      <c r="C458" s="338">
        <v>6002</v>
      </c>
      <c r="D458" s="340" t="str">
        <f>VLOOKUP(C458,Plan!A:B,2,0)</f>
        <v>Intereses Financieros Cali</v>
      </c>
      <c r="E458" s="341">
        <f>+F458-G458</f>
        <v>0</v>
      </c>
      <c r="F458" s="346">
        <v>0</v>
      </c>
      <c r="G458" s="346">
        <f>+F457</f>
        <v>0</v>
      </c>
      <c r="H458" s="338" t="s">
        <v>859</v>
      </c>
      <c r="I458" s="340" t="s">
        <v>131</v>
      </c>
      <c r="K458" s="370"/>
      <c r="N458" s="370"/>
    </row>
    <row r="459" spans="1:14" s="347" customFormat="1" x14ac:dyDescent="0.25">
      <c r="A459" s="339"/>
      <c r="B459" s="340"/>
      <c r="C459" s="338"/>
      <c r="D459" s="340"/>
      <c r="E459" s="396"/>
      <c r="F459" s="396"/>
      <c r="G459" s="396"/>
      <c r="H459" s="338"/>
      <c r="I459" s="340"/>
      <c r="K459" s="370"/>
      <c r="N459" s="370"/>
    </row>
    <row r="460" spans="1:14" s="347" customFormat="1" x14ac:dyDescent="0.25">
      <c r="A460" s="402">
        <f>+A457</f>
        <v>44227</v>
      </c>
      <c r="B460" s="403">
        <f>+B457</f>
        <v>1</v>
      </c>
      <c r="C460" s="338">
        <v>119</v>
      </c>
      <c r="D460" s="340" t="str">
        <f>VLOOKUP(C460,Plan!A:B,2,0)</f>
        <v>FM Cali Banco Security</v>
      </c>
      <c r="E460" s="341">
        <f>+F460-G460</f>
        <v>10507</v>
      </c>
      <c r="F460" s="346">
        <v>10507</v>
      </c>
      <c r="G460" s="346">
        <v>0</v>
      </c>
      <c r="H460" s="343" t="s">
        <v>554</v>
      </c>
      <c r="I460" s="340" t="s">
        <v>131</v>
      </c>
      <c r="K460" s="370"/>
      <c r="N460" s="370"/>
    </row>
    <row r="461" spans="1:14" s="347" customFormat="1" x14ac:dyDescent="0.25">
      <c r="A461" s="402">
        <f>+A460</f>
        <v>44227</v>
      </c>
      <c r="B461" s="403">
        <f>+B460</f>
        <v>1</v>
      </c>
      <c r="C461" s="338">
        <v>6002</v>
      </c>
      <c r="D461" s="340" t="str">
        <f>VLOOKUP(C461,Plan!A:B,2,0)</f>
        <v>Intereses Financieros Cali</v>
      </c>
      <c r="E461" s="341">
        <f>+F461-G461</f>
        <v>-10507</v>
      </c>
      <c r="F461" s="346">
        <v>0</v>
      </c>
      <c r="G461" s="346">
        <f>+F460</f>
        <v>10507</v>
      </c>
      <c r="H461" s="338" t="s">
        <v>554</v>
      </c>
      <c r="I461" s="340" t="s">
        <v>131</v>
      </c>
      <c r="K461" s="370"/>
      <c r="N461" s="370"/>
    </row>
    <row r="462" spans="1:14" s="347" customFormat="1" x14ac:dyDescent="0.25">
      <c r="A462" s="369"/>
      <c r="D462" s="340"/>
      <c r="E462" s="396"/>
      <c r="F462" s="396"/>
      <c r="G462" s="396"/>
      <c r="K462" s="370"/>
      <c r="N462" s="370"/>
    </row>
    <row r="463" spans="1:14" s="347" customFormat="1" x14ac:dyDescent="0.25">
      <c r="A463" s="402">
        <v>44202</v>
      </c>
      <c r="B463" s="403">
        <f>+B460</f>
        <v>1</v>
      </c>
      <c r="C463" s="338">
        <v>4170</v>
      </c>
      <c r="D463" s="340" t="str">
        <f>VLOOKUP(C463,Plan!A:B,2,0)</f>
        <v>Cali otros</v>
      </c>
      <c r="E463" s="341">
        <f>+F463-G463</f>
        <v>3113</v>
      </c>
      <c r="F463" s="346">
        <v>3113</v>
      </c>
      <c r="G463" s="346">
        <v>0</v>
      </c>
      <c r="H463" s="338" t="s">
        <v>860</v>
      </c>
      <c r="I463" s="401" t="s">
        <v>131</v>
      </c>
      <c r="K463" s="370"/>
      <c r="N463" s="370"/>
    </row>
    <row r="464" spans="1:14" s="347" customFormat="1" x14ac:dyDescent="0.25">
      <c r="A464" s="402">
        <f>+A463</f>
        <v>44202</v>
      </c>
      <c r="B464" s="403">
        <f>+B463</f>
        <v>1</v>
      </c>
      <c r="C464" s="338">
        <v>116</v>
      </c>
      <c r="D464" s="340" t="str">
        <f>VLOOKUP(C464,Plan!A:B,2,0)</f>
        <v>Disponible CALI Security</v>
      </c>
      <c r="E464" s="341">
        <f>+F464-G464</f>
        <v>-3113</v>
      </c>
      <c r="F464" s="346">
        <v>0</v>
      </c>
      <c r="G464" s="346">
        <f>+F463</f>
        <v>3113</v>
      </c>
      <c r="H464" s="338" t="s">
        <v>860</v>
      </c>
      <c r="I464" s="401" t="s">
        <v>131</v>
      </c>
      <c r="K464" s="370"/>
      <c r="N464" s="370"/>
    </row>
    <row r="465" spans="1:14" s="347" customFormat="1" x14ac:dyDescent="0.25">
      <c r="A465" s="369"/>
      <c r="D465" s="340"/>
      <c r="E465" s="396"/>
      <c r="F465" s="396"/>
      <c r="G465" s="396"/>
      <c r="K465" s="370"/>
      <c r="N465" s="370"/>
    </row>
    <row r="466" spans="1:14" s="347" customFormat="1" x14ac:dyDescent="0.25">
      <c r="A466" s="339">
        <v>44209</v>
      </c>
      <c r="B466" s="340">
        <v>1</v>
      </c>
      <c r="C466" s="338">
        <v>116</v>
      </c>
      <c r="D466" s="340" t="str">
        <f>VLOOKUP(C466,Plan!A:B,2,0)</f>
        <v>Disponible CALI Security</v>
      </c>
      <c r="E466" s="341">
        <f>+F466-G466</f>
        <v>50000000</v>
      </c>
      <c r="F466" s="405">
        <v>50000000</v>
      </c>
      <c r="G466" s="346">
        <v>0</v>
      </c>
      <c r="H466" s="404" t="s">
        <v>633</v>
      </c>
      <c r="I466" s="403" t="s">
        <v>131</v>
      </c>
      <c r="K466" s="370"/>
      <c r="N466" s="370"/>
    </row>
    <row r="467" spans="1:14" s="347" customFormat="1" x14ac:dyDescent="0.25">
      <c r="A467" s="339">
        <f>+A466</f>
        <v>44209</v>
      </c>
      <c r="B467" s="340">
        <f>+B466</f>
        <v>1</v>
      </c>
      <c r="C467" s="338">
        <v>119</v>
      </c>
      <c r="D467" s="340" t="str">
        <f>VLOOKUP(C467,Plan!A:B,2,0)</f>
        <v>FM Cali Banco Security</v>
      </c>
      <c r="E467" s="341">
        <f>+F467-G467</f>
        <v>-50000000</v>
      </c>
      <c r="F467" s="405">
        <v>0</v>
      </c>
      <c r="G467" s="346">
        <f>+F466</f>
        <v>50000000</v>
      </c>
      <c r="H467" s="404" t="s">
        <v>633</v>
      </c>
      <c r="I467" s="403" t="s">
        <v>131</v>
      </c>
      <c r="K467" s="370"/>
      <c r="N467" s="370"/>
    </row>
    <row r="468" spans="1:14" s="347" customFormat="1" x14ac:dyDescent="0.25">
      <c r="A468" s="339"/>
      <c r="B468" s="340"/>
      <c r="C468" s="338"/>
      <c r="D468" s="340"/>
      <c r="E468" s="341"/>
      <c r="F468" s="345"/>
      <c r="G468" s="345"/>
      <c r="H468" s="338"/>
      <c r="I468" s="340"/>
      <c r="K468" s="370"/>
      <c r="N468" s="370"/>
    </row>
    <row r="469" spans="1:14" s="347" customFormat="1" x14ac:dyDescent="0.25">
      <c r="A469" s="339">
        <v>44209</v>
      </c>
      <c r="B469" s="340">
        <v>1</v>
      </c>
      <c r="C469" s="338">
        <v>116</v>
      </c>
      <c r="D469" s="340" t="str">
        <f>VLOOKUP(C469,Plan!A:B,2,0)</f>
        <v>Disponible CALI Security</v>
      </c>
      <c r="E469" s="341">
        <f>+F469-G469</f>
        <v>85000000</v>
      </c>
      <c r="F469" s="405">
        <v>85000000</v>
      </c>
      <c r="G469" s="346">
        <v>0</v>
      </c>
      <c r="H469" s="404" t="s">
        <v>633</v>
      </c>
      <c r="I469" s="403" t="s">
        <v>131</v>
      </c>
      <c r="K469" s="370"/>
      <c r="N469" s="370"/>
    </row>
    <row r="470" spans="1:14" s="347" customFormat="1" x14ac:dyDescent="0.25">
      <c r="A470" s="339">
        <f>+A469</f>
        <v>44209</v>
      </c>
      <c r="B470" s="340">
        <f>+B469</f>
        <v>1</v>
      </c>
      <c r="C470" s="338">
        <v>119</v>
      </c>
      <c r="D470" s="340" t="str">
        <f>VLOOKUP(C470,Plan!A:B,2,0)</f>
        <v>FM Cali Banco Security</v>
      </c>
      <c r="E470" s="341">
        <f>+F470-G470</f>
        <v>-85000000</v>
      </c>
      <c r="F470" s="405">
        <v>0</v>
      </c>
      <c r="G470" s="346">
        <f>+F469</f>
        <v>85000000</v>
      </c>
      <c r="H470" s="404" t="s">
        <v>633</v>
      </c>
      <c r="I470" s="403" t="s">
        <v>131</v>
      </c>
      <c r="K470" s="370"/>
      <c r="N470" s="370"/>
    </row>
    <row r="471" spans="1:14" s="347" customFormat="1" x14ac:dyDescent="0.25">
      <c r="A471" s="339"/>
      <c r="B471" s="340"/>
      <c r="C471" s="338"/>
      <c r="D471" s="340"/>
      <c r="E471" s="341"/>
      <c r="F471" s="345"/>
      <c r="G471" s="345"/>
      <c r="H471" s="338"/>
      <c r="I471" s="340"/>
      <c r="K471" s="370"/>
      <c r="N471" s="370"/>
    </row>
    <row r="472" spans="1:14" s="347" customFormat="1" x14ac:dyDescent="0.25">
      <c r="A472" s="339">
        <v>44210</v>
      </c>
      <c r="B472" s="340">
        <v>1</v>
      </c>
      <c r="C472" s="338">
        <v>228</v>
      </c>
      <c r="D472" s="340" t="str">
        <f>VLOOKUP(C472,Plan!A:B,2,0)</f>
        <v>Proveedores CALI</v>
      </c>
      <c r="E472" s="341">
        <f>+F472-G472</f>
        <v>550938</v>
      </c>
      <c r="F472" s="405">
        <v>550938</v>
      </c>
      <c r="G472" s="346">
        <v>0</v>
      </c>
      <c r="H472" s="404" t="s">
        <v>861</v>
      </c>
      <c r="I472" s="403" t="s">
        <v>131</v>
      </c>
      <c r="J472" t="s">
        <v>870</v>
      </c>
      <c r="K472" t="s">
        <v>871</v>
      </c>
      <c r="L472">
        <v>23412621</v>
      </c>
      <c r="M472" s="343" t="s">
        <v>616</v>
      </c>
      <c r="N472" t="str">
        <f>IF(M472&lt;&gt;"",VLOOKUP(M472,[1]Plan!F$1:G$65536,2,0),"")</f>
        <v>Proyecto Electrico</v>
      </c>
    </row>
    <row r="473" spans="1:14" s="347" customFormat="1" x14ac:dyDescent="0.25">
      <c r="A473" s="339">
        <f>+A472</f>
        <v>44210</v>
      </c>
      <c r="B473" s="340">
        <f>+B472</f>
        <v>1</v>
      </c>
      <c r="C473" s="338">
        <v>116</v>
      </c>
      <c r="D473" s="340" t="str">
        <f>VLOOKUP(C473,Plan!A:B,2,0)</f>
        <v>Disponible CALI Security</v>
      </c>
      <c r="E473" s="341">
        <f>+F473-G473</f>
        <v>-550938</v>
      </c>
      <c r="F473" s="405">
        <v>0</v>
      </c>
      <c r="G473" s="346">
        <f>+F472</f>
        <v>550938</v>
      </c>
      <c r="H473" s="404" t="str">
        <f>+H472</f>
        <v>DyF Proy.yMontajes Electricos</v>
      </c>
      <c r="I473" s="403" t="s">
        <v>131</v>
      </c>
      <c r="K473" s="370"/>
      <c r="N473" s="370"/>
    </row>
    <row r="474" spans="1:14" s="347" customFormat="1" x14ac:dyDescent="0.25">
      <c r="A474" s="369"/>
      <c r="D474" s="340"/>
      <c r="E474" s="396"/>
      <c r="F474" s="396"/>
      <c r="G474" s="396"/>
      <c r="K474" s="370"/>
      <c r="N474" s="370"/>
    </row>
    <row r="475" spans="1:14" s="347" customFormat="1" x14ac:dyDescent="0.25">
      <c r="A475" s="339">
        <v>44210</v>
      </c>
      <c r="B475" s="340">
        <v>1</v>
      </c>
      <c r="C475">
        <v>1362</v>
      </c>
      <c r="D475" s="340" t="str">
        <f>VLOOKUP(C475,Plan!A:B,2,0)</f>
        <v>Contribuciones</v>
      </c>
      <c r="E475" s="341">
        <f>+F475-G475</f>
        <v>2440824</v>
      </c>
      <c r="F475" s="289">
        <v>2440824</v>
      </c>
      <c r="G475" s="346">
        <v>0</v>
      </c>
      <c r="H475" s="406" t="s">
        <v>862</v>
      </c>
      <c r="I475" s="407" t="s">
        <v>131</v>
      </c>
      <c r="K475" s="370"/>
      <c r="M475" s="343"/>
      <c r="N475"/>
    </row>
    <row r="476" spans="1:14" s="347" customFormat="1" x14ac:dyDescent="0.25">
      <c r="A476" s="152">
        <f>+A475</f>
        <v>44210</v>
      </c>
      <c r="B476" s="209">
        <f>+B475</f>
        <v>1</v>
      </c>
      <c r="C476">
        <v>116</v>
      </c>
      <c r="D476" s="340" t="str">
        <f>VLOOKUP(C476,Plan!A:B,2,0)</f>
        <v>Disponible CALI Security</v>
      </c>
      <c r="E476" s="341">
        <f>+F476-G476</f>
        <v>-2440824</v>
      </c>
      <c r="F476" s="405">
        <v>0</v>
      </c>
      <c r="G476" s="346">
        <f>+F475</f>
        <v>2440824</v>
      </c>
      <c r="H476" s="406" t="str">
        <f>+H475</f>
        <v>Reembolso Contrib.4a.Cta.2020</v>
      </c>
      <c r="I476" s="407" t="s">
        <v>131</v>
      </c>
      <c r="K476" s="370"/>
      <c r="N476" s="370"/>
    </row>
    <row r="477" spans="1:14" s="347" customFormat="1" x14ac:dyDescent="0.25">
      <c r="A477" s="369"/>
      <c r="D477" s="340"/>
      <c r="E477" s="396"/>
      <c r="F477" s="396"/>
      <c r="G477" s="396"/>
      <c r="K477" s="370"/>
      <c r="N477" s="370"/>
    </row>
    <row r="478" spans="1:14" s="347" customFormat="1" x14ac:dyDescent="0.25">
      <c r="A478" s="339">
        <v>44210</v>
      </c>
      <c r="B478" s="340">
        <v>1</v>
      </c>
      <c r="C478" s="338">
        <v>228</v>
      </c>
      <c r="D478" s="340" t="str">
        <f>VLOOKUP(C478,Plan!A:B,2,0)</f>
        <v>Proveedores CALI</v>
      </c>
      <c r="E478" s="341">
        <f>+F478-G478</f>
        <v>128167387</v>
      </c>
      <c r="F478" s="289">
        <v>128167387</v>
      </c>
      <c r="G478" s="346">
        <v>0</v>
      </c>
      <c r="H478" s="404" t="s">
        <v>863</v>
      </c>
      <c r="I478" s="403" t="s">
        <v>131</v>
      </c>
      <c r="J478" t="s">
        <v>588</v>
      </c>
      <c r="K478" t="s">
        <v>589</v>
      </c>
      <c r="L478">
        <v>2829</v>
      </c>
      <c r="N478" s="370"/>
    </row>
    <row r="479" spans="1:14" s="347" customFormat="1" x14ac:dyDescent="0.25">
      <c r="A479" s="152">
        <f>+A478</f>
        <v>44210</v>
      </c>
      <c r="B479" s="209">
        <f>+B478</f>
        <v>1</v>
      </c>
      <c r="C479" s="338">
        <v>116</v>
      </c>
      <c r="D479" s="340" t="str">
        <f>VLOOKUP(C479,Plan!A:B,2,0)</f>
        <v>Disponible CALI Security</v>
      </c>
      <c r="E479" s="341">
        <f>+F479-G479</f>
        <v>-128167387</v>
      </c>
      <c r="F479" s="405">
        <v>0</v>
      </c>
      <c r="G479" s="346">
        <f>+F478</f>
        <v>128167387</v>
      </c>
      <c r="H479" s="404" t="str">
        <f>+H478</f>
        <v>F.2829 EE.PP. N°6 TASCO</v>
      </c>
      <c r="I479" s="403" t="s">
        <v>131</v>
      </c>
      <c r="K479" s="370"/>
      <c r="N479" s="370"/>
    </row>
    <row r="480" spans="1:14" s="347" customFormat="1" x14ac:dyDescent="0.25">
      <c r="A480" s="369"/>
      <c r="D480" s="340"/>
      <c r="E480" s="396"/>
      <c r="F480" s="396"/>
      <c r="G480" s="396"/>
      <c r="K480" s="370"/>
      <c r="N480" s="370"/>
    </row>
    <row r="481" spans="1:14" s="347" customFormat="1" x14ac:dyDescent="0.25">
      <c r="A481" s="339">
        <v>44210</v>
      </c>
      <c r="B481" s="340">
        <v>1</v>
      </c>
      <c r="C481" s="338">
        <v>228</v>
      </c>
      <c r="D481" s="340" t="str">
        <f>VLOOKUP(C481,Plan!A:B,2,0)</f>
        <v>Proveedores CALI</v>
      </c>
      <c r="E481" s="341">
        <f>+F481-G481</f>
        <v>4215334</v>
      </c>
      <c r="F481" s="289">
        <v>4215334</v>
      </c>
      <c r="G481" s="346">
        <v>0</v>
      </c>
      <c r="H481" s="404" t="s">
        <v>1285</v>
      </c>
      <c r="I481" s="403" t="s">
        <v>131</v>
      </c>
      <c r="J481" t="s">
        <v>605</v>
      </c>
      <c r="K481" t="s">
        <v>606</v>
      </c>
      <c r="L481">
        <v>5877</v>
      </c>
      <c r="M481" s="343" t="s">
        <v>614</v>
      </c>
      <c r="N481" t="str">
        <f>IF(M481&lt;&gt;"",VLOOKUP(M481,[1]Plan!F$1:G$65536,2,0),"")</f>
        <v>ITO</v>
      </c>
    </row>
    <row r="482" spans="1:14" s="347" customFormat="1" x14ac:dyDescent="0.25">
      <c r="A482" s="152">
        <f>+A481</f>
        <v>44210</v>
      </c>
      <c r="B482" s="209">
        <f>+B481</f>
        <v>1</v>
      </c>
      <c r="C482" s="338">
        <v>116</v>
      </c>
      <c r="D482" s="340" t="str">
        <f>VLOOKUP(C482,Plan!A:B,2,0)</f>
        <v>Disponible CALI Security</v>
      </c>
      <c r="E482" s="341">
        <f>+F482-G482</f>
        <v>-4215334</v>
      </c>
      <c r="F482" s="405">
        <v>0</v>
      </c>
      <c r="G482" s="346">
        <f>+F481</f>
        <v>4215334</v>
      </c>
      <c r="H482" s="404" t="s">
        <v>1285</v>
      </c>
      <c r="I482" s="403" t="s">
        <v>131</v>
      </c>
      <c r="K482" s="370"/>
      <c r="N482" s="370"/>
    </row>
    <row r="483" spans="1:14" s="347" customFormat="1" x14ac:dyDescent="0.25">
      <c r="A483" s="369"/>
      <c r="D483" s="340"/>
      <c r="E483" s="396"/>
      <c r="F483" s="396"/>
      <c r="G483" s="396"/>
      <c r="K483" s="370"/>
      <c r="N483" s="370"/>
    </row>
    <row r="484" spans="1:14" s="347" customFormat="1" x14ac:dyDescent="0.25">
      <c r="A484" s="402">
        <v>44225</v>
      </c>
      <c r="B484" s="403">
        <v>1</v>
      </c>
      <c r="C484" s="338">
        <v>116</v>
      </c>
      <c r="D484" s="340" t="str">
        <f>VLOOKUP(C484,Plan!A:B,2,0)</f>
        <v>Disponible CALI Security</v>
      </c>
      <c r="E484" s="341">
        <f>+F484-G484</f>
        <v>73000000</v>
      </c>
      <c r="F484" s="289">
        <v>73000000</v>
      </c>
      <c r="G484" s="346">
        <v>0</v>
      </c>
      <c r="H484" s="338" t="s">
        <v>866</v>
      </c>
      <c r="I484" s="401" t="s">
        <v>131</v>
      </c>
      <c r="K484" s="370"/>
      <c r="N484" s="370"/>
    </row>
    <row r="485" spans="1:14" s="347" customFormat="1" x14ac:dyDescent="0.25">
      <c r="A485" s="402">
        <f>+A484</f>
        <v>44225</v>
      </c>
      <c r="B485" s="403">
        <f>+B484</f>
        <v>1</v>
      </c>
      <c r="C485" s="338">
        <v>3210</v>
      </c>
      <c r="D485" s="340" t="str">
        <f>VLOOKUP(C485,Plan!A:B,2,0)</f>
        <v>Donacion Construccion</v>
      </c>
      <c r="E485" s="341">
        <f>+F485-G485</f>
        <v>-73000000</v>
      </c>
      <c r="F485" s="405">
        <v>0</v>
      </c>
      <c r="G485" s="346">
        <f>+F484</f>
        <v>73000000</v>
      </c>
      <c r="H485" s="338" t="s">
        <v>866</v>
      </c>
      <c r="I485" s="401" t="str">
        <f>+I484</f>
        <v>Cali</v>
      </c>
      <c r="K485" s="370"/>
      <c r="N485" s="370"/>
    </row>
    <row r="486" spans="1:14" s="347" customFormat="1" x14ac:dyDescent="0.25">
      <c r="A486" s="369"/>
      <c r="D486" s="340"/>
      <c r="E486" s="396"/>
      <c r="F486" s="396"/>
      <c r="G486" s="396"/>
      <c r="K486" s="370"/>
      <c r="N486" s="370"/>
    </row>
    <row r="487" spans="1:14" s="347" customFormat="1" x14ac:dyDescent="0.25">
      <c r="A487" s="402">
        <v>44200</v>
      </c>
      <c r="B487" s="403">
        <v>1</v>
      </c>
      <c r="C487" s="338">
        <v>4170</v>
      </c>
      <c r="D487" s="340" t="str">
        <f>VLOOKUP(C487,Plan!A:B,2,0)</f>
        <v>Cali otros</v>
      </c>
      <c r="E487" s="341">
        <f>+F487-G487</f>
        <v>100000</v>
      </c>
      <c r="F487" s="289">
        <v>100000</v>
      </c>
      <c r="G487" s="346">
        <v>0</v>
      </c>
      <c r="H487" s="343" t="s">
        <v>874</v>
      </c>
      <c r="I487" s="401" t="s">
        <v>131</v>
      </c>
      <c r="K487" s="370"/>
      <c r="N487" s="370"/>
    </row>
    <row r="488" spans="1:14" s="347" customFormat="1" x14ac:dyDescent="0.25">
      <c r="A488" s="402">
        <f>+A487</f>
        <v>44200</v>
      </c>
      <c r="B488" s="403">
        <f>+B487</f>
        <v>1</v>
      </c>
      <c r="C488" s="338">
        <v>115</v>
      </c>
      <c r="D488" s="340" t="str">
        <f>VLOOKUP(C488,Plan!A:B,2,0)</f>
        <v>Disponible Cali B.Chile</v>
      </c>
      <c r="E488" s="341">
        <f>+F488-G488</f>
        <v>-100000</v>
      </c>
      <c r="F488" s="405">
        <v>0</v>
      </c>
      <c r="G488" s="346">
        <f>+F487</f>
        <v>100000</v>
      </c>
      <c r="H488" s="338" t="str">
        <f>+H487</f>
        <v>Comer y Beber</v>
      </c>
      <c r="I488" s="401" t="str">
        <f>+I487</f>
        <v>Cali</v>
      </c>
      <c r="K488" s="370"/>
      <c r="N488" s="370"/>
    </row>
    <row r="489" spans="1:14" s="347" customFormat="1" ht="15.65" customHeight="1" x14ac:dyDescent="0.25">
      <c r="A489" s="369"/>
      <c r="D489" s="340"/>
      <c r="E489" s="396"/>
      <c r="F489" s="396"/>
      <c r="G489" s="396"/>
      <c r="K489" s="370"/>
      <c r="N489" s="370"/>
    </row>
    <row r="490" spans="1:14" s="347" customFormat="1" x14ac:dyDescent="0.25">
      <c r="A490" s="402">
        <v>44225</v>
      </c>
      <c r="B490" s="403">
        <v>1</v>
      </c>
      <c r="C490" s="338">
        <v>118</v>
      </c>
      <c r="D490" s="340" t="str">
        <f>VLOOKUP(C490,Plan!A:B,2,0)</f>
        <v>Depósito a plazo Cali Banco Security</v>
      </c>
      <c r="E490" s="341">
        <f>+F490-G490</f>
        <v>60000000</v>
      </c>
      <c r="F490" s="289">
        <v>60000000</v>
      </c>
      <c r="G490" s="346">
        <v>0</v>
      </c>
      <c r="H490" s="343" t="s">
        <v>875</v>
      </c>
      <c r="I490" s="401" t="s">
        <v>131</v>
      </c>
      <c r="K490" s="370"/>
      <c r="N490" s="370"/>
    </row>
    <row r="491" spans="1:14" s="347" customFormat="1" x14ac:dyDescent="0.25">
      <c r="A491" s="402">
        <f>+A490</f>
        <v>44225</v>
      </c>
      <c r="B491" s="403">
        <f>+B490</f>
        <v>1</v>
      </c>
      <c r="C491" s="338">
        <v>116</v>
      </c>
      <c r="D491" s="340" t="str">
        <f>VLOOKUP(C491,Plan!A:B,2,0)</f>
        <v>Disponible CALI Security</v>
      </c>
      <c r="E491" s="341">
        <f>+F491-G491</f>
        <v>-60000000</v>
      </c>
      <c r="F491" s="405">
        <v>0</v>
      </c>
      <c r="G491" s="346">
        <f>+F490</f>
        <v>60000000</v>
      </c>
      <c r="H491" s="338" t="str">
        <f>+H490</f>
        <v>Toma Depòsito a Plazo</v>
      </c>
      <c r="I491" s="401" t="str">
        <f>+I490</f>
        <v>Cali</v>
      </c>
      <c r="K491" s="370"/>
      <c r="N491" s="370"/>
    </row>
    <row r="492" spans="1:14" s="347" customFormat="1" x14ac:dyDescent="0.25">
      <c r="A492" s="369"/>
      <c r="E492" s="396"/>
      <c r="F492" s="396"/>
      <c r="G492" s="396"/>
      <c r="K492" s="370"/>
      <c r="N492" s="370"/>
    </row>
    <row r="493" spans="1:14" s="347" customFormat="1" x14ac:dyDescent="0.25">
      <c r="A493" s="402">
        <v>44225</v>
      </c>
      <c r="B493" s="403">
        <v>1</v>
      </c>
      <c r="C493" s="338">
        <v>3210</v>
      </c>
      <c r="D493" s="340" t="str">
        <f>VLOOKUP(C493,Plan!A:B,2,0)</f>
        <v>Donacion Construccion</v>
      </c>
      <c r="E493" s="341">
        <f>+F493-G493</f>
        <v>-855000</v>
      </c>
      <c r="F493" s="289">
        <v>0</v>
      </c>
      <c r="G493" s="289">
        <v>855000</v>
      </c>
      <c r="H493" s="343" t="s">
        <v>1287</v>
      </c>
      <c r="I493" s="401" t="s">
        <v>131</v>
      </c>
      <c r="K493" s="370"/>
      <c r="N493" s="370"/>
    </row>
    <row r="494" spans="1:14" s="347" customFormat="1" x14ac:dyDescent="0.25">
      <c r="A494" s="402">
        <v>44225</v>
      </c>
      <c r="B494" s="403">
        <v>1</v>
      </c>
      <c r="C494" s="338">
        <v>1222</v>
      </c>
      <c r="D494" s="340" t="str">
        <f>VLOOKUP(C494,Plan!A:B,2,0)</f>
        <v>Otros Valores -Oficina y Transferencias (249)</v>
      </c>
      <c r="E494" s="341">
        <f>+F494-G494</f>
        <v>-175000</v>
      </c>
      <c r="F494" s="289">
        <v>0</v>
      </c>
      <c r="G494" s="289">
        <v>175000</v>
      </c>
      <c r="H494" s="343" t="s">
        <v>1288</v>
      </c>
      <c r="I494" s="401" t="s">
        <v>131</v>
      </c>
      <c r="K494" s="370"/>
      <c r="N494" s="370"/>
    </row>
    <row r="495" spans="1:14" s="347" customFormat="1" x14ac:dyDescent="0.25">
      <c r="A495" s="402">
        <v>44225</v>
      </c>
      <c r="B495" s="403">
        <v>1</v>
      </c>
      <c r="C495" s="338">
        <v>1222</v>
      </c>
      <c r="D495" s="340" t="str">
        <f>VLOOKUP(C495,Plan!A:B,2,0)</f>
        <v>Otros Valores -Oficina y Transferencias (249)</v>
      </c>
      <c r="E495" s="341">
        <f>+F495-G495</f>
        <v>-350000</v>
      </c>
      <c r="F495" s="289">
        <v>0</v>
      </c>
      <c r="G495" s="289">
        <v>350000</v>
      </c>
      <c r="H495" t="s">
        <v>744</v>
      </c>
      <c r="I495" s="401" t="s">
        <v>131</v>
      </c>
      <c r="K495" s="370"/>
      <c r="N495" s="370"/>
    </row>
    <row r="496" spans="1:14" s="347" customFormat="1" x14ac:dyDescent="0.25">
      <c r="A496" s="402">
        <f>+A493</f>
        <v>44225</v>
      </c>
      <c r="B496" s="403">
        <f>+B493</f>
        <v>1</v>
      </c>
      <c r="C496" s="338">
        <v>141</v>
      </c>
      <c r="D496" s="340" t="str">
        <f>VLOOKUP(C496,Plan!A:B,2,0)</f>
        <v>Cuentas por Cobrar a Administración</v>
      </c>
      <c r="E496" s="341">
        <f>+F496-G496</f>
        <v>1380000</v>
      </c>
      <c r="F496" s="405">
        <v>1380000</v>
      </c>
      <c r="G496" s="346">
        <v>0</v>
      </c>
      <c r="H496" s="343" t="s">
        <v>1289</v>
      </c>
      <c r="I496" s="401" t="str">
        <f>+I493</f>
        <v>Cali</v>
      </c>
      <c r="K496" s="370"/>
      <c r="N496" s="370"/>
    </row>
    <row r="497" spans="1:14" s="347" customFormat="1" x14ac:dyDescent="0.25">
      <c r="A497" s="369"/>
      <c r="E497" s="396"/>
      <c r="F497" s="396"/>
      <c r="G497" s="396"/>
      <c r="K497" s="370"/>
      <c r="N497" s="370"/>
    </row>
    <row r="498" spans="1:14" s="347" customFormat="1" x14ac:dyDescent="0.25">
      <c r="A498" s="369"/>
      <c r="E498" s="396"/>
      <c r="F498" s="396"/>
      <c r="G498" s="396"/>
      <c r="K498" s="370"/>
      <c r="N498" s="370"/>
    </row>
    <row r="499" spans="1:14" s="347" customFormat="1" x14ac:dyDescent="0.25">
      <c r="A499" s="402">
        <v>44226</v>
      </c>
      <c r="B499" s="403">
        <v>1</v>
      </c>
      <c r="C499" s="338">
        <v>137</v>
      </c>
      <c r="D499" s="340" t="str">
        <f>VLOOKUP(C499,Plan!A:B,2,0)</f>
        <v>Anticipo Construcción</v>
      </c>
      <c r="E499" s="341">
        <f>+F499-G499</f>
        <v>-12671175</v>
      </c>
      <c r="F499" s="465">
        <v>0</v>
      </c>
      <c r="G499" s="465">
        <v>12671175</v>
      </c>
      <c r="H499" s="429" t="s">
        <v>1280</v>
      </c>
      <c r="I499" s="355" t="s">
        <v>131</v>
      </c>
      <c r="J499" s="355" t="s">
        <v>588</v>
      </c>
      <c r="K499" s="208" t="str">
        <f>IF(J499&lt;&gt;"",VLOOKUP(J499,'Libro De Compras 2021'!D:E,2,0),"")</f>
        <v>PROYECTOS Y CONSTRUCCIONES TASCO LIMITADA</v>
      </c>
      <c r="L499" s="355">
        <v>2829</v>
      </c>
      <c r="M499" s="338"/>
      <c r="N499"/>
    </row>
    <row r="500" spans="1:14" s="347" customFormat="1" x14ac:dyDescent="0.25">
      <c r="A500" s="402">
        <f t="shared" ref="A500:B502" si="7">+A499</f>
        <v>44226</v>
      </c>
      <c r="B500" s="403">
        <f t="shared" si="7"/>
        <v>1</v>
      </c>
      <c r="C500" s="338">
        <v>136</v>
      </c>
      <c r="D500" s="340" t="str">
        <f>VLOOKUP(C500,Plan!A:B,2,0)</f>
        <v>Obras en Construcción</v>
      </c>
      <c r="E500" s="341">
        <f>+F500-G500</f>
        <v>147174150</v>
      </c>
      <c r="F500" s="465">
        <v>147174150</v>
      </c>
      <c r="G500" s="465">
        <v>0</v>
      </c>
      <c r="H500" s="429" t="s">
        <v>1281</v>
      </c>
      <c r="I500" s="355" t="s">
        <v>131</v>
      </c>
      <c r="J500" s="355" t="s">
        <v>588</v>
      </c>
      <c r="K500" s="208" t="str">
        <f>IF(J500&lt;&gt;"",VLOOKUP(J500,'Libro De Compras 2021'!D:E,2,0),"")</f>
        <v>PROYECTOS Y CONSTRUCCIONES TASCO LIMITADA</v>
      </c>
      <c r="L500" s="355">
        <v>2829</v>
      </c>
      <c r="M500" s="338"/>
      <c r="N500"/>
    </row>
    <row r="501" spans="1:14" s="347" customFormat="1" x14ac:dyDescent="0.25">
      <c r="A501" s="402">
        <f t="shared" si="7"/>
        <v>44226</v>
      </c>
      <c r="B501" s="403">
        <f t="shared" si="7"/>
        <v>1</v>
      </c>
      <c r="C501" s="338">
        <v>210</v>
      </c>
      <c r="D501" s="340" t="str">
        <f>VLOOKUP(C501,Plan!A:B,2,0)</f>
        <v>Retenciones Construcción</v>
      </c>
      <c r="E501" s="341">
        <f>+F501-G501</f>
        <v>-6335588</v>
      </c>
      <c r="F501" s="465">
        <v>0</v>
      </c>
      <c r="G501" s="465">
        <v>6335588</v>
      </c>
      <c r="H501" s="429" t="s">
        <v>1282</v>
      </c>
      <c r="I501" s="355" t="s">
        <v>131</v>
      </c>
      <c r="J501" s="355" t="s">
        <v>588</v>
      </c>
      <c r="K501" s="208" t="str">
        <f>IF(J501&lt;&gt;"",VLOOKUP(J501,'Libro De Compras 2021'!D:E,2,0),"")</f>
        <v>PROYECTOS Y CONSTRUCCIONES TASCO LIMITADA</v>
      </c>
      <c r="L501" s="355">
        <v>2829</v>
      </c>
      <c r="M501" s="338"/>
      <c r="N501"/>
    </row>
    <row r="502" spans="1:14" s="347" customFormat="1" x14ac:dyDescent="0.25">
      <c r="A502" s="402">
        <f t="shared" si="7"/>
        <v>44226</v>
      </c>
      <c r="B502" s="403">
        <f t="shared" si="7"/>
        <v>1</v>
      </c>
      <c r="C502" s="338">
        <v>228</v>
      </c>
      <c r="D502" s="340" t="str">
        <f>VLOOKUP(C502,Plan!A:B,2,0)</f>
        <v>Proveedores CALI</v>
      </c>
      <c r="E502" s="341">
        <f>+F502-G502</f>
        <v>-128167387</v>
      </c>
      <c r="F502" s="465">
        <v>0</v>
      </c>
      <c r="G502" s="465">
        <v>128167387</v>
      </c>
      <c r="H502" s="429" t="s">
        <v>589</v>
      </c>
      <c r="I502" s="355" t="s">
        <v>131</v>
      </c>
      <c r="J502" s="355" t="s">
        <v>588</v>
      </c>
      <c r="K502" s="208" t="str">
        <f>IF(J502&lt;&gt;"",VLOOKUP(J502,'Libro De Compras 2021'!D:E,2,0),"")</f>
        <v>PROYECTOS Y CONSTRUCCIONES TASCO LIMITADA</v>
      </c>
      <c r="L502" s="355">
        <v>2829</v>
      </c>
      <c r="M502" s="338"/>
      <c r="N502"/>
    </row>
    <row r="503" spans="1:14" s="347" customFormat="1" x14ac:dyDescent="0.25">
      <c r="A503" s="369"/>
      <c r="C503" s="338"/>
      <c r="D503" s="340"/>
      <c r="E503" s="341"/>
      <c r="F503" s="345"/>
      <c r="G503" s="345"/>
      <c r="H503" s="338"/>
      <c r="I503" s="340"/>
      <c r="J503" s="340"/>
      <c r="K503" s="209"/>
      <c r="L503" s="340"/>
      <c r="M503" s="338"/>
      <c r="N503"/>
    </row>
    <row r="504" spans="1:14" s="347" customFormat="1" x14ac:dyDescent="0.25">
      <c r="A504" s="402">
        <v>44226</v>
      </c>
      <c r="B504" s="403">
        <v>1</v>
      </c>
      <c r="C504" s="338">
        <v>138</v>
      </c>
      <c r="D504" s="340" t="str">
        <f>VLOOKUP(C504,Plan!A:B,2,0)</f>
        <v>Proyectos Especialidades</v>
      </c>
      <c r="E504" s="341">
        <f>+F504-G504</f>
        <v>4215334</v>
      </c>
      <c r="F504" s="289">
        <v>4215334</v>
      </c>
      <c r="G504" s="346">
        <v>0</v>
      </c>
      <c r="H504" s="404" t="s">
        <v>864</v>
      </c>
      <c r="I504" s="355" t="s">
        <v>131</v>
      </c>
      <c r="J504" s="355" t="s">
        <v>605</v>
      </c>
      <c r="K504" s="364" t="str">
        <f>IF(J504&lt;&gt;"",VLOOKUP(J504,'Libro De Compras 2021'!D:E,2,0),"")</f>
        <v>COZ Y COMPAÃ‘IA S.A.</v>
      </c>
      <c r="L504">
        <v>2829</v>
      </c>
      <c r="M504" s="343" t="s">
        <v>614</v>
      </c>
      <c r="N504" t="str">
        <f>IF(M504&lt;&gt;"",VLOOKUP(M504,[1]Plan!F$1:G$65536,2,0),"")</f>
        <v>ITO</v>
      </c>
    </row>
    <row r="505" spans="1:14" s="347" customFormat="1" x14ac:dyDescent="0.25">
      <c r="A505" s="402">
        <f>+A504</f>
        <v>44226</v>
      </c>
      <c r="B505" s="403">
        <f>+B504</f>
        <v>1</v>
      </c>
      <c r="C505" s="338">
        <v>228</v>
      </c>
      <c r="D505" s="340" t="str">
        <f>VLOOKUP(C505,Plan!A:B,2,0)</f>
        <v>Proveedores CALI</v>
      </c>
      <c r="E505" s="341">
        <f>+F505-G505</f>
        <v>-4215334</v>
      </c>
      <c r="F505" s="405">
        <v>0</v>
      </c>
      <c r="G505" s="346">
        <f>+F504</f>
        <v>4215334</v>
      </c>
      <c r="H505" s="404" t="s">
        <v>699</v>
      </c>
      <c r="I505" s="355" t="s">
        <v>131</v>
      </c>
      <c r="J505" s="355" t="s">
        <v>605</v>
      </c>
      <c r="K505" s="364" t="str">
        <f>IF(J505&lt;&gt;"",VLOOKUP(J505,'Libro De Compras 2021'!D:E,2,0),"")</f>
        <v>COZ Y COMPAÃ‘IA S.A.</v>
      </c>
      <c r="L505">
        <v>2829</v>
      </c>
      <c r="M505" s="338"/>
      <c r="N505" t="str">
        <f>IF(M505&lt;&gt;"",VLOOKUP(M505,Plan!F:G,2,0),"")</f>
        <v/>
      </c>
    </row>
    <row r="506" spans="1:14" s="347" customFormat="1" x14ac:dyDescent="0.25">
      <c r="A506" s="369"/>
      <c r="C506" s="338"/>
      <c r="D506" s="340"/>
      <c r="E506" s="341"/>
      <c r="F506" s="353"/>
      <c r="G506" s="353"/>
      <c r="H506" s="354"/>
      <c r="I506" s="355"/>
      <c r="J506" s="355"/>
      <c r="K506" s="364"/>
      <c r="L506" s="355"/>
      <c r="M506" s="338"/>
      <c r="N506"/>
    </row>
    <row r="507" spans="1:14" s="347" customFormat="1" x14ac:dyDescent="0.25">
      <c r="A507" s="402">
        <v>44226</v>
      </c>
      <c r="B507" s="403">
        <v>1</v>
      </c>
      <c r="C507" s="338">
        <v>138</v>
      </c>
      <c r="D507" s="340" t="s">
        <v>613</v>
      </c>
      <c r="E507" s="341">
        <f>+F507-G507</f>
        <v>550938</v>
      </c>
      <c r="F507" s="353">
        <v>550938</v>
      </c>
      <c r="G507" s="353">
        <v>0</v>
      </c>
      <c r="H507" s="404" t="s">
        <v>861</v>
      </c>
      <c r="I507" s="403" t="s">
        <v>131</v>
      </c>
      <c r="J507" t="s">
        <v>870</v>
      </c>
      <c r="K507" t="s">
        <v>871</v>
      </c>
      <c r="L507">
        <v>23412621</v>
      </c>
      <c r="M507" s="343" t="s">
        <v>616</v>
      </c>
      <c r="N507" t="str">
        <f>IF(M507&lt;&gt;"",VLOOKUP(M507,Plan!F:G,2,0),"")</f>
        <v>Proyecto Electrico</v>
      </c>
    </row>
    <row r="508" spans="1:14" s="347" customFormat="1" x14ac:dyDescent="0.25">
      <c r="A508" s="402">
        <f>+A507</f>
        <v>44226</v>
      </c>
      <c r="B508" s="403">
        <f>+B507</f>
        <v>1</v>
      </c>
      <c r="C508" s="338">
        <v>228</v>
      </c>
      <c r="D508" s="340" t="str">
        <f>VLOOKUP(C508,Plan!A:B,2,0)</f>
        <v>Proveedores CALI</v>
      </c>
      <c r="E508" s="341">
        <f>+F508-G508</f>
        <v>-550938</v>
      </c>
      <c r="F508" s="346">
        <v>0</v>
      </c>
      <c r="G508" s="353">
        <f>+F507</f>
        <v>550938</v>
      </c>
      <c r="H508" s="404" t="s">
        <v>861</v>
      </c>
      <c r="I508" s="403" t="s">
        <v>131</v>
      </c>
      <c r="J508" t="s">
        <v>870</v>
      </c>
      <c r="K508" t="s">
        <v>871</v>
      </c>
      <c r="L508">
        <v>23412621</v>
      </c>
      <c r="M508" s="338"/>
      <c r="N508"/>
    </row>
    <row r="509" spans="1:14" s="347" customFormat="1" x14ac:dyDescent="0.25">
      <c r="A509" s="369"/>
      <c r="E509" s="396"/>
      <c r="F509" s="396"/>
      <c r="G509" s="396"/>
      <c r="K509" s="370"/>
      <c r="N509" s="370"/>
    </row>
    <row r="510" spans="1:14" s="347" customFormat="1" x14ac:dyDescent="0.25">
      <c r="A510" s="369">
        <v>44228</v>
      </c>
      <c r="B510" s="347">
        <v>2</v>
      </c>
      <c r="C510" s="347">
        <v>115</v>
      </c>
      <c r="D510" s="340" t="str">
        <f>VLOOKUP(C510,Plan!A:B,2,0)</f>
        <v>Disponible Cali B.Chile</v>
      </c>
      <c r="E510" s="341">
        <f>+F510-G510</f>
        <v>20000</v>
      </c>
      <c r="F510" s="353">
        <v>20000</v>
      </c>
      <c r="G510" s="353">
        <v>0</v>
      </c>
      <c r="H510" s="404" t="s">
        <v>963</v>
      </c>
      <c r="I510" s="403" t="s">
        <v>131</v>
      </c>
      <c r="K510" s="370"/>
      <c r="N510" s="370"/>
    </row>
    <row r="511" spans="1:14" s="347" customFormat="1" x14ac:dyDescent="0.25">
      <c r="A511" s="369">
        <f>+A510</f>
        <v>44228</v>
      </c>
      <c r="B511" s="347">
        <v>2</v>
      </c>
      <c r="C511" s="347">
        <v>1222</v>
      </c>
      <c r="D511" s="340" t="str">
        <f>VLOOKUP(C511,Plan!A:B,2,0)</f>
        <v>Otros Valores -Oficina y Transferencias (249)</v>
      </c>
      <c r="E511" s="341">
        <f>+F511-G511</f>
        <v>-20000</v>
      </c>
      <c r="F511" s="353">
        <v>0</v>
      </c>
      <c r="G511" s="353">
        <f>+F510</f>
        <v>20000</v>
      </c>
      <c r="H511" s="404" t="s">
        <v>963</v>
      </c>
      <c r="I511" s="403" t="s">
        <v>131</v>
      </c>
      <c r="K511" s="370"/>
      <c r="N511" s="370"/>
    </row>
    <row r="512" spans="1:14" s="347" customFormat="1" x14ac:dyDescent="0.25">
      <c r="A512" s="369"/>
      <c r="E512" s="396"/>
      <c r="F512" s="396"/>
      <c r="G512" s="396"/>
      <c r="K512" s="370"/>
      <c r="N512" s="370"/>
    </row>
    <row r="513" spans="1:14" s="347" customFormat="1" x14ac:dyDescent="0.25">
      <c r="A513" s="369">
        <v>44228</v>
      </c>
      <c r="B513" s="347">
        <v>2</v>
      </c>
      <c r="C513" s="347">
        <v>115</v>
      </c>
      <c r="D513" s="340" t="str">
        <f>VLOOKUP(C513,Plan!A:B,2,0)</f>
        <v>Disponible Cali B.Chile</v>
      </c>
      <c r="E513" s="341">
        <f>+F513-G513</f>
        <v>36000</v>
      </c>
      <c r="F513" s="353">
        <v>36000</v>
      </c>
      <c r="G513" s="353">
        <v>0</v>
      </c>
      <c r="H513" t="s">
        <v>964</v>
      </c>
      <c r="I513" s="403" t="s">
        <v>131</v>
      </c>
      <c r="K513" s="370"/>
      <c r="N513" s="370"/>
    </row>
    <row r="514" spans="1:14" s="347" customFormat="1" x14ac:dyDescent="0.25">
      <c r="A514" s="369">
        <v>44228</v>
      </c>
      <c r="B514" s="347">
        <v>2</v>
      </c>
      <c r="C514" s="347">
        <v>1222</v>
      </c>
      <c r="D514" s="340" t="str">
        <f>VLOOKUP(C514,Plan!A:B,2,0)</f>
        <v>Otros Valores -Oficina y Transferencias (249)</v>
      </c>
      <c r="E514" s="341">
        <f>+F514-G514</f>
        <v>-36000</v>
      </c>
      <c r="F514" s="353">
        <v>0</v>
      </c>
      <c r="G514" s="353">
        <f>+F513</f>
        <v>36000</v>
      </c>
      <c r="H514" t="s">
        <v>964</v>
      </c>
      <c r="I514" s="403" t="s">
        <v>131</v>
      </c>
      <c r="K514" s="370"/>
      <c r="N514" s="370"/>
    </row>
    <row r="515" spans="1:14" s="347" customFormat="1" x14ac:dyDescent="0.25">
      <c r="A515" s="369"/>
      <c r="E515" s="396"/>
      <c r="F515" s="396"/>
      <c r="G515" s="396"/>
      <c r="K515" s="370"/>
      <c r="N515" s="370"/>
    </row>
    <row r="516" spans="1:14" s="347" customFormat="1" x14ac:dyDescent="0.25">
      <c r="A516" s="369">
        <v>44228</v>
      </c>
      <c r="B516" s="347">
        <v>2</v>
      </c>
      <c r="C516" s="347">
        <v>115</v>
      </c>
      <c r="D516" s="340" t="str">
        <f>VLOOKUP(C516,Plan!A:B,2,0)</f>
        <v>Disponible Cali B.Chile</v>
      </c>
      <c r="E516" s="341">
        <f>+F516-G516</f>
        <v>100000</v>
      </c>
      <c r="F516" s="353">
        <v>100000</v>
      </c>
      <c r="G516" s="353">
        <v>0</v>
      </c>
      <c r="H516" t="s">
        <v>965</v>
      </c>
      <c r="I516" s="403" t="s">
        <v>131</v>
      </c>
      <c r="K516" s="370"/>
      <c r="N516" s="370"/>
    </row>
    <row r="517" spans="1:14" s="347" customFormat="1" x14ac:dyDescent="0.25">
      <c r="A517" s="369">
        <f>+A516</f>
        <v>44228</v>
      </c>
      <c r="B517" s="347">
        <v>2</v>
      </c>
      <c r="C517" s="347">
        <v>3210</v>
      </c>
      <c r="D517" s="340" t="str">
        <f>VLOOKUP(C517,Plan!A:B,2,0)</f>
        <v>Donacion Construccion</v>
      </c>
      <c r="E517" s="341">
        <f>+F517-G517</f>
        <v>-100000</v>
      </c>
      <c r="F517" s="353">
        <v>0</v>
      </c>
      <c r="G517" s="353">
        <f>+F516</f>
        <v>100000</v>
      </c>
      <c r="H517" t="s">
        <v>965</v>
      </c>
      <c r="I517" s="403" t="s">
        <v>131</v>
      </c>
      <c r="K517" s="370"/>
      <c r="N517" s="370"/>
    </row>
    <row r="518" spans="1:14" s="347" customFormat="1" x14ac:dyDescent="0.25">
      <c r="A518" s="369"/>
      <c r="E518" s="396"/>
      <c r="F518" s="396"/>
      <c r="G518" s="396"/>
      <c r="K518" s="370"/>
      <c r="N518" s="370"/>
    </row>
    <row r="519" spans="1:14" s="347" customFormat="1" x14ac:dyDescent="0.25">
      <c r="A519" s="369">
        <v>44228</v>
      </c>
      <c r="B519" s="347">
        <v>2</v>
      </c>
      <c r="C519" s="347">
        <v>115</v>
      </c>
      <c r="D519" s="340" t="str">
        <f>VLOOKUP(C519,Plan!A:B,2,0)</f>
        <v>Disponible Cali B.Chile</v>
      </c>
      <c r="E519" s="341">
        <f>+F519-G519</f>
        <v>50000</v>
      </c>
      <c r="F519" s="353">
        <v>50000</v>
      </c>
      <c r="G519" s="353">
        <v>0</v>
      </c>
      <c r="H519" t="s">
        <v>966</v>
      </c>
      <c r="I519" s="403" t="s">
        <v>131</v>
      </c>
      <c r="K519" s="370"/>
      <c r="N519" s="370"/>
    </row>
    <row r="520" spans="1:14" s="347" customFormat="1" x14ac:dyDescent="0.25">
      <c r="A520" s="369">
        <f>+A519</f>
        <v>44228</v>
      </c>
      <c r="B520" s="347">
        <v>2</v>
      </c>
      <c r="C520" s="347">
        <v>3210</v>
      </c>
      <c r="D520" s="340" t="str">
        <f>VLOOKUP(C520,Plan!A:B,2,0)</f>
        <v>Donacion Construccion</v>
      </c>
      <c r="E520" s="341">
        <f>+F520-G520</f>
        <v>-50000</v>
      </c>
      <c r="F520" s="353">
        <v>0</v>
      </c>
      <c r="G520" s="353">
        <f>+F519</f>
        <v>50000</v>
      </c>
      <c r="H520" t="s">
        <v>966</v>
      </c>
      <c r="I520" s="403" t="s">
        <v>131</v>
      </c>
      <c r="K520" s="370"/>
      <c r="N520" s="370"/>
    </row>
    <row r="521" spans="1:14" s="347" customFormat="1" x14ac:dyDescent="0.25">
      <c r="A521" s="369"/>
      <c r="E521" s="396"/>
      <c r="F521" s="396"/>
      <c r="G521" s="396"/>
      <c r="K521" s="370"/>
      <c r="N521" s="370"/>
    </row>
    <row r="522" spans="1:14" s="347" customFormat="1" x14ac:dyDescent="0.25">
      <c r="A522" s="369">
        <v>44228</v>
      </c>
      <c r="B522" s="347">
        <v>2</v>
      </c>
      <c r="C522" s="347">
        <v>115</v>
      </c>
      <c r="D522" s="340" t="str">
        <f>VLOOKUP(C522,Plan!A:B,2,0)</f>
        <v>Disponible Cali B.Chile</v>
      </c>
      <c r="E522" s="341">
        <f>+F522-G522</f>
        <v>125000</v>
      </c>
      <c r="F522" s="353">
        <v>125000</v>
      </c>
      <c r="G522" s="353">
        <v>0</v>
      </c>
      <c r="H522" t="s">
        <v>967</v>
      </c>
      <c r="I522" s="403" t="s">
        <v>131</v>
      </c>
      <c r="K522" s="370"/>
      <c r="N522" s="370"/>
    </row>
    <row r="523" spans="1:14" s="347" customFormat="1" x14ac:dyDescent="0.25">
      <c r="A523" s="369">
        <f>+A522</f>
        <v>44228</v>
      </c>
      <c r="B523" s="347">
        <v>2</v>
      </c>
      <c r="C523" s="347">
        <v>3210</v>
      </c>
      <c r="D523" s="340" t="str">
        <f>VLOOKUP(C523,Plan!A:B,2,0)</f>
        <v>Donacion Construccion</v>
      </c>
      <c r="E523" s="341">
        <f>+F523-G523</f>
        <v>-125000</v>
      </c>
      <c r="F523" s="353">
        <v>0</v>
      </c>
      <c r="G523" s="353">
        <f>+F522</f>
        <v>125000</v>
      </c>
      <c r="H523" t="s">
        <v>967</v>
      </c>
      <c r="I523" s="403" t="s">
        <v>131</v>
      </c>
      <c r="K523" s="370"/>
      <c r="N523" s="370"/>
    </row>
    <row r="524" spans="1:14" s="347" customFormat="1" x14ac:dyDescent="0.25">
      <c r="A524" s="369"/>
      <c r="E524" s="396"/>
      <c r="F524" s="396"/>
      <c r="G524" s="396"/>
      <c r="K524" s="370"/>
      <c r="N524" s="370"/>
    </row>
    <row r="525" spans="1:14" s="347" customFormat="1" x14ac:dyDescent="0.25">
      <c r="A525" s="369">
        <v>44228</v>
      </c>
      <c r="B525" s="347">
        <v>2</v>
      </c>
      <c r="C525" s="347">
        <v>115</v>
      </c>
      <c r="D525" s="340" t="str">
        <f>VLOOKUP(C525,Plan!A:B,2,0)</f>
        <v>Disponible Cali B.Chile</v>
      </c>
      <c r="E525" s="341">
        <f>+F525-G525</f>
        <v>10000</v>
      </c>
      <c r="F525" s="353">
        <v>10000</v>
      </c>
      <c r="G525" s="353">
        <v>0</v>
      </c>
      <c r="H525" t="s">
        <v>968</v>
      </c>
      <c r="I525" s="403" t="s">
        <v>131</v>
      </c>
      <c r="K525" s="370"/>
      <c r="N525" s="370"/>
    </row>
    <row r="526" spans="1:14" s="347" customFormat="1" x14ac:dyDescent="0.25">
      <c r="A526" s="369">
        <f>+A525</f>
        <v>44228</v>
      </c>
      <c r="B526" s="347">
        <v>2</v>
      </c>
      <c r="C526" s="347">
        <v>3210</v>
      </c>
      <c r="D526" s="340" t="str">
        <f>VLOOKUP(C526,Plan!A:B,2,0)</f>
        <v>Donacion Construccion</v>
      </c>
      <c r="E526" s="341">
        <f>+F526-G526</f>
        <v>-10000</v>
      </c>
      <c r="F526" s="353">
        <v>0</v>
      </c>
      <c r="G526" s="353">
        <f>+F525</f>
        <v>10000</v>
      </c>
      <c r="H526" t="s">
        <v>968</v>
      </c>
      <c r="I526" s="403" t="s">
        <v>131</v>
      </c>
      <c r="K526" s="370"/>
      <c r="N526" s="370"/>
    </row>
    <row r="527" spans="1:14" s="347" customFormat="1" x14ac:dyDescent="0.25">
      <c r="A527" s="369"/>
      <c r="E527" s="396"/>
      <c r="F527" s="396"/>
      <c r="G527" s="396"/>
      <c r="K527" s="370"/>
      <c r="N527" s="370"/>
    </row>
    <row r="528" spans="1:14" s="347" customFormat="1" x14ac:dyDescent="0.25">
      <c r="A528" s="369">
        <v>44228</v>
      </c>
      <c r="B528" s="347">
        <v>2</v>
      </c>
      <c r="C528" s="347">
        <v>115</v>
      </c>
      <c r="D528" s="340" t="str">
        <f>VLOOKUP(C528,Plan!A:B,2,0)</f>
        <v>Disponible Cali B.Chile</v>
      </c>
      <c r="E528" s="341">
        <f>+F528-G528</f>
        <v>25000</v>
      </c>
      <c r="F528" s="353">
        <v>25000</v>
      </c>
      <c r="G528" s="353">
        <v>0</v>
      </c>
      <c r="H528" t="s">
        <v>969</v>
      </c>
      <c r="I528" s="403" t="s">
        <v>131</v>
      </c>
      <c r="K528" s="370"/>
      <c r="N528" s="370"/>
    </row>
    <row r="529" spans="1:14" s="347" customFormat="1" x14ac:dyDescent="0.25">
      <c r="A529" s="369">
        <f>+A528</f>
        <v>44228</v>
      </c>
      <c r="B529" s="347">
        <v>2</v>
      </c>
      <c r="C529" s="347">
        <v>1217</v>
      </c>
      <c r="D529" s="340" t="str">
        <f>VLOOKUP(C529,Plan!A:B,2,0)</f>
        <v>Otros Valores -Oficina y Transferencias (248)</v>
      </c>
      <c r="E529" s="341">
        <f>+F529-G529</f>
        <v>-25000</v>
      </c>
      <c r="F529" s="353">
        <v>0</v>
      </c>
      <c r="G529" s="353">
        <f>+F528</f>
        <v>25000</v>
      </c>
      <c r="H529" t="s">
        <v>969</v>
      </c>
      <c r="I529" s="403" t="s">
        <v>131</v>
      </c>
      <c r="K529" s="370"/>
      <c r="N529" s="370"/>
    </row>
    <row r="530" spans="1:14" s="347" customFormat="1" x14ac:dyDescent="0.25">
      <c r="A530" s="369"/>
      <c r="E530" s="396"/>
      <c r="F530" s="396"/>
      <c r="G530" s="396"/>
      <c r="K530" s="370"/>
      <c r="N530" s="370"/>
    </row>
    <row r="531" spans="1:14" s="347" customFormat="1" x14ac:dyDescent="0.25">
      <c r="A531" s="369">
        <v>44228</v>
      </c>
      <c r="B531" s="347">
        <v>2</v>
      </c>
      <c r="C531" s="347">
        <v>115</v>
      </c>
      <c r="D531" s="340" t="str">
        <f>VLOOKUP(C531,Plan!A:B,2,0)</f>
        <v>Disponible Cali B.Chile</v>
      </c>
      <c r="E531" s="341">
        <f>+F531-G531</f>
        <v>30000</v>
      </c>
      <c r="F531" s="353">
        <v>30000</v>
      </c>
      <c r="G531" s="353">
        <v>0</v>
      </c>
      <c r="H531" t="s">
        <v>970</v>
      </c>
      <c r="I531" s="403" t="s">
        <v>131</v>
      </c>
      <c r="K531" s="370"/>
      <c r="N531" s="370"/>
    </row>
    <row r="532" spans="1:14" s="347" customFormat="1" x14ac:dyDescent="0.25">
      <c r="A532" s="369">
        <f>+A531</f>
        <v>44228</v>
      </c>
      <c r="B532" s="347">
        <v>2</v>
      </c>
      <c r="C532" s="347">
        <v>1222</v>
      </c>
      <c r="D532" s="340" t="str">
        <f>VLOOKUP(C532,Plan!A:B,2,0)</f>
        <v>Otros Valores -Oficina y Transferencias (249)</v>
      </c>
      <c r="E532" s="341">
        <f>+F532-G532</f>
        <v>-30000</v>
      </c>
      <c r="F532" s="353">
        <v>0</v>
      </c>
      <c r="G532" s="353">
        <f>+F531</f>
        <v>30000</v>
      </c>
      <c r="H532" t="s">
        <v>970</v>
      </c>
      <c r="I532" s="403" t="s">
        <v>131</v>
      </c>
      <c r="K532" s="370"/>
      <c r="N532" s="370"/>
    </row>
    <row r="533" spans="1:14" s="347" customFormat="1" x14ac:dyDescent="0.25">
      <c r="A533" s="369"/>
      <c r="E533" s="396"/>
      <c r="F533" s="396"/>
      <c r="G533" s="396"/>
      <c r="K533" s="370"/>
      <c r="N533" s="370"/>
    </row>
    <row r="534" spans="1:14" s="347" customFormat="1" x14ac:dyDescent="0.25">
      <c r="A534" s="339">
        <v>44228</v>
      </c>
      <c r="B534" s="340">
        <v>2</v>
      </c>
      <c r="C534" s="338">
        <v>115</v>
      </c>
      <c r="D534" s="347" t="str">
        <f>VLOOKUP(C534,Plan!A$1:B$65542,2,0)</f>
        <v>Disponible Cali B.Chile</v>
      </c>
      <c r="E534" s="341">
        <f>+F534-G534</f>
        <v>10000</v>
      </c>
      <c r="F534" s="346">
        <v>10000</v>
      </c>
      <c r="G534" s="346">
        <v>0</v>
      </c>
      <c r="H534" s="338" t="s">
        <v>971</v>
      </c>
      <c r="I534" s="401" t="s">
        <v>131</v>
      </c>
      <c r="K534" s="370"/>
      <c r="N534" s="370"/>
    </row>
    <row r="535" spans="1:14" s="347" customFormat="1" x14ac:dyDescent="0.25">
      <c r="A535" s="339">
        <f>+A534</f>
        <v>44228</v>
      </c>
      <c r="B535" s="340">
        <f>+B534</f>
        <v>2</v>
      </c>
      <c r="C535" s="338">
        <v>216</v>
      </c>
      <c r="D535" s="347" t="str">
        <f>VLOOKUP(C535,Plan!A$1:B$65542,2,0)</f>
        <v>Cuenta por Pagar a Administración Colectas</v>
      </c>
      <c r="E535" s="341">
        <f>+F535-G535</f>
        <v>-10000</v>
      </c>
      <c r="F535" s="346">
        <v>0</v>
      </c>
      <c r="G535" s="346">
        <f>+F534</f>
        <v>10000</v>
      </c>
      <c r="H535" s="338" t="str">
        <f>+H534</f>
        <v>Colecta Pablo Irarrazaval Mena</v>
      </c>
      <c r="I535" s="401" t="str">
        <f>+I534</f>
        <v>Cali</v>
      </c>
      <c r="K535" s="370"/>
      <c r="N535" s="370"/>
    </row>
    <row r="536" spans="1:14" s="417" customFormat="1" x14ac:dyDescent="0.25">
      <c r="A536" s="416"/>
      <c r="E536" s="415"/>
      <c r="F536" s="415"/>
      <c r="G536" s="415"/>
      <c r="K536" s="418"/>
      <c r="N536" s="418"/>
    </row>
    <row r="537" spans="1:14" s="347" customFormat="1" x14ac:dyDescent="0.25">
      <c r="A537" s="369">
        <v>44228</v>
      </c>
      <c r="B537" s="347">
        <v>2</v>
      </c>
      <c r="C537" s="347">
        <v>115</v>
      </c>
      <c r="D537" s="340" t="str">
        <f>VLOOKUP(C537,Plan!A:B,2,0)</f>
        <v>Disponible Cali B.Chile</v>
      </c>
      <c r="E537" s="341">
        <f>+F537-G537</f>
        <v>120000</v>
      </c>
      <c r="F537" s="353">
        <v>120000</v>
      </c>
      <c r="G537" s="353">
        <v>0</v>
      </c>
      <c r="H537" t="s">
        <v>972</v>
      </c>
      <c r="I537" s="403" t="s">
        <v>131</v>
      </c>
      <c r="K537" s="370"/>
      <c r="N537" s="370"/>
    </row>
    <row r="538" spans="1:14" s="347" customFormat="1" x14ac:dyDescent="0.25">
      <c r="A538" s="369">
        <f>+A537</f>
        <v>44228</v>
      </c>
      <c r="B538" s="347">
        <v>2</v>
      </c>
      <c r="C538" s="347">
        <v>1222</v>
      </c>
      <c r="D538" s="340" t="str">
        <f>VLOOKUP(C538,Plan!A:B,2,0)</f>
        <v>Otros Valores -Oficina y Transferencias (249)</v>
      </c>
      <c r="E538" s="341">
        <f>+F538-G538</f>
        <v>-120000</v>
      </c>
      <c r="F538" s="353">
        <v>0</v>
      </c>
      <c r="G538" s="353">
        <f>+F537</f>
        <v>120000</v>
      </c>
      <c r="H538" t="s">
        <v>972</v>
      </c>
      <c r="I538" s="403" t="s">
        <v>131</v>
      </c>
      <c r="K538" s="370"/>
      <c r="N538" s="370"/>
    </row>
    <row r="539" spans="1:14" s="347" customFormat="1" x14ac:dyDescent="0.25">
      <c r="A539" s="369"/>
      <c r="E539" s="396"/>
      <c r="F539" s="396"/>
      <c r="G539" s="396"/>
      <c r="K539" s="370"/>
      <c r="N539" s="370"/>
    </row>
    <row r="540" spans="1:14" s="347" customFormat="1" x14ac:dyDescent="0.25">
      <c r="A540" s="369">
        <v>44228</v>
      </c>
      <c r="B540" s="347">
        <v>2</v>
      </c>
      <c r="C540" s="347">
        <v>115</v>
      </c>
      <c r="D540" s="340" t="str">
        <f>VLOOKUP(C540,Plan!A:B,2,0)</f>
        <v>Disponible Cali B.Chile</v>
      </c>
      <c r="E540" s="341">
        <f>+F540-G540</f>
        <v>80000</v>
      </c>
      <c r="F540" s="353">
        <v>80000</v>
      </c>
      <c r="G540" s="353">
        <v>0</v>
      </c>
      <c r="H540" t="s">
        <v>797</v>
      </c>
      <c r="I540" s="403" t="s">
        <v>131</v>
      </c>
      <c r="K540" s="370"/>
      <c r="N540" s="370"/>
    </row>
    <row r="541" spans="1:14" s="347" customFormat="1" x14ac:dyDescent="0.25">
      <c r="A541" s="369">
        <f>+A540</f>
        <v>44228</v>
      </c>
      <c r="B541" s="347">
        <v>2</v>
      </c>
      <c r="C541" s="347">
        <v>1217</v>
      </c>
      <c r="D541" s="340" t="str">
        <f>VLOOKUP(C541,Plan!A:B,2,0)</f>
        <v>Otros Valores -Oficina y Transferencias (248)</v>
      </c>
      <c r="E541" s="341">
        <f>+F541-G541</f>
        <v>-80000</v>
      </c>
      <c r="F541" s="353">
        <v>0</v>
      </c>
      <c r="G541" s="353">
        <f>+F540</f>
        <v>80000</v>
      </c>
      <c r="H541" t="s">
        <v>797</v>
      </c>
      <c r="I541" s="403" t="s">
        <v>131</v>
      </c>
      <c r="K541" s="370"/>
      <c r="N541" s="370"/>
    </row>
    <row r="542" spans="1:14" s="347" customFormat="1" x14ac:dyDescent="0.25">
      <c r="A542" s="369"/>
      <c r="E542" s="396"/>
      <c r="F542" s="396"/>
      <c r="G542" s="396"/>
      <c r="K542" s="370"/>
      <c r="N542" s="370"/>
    </row>
    <row r="543" spans="1:14" s="347" customFormat="1" x14ac:dyDescent="0.25">
      <c r="A543" s="369">
        <v>44228</v>
      </c>
      <c r="B543" s="347">
        <v>2</v>
      </c>
      <c r="C543" s="347">
        <v>115</v>
      </c>
      <c r="D543" s="340" t="str">
        <f>VLOOKUP(C543,Plan!A:B,2,0)</f>
        <v>Disponible Cali B.Chile</v>
      </c>
      <c r="E543" s="341">
        <f>+F543-G543</f>
        <v>10000</v>
      </c>
      <c r="F543" s="353">
        <v>10000</v>
      </c>
      <c r="G543" s="353">
        <v>0</v>
      </c>
      <c r="H543" t="s">
        <v>973</v>
      </c>
      <c r="I543" s="403" t="s">
        <v>131</v>
      </c>
      <c r="K543" s="370"/>
      <c r="N543" s="370"/>
    </row>
    <row r="544" spans="1:14" s="347" customFormat="1" x14ac:dyDescent="0.25">
      <c r="A544" s="369">
        <f>+A543</f>
        <v>44228</v>
      </c>
      <c r="B544" s="347">
        <v>2</v>
      </c>
      <c r="C544" s="347">
        <v>1222</v>
      </c>
      <c r="D544" s="340" t="str">
        <f>VLOOKUP(C544,Plan!A:B,2,0)</f>
        <v>Otros Valores -Oficina y Transferencias (249)</v>
      </c>
      <c r="E544" s="341">
        <f>+F544-G544</f>
        <v>-10000</v>
      </c>
      <c r="F544" s="353">
        <v>0</v>
      </c>
      <c r="G544" s="353">
        <f>+F543</f>
        <v>10000</v>
      </c>
      <c r="H544" t="s">
        <v>973</v>
      </c>
      <c r="I544" s="403" t="s">
        <v>131</v>
      </c>
      <c r="K544" s="370"/>
      <c r="N544" s="370"/>
    </row>
    <row r="545" spans="1:14" s="347" customFormat="1" x14ac:dyDescent="0.25">
      <c r="A545" s="369"/>
      <c r="E545" s="396"/>
      <c r="F545" s="396"/>
      <c r="G545" s="396"/>
      <c r="K545" s="370"/>
      <c r="N545" s="370"/>
    </row>
    <row r="546" spans="1:14" s="347" customFormat="1" x14ac:dyDescent="0.25">
      <c r="A546" s="369">
        <v>44228</v>
      </c>
      <c r="B546" s="347">
        <v>2</v>
      </c>
      <c r="C546" s="347">
        <v>115</v>
      </c>
      <c r="D546" s="340" t="str">
        <f>VLOOKUP(C546,Plan!A:B,2,0)</f>
        <v>Disponible Cali B.Chile</v>
      </c>
      <c r="E546" s="341">
        <f>+F546-G546</f>
        <v>50000</v>
      </c>
      <c r="F546" s="353">
        <v>50000</v>
      </c>
      <c r="G546" s="353">
        <v>0</v>
      </c>
      <c r="H546" t="s">
        <v>974</v>
      </c>
      <c r="I546" s="403" t="s">
        <v>131</v>
      </c>
      <c r="K546" s="370"/>
      <c r="N546" s="370"/>
    </row>
    <row r="547" spans="1:14" s="347" customFormat="1" x14ac:dyDescent="0.25">
      <c r="A547" s="369">
        <f>+A546</f>
        <v>44228</v>
      </c>
      <c r="B547" s="347">
        <v>2</v>
      </c>
      <c r="C547" s="347">
        <v>1222</v>
      </c>
      <c r="D547" s="340" t="str">
        <f>VLOOKUP(C547,Plan!A:B,2,0)</f>
        <v>Otros Valores -Oficina y Transferencias (249)</v>
      </c>
      <c r="E547" s="341">
        <f>+F547-G547</f>
        <v>-50000</v>
      </c>
      <c r="F547" s="353">
        <v>0</v>
      </c>
      <c r="G547" s="353">
        <f>+F546</f>
        <v>50000</v>
      </c>
      <c r="H547" t="s">
        <v>974</v>
      </c>
      <c r="I547" s="403" t="s">
        <v>131</v>
      </c>
      <c r="K547" s="370"/>
      <c r="N547" s="370"/>
    </row>
    <row r="548" spans="1:14" s="347" customFormat="1" x14ac:dyDescent="0.25">
      <c r="A548" s="369"/>
      <c r="E548" s="396"/>
      <c r="F548" s="396"/>
      <c r="G548" s="396"/>
      <c r="K548" s="370"/>
      <c r="N548" s="370"/>
    </row>
    <row r="549" spans="1:14" s="347" customFormat="1" x14ac:dyDescent="0.25">
      <c r="A549" s="369">
        <v>44228</v>
      </c>
      <c r="B549" s="347">
        <v>2</v>
      </c>
      <c r="C549" s="347">
        <v>115</v>
      </c>
      <c r="D549" s="340" t="str">
        <f>VLOOKUP(C549,Plan!A:B,2,0)</f>
        <v>Disponible Cali B.Chile</v>
      </c>
      <c r="E549" s="341">
        <f>+F549-G549</f>
        <v>48000</v>
      </c>
      <c r="F549" s="353">
        <v>48000</v>
      </c>
      <c r="G549" s="353">
        <v>0</v>
      </c>
      <c r="H549" t="s">
        <v>975</v>
      </c>
      <c r="I549" s="403" t="s">
        <v>131</v>
      </c>
      <c r="K549" s="370"/>
      <c r="N549" s="370"/>
    </row>
    <row r="550" spans="1:14" s="347" customFormat="1" x14ac:dyDescent="0.25">
      <c r="A550" s="369">
        <f>+A549</f>
        <v>44228</v>
      </c>
      <c r="B550" s="347">
        <v>2</v>
      </c>
      <c r="C550" s="347">
        <v>1217</v>
      </c>
      <c r="D550" s="340" t="str">
        <f>VLOOKUP(C550,Plan!A:B,2,0)</f>
        <v>Otros Valores -Oficina y Transferencias (248)</v>
      </c>
      <c r="E550" s="341">
        <f>+F550-G550</f>
        <v>-48000</v>
      </c>
      <c r="F550" s="353">
        <v>0</v>
      </c>
      <c r="G550" s="353">
        <f>+F549</f>
        <v>48000</v>
      </c>
      <c r="H550" t="s">
        <v>975</v>
      </c>
      <c r="I550" s="403" t="s">
        <v>131</v>
      </c>
      <c r="K550" s="370"/>
      <c r="N550" s="370"/>
    </row>
    <row r="551" spans="1:14" s="347" customFormat="1" x14ac:dyDescent="0.25">
      <c r="A551" s="369"/>
      <c r="E551" s="396"/>
      <c r="F551" s="396"/>
      <c r="G551" s="396"/>
      <c r="K551" s="370"/>
      <c r="N551" s="370"/>
    </row>
    <row r="552" spans="1:14" s="347" customFormat="1" x14ac:dyDescent="0.25">
      <c r="A552" s="369">
        <v>44228</v>
      </c>
      <c r="B552" s="347">
        <v>2</v>
      </c>
      <c r="C552" s="347">
        <v>115</v>
      </c>
      <c r="D552" s="340" t="str">
        <f>VLOOKUP(C552,Plan!A:B,2,0)</f>
        <v>Disponible Cali B.Chile</v>
      </c>
      <c r="E552" s="341">
        <f>+F552-G552</f>
        <v>40000</v>
      </c>
      <c r="F552" s="353">
        <v>40000</v>
      </c>
      <c r="G552" s="353">
        <v>0</v>
      </c>
      <c r="H552" t="s">
        <v>976</v>
      </c>
      <c r="I552" s="403" t="s">
        <v>131</v>
      </c>
      <c r="K552" s="370"/>
      <c r="N552" s="370"/>
    </row>
    <row r="553" spans="1:14" s="347" customFormat="1" x14ac:dyDescent="0.25">
      <c r="A553" s="369">
        <f>+A552</f>
        <v>44228</v>
      </c>
      <c r="B553" s="347">
        <v>2</v>
      </c>
      <c r="C553" s="347">
        <v>1222</v>
      </c>
      <c r="D553" s="340" t="str">
        <f>VLOOKUP(C553,Plan!A:B,2,0)</f>
        <v>Otros Valores -Oficina y Transferencias (249)</v>
      </c>
      <c r="E553" s="341">
        <f>+F553-G553</f>
        <v>-40000</v>
      </c>
      <c r="F553" s="353">
        <v>0</v>
      </c>
      <c r="G553" s="353">
        <f>+F552</f>
        <v>40000</v>
      </c>
      <c r="H553" t="s">
        <v>976</v>
      </c>
      <c r="I553" s="403" t="s">
        <v>131</v>
      </c>
      <c r="K553" s="370"/>
      <c r="N553" s="370"/>
    </row>
    <row r="554" spans="1:14" s="347" customFormat="1" x14ac:dyDescent="0.25">
      <c r="A554" s="369"/>
      <c r="E554" s="396"/>
      <c r="F554" s="396"/>
      <c r="G554" s="396"/>
      <c r="K554" s="370"/>
      <c r="N554" s="370"/>
    </row>
    <row r="555" spans="1:14" s="347" customFormat="1" x14ac:dyDescent="0.25">
      <c r="A555" s="369">
        <v>44228</v>
      </c>
      <c r="B555" s="347">
        <v>2</v>
      </c>
      <c r="C555" s="347">
        <v>115</v>
      </c>
      <c r="D555" s="340" t="str">
        <f>VLOOKUP(C555,Plan!A:B,2,0)</f>
        <v>Disponible Cali B.Chile</v>
      </c>
      <c r="E555" s="341">
        <f>+F555-G555</f>
        <v>20000</v>
      </c>
      <c r="F555" s="353">
        <v>20000</v>
      </c>
      <c r="G555" s="353">
        <v>0</v>
      </c>
      <c r="H555" t="s">
        <v>977</v>
      </c>
      <c r="I555" s="403" t="s">
        <v>131</v>
      </c>
      <c r="K555" s="370"/>
      <c r="N555" s="370"/>
    </row>
    <row r="556" spans="1:14" s="347" customFormat="1" x14ac:dyDescent="0.25">
      <c r="A556" s="369">
        <f>+A555</f>
        <v>44228</v>
      </c>
      <c r="B556" s="347">
        <v>2</v>
      </c>
      <c r="C556" s="347">
        <v>3210</v>
      </c>
      <c r="D556" s="340" t="str">
        <f>VLOOKUP(C556,Plan!A:B,2,0)</f>
        <v>Donacion Construccion</v>
      </c>
      <c r="E556" s="341">
        <f>+F556-G556</f>
        <v>-20000</v>
      </c>
      <c r="F556" s="353">
        <v>0</v>
      </c>
      <c r="G556" s="353">
        <f>+F555</f>
        <v>20000</v>
      </c>
      <c r="H556" t="s">
        <v>977</v>
      </c>
      <c r="I556" s="403" t="s">
        <v>131</v>
      </c>
      <c r="K556" s="370"/>
      <c r="N556" s="370"/>
    </row>
    <row r="557" spans="1:14" s="347" customFormat="1" x14ac:dyDescent="0.25">
      <c r="A557" s="369"/>
      <c r="E557" s="396"/>
      <c r="F557" s="396"/>
      <c r="G557" s="396"/>
      <c r="K557" s="370"/>
      <c r="N557" s="370"/>
    </row>
    <row r="558" spans="1:14" s="347" customFormat="1" x14ac:dyDescent="0.25">
      <c r="A558" s="369">
        <v>44228</v>
      </c>
      <c r="B558" s="347">
        <v>2</v>
      </c>
      <c r="C558" s="347">
        <v>115</v>
      </c>
      <c r="D558" s="340" t="str">
        <f>VLOOKUP(C558,Plan!A:B,2,0)</f>
        <v>Disponible Cali B.Chile</v>
      </c>
      <c r="E558" s="341">
        <f>+F558-G558</f>
        <v>30000</v>
      </c>
      <c r="F558" s="353">
        <v>30000</v>
      </c>
      <c r="G558" s="353">
        <v>0</v>
      </c>
      <c r="H558" t="s">
        <v>978</v>
      </c>
      <c r="I558" s="403" t="s">
        <v>131</v>
      </c>
      <c r="K558" s="370"/>
      <c r="N558" s="370"/>
    </row>
    <row r="559" spans="1:14" s="347" customFormat="1" x14ac:dyDescent="0.25">
      <c r="A559" s="369">
        <f>+A558</f>
        <v>44228</v>
      </c>
      <c r="B559" s="347">
        <v>2</v>
      </c>
      <c r="C559" s="347">
        <v>3210</v>
      </c>
      <c r="D559" s="340" t="str">
        <f>VLOOKUP(C559,Plan!A:B,2,0)</f>
        <v>Donacion Construccion</v>
      </c>
      <c r="E559" s="341">
        <f>+F559-G559</f>
        <v>-30000</v>
      </c>
      <c r="F559" s="353">
        <v>0</v>
      </c>
      <c r="G559" s="353">
        <f>+F558</f>
        <v>30000</v>
      </c>
      <c r="H559" t="s">
        <v>978</v>
      </c>
      <c r="I559" s="403" t="s">
        <v>131</v>
      </c>
      <c r="K559" s="370"/>
      <c r="N559" s="370"/>
    </row>
    <row r="560" spans="1:14" s="347" customFormat="1" x14ac:dyDescent="0.25">
      <c r="A560" s="369"/>
      <c r="E560" s="396"/>
      <c r="F560" s="396"/>
      <c r="G560" s="396"/>
      <c r="K560" s="370"/>
      <c r="N560" s="370"/>
    </row>
    <row r="561" spans="1:14" s="347" customFormat="1" x14ac:dyDescent="0.25">
      <c r="A561" s="369">
        <v>44228</v>
      </c>
      <c r="B561" s="347">
        <v>2</v>
      </c>
      <c r="C561" s="347">
        <v>115</v>
      </c>
      <c r="D561" s="340" t="str">
        <f>VLOOKUP(C561,Plan!A:B,2,0)</f>
        <v>Disponible Cali B.Chile</v>
      </c>
      <c r="E561" s="341">
        <f>+F561-G561</f>
        <v>20000</v>
      </c>
      <c r="F561" s="353">
        <v>20000</v>
      </c>
      <c r="G561" s="353">
        <v>0</v>
      </c>
      <c r="H561" t="s">
        <v>548</v>
      </c>
      <c r="I561" s="403" t="s">
        <v>131</v>
      </c>
      <c r="K561" s="370"/>
      <c r="N561" s="370"/>
    </row>
    <row r="562" spans="1:14" s="347" customFormat="1" x14ac:dyDescent="0.25">
      <c r="A562" s="369">
        <f>+A561</f>
        <v>44228</v>
      </c>
      <c r="B562" s="347">
        <v>2</v>
      </c>
      <c r="C562" s="347">
        <v>1222</v>
      </c>
      <c r="D562" s="340" t="str">
        <f>VLOOKUP(C562,Plan!A:B,2,0)</f>
        <v>Otros Valores -Oficina y Transferencias (249)</v>
      </c>
      <c r="E562" s="341">
        <f>+F562-G562</f>
        <v>-20000</v>
      </c>
      <c r="F562" s="353">
        <v>0</v>
      </c>
      <c r="G562" s="353">
        <f>+F561</f>
        <v>20000</v>
      </c>
      <c r="H562" t="s">
        <v>548</v>
      </c>
      <c r="I562" s="403" t="s">
        <v>131</v>
      </c>
      <c r="K562" s="370"/>
      <c r="N562" s="370"/>
    </row>
    <row r="563" spans="1:14" s="347" customFormat="1" x14ac:dyDescent="0.25">
      <c r="A563" s="369"/>
      <c r="E563" s="396"/>
      <c r="F563" s="396"/>
      <c r="G563" s="396"/>
      <c r="K563" s="370"/>
      <c r="N563" s="370"/>
    </row>
    <row r="564" spans="1:14" s="347" customFormat="1" x14ac:dyDescent="0.25">
      <c r="A564" s="369">
        <v>44228</v>
      </c>
      <c r="B564" s="347">
        <v>2</v>
      </c>
      <c r="C564" s="347">
        <v>115</v>
      </c>
      <c r="D564" s="340" t="str">
        <f>VLOOKUP(C564,Plan!A:B,2,0)</f>
        <v>Disponible Cali B.Chile</v>
      </c>
      <c r="E564" s="341">
        <f>+F564-G564</f>
        <v>50000</v>
      </c>
      <c r="F564" s="353">
        <v>50000</v>
      </c>
      <c r="G564" s="353">
        <v>0</v>
      </c>
      <c r="H564" t="s">
        <v>547</v>
      </c>
      <c r="I564" s="403" t="s">
        <v>131</v>
      </c>
      <c r="K564" s="370"/>
      <c r="N564" s="370"/>
    </row>
    <row r="565" spans="1:14" s="347" customFormat="1" x14ac:dyDescent="0.25">
      <c r="A565" s="369">
        <f>+A564</f>
        <v>44228</v>
      </c>
      <c r="B565" s="347">
        <v>2</v>
      </c>
      <c r="C565" s="347">
        <v>1222</v>
      </c>
      <c r="D565" s="340" t="str">
        <f>VLOOKUP(C565,Plan!A:B,2,0)</f>
        <v>Otros Valores -Oficina y Transferencias (249)</v>
      </c>
      <c r="E565" s="341">
        <f>+F565-G565</f>
        <v>-50000</v>
      </c>
      <c r="F565" s="353">
        <v>0</v>
      </c>
      <c r="G565" s="353">
        <f>+F564</f>
        <v>50000</v>
      </c>
      <c r="H565" t="s">
        <v>547</v>
      </c>
      <c r="I565" s="403" t="s">
        <v>131</v>
      </c>
      <c r="K565" s="370"/>
      <c r="N565" s="370"/>
    </row>
    <row r="566" spans="1:14" s="347" customFormat="1" x14ac:dyDescent="0.25">
      <c r="A566" s="369"/>
      <c r="E566" s="396"/>
      <c r="F566" s="396"/>
      <c r="G566" s="396"/>
      <c r="K566" s="370"/>
      <c r="N566" s="370"/>
    </row>
    <row r="567" spans="1:14" s="347" customFormat="1" x14ac:dyDescent="0.25">
      <c r="A567" s="369">
        <v>44228</v>
      </c>
      <c r="B567" s="347">
        <v>2</v>
      </c>
      <c r="C567" s="347">
        <v>115</v>
      </c>
      <c r="D567" s="340" t="str">
        <f>VLOOKUP(C567,Plan!A:B,2,0)</f>
        <v>Disponible Cali B.Chile</v>
      </c>
      <c r="E567" s="341">
        <f>+F567-G567</f>
        <v>15000</v>
      </c>
      <c r="F567" s="353">
        <v>15000</v>
      </c>
      <c r="G567" s="353">
        <v>0</v>
      </c>
      <c r="H567" t="s">
        <v>979</v>
      </c>
      <c r="I567" s="403" t="s">
        <v>131</v>
      </c>
      <c r="K567" s="370"/>
      <c r="N567" s="370"/>
    </row>
    <row r="568" spans="1:14" s="347" customFormat="1" x14ac:dyDescent="0.25">
      <c r="A568" s="369">
        <f>+A567</f>
        <v>44228</v>
      </c>
      <c r="B568" s="347">
        <v>2</v>
      </c>
      <c r="C568" s="347">
        <v>1222</v>
      </c>
      <c r="D568" s="340" t="str">
        <f>VLOOKUP(C568,Plan!A:B,2,0)</f>
        <v>Otros Valores -Oficina y Transferencias (249)</v>
      </c>
      <c r="E568" s="341">
        <f>+F568-G568</f>
        <v>-15000</v>
      </c>
      <c r="F568" s="353">
        <v>0</v>
      </c>
      <c r="G568" s="353">
        <f>+F567</f>
        <v>15000</v>
      </c>
      <c r="H568" t="s">
        <v>979</v>
      </c>
      <c r="I568" s="403" t="s">
        <v>131</v>
      </c>
      <c r="K568" s="370"/>
      <c r="N568" s="370"/>
    </row>
    <row r="569" spans="1:14" s="347" customFormat="1" x14ac:dyDescent="0.25">
      <c r="A569" s="369"/>
      <c r="E569" s="396"/>
      <c r="F569" s="396"/>
      <c r="G569" s="396"/>
      <c r="K569" s="370"/>
      <c r="N569" s="370"/>
    </row>
    <row r="570" spans="1:14" s="347" customFormat="1" x14ac:dyDescent="0.25">
      <c r="A570" s="369">
        <v>44228</v>
      </c>
      <c r="B570" s="347">
        <v>2</v>
      </c>
      <c r="C570" s="347">
        <v>115</v>
      </c>
      <c r="D570" s="340" t="str">
        <f>VLOOKUP(C570,Plan!A:B,2,0)</f>
        <v>Disponible Cali B.Chile</v>
      </c>
      <c r="E570" s="341">
        <f>+F570-G570</f>
        <v>25000</v>
      </c>
      <c r="F570" s="353">
        <v>25000</v>
      </c>
      <c r="G570" s="353">
        <v>0</v>
      </c>
      <c r="H570" t="s">
        <v>980</v>
      </c>
      <c r="I570" s="403" t="s">
        <v>131</v>
      </c>
      <c r="K570" s="370"/>
      <c r="N570" s="370"/>
    </row>
    <row r="571" spans="1:14" s="347" customFormat="1" x14ac:dyDescent="0.25">
      <c r="A571" s="369">
        <f>+A570</f>
        <v>44228</v>
      </c>
      <c r="B571" s="347">
        <v>2</v>
      </c>
      <c r="C571" s="347">
        <v>1217</v>
      </c>
      <c r="D571" s="340" t="str">
        <f>VLOOKUP(C571,Plan!A:B,2,0)</f>
        <v>Otros Valores -Oficina y Transferencias (248)</v>
      </c>
      <c r="E571" s="341">
        <f>+F571-G571</f>
        <v>-25000</v>
      </c>
      <c r="F571" s="353">
        <v>0</v>
      </c>
      <c r="G571" s="353">
        <f>+F570</f>
        <v>25000</v>
      </c>
      <c r="H571" t="s">
        <v>980</v>
      </c>
      <c r="I571" s="403" t="s">
        <v>131</v>
      </c>
      <c r="K571" s="370"/>
      <c r="N571" s="370"/>
    </row>
    <row r="572" spans="1:14" s="347" customFormat="1" x14ac:dyDescent="0.25">
      <c r="A572" s="369"/>
      <c r="E572" s="396"/>
      <c r="F572" s="396"/>
      <c r="G572" s="396"/>
      <c r="K572" s="370"/>
      <c r="N572" s="370"/>
    </row>
    <row r="573" spans="1:14" s="347" customFormat="1" x14ac:dyDescent="0.25">
      <c r="A573" s="369">
        <v>44228</v>
      </c>
      <c r="B573" s="347">
        <v>2</v>
      </c>
      <c r="C573" s="347">
        <v>115</v>
      </c>
      <c r="D573" s="340" t="str">
        <f>VLOOKUP(C573,Plan!A:B,2,0)</f>
        <v>Disponible Cali B.Chile</v>
      </c>
      <c r="E573" s="341">
        <f>+F573-G573</f>
        <v>25000</v>
      </c>
      <c r="F573" s="353">
        <v>25000</v>
      </c>
      <c r="G573" s="353">
        <v>0</v>
      </c>
      <c r="H573" t="s">
        <v>981</v>
      </c>
      <c r="I573" s="403" t="s">
        <v>131</v>
      </c>
      <c r="K573" s="370"/>
      <c r="N573" s="370"/>
    </row>
    <row r="574" spans="1:14" s="347" customFormat="1" x14ac:dyDescent="0.25">
      <c r="A574" s="369">
        <f>+A573</f>
        <v>44228</v>
      </c>
      <c r="B574" s="347">
        <v>2</v>
      </c>
      <c r="C574" s="347">
        <v>1222</v>
      </c>
      <c r="D574" s="340" t="str">
        <f>VLOOKUP(C574,Plan!A:B,2,0)</f>
        <v>Otros Valores -Oficina y Transferencias (249)</v>
      </c>
      <c r="E574" s="341">
        <f>+F574-G574</f>
        <v>-25000</v>
      </c>
      <c r="F574" s="353">
        <v>0</v>
      </c>
      <c r="G574" s="353">
        <f>+F573</f>
        <v>25000</v>
      </c>
      <c r="H574" t="s">
        <v>981</v>
      </c>
      <c r="I574" s="403" t="s">
        <v>131</v>
      </c>
      <c r="K574" s="370"/>
      <c r="N574" s="370"/>
    </row>
    <row r="575" spans="1:14" s="347" customFormat="1" x14ac:dyDescent="0.25">
      <c r="A575" s="369"/>
      <c r="E575" s="396"/>
      <c r="F575" s="396"/>
      <c r="G575" s="396"/>
      <c r="K575" s="370"/>
      <c r="N575" s="370"/>
    </row>
    <row r="576" spans="1:14" s="347" customFormat="1" x14ac:dyDescent="0.25">
      <c r="A576" s="369">
        <v>44228</v>
      </c>
      <c r="B576" s="347">
        <v>2</v>
      </c>
      <c r="C576" s="347">
        <v>115</v>
      </c>
      <c r="D576" s="340" t="str">
        <f>VLOOKUP(C576,Plan!A:B,2,0)</f>
        <v>Disponible Cali B.Chile</v>
      </c>
      <c r="E576" s="341">
        <f>+F576-G576</f>
        <v>12000</v>
      </c>
      <c r="F576" s="353">
        <v>12000</v>
      </c>
      <c r="G576" s="353">
        <v>0</v>
      </c>
      <c r="H576" t="s">
        <v>982</v>
      </c>
      <c r="I576" s="403" t="s">
        <v>131</v>
      </c>
      <c r="K576" s="370"/>
      <c r="N576" s="370"/>
    </row>
    <row r="577" spans="1:14" s="347" customFormat="1" x14ac:dyDescent="0.25">
      <c r="A577" s="369">
        <v>44228</v>
      </c>
      <c r="B577" s="347">
        <v>2</v>
      </c>
      <c r="C577" s="347">
        <v>216</v>
      </c>
      <c r="D577" s="340" t="str">
        <f>VLOOKUP(C577,Plan!A:B,2,0)</f>
        <v>Cuenta por Pagar a Administración Colectas</v>
      </c>
      <c r="E577" s="341">
        <f>+F577-G577</f>
        <v>-12000</v>
      </c>
      <c r="F577" s="353">
        <v>0</v>
      </c>
      <c r="G577" s="353">
        <f>+F576</f>
        <v>12000</v>
      </c>
      <c r="H577" t="s">
        <v>982</v>
      </c>
      <c r="I577" s="403" t="s">
        <v>131</v>
      </c>
      <c r="K577" s="370"/>
      <c r="N577" s="370"/>
    </row>
    <row r="578" spans="1:14" s="347" customFormat="1" x14ac:dyDescent="0.25">
      <c r="A578" s="369"/>
      <c r="E578" s="396"/>
      <c r="F578" s="396"/>
      <c r="G578" s="396"/>
      <c r="K578" s="370"/>
      <c r="N578" s="370"/>
    </row>
    <row r="579" spans="1:14" s="347" customFormat="1" x14ac:dyDescent="0.25">
      <c r="A579" s="369">
        <v>44228</v>
      </c>
      <c r="B579" s="347">
        <v>2</v>
      </c>
      <c r="C579" s="347">
        <v>115</v>
      </c>
      <c r="D579" s="340" t="str">
        <f>VLOOKUP(C579,Plan!A:B,2,0)</f>
        <v>Disponible Cali B.Chile</v>
      </c>
      <c r="E579" s="341">
        <f>+F579-G579</f>
        <v>20000</v>
      </c>
      <c r="F579" s="353">
        <v>20000</v>
      </c>
      <c r="G579" s="353">
        <v>0</v>
      </c>
      <c r="H579" t="s">
        <v>983</v>
      </c>
      <c r="I579" s="403" t="s">
        <v>131</v>
      </c>
      <c r="K579" s="370"/>
      <c r="N579" s="370"/>
    </row>
    <row r="580" spans="1:14" s="347" customFormat="1" x14ac:dyDescent="0.25">
      <c r="A580" s="369">
        <f>+A579</f>
        <v>44228</v>
      </c>
      <c r="B580" s="347">
        <v>2</v>
      </c>
      <c r="C580" s="347">
        <v>1222</v>
      </c>
      <c r="D580" s="340" t="str">
        <f>VLOOKUP(C580,Plan!A:B,2,0)</f>
        <v>Otros Valores -Oficina y Transferencias (249)</v>
      </c>
      <c r="E580" s="341">
        <f>+F580-G580</f>
        <v>-20000</v>
      </c>
      <c r="F580" s="353">
        <v>0</v>
      </c>
      <c r="G580" s="353">
        <f>+F579</f>
        <v>20000</v>
      </c>
      <c r="H580" t="s">
        <v>983</v>
      </c>
      <c r="I580" s="403" t="s">
        <v>131</v>
      </c>
      <c r="K580" s="370"/>
      <c r="N580" s="370"/>
    </row>
    <row r="581" spans="1:14" s="347" customFormat="1" x14ac:dyDescent="0.25">
      <c r="A581" s="369"/>
      <c r="E581" s="396"/>
      <c r="F581" s="396"/>
      <c r="G581" s="396"/>
      <c r="K581" s="370"/>
      <c r="N581" s="370"/>
    </row>
    <row r="582" spans="1:14" s="347" customFormat="1" x14ac:dyDescent="0.25">
      <c r="A582" s="369">
        <v>44229</v>
      </c>
      <c r="B582" s="347">
        <v>2</v>
      </c>
      <c r="C582" s="347">
        <v>115</v>
      </c>
      <c r="D582" s="340" t="str">
        <f>VLOOKUP(C582,Plan!A:B,2,0)</f>
        <v>Disponible Cali B.Chile</v>
      </c>
      <c r="E582" s="341">
        <f>+F582-G582</f>
        <v>2319733</v>
      </c>
      <c r="F582" s="353">
        <v>2319733</v>
      </c>
      <c r="G582" s="353">
        <v>0</v>
      </c>
      <c r="H582" t="s">
        <v>984</v>
      </c>
      <c r="I582" s="403" t="s">
        <v>131</v>
      </c>
      <c r="K582" s="370"/>
      <c r="N582" s="370"/>
    </row>
    <row r="583" spans="1:14" s="347" customFormat="1" x14ac:dyDescent="0.25">
      <c r="A583" s="369">
        <v>44229</v>
      </c>
      <c r="B583" s="347">
        <v>2</v>
      </c>
      <c r="C583" s="347">
        <v>1219</v>
      </c>
      <c r="D583" s="340" t="str">
        <f>VLOOKUP(C583,Plan!A:B,2,0)</f>
        <v>Otros Valores Arzobispado (248)</v>
      </c>
      <c r="E583" s="341">
        <f>+F583-G583</f>
        <v>-2319733</v>
      </c>
      <c r="F583" s="353">
        <v>0</v>
      </c>
      <c r="G583" s="353">
        <f>+F582</f>
        <v>2319733</v>
      </c>
      <c r="H583" t="s">
        <v>984</v>
      </c>
      <c r="I583" s="403" t="s">
        <v>131</v>
      </c>
      <c r="K583" s="370"/>
      <c r="N583" s="370"/>
    </row>
    <row r="584" spans="1:14" s="347" customFormat="1" x14ac:dyDescent="0.25">
      <c r="A584" s="369"/>
      <c r="E584" s="396"/>
      <c r="F584" s="396"/>
      <c r="G584" s="396"/>
      <c r="K584" s="370"/>
      <c r="N584" s="370"/>
    </row>
    <row r="585" spans="1:14" s="347" customFormat="1" x14ac:dyDescent="0.25">
      <c r="A585" s="369">
        <v>44229</v>
      </c>
      <c r="B585" s="347">
        <v>2</v>
      </c>
      <c r="C585" s="347">
        <v>115</v>
      </c>
      <c r="D585" s="340" t="str">
        <f>VLOOKUP(C585,Plan!A:B,2,0)</f>
        <v>Disponible Cali B.Chile</v>
      </c>
      <c r="E585" s="341">
        <f>+F585-G585</f>
        <v>1936273</v>
      </c>
      <c r="F585" s="353">
        <v>1936273</v>
      </c>
      <c r="G585" s="353">
        <v>0</v>
      </c>
      <c r="H585" t="s">
        <v>985</v>
      </c>
      <c r="I585" s="403" t="s">
        <v>131</v>
      </c>
      <c r="K585" s="370"/>
      <c r="N585" s="370"/>
    </row>
    <row r="586" spans="1:14" s="347" customFormat="1" x14ac:dyDescent="0.25">
      <c r="A586" s="369">
        <v>44229</v>
      </c>
      <c r="B586" s="347">
        <v>2</v>
      </c>
      <c r="C586" s="347">
        <v>1220</v>
      </c>
      <c r="D586" s="340" t="str">
        <f>VLOOKUP(C586,Plan!A:B,2,0)</f>
        <v>Otros Valores Arzobispado (249)</v>
      </c>
      <c r="E586" s="341">
        <f>+F586-G586</f>
        <v>-1936273</v>
      </c>
      <c r="F586" s="353">
        <v>0</v>
      </c>
      <c r="G586" s="353">
        <f>+F585</f>
        <v>1936273</v>
      </c>
      <c r="H586" t="s">
        <v>985</v>
      </c>
      <c r="I586" s="403" t="s">
        <v>131</v>
      </c>
      <c r="K586" s="370"/>
      <c r="N586" s="370"/>
    </row>
    <row r="587" spans="1:14" s="347" customFormat="1" x14ac:dyDescent="0.25">
      <c r="A587" s="369"/>
      <c r="E587" s="396"/>
      <c r="F587" s="396"/>
      <c r="G587" s="396"/>
      <c r="K587" s="370"/>
      <c r="N587" s="370"/>
    </row>
    <row r="588" spans="1:14" s="347" customFormat="1" x14ac:dyDescent="0.25">
      <c r="A588" s="369">
        <v>44229</v>
      </c>
      <c r="B588" s="347">
        <v>2</v>
      </c>
      <c r="C588" s="347">
        <v>115</v>
      </c>
      <c r="D588" s="340" t="str">
        <f>VLOOKUP(C588,Plan!A:B,2,0)</f>
        <v>Disponible Cali B.Chile</v>
      </c>
      <c r="E588" s="341">
        <f>+F588-G588</f>
        <v>42000</v>
      </c>
      <c r="F588" s="353">
        <v>42000</v>
      </c>
      <c r="G588" s="353">
        <v>0</v>
      </c>
      <c r="H588" t="s">
        <v>986</v>
      </c>
      <c r="I588" s="403" t="s">
        <v>131</v>
      </c>
      <c r="K588" s="370"/>
      <c r="N588" s="370"/>
    </row>
    <row r="589" spans="1:14" s="347" customFormat="1" x14ac:dyDescent="0.25">
      <c r="A589" s="369">
        <v>44229</v>
      </c>
      <c r="B589" s="347">
        <v>2</v>
      </c>
      <c r="C589" s="347">
        <v>216</v>
      </c>
      <c r="D589" s="340" t="str">
        <f>VLOOKUP(C589,Plan!A:B,2,0)</f>
        <v>Cuenta por Pagar a Administración Colectas</v>
      </c>
      <c r="E589" s="341">
        <f>+F589-G589</f>
        <v>-42000</v>
      </c>
      <c r="F589" s="353">
        <v>0</v>
      </c>
      <c r="G589" s="353">
        <f>+F588</f>
        <v>42000</v>
      </c>
      <c r="H589" t="s">
        <v>986</v>
      </c>
      <c r="I589" s="403" t="s">
        <v>131</v>
      </c>
      <c r="K589" s="370"/>
      <c r="N589" s="370"/>
    </row>
    <row r="590" spans="1:14" s="347" customFormat="1" x14ac:dyDescent="0.25">
      <c r="A590" s="369"/>
      <c r="E590" s="396"/>
      <c r="F590" s="396"/>
      <c r="G590" s="396"/>
      <c r="K590" s="370"/>
      <c r="N590" s="370"/>
    </row>
    <row r="591" spans="1:14" s="347" customFormat="1" x14ac:dyDescent="0.25">
      <c r="A591" s="369">
        <v>44229</v>
      </c>
      <c r="B591" s="347">
        <v>2</v>
      </c>
      <c r="C591" s="347">
        <v>115</v>
      </c>
      <c r="D591" s="340" t="str">
        <f>VLOOKUP(C591,Plan!A:B,2,0)</f>
        <v>Disponible Cali B.Chile</v>
      </c>
      <c r="E591" s="341">
        <f>+F591-G591</f>
        <v>100000</v>
      </c>
      <c r="F591" s="353">
        <v>100000</v>
      </c>
      <c r="G591" s="353">
        <v>0</v>
      </c>
      <c r="H591" t="s">
        <v>987</v>
      </c>
      <c r="I591" s="403" t="s">
        <v>131</v>
      </c>
      <c r="K591" s="370"/>
      <c r="N591" s="370"/>
    </row>
    <row r="592" spans="1:14" s="347" customFormat="1" x14ac:dyDescent="0.25">
      <c r="A592" s="369">
        <v>44229</v>
      </c>
      <c r="B592" s="347">
        <v>2</v>
      </c>
      <c r="C592" s="347">
        <v>1217</v>
      </c>
      <c r="D592" s="340" t="str">
        <f>VLOOKUP(C592,Plan!A:B,2,0)</f>
        <v>Otros Valores -Oficina y Transferencias (248)</v>
      </c>
      <c r="E592" s="341">
        <f>+F592-G592</f>
        <v>-100000</v>
      </c>
      <c r="F592" s="353">
        <v>0</v>
      </c>
      <c r="G592" s="353">
        <f>+F591</f>
        <v>100000</v>
      </c>
      <c r="H592" t="s">
        <v>987</v>
      </c>
      <c r="I592" s="403" t="s">
        <v>131</v>
      </c>
      <c r="K592" s="370"/>
      <c r="N592" s="370"/>
    </row>
    <row r="593" spans="1:14" s="347" customFormat="1" x14ac:dyDescent="0.25">
      <c r="A593" s="369"/>
      <c r="E593" s="396"/>
      <c r="F593" s="396"/>
      <c r="G593" s="396"/>
      <c r="K593" s="370"/>
      <c r="N593" s="370"/>
    </row>
    <row r="594" spans="1:14" s="347" customFormat="1" x14ac:dyDescent="0.25">
      <c r="A594" s="369">
        <v>44229</v>
      </c>
      <c r="B594" s="347">
        <v>2</v>
      </c>
      <c r="C594" s="347">
        <v>115</v>
      </c>
      <c r="D594" s="340" t="str">
        <f>VLOOKUP(C594,Plan!A:B,2,0)</f>
        <v>Disponible Cali B.Chile</v>
      </c>
      <c r="E594" s="341">
        <f>+F594-G594</f>
        <v>20000</v>
      </c>
      <c r="F594" s="353">
        <v>20000</v>
      </c>
      <c r="G594" s="353">
        <v>0</v>
      </c>
      <c r="H594" t="s">
        <v>988</v>
      </c>
      <c r="I594" s="403" t="s">
        <v>131</v>
      </c>
      <c r="K594" s="370"/>
      <c r="N594" s="370"/>
    </row>
    <row r="595" spans="1:14" s="347" customFormat="1" x14ac:dyDescent="0.25">
      <c r="A595" s="369">
        <v>44229</v>
      </c>
      <c r="B595" s="347">
        <v>2</v>
      </c>
      <c r="C595" s="347">
        <v>1222</v>
      </c>
      <c r="D595" s="340" t="str">
        <f>VLOOKUP(C595,Plan!A:B,2,0)</f>
        <v>Otros Valores -Oficina y Transferencias (249)</v>
      </c>
      <c r="E595" s="341">
        <f>+F595-G595</f>
        <v>-20000</v>
      </c>
      <c r="F595" s="353">
        <v>0</v>
      </c>
      <c r="G595" s="353">
        <f>+F594</f>
        <v>20000</v>
      </c>
      <c r="H595" t="s">
        <v>988</v>
      </c>
      <c r="I595" s="403" t="s">
        <v>131</v>
      </c>
      <c r="K595" s="370"/>
      <c r="N595" s="370"/>
    </row>
    <row r="596" spans="1:14" s="347" customFormat="1" x14ac:dyDescent="0.25">
      <c r="A596" s="369"/>
      <c r="E596" s="396"/>
      <c r="F596" s="396"/>
      <c r="G596" s="396"/>
      <c r="K596" s="370"/>
      <c r="N596" s="370"/>
    </row>
    <row r="597" spans="1:14" s="347" customFormat="1" x14ac:dyDescent="0.25">
      <c r="A597" s="369">
        <v>44229</v>
      </c>
      <c r="B597" s="347">
        <v>2</v>
      </c>
      <c r="C597" s="347">
        <v>115</v>
      </c>
      <c r="D597" s="340" t="str">
        <f>VLOOKUP(C597,Plan!A:B,2,0)</f>
        <v>Disponible Cali B.Chile</v>
      </c>
      <c r="E597" s="341">
        <f>+F597-G597</f>
        <v>40000</v>
      </c>
      <c r="F597" s="353">
        <v>40000</v>
      </c>
      <c r="G597" s="353">
        <v>0</v>
      </c>
      <c r="H597" t="s">
        <v>989</v>
      </c>
      <c r="I597" s="403" t="s">
        <v>131</v>
      </c>
      <c r="K597" s="370"/>
      <c r="N597" s="370"/>
    </row>
    <row r="598" spans="1:14" s="347" customFormat="1" x14ac:dyDescent="0.25">
      <c r="A598" s="369">
        <v>44229</v>
      </c>
      <c r="B598" s="347">
        <v>2</v>
      </c>
      <c r="C598" s="347">
        <v>1217</v>
      </c>
      <c r="D598" s="340" t="str">
        <f>VLOOKUP(C598,Plan!A:B,2,0)</f>
        <v>Otros Valores -Oficina y Transferencias (248)</v>
      </c>
      <c r="E598" s="341">
        <f>+F598-G598</f>
        <v>-40000</v>
      </c>
      <c r="F598" s="353">
        <v>0</v>
      </c>
      <c r="G598" s="353">
        <f>+F597</f>
        <v>40000</v>
      </c>
      <c r="H598" t="s">
        <v>989</v>
      </c>
      <c r="I598" s="403" t="s">
        <v>131</v>
      </c>
      <c r="K598" s="370"/>
      <c r="N598" s="370"/>
    </row>
    <row r="599" spans="1:14" s="347" customFormat="1" x14ac:dyDescent="0.25">
      <c r="A599" s="369"/>
      <c r="E599" s="396"/>
      <c r="F599" s="396"/>
      <c r="G599" s="396"/>
      <c r="K599" s="370"/>
      <c r="N599" s="370"/>
    </row>
    <row r="600" spans="1:14" s="347" customFormat="1" x14ac:dyDescent="0.25">
      <c r="A600" s="369">
        <v>44229</v>
      </c>
      <c r="B600" s="347">
        <v>2</v>
      </c>
      <c r="C600" s="347">
        <v>115</v>
      </c>
      <c r="D600" s="340" t="str">
        <f>VLOOKUP(C600,Plan!A:B,2,0)</f>
        <v>Disponible Cali B.Chile</v>
      </c>
      <c r="E600" s="341">
        <f>+F600-G600</f>
        <v>25000</v>
      </c>
      <c r="F600" s="353">
        <v>25000</v>
      </c>
      <c r="G600" s="353">
        <v>0</v>
      </c>
      <c r="H600" t="s">
        <v>990</v>
      </c>
      <c r="I600" s="403" t="s">
        <v>131</v>
      </c>
      <c r="K600" s="370"/>
      <c r="N600" s="370"/>
    </row>
    <row r="601" spans="1:14" s="347" customFormat="1" x14ac:dyDescent="0.25">
      <c r="A601" s="369">
        <v>44229</v>
      </c>
      <c r="B601" s="347">
        <v>2</v>
      </c>
      <c r="C601" s="347">
        <v>1222</v>
      </c>
      <c r="D601" s="340" t="str">
        <f>VLOOKUP(C601,Plan!A:B,2,0)</f>
        <v>Otros Valores -Oficina y Transferencias (249)</v>
      </c>
      <c r="E601" s="341">
        <f>+F601-G601</f>
        <v>-25000</v>
      </c>
      <c r="F601" s="353">
        <v>0</v>
      </c>
      <c r="G601" s="353">
        <f>+F600</f>
        <v>25000</v>
      </c>
      <c r="H601" t="s">
        <v>990</v>
      </c>
      <c r="I601" s="403" t="s">
        <v>131</v>
      </c>
      <c r="K601" s="370"/>
      <c r="N601" s="370"/>
    </row>
    <row r="602" spans="1:14" s="347" customFormat="1" x14ac:dyDescent="0.25">
      <c r="A602" s="369"/>
      <c r="E602" s="396"/>
      <c r="F602" s="396"/>
      <c r="G602" s="396"/>
      <c r="K602" s="370"/>
      <c r="N602" s="370"/>
    </row>
    <row r="603" spans="1:14" s="347" customFormat="1" x14ac:dyDescent="0.25">
      <c r="A603" s="369">
        <v>44229</v>
      </c>
      <c r="B603" s="347">
        <v>2</v>
      </c>
      <c r="C603" s="347">
        <v>115</v>
      </c>
      <c r="D603" s="340" t="str">
        <f>VLOOKUP(C603,Plan!A:B,2,0)</f>
        <v>Disponible Cali B.Chile</v>
      </c>
      <c r="E603" s="341">
        <f>+F603-G603</f>
        <v>29429</v>
      </c>
      <c r="F603" s="353">
        <v>29429</v>
      </c>
      <c r="G603" s="353">
        <v>0</v>
      </c>
      <c r="H603" t="s">
        <v>991</v>
      </c>
      <c r="I603" s="403" t="s">
        <v>131</v>
      </c>
      <c r="K603" s="370"/>
      <c r="N603" s="370"/>
    </row>
    <row r="604" spans="1:14" s="347" customFormat="1" x14ac:dyDescent="0.25">
      <c r="A604" s="369">
        <v>44229</v>
      </c>
      <c r="B604" s="347">
        <v>2</v>
      </c>
      <c r="C604" s="347">
        <v>4331</v>
      </c>
      <c r="D604" s="340" t="str">
        <f>VLOOKUP(C604,Plan!A:B,2,0)</f>
        <v>Cali</v>
      </c>
      <c r="E604" s="341">
        <f>+F604-G604</f>
        <v>571</v>
      </c>
      <c r="F604" s="353">
        <f>+G605-F603</f>
        <v>571</v>
      </c>
      <c r="G604" s="353">
        <v>0</v>
      </c>
      <c r="H604" t="s">
        <v>991</v>
      </c>
      <c r="I604" s="403" t="s">
        <v>131</v>
      </c>
      <c r="K604" s="370"/>
      <c r="N604" s="370"/>
    </row>
    <row r="605" spans="1:14" s="347" customFormat="1" x14ac:dyDescent="0.25">
      <c r="A605" s="369">
        <v>44229</v>
      </c>
      <c r="B605" s="347">
        <v>2</v>
      </c>
      <c r="C605" s="347">
        <v>1222</v>
      </c>
      <c r="D605" s="340" t="str">
        <f>VLOOKUP(C605,Plan!A:B,2,0)</f>
        <v>Otros Valores -Oficina y Transferencias (249)</v>
      </c>
      <c r="E605" s="341">
        <f>+F605-G605</f>
        <v>-30000</v>
      </c>
      <c r="F605" s="353">
        <v>0</v>
      </c>
      <c r="G605" s="353">
        <v>30000</v>
      </c>
      <c r="H605" t="s">
        <v>991</v>
      </c>
      <c r="I605" s="403" t="s">
        <v>131</v>
      </c>
      <c r="K605" s="370"/>
      <c r="N605" s="370"/>
    </row>
    <row r="606" spans="1:14" s="347" customFormat="1" x14ac:dyDescent="0.25">
      <c r="A606" s="369"/>
      <c r="E606" s="396"/>
      <c r="F606" s="396"/>
      <c r="G606" s="396"/>
      <c r="K606" s="370"/>
      <c r="N606" s="370"/>
    </row>
    <row r="607" spans="1:14" s="347" customFormat="1" x14ac:dyDescent="0.25">
      <c r="A607" s="369">
        <v>44229</v>
      </c>
      <c r="B607" s="347">
        <v>2</v>
      </c>
      <c r="C607" s="347">
        <v>115</v>
      </c>
      <c r="D607" s="340" t="str">
        <f>VLOOKUP(C607,Plan!A:B,2,0)</f>
        <v>Disponible Cali B.Chile</v>
      </c>
      <c r="E607" s="341">
        <f>+F607-G607</f>
        <v>55000</v>
      </c>
      <c r="F607" s="353">
        <v>55000</v>
      </c>
      <c r="G607" s="353">
        <v>0</v>
      </c>
      <c r="H607" t="s">
        <v>992</v>
      </c>
      <c r="I607" s="403" t="s">
        <v>131</v>
      </c>
      <c r="K607" s="370"/>
      <c r="N607" s="370"/>
    </row>
    <row r="608" spans="1:14" s="347" customFormat="1" x14ac:dyDescent="0.25">
      <c r="A608" s="369">
        <v>44229</v>
      </c>
      <c r="B608" s="347">
        <v>2</v>
      </c>
      <c r="C608" s="347">
        <v>1222</v>
      </c>
      <c r="D608" s="340" t="str">
        <f>VLOOKUP(C608,Plan!A:B,2,0)</f>
        <v>Otros Valores -Oficina y Transferencias (249)</v>
      </c>
      <c r="E608" s="341">
        <f>+F608-G608</f>
        <v>-55000</v>
      </c>
      <c r="F608" s="353">
        <v>0</v>
      </c>
      <c r="G608" s="353">
        <f>+F607</f>
        <v>55000</v>
      </c>
      <c r="H608" t="s">
        <v>992</v>
      </c>
      <c r="I608" s="403" t="s">
        <v>131</v>
      </c>
      <c r="K608" s="370"/>
      <c r="N608" s="370"/>
    </row>
    <row r="609" spans="1:14" s="347" customFormat="1" x14ac:dyDescent="0.25">
      <c r="A609" s="369"/>
      <c r="E609" s="396"/>
      <c r="F609" s="396"/>
      <c r="G609" s="396"/>
      <c r="K609" s="370"/>
      <c r="N609" s="370"/>
    </row>
    <row r="610" spans="1:14" s="347" customFormat="1" x14ac:dyDescent="0.25">
      <c r="A610" s="369">
        <v>44229</v>
      </c>
      <c r="B610" s="347">
        <v>2</v>
      </c>
      <c r="C610" s="347">
        <v>115</v>
      </c>
      <c r="D610" s="340" t="str">
        <f>VLOOKUP(C610,Plan!A:B,2,0)</f>
        <v>Disponible Cali B.Chile</v>
      </c>
      <c r="E610" s="341">
        <f>+F610-G610</f>
        <v>45000</v>
      </c>
      <c r="F610" s="353">
        <v>45000</v>
      </c>
      <c r="G610" s="353">
        <v>0</v>
      </c>
      <c r="H610" t="s">
        <v>993</v>
      </c>
      <c r="I610" s="403" t="s">
        <v>131</v>
      </c>
      <c r="K610" s="370"/>
      <c r="N610" s="370"/>
    </row>
    <row r="611" spans="1:14" s="347" customFormat="1" x14ac:dyDescent="0.25">
      <c r="A611" s="369">
        <v>44229</v>
      </c>
      <c r="B611" s="347">
        <v>2</v>
      </c>
      <c r="C611" s="347">
        <v>3210</v>
      </c>
      <c r="D611" s="340" t="str">
        <f>VLOOKUP(C611,Plan!A:B,2,0)</f>
        <v>Donacion Construccion</v>
      </c>
      <c r="E611" s="341">
        <f>+F611-G611</f>
        <v>-45000</v>
      </c>
      <c r="F611" s="353">
        <v>0</v>
      </c>
      <c r="G611" s="353">
        <f>+F610</f>
        <v>45000</v>
      </c>
      <c r="H611" t="s">
        <v>993</v>
      </c>
      <c r="I611" s="403" t="s">
        <v>131</v>
      </c>
      <c r="K611" s="370"/>
      <c r="N611" s="370"/>
    </row>
    <row r="612" spans="1:14" s="347" customFormat="1" x14ac:dyDescent="0.25">
      <c r="A612" s="369"/>
      <c r="E612" s="396"/>
      <c r="F612" s="396"/>
      <c r="G612" s="396"/>
      <c r="K612" s="370"/>
      <c r="N612" s="370"/>
    </row>
    <row r="613" spans="1:14" s="347" customFormat="1" x14ac:dyDescent="0.25">
      <c r="A613" s="369">
        <v>44230</v>
      </c>
      <c r="B613" s="347">
        <v>2</v>
      </c>
      <c r="C613" s="347">
        <v>115</v>
      </c>
      <c r="D613" s="340" t="str">
        <f>VLOOKUP(C613,Plan!A:B,2,0)</f>
        <v>Disponible Cali B.Chile</v>
      </c>
      <c r="E613" s="341">
        <f>+F613-G613</f>
        <v>500000</v>
      </c>
      <c r="F613" s="353">
        <v>500000</v>
      </c>
      <c r="G613" s="353">
        <v>0</v>
      </c>
      <c r="H613" t="s">
        <v>994</v>
      </c>
      <c r="I613" s="403" t="s">
        <v>131</v>
      </c>
      <c r="K613" s="370"/>
      <c r="N613" s="370"/>
    </row>
    <row r="614" spans="1:14" s="347" customFormat="1" x14ac:dyDescent="0.25">
      <c r="A614" s="369">
        <v>44230</v>
      </c>
      <c r="B614" s="347">
        <v>2</v>
      </c>
      <c r="C614" s="347">
        <v>3210</v>
      </c>
      <c r="D614" s="340" t="str">
        <f>VLOOKUP(C614,Plan!A:B,2,0)</f>
        <v>Donacion Construccion</v>
      </c>
      <c r="E614" s="341">
        <f>+F614-G614</f>
        <v>-500000</v>
      </c>
      <c r="F614" s="353">
        <v>0</v>
      </c>
      <c r="G614" s="353">
        <f>+F613</f>
        <v>500000</v>
      </c>
      <c r="H614" t="s">
        <v>994</v>
      </c>
      <c r="I614" s="403" t="s">
        <v>131</v>
      </c>
      <c r="K614" s="370"/>
      <c r="N614" s="370"/>
    </row>
    <row r="615" spans="1:14" s="347" customFormat="1" x14ac:dyDescent="0.25">
      <c r="A615" s="369"/>
      <c r="E615" s="396"/>
      <c r="F615" s="396"/>
      <c r="G615" s="396"/>
      <c r="K615" s="370"/>
      <c r="N615" s="370"/>
    </row>
    <row r="616" spans="1:14" s="347" customFormat="1" x14ac:dyDescent="0.25">
      <c r="A616" s="369">
        <v>44230</v>
      </c>
      <c r="B616" s="347">
        <v>2</v>
      </c>
      <c r="C616" s="347">
        <v>115</v>
      </c>
      <c r="D616" s="340" t="str">
        <f>VLOOKUP(C616,Plan!A:B,2,0)</f>
        <v>Disponible Cali B.Chile</v>
      </c>
      <c r="E616" s="341">
        <f>+F616-G616</f>
        <v>50000</v>
      </c>
      <c r="F616" s="353">
        <v>50000</v>
      </c>
      <c r="G616" s="353">
        <v>0</v>
      </c>
      <c r="H616" t="s">
        <v>995</v>
      </c>
      <c r="I616" s="403" t="s">
        <v>131</v>
      </c>
      <c r="K616" s="370"/>
      <c r="N616" s="370"/>
    </row>
    <row r="617" spans="1:14" s="347" customFormat="1" x14ac:dyDescent="0.25">
      <c r="A617" s="369">
        <v>44230</v>
      </c>
      <c r="B617" s="347">
        <v>2</v>
      </c>
      <c r="C617" s="347">
        <v>1222</v>
      </c>
      <c r="D617" s="340" t="str">
        <f>VLOOKUP(C617,Plan!A:B,2,0)</f>
        <v>Otros Valores -Oficina y Transferencias (249)</v>
      </c>
      <c r="E617" s="341">
        <f>+F617-G617</f>
        <v>-50000</v>
      </c>
      <c r="F617" s="353">
        <v>0</v>
      </c>
      <c r="G617" s="353">
        <f>+F616</f>
        <v>50000</v>
      </c>
      <c r="H617" t="s">
        <v>995</v>
      </c>
      <c r="I617" s="403" t="s">
        <v>131</v>
      </c>
      <c r="K617" s="370"/>
      <c r="N617" s="370"/>
    </row>
    <row r="618" spans="1:14" s="347" customFormat="1" x14ac:dyDescent="0.25">
      <c r="A618" s="369"/>
      <c r="E618" s="396"/>
      <c r="F618" s="396"/>
      <c r="G618" s="396"/>
      <c r="K618" s="370"/>
      <c r="N618" s="370"/>
    </row>
    <row r="619" spans="1:14" s="347" customFormat="1" x14ac:dyDescent="0.25">
      <c r="A619" s="369">
        <v>44230</v>
      </c>
      <c r="B619" s="347">
        <v>2</v>
      </c>
      <c r="C619" s="347">
        <v>115</v>
      </c>
      <c r="D619" s="340" t="str">
        <f>VLOOKUP(C619,Plan!A:B,2,0)</f>
        <v>Disponible Cali B.Chile</v>
      </c>
      <c r="E619" s="341">
        <f>+F619-G619</f>
        <v>30000</v>
      </c>
      <c r="F619" s="353">
        <v>30000</v>
      </c>
      <c r="G619" s="353">
        <v>0</v>
      </c>
      <c r="H619" t="s">
        <v>996</v>
      </c>
      <c r="I619" s="403" t="s">
        <v>131</v>
      </c>
      <c r="K619" s="370"/>
      <c r="N619" s="370"/>
    </row>
    <row r="620" spans="1:14" s="347" customFormat="1" x14ac:dyDescent="0.25">
      <c r="A620" s="369">
        <f>+A619</f>
        <v>44230</v>
      </c>
      <c r="B620" s="347">
        <v>2</v>
      </c>
      <c r="C620" s="347">
        <v>3210</v>
      </c>
      <c r="D620" s="340" t="str">
        <f>VLOOKUP(C620,Plan!A:B,2,0)</f>
        <v>Donacion Construccion</v>
      </c>
      <c r="E620" s="341">
        <f>+F620-G620</f>
        <v>-30000</v>
      </c>
      <c r="F620" s="353">
        <v>0</v>
      </c>
      <c r="G620" s="353">
        <f>+F619</f>
        <v>30000</v>
      </c>
      <c r="H620" t="s">
        <v>996</v>
      </c>
      <c r="I620" s="403" t="s">
        <v>131</v>
      </c>
      <c r="K620" s="370"/>
      <c r="N620" s="370"/>
    </row>
    <row r="621" spans="1:14" s="347" customFormat="1" x14ac:dyDescent="0.25">
      <c r="A621" s="369"/>
      <c r="E621" s="396"/>
      <c r="F621" s="396"/>
      <c r="G621" s="396"/>
      <c r="K621" s="370"/>
      <c r="N621" s="370"/>
    </row>
    <row r="622" spans="1:14" s="347" customFormat="1" x14ac:dyDescent="0.25">
      <c r="A622" s="369">
        <v>44230</v>
      </c>
      <c r="B622" s="347">
        <v>2</v>
      </c>
      <c r="C622" s="347">
        <v>115</v>
      </c>
      <c r="D622" s="340" t="str">
        <f>VLOOKUP(C622,Plan!A:B,2,0)</f>
        <v>Disponible Cali B.Chile</v>
      </c>
      <c r="E622" s="341">
        <f>+F622-G622</f>
        <v>70000</v>
      </c>
      <c r="F622" s="353">
        <v>70000</v>
      </c>
      <c r="G622" s="353">
        <v>0</v>
      </c>
      <c r="H622" t="s">
        <v>997</v>
      </c>
      <c r="I622" s="403" t="s">
        <v>131</v>
      </c>
      <c r="K622" s="370"/>
      <c r="N622" s="370"/>
    </row>
    <row r="623" spans="1:14" s="347" customFormat="1" x14ac:dyDescent="0.25">
      <c r="A623" s="369">
        <v>44230</v>
      </c>
      <c r="B623" s="347">
        <v>2</v>
      </c>
      <c r="C623" s="347">
        <v>1222</v>
      </c>
      <c r="D623" s="340" t="str">
        <f>VLOOKUP(C623,Plan!A:B,2,0)</f>
        <v>Otros Valores -Oficina y Transferencias (249)</v>
      </c>
      <c r="E623" s="341">
        <f>+F623-G623</f>
        <v>-70000</v>
      </c>
      <c r="F623" s="353">
        <v>0</v>
      </c>
      <c r="G623" s="353">
        <f>+F622</f>
        <v>70000</v>
      </c>
      <c r="H623" t="s">
        <v>997</v>
      </c>
      <c r="I623" s="403" t="s">
        <v>131</v>
      </c>
      <c r="K623" s="370"/>
      <c r="N623" s="370"/>
    </row>
    <row r="624" spans="1:14" s="347" customFormat="1" x14ac:dyDescent="0.25">
      <c r="A624" s="369"/>
      <c r="E624" s="396"/>
      <c r="F624" s="396"/>
      <c r="G624" s="396"/>
      <c r="K624" s="370"/>
      <c r="N624" s="370"/>
    </row>
    <row r="625" spans="1:14" s="347" customFormat="1" x14ac:dyDescent="0.25">
      <c r="A625" s="369">
        <v>44230</v>
      </c>
      <c r="B625" s="347">
        <v>2</v>
      </c>
      <c r="C625" s="347">
        <v>115</v>
      </c>
      <c r="D625" s="340" t="str">
        <f>VLOOKUP(C625,Plan!A:B,2,0)</f>
        <v>Disponible Cali B.Chile</v>
      </c>
      <c r="E625" s="341">
        <f>+F625-G625</f>
        <v>20000</v>
      </c>
      <c r="F625" s="353">
        <v>20000</v>
      </c>
      <c r="G625" s="353">
        <v>0</v>
      </c>
      <c r="H625" t="s">
        <v>998</v>
      </c>
      <c r="I625" s="403" t="s">
        <v>131</v>
      </c>
      <c r="K625" s="370"/>
      <c r="N625" s="370"/>
    </row>
    <row r="626" spans="1:14" s="347" customFormat="1" x14ac:dyDescent="0.25">
      <c r="A626" s="369">
        <v>44230</v>
      </c>
      <c r="B626" s="347">
        <v>2</v>
      </c>
      <c r="C626" s="347">
        <v>1222</v>
      </c>
      <c r="D626" s="340" t="str">
        <f>VLOOKUP(C626,Plan!A:B,2,0)</f>
        <v>Otros Valores -Oficina y Transferencias (249)</v>
      </c>
      <c r="E626" s="341">
        <f>+F626-G626</f>
        <v>-20000</v>
      </c>
      <c r="F626" s="353">
        <v>0</v>
      </c>
      <c r="G626" s="353">
        <f>+F625</f>
        <v>20000</v>
      </c>
      <c r="H626" t="s">
        <v>998</v>
      </c>
      <c r="I626" s="403" t="s">
        <v>131</v>
      </c>
      <c r="K626" s="370"/>
      <c r="N626" s="370"/>
    </row>
    <row r="627" spans="1:14" s="347" customFormat="1" x14ac:dyDescent="0.25">
      <c r="A627" s="369"/>
      <c r="E627" s="396"/>
      <c r="F627" s="396"/>
      <c r="G627" s="396"/>
      <c r="K627" s="370"/>
      <c r="N627" s="370"/>
    </row>
    <row r="628" spans="1:14" s="347" customFormat="1" x14ac:dyDescent="0.25">
      <c r="A628" s="369">
        <v>44231</v>
      </c>
      <c r="B628" s="347">
        <v>2</v>
      </c>
      <c r="C628" s="347">
        <v>115</v>
      </c>
      <c r="D628" s="340" t="str">
        <f>VLOOKUP(C628,Plan!A:B,2,0)</f>
        <v>Disponible Cali B.Chile</v>
      </c>
      <c r="E628" s="341">
        <f>+F628-G628</f>
        <v>10000</v>
      </c>
      <c r="F628" s="353">
        <v>10000</v>
      </c>
      <c r="G628" s="353">
        <v>0</v>
      </c>
      <c r="H628" t="s">
        <v>999</v>
      </c>
      <c r="I628" s="403" t="s">
        <v>131</v>
      </c>
      <c r="K628" s="370"/>
      <c r="N628" s="370"/>
    </row>
    <row r="629" spans="1:14" s="347" customFormat="1" x14ac:dyDescent="0.25">
      <c r="A629" s="369">
        <v>44231</v>
      </c>
      <c r="B629" s="347">
        <v>2</v>
      </c>
      <c r="C629" s="347">
        <v>1222</v>
      </c>
      <c r="D629" s="340" t="str">
        <f>VLOOKUP(C629,Plan!A:B,2,0)</f>
        <v>Otros Valores -Oficina y Transferencias (249)</v>
      </c>
      <c r="E629" s="341">
        <f>+F629-G629</f>
        <v>-10000</v>
      </c>
      <c r="F629" s="353">
        <v>0</v>
      </c>
      <c r="G629" s="353">
        <f>+F628</f>
        <v>10000</v>
      </c>
      <c r="H629" t="s">
        <v>999</v>
      </c>
      <c r="I629" s="403" t="s">
        <v>131</v>
      </c>
      <c r="K629" s="370"/>
      <c r="N629" s="370"/>
    </row>
    <row r="630" spans="1:14" s="347" customFormat="1" x14ac:dyDescent="0.25">
      <c r="A630" s="369"/>
      <c r="E630" s="396"/>
      <c r="F630" s="396"/>
      <c r="G630" s="396"/>
      <c r="K630" s="370"/>
      <c r="N630" s="370"/>
    </row>
    <row r="631" spans="1:14" s="347" customFormat="1" x14ac:dyDescent="0.25">
      <c r="A631" s="369">
        <v>44231</v>
      </c>
      <c r="B631" s="347">
        <v>2</v>
      </c>
      <c r="C631" s="347">
        <v>115</v>
      </c>
      <c r="D631" s="340" t="str">
        <f>VLOOKUP(C631,Plan!A:B,2,0)</f>
        <v>Disponible Cali B.Chile</v>
      </c>
      <c r="E631" s="341">
        <f>+F631-G631</f>
        <v>10000</v>
      </c>
      <c r="F631" s="353">
        <v>10000</v>
      </c>
      <c r="G631" s="353">
        <v>0</v>
      </c>
      <c r="H631" t="s">
        <v>1000</v>
      </c>
      <c r="I631" s="403" t="s">
        <v>131</v>
      </c>
      <c r="K631" s="370"/>
      <c r="N631" s="370"/>
    </row>
    <row r="632" spans="1:14" s="347" customFormat="1" x14ac:dyDescent="0.25">
      <c r="A632" s="369">
        <v>44231</v>
      </c>
      <c r="B632" s="347">
        <v>2</v>
      </c>
      <c r="C632" s="347">
        <v>3210</v>
      </c>
      <c r="D632" s="340" t="str">
        <f>VLOOKUP(C632,Plan!A:B,2,0)</f>
        <v>Donacion Construccion</v>
      </c>
      <c r="E632" s="341">
        <f>+F632-G632</f>
        <v>-10000</v>
      </c>
      <c r="F632" s="353">
        <v>0</v>
      </c>
      <c r="G632" s="353">
        <f>+F631</f>
        <v>10000</v>
      </c>
      <c r="H632" t="s">
        <v>1000</v>
      </c>
      <c r="I632" s="403" t="s">
        <v>131</v>
      </c>
      <c r="K632" s="370"/>
      <c r="N632" s="370"/>
    </row>
    <row r="633" spans="1:14" s="347" customFormat="1" x14ac:dyDescent="0.25">
      <c r="A633" s="369"/>
      <c r="E633" s="396"/>
      <c r="F633" s="396"/>
      <c r="G633" s="396"/>
      <c r="K633" s="370"/>
      <c r="N633" s="370"/>
    </row>
    <row r="634" spans="1:14" s="347" customFormat="1" x14ac:dyDescent="0.25">
      <c r="A634" s="369">
        <v>44231</v>
      </c>
      <c r="B634" s="347">
        <v>2</v>
      </c>
      <c r="C634" s="347">
        <v>115</v>
      </c>
      <c r="D634" s="340" t="str">
        <f>VLOOKUP(C634,Plan!A:B,2,0)</f>
        <v>Disponible Cali B.Chile</v>
      </c>
      <c r="E634" s="341">
        <f>+F634-G634</f>
        <v>20000</v>
      </c>
      <c r="F634" s="353">
        <v>20000</v>
      </c>
      <c r="G634" s="353">
        <v>0</v>
      </c>
      <c r="H634" t="s">
        <v>1001</v>
      </c>
      <c r="I634" s="403" t="s">
        <v>131</v>
      </c>
      <c r="K634" s="370"/>
      <c r="N634" s="370"/>
    </row>
    <row r="635" spans="1:14" s="347" customFormat="1" x14ac:dyDescent="0.25">
      <c r="A635" s="369">
        <v>44231</v>
      </c>
      <c r="B635" s="347">
        <v>2</v>
      </c>
      <c r="C635" s="347">
        <v>3210</v>
      </c>
      <c r="D635" s="340" t="str">
        <f>VLOOKUP(C635,Plan!A:B,2,0)</f>
        <v>Donacion Construccion</v>
      </c>
      <c r="E635" s="341">
        <f>+F635-G635</f>
        <v>-20000</v>
      </c>
      <c r="F635" s="353">
        <v>0</v>
      </c>
      <c r="G635" s="353">
        <f>+F634</f>
        <v>20000</v>
      </c>
      <c r="H635" t="s">
        <v>1001</v>
      </c>
      <c r="I635" s="403" t="s">
        <v>131</v>
      </c>
      <c r="K635" s="370"/>
      <c r="N635" s="370"/>
    </row>
    <row r="636" spans="1:14" s="347" customFormat="1" x14ac:dyDescent="0.25">
      <c r="A636" s="369"/>
      <c r="E636" s="396"/>
      <c r="F636" s="396"/>
      <c r="G636" s="396"/>
      <c r="K636" s="370"/>
      <c r="N636" s="370"/>
    </row>
    <row r="637" spans="1:14" s="347" customFormat="1" x14ac:dyDescent="0.25">
      <c r="A637" s="369">
        <v>44231</v>
      </c>
      <c r="B637" s="347">
        <v>2</v>
      </c>
      <c r="C637" s="347">
        <v>115</v>
      </c>
      <c r="D637" s="340" t="str">
        <f>VLOOKUP(C637,Plan!A:B,2,0)</f>
        <v>Disponible Cali B.Chile</v>
      </c>
      <c r="E637" s="341">
        <f>+F637-G637</f>
        <v>150000</v>
      </c>
      <c r="F637" s="353">
        <v>150000</v>
      </c>
      <c r="G637" s="353">
        <v>0</v>
      </c>
      <c r="H637" t="s">
        <v>1002</v>
      </c>
      <c r="I637" s="403" t="s">
        <v>131</v>
      </c>
      <c r="K637" s="370"/>
      <c r="N637" s="370"/>
    </row>
    <row r="638" spans="1:14" s="347" customFormat="1" x14ac:dyDescent="0.25">
      <c r="A638" s="369">
        <v>44231</v>
      </c>
      <c r="B638" s="347">
        <v>2</v>
      </c>
      <c r="C638" s="347">
        <v>1222</v>
      </c>
      <c r="D638" s="340" t="str">
        <f>VLOOKUP(C638,Plan!A:B,2,0)</f>
        <v>Otros Valores -Oficina y Transferencias (249)</v>
      </c>
      <c r="E638" s="341">
        <f>+F638-G638</f>
        <v>-150000</v>
      </c>
      <c r="F638" s="353">
        <v>0</v>
      </c>
      <c r="G638" s="353">
        <f>+F637</f>
        <v>150000</v>
      </c>
      <c r="H638" t="s">
        <v>1002</v>
      </c>
      <c r="I638" s="403" t="s">
        <v>131</v>
      </c>
      <c r="K638" s="370"/>
      <c r="N638" s="370"/>
    </row>
    <row r="639" spans="1:14" s="347" customFormat="1" x14ac:dyDescent="0.25">
      <c r="A639" s="369"/>
      <c r="E639" s="396"/>
      <c r="F639" s="396"/>
      <c r="G639" s="396"/>
      <c r="K639" s="370"/>
      <c r="N639" s="370"/>
    </row>
    <row r="640" spans="1:14" s="347" customFormat="1" x14ac:dyDescent="0.25">
      <c r="A640" s="369">
        <v>44231</v>
      </c>
      <c r="B640" s="347">
        <v>2</v>
      </c>
      <c r="C640" s="347">
        <v>115</v>
      </c>
      <c r="D640" s="340" t="str">
        <f>VLOOKUP(C640,Plan!A:B,2,0)</f>
        <v>Disponible Cali B.Chile</v>
      </c>
      <c r="E640" s="341">
        <f>+F640-G640</f>
        <v>30000</v>
      </c>
      <c r="F640" s="353">
        <v>30000</v>
      </c>
      <c r="G640" s="353">
        <v>0</v>
      </c>
      <c r="H640" t="s">
        <v>1003</v>
      </c>
      <c r="I640" s="403" t="s">
        <v>131</v>
      </c>
      <c r="K640" s="370"/>
      <c r="N640" s="370"/>
    </row>
    <row r="641" spans="1:14" s="347" customFormat="1" x14ac:dyDescent="0.25">
      <c r="A641" s="369">
        <v>44231</v>
      </c>
      <c r="B641" s="347">
        <v>2</v>
      </c>
      <c r="C641" s="347">
        <v>3210</v>
      </c>
      <c r="D641" s="340" t="str">
        <f>VLOOKUP(C641,Plan!A:B,2,0)</f>
        <v>Donacion Construccion</v>
      </c>
      <c r="E641" s="341">
        <f>+F641-G641</f>
        <v>-30000</v>
      </c>
      <c r="F641" s="353">
        <v>0</v>
      </c>
      <c r="G641" s="353">
        <f>+F640</f>
        <v>30000</v>
      </c>
      <c r="H641" t="s">
        <v>1003</v>
      </c>
      <c r="I641" s="403" t="s">
        <v>131</v>
      </c>
      <c r="K641" s="370"/>
      <c r="N641" s="370"/>
    </row>
    <row r="642" spans="1:14" s="347" customFormat="1" x14ac:dyDescent="0.25">
      <c r="A642" s="369"/>
      <c r="E642" s="396"/>
      <c r="F642" s="396"/>
      <c r="G642" s="396"/>
      <c r="K642" s="370"/>
      <c r="N642" s="370"/>
    </row>
    <row r="643" spans="1:14" s="347" customFormat="1" x14ac:dyDescent="0.25">
      <c r="A643" s="369">
        <v>44231</v>
      </c>
      <c r="B643" s="347">
        <v>2</v>
      </c>
      <c r="C643" s="347">
        <v>115</v>
      </c>
      <c r="D643" s="340" t="str">
        <f>VLOOKUP(C643,Plan!A:B,2,0)</f>
        <v>Disponible Cali B.Chile</v>
      </c>
      <c r="E643" s="341">
        <f>+F643-G643</f>
        <v>350000</v>
      </c>
      <c r="F643" s="353">
        <v>350000</v>
      </c>
      <c r="G643" s="353">
        <v>0</v>
      </c>
      <c r="H643" t="s">
        <v>1004</v>
      </c>
      <c r="I643" s="403" t="s">
        <v>131</v>
      </c>
      <c r="K643" s="370"/>
      <c r="N643" s="370"/>
    </row>
    <row r="644" spans="1:14" s="347" customFormat="1" x14ac:dyDescent="0.25">
      <c r="A644" s="369">
        <v>44231</v>
      </c>
      <c r="B644" s="347">
        <v>2</v>
      </c>
      <c r="C644" s="347">
        <v>3210</v>
      </c>
      <c r="D644" s="340" t="str">
        <f>VLOOKUP(C644,Plan!A:B,2,0)</f>
        <v>Donacion Construccion</v>
      </c>
      <c r="E644" s="341">
        <f>+F644-G644</f>
        <v>-350000</v>
      </c>
      <c r="F644" s="353">
        <v>0</v>
      </c>
      <c r="G644" s="353">
        <f>+F643</f>
        <v>350000</v>
      </c>
      <c r="H644" t="s">
        <v>1004</v>
      </c>
      <c r="I644" s="403" t="s">
        <v>131</v>
      </c>
      <c r="K644" s="370"/>
      <c r="N644" s="370"/>
    </row>
    <row r="645" spans="1:14" s="347" customFormat="1" x14ac:dyDescent="0.25">
      <c r="A645" s="369"/>
      <c r="E645" s="396"/>
      <c r="F645" s="396"/>
      <c r="G645" s="396"/>
      <c r="K645" s="370"/>
      <c r="N645" s="370"/>
    </row>
    <row r="646" spans="1:14" s="347" customFormat="1" x14ac:dyDescent="0.25">
      <c r="A646" s="369">
        <v>44231</v>
      </c>
      <c r="B646" s="347">
        <v>2</v>
      </c>
      <c r="C646" s="347">
        <v>4170</v>
      </c>
      <c r="D646" s="340" t="str">
        <f>VLOOKUP(C646,Plan!A:B,2,0)</f>
        <v>Cali otros</v>
      </c>
      <c r="E646" s="341">
        <f>+F646-G646</f>
        <v>1386</v>
      </c>
      <c r="F646" s="353">
        <v>1386</v>
      </c>
      <c r="G646" s="353">
        <v>0</v>
      </c>
      <c r="H646" t="s">
        <v>1005</v>
      </c>
      <c r="I646" s="403" t="s">
        <v>131</v>
      </c>
      <c r="K646" s="370"/>
      <c r="N646" s="370"/>
    </row>
    <row r="647" spans="1:14" s="347" customFormat="1" x14ac:dyDescent="0.25">
      <c r="A647" s="369">
        <v>44231</v>
      </c>
      <c r="B647" s="347">
        <v>2</v>
      </c>
      <c r="C647" s="347">
        <v>115</v>
      </c>
      <c r="D647" s="340" t="str">
        <f>VLOOKUP(C647,Plan!A:B,2,0)</f>
        <v>Disponible Cali B.Chile</v>
      </c>
      <c r="E647" s="341">
        <f>+F647-G647</f>
        <v>-1386</v>
      </c>
      <c r="F647" s="353">
        <v>0</v>
      </c>
      <c r="G647" s="353">
        <f>+F646</f>
        <v>1386</v>
      </c>
      <c r="H647" t="s">
        <v>1005</v>
      </c>
      <c r="I647" s="403" t="s">
        <v>131</v>
      </c>
      <c r="K647" s="370"/>
      <c r="N647" s="370"/>
    </row>
    <row r="648" spans="1:14" s="347" customFormat="1" x14ac:dyDescent="0.25">
      <c r="A648" s="369"/>
      <c r="E648" s="396"/>
      <c r="F648" s="396"/>
      <c r="G648" s="396"/>
      <c r="K648" s="370"/>
      <c r="N648" s="370"/>
    </row>
    <row r="649" spans="1:14" s="347" customFormat="1" x14ac:dyDescent="0.25">
      <c r="A649" s="369">
        <v>44232</v>
      </c>
      <c r="B649" s="347">
        <v>2</v>
      </c>
      <c r="C649" s="347">
        <v>115</v>
      </c>
      <c r="D649" s="340" t="str">
        <f>VLOOKUP(C649,Plan!A:B,2,0)</f>
        <v>Disponible Cali B.Chile</v>
      </c>
      <c r="E649" s="341">
        <f>+F649-G649</f>
        <v>50000</v>
      </c>
      <c r="F649" s="353">
        <v>50000</v>
      </c>
      <c r="G649" s="353">
        <v>0</v>
      </c>
      <c r="H649" t="s">
        <v>1006</v>
      </c>
      <c r="I649" s="403" t="s">
        <v>131</v>
      </c>
      <c r="K649" s="370"/>
      <c r="N649" s="370"/>
    </row>
    <row r="650" spans="1:14" s="347" customFormat="1" x14ac:dyDescent="0.25">
      <c r="A650" s="369">
        <v>44232</v>
      </c>
      <c r="B650" s="347">
        <v>2</v>
      </c>
      <c r="C650" s="347">
        <v>3210</v>
      </c>
      <c r="D650" s="340" t="str">
        <f>VLOOKUP(C650,Plan!A:B,2,0)</f>
        <v>Donacion Construccion</v>
      </c>
      <c r="E650" s="341">
        <f>+F650-G650</f>
        <v>-50000</v>
      </c>
      <c r="F650" s="353">
        <v>0</v>
      </c>
      <c r="G650" s="353">
        <f>+F649</f>
        <v>50000</v>
      </c>
      <c r="H650" t="s">
        <v>1006</v>
      </c>
      <c r="I650" s="403" t="s">
        <v>131</v>
      </c>
      <c r="K650" s="370"/>
      <c r="N650" s="370"/>
    </row>
    <row r="651" spans="1:14" s="347" customFormat="1" x14ac:dyDescent="0.25">
      <c r="A651" s="369"/>
      <c r="E651" s="396"/>
      <c r="F651" s="396"/>
      <c r="G651" s="396"/>
      <c r="K651" s="370"/>
      <c r="N651" s="370"/>
    </row>
    <row r="652" spans="1:14" s="347" customFormat="1" x14ac:dyDescent="0.25">
      <c r="A652" s="369">
        <v>44235</v>
      </c>
      <c r="B652" s="347">
        <v>2</v>
      </c>
      <c r="C652" s="347">
        <v>115</v>
      </c>
      <c r="D652" s="340" t="str">
        <f>VLOOKUP(C652,Plan!A:B,2,0)</f>
        <v>Disponible Cali B.Chile</v>
      </c>
      <c r="E652" s="341">
        <f>+F652-G652</f>
        <v>20000</v>
      </c>
      <c r="F652" s="353">
        <v>20000</v>
      </c>
      <c r="G652" s="353">
        <v>0</v>
      </c>
      <c r="H652" t="s">
        <v>1007</v>
      </c>
      <c r="I652" s="403" t="s">
        <v>131</v>
      </c>
      <c r="K652" s="370"/>
      <c r="N652" s="370"/>
    </row>
    <row r="653" spans="1:14" s="347" customFormat="1" x14ac:dyDescent="0.25">
      <c r="A653" s="369">
        <f>+A652</f>
        <v>44235</v>
      </c>
      <c r="B653" s="347">
        <v>2</v>
      </c>
      <c r="C653" s="347">
        <v>1222</v>
      </c>
      <c r="D653" s="340" t="str">
        <f>VLOOKUP(C653,Plan!A:B,2,0)</f>
        <v>Otros Valores -Oficina y Transferencias (249)</v>
      </c>
      <c r="E653" s="341">
        <f>+F653-G653</f>
        <v>-20000</v>
      </c>
      <c r="F653" s="353">
        <v>0</v>
      </c>
      <c r="G653" s="353">
        <f>+F652</f>
        <v>20000</v>
      </c>
      <c r="H653" t="s">
        <v>1007</v>
      </c>
      <c r="I653" s="403" t="s">
        <v>131</v>
      </c>
      <c r="K653" s="370"/>
      <c r="N653" s="370"/>
    </row>
    <row r="654" spans="1:14" s="347" customFormat="1" x14ac:dyDescent="0.25">
      <c r="A654" s="369"/>
      <c r="E654" s="396"/>
      <c r="F654" s="396"/>
      <c r="G654" s="396"/>
      <c r="K654" s="370"/>
      <c r="N654" s="370"/>
    </row>
    <row r="655" spans="1:14" s="347" customFormat="1" x14ac:dyDescent="0.25">
      <c r="A655" s="369">
        <v>44235</v>
      </c>
      <c r="B655" s="347">
        <v>2</v>
      </c>
      <c r="C655" s="347">
        <v>115</v>
      </c>
      <c r="D655" s="340" t="str">
        <f>VLOOKUP(C655,Plan!A:B,2,0)</f>
        <v>Disponible Cali B.Chile</v>
      </c>
      <c r="E655" s="341">
        <f>+F655-G655</f>
        <v>8000</v>
      </c>
      <c r="F655" s="353">
        <v>8000</v>
      </c>
      <c r="G655" s="353">
        <v>0</v>
      </c>
      <c r="H655" t="s">
        <v>1008</v>
      </c>
      <c r="I655" s="403" t="s">
        <v>131</v>
      </c>
      <c r="K655" s="370"/>
      <c r="N655" s="370"/>
    </row>
    <row r="656" spans="1:14" s="347" customFormat="1" x14ac:dyDescent="0.25">
      <c r="A656" s="369">
        <f>+A655</f>
        <v>44235</v>
      </c>
      <c r="B656" s="347">
        <v>2</v>
      </c>
      <c r="C656" s="347">
        <v>1222</v>
      </c>
      <c r="D656" s="340" t="str">
        <f>VLOOKUP(C656,Plan!A:B,2,0)</f>
        <v>Otros Valores -Oficina y Transferencias (249)</v>
      </c>
      <c r="E656" s="341">
        <f>+F656-G656</f>
        <v>-8000</v>
      </c>
      <c r="F656" s="353">
        <v>0</v>
      </c>
      <c r="G656" s="353">
        <f>+F655</f>
        <v>8000</v>
      </c>
      <c r="H656" t="s">
        <v>1008</v>
      </c>
      <c r="I656" s="403" t="s">
        <v>131</v>
      </c>
      <c r="K656" s="370"/>
      <c r="N656" s="370"/>
    </row>
    <row r="657" spans="1:14" s="347" customFormat="1" x14ac:dyDescent="0.25">
      <c r="K657" s="370"/>
      <c r="N657" s="370"/>
    </row>
    <row r="658" spans="1:14" s="347" customFormat="1" x14ac:dyDescent="0.25">
      <c r="A658" s="369">
        <v>44235</v>
      </c>
      <c r="B658" s="347">
        <v>2</v>
      </c>
      <c r="C658" s="347">
        <v>115</v>
      </c>
      <c r="D658" s="340" t="str">
        <f>VLOOKUP(C658,Plan!A:B,2,0)</f>
        <v>Disponible Cali B.Chile</v>
      </c>
      <c r="E658" s="341">
        <f>+F658-G658</f>
        <v>40000</v>
      </c>
      <c r="F658" s="353">
        <v>40000</v>
      </c>
      <c r="G658" s="353">
        <v>0</v>
      </c>
      <c r="H658" t="s">
        <v>1009</v>
      </c>
      <c r="I658" s="403" t="s">
        <v>131</v>
      </c>
      <c r="K658" s="370"/>
      <c r="N658" s="370"/>
    </row>
    <row r="659" spans="1:14" s="347" customFormat="1" x14ac:dyDescent="0.25">
      <c r="A659" s="369">
        <f>+A658</f>
        <v>44235</v>
      </c>
      <c r="B659" s="347">
        <v>2</v>
      </c>
      <c r="C659" s="347">
        <v>1222</v>
      </c>
      <c r="D659" s="340" t="str">
        <f>VLOOKUP(C659,Plan!A:B,2,0)</f>
        <v>Otros Valores -Oficina y Transferencias (249)</v>
      </c>
      <c r="E659" s="341">
        <f>+F659-G659</f>
        <v>-40000</v>
      </c>
      <c r="F659" s="353">
        <v>0</v>
      </c>
      <c r="G659" s="353">
        <f>+F658</f>
        <v>40000</v>
      </c>
      <c r="H659" t="s">
        <v>1009</v>
      </c>
      <c r="I659" s="403" t="s">
        <v>131</v>
      </c>
      <c r="K659" s="370"/>
      <c r="N659" s="370"/>
    </row>
    <row r="660" spans="1:14" s="347" customFormat="1" x14ac:dyDescent="0.25">
      <c r="A660" s="369"/>
      <c r="E660" s="396"/>
      <c r="F660" s="396"/>
      <c r="G660" s="396"/>
      <c r="K660" s="370"/>
      <c r="N660" s="370"/>
    </row>
    <row r="661" spans="1:14" s="347" customFormat="1" x14ac:dyDescent="0.25">
      <c r="A661" s="369">
        <v>44235</v>
      </c>
      <c r="B661" s="347">
        <v>2</v>
      </c>
      <c r="C661" s="347">
        <v>115</v>
      </c>
      <c r="D661" s="340" t="str">
        <f>VLOOKUP(C661,Plan!A:B,2,0)</f>
        <v>Disponible Cali B.Chile</v>
      </c>
      <c r="E661" s="341">
        <f>+F661-G661</f>
        <v>15000</v>
      </c>
      <c r="F661" s="353">
        <v>15000</v>
      </c>
      <c r="G661" s="353">
        <v>0</v>
      </c>
      <c r="H661" t="s">
        <v>1006</v>
      </c>
      <c r="I661" s="403" t="s">
        <v>131</v>
      </c>
      <c r="K661" s="370"/>
      <c r="N661" s="370"/>
    </row>
    <row r="662" spans="1:14" s="347" customFormat="1" x14ac:dyDescent="0.25">
      <c r="A662" s="369">
        <f>+A661</f>
        <v>44235</v>
      </c>
      <c r="B662" s="347">
        <v>2</v>
      </c>
      <c r="C662" s="347">
        <v>3210</v>
      </c>
      <c r="D662" s="340" t="str">
        <f>VLOOKUP(C662,Plan!A:B,2,0)</f>
        <v>Donacion Construccion</v>
      </c>
      <c r="E662" s="341">
        <f>+F662-G662</f>
        <v>-15000</v>
      </c>
      <c r="F662" s="353">
        <v>0</v>
      </c>
      <c r="G662" s="353">
        <f>+F661</f>
        <v>15000</v>
      </c>
      <c r="H662" t="s">
        <v>1006</v>
      </c>
      <c r="I662" s="403" t="s">
        <v>131</v>
      </c>
      <c r="K662" s="370"/>
      <c r="N662" s="370"/>
    </row>
    <row r="663" spans="1:14" s="347" customFormat="1" x14ac:dyDescent="0.25">
      <c r="A663" s="369"/>
      <c r="E663" s="396"/>
      <c r="F663" s="396"/>
      <c r="G663" s="396"/>
      <c r="K663" s="370"/>
      <c r="N663" s="370"/>
    </row>
    <row r="664" spans="1:14" s="347" customFormat="1" x14ac:dyDescent="0.25">
      <c r="A664" s="369">
        <v>44235</v>
      </c>
      <c r="B664" s="347">
        <v>2</v>
      </c>
      <c r="C664" s="347">
        <v>115</v>
      </c>
      <c r="D664" s="340" t="str">
        <f>VLOOKUP(C664,Plan!A:B,2,0)</f>
        <v>Disponible Cali B.Chile</v>
      </c>
      <c r="E664" s="341">
        <f>+F664-G664</f>
        <v>1500</v>
      </c>
      <c r="F664" s="353">
        <v>1500</v>
      </c>
      <c r="G664" s="353">
        <v>0</v>
      </c>
      <c r="H664" t="s">
        <v>1010</v>
      </c>
      <c r="I664" s="403" t="s">
        <v>131</v>
      </c>
      <c r="K664" s="370"/>
      <c r="N664" s="370"/>
    </row>
    <row r="665" spans="1:14" s="347" customFormat="1" x14ac:dyDescent="0.25">
      <c r="A665" s="369">
        <f>+A664</f>
        <v>44235</v>
      </c>
      <c r="B665" s="347">
        <v>2</v>
      </c>
      <c r="C665" s="347">
        <v>216</v>
      </c>
      <c r="D665" s="340" t="str">
        <f>VLOOKUP(C665,Plan!A:B,2,0)</f>
        <v>Cuenta por Pagar a Administración Colectas</v>
      </c>
      <c r="E665" s="341">
        <f>+F665-G665</f>
        <v>-1500</v>
      </c>
      <c r="F665" s="353">
        <v>0</v>
      </c>
      <c r="G665" s="353">
        <f>+F664</f>
        <v>1500</v>
      </c>
      <c r="H665" t="s">
        <v>1010</v>
      </c>
      <c r="I665" s="403" t="s">
        <v>131</v>
      </c>
      <c r="K665" s="370"/>
      <c r="N665" s="370"/>
    </row>
    <row r="666" spans="1:14" s="347" customFormat="1" x14ac:dyDescent="0.25">
      <c r="A666" s="369"/>
      <c r="E666" s="396"/>
      <c r="F666" s="396"/>
      <c r="G666" s="396"/>
      <c r="K666" s="370"/>
      <c r="N666" s="370"/>
    </row>
    <row r="667" spans="1:14" s="347" customFormat="1" x14ac:dyDescent="0.25">
      <c r="A667" s="369">
        <v>44235</v>
      </c>
      <c r="B667" s="347">
        <v>2</v>
      </c>
      <c r="C667" s="347">
        <v>115</v>
      </c>
      <c r="D667" s="340" t="str">
        <f>VLOOKUP(C667,Plan!A:B,2,0)</f>
        <v>Disponible Cali B.Chile</v>
      </c>
      <c r="E667" s="341">
        <f>+F667-G667</f>
        <v>40000</v>
      </c>
      <c r="F667" s="353">
        <v>40000</v>
      </c>
      <c r="G667" s="353">
        <v>0</v>
      </c>
      <c r="H667" t="s">
        <v>1011</v>
      </c>
      <c r="I667" s="403" t="s">
        <v>131</v>
      </c>
      <c r="K667" s="370"/>
      <c r="N667" s="370"/>
    </row>
    <row r="668" spans="1:14" s="347" customFormat="1" x14ac:dyDescent="0.25">
      <c r="A668" s="369">
        <f>+A667</f>
        <v>44235</v>
      </c>
      <c r="B668" s="347">
        <v>2</v>
      </c>
      <c r="C668" s="347">
        <v>1222</v>
      </c>
      <c r="D668" s="340" t="str">
        <f>VLOOKUP(C668,Plan!A:B,2,0)</f>
        <v>Otros Valores -Oficina y Transferencias (249)</v>
      </c>
      <c r="E668" s="341">
        <f>+F668-G668</f>
        <v>-40000</v>
      </c>
      <c r="F668" s="353">
        <v>0</v>
      </c>
      <c r="G668" s="353">
        <f>+F667</f>
        <v>40000</v>
      </c>
      <c r="H668" t="s">
        <v>1011</v>
      </c>
      <c r="I668" s="403" t="s">
        <v>131</v>
      </c>
      <c r="K668" s="370"/>
      <c r="N668" s="370"/>
    </row>
    <row r="669" spans="1:14" s="347" customFormat="1" x14ac:dyDescent="0.25">
      <c r="A669" s="369"/>
      <c r="E669" s="396"/>
      <c r="F669" s="396"/>
      <c r="G669" s="396"/>
      <c r="K669" s="370"/>
      <c r="N669" s="370"/>
    </row>
    <row r="670" spans="1:14" s="347" customFormat="1" x14ac:dyDescent="0.25">
      <c r="A670" s="369">
        <v>44235</v>
      </c>
      <c r="B670" s="347">
        <v>2</v>
      </c>
      <c r="C670" s="347">
        <v>115</v>
      </c>
      <c r="D670" s="340" t="str">
        <f>VLOOKUP(C670,Plan!A:B,2,0)</f>
        <v>Disponible Cali B.Chile</v>
      </c>
      <c r="E670" s="341">
        <f>+F670-G670</f>
        <v>60000</v>
      </c>
      <c r="F670" s="353">
        <v>60000</v>
      </c>
      <c r="G670" s="353">
        <v>0</v>
      </c>
      <c r="H670" t="s">
        <v>1012</v>
      </c>
      <c r="I670" s="403" t="s">
        <v>131</v>
      </c>
      <c r="K670" s="370"/>
      <c r="N670" s="370"/>
    </row>
    <row r="671" spans="1:14" s="347" customFormat="1" x14ac:dyDescent="0.25">
      <c r="A671" s="369">
        <f>+A670</f>
        <v>44235</v>
      </c>
      <c r="B671" s="347">
        <v>2</v>
      </c>
      <c r="C671" s="347">
        <v>1222</v>
      </c>
      <c r="D671" s="340" t="str">
        <f>VLOOKUP(C671,Plan!A:B,2,0)</f>
        <v>Otros Valores -Oficina y Transferencias (249)</v>
      </c>
      <c r="E671" s="341">
        <f>+F671-G671</f>
        <v>-60000</v>
      </c>
      <c r="F671" s="353">
        <v>0</v>
      </c>
      <c r="G671" s="353">
        <f>+F670</f>
        <v>60000</v>
      </c>
      <c r="H671" t="s">
        <v>1012</v>
      </c>
      <c r="I671" s="403" t="s">
        <v>131</v>
      </c>
      <c r="K671" s="370"/>
      <c r="N671" s="370"/>
    </row>
    <row r="672" spans="1:14" s="347" customFormat="1" x14ac:dyDescent="0.25">
      <c r="A672" s="369"/>
      <c r="E672" s="396"/>
      <c r="F672" s="396"/>
      <c r="G672" s="396"/>
      <c r="K672" s="370"/>
      <c r="N672" s="370"/>
    </row>
    <row r="673" spans="1:14" s="347" customFormat="1" x14ac:dyDescent="0.25">
      <c r="A673" s="369">
        <v>44236</v>
      </c>
      <c r="B673" s="347">
        <v>2</v>
      </c>
      <c r="C673" s="347">
        <v>115</v>
      </c>
      <c r="D673" s="340" t="str">
        <f>VLOOKUP(C673,Plan!A:B,2,0)</f>
        <v>Disponible Cali B.Chile</v>
      </c>
      <c r="E673" s="341">
        <f>+F673-G673</f>
        <v>30000</v>
      </c>
      <c r="F673" s="353">
        <v>30000</v>
      </c>
      <c r="G673" s="353">
        <v>0</v>
      </c>
      <c r="H673" t="s">
        <v>1292</v>
      </c>
      <c r="I673" s="403" t="s">
        <v>131</v>
      </c>
      <c r="K673" s="370"/>
      <c r="N673" s="370"/>
    </row>
    <row r="674" spans="1:14" s="347" customFormat="1" x14ac:dyDescent="0.25">
      <c r="A674" s="369">
        <f>+A673</f>
        <v>44236</v>
      </c>
      <c r="B674" s="347">
        <v>2</v>
      </c>
      <c r="C674" s="347">
        <v>3210</v>
      </c>
      <c r="D674" s="340" t="str">
        <f>VLOOKUP(C674,Plan!A:B,2,0)</f>
        <v>Donacion Construccion</v>
      </c>
      <c r="E674" s="341">
        <f>+F674-G674</f>
        <v>-30000</v>
      </c>
      <c r="F674" s="353">
        <v>0</v>
      </c>
      <c r="G674" s="353">
        <f>+F673</f>
        <v>30000</v>
      </c>
      <c r="H674" t="s">
        <v>1292</v>
      </c>
      <c r="I674" s="403" t="s">
        <v>131</v>
      </c>
      <c r="K674" s="370"/>
      <c r="N674" s="370"/>
    </row>
    <row r="675" spans="1:14" s="347" customFormat="1" x14ac:dyDescent="0.25">
      <c r="A675" s="369"/>
      <c r="E675" s="396"/>
      <c r="F675" s="396"/>
      <c r="G675" s="396"/>
      <c r="K675" s="370"/>
      <c r="N675" s="370"/>
    </row>
    <row r="676" spans="1:14" s="347" customFormat="1" x14ac:dyDescent="0.25">
      <c r="A676" s="369">
        <v>44236</v>
      </c>
      <c r="B676" s="347">
        <v>2</v>
      </c>
      <c r="C676" s="347">
        <v>115</v>
      </c>
      <c r="D676" s="340" t="str">
        <f>VLOOKUP(C676,Plan!A:B,2,0)</f>
        <v>Disponible Cali B.Chile</v>
      </c>
      <c r="E676" s="341">
        <f>+F676-G676</f>
        <v>1650000</v>
      </c>
      <c r="F676" s="353">
        <v>1650000</v>
      </c>
      <c r="G676" s="353">
        <v>0</v>
      </c>
      <c r="H676" t="s">
        <v>1004</v>
      </c>
      <c r="I676" s="403" t="s">
        <v>131</v>
      </c>
      <c r="K676" s="370"/>
      <c r="N676" s="370"/>
    </row>
    <row r="677" spans="1:14" s="347" customFormat="1" x14ac:dyDescent="0.25">
      <c r="A677" s="369">
        <f>+A676</f>
        <v>44236</v>
      </c>
      <c r="B677" s="347">
        <v>2</v>
      </c>
      <c r="C677" s="347">
        <v>3210</v>
      </c>
      <c r="D677" s="340" t="str">
        <f>VLOOKUP(C677,Plan!A:B,2,0)</f>
        <v>Donacion Construccion</v>
      </c>
      <c r="E677" s="341">
        <f>+F677-G677</f>
        <v>-1650000</v>
      </c>
      <c r="F677" s="353">
        <v>0</v>
      </c>
      <c r="G677" s="353">
        <f>+F676</f>
        <v>1650000</v>
      </c>
      <c r="H677" t="s">
        <v>1004</v>
      </c>
      <c r="I677" s="403" t="s">
        <v>131</v>
      </c>
      <c r="K677" s="370"/>
      <c r="N677" s="370"/>
    </row>
    <row r="678" spans="1:14" s="347" customFormat="1" x14ac:dyDescent="0.25">
      <c r="A678" s="369"/>
      <c r="E678" s="396"/>
      <c r="F678" s="396"/>
      <c r="G678" s="396"/>
      <c r="K678" s="370"/>
      <c r="N678" s="370"/>
    </row>
    <row r="679" spans="1:14" s="347" customFormat="1" x14ac:dyDescent="0.25">
      <c r="A679" s="369">
        <v>44236</v>
      </c>
      <c r="B679" s="347">
        <v>2</v>
      </c>
      <c r="C679" s="347">
        <v>115</v>
      </c>
      <c r="D679" s="340" t="str">
        <f>VLOOKUP(C679,Plan!A:B,2,0)</f>
        <v>Disponible Cali B.Chile</v>
      </c>
      <c r="E679" s="341">
        <f>+F679-G679</f>
        <v>49405</v>
      </c>
      <c r="F679" s="353">
        <v>49405</v>
      </c>
      <c r="G679" s="353">
        <v>0</v>
      </c>
      <c r="H679" t="s">
        <v>1293</v>
      </c>
      <c r="I679" s="403" t="s">
        <v>131</v>
      </c>
      <c r="K679" s="370"/>
      <c r="N679" s="370"/>
    </row>
    <row r="680" spans="1:14" s="347" customFormat="1" x14ac:dyDescent="0.25">
      <c r="A680" s="369">
        <v>44236</v>
      </c>
      <c r="B680" s="347">
        <v>2</v>
      </c>
      <c r="C680" s="347">
        <v>4331</v>
      </c>
      <c r="D680" s="340" t="str">
        <f>VLOOKUP(C680,Plan!A:B,2,0)</f>
        <v>Cali</v>
      </c>
      <c r="E680" s="341">
        <f>+F680-G680</f>
        <v>595</v>
      </c>
      <c r="F680" s="353">
        <f>+G681-F679</f>
        <v>595</v>
      </c>
      <c r="G680" s="353">
        <v>0</v>
      </c>
      <c r="H680" t="s">
        <v>1293</v>
      </c>
      <c r="I680" s="403" t="s">
        <v>131</v>
      </c>
      <c r="K680" s="370"/>
      <c r="N680" s="370"/>
    </row>
    <row r="681" spans="1:14" s="347" customFormat="1" x14ac:dyDescent="0.25">
      <c r="A681" s="369">
        <f>+A679</f>
        <v>44236</v>
      </c>
      <c r="B681" s="347">
        <v>2</v>
      </c>
      <c r="C681" s="347">
        <v>1222</v>
      </c>
      <c r="D681" s="340" t="str">
        <f>VLOOKUP(C681,Plan!A:B,2,0)</f>
        <v>Otros Valores -Oficina y Transferencias (249)</v>
      </c>
      <c r="E681" s="341">
        <f>+F681-G681</f>
        <v>-50000</v>
      </c>
      <c r="F681" s="353">
        <v>0</v>
      </c>
      <c r="G681" s="353">
        <v>50000</v>
      </c>
      <c r="H681" t="s">
        <v>1293</v>
      </c>
      <c r="I681" s="403" t="s">
        <v>131</v>
      </c>
      <c r="K681" s="370"/>
      <c r="N681" s="370"/>
    </row>
    <row r="682" spans="1:14" s="347" customFormat="1" x14ac:dyDescent="0.25">
      <c r="A682" s="369"/>
      <c r="E682" s="396"/>
      <c r="F682" s="396"/>
      <c r="G682" s="396"/>
      <c r="K682" s="370"/>
      <c r="N682" s="370"/>
    </row>
    <row r="683" spans="1:14" s="347" customFormat="1" x14ac:dyDescent="0.25">
      <c r="A683" s="369">
        <v>44236</v>
      </c>
      <c r="B683" s="347">
        <v>2</v>
      </c>
      <c r="C683" s="347">
        <v>115</v>
      </c>
      <c r="D683" s="340" t="str">
        <f>VLOOKUP(C683,Plan!A:B,2,0)</f>
        <v>Disponible Cali B.Chile</v>
      </c>
      <c r="E683" s="341">
        <f>+F683-G683</f>
        <v>988100</v>
      </c>
      <c r="F683" s="353">
        <v>988100</v>
      </c>
      <c r="G683" s="353">
        <v>0</v>
      </c>
      <c r="H683" t="s">
        <v>1294</v>
      </c>
      <c r="I683" s="403" t="s">
        <v>131</v>
      </c>
      <c r="K683" s="370"/>
      <c r="N683" s="370"/>
    </row>
    <row r="684" spans="1:14" s="347" customFormat="1" x14ac:dyDescent="0.25">
      <c r="A684" s="369">
        <f>+A683</f>
        <v>44236</v>
      </c>
      <c r="B684" s="347">
        <v>2</v>
      </c>
      <c r="C684" s="347">
        <v>3210</v>
      </c>
      <c r="D684" s="340" t="str">
        <f>VLOOKUP(C684,Plan!A:B,2,0)</f>
        <v>Donacion Construccion</v>
      </c>
      <c r="E684" s="341">
        <f>+F684-G684</f>
        <v>-988100</v>
      </c>
      <c r="F684" s="353">
        <v>0</v>
      </c>
      <c r="G684" s="353">
        <f>+F683</f>
        <v>988100</v>
      </c>
      <c r="H684" t="s">
        <v>1294</v>
      </c>
      <c r="I684" s="403" t="s">
        <v>131</v>
      </c>
      <c r="K684" s="370"/>
      <c r="N684" s="370"/>
    </row>
    <row r="685" spans="1:14" s="347" customFormat="1" x14ac:dyDescent="0.25">
      <c r="A685" s="369"/>
      <c r="E685" s="396"/>
      <c r="F685" s="396"/>
      <c r="G685" s="396"/>
      <c r="K685" s="370"/>
      <c r="N685" s="370"/>
    </row>
    <row r="686" spans="1:14" s="347" customFormat="1" x14ac:dyDescent="0.25">
      <c r="A686" s="369">
        <v>44236</v>
      </c>
      <c r="B686" s="347">
        <v>2</v>
      </c>
      <c r="C686" s="347">
        <v>115</v>
      </c>
      <c r="D686" s="340" t="str">
        <f>VLOOKUP(C686,Plan!A:B,2,0)</f>
        <v>Disponible Cali B.Chile</v>
      </c>
      <c r="E686" s="341">
        <f>+F686-G686</f>
        <v>59000</v>
      </c>
      <c r="F686" s="353">
        <v>59000</v>
      </c>
      <c r="G686" s="353">
        <v>0</v>
      </c>
      <c r="H686" t="s">
        <v>1013</v>
      </c>
      <c r="I686" s="403" t="s">
        <v>131</v>
      </c>
      <c r="K686" s="370"/>
      <c r="N686" s="370"/>
    </row>
    <row r="687" spans="1:14" s="347" customFormat="1" x14ac:dyDescent="0.25">
      <c r="A687" s="369">
        <f>+A686</f>
        <v>44236</v>
      </c>
      <c r="B687" s="347">
        <v>2</v>
      </c>
      <c r="C687" s="347">
        <v>1130</v>
      </c>
      <c r="D687" s="340" t="str">
        <f>VLOOKUP(C687,Plan!A:B,2,0)</f>
        <v>Disponible Ch. Fecha</v>
      </c>
      <c r="E687" s="341">
        <f>+F687-G687</f>
        <v>-59000</v>
      </c>
      <c r="F687" s="353">
        <v>0</v>
      </c>
      <c r="G687" s="353">
        <f>+F686</f>
        <v>59000</v>
      </c>
      <c r="H687" t="s">
        <v>1013</v>
      </c>
      <c r="I687" s="403" t="s">
        <v>131</v>
      </c>
      <c r="K687" s="370"/>
      <c r="N687" s="370"/>
    </row>
    <row r="688" spans="1:14" s="347" customFormat="1" x14ac:dyDescent="0.25">
      <c r="A688" s="369"/>
      <c r="E688" s="396"/>
      <c r="F688" s="396"/>
      <c r="G688" s="396"/>
      <c r="K688" s="370"/>
      <c r="N688" s="370"/>
    </row>
    <row r="689" spans="1:14" s="347" customFormat="1" x14ac:dyDescent="0.25">
      <c r="A689" s="369">
        <v>44237</v>
      </c>
      <c r="B689" s="347">
        <v>2</v>
      </c>
      <c r="C689" s="347">
        <v>4171</v>
      </c>
      <c r="D689" s="340" t="str">
        <f>VLOOKUP(C689,Plan!A:B,2,0)</f>
        <v xml:space="preserve">        Campaña 1%</v>
      </c>
      <c r="E689" s="341">
        <f>+F689-G689</f>
        <v>100000</v>
      </c>
      <c r="F689" s="353">
        <v>100000</v>
      </c>
      <c r="G689" s="353">
        <v>0</v>
      </c>
      <c r="H689" t="s">
        <v>1014</v>
      </c>
      <c r="I689" s="403" t="s">
        <v>131</v>
      </c>
      <c r="K689" s="370"/>
      <c r="N689" s="370"/>
    </row>
    <row r="690" spans="1:14" s="347" customFormat="1" x14ac:dyDescent="0.25">
      <c r="A690" s="369">
        <f>+A689</f>
        <v>44237</v>
      </c>
      <c r="B690" s="347">
        <v>2</v>
      </c>
      <c r="C690" s="347">
        <v>115</v>
      </c>
      <c r="D690" s="340" t="str">
        <f>VLOOKUP(C690,Plan!A:B,2,0)</f>
        <v>Disponible Cali B.Chile</v>
      </c>
      <c r="E690" s="341">
        <f>+F690-G690</f>
        <v>-100000</v>
      </c>
      <c r="F690" s="353">
        <v>0</v>
      </c>
      <c r="G690" s="353">
        <f>+F689</f>
        <v>100000</v>
      </c>
      <c r="H690" t="s">
        <v>1014</v>
      </c>
      <c r="I690" s="403" t="s">
        <v>131</v>
      </c>
      <c r="K690" s="370"/>
      <c r="N690" s="370"/>
    </row>
    <row r="691" spans="1:14" s="347" customFormat="1" x14ac:dyDescent="0.25">
      <c r="A691" s="369"/>
      <c r="E691" s="396"/>
      <c r="F691" s="396"/>
      <c r="G691" s="396"/>
      <c r="K691" s="370"/>
      <c r="N691" s="370"/>
    </row>
    <row r="692" spans="1:14" s="347" customFormat="1" x14ac:dyDescent="0.25">
      <c r="A692" s="369">
        <v>44237</v>
      </c>
      <c r="B692" s="347">
        <v>2</v>
      </c>
      <c r="C692" s="347">
        <v>115</v>
      </c>
      <c r="D692" s="340" t="str">
        <f>VLOOKUP(C692,Plan!A:B,2,0)</f>
        <v>Disponible Cali B.Chile</v>
      </c>
      <c r="E692" s="341">
        <f>+F692-G692</f>
        <v>30000</v>
      </c>
      <c r="F692" s="353">
        <v>30000</v>
      </c>
      <c r="G692" s="353">
        <v>0</v>
      </c>
      <c r="H692" t="s">
        <v>1015</v>
      </c>
      <c r="I692" s="403" t="s">
        <v>131</v>
      </c>
      <c r="K692" s="370"/>
      <c r="N692" s="370"/>
    </row>
    <row r="693" spans="1:14" s="347" customFormat="1" x14ac:dyDescent="0.25">
      <c r="A693" s="369">
        <f>+A692</f>
        <v>44237</v>
      </c>
      <c r="B693" s="347">
        <v>2</v>
      </c>
      <c r="C693" s="347">
        <v>1222</v>
      </c>
      <c r="D693" s="340" t="str">
        <f>VLOOKUP(C693,Plan!A:B,2,0)</f>
        <v>Otros Valores -Oficina y Transferencias (249)</v>
      </c>
      <c r="E693" s="341">
        <f>+F693-G693</f>
        <v>-30000</v>
      </c>
      <c r="F693" s="353">
        <v>0</v>
      </c>
      <c r="G693" s="353">
        <f>+F692</f>
        <v>30000</v>
      </c>
      <c r="H693" t="s">
        <v>1015</v>
      </c>
      <c r="I693" s="403" t="s">
        <v>131</v>
      </c>
      <c r="K693" s="370"/>
      <c r="N693" s="370"/>
    </row>
    <row r="694" spans="1:14" s="347" customFormat="1" x14ac:dyDescent="0.25">
      <c r="A694" s="369"/>
      <c r="E694" s="396"/>
      <c r="F694" s="396"/>
      <c r="G694" s="396"/>
      <c r="K694" s="370"/>
      <c r="N694" s="370"/>
    </row>
    <row r="695" spans="1:14" s="347" customFormat="1" x14ac:dyDescent="0.25">
      <c r="A695" s="369">
        <v>44237</v>
      </c>
      <c r="B695" s="347">
        <v>2</v>
      </c>
      <c r="C695" s="347">
        <v>115</v>
      </c>
      <c r="D695" s="340" t="str">
        <f>VLOOKUP(C695,Plan!A:B,2,0)</f>
        <v>Disponible Cali B.Chile</v>
      </c>
      <c r="E695" s="341">
        <f>+F695-G695</f>
        <v>17000</v>
      </c>
      <c r="F695" s="353">
        <v>17000</v>
      </c>
      <c r="G695" s="353">
        <v>0</v>
      </c>
      <c r="H695" t="s">
        <v>1016</v>
      </c>
      <c r="I695" s="403" t="s">
        <v>131</v>
      </c>
      <c r="K695" s="370"/>
      <c r="N695" s="370"/>
    </row>
    <row r="696" spans="1:14" s="347" customFormat="1" x14ac:dyDescent="0.25">
      <c r="A696" s="369">
        <v>44237</v>
      </c>
      <c r="B696" s="347">
        <v>2</v>
      </c>
      <c r="C696" s="347">
        <v>1222</v>
      </c>
      <c r="D696" s="340" t="str">
        <f>VLOOKUP(C696,Plan!A:B,2,0)</f>
        <v>Otros Valores -Oficina y Transferencias (249)</v>
      </c>
      <c r="E696" s="341">
        <f>+F696-G696</f>
        <v>-17000</v>
      </c>
      <c r="F696" s="353">
        <v>0</v>
      </c>
      <c r="G696" s="353">
        <f>+F695</f>
        <v>17000</v>
      </c>
      <c r="H696" t="s">
        <v>1016</v>
      </c>
      <c r="I696" s="403" t="s">
        <v>131</v>
      </c>
      <c r="K696" s="370"/>
      <c r="N696" s="370"/>
    </row>
    <row r="697" spans="1:14" s="347" customFormat="1" x14ac:dyDescent="0.25">
      <c r="A697" s="369"/>
      <c r="E697" s="396"/>
      <c r="F697" s="396"/>
      <c r="G697" s="396"/>
      <c r="K697" s="370"/>
      <c r="N697" s="370"/>
    </row>
    <row r="698" spans="1:14" s="347" customFormat="1" ht="14.45" customHeight="1" x14ac:dyDescent="0.25">
      <c r="A698" s="339">
        <v>44237</v>
      </c>
      <c r="B698" s="340">
        <v>2</v>
      </c>
      <c r="C698" s="338">
        <v>204</v>
      </c>
      <c r="D698" s="340" t="str">
        <f>VLOOKUP(C698,Plan!A$1:B$65542,2,0)</f>
        <v>Retención Honorarios Cali</v>
      </c>
      <c r="E698" s="341">
        <f>+F698-G698</f>
        <v>28192</v>
      </c>
      <c r="F698" s="346">
        <v>28192</v>
      </c>
      <c r="G698" s="346">
        <v>0</v>
      </c>
      <c r="H698" s="343" t="s">
        <v>1268</v>
      </c>
      <c r="I698" s="401" t="s">
        <v>131</v>
      </c>
      <c r="K698" s="370"/>
      <c r="N698" s="370"/>
    </row>
    <row r="699" spans="1:14" s="347" customFormat="1" x14ac:dyDescent="0.25">
      <c r="A699" s="339">
        <f>+A698</f>
        <v>44237</v>
      </c>
      <c r="B699" s="340">
        <v>2</v>
      </c>
      <c r="C699" s="338">
        <v>141</v>
      </c>
      <c r="D699" s="340" t="str">
        <f>VLOOKUP(C699,Plan!A$1:B$65542,2,0)</f>
        <v>Cuentas por Cobrar a Administración</v>
      </c>
      <c r="E699" s="341">
        <f>+F699-G699</f>
        <v>-28192</v>
      </c>
      <c r="F699" s="346">
        <v>0</v>
      </c>
      <c r="G699" s="346">
        <f>+F698</f>
        <v>28192</v>
      </c>
      <c r="H699" s="338" t="str">
        <f>+H698</f>
        <v>Pago F29 Enero por Adm.</v>
      </c>
      <c r="I699" s="401" t="str">
        <f>+I698</f>
        <v>Cali</v>
      </c>
      <c r="K699" s="370"/>
      <c r="N699" s="370"/>
    </row>
    <row r="700" spans="1:14" s="347" customFormat="1" x14ac:dyDescent="0.25">
      <c r="A700" s="369"/>
      <c r="E700" s="396"/>
      <c r="F700" s="396"/>
      <c r="G700" s="396"/>
      <c r="K700" s="370"/>
      <c r="N700" s="370"/>
    </row>
    <row r="701" spans="1:14" s="347" customFormat="1" x14ac:dyDescent="0.25">
      <c r="A701" s="369">
        <v>44238</v>
      </c>
      <c r="B701" s="347">
        <v>2</v>
      </c>
      <c r="C701" s="347">
        <v>115</v>
      </c>
      <c r="D701" s="340" t="str">
        <f>VLOOKUP(C701,Plan!A:B,2,0)</f>
        <v>Disponible Cali B.Chile</v>
      </c>
      <c r="E701" s="341">
        <f>+F701-G701</f>
        <v>20000</v>
      </c>
      <c r="F701" s="353">
        <v>20000</v>
      </c>
      <c r="G701" s="353">
        <v>0</v>
      </c>
      <c r="H701" t="s">
        <v>1687</v>
      </c>
      <c r="I701" s="403" t="s">
        <v>131</v>
      </c>
      <c r="K701" s="370"/>
      <c r="N701" s="370"/>
    </row>
    <row r="702" spans="1:14" s="347" customFormat="1" x14ac:dyDescent="0.25">
      <c r="A702" s="369">
        <f>+A701</f>
        <v>44238</v>
      </c>
      <c r="B702" s="347">
        <v>2</v>
      </c>
      <c r="C702" s="347">
        <v>1130</v>
      </c>
      <c r="D702" s="340" t="str">
        <f>VLOOKUP(C702,Plan!A:B,2,0)</f>
        <v>Disponible Ch. Fecha</v>
      </c>
      <c r="E702" s="341">
        <f>+F702-G702</f>
        <v>-20000</v>
      </c>
      <c r="F702" s="353">
        <v>0</v>
      </c>
      <c r="G702" s="353">
        <f>+F701</f>
        <v>20000</v>
      </c>
      <c r="H702" t="s">
        <v>1687</v>
      </c>
      <c r="I702" s="403" t="s">
        <v>131</v>
      </c>
      <c r="K702" s="370"/>
      <c r="N702" s="370"/>
    </row>
    <row r="703" spans="1:14" s="347" customFormat="1" x14ac:dyDescent="0.25">
      <c r="A703" s="369"/>
      <c r="E703" s="396"/>
      <c r="F703" s="396"/>
      <c r="G703" s="396"/>
      <c r="K703" s="370"/>
      <c r="N703" s="370"/>
    </row>
    <row r="704" spans="1:14" s="347" customFormat="1" x14ac:dyDescent="0.25">
      <c r="A704" s="369">
        <v>44238</v>
      </c>
      <c r="B704" s="347">
        <v>2</v>
      </c>
      <c r="C704" s="347">
        <v>115</v>
      </c>
      <c r="D704" s="340" t="str">
        <f>VLOOKUP(C704,Plan!A:B,2,0)</f>
        <v>Disponible Cali B.Chile</v>
      </c>
      <c r="E704" s="341">
        <f>+F704-G704</f>
        <v>40000</v>
      </c>
      <c r="F704" s="353">
        <v>40000</v>
      </c>
      <c r="G704" s="353">
        <v>0</v>
      </c>
      <c r="H704" t="s">
        <v>1687</v>
      </c>
      <c r="I704" s="403" t="s">
        <v>131</v>
      </c>
      <c r="K704" s="370"/>
      <c r="N704" s="370"/>
    </row>
    <row r="705" spans="1:14" s="347" customFormat="1" x14ac:dyDescent="0.25">
      <c r="A705" s="369">
        <f>+A704</f>
        <v>44238</v>
      </c>
      <c r="B705" s="347">
        <v>2</v>
      </c>
      <c r="C705" s="347">
        <v>1216</v>
      </c>
      <c r="D705" s="340" t="str">
        <f>VLOOKUP(C705,Plan!A:B,2,0)</f>
        <v>Otros Valores Recaudadoras</v>
      </c>
      <c r="E705" s="341">
        <f>+F705-G705</f>
        <v>-40000</v>
      </c>
      <c r="F705" s="353">
        <v>0</v>
      </c>
      <c r="G705" s="353">
        <f>+F704</f>
        <v>40000</v>
      </c>
      <c r="H705" t="s">
        <v>1687</v>
      </c>
      <c r="I705" s="403" t="s">
        <v>131</v>
      </c>
      <c r="K705" s="370"/>
      <c r="N705" s="370"/>
    </row>
    <row r="706" spans="1:14" s="347" customFormat="1" x14ac:dyDescent="0.25">
      <c r="A706" s="369"/>
      <c r="E706" s="396"/>
      <c r="F706" s="396"/>
      <c r="G706" s="396"/>
      <c r="K706" s="370"/>
      <c r="N706" s="370"/>
    </row>
    <row r="707" spans="1:14" s="347" customFormat="1" x14ac:dyDescent="0.25">
      <c r="A707" s="369">
        <v>44239</v>
      </c>
      <c r="B707" s="347">
        <v>2</v>
      </c>
      <c r="C707" s="347">
        <v>115</v>
      </c>
      <c r="D707" s="340" t="str">
        <f>VLOOKUP(C707,Plan!A:B,2,0)</f>
        <v>Disponible Cali B.Chile</v>
      </c>
      <c r="E707" s="341">
        <f>+F707-G707</f>
        <v>30000</v>
      </c>
      <c r="F707" s="353">
        <v>30000</v>
      </c>
      <c r="G707" s="353">
        <v>0</v>
      </c>
      <c r="H707" t="s">
        <v>1687</v>
      </c>
      <c r="I707" s="403" t="s">
        <v>131</v>
      </c>
      <c r="K707" s="370"/>
      <c r="N707" s="370"/>
    </row>
    <row r="708" spans="1:14" s="347" customFormat="1" x14ac:dyDescent="0.25">
      <c r="A708" s="369">
        <v>44239</v>
      </c>
      <c r="B708" s="347">
        <v>2</v>
      </c>
      <c r="C708" s="347">
        <v>1216</v>
      </c>
      <c r="D708" s="340" t="str">
        <f>VLOOKUP(C708,Plan!A:B,2,0)</f>
        <v>Otros Valores Recaudadoras</v>
      </c>
      <c r="E708" s="341">
        <f>+F708-G708</f>
        <v>-30000</v>
      </c>
      <c r="F708" s="353">
        <v>0</v>
      </c>
      <c r="G708" s="353">
        <f>+F707</f>
        <v>30000</v>
      </c>
      <c r="H708" t="s">
        <v>1687</v>
      </c>
      <c r="I708" s="403" t="s">
        <v>131</v>
      </c>
      <c r="K708" s="370"/>
      <c r="N708" s="370"/>
    </row>
    <row r="709" spans="1:14" s="347" customFormat="1" x14ac:dyDescent="0.25">
      <c r="A709" s="369"/>
      <c r="E709" s="396"/>
      <c r="F709" s="396"/>
      <c r="G709" s="396"/>
      <c r="K709" s="370"/>
      <c r="N709" s="370"/>
    </row>
    <row r="710" spans="1:14" s="347" customFormat="1" x14ac:dyDescent="0.25">
      <c r="A710" s="369">
        <v>44239</v>
      </c>
      <c r="B710" s="347">
        <v>2</v>
      </c>
      <c r="C710" s="347">
        <v>115</v>
      </c>
      <c r="D710" s="340" t="str">
        <f>VLOOKUP(C710,Plan!A:B,2,0)</f>
        <v>Disponible Cali B.Chile</v>
      </c>
      <c r="E710" s="341">
        <f>+F710-G710</f>
        <v>60000</v>
      </c>
      <c r="F710" s="353">
        <v>60000</v>
      </c>
      <c r="G710" s="353">
        <v>0</v>
      </c>
      <c r="H710" t="s">
        <v>1687</v>
      </c>
      <c r="I710" s="403" t="s">
        <v>131</v>
      </c>
      <c r="K710" s="370"/>
      <c r="N710" s="370"/>
    </row>
    <row r="711" spans="1:14" s="347" customFormat="1" x14ac:dyDescent="0.25">
      <c r="A711" s="369">
        <f>+A710</f>
        <v>44239</v>
      </c>
      <c r="B711" s="347">
        <v>2</v>
      </c>
      <c r="C711" s="347">
        <v>1216</v>
      </c>
      <c r="D711" s="340" t="str">
        <f>VLOOKUP(C711,Plan!A:B,2,0)</f>
        <v>Otros Valores Recaudadoras</v>
      </c>
      <c r="E711" s="341">
        <f>+F711-G711</f>
        <v>-60000</v>
      </c>
      <c r="F711" s="353">
        <v>0</v>
      </c>
      <c r="G711" s="353">
        <f>+F710</f>
        <v>60000</v>
      </c>
      <c r="H711" t="s">
        <v>1687</v>
      </c>
      <c r="I711" s="403" t="s">
        <v>131</v>
      </c>
      <c r="K711" s="370"/>
      <c r="N711" s="370"/>
    </row>
    <row r="712" spans="1:14" s="347" customFormat="1" x14ac:dyDescent="0.25">
      <c r="A712" s="369"/>
      <c r="E712" s="396"/>
      <c r="F712" s="396"/>
      <c r="G712" s="396"/>
      <c r="K712" s="370"/>
      <c r="N712" s="370"/>
    </row>
    <row r="713" spans="1:14" s="347" customFormat="1" x14ac:dyDescent="0.25">
      <c r="A713" s="369">
        <v>44239</v>
      </c>
      <c r="B713" s="347">
        <v>2</v>
      </c>
      <c r="C713" s="347">
        <v>115</v>
      </c>
      <c r="D713" s="340" t="str">
        <f>VLOOKUP(C713,Plan!A:B,2,0)</f>
        <v>Disponible Cali B.Chile</v>
      </c>
      <c r="E713" s="341">
        <f>+F713-G713</f>
        <v>62000</v>
      </c>
      <c r="F713" s="353">
        <v>62000</v>
      </c>
      <c r="G713" s="353">
        <v>0</v>
      </c>
      <c r="H713" t="s">
        <v>1687</v>
      </c>
      <c r="I713" s="403" t="s">
        <v>131</v>
      </c>
      <c r="K713" s="370"/>
      <c r="N713" s="370"/>
    </row>
    <row r="714" spans="1:14" s="347" customFormat="1" x14ac:dyDescent="0.25">
      <c r="A714" s="369">
        <f>+A713</f>
        <v>44239</v>
      </c>
      <c r="B714" s="347">
        <v>2</v>
      </c>
      <c r="C714" s="347">
        <v>1216</v>
      </c>
      <c r="D714" s="340" t="str">
        <f>VLOOKUP(C714,Plan!A:B,2,0)</f>
        <v>Otros Valores Recaudadoras</v>
      </c>
      <c r="E714" s="341">
        <f>+F714-G714</f>
        <v>-62000</v>
      </c>
      <c r="F714" s="353">
        <v>0</v>
      </c>
      <c r="G714" s="353">
        <f>+F713</f>
        <v>62000</v>
      </c>
      <c r="H714" t="s">
        <v>1687</v>
      </c>
      <c r="I714" s="403" t="s">
        <v>131</v>
      </c>
      <c r="K714" s="370"/>
      <c r="N714" s="370"/>
    </row>
    <row r="715" spans="1:14" s="347" customFormat="1" x14ac:dyDescent="0.25">
      <c r="A715" s="369"/>
      <c r="E715" s="396"/>
      <c r="F715" s="396"/>
      <c r="G715" s="396"/>
      <c r="K715" s="370"/>
      <c r="N715" s="370"/>
    </row>
    <row r="716" spans="1:14" s="347" customFormat="1" x14ac:dyDescent="0.25">
      <c r="A716" s="369">
        <v>44239</v>
      </c>
      <c r="B716" s="347">
        <v>2</v>
      </c>
      <c r="C716" s="347">
        <v>115</v>
      </c>
      <c r="D716" s="340" t="str">
        <f>VLOOKUP(C716,Plan!A:B,2,0)</f>
        <v>Disponible Cali B.Chile</v>
      </c>
      <c r="E716" s="341">
        <f>+F716-G716</f>
        <v>20000</v>
      </c>
      <c r="F716" s="353">
        <v>20000</v>
      </c>
      <c r="G716" s="353">
        <v>0</v>
      </c>
      <c r="H716" t="s">
        <v>1017</v>
      </c>
      <c r="I716" s="403" t="s">
        <v>131</v>
      </c>
      <c r="K716" s="370"/>
      <c r="N716" s="370"/>
    </row>
    <row r="717" spans="1:14" s="347" customFormat="1" x14ac:dyDescent="0.25">
      <c r="A717" s="369">
        <f>+A716</f>
        <v>44239</v>
      </c>
      <c r="B717" s="347">
        <v>2</v>
      </c>
      <c r="C717" s="347">
        <v>1216</v>
      </c>
      <c r="D717" s="340" t="str">
        <f>VLOOKUP(C717,Plan!A:B,2,0)</f>
        <v>Otros Valores Recaudadoras</v>
      </c>
      <c r="E717" s="341">
        <f>+F717-G717</f>
        <v>-20000</v>
      </c>
      <c r="F717" s="353">
        <v>0</v>
      </c>
      <c r="G717" s="353">
        <f>+F716</f>
        <v>20000</v>
      </c>
      <c r="H717" t="s">
        <v>1017</v>
      </c>
      <c r="I717" s="403" t="s">
        <v>131</v>
      </c>
      <c r="K717" s="370"/>
      <c r="N717" s="370"/>
    </row>
    <row r="718" spans="1:14" s="347" customFormat="1" x14ac:dyDescent="0.25">
      <c r="A718" s="369"/>
      <c r="E718" s="396"/>
      <c r="F718" s="396"/>
      <c r="G718" s="396"/>
      <c r="K718" s="370"/>
      <c r="N718" s="370"/>
    </row>
    <row r="719" spans="1:14" s="347" customFormat="1" x14ac:dyDescent="0.25">
      <c r="A719" s="369">
        <v>44239</v>
      </c>
      <c r="B719" s="347">
        <v>2</v>
      </c>
      <c r="C719" s="347">
        <v>115</v>
      </c>
      <c r="D719" s="340" t="str">
        <f>VLOOKUP(C719,Plan!A:B,2,0)</f>
        <v>Disponible Cali B.Chile</v>
      </c>
      <c r="E719" s="341">
        <f>+F719-G719</f>
        <v>35000</v>
      </c>
      <c r="F719" s="353">
        <v>35000</v>
      </c>
      <c r="G719" s="353">
        <v>0</v>
      </c>
      <c r="H719" t="s">
        <v>1687</v>
      </c>
      <c r="I719" s="403" t="s">
        <v>131</v>
      </c>
      <c r="K719" s="370"/>
      <c r="N719" s="370"/>
    </row>
    <row r="720" spans="1:14" s="347" customFormat="1" x14ac:dyDescent="0.25">
      <c r="A720" s="369">
        <f>+A719</f>
        <v>44239</v>
      </c>
      <c r="B720" s="347">
        <v>2</v>
      </c>
      <c r="C720" s="347">
        <v>1216</v>
      </c>
      <c r="D720" s="340" t="str">
        <f>VLOOKUP(C720,Plan!A:B,2,0)</f>
        <v>Otros Valores Recaudadoras</v>
      </c>
      <c r="E720" s="341">
        <f>+F720-G720</f>
        <v>-35000</v>
      </c>
      <c r="F720" s="353">
        <v>0</v>
      </c>
      <c r="G720" s="353">
        <f>+F719</f>
        <v>35000</v>
      </c>
      <c r="H720" t="s">
        <v>1687</v>
      </c>
      <c r="I720" s="403" t="s">
        <v>131</v>
      </c>
      <c r="K720" s="370"/>
      <c r="N720" s="370"/>
    </row>
    <row r="721" spans="1:14" s="347" customFormat="1" x14ac:dyDescent="0.25">
      <c r="A721" s="369"/>
      <c r="E721" s="396"/>
      <c r="F721" s="396"/>
      <c r="G721" s="396"/>
      <c r="K721" s="370"/>
      <c r="N721" s="370"/>
    </row>
    <row r="722" spans="1:14" s="347" customFormat="1" x14ac:dyDescent="0.25">
      <c r="A722" s="339">
        <v>44242</v>
      </c>
      <c r="B722" s="340">
        <v>2</v>
      </c>
      <c r="C722" s="338">
        <v>4170</v>
      </c>
      <c r="D722" s="340" t="str">
        <f>VLOOKUP(C722,Plan!A:B,2,0)</f>
        <v>Cali otros</v>
      </c>
      <c r="E722" s="341">
        <f>+F722-G722</f>
        <v>112994</v>
      </c>
      <c r="F722" s="346">
        <v>112994</v>
      </c>
      <c r="G722" s="346">
        <v>0</v>
      </c>
      <c r="H722" t="s">
        <v>1018</v>
      </c>
      <c r="I722" s="340" t="s">
        <v>131</v>
      </c>
      <c r="K722" s="370"/>
      <c r="N722" s="370"/>
    </row>
    <row r="723" spans="1:14" s="347" customFormat="1" x14ac:dyDescent="0.25">
      <c r="A723" s="339">
        <f>+A722</f>
        <v>44242</v>
      </c>
      <c r="B723" s="340">
        <f>+B722</f>
        <v>2</v>
      </c>
      <c r="C723" s="338">
        <v>204</v>
      </c>
      <c r="D723" s="340" t="s">
        <v>444</v>
      </c>
      <c r="E723" s="341">
        <f>+F723-G723</f>
        <v>-12994</v>
      </c>
      <c r="F723" s="346">
        <v>0</v>
      </c>
      <c r="G723" s="346">
        <v>12994</v>
      </c>
      <c r="H723" t="s">
        <v>1018</v>
      </c>
      <c r="I723" s="401" t="str">
        <f>+I722</f>
        <v>Cali</v>
      </c>
      <c r="K723" s="370"/>
      <c r="N723" s="370"/>
    </row>
    <row r="724" spans="1:14" s="347" customFormat="1" x14ac:dyDescent="0.25">
      <c r="A724" s="339">
        <f>+A722</f>
        <v>44242</v>
      </c>
      <c r="B724" s="340">
        <f>+B722</f>
        <v>2</v>
      </c>
      <c r="C724" s="338">
        <v>115</v>
      </c>
      <c r="D724" s="340" t="s">
        <v>256</v>
      </c>
      <c r="E724" s="341">
        <f>+F724-G724</f>
        <v>-100000</v>
      </c>
      <c r="F724" s="346">
        <v>0</v>
      </c>
      <c r="G724" s="346">
        <v>100000</v>
      </c>
      <c r="H724" t="s">
        <v>1018</v>
      </c>
      <c r="I724" s="401" t="str">
        <f>+I722</f>
        <v>Cali</v>
      </c>
      <c r="K724" s="370"/>
      <c r="N724" s="370"/>
    </row>
    <row r="725" spans="1:14" s="347" customFormat="1" x14ac:dyDescent="0.25">
      <c r="A725" s="369"/>
      <c r="E725" s="396"/>
      <c r="F725" s="396"/>
      <c r="G725" s="396"/>
      <c r="K725" s="370"/>
      <c r="N725" s="370"/>
    </row>
    <row r="726" spans="1:14" s="347" customFormat="1" x14ac:dyDescent="0.25">
      <c r="A726" s="339">
        <v>44242</v>
      </c>
      <c r="B726" s="340">
        <v>2</v>
      </c>
      <c r="C726" s="338">
        <v>203</v>
      </c>
      <c r="D726" s="340" t="s">
        <v>94</v>
      </c>
      <c r="E726" s="341">
        <f>+F726-G726</f>
        <v>50280</v>
      </c>
      <c r="F726" s="346">
        <v>50280</v>
      </c>
      <c r="G726" s="346">
        <v>0</v>
      </c>
      <c r="H726" s="343" t="s">
        <v>568</v>
      </c>
      <c r="I726" s="340" t="s">
        <v>131</v>
      </c>
      <c r="K726" s="370"/>
      <c r="N726" s="370"/>
    </row>
    <row r="727" spans="1:14" s="347" customFormat="1" x14ac:dyDescent="0.25">
      <c r="A727" s="339">
        <f>+A726</f>
        <v>44242</v>
      </c>
      <c r="B727" s="340">
        <f>+B726</f>
        <v>2</v>
      </c>
      <c r="C727" s="338">
        <v>204</v>
      </c>
      <c r="D727" s="340" t="s">
        <v>444</v>
      </c>
      <c r="E727" s="341">
        <f>+F727-G727</f>
        <v>-5782</v>
      </c>
      <c r="F727" s="346">
        <v>0</v>
      </c>
      <c r="G727" s="346">
        <v>5782</v>
      </c>
      <c r="H727" s="338" t="s">
        <v>568</v>
      </c>
      <c r="I727" s="401" t="str">
        <f>+I726</f>
        <v>Cali</v>
      </c>
      <c r="K727" s="370"/>
      <c r="N727" s="370"/>
    </row>
    <row r="728" spans="1:14" s="347" customFormat="1" x14ac:dyDescent="0.25">
      <c r="A728" s="339">
        <f>+A726</f>
        <v>44242</v>
      </c>
      <c r="B728" s="340">
        <f>+B726</f>
        <v>2</v>
      </c>
      <c r="C728" s="338">
        <v>115</v>
      </c>
      <c r="D728" s="340" t="s">
        <v>256</v>
      </c>
      <c r="E728" s="341">
        <f>+F728-G728</f>
        <v>-44498</v>
      </c>
      <c r="F728" s="346">
        <v>0</v>
      </c>
      <c r="G728" s="346">
        <v>44498</v>
      </c>
      <c r="H728" s="338" t="s">
        <v>568</v>
      </c>
      <c r="I728" s="401" t="str">
        <f>+I726</f>
        <v>Cali</v>
      </c>
      <c r="K728" s="370"/>
      <c r="N728" s="370"/>
    </row>
    <row r="729" spans="1:14" s="347" customFormat="1" x14ac:dyDescent="0.25">
      <c r="A729" s="369"/>
      <c r="E729" s="396"/>
      <c r="F729" s="396"/>
      <c r="G729" s="396"/>
      <c r="K729" s="370"/>
      <c r="N729" s="370"/>
    </row>
    <row r="730" spans="1:14" s="347" customFormat="1" x14ac:dyDescent="0.25">
      <c r="A730" s="369">
        <v>44242</v>
      </c>
      <c r="B730" s="347">
        <v>2</v>
      </c>
      <c r="C730" s="347">
        <v>115</v>
      </c>
      <c r="D730" s="340" t="str">
        <f>VLOOKUP(C730,Plan!A:B,2,0)</f>
        <v>Disponible Cali B.Chile</v>
      </c>
      <c r="E730" s="341">
        <f>+F730-G730</f>
        <v>250000</v>
      </c>
      <c r="F730" s="353">
        <v>250000</v>
      </c>
      <c r="G730" s="353">
        <v>0</v>
      </c>
      <c r="H730" t="s">
        <v>1019</v>
      </c>
      <c r="I730" s="403" t="s">
        <v>131</v>
      </c>
      <c r="K730" s="370"/>
      <c r="N730" s="370"/>
    </row>
    <row r="731" spans="1:14" s="347" customFormat="1" x14ac:dyDescent="0.25">
      <c r="A731" s="369">
        <f>+A730</f>
        <v>44242</v>
      </c>
      <c r="B731" s="347">
        <v>2</v>
      </c>
      <c r="C731" s="347">
        <v>3210</v>
      </c>
      <c r="D731" s="340" t="str">
        <f>VLOOKUP(C731,Plan!A:B,2,0)</f>
        <v>Donacion Construccion</v>
      </c>
      <c r="E731" s="341">
        <f>+F731-G731</f>
        <v>-250000</v>
      </c>
      <c r="F731" s="353">
        <v>0</v>
      </c>
      <c r="G731" s="353">
        <f>+F730</f>
        <v>250000</v>
      </c>
      <c r="H731" t="s">
        <v>1019</v>
      </c>
      <c r="I731" s="403" t="s">
        <v>131</v>
      </c>
      <c r="K731" s="370"/>
      <c r="N731" s="370"/>
    </row>
    <row r="732" spans="1:14" s="347" customFormat="1" x14ac:dyDescent="0.25">
      <c r="A732" s="369"/>
      <c r="E732" s="396"/>
      <c r="F732" s="396"/>
      <c r="G732" s="396"/>
      <c r="K732" s="370"/>
      <c r="N732" s="370"/>
    </row>
    <row r="733" spans="1:14" s="347" customFormat="1" x14ac:dyDescent="0.25">
      <c r="A733" s="369">
        <v>44242</v>
      </c>
      <c r="B733" s="347">
        <v>2</v>
      </c>
      <c r="C733" s="347">
        <v>115</v>
      </c>
      <c r="D733" s="340" t="str">
        <f>VLOOKUP(C733,Plan!A:B,2,0)</f>
        <v>Disponible Cali B.Chile</v>
      </c>
      <c r="E733" s="341">
        <f>+F733-G733</f>
        <v>9000</v>
      </c>
      <c r="F733" s="353">
        <v>9000</v>
      </c>
      <c r="G733" s="353">
        <v>0</v>
      </c>
      <c r="H733" t="s">
        <v>1020</v>
      </c>
      <c r="I733" s="403" t="s">
        <v>131</v>
      </c>
      <c r="K733" s="370"/>
      <c r="N733" s="370"/>
    </row>
    <row r="734" spans="1:14" s="347" customFormat="1" x14ac:dyDescent="0.25">
      <c r="A734" s="369">
        <f>+A733</f>
        <v>44242</v>
      </c>
      <c r="B734" s="347">
        <v>2</v>
      </c>
      <c r="C734" s="347">
        <v>1217</v>
      </c>
      <c r="D734" s="340" t="str">
        <f>VLOOKUP(C734,Plan!A:B,2,0)</f>
        <v>Otros Valores -Oficina y Transferencias (248)</v>
      </c>
      <c r="E734" s="341">
        <f>+F734-G734</f>
        <v>-9000</v>
      </c>
      <c r="F734" s="353">
        <v>0</v>
      </c>
      <c r="G734" s="353">
        <f>+F733</f>
        <v>9000</v>
      </c>
      <c r="H734" t="s">
        <v>1020</v>
      </c>
      <c r="I734" s="403" t="s">
        <v>131</v>
      </c>
      <c r="K734" s="370"/>
      <c r="N734" s="370"/>
    </row>
    <row r="735" spans="1:14" s="347" customFormat="1" x14ac:dyDescent="0.25">
      <c r="A735" s="369"/>
      <c r="E735" s="396"/>
      <c r="F735" s="396"/>
      <c r="G735" s="396"/>
      <c r="K735" s="370"/>
      <c r="N735" s="370"/>
    </row>
    <row r="736" spans="1:14" s="347" customFormat="1" x14ac:dyDescent="0.25">
      <c r="A736" s="369">
        <v>44242</v>
      </c>
      <c r="B736" s="347">
        <v>2</v>
      </c>
      <c r="C736" s="347">
        <v>115</v>
      </c>
      <c r="D736" s="340" t="str">
        <f>VLOOKUP(C736,Plan!A:B,2,0)</f>
        <v>Disponible Cali B.Chile</v>
      </c>
      <c r="E736" s="341">
        <f>+F736-G736</f>
        <v>10000</v>
      </c>
      <c r="F736" s="353">
        <v>10000</v>
      </c>
      <c r="G736" s="353">
        <v>0</v>
      </c>
      <c r="H736" t="s">
        <v>971</v>
      </c>
      <c r="I736" s="403" t="s">
        <v>131</v>
      </c>
      <c r="K736" s="370"/>
      <c r="N736" s="370"/>
    </row>
    <row r="737" spans="1:14" s="347" customFormat="1" x14ac:dyDescent="0.25">
      <c r="A737" s="369">
        <f>+A736</f>
        <v>44242</v>
      </c>
      <c r="B737" s="347">
        <v>2</v>
      </c>
      <c r="C737" s="347">
        <v>216</v>
      </c>
      <c r="D737" s="340" t="str">
        <f>VLOOKUP(C737,Plan!A:B,2,0)</f>
        <v>Cuenta por Pagar a Administración Colectas</v>
      </c>
      <c r="E737" s="341">
        <f>+F737-G737</f>
        <v>-10000</v>
      </c>
      <c r="F737" s="353">
        <v>0</v>
      </c>
      <c r="G737" s="353">
        <f>+F736</f>
        <v>10000</v>
      </c>
      <c r="H737" t="s">
        <v>971</v>
      </c>
      <c r="I737" s="403" t="s">
        <v>131</v>
      </c>
      <c r="K737" s="370"/>
      <c r="N737" s="370"/>
    </row>
    <row r="738" spans="1:14" s="347" customFormat="1" x14ac:dyDescent="0.25">
      <c r="A738" s="369"/>
      <c r="E738" s="396"/>
      <c r="F738" s="396"/>
      <c r="G738" s="396"/>
      <c r="K738" s="370"/>
      <c r="N738" s="370"/>
    </row>
    <row r="739" spans="1:14" s="347" customFormat="1" x14ac:dyDescent="0.25">
      <c r="A739" s="369">
        <v>44242</v>
      </c>
      <c r="B739" s="347">
        <v>2</v>
      </c>
      <c r="C739" s="347">
        <v>115</v>
      </c>
      <c r="D739" s="340" t="str">
        <f>VLOOKUP(C739,Plan!A:B,2,0)</f>
        <v>Disponible Cali B.Chile</v>
      </c>
      <c r="E739" s="341">
        <f>+F739-G739</f>
        <v>1500</v>
      </c>
      <c r="F739" s="353">
        <v>1500</v>
      </c>
      <c r="G739" s="353">
        <v>0</v>
      </c>
      <c r="H739" t="s">
        <v>1010</v>
      </c>
      <c r="I739" s="403" t="s">
        <v>131</v>
      </c>
      <c r="K739" s="370"/>
      <c r="N739" s="370"/>
    </row>
    <row r="740" spans="1:14" s="347" customFormat="1" x14ac:dyDescent="0.25">
      <c r="A740" s="369">
        <f>+A739</f>
        <v>44242</v>
      </c>
      <c r="B740" s="347">
        <v>2</v>
      </c>
      <c r="C740" s="347">
        <v>216</v>
      </c>
      <c r="D740" s="340" t="str">
        <f>VLOOKUP(C740,Plan!A:B,2,0)</f>
        <v>Cuenta por Pagar a Administración Colectas</v>
      </c>
      <c r="E740" s="341">
        <f>+F740-G740</f>
        <v>-1500</v>
      </c>
      <c r="F740" s="353">
        <v>0</v>
      </c>
      <c r="G740" s="353">
        <f>+F739</f>
        <v>1500</v>
      </c>
      <c r="H740" t="s">
        <v>1010</v>
      </c>
      <c r="I740" s="403" t="s">
        <v>131</v>
      </c>
      <c r="K740" s="370"/>
      <c r="N740" s="370"/>
    </row>
    <row r="741" spans="1:14" s="347" customFormat="1" x14ac:dyDescent="0.25">
      <c r="A741" s="369"/>
      <c r="E741" s="396"/>
      <c r="F741" s="396"/>
      <c r="G741" s="396"/>
      <c r="K741" s="370"/>
      <c r="N741" s="370"/>
    </row>
    <row r="742" spans="1:14" s="347" customFormat="1" x14ac:dyDescent="0.25">
      <c r="A742" s="369">
        <v>44242</v>
      </c>
      <c r="B742" s="347">
        <v>2</v>
      </c>
      <c r="C742" s="347">
        <v>115</v>
      </c>
      <c r="D742" s="340" t="str">
        <f>VLOOKUP(C742,Plan!A:B,2,0)</f>
        <v>Disponible Cali B.Chile</v>
      </c>
      <c r="E742" s="341">
        <f>+F742-G742</f>
        <v>100000</v>
      </c>
      <c r="F742" s="353">
        <v>100000</v>
      </c>
      <c r="G742" s="353">
        <v>0</v>
      </c>
      <c r="H742" t="s">
        <v>1021</v>
      </c>
      <c r="I742" s="403" t="s">
        <v>131</v>
      </c>
      <c r="K742" s="370"/>
      <c r="N742" s="370"/>
    </row>
    <row r="743" spans="1:14" s="347" customFormat="1" x14ac:dyDescent="0.25">
      <c r="A743" s="369">
        <f>+A742</f>
        <v>44242</v>
      </c>
      <c r="B743" s="347">
        <v>2</v>
      </c>
      <c r="C743" s="347">
        <v>3210</v>
      </c>
      <c r="D743" s="340" t="str">
        <f>VLOOKUP(C743,Plan!A:B,2,0)</f>
        <v>Donacion Construccion</v>
      </c>
      <c r="E743" s="341">
        <f>+F743-G743</f>
        <v>-100000</v>
      </c>
      <c r="F743" s="353">
        <v>0</v>
      </c>
      <c r="G743" s="353">
        <f>+F742</f>
        <v>100000</v>
      </c>
      <c r="H743" t="s">
        <v>1021</v>
      </c>
      <c r="I743" s="403" t="s">
        <v>131</v>
      </c>
      <c r="K743" s="370"/>
      <c r="N743" s="370"/>
    </row>
    <row r="744" spans="1:14" s="347" customFormat="1" x14ac:dyDescent="0.25">
      <c r="A744" s="369"/>
      <c r="E744" s="396"/>
      <c r="F744" s="396"/>
      <c r="G744" s="396"/>
      <c r="K744" s="370"/>
      <c r="N744" s="370"/>
    </row>
    <row r="745" spans="1:14" s="347" customFormat="1" x14ac:dyDescent="0.25">
      <c r="A745" s="369">
        <v>44242</v>
      </c>
      <c r="B745" s="347">
        <v>2</v>
      </c>
      <c r="C745" s="347">
        <v>115</v>
      </c>
      <c r="D745" s="340" t="str">
        <f>VLOOKUP(C745,Plan!A:B,2,0)</f>
        <v>Disponible Cali B.Chile</v>
      </c>
      <c r="E745" s="341">
        <f>+F745-G745</f>
        <v>20000</v>
      </c>
      <c r="F745" s="353">
        <v>20000</v>
      </c>
      <c r="G745" s="353">
        <v>0</v>
      </c>
      <c r="H745" t="s">
        <v>1022</v>
      </c>
      <c r="I745" s="403" t="s">
        <v>131</v>
      </c>
      <c r="K745" s="370"/>
      <c r="N745" s="370"/>
    </row>
    <row r="746" spans="1:14" s="347" customFormat="1" x14ac:dyDescent="0.25">
      <c r="A746" s="369">
        <f>+A745</f>
        <v>44242</v>
      </c>
      <c r="B746" s="347">
        <v>2</v>
      </c>
      <c r="C746" s="347">
        <v>1222</v>
      </c>
      <c r="D746" s="340" t="str">
        <f>VLOOKUP(C746,Plan!A:B,2,0)</f>
        <v>Otros Valores -Oficina y Transferencias (249)</v>
      </c>
      <c r="E746" s="341">
        <f>+F746-G746</f>
        <v>-20000</v>
      </c>
      <c r="F746" s="353">
        <v>0</v>
      </c>
      <c r="G746" s="353">
        <f>+F745</f>
        <v>20000</v>
      </c>
      <c r="H746" t="s">
        <v>1022</v>
      </c>
      <c r="I746" s="403" t="s">
        <v>131</v>
      </c>
      <c r="K746" s="370"/>
      <c r="N746" s="370"/>
    </row>
    <row r="747" spans="1:14" s="347" customFormat="1" x14ac:dyDescent="0.25">
      <c r="A747" s="369"/>
      <c r="E747" s="396"/>
      <c r="F747" s="396"/>
      <c r="G747" s="396"/>
      <c r="K747" s="370"/>
      <c r="N747" s="370"/>
    </row>
    <row r="748" spans="1:14" s="347" customFormat="1" x14ac:dyDescent="0.25">
      <c r="A748" s="369">
        <v>44242</v>
      </c>
      <c r="B748" s="347">
        <v>2</v>
      </c>
      <c r="C748" s="347">
        <v>115</v>
      </c>
      <c r="D748" s="340" t="str">
        <f>VLOOKUP(C748,Plan!A:B,2,0)</f>
        <v>Disponible Cali B.Chile</v>
      </c>
      <c r="E748" s="341">
        <f>+F748-G748</f>
        <v>25000</v>
      </c>
      <c r="F748" s="353">
        <v>25000</v>
      </c>
      <c r="G748" s="353">
        <v>0</v>
      </c>
      <c r="H748" t="s">
        <v>1023</v>
      </c>
      <c r="I748" s="403" t="s">
        <v>131</v>
      </c>
      <c r="K748" s="370"/>
      <c r="N748" s="370"/>
    </row>
    <row r="749" spans="1:14" s="347" customFormat="1" x14ac:dyDescent="0.25">
      <c r="A749" s="369">
        <f>+A748</f>
        <v>44242</v>
      </c>
      <c r="B749" s="347">
        <v>2</v>
      </c>
      <c r="C749" s="347">
        <v>1222</v>
      </c>
      <c r="D749" s="340" t="str">
        <f>VLOOKUP(C749,Plan!A:B,2,0)</f>
        <v>Otros Valores -Oficina y Transferencias (249)</v>
      </c>
      <c r="E749" s="341">
        <f>+F749-G749</f>
        <v>-25000</v>
      </c>
      <c r="F749" s="353">
        <v>0</v>
      </c>
      <c r="G749" s="353">
        <f>+F748</f>
        <v>25000</v>
      </c>
      <c r="H749" t="s">
        <v>1023</v>
      </c>
      <c r="I749" s="403" t="s">
        <v>131</v>
      </c>
      <c r="K749" s="370"/>
      <c r="N749" s="370"/>
    </row>
    <row r="750" spans="1:14" s="347" customFormat="1" x14ac:dyDescent="0.25">
      <c r="A750" s="369"/>
      <c r="E750" s="396"/>
      <c r="F750" s="396"/>
      <c r="G750" s="396"/>
      <c r="K750" s="370"/>
      <c r="N750" s="370"/>
    </row>
    <row r="751" spans="1:14" s="347" customFormat="1" x14ac:dyDescent="0.25">
      <c r="A751" s="369">
        <v>44242</v>
      </c>
      <c r="B751" s="347">
        <v>2</v>
      </c>
      <c r="C751" s="347">
        <v>115</v>
      </c>
      <c r="D751" s="340" t="str">
        <f>VLOOKUP(C751,Plan!A:B,2,0)</f>
        <v>Disponible Cali B.Chile</v>
      </c>
      <c r="E751" s="341">
        <f>+F751-G751</f>
        <v>50000</v>
      </c>
      <c r="F751" s="353">
        <v>50000</v>
      </c>
      <c r="G751" s="353">
        <v>0</v>
      </c>
      <c r="H751" t="s">
        <v>1024</v>
      </c>
      <c r="I751" s="403" t="s">
        <v>131</v>
      </c>
      <c r="K751" s="370"/>
      <c r="N751" s="370"/>
    </row>
    <row r="752" spans="1:14" s="347" customFormat="1" x14ac:dyDescent="0.25">
      <c r="A752" s="369">
        <f>+A751</f>
        <v>44242</v>
      </c>
      <c r="B752" s="347">
        <v>2</v>
      </c>
      <c r="C752" s="347">
        <v>1222</v>
      </c>
      <c r="D752" s="340" t="str">
        <f>VLOOKUP(C752,Plan!A:B,2,0)</f>
        <v>Otros Valores -Oficina y Transferencias (249)</v>
      </c>
      <c r="E752" s="341">
        <f>+F752-G752</f>
        <v>-50000</v>
      </c>
      <c r="F752" s="353">
        <v>0</v>
      </c>
      <c r="G752" s="353">
        <f>+F751</f>
        <v>50000</v>
      </c>
      <c r="H752" t="s">
        <v>1024</v>
      </c>
      <c r="I752" s="403" t="s">
        <v>131</v>
      </c>
      <c r="K752" s="370"/>
      <c r="N752" s="370"/>
    </row>
    <row r="753" spans="1:14" s="347" customFormat="1" x14ac:dyDescent="0.25">
      <c r="A753" s="369"/>
      <c r="E753" s="396"/>
      <c r="F753" s="396"/>
      <c r="G753" s="396"/>
      <c r="K753" s="370"/>
      <c r="N753" s="370"/>
    </row>
    <row r="754" spans="1:14" s="347" customFormat="1" x14ac:dyDescent="0.25">
      <c r="A754" s="369">
        <v>44242</v>
      </c>
      <c r="B754" s="347">
        <v>2</v>
      </c>
      <c r="C754" s="347">
        <v>115</v>
      </c>
      <c r="D754" s="340" t="str">
        <f>VLOOKUP(C754,Plan!A:B,2,0)</f>
        <v>Disponible Cali B.Chile</v>
      </c>
      <c r="E754" s="341">
        <f>+F754-G754</f>
        <v>20000</v>
      </c>
      <c r="F754" s="353">
        <v>20000</v>
      </c>
      <c r="G754" s="353">
        <v>0</v>
      </c>
      <c r="H754" t="s">
        <v>1025</v>
      </c>
      <c r="I754" s="403" t="s">
        <v>131</v>
      </c>
      <c r="K754" s="370"/>
      <c r="N754" s="370"/>
    </row>
    <row r="755" spans="1:14" s="347" customFormat="1" x14ac:dyDescent="0.25">
      <c r="A755" s="369">
        <f>+A754</f>
        <v>44242</v>
      </c>
      <c r="B755" s="347">
        <v>2</v>
      </c>
      <c r="C755" s="347">
        <v>1222</v>
      </c>
      <c r="D755" s="340" t="str">
        <f>VLOOKUP(C755,Plan!A:B,2,0)</f>
        <v>Otros Valores -Oficina y Transferencias (249)</v>
      </c>
      <c r="E755" s="341">
        <f>+F755-G755</f>
        <v>-20000</v>
      </c>
      <c r="F755" s="353">
        <v>0</v>
      </c>
      <c r="G755" s="353">
        <f>+F754</f>
        <v>20000</v>
      </c>
      <c r="H755" t="s">
        <v>1025</v>
      </c>
      <c r="I755" s="403" t="s">
        <v>131</v>
      </c>
      <c r="K755" s="370"/>
      <c r="N755" s="370"/>
    </row>
    <row r="756" spans="1:14" s="347" customFormat="1" x14ac:dyDescent="0.25">
      <c r="A756" s="369"/>
      <c r="E756" s="396"/>
      <c r="F756" s="396"/>
      <c r="G756" s="396"/>
      <c r="K756" s="370"/>
      <c r="N756" s="370"/>
    </row>
    <row r="757" spans="1:14" s="347" customFormat="1" x14ac:dyDescent="0.25">
      <c r="A757" s="369">
        <v>44242</v>
      </c>
      <c r="B757" s="347">
        <v>2</v>
      </c>
      <c r="C757" s="347">
        <v>115</v>
      </c>
      <c r="D757" s="340" t="str">
        <f>VLOOKUP(C757,Plan!A:B,2,0)</f>
        <v>Disponible Cali B.Chile</v>
      </c>
      <c r="E757" s="341">
        <f>+F757-G757</f>
        <v>140000</v>
      </c>
      <c r="F757" s="353">
        <v>140000</v>
      </c>
      <c r="G757" s="353">
        <v>0</v>
      </c>
      <c r="H757" t="s">
        <v>1026</v>
      </c>
      <c r="I757" s="403" t="s">
        <v>131</v>
      </c>
      <c r="K757" s="370"/>
      <c r="N757" s="370"/>
    </row>
    <row r="758" spans="1:14" s="347" customFormat="1" x14ac:dyDescent="0.25">
      <c r="A758" s="369">
        <f>+A757</f>
        <v>44242</v>
      </c>
      <c r="B758" s="347">
        <v>2</v>
      </c>
      <c r="C758" s="347">
        <v>3210</v>
      </c>
      <c r="D758" s="340" t="str">
        <f>VLOOKUP(C758,Plan!A:B,2,0)</f>
        <v>Donacion Construccion</v>
      </c>
      <c r="E758" s="341">
        <f>+F758-G758</f>
        <v>-140000</v>
      </c>
      <c r="F758" s="353">
        <v>0</v>
      </c>
      <c r="G758" s="353">
        <f>+F757</f>
        <v>140000</v>
      </c>
      <c r="H758" t="s">
        <v>1026</v>
      </c>
      <c r="I758" s="403" t="s">
        <v>131</v>
      </c>
      <c r="K758" s="370"/>
      <c r="N758" s="370"/>
    </row>
    <row r="759" spans="1:14" s="347" customFormat="1" x14ac:dyDescent="0.25">
      <c r="A759" s="369"/>
      <c r="E759" s="396"/>
      <c r="F759" s="396"/>
      <c r="G759" s="396"/>
      <c r="K759" s="370"/>
      <c r="N759" s="370"/>
    </row>
    <row r="760" spans="1:14" s="347" customFormat="1" x14ac:dyDescent="0.25">
      <c r="A760" s="369">
        <v>44242</v>
      </c>
      <c r="B760" s="347">
        <v>2</v>
      </c>
      <c r="C760" s="347">
        <v>115</v>
      </c>
      <c r="D760" s="340" t="str">
        <f>VLOOKUP(C760,Plan!A:B,2,0)</f>
        <v>Disponible Cali B.Chile</v>
      </c>
      <c r="E760" s="341">
        <f>+F760-G760</f>
        <v>10000</v>
      </c>
      <c r="F760" s="353">
        <v>10000</v>
      </c>
      <c r="G760" s="353">
        <v>0</v>
      </c>
      <c r="H760" t="s">
        <v>1027</v>
      </c>
      <c r="I760" s="403" t="s">
        <v>131</v>
      </c>
      <c r="K760" s="370"/>
      <c r="N760" s="370"/>
    </row>
    <row r="761" spans="1:14" s="347" customFormat="1" x14ac:dyDescent="0.25">
      <c r="A761" s="369">
        <f>+A760</f>
        <v>44242</v>
      </c>
      <c r="B761" s="347">
        <v>2</v>
      </c>
      <c r="C761" s="347">
        <v>1217</v>
      </c>
      <c r="D761" s="340" t="str">
        <f>VLOOKUP(C761,Plan!A:B,2,0)</f>
        <v>Otros Valores -Oficina y Transferencias (248)</v>
      </c>
      <c r="E761" s="341">
        <f>+F761-G761</f>
        <v>-10000</v>
      </c>
      <c r="F761" s="353">
        <v>0</v>
      </c>
      <c r="G761" s="353">
        <f>+F760</f>
        <v>10000</v>
      </c>
      <c r="H761" t="s">
        <v>1027</v>
      </c>
      <c r="I761" s="403" t="s">
        <v>131</v>
      </c>
      <c r="K761" s="370"/>
      <c r="N761" s="370"/>
    </row>
    <row r="762" spans="1:14" s="347" customFormat="1" x14ac:dyDescent="0.25">
      <c r="A762" s="369"/>
      <c r="E762" s="396"/>
      <c r="F762" s="396"/>
      <c r="G762" s="396"/>
      <c r="K762" s="370"/>
      <c r="N762" s="370"/>
    </row>
    <row r="763" spans="1:14" s="347" customFormat="1" x14ac:dyDescent="0.25">
      <c r="A763" s="369">
        <v>44243</v>
      </c>
      <c r="B763" s="347">
        <v>2</v>
      </c>
      <c r="C763" s="347">
        <v>115</v>
      </c>
      <c r="D763" s="340" t="str">
        <f>VLOOKUP(C763,Plan!A:B,2,0)</f>
        <v>Disponible Cali B.Chile</v>
      </c>
      <c r="E763" s="341">
        <f>+F763-G763</f>
        <v>10000</v>
      </c>
      <c r="F763" s="353">
        <v>10000</v>
      </c>
      <c r="G763" s="353">
        <v>0</v>
      </c>
      <c r="H763" t="s">
        <v>1028</v>
      </c>
      <c r="I763" s="403" t="s">
        <v>131</v>
      </c>
      <c r="K763" s="370"/>
      <c r="N763" s="370"/>
    </row>
    <row r="764" spans="1:14" s="347" customFormat="1" x14ac:dyDescent="0.25">
      <c r="A764" s="369">
        <f>+A763</f>
        <v>44243</v>
      </c>
      <c r="B764" s="347">
        <v>2</v>
      </c>
      <c r="C764" s="347">
        <v>1217</v>
      </c>
      <c r="D764" s="340" t="str">
        <f>VLOOKUP(C764,Plan!A:B,2,0)</f>
        <v>Otros Valores -Oficina y Transferencias (248)</v>
      </c>
      <c r="E764" s="341">
        <f>+F764-G764</f>
        <v>-10000</v>
      </c>
      <c r="F764" s="353">
        <v>0</v>
      </c>
      <c r="G764" s="353">
        <f>+F763</f>
        <v>10000</v>
      </c>
      <c r="H764" t="s">
        <v>1028</v>
      </c>
      <c r="I764" s="403" t="s">
        <v>131</v>
      </c>
      <c r="K764" s="370"/>
      <c r="N764" s="370"/>
    </row>
    <row r="765" spans="1:14" s="347" customFormat="1" x14ac:dyDescent="0.25">
      <c r="A765" s="369"/>
      <c r="E765" s="396"/>
      <c r="F765" s="396"/>
      <c r="G765" s="396"/>
      <c r="K765" s="370"/>
      <c r="N765" s="370"/>
    </row>
    <row r="766" spans="1:14" s="347" customFormat="1" x14ac:dyDescent="0.25">
      <c r="A766" s="369">
        <v>44245</v>
      </c>
      <c r="B766" s="347">
        <v>2</v>
      </c>
      <c r="C766" s="347">
        <v>115</v>
      </c>
      <c r="D766" s="340" t="str">
        <f>VLOOKUP(C766,Plan!A:B,2,0)</f>
        <v>Disponible Cali B.Chile</v>
      </c>
      <c r="E766" s="341">
        <f>+F766-G766</f>
        <v>5000</v>
      </c>
      <c r="F766" s="353">
        <v>5000</v>
      </c>
      <c r="G766" s="353">
        <v>0</v>
      </c>
      <c r="H766" t="s">
        <v>1029</v>
      </c>
      <c r="I766" s="403" t="s">
        <v>131</v>
      </c>
      <c r="K766" s="370"/>
      <c r="N766" s="370"/>
    </row>
    <row r="767" spans="1:14" s="347" customFormat="1" x14ac:dyDescent="0.25">
      <c r="A767" s="369">
        <f>+A766</f>
        <v>44245</v>
      </c>
      <c r="B767" s="347">
        <v>2</v>
      </c>
      <c r="C767" s="347">
        <v>216</v>
      </c>
      <c r="D767" s="340" t="str">
        <f>VLOOKUP(C767,Plan!A:B,2,0)</f>
        <v>Cuenta por Pagar a Administración Colectas</v>
      </c>
      <c r="E767" s="341">
        <f>+F767-G767</f>
        <v>-5000</v>
      </c>
      <c r="F767" s="353">
        <v>0</v>
      </c>
      <c r="G767" s="353">
        <f>+F766</f>
        <v>5000</v>
      </c>
      <c r="H767" t="s">
        <v>1029</v>
      </c>
      <c r="I767" s="403" t="s">
        <v>131</v>
      </c>
      <c r="K767" s="370"/>
      <c r="N767" s="370"/>
    </row>
    <row r="768" spans="1:14" s="347" customFormat="1" x14ac:dyDescent="0.25">
      <c r="A768" s="369"/>
      <c r="E768" s="396"/>
      <c r="F768" s="396"/>
      <c r="G768" s="396"/>
      <c r="K768" s="370"/>
      <c r="N768" s="370"/>
    </row>
    <row r="769" spans="1:14" s="347" customFormat="1" x14ac:dyDescent="0.25">
      <c r="A769" s="369">
        <v>44246</v>
      </c>
      <c r="B769" s="347">
        <v>2</v>
      </c>
      <c r="C769" s="347">
        <v>115</v>
      </c>
      <c r="D769" s="340" t="str">
        <f>VLOOKUP(C769,Plan!A:B,2,0)</f>
        <v>Disponible Cali B.Chile</v>
      </c>
      <c r="E769" s="341">
        <f>+F769-G769</f>
        <v>18000</v>
      </c>
      <c r="F769" s="353">
        <v>18000</v>
      </c>
      <c r="G769" s="353">
        <v>0</v>
      </c>
      <c r="H769" t="s">
        <v>1030</v>
      </c>
      <c r="I769" s="403" t="s">
        <v>131</v>
      </c>
      <c r="K769" s="370"/>
      <c r="N769" s="370"/>
    </row>
    <row r="770" spans="1:14" s="347" customFormat="1" x14ac:dyDescent="0.25">
      <c r="A770" s="369">
        <f>+A769</f>
        <v>44246</v>
      </c>
      <c r="B770" s="347">
        <v>2</v>
      </c>
      <c r="C770" s="347">
        <v>1222</v>
      </c>
      <c r="D770" s="340" t="str">
        <f>VLOOKUP(C770,Plan!A:B,2,0)</f>
        <v>Otros Valores -Oficina y Transferencias (249)</v>
      </c>
      <c r="E770" s="341">
        <f>+F770-G770</f>
        <v>-18000</v>
      </c>
      <c r="F770" s="353">
        <v>0</v>
      </c>
      <c r="G770" s="353">
        <f>+F769</f>
        <v>18000</v>
      </c>
      <c r="H770" t="s">
        <v>1030</v>
      </c>
      <c r="I770" s="403" t="s">
        <v>131</v>
      </c>
      <c r="K770" s="370"/>
      <c r="N770" s="370"/>
    </row>
    <row r="771" spans="1:14" s="347" customFormat="1" x14ac:dyDescent="0.25">
      <c r="A771" s="369"/>
      <c r="E771" s="396"/>
      <c r="F771" s="396"/>
      <c r="G771" s="396"/>
      <c r="K771" s="370"/>
      <c r="N771" s="370"/>
    </row>
    <row r="772" spans="1:14" s="347" customFormat="1" x14ac:dyDescent="0.25">
      <c r="A772" s="369">
        <v>44249</v>
      </c>
      <c r="B772" s="347">
        <v>2</v>
      </c>
      <c r="C772" s="347">
        <v>115</v>
      </c>
      <c r="D772" s="340" t="str">
        <f>VLOOKUP(C772,Plan!A:B,2,0)</f>
        <v>Disponible Cali B.Chile</v>
      </c>
      <c r="E772" s="341">
        <f>+F772-G772</f>
        <v>55000</v>
      </c>
      <c r="F772" s="353">
        <v>55000</v>
      </c>
      <c r="G772" s="353">
        <v>0</v>
      </c>
      <c r="H772" t="s">
        <v>1031</v>
      </c>
      <c r="I772" s="403" t="s">
        <v>131</v>
      </c>
      <c r="K772" s="370"/>
      <c r="N772" s="370"/>
    </row>
    <row r="773" spans="1:14" s="347" customFormat="1" x14ac:dyDescent="0.25">
      <c r="A773" s="369">
        <f>+A772</f>
        <v>44249</v>
      </c>
      <c r="B773" s="347">
        <v>2</v>
      </c>
      <c r="C773" s="347">
        <v>1217</v>
      </c>
      <c r="D773" s="340" t="str">
        <f>VLOOKUP(C773,Plan!A:B,2,0)</f>
        <v>Otros Valores -Oficina y Transferencias (248)</v>
      </c>
      <c r="E773" s="341">
        <f>+F773-G773</f>
        <v>-55000</v>
      </c>
      <c r="F773" s="353">
        <v>0</v>
      </c>
      <c r="G773" s="353">
        <f>+F772</f>
        <v>55000</v>
      </c>
      <c r="H773" t="s">
        <v>1031</v>
      </c>
      <c r="I773" s="403" t="s">
        <v>131</v>
      </c>
      <c r="K773" s="370"/>
      <c r="N773" s="370"/>
    </row>
    <row r="774" spans="1:14" s="347" customFormat="1" x14ac:dyDescent="0.25">
      <c r="A774" s="369"/>
      <c r="E774" s="396"/>
      <c r="F774" s="396"/>
      <c r="G774" s="396"/>
      <c r="K774" s="370"/>
      <c r="N774" s="370"/>
    </row>
    <row r="775" spans="1:14" s="347" customFormat="1" x14ac:dyDescent="0.25">
      <c r="A775" s="369">
        <v>44249</v>
      </c>
      <c r="B775" s="347">
        <v>2</v>
      </c>
      <c r="C775" s="347">
        <v>115</v>
      </c>
      <c r="D775" s="340" t="str">
        <f>VLOOKUP(C775,Plan!A:B,2,0)</f>
        <v>Disponible Cali B.Chile</v>
      </c>
      <c r="E775" s="341">
        <f>+F775-G775</f>
        <v>10000</v>
      </c>
      <c r="F775" s="353">
        <v>10000</v>
      </c>
      <c r="G775" s="353">
        <v>0</v>
      </c>
      <c r="H775" t="s">
        <v>971</v>
      </c>
      <c r="I775" s="403" t="s">
        <v>131</v>
      </c>
      <c r="K775" s="370"/>
      <c r="N775" s="370"/>
    </row>
    <row r="776" spans="1:14" s="347" customFormat="1" x14ac:dyDescent="0.25">
      <c r="A776" s="369">
        <f>+A775</f>
        <v>44249</v>
      </c>
      <c r="B776" s="347">
        <v>2</v>
      </c>
      <c r="C776" s="347">
        <v>216</v>
      </c>
      <c r="D776" s="340" t="str">
        <f>VLOOKUP(C776,Plan!A:B,2,0)</f>
        <v>Cuenta por Pagar a Administración Colectas</v>
      </c>
      <c r="E776" s="341">
        <f>+F776-G776</f>
        <v>-10000</v>
      </c>
      <c r="F776" s="353">
        <v>0</v>
      </c>
      <c r="G776" s="353">
        <f>+F775</f>
        <v>10000</v>
      </c>
      <c r="H776" t="s">
        <v>971</v>
      </c>
      <c r="I776" s="403" t="s">
        <v>131</v>
      </c>
      <c r="K776" s="370"/>
      <c r="N776" s="370"/>
    </row>
    <row r="777" spans="1:14" s="347" customFormat="1" x14ac:dyDescent="0.25">
      <c r="A777" s="369"/>
      <c r="E777" s="396"/>
      <c r="F777" s="396"/>
      <c r="G777" s="396"/>
      <c r="K777" s="370"/>
      <c r="N777" s="370"/>
    </row>
    <row r="778" spans="1:14" s="347" customFormat="1" x14ac:dyDescent="0.25">
      <c r="A778" s="369">
        <v>44250</v>
      </c>
      <c r="B778" s="347">
        <v>2</v>
      </c>
      <c r="C778" s="347">
        <v>115</v>
      </c>
      <c r="D778" s="340" t="str">
        <f>VLOOKUP(C778,Plan!A:B,2,0)</f>
        <v>Disponible Cali B.Chile</v>
      </c>
      <c r="E778" s="341">
        <f>+F778-G778</f>
        <v>30000</v>
      </c>
      <c r="F778" s="353">
        <v>30000</v>
      </c>
      <c r="G778" s="353">
        <v>0</v>
      </c>
      <c r="H778" t="s">
        <v>1032</v>
      </c>
      <c r="I778" s="403" t="s">
        <v>131</v>
      </c>
      <c r="K778" s="370"/>
      <c r="N778" s="370"/>
    </row>
    <row r="779" spans="1:14" s="347" customFormat="1" x14ac:dyDescent="0.25">
      <c r="A779" s="369">
        <f>+A778</f>
        <v>44250</v>
      </c>
      <c r="B779" s="347">
        <v>2</v>
      </c>
      <c r="C779" s="347">
        <v>1217</v>
      </c>
      <c r="D779" s="340" t="str">
        <f>VLOOKUP(C779,Plan!A:B,2,0)</f>
        <v>Otros Valores -Oficina y Transferencias (248)</v>
      </c>
      <c r="E779" s="341">
        <f>+F779-G779</f>
        <v>-30000</v>
      </c>
      <c r="F779" s="353">
        <v>0</v>
      </c>
      <c r="G779" s="353">
        <f>+F778</f>
        <v>30000</v>
      </c>
      <c r="H779" t="s">
        <v>1032</v>
      </c>
      <c r="I779" s="403" t="s">
        <v>131</v>
      </c>
      <c r="K779" s="370"/>
      <c r="N779" s="370"/>
    </row>
    <row r="780" spans="1:14" s="347" customFormat="1" x14ac:dyDescent="0.25">
      <c r="A780" s="369"/>
      <c r="E780" s="396"/>
      <c r="F780" s="396"/>
      <c r="G780" s="396"/>
      <c r="K780" s="370"/>
      <c r="N780" s="370"/>
    </row>
    <row r="781" spans="1:14" s="347" customFormat="1" x14ac:dyDescent="0.25">
      <c r="A781" s="369">
        <v>44250</v>
      </c>
      <c r="B781" s="347">
        <v>2</v>
      </c>
      <c r="C781" s="347">
        <v>115</v>
      </c>
      <c r="D781" s="340" t="str">
        <f>VLOOKUP(C781,Plan!A:B,2,0)</f>
        <v>Disponible Cali B.Chile</v>
      </c>
      <c r="E781" s="341">
        <f>+F781-G781</f>
        <v>20000</v>
      </c>
      <c r="F781" s="353">
        <v>20000</v>
      </c>
      <c r="G781" s="353">
        <v>0</v>
      </c>
      <c r="H781" t="s">
        <v>1033</v>
      </c>
      <c r="I781" s="403" t="s">
        <v>131</v>
      </c>
      <c r="K781" s="370"/>
      <c r="N781" s="370"/>
    </row>
    <row r="782" spans="1:14" s="347" customFormat="1" x14ac:dyDescent="0.25">
      <c r="A782" s="369">
        <f>+A781</f>
        <v>44250</v>
      </c>
      <c r="B782" s="347">
        <v>2</v>
      </c>
      <c r="C782" s="347">
        <v>1222</v>
      </c>
      <c r="D782" s="340" t="str">
        <f>VLOOKUP(C782,Plan!A:B,2,0)</f>
        <v>Otros Valores -Oficina y Transferencias (249)</v>
      </c>
      <c r="E782" s="341">
        <f>+F782-G782</f>
        <v>-20000</v>
      </c>
      <c r="F782" s="353">
        <v>0</v>
      </c>
      <c r="G782" s="353">
        <f>+F781</f>
        <v>20000</v>
      </c>
      <c r="H782" t="s">
        <v>1033</v>
      </c>
      <c r="I782" s="403" t="s">
        <v>131</v>
      </c>
      <c r="K782" s="370"/>
      <c r="N782" s="370"/>
    </row>
    <row r="783" spans="1:14" s="347" customFormat="1" x14ac:dyDescent="0.25">
      <c r="A783" s="369"/>
      <c r="E783" s="396"/>
      <c r="F783" s="396"/>
      <c r="G783" s="396"/>
      <c r="K783" s="370"/>
      <c r="N783" s="370"/>
    </row>
    <row r="784" spans="1:14" s="347" customFormat="1" x14ac:dyDescent="0.25">
      <c r="A784" s="369">
        <v>44250</v>
      </c>
      <c r="B784" s="347">
        <v>2</v>
      </c>
      <c r="C784" s="347">
        <v>115</v>
      </c>
      <c r="D784" s="340" t="str">
        <f>VLOOKUP(C784,Plan!A:B,2,0)</f>
        <v>Disponible Cali B.Chile</v>
      </c>
      <c r="E784" s="341">
        <f>+F784-G784</f>
        <v>550000</v>
      </c>
      <c r="F784" s="353">
        <v>550000</v>
      </c>
      <c r="G784" s="353">
        <v>0</v>
      </c>
      <c r="H784" t="s">
        <v>1019</v>
      </c>
      <c r="I784" s="403" t="s">
        <v>131</v>
      </c>
      <c r="K784" s="370"/>
      <c r="N784" s="370"/>
    </row>
    <row r="785" spans="1:14" s="347" customFormat="1" x14ac:dyDescent="0.25">
      <c r="A785" s="369">
        <f>+A784</f>
        <v>44250</v>
      </c>
      <c r="B785" s="347">
        <v>2</v>
      </c>
      <c r="C785" s="347">
        <v>3210</v>
      </c>
      <c r="D785" s="340" t="str">
        <f>VLOOKUP(C785,Plan!A:B,2,0)</f>
        <v>Donacion Construccion</v>
      </c>
      <c r="E785" s="341">
        <f>+F785-G785</f>
        <v>-550000</v>
      </c>
      <c r="F785" s="353">
        <v>0</v>
      </c>
      <c r="G785" s="353">
        <f>+F784</f>
        <v>550000</v>
      </c>
      <c r="H785" t="s">
        <v>1019</v>
      </c>
      <c r="I785" s="403" t="s">
        <v>131</v>
      </c>
      <c r="K785" s="370"/>
      <c r="N785" s="370"/>
    </row>
    <row r="786" spans="1:14" s="347" customFormat="1" x14ac:dyDescent="0.25">
      <c r="A786" s="369"/>
      <c r="E786" s="396"/>
      <c r="F786" s="396"/>
      <c r="G786" s="396"/>
      <c r="K786" s="370"/>
      <c r="N786" s="370"/>
    </row>
    <row r="787" spans="1:14" s="347" customFormat="1" x14ac:dyDescent="0.25">
      <c r="A787" s="369">
        <v>44252</v>
      </c>
      <c r="B787" s="347">
        <v>2</v>
      </c>
      <c r="C787" s="347">
        <v>115</v>
      </c>
      <c r="D787" s="340" t="str">
        <f>VLOOKUP(C787,Plan!A:B,2,0)</f>
        <v>Disponible Cali B.Chile</v>
      </c>
      <c r="E787" s="341">
        <f>+F787-G787</f>
        <v>1471920</v>
      </c>
      <c r="F787" s="353">
        <v>1471920</v>
      </c>
      <c r="G787" s="353">
        <v>0</v>
      </c>
      <c r="H787" t="s">
        <v>1034</v>
      </c>
      <c r="I787" s="403" t="s">
        <v>131</v>
      </c>
      <c r="K787" s="370"/>
      <c r="N787" s="370"/>
    </row>
    <row r="788" spans="1:14" s="347" customFormat="1" x14ac:dyDescent="0.25">
      <c r="A788" s="369">
        <f>+A787</f>
        <v>44252</v>
      </c>
      <c r="B788" s="347">
        <v>2</v>
      </c>
      <c r="C788" s="347">
        <v>3210</v>
      </c>
      <c r="D788" s="340" t="str">
        <f>VLOOKUP(C788,Plan!A:B,2,0)</f>
        <v>Donacion Construccion</v>
      </c>
      <c r="E788" s="341">
        <f>+F788-G788</f>
        <v>-1471920</v>
      </c>
      <c r="F788" s="353">
        <v>0</v>
      </c>
      <c r="G788" s="353">
        <f>+F787</f>
        <v>1471920</v>
      </c>
      <c r="H788" t="s">
        <v>1034</v>
      </c>
      <c r="I788" s="403" t="s">
        <v>131</v>
      </c>
      <c r="K788" s="370"/>
      <c r="N788" s="370"/>
    </row>
    <row r="789" spans="1:14" s="347" customFormat="1" x14ac:dyDescent="0.25">
      <c r="A789" s="369"/>
      <c r="E789" s="396"/>
      <c r="F789" s="396"/>
      <c r="G789" s="396"/>
      <c r="K789" s="370"/>
      <c r="N789" s="370"/>
    </row>
    <row r="790" spans="1:14" s="347" customFormat="1" x14ac:dyDescent="0.25">
      <c r="A790" s="369">
        <v>44252</v>
      </c>
      <c r="B790" s="347">
        <v>2</v>
      </c>
      <c r="C790" s="347">
        <v>115</v>
      </c>
      <c r="D790" s="340" t="str">
        <f>VLOOKUP(C790,Plan!A:B,2,0)</f>
        <v>Disponible Cali B.Chile</v>
      </c>
      <c r="E790" s="341">
        <f>+F790-G790</f>
        <v>15000</v>
      </c>
      <c r="F790" s="353">
        <v>15000</v>
      </c>
      <c r="G790" s="353">
        <v>0</v>
      </c>
      <c r="H790" t="s">
        <v>1035</v>
      </c>
      <c r="I790" s="403" t="s">
        <v>131</v>
      </c>
      <c r="K790" s="370"/>
      <c r="N790" s="370"/>
    </row>
    <row r="791" spans="1:14" s="347" customFormat="1" x14ac:dyDescent="0.25">
      <c r="A791" s="369">
        <f>+A790</f>
        <v>44252</v>
      </c>
      <c r="B791" s="347">
        <v>2</v>
      </c>
      <c r="C791" s="347">
        <v>1217</v>
      </c>
      <c r="D791" s="340" t="str">
        <f>VLOOKUP(C791,Plan!A:B,2,0)</f>
        <v>Otros Valores -Oficina y Transferencias (248)</v>
      </c>
      <c r="E791" s="341">
        <f>+F791-G791</f>
        <v>-15000</v>
      </c>
      <c r="F791" s="353">
        <v>0</v>
      </c>
      <c r="G791" s="353">
        <f>+F790</f>
        <v>15000</v>
      </c>
      <c r="H791" t="s">
        <v>1035</v>
      </c>
      <c r="I791" s="403" t="s">
        <v>131</v>
      </c>
      <c r="K791" s="370"/>
      <c r="N791" s="370"/>
    </row>
    <row r="792" spans="1:14" s="347" customFormat="1" x14ac:dyDescent="0.25">
      <c r="A792" s="369"/>
      <c r="E792" s="396"/>
      <c r="F792" s="396"/>
      <c r="G792" s="396"/>
      <c r="K792" s="370"/>
      <c r="N792" s="370"/>
    </row>
    <row r="793" spans="1:14" s="347" customFormat="1" x14ac:dyDescent="0.25">
      <c r="A793" s="369">
        <v>44252</v>
      </c>
      <c r="B793" s="347">
        <v>2</v>
      </c>
      <c r="C793" s="347">
        <v>115</v>
      </c>
      <c r="D793" s="340" t="str">
        <f>VLOOKUP(C793,Plan!A:B,2,0)</f>
        <v>Disponible Cali B.Chile</v>
      </c>
      <c r="E793" s="341">
        <f>+F793-G793</f>
        <v>10000</v>
      </c>
      <c r="F793" s="353">
        <v>10000</v>
      </c>
      <c r="G793" s="353">
        <v>0</v>
      </c>
      <c r="H793" t="s">
        <v>1036</v>
      </c>
      <c r="I793" s="403" t="s">
        <v>131</v>
      </c>
      <c r="K793" s="370"/>
      <c r="N793" s="370"/>
    </row>
    <row r="794" spans="1:14" s="347" customFormat="1" x14ac:dyDescent="0.25">
      <c r="A794" s="369">
        <f>+A793</f>
        <v>44252</v>
      </c>
      <c r="B794" s="347">
        <v>2</v>
      </c>
      <c r="C794" s="347">
        <v>3210</v>
      </c>
      <c r="D794" s="340" t="str">
        <f>VLOOKUP(C794,Plan!A:B,2,0)</f>
        <v>Donacion Construccion</v>
      </c>
      <c r="E794" s="341">
        <f>+F794-G794</f>
        <v>-10000</v>
      </c>
      <c r="F794" s="353">
        <v>0</v>
      </c>
      <c r="G794" s="353">
        <f>+F793</f>
        <v>10000</v>
      </c>
      <c r="H794" t="s">
        <v>1036</v>
      </c>
      <c r="I794" s="403" t="s">
        <v>131</v>
      </c>
      <c r="K794" s="370"/>
      <c r="N794" s="370"/>
    </row>
    <row r="795" spans="1:14" s="347" customFormat="1" x14ac:dyDescent="0.25">
      <c r="A795" s="369"/>
      <c r="E795" s="396"/>
      <c r="F795" s="396"/>
      <c r="G795" s="396"/>
      <c r="K795" s="370"/>
      <c r="N795" s="370"/>
    </row>
    <row r="796" spans="1:14" s="347" customFormat="1" x14ac:dyDescent="0.25">
      <c r="A796" s="369">
        <v>44252</v>
      </c>
      <c r="B796" s="347">
        <v>2</v>
      </c>
      <c r="C796" s="347">
        <v>115</v>
      </c>
      <c r="D796" s="340" t="str">
        <f>VLOOKUP(C796,Plan!A:B,2,0)</f>
        <v>Disponible Cali B.Chile</v>
      </c>
      <c r="E796" s="341">
        <f>+F796-G796</f>
        <v>20000</v>
      </c>
      <c r="F796" s="353">
        <v>20000</v>
      </c>
      <c r="G796" s="353">
        <v>0</v>
      </c>
      <c r="H796" t="s">
        <v>1037</v>
      </c>
      <c r="I796" s="403" t="s">
        <v>131</v>
      </c>
      <c r="K796" s="370"/>
      <c r="N796" s="370"/>
    </row>
    <row r="797" spans="1:14" s="347" customFormat="1" x14ac:dyDescent="0.25">
      <c r="A797" s="369">
        <f>+A796</f>
        <v>44252</v>
      </c>
      <c r="B797" s="347">
        <v>2</v>
      </c>
      <c r="C797" s="347">
        <v>1222</v>
      </c>
      <c r="D797" s="340" t="str">
        <f>VLOOKUP(C797,Plan!A:B,2,0)</f>
        <v>Otros Valores -Oficina y Transferencias (249)</v>
      </c>
      <c r="E797" s="341">
        <f>+F797-G797</f>
        <v>-20000</v>
      </c>
      <c r="F797" s="353">
        <v>0</v>
      </c>
      <c r="G797" s="353">
        <f>+F796</f>
        <v>20000</v>
      </c>
      <c r="H797" t="s">
        <v>1037</v>
      </c>
      <c r="I797" s="403" t="s">
        <v>131</v>
      </c>
      <c r="K797" s="370"/>
      <c r="N797" s="370"/>
    </row>
    <row r="798" spans="1:14" s="347" customFormat="1" x14ac:dyDescent="0.25">
      <c r="A798" s="369"/>
      <c r="E798" s="396"/>
      <c r="F798" s="396"/>
      <c r="G798" s="396"/>
      <c r="K798" s="370"/>
      <c r="N798" s="370"/>
    </row>
    <row r="799" spans="1:14" s="347" customFormat="1" x14ac:dyDescent="0.25">
      <c r="A799" s="369">
        <v>44252</v>
      </c>
      <c r="B799" s="347">
        <v>2</v>
      </c>
      <c r="C799" s="347">
        <v>115</v>
      </c>
      <c r="D799" s="340" t="str">
        <f>VLOOKUP(C799,Plan!A:B,2,0)</f>
        <v>Disponible Cali B.Chile</v>
      </c>
      <c r="E799" s="341">
        <f>+F799-G799</f>
        <v>105000</v>
      </c>
      <c r="F799" s="353">
        <v>105000</v>
      </c>
      <c r="G799" s="353">
        <v>0</v>
      </c>
      <c r="H799" t="s">
        <v>1687</v>
      </c>
      <c r="I799" s="403" t="s">
        <v>131</v>
      </c>
      <c r="K799" s="370"/>
      <c r="N799" s="370"/>
    </row>
    <row r="800" spans="1:14" s="347" customFormat="1" x14ac:dyDescent="0.25">
      <c r="A800" s="369">
        <f>+A799</f>
        <v>44252</v>
      </c>
      <c r="B800" s="347">
        <v>2</v>
      </c>
      <c r="C800" s="347">
        <v>1216</v>
      </c>
      <c r="D800" s="340" t="str">
        <f>VLOOKUP(C800,Plan!A:B,2,0)</f>
        <v>Otros Valores Recaudadoras</v>
      </c>
      <c r="E800" s="341">
        <f>+F800-G800</f>
        <v>-105000</v>
      </c>
      <c r="F800" s="353">
        <v>0</v>
      </c>
      <c r="G800" s="353">
        <f>+F799</f>
        <v>105000</v>
      </c>
      <c r="H800" t="s">
        <v>1687</v>
      </c>
      <c r="I800" s="403" t="s">
        <v>131</v>
      </c>
      <c r="K800" s="370"/>
      <c r="N800" s="370"/>
    </row>
    <row r="801" spans="1:14" s="347" customFormat="1" x14ac:dyDescent="0.25">
      <c r="A801" s="369"/>
      <c r="E801" s="396"/>
      <c r="F801" s="396"/>
      <c r="G801" s="396"/>
      <c r="K801" s="370"/>
      <c r="N801" s="370"/>
    </row>
    <row r="802" spans="1:14" s="347" customFormat="1" x14ac:dyDescent="0.25">
      <c r="A802" s="416">
        <v>44253</v>
      </c>
      <c r="B802" s="340">
        <v>2</v>
      </c>
      <c r="C802" s="338">
        <v>202</v>
      </c>
      <c r="D802" s="340" t="str">
        <f>VLOOKUP(C802,Plan!A$1:B$65542,2,0)</f>
        <v>Arzobispado por pagar</v>
      </c>
      <c r="E802" s="341">
        <f>+F802-G802</f>
        <v>2938656</v>
      </c>
      <c r="F802" s="346">
        <f>+G804-F803</f>
        <v>2938656</v>
      </c>
      <c r="G802" s="346">
        <v>0</v>
      </c>
      <c r="H802" t="s">
        <v>1038</v>
      </c>
      <c r="I802" s="340" t="s">
        <v>131</v>
      </c>
      <c r="K802" s="370"/>
      <c r="N802" s="370"/>
    </row>
    <row r="803" spans="1:14" s="347" customFormat="1" x14ac:dyDescent="0.25">
      <c r="A803" s="416">
        <f>+A802</f>
        <v>44253</v>
      </c>
      <c r="B803" s="340">
        <f>+B802</f>
        <v>2</v>
      </c>
      <c r="C803" s="338">
        <v>201</v>
      </c>
      <c r="D803" s="340" t="str">
        <f>VLOOKUP(C803,Plan!A$1:B$65542,2,0)</f>
        <v>1% por pagar</v>
      </c>
      <c r="E803" s="341">
        <f>+F803-G803</f>
        <v>193101</v>
      </c>
      <c r="F803" s="346">
        <v>193101</v>
      </c>
      <c r="G803" s="346">
        <v>0</v>
      </c>
      <c r="H803" t="s">
        <v>1038</v>
      </c>
      <c r="I803" s="340" t="s">
        <v>131</v>
      </c>
      <c r="K803" s="370"/>
      <c r="N803" s="370"/>
    </row>
    <row r="804" spans="1:14" s="347" customFormat="1" x14ac:dyDescent="0.25">
      <c r="A804" s="416">
        <f>+A802</f>
        <v>44253</v>
      </c>
      <c r="B804" s="340">
        <f>+B802</f>
        <v>2</v>
      </c>
      <c r="C804" s="338">
        <v>115</v>
      </c>
      <c r="D804" s="340" t="str">
        <f>VLOOKUP(C804,Plan!A$1:B$65542,2,0)</f>
        <v>Disponible Cali B.Chile</v>
      </c>
      <c r="E804" s="341">
        <f>+F804-G804</f>
        <v>-3131757</v>
      </c>
      <c r="F804" s="346">
        <v>0</v>
      </c>
      <c r="G804" s="346">
        <v>3131757</v>
      </c>
      <c r="H804" t="s">
        <v>1038</v>
      </c>
      <c r="I804" s="401" t="str">
        <f>+I802</f>
        <v>Cali</v>
      </c>
      <c r="K804" s="370"/>
      <c r="N804" s="370"/>
    </row>
    <row r="805" spans="1:14" s="347" customFormat="1" x14ac:dyDescent="0.25">
      <c r="A805" s="369"/>
      <c r="E805" s="396"/>
      <c r="F805" s="396"/>
      <c r="G805" s="396"/>
      <c r="K805" s="370"/>
      <c r="N805" s="370"/>
    </row>
    <row r="806" spans="1:14" s="347" customFormat="1" x14ac:dyDescent="0.25">
      <c r="A806" s="339">
        <v>44253</v>
      </c>
      <c r="B806" s="340">
        <v>2</v>
      </c>
      <c r="C806" s="338">
        <v>4170</v>
      </c>
      <c r="D806" s="340" t="str">
        <f>VLOOKUP(C806,Plan!A$1:B$65542,2,0)</f>
        <v>Cali otros</v>
      </c>
      <c r="E806" s="341">
        <f>+F806-G806</f>
        <v>169492</v>
      </c>
      <c r="F806" s="346">
        <v>169492</v>
      </c>
      <c r="G806" s="346">
        <v>0</v>
      </c>
      <c r="H806" s="343" t="s">
        <v>1039</v>
      </c>
      <c r="I806" s="340" t="s">
        <v>131</v>
      </c>
      <c r="K806" s="370"/>
      <c r="N806" s="370"/>
    </row>
    <row r="807" spans="1:14" s="347" customFormat="1" x14ac:dyDescent="0.25">
      <c r="A807" s="339">
        <f>+A806</f>
        <v>44253</v>
      </c>
      <c r="B807" s="340">
        <f>+B806</f>
        <v>2</v>
      </c>
      <c r="C807" s="338">
        <v>204</v>
      </c>
      <c r="D807" s="340" t="str">
        <f>VLOOKUP(C807,Plan!A$1:B$65542,2,0)</f>
        <v>Retención Honorarios Cali</v>
      </c>
      <c r="E807" s="341">
        <f>+F807-G807</f>
        <v>-19492</v>
      </c>
      <c r="F807" s="346">
        <v>0</v>
      </c>
      <c r="G807" s="346">
        <f>+F806-G808</f>
        <v>19492</v>
      </c>
      <c r="H807" s="338" t="str">
        <f>+H806</f>
        <v xml:space="preserve"> G. de la Vega Hon. Enero</v>
      </c>
      <c r="I807" s="401" t="str">
        <f>+I806</f>
        <v>Cali</v>
      </c>
      <c r="K807" s="370"/>
      <c r="N807" s="370"/>
    </row>
    <row r="808" spans="1:14" s="347" customFormat="1" x14ac:dyDescent="0.25">
      <c r="A808" s="339">
        <f>+A806</f>
        <v>44253</v>
      </c>
      <c r="B808" s="340">
        <v>2</v>
      </c>
      <c r="C808" s="338">
        <v>115</v>
      </c>
      <c r="D808" s="340" t="str">
        <f>VLOOKUP(C808,Plan!A$1:B$65542,2,0)</f>
        <v>Disponible Cali B.Chile</v>
      </c>
      <c r="E808" s="341">
        <f>+F808-G808</f>
        <v>-150000</v>
      </c>
      <c r="F808" s="346">
        <v>0</v>
      </c>
      <c r="G808" s="346">
        <v>150000</v>
      </c>
      <c r="H808" s="338" t="str">
        <f>+H806</f>
        <v xml:space="preserve"> G. de la Vega Hon. Enero</v>
      </c>
      <c r="I808" s="401" t="str">
        <f>+I806</f>
        <v>Cali</v>
      </c>
      <c r="K808" s="370"/>
      <c r="N808" s="370"/>
    </row>
    <row r="809" spans="1:14" s="347" customFormat="1" x14ac:dyDescent="0.25">
      <c r="A809" s="369"/>
      <c r="E809" s="396"/>
      <c r="F809" s="396"/>
      <c r="G809" s="396"/>
      <c r="K809" s="370"/>
      <c r="N809" s="370"/>
    </row>
    <row r="810" spans="1:14" s="347" customFormat="1" x14ac:dyDescent="0.25">
      <c r="A810" s="339">
        <v>44252</v>
      </c>
      <c r="B810" s="340">
        <v>2</v>
      </c>
      <c r="C810" s="338">
        <v>4170</v>
      </c>
      <c r="D810" s="340" t="str">
        <f>VLOOKUP(C810,Plan!A$1:B$65542,2,0)</f>
        <v>Cali otros</v>
      </c>
      <c r="E810" s="341">
        <f>+F810-G810</f>
        <v>112994</v>
      </c>
      <c r="F810" s="346">
        <v>112994</v>
      </c>
      <c r="G810" s="346">
        <v>0</v>
      </c>
      <c r="H810" s="156" t="s">
        <v>1270</v>
      </c>
      <c r="I810" s="340" t="s">
        <v>131</v>
      </c>
      <c r="K810" s="370"/>
      <c r="N810" s="370"/>
    </row>
    <row r="811" spans="1:14" s="347" customFormat="1" x14ac:dyDescent="0.25">
      <c r="A811" s="339">
        <f>+A810</f>
        <v>44252</v>
      </c>
      <c r="B811" s="340">
        <f>+B810</f>
        <v>2</v>
      </c>
      <c r="C811" s="338">
        <v>204</v>
      </c>
      <c r="D811" s="340" t="s">
        <v>444</v>
      </c>
      <c r="E811" s="341">
        <f>+F811-G811</f>
        <v>-12994</v>
      </c>
      <c r="F811" s="346">
        <v>0</v>
      </c>
      <c r="G811" s="346">
        <v>12994</v>
      </c>
      <c r="H811" t="str">
        <f>+H810</f>
        <v>BE 166 Campaña Hazte Parte - Francisco Lopez Blanc</v>
      </c>
      <c r="I811" s="401" t="str">
        <f>+I810</f>
        <v>Cali</v>
      </c>
      <c r="K811" s="370"/>
      <c r="N811" s="370"/>
    </row>
    <row r="812" spans="1:14" s="347" customFormat="1" x14ac:dyDescent="0.25">
      <c r="A812" s="339">
        <f>+A810</f>
        <v>44252</v>
      </c>
      <c r="B812" s="340">
        <f>+B810</f>
        <v>2</v>
      </c>
      <c r="C812" s="338">
        <v>227</v>
      </c>
      <c r="D812" s="340" t="str">
        <f>VLOOKUP(C812,Plan!A$1:B$65542,2,0)</f>
        <v>Provisión Honorarios Cali</v>
      </c>
      <c r="E812" s="341">
        <f>+F812-G812</f>
        <v>-100000</v>
      </c>
      <c r="F812" s="346">
        <v>0</v>
      </c>
      <c r="G812" s="346">
        <v>100000</v>
      </c>
      <c r="H812" t="str">
        <f>+H811</f>
        <v>BE 166 Campaña Hazte Parte - Francisco Lopez Blanc</v>
      </c>
      <c r="I812" s="401" t="str">
        <f>+I810</f>
        <v>Cali</v>
      </c>
      <c r="K812" s="370"/>
      <c r="N812" s="370"/>
    </row>
    <row r="813" spans="1:14" s="347" customFormat="1" x14ac:dyDescent="0.25">
      <c r="A813" s="369"/>
      <c r="E813" s="396"/>
      <c r="F813" s="396"/>
      <c r="G813" s="396"/>
      <c r="K813" s="370"/>
      <c r="N813" s="370"/>
    </row>
    <row r="814" spans="1:14" s="358" customFormat="1" x14ac:dyDescent="0.25">
      <c r="A814" s="357">
        <v>44253</v>
      </c>
      <c r="B814" s="358">
        <v>2</v>
      </c>
      <c r="C814" s="358">
        <v>117</v>
      </c>
      <c r="D814" s="358" t="str">
        <f>VLOOKUP(C814,Plan!A$1:B$65542,2,0)</f>
        <v>Disponible CALI Santander</v>
      </c>
      <c r="E814" s="341">
        <f>+F814-G814</f>
        <v>2000000</v>
      </c>
      <c r="F814" s="361">
        <v>2000000</v>
      </c>
      <c r="G814" s="361">
        <v>0</v>
      </c>
      <c r="H814" s="360" t="s">
        <v>1040</v>
      </c>
      <c r="I814" s="358" t="s">
        <v>131</v>
      </c>
      <c r="K814" s="428"/>
      <c r="N814" s="428"/>
    </row>
    <row r="815" spans="1:14" s="358" customFormat="1" x14ac:dyDescent="0.25">
      <c r="A815" s="357">
        <v>44253</v>
      </c>
      <c r="B815" s="358">
        <v>2</v>
      </c>
      <c r="C815" s="358">
        <v>115</v>
      </c>
      <c r="D815" s="358" t="str">
        <f>VLOOKUP(C815,Plan!A$1:B$65542,2,0)</f>
        <v>Disponible Cali B.Chile</v>
      </c>
      <c r="E815" s="341">
        <f>+F815-G815</f>
        <v>-2000000</v>
      </c>
      <c r="F815" s="361">
        <v>0</v>
      </c>
      <c r="G815" s="361">
        <f>+F814-G816</f>
        <v>2000000</v>
      </c>
      <c r="H815" s="358" t="str">
        <f>+H814</f>
        <v>Apertura Cta Cte Santander</v>
      </c>
      <c r="I815" s="360" t="str">
        <f>+I814</f>
        <v>Cali</v>
      </c>
      <c r="K815" s="428"/>
      <c r="N815" s="428"/>
    </row>
    <row r="816" spans="1:14" s="347" customFormat="1" x14ac:dyDescent="0.25">
      <c r="A816" s="369"/>
      <c r="E816" s="396"/>
      <c r="F816" s="396"/>
      <c r="G816" s="396"/>
      <c r="K816" s="370"/>
      <c r="N816" s="370"/>
    </row>
    <row r="817" spans="1:14" s="347" customFormat="1" x14ac:dyDescent="0.25">
      <c r="A817" s="369">
        <v>44253</v>
      </c>
      <c r="B817" s="347">
        <v>2</v>
      </c>
      <c r="C817" s="347">
        <v>115</v>
      </c>
      <c r="D817" s="340" t="str">
        <f>VLOOKUP(C817,Plan!A:B,2,0)</f>
        <v>Disponible Cali B.Chile</v>
      </c>
      <c r="E817" s="341">
        <f>+F817-G817</f>
        <v>400000</v>
      </c>
      <c r="F817" s="353">
        <v>400000</v>
      </c>
      <c r="G817" s="353">
        <v>0</v>
      </c>
      <c r="H817" t="s">
        <v>1041</v>
      </c>
      <c r="I817" s="403" t="s">
        <v>131</v>
      </c>
      <c r="K817" s="370"/>
      <c r="N817" s="370"/>
    </row>
    <row r="818" spans="1:14" s="347" customFormat="1" x14ac:dyDescent="0.25">
      <c r="A818" s="369">
        <f>+A817</f>
        <v>44253</v>
      </c>
      <c r="B818" s="347">
        <v>2</v>
      </c>
      <c r="C818" s="347">
        <v>3210</v>
      </c>
      <c r="D818" s="340" t="str">
        <f>VLOOKUP(C818,Plan!A:B,2,0)</f>
        <v>Donacion Construccion</v>
      </c>
      <c r="E818" s="341">
        <f>+F818-G818</f>
        <v>-400000</v>
      </c>
      <c r="F818" s="353">
        <v>0</v>
      </c>
      <c r="G818" s="353">
        <f>+F817</f>
        <v>400000</v>
      </c>
      <c r="H818" t="s">
        <v>1041</v>
      </c>
      <c r="I818" s="403" t="s">
        <v>131</v>
      </c>
      <c r="K818" s="370"/>
      <c r="N818" s="370"/>
    </row>
    <row r="819" spans="1:14" s="347" customFormat="1" x14ac:dyDescent="0.25">
      <c r="A819" s="369"/>
      <c r="E819" s="396"/>
      <c r="F819" s="396"/>
      <c r="G819" s="396"/>
      <c r="K819" s="370"/>
      <c r="N819" s="370"/>
    </row>
    <row r="820" spans="1:14" s="347" customFormat="1" x14ac:dyDescent="0.25">
      <c r="A820" s="369">
        <v>44253</v>
      </c>
      <c r="B820" s="347">
        <v>2</v>
      </c>
      <c r="C820" s="347">
        <v>115</v>
      </c>
      <c r="D820" s="340" t="str">
        <f>VLOOKUP(C820,Plan!A:B,2,0)</f>
        <v>Disponible Cali B.Chile</v>
      </c>
      <c r="E820" s="341">
        <f>+F820-G820</f>
        <v>60000</v>
      </c>
      <c r="F820" s="353">
        <v>60000</v>
      </c>
      <c r="G820" s="353">
        <v>0</v>
      </c>
      <c r="H820" t="s">
        <v>1042</v>
      </c>
      <c r="I820" s="403" t="s">
        <v>131</v>
      </c>
      <c r="K820" s="370"/>
      <c r="N820" s="370"/>
    </row>
    <row r="821" spans="1:14" s="347" customFormat="1" x14ac:dyDescent="0.25">
      <c r="A821" s="369">
        <f>+A820</f>
        <v>44253</v>
      </c>
      <c r="B821" s="347">
        <v>2</v>
      </c>
      <c r="C821" s="347">
        <v>1216</v>
      </c>
      <c r="D821" s="340" t="str">
        <f>VLOOKUP(C821,Plan!A:B,2,0)</f>
        <v>Otros Valores Recaudadoras</v>
      </c>
      <c r="E821" s="341">
        <f>+F821-G821</f>
        <v>-60000</v>
      </c>
      <c r="F821" s="353">
        <v>0</v>
      </c>
      <c r="G821" s="353">
        <f>+F820</f>
        <v>60000</v>
      </c>
      <c r="H821" t="s">
        <v>1042</v>
      </c>
      <c r="I821" s="403" t="s">
        <v>131</v>
      </c>
      <c r="K821" s="370"/>
      <c r="N821" s="370"/>
    </row>
    <row r="822" spans="1:14" s="347" customFormat="1" x14ac:dyDescent="0.25">
      <c r="A822" s="369"/>
      <c r="E822" s="396"/>
      <c r="F822" s="396"/>
      <c r="G822" s="396"/>
      <c r="K822" s="370"/>
      <c r="N822" s="370"/>
    </row>
    <row r="823" spans="1:14" s="347" customFormat="1" x14ac:dyDescent="0.25">
      <c r="A823" s="369">
        <v>44253</v>
      </c>
      <c r="B823" s="347">
        <v>2</v>
      </c>
      <c r="C823" s="347">
        <v>115</v>
      </c>
      <c r="D823" s="340" t="str">
        <f>VLOOKUP(C823,Plan!A:B,2,0)</f>
        <v>Disponible Cali B.Chile</v>
      </c>
      <c r="E823" s="341">
        <f>+F823-G823</f>
        <v>25000</v>
      </c>
      <c r="F823" s="353">
        <v>25000</v>
      </c>
      <c r="G823" s="353">
        <v>0</v>
      </c>
      <c r="H823" t="s">
        <v>969</v>
      </c>
      <c r="I823" s="403" t="s">
        <v>131</v>
      </c>
      <c r="K823" s="370"/>
      <c r="N823" s="370"/>
    </row>
    <row r="824" spans="1:14" s="347" customFormat="1" x14ac:dyDescent="0.25">
      <c r="A824" s="369">
        <f>+A823</f>
        <v>44253</v>
      </c>
      <c r="B824" s="347">
        <v>2</v>
      </c>
      <c r="C824" s="347">
        <v>1217</v>
      </c>
      <c r="D824" s="340" t="str">
        <f>VLOOKUP(C824,Plan!A:B,2,0)</f>
        <v>Otros Valores -Oficina y Transferencias (248)</v>
      </c>
      <c r="E824" s="341">
        <f>+F824-G824</f>
        <v>-25000</v>
      </c>
      <c r="F824" s="353">
        <v>0</v>
      </c>
      <c r="G824" s="353">
        <f>+F823</f>
        <v>25000</v>
      </c>
      <c r="H824" t="s">
        <v>969</v>
      </c>
      <c r="I824" s="403" t="s">
        <v>131</v>
      </c>
      <c r="K824" s="370"/>
      <c r="N824" s="370"/>
    </row>
    <row r="825" spans="1:14" s="347" customFormat="1" x14ac:dyDescent="0.25">
      <c r="A825" s="369"/>
      <c r="E825" s="396"/>
      <c r="F825" s="396"/>
      <c r="G825" s="396"/>
      <c r="K825" s="370"/>
      <c r="N825" s="370"/>
    </row>
    <row r="826" spans="1:14" s="347" customFormat="1" x14ac:dyDescent="0.25">
      <c r="A826" s="369">
        <v>44253</v>
      </c>
      <c r="B826" s="347">
        <v>2</v>
      </c>
      <c r="C826" s="347">
        <v>115</v>
      </c>
      <c r="D826" s="340" t="str">
        <f>VLOOKUP(C826,Plan!A:B,2,0)</f>
        <v>Disponible Cali B.Chile</v>
      </c>
      <c r="E826" s="341">
        <f>+F826-G826</f>
        <v>64000</v>
      </c>
      <c r="F826" s="353">
        <v>64000</v>
      </c>
      <c r="G826" s="353">
        <v>0</v>
      </c>
      <c r="H826" t="s">
        <v>550</v>
      </c>
      <c r="I826" s="403" t="s">
        <v>131</v>
      </c>
      <c r="K826" s="370"/>
      <c r="N826" s="370"/>
    </row>
    <row r="827" spans="1:14" s="347" customFormat="1" x14ac:dyDescent="0.25">
      <c r="A827" s="369">
        <f>+A826</f>
        <v>44253</v>
      </c>
      <c r="B827" s="347">
        <v>2</v>
      </c>
      <c r="C827" s="347">
        <v>1217</v>
      </c>
      <c r="D827" s="340" t="str">
        <f>VLOOKUP(C827,Plan!A:B,2,0)</f>
        <v>Otros Valores -Oficina y Transferencias (248)</v>
      </c>
      <c r="E827" s="341">
        <f>+F827-G827</f>
        <v>-64000</v>
      </c>
      <c r="F827" s="353">
        <v>0</v>
      </c>
      <c r="G827" s="353">
        <f>+F826</f>
        <v>64000</v>
      </c>
      <c r="H827" t="s">
        <v>550</v>
      </c>
      <c r="I827" s="403" t="s">
        <v>131</v>
      </c>
      <c r="K827" s="370"/>
      <c r="N827" s="370"/>
    </row>
    <row r="828" spans="1:14" s="347" customFormat="1" x14ac:dyDescent="0.25">
      <c r="A828" s="369"/>
      <c r="D828" s="340"/>
      <c r="E828" s="341"/>
      <c r="F828" s="353"/>
      <c r="G828" s="353"/>
      <c r="H828"/>
      <c r="I828" s="403"/>
      <c r="K828" s="370"/>
      <c r="N828" s="370"/>
    </row>
    <row r="829" spans="1:14" s="347" customFormat="1" x14ac:dyDescent="0.25">
      <c r="A829" s="339">
        <v>44240</v>
      </c>
      <c r="B829" s="347">
        <f>+MONTH(A829)</f>
        <v>2</v>
      </c>
      <c r="C829" s="338">
        <v>118</v>
      </c>
      <c r="D829" s="340" t="str">
        <f>VLOOKUP(C829,Plan!A:B,2,0)</f>
        <v>Depósito a plazo Cali Banco Security</v>
      </c>
      <c r="E829" s="341">
        <f>+F829-G829</f>
        <v>74000000</v>
      </c>
      <c r="F829" s="405">
        <v>74000000</v>
      </c>
      <c r="G829" s="346">
        <v>0</v>
      </c>
      <c r="H829" s="404" t="s">
        <v>1069</v>
      </c>
      <c r="I829" s="403" t="s">
        <v>131</v>
      </c>
      <c r="K829" s="370"/>
      <c r="N829" s="370"/>
    </row>
    <row r="830" spans="1:14" s="347" customFormat="1" x14ac:dyDescent="0.25">
      <c r="A830" s="339">
        <f>+A829</f>
        <v>44240</v>
      </c>
      <c r="B830" s="347">
        <f>+MONTH(A830)</f>
        <v>2</v>
      </c>
      <c r="C830" s="338">
        <v>116</v>
      </c>
      <c r="D830" s="340" t="str">
        <f>VLOOKUP(C830,Plan!A:B,2,0)</f>
        <v>Disponible CALI Security</v>
      </c>
      <c r="E830" s="341">
        <f>+F830-G830</f>
        <v>-74000000</v>
      </c>
      <c r="F830" s="405">
        <v>0</v>
      </c>
      <c r="G830" s="346">
        <f>+F829</f>
        <v>74000000</v>
      </c>
      <c r="H830" s="404" t="s">
        <v>1069</v>
      </c>
      <c r="I830" s="403" t="s">
        <v>131</v>
      </c>
      <c r="K830" s="370"/>
      <c r="N830" s="370"/>
    </row>
    <row r="831" spans="1:14" s="347" customFormat="1" x14ac:dyDescent="0.25">
      <c r="A831" s="369"/>
      <c r="D831" s="340"/>
      <c r="E831" s="341"/>
      <c r="F831" s="353"/>
      <c r="G831" s="353"/>
      <c r="H831"/>
      <c r="I831" s="403"/>
      <c r="K831" s="370"/>
      <c r="N831" s="370"/>
    </row>
    <row r="832" spans="1:14" s="347" customFormat="1" x14ac:dyDescent="0.25">
      <c r="A832" s="369">
        <v>44235</v>
      </c>
      <c r="B832" s="347">
        <f>+MONTH(A832)</f>
        <v>2</v>
      </c>
      <c r="C832" s="347">
        <v>4170</v>
      </c>
      <c r="D832" s="340" t="str">
        <f>VLOOKUP(C832,Plan!A:B,2,0)</f>
        <v>Cali otros</v>
      </c>
      <c r="E832" s="341">
        <f>+F832-G832</f>
        <v>2097</v>
      </c>
      <c r="F832" s="353">
        <v>2097</v>
      </c>
      <c r="G832" s="353">
        <v>0</v>
      </c>
      <c r="H832" t="s">
        <v>1068</v>
      </c>
      <c r="I832" s="403" t="s">
        <v>131</v>
      </c>
      <c r="K832" s="370"/>
      <c r="N832" s="370"/>
    </row>
    <row r="833" spans="1:14" s="347" customFormat="1" x14ac:dyDescent="0.25">
      <c r="A833" s="369">
        <f>+A832</f>
        <v>44235</v>
      </c>
      <c r="B833" s="347">
        <f>+MONTH(A833)</f>
        <v>2</v>
      </c>
      <c r="C833" s="347">
        <v>116</v>
      </c>
      <c r="D833" s="340" t="str">
        <f>VLOOKUP(C833,Plan!A:B,2,0)</f>
        <v>Disponible CALI Security</v>
      </c>
      <c r="E833" s="341">
        <f>+F833-G833</f>
        <v>-2097</v>
      </c>
      <c r="F833" s="353">
        <v>0</v>
      </c>
      <c r="G833" s="353">
        <f>+F832</f>
        <v>2097</v>
      </c>
      <c r="H833" t="s">
        <v>1068</v>
      </c>
      <c r="I833" s="403" t="s">
        <v>131</v>
      </c>
      <c r="K833" s="370"/>
      <c r="N833" s="370"/>
    </row>
    <row r="834" spans="1:14" s="347" customFormat="1" x14ac:dyDescent="0.25">
      <c r="A834" s="369"/>
      <c r="D834" s="340"/>
      <c r="E834" s="341"/>
      <c r="F834" s="353"/>
      <c r="G834" s="353"/>
      <c r="H834"/>
      <c r="I834" s="403"/>
      <c r="K834" s="370"/>
      <c r="N834" s="370"/>
    </row>
    <row r="835" spans="1:14" s="347" customFormat="1" x14ac:dyDescent="0.25">
      <c r="A835" s="369">
        <v>44235</v>
      </c>
      <c r="B835" s="347">
        <f>+MONTH(A835)</f>
        <v>2</v>
      </c>
      <c r="C835" s="347">
        <v>4170</v>
      </c>
      <c r="D835" s="340" t="str">
        <f>VLOOKUP(C835,Plan!A:B,2,0)</f>
        <v>Cali otros</v>
      </c>
      <c r="E835" s="341">
        <f>+F835-G835</f>
        <v>398</v>
      </c>
      <c r="F835" s="353">
        <v>398</v>
      </c>
      <c r="G835" s="353">
        <v>0</v>
      </c>
      <c r="H835" t="s">
        <v>1068</v>
      </c>
      <c r="I835" s="403" t="s">
        <v>131</v>
      </c>
      <c r="K835" s="370"/>
      <c r="N835" s="370"/>
    </row>
    <row r="836" spans="1:14" s="347" customFormat="1" x14ac:dyDescent="0.25">
      <c r="A836" s="369">
        <f>+A835</f>
        <v>44235</v>
      </c>
      <c r="B836" s="347">
        <f>+MONTH(A836)</f>
        <v>2</v>
      </c>
      <c r="C836" s="347">
        <v>116</v>
      </c>
      <c r="D836" s="340" t="str">
        <f>VLOOKUP(C836,Plan!A:B,2,0)</f>
        <v>Disponible CALI Security</v>
      </c>
      <c r="E836" s="341">
        <f>+F836-G836</f>
        <v>-398</v>
      </c>
      <c r="F836" s="353">
        <v>0</v>
      </c>
      <c r="G836" s="353">
        <f>+F835</f>
        <v>398</v>
      </c>
      <c r="H836" t="s">
        <v>1068</v>
      </c>
      <c r="I836" s="403" t="s">
        <v>131</v>
      </c>
      <c r="K836" s="370"/>
      <c r="N836" s="370"/>
    </row>
    <row r="837" spans="1:14" s="347" customFormat="1" x14ac:dyDescent="0.25">
      <c r="A837" s="369"/>
      <c r="D837" s="340"/>
      <c r="E837" s="341"/>
      <c r="F837" s="353"/>
      <c r="G837" s="353"/>
      <c r="H837"/>
      <c r="I837" s="403"/>
      <c r="K837" s="370"/>
      <c r="N837" s="370"/>
    </row>
    <row r="838" spans="1:14" s="347" customFormat="1" x14ac:dyDescent="0.25">
      <c r="A838" s="369">
        <v>44255</v>
      </c>
      <c r="B838" s="347">
        <f t="shared" ref="B838:B853" si="8">+MONTH(A838)</f>
        <v>2</v>
      </c>
      <c r="C838" s="347">
        <v>141</v>
      </c>
      <c r="D838" s="340" t="str">
        <f>VLOOKUP(C838,Plan!A:B,2,0)</f>
        <v>Cuentas por Cobrar a Administración</v>
      </c>
      <c r="E838" s="341">
        <f t="shared" ref="E838:E853" si="9">+F838-G838</f>
        <v>15000</v>
      </c>
      <c r="F838" s="264">
        <v>15000</v>
      </c>
      <c r="G838" s="353">
        <v>0</v>
      </c>
      <c r="H838" t="s">
        <v>940</v>
      </c>
      <c r="I838" s="403" t="s">
        <v>131</v>
      </c>
      <c r="K838" s="370"/>
      <c r="N838" s="370"/>
    </row>
    <row r="839" spans="1:14" s="347" customFormat="1" x14ac:dyDescent="0.25">
      <c r="A839" s="369">
        <f t="shared" ref="A839:A853" si="10">+A838</f>
        <v>44255</v>
      </c>
      <c r="B839" s="347">
        <f t="shared" si="8"/>
        <v>2</v>
      </c>
      <c r="C839" s="347">
        <v>141</v>
      </c>
      <c r="D839" s="340" t="str">
        <f>VLOOKUP(C839,Plan!A:B,2,0)</f>
        <v>Cuentas por Cobrar a Administración</v>
      </c>
      <c r="E839" s="341">
        <f t="shared" si="9"/>
        <v>250000</v>
      </c>
      <c r="F839" s="264">
        <v>250000</v>
      </c>
      <c r="G839" s="353">
        <v>0</v>
      </c>
      <c r="H839" t="s">
        <v>883</v>
      </c>
      <c r="I839" s="403" t="s">
        <v>131</v>
      </c>
      <c r="K839" s="370"/>
      <c r="N839" s="370"/>
    </row>
    <row r="840" spans="1:14" s="347" customFormat="1" x14ac:dyDescent="0.25">
      <c r="A840" s="369">
        <f t="shared" si="10"/>
        <v>44255</v>
      </c>
      <c r="B840" s="347">
        <f t="shared" si="8"/>
        <v>2</v>
      </c>
      <c r="C840" s="347">
        <v>141</v>
      </c>
      <c r="D840" s="340" t="str">
        <f>VLOOKUP(C840,Plan!A:B,2,0)</f>
        <v>Cuentas por Cobrar a Administración</v>
      </c>
      <c r="E840" s="341">
        <f t="shared" si="9"/>
        <v>100000</v>
      </c>
      <c r="F840" s="264">
        <v>100000</v>
      </c>
      <c r="G840" s="353">
        <v>0</v>
      </c>
      <c r="H840" t="s">
        <v>891</v>
      </c>
      <c r="I840" s="403" t="s">
        <v>131</v>
      </c>
      <c r="K840" s="370"/>
      <c r="N840" s="370"/>
    </row>
    <row r="841" spans="1:14" s="347" customFormat="1" x14ac:dyDescent="0.25">
      <c r="A841" s="369">
        <f t="shared" si="10"/>
        <v>44255</v>
      </c>
      <c r="B841" s="347">
        <f t="shared" si="8"/>
        <v>2</v>
      </c>
      <c r="C841" s="347">
        <v>141</v>
      </c>
      <c r="D841" s="340" t="str">
        <f>VLOOKUP(C841,Plan!A:B,2,0)</f>
        <v>Cuentas por Cobrar a Administración</v>
      </c>
      <c r="E841" s="341">
        <f t="shared" si="9"/>
        <v>2000000</v>
      </c>
      <c r="F841" s="264">
        <v>2000000</v>
      </c>
      <c r="G841" s="353">
        <v>0</v>
      </c>
      <c r="H841" t="s">
        <v>952</v>
      </c>
      <c r="I841" s="403" t="s">
        <v>131</v>
      </c>
      <c r="K841" s="370"/>
      <c r="N841" s="370"/>
    </row>
    <row r="842" spans="1:14" s="347" customFormat="1" x14ac:dyDescent="0.25">
      <c r="A842" s="369">
        <f t="shared" si="10"/>
        <v>44255</v>
      </c>
      <c r="B842" s="347">
        <f t="shared" si="8"/>
        <v>2</v>
      </c>
      <c r="C842" s="347">
        <v>141</v>
      </c>
      <c r="D842" s="340" t="str">
        <f>VLOOKUP(C842,Plan!A:B,2,0)</f>
        <v>Cuentas por Cobrar a Administración</v>
      </c>
      <c r="E842" s="341">
        <f t="shared" si="9"/>
        <v>200000</v>
      </c>
      <c r="F842" s="264">
        <v>200000</v>
      </c>
      <c r="G842" s="353">
        <v>0</v>
      </c>
      <c r="H842" t="s">
        <v>743</v>
      </c>
      <c r="I842" s="403" t="s">
        <v>131</v>
      </c>
      <c r="K842" s="370"/>
      <c r="N842" s="370"/>
    </row>
    <row r="843" spans="1:14" s="347" customFormat="1" x14ac:dyDescent="0.25">
      <c r="A843" s="369">
        <f t="shared" si="10"/>
        <v>44255</v>
      </c>
      <c r="B843" s="347">
        <f t="shared" si="8"/>
        <v>2</v>
      </c>
      <c r="C843" s="347">
        <v>141</v>
      </c>
      <c r="D843" s="340" t="str">
        <f>VLOOKUP(C843,Plan!A:B,2,0)</f>
        <v>Cuentas por Cobrar a Administración</v>
      </c>
      <c r="E843" s="341">
        <f t="shared" si="9"/>
        <v>30000</v>
      </c>
      <c r="F843" s="264">
        <v>30000</v>
      </c>
      <c r="G843" s="353">
        <v>0</v>
      </c>
      <c r="H843" t="s">
        <v>737</v>
      </c>
      <c r="I843" s="403" t="s">
        <v>131</v>
      </c>
      <c r="K843" s="370"/>
      <c r="N843" s="370"/>
    </row>
    <row r="844" spans="1:14" s="347" customFormat="1" x14ac:dyDescent="0.25">
      <c r="A844" s="369">
        <f t="shared" si="10"/>
        <v>44255</v>
      </c>
      <c r="B844" s="347">
        <f t="shared" si="8"/>
        <v>2</v>
      </c>
      <c r="C844" s="347">
        <v>141</v>
      </c>
      <c r="D844" s="340" t="str">
        <f>VLOOKUP(C844,Plan!A:B,2,0)</f>
        <v>Cuentas por Cobrar a Administración</v>
      </c>
      <c r="E844" s="341">
        <f t="shared" si="9"/>
        <v>15000</v>
      </c>
      <c r="F844" s="264">
        <v>15000</v>
      </c>
      <c r="G844" s="353">
        <v>0</v>
      </c>
      <c r="H844" t="s">
        <v>884</v>
      </c>
      <c r="I844" s="403" t="s">
        <v>131</v>
      </c>
      <c r="K844" s="370"/>
      <c r="N844" s="370"/>
    </row>
    <row r="845" spans="1:14" s="347" customFormat="1" x14ac:dyDescent="0.25">
      <c r="A845" s="369">
        <f t="shared" si="10"/>
        <v>44255</v>
      </c>
      <c r="B845" s="347">
        <f t="shared" si="8"/>
        <v>2</v>
      </c>
      <c r="C845" s="347">
        <v>141</v>
      </c>
      <c r="D845" s="340" t="str">
        <f>VLOOKUP(C845,Plan!A:B,2,0)</f>
        <v>Cuentas por Cobrar a Administración</v>
      </c>
      <c r="E845" s="341">
        <f t="shared" si="9"/>
        <v>15000</v>
      </c>
      <c r="F845" s="264">
        <v>15000</v>
      </c>
      <c r="G845" s="353">
        <v>0</v>
      </c>
      <c r="H845" t="s">
        <v>941</v>
      </c>
      <c r="I845" s="403" t="s">
        <v>131</v>
      </c>
      <c r="K845" s="370"/>
      <c r="N845" s="370"/>
    </row>
    <row r="846" spans="1:14" s="347" customFormat="1" x14ac:dyDescent="0.25">
      <c r="A846" s="369">
        <f t="shared" si="10"/>
        <v>44255</v>
      </c>
      <c r="B846" s="347">
        <f t="shared" si="8"/>
        <v>2</v>
      </c>
      <c r="C846" s="347">
        <v>1216</v>
      </c>
      <c r="D846" s="340" t="str">
        <f>VLOOKUP(C846,Plan!A:B,2,0)</f>
        <v>Otros Valores Recaudadoras</v>
      </c>
      <c r="E846" s="341">
        <f t="shared" si="9"/>
        <v>-15000</v>
      </c>
      <c r="F846" s="264">
        <v>0</v>
      </c>
      <c r="G846" s="264">
        <v>15000</v>
      </c>
      <c r="H846" t="s">
        <v>940</v>
      </c>
      <c r="I846" s="403" t="s">
        <v>131</v>
      </c>
      <c r="K846" s="370"/>
      <c r="N846" s="370"/>
    </row>
    <row r="847" spans="1:14" s="347" customFormat="1" x14ac:dyDescent="0.25">
      <c r="A847" s="369">
        <f t="shared" si="10"/>
        <v>44255</v>
      </c>
      <c r="B847" s="347">
        <f t="shared" si="8"/>
        <v>2</v>
      </c>
      <c r="C847" s="347">
        <v>3210</v>
      </c>
      <c r="D847" s="340" t="str">
        <f>VLOOKUP(C847,Plan!A:B,2,0)</f>
        <v>Donacion Construccion</v>
      </c>
      <c r="E847" s="341">
        <f t="shared" si="9"/>
        <v>-250000</v>
      </c>
      <c r="F847" s="264">
        <v>0</v>
      </c>
      <c r="G847" s="264">
        <v>250000</v>
      </c>
      <c r="H847" t="s">
        <v>883</v>
      </c>
      <c r="I847" s="403" t="s">
        <v>131</v>
      </c>
      <c r="K847" s="370"/>
      <c r="N847" s="370"/>
    </row>
    <row r="848" spans="1:14" s="347" customFormat="1" x14ac:dyDescent="0.25">
      <c r="A848" s="369">
        <f t="shared" si="10"/>
        <v>44255</v>
      </c>
      <c r="B848" s="347">
        <f t="shared" si="8"/>
        <v>2</v>
      </c>
      <c r="C848" s="347">
        <v>3210</v>
      </c>
      <c r="D848" s="340" t="str">
        <f>VLOOKUP(C848,Plan!A:B,2,0)</f>
        <v>Donacion Construccion</v>
      </c>
      <c r="E848" s="341">
        <f t="shared" si="9"/>
        <v>-100000</v>
      </c>
      <c r="F848" s="264">
        <v>0</v>
      </c>
      <c r="G848" s="264">
        <v>100000</v>
      </c>
      <c r="H848" t="s">
        <v>891</v>
      </c>
      <c r="I848" s="403" t="s">
        <v>131</v>
      </c>
      <c r="K848" s="370"/>
      <c r="N848" s="370"/>
    </row>
    <row r="849" spans="1:14" s="347" customFormat="1" x14ac:dyDescent="0.25">
      <c r="A849" s="369">
        <f t="shared" si="10"/>
        <v>44255</v>
      </c>
      <c r="B849" s="347">
        <f t="shared" si="8"/>
        <v>2</v>
      </c>
      <c r="C849" s="347">
        <v>3210</v>
      </c>
      <c r="D849" s="340" t="str">
        <f>VLOOKUP(C849,Plan!A:B,2,0)</f>
        <v>Donacion Construccion</v>
      </c>
      <c r="E849" s="341">
        <f t="shared" si="9"/>
        <v>-2000000</v>
      </c>
      <c r="F849" s="264">
        <v>0</v>
      </c>
      <c r="G849" s="264">
        <v>2000000</v>
      </c>
      <c r="H849" t="s">
        <v>952</v>
      </c>
      <c r="I849" s="403" t="s">
        <v>131</v>
      </c>
      <c r="K849" s="370"/>
      <c r="N849" s="370"/>
    </row>
    <row r="850" spans="1:14" s="347" customFormat="1" x14ac:dyDescent="0.25">
      <c r="A850" s="369">
        <f t="shared" si="10"/>
        <v>44255</v>
      </c>
      <c r="B850" s="347">
        <f t="shared" si="8"/>
        <v>2</v>
      </c>
      <c r="C850" s="347">
        <v>1222</v>
      </c>
      <c r="D850" s="340" t="str">
        <f>VLOOKUP(C850,Plan!A:B,2,0)</f>
        <v>Otros Valores -Oficina y Transferencias (249)</v>
      </c>
      <c r="E850" s="341">
        <f t="shared" si="9"/>
        <v>-200000</v>
      </c>
      <c r="F850" s="264">
        <v>0</v>
      </c>
      <c r="G850" s="264">
        <v>200000</v>
      </c>
      <c r="H850" t="s">
        <v>743</v>
      </c>
      <c r="I850" s="403" t="s">
        <v>131</v>
      </c>
      <c r="K850" s="370"/>
      <c r="N850" s="370"/>
    </row>
    <row r="851" spans="1:14" s="347" customFormat="1" x14ac:dyDescent="0.25">
      <c r="A851" s="369">
        <f t="shared" si="10"/>
        <v>44255</v>
      </c>
      <c r="B851" s="347">
        <f t="shared" si="8"/>
        <v>2</v>
      </c>
      <c r="C851" s="347">
        <v>1222</v>
      </c>
      <c r="D851" s="340" t="str">
        <f>VLOOKUP(C851,Plan!A:B,2,0)</f>
        <v>Otros Valores -Oficina y Transferencias (249)</v>
      </c>
      <c r="E851" s="341">
        <f t="shared" si="9"/>
        <v>-30000</v>
      </c>
      <c r="F851" s="264">
        <v>0</v>
      </c>
      <c r="G851" s="264">
        <v>30000</v>
      </c>
      <c r="H851" t="s">
        <v>737</v>
      </c>
      <c r="I851" s="403" t="s">
        <v>131</v>
      </c>
      <c r="K851" s="370"/>
      <c r="N851" s="370"/>
    </row>
    <row r="852" spans="1:14" s="347" customFormat="1" x14ac:dyDescent="0.25">
      <c r="A852" s="369">
        <f t="shared" si="10"/>
        <v>44255</v>
      </c>
      <c r="B852" s="347">
        <f t="shared" si="8"/>
        <v>2</v>
      </c>
      <c r="C852" s="347">
        <v>1222</v>
      </c>
      <c r="D852" s="340" t="str">
        <f>VLOOKUP(C852,Plan!A:B,2,0)</f>
        <v>Otros Valores -Oficina y Transferencias (249)</v>
      </c>
      <c r="E852" s="341">
        <f t="shared" si="9"/>
        <v>-15000</v>
      </c>
      <c r="F852" s="264">
        <v>0</v>
      </c>
      <c r="G852" s="264">
        <v>15000</v>
      </c>
      <c r="H852" t="s">
        <v>884</v>
      </c>
      <c r="I852" s="403" t="s">
        <v>131</v>
      </c>
      <c r="K852" s="370"/>
      <c r="N852" s="370"/>
    </row>
    <row r="853" spans="1:14" s="347" customFormat="1" x14ac:dyDescent="0.25">
      <c r="A853" s="369">
        <f t="shared" si="10"/>
        <v>44255</v>
      </c>
      <c r="B853" s="347">
        <f t="shared" si="8"/>
        <v>2</v>
      </c>
      <c r="C853" s="347">
        <v>3210</v>
      </c>
      <c r="D853" s="340" t="str">
        <f>VLOOKUP(C853,Plan!A:B,2,0)</f>
        <v>Donacion Construccion</v>
      </c>
      <c r="E853" s="341">
        <f t="shared" si="9"/>
        <v>-15000</v>
      </c>
      <c r="F853" s="264">
        <v>0</v>
      </c>
      <c r="G853" s="264">
        <v>15000</v>
      </c>
      <c r="H853" t="s">
        <v>941</v>
      </c>
      <c r="I853" s="403" t="s">
        <v>131</v>
      </c>
      <c r="K853" s="370"/>
      <c r="N853" s="370"/>
    </row>
    <row r="854" spans="1:14" s="347" customFormat="1" x14ac:dyDescent="0.25">
      <c r="A854" s="369"/>
      <c r="D854" s="340"/>
      <c r="E854" s="341"/>
      <c r="F854" s="264"/>
      <c r="G854" s="264"/>
      <c r="H854"/>
      <c r="I854" s="403"/>
      <c r="K854" s="370"/>
      <c r="N854" s="370"/>
    </row>
    <row r="855" spans="1:14" s="347" customFormat="1" x14ac:dyDescent="0.25">
      <c r="A855" s="339">
        <v>44253</v>
      </c>
      <c r="B855" s="340">
        <f>+MONTH(A855)</f>
        <v>2</v>
      </c>
      <c r="C855" s="338">
        <v>117</v>
      </c>
      <c r="D855" s="338" t="str">
        <f>+VLOOKUP(C855,Plan!A:C,2,FALSE)</f>
        <v>Disponible CALI Santander</v>
      </c>
      <c r="E855" s="341">
        <f>+F855-G855</f>
        <v>0</v>
      </c>
      <c r="F855" s="346">
        <v>0</v>
      </c>
      <c r="G855" s="346">
        <v>0</v>
      </c>
      <c r="H855" s="338" t="s">
        <v>1295</v>
      </c>
      <c r="I855" s="343" t="s">
        <v>131</v>
      </c>
      <c r="K855" s="370"/>
      <c r="N855" s="370"/>
    </row>
    <row r="856" spans="1:14" s="347" customFormat="1" x14ac:dyDescent="0.25">
      <c r="A856" s="339">
        <f>+A855</f>
        <v>44253</v>
      </c>
      <c r="B856" s="338">
        <f>+B855</f>
        <v>2</v>
      </c>
      <c r="C856" s="338">
        <v>118</v>
      </c>
      <c r="D856" s="338" t="str">
        <f>+VLOOKUP(C856,Plan!A:C,2,FALSE)</f>
        <v>Depósito a plazo Cali Banco Security</v>
      </c>
      <c r="E856" s="341">
        <f>+F856-G856</f>
        <v>0</v>
      </c>
      <c r="F856" s="346">
        <v>0</v>
      </c>
      <c r="G856" s="346">
        <f>+F855</f>
        <v>0</v>
      </c>
      <c r="H856" s="338" t="str">
        <f>+H855</f>
        <v>APERTURA CTA CTE SANTADER</v>
      </c>
      <c r="I856" s="343" t="s">
        <v>131</v>
      </c>
      <c r="K856" s="370"/>
      <c r="N856" s="370"/>
    </row>
    <row r="857" spans="1:14" s="347" customFormat="1" x14ac:dyDescent="0.25">
      <c r="A857" s="369"/>
      <c r="D857" s="340"/>
      <c r="E857" s="341"/>
      <c r="F857" s="353"/>
      <c r="G857" s="353"/>
      <c r="H857"/>
      <c r="I857" s="403"/>
      <c r="K857" s="370"/>
      <c r="N857" s="370"/>
    </row>
    <row r="858" spans="1:14" s="347" customFormat="1" x14ac:dyDescent="0.25">
      <c r="A858" s="369">
        <v>44238</v>
      </c>
      <c r="B858" s="347">
        <f>+MONTH(A858)</f>
        <v>2</v>
      </c>
      <c r="C858" s="347">
        <v>116</v>
      </c>
      <c r="D858" s="340" t="str">
        <f>VLOOKUP(C858,Plan!A:B,2,0)</f>
        <v>Disponible CALI Security</v>
      </c>
      <c r="E858" s="341">
        <f>+F858-G858</f>
        <v>150000000</v>
      </c>
      <c r="F858" s="353">
        <v>150000000</v>
      </c>
      <c r="G858" s="353">
        <v>0</v>
      </c>
      <c r="H858" t="s">
        <v>1070</v>
      </c>
      <c r="I858" s="355" t="s">
        <v>131</v>
      </c>
      <c r="K858" s="370"/>
      <c r="N858" s="370"/>
    </row>
    <row r="859" spans="1:14" s="347" customFormat="1" x14ac:dyDescent="0.25">
      <c r="A859" s="369">
        <f>+A858</f>
        <v>44238</v>
      </c>
      <c r="B859" s="347">
        <f>+MONTH(A859)</f>
        <v>2</v>
      </c>
      <c r="C859" s="347">
        <v>119</v>
      </c>
      <c r="D859" s="340" t="str">
        <f>VLOOKUP(C859,Plan!A:B,2,0)</f>
        <v>FM Cali Banco Security</v>
      </c>
      <c r="E859" s="341">
        <f>+F859-G859</f>
        <v>-150000000</v>
      </c>
      <c r="F859" s="353">
        <v>0</v>
      </c>
      <c r="G859" s="353">
        <f>+F858</f>
        <v>150000000</v>
      </c>
      <c r="H859" t="s">
        <v>1070</v>
      </c>
      <c r="I859" s="355" t="s">
        <v>131</v>
      </c>
      <c r="N859" s="370"/>
    </row>
    <row r="860" spans="1:14" s="347" customFormat="1" x14ac:dyDescent="0.25">
      <c r="A860" s="369"/>
      <c r="D860" s="340"/>
      <c r="E860" s="341"/>
      <c r="F860" s="353"/>
      <c r="G860" s="353"/>
      <c r="H860"/>
      <c r="I860" s="403"/>
      <c r="N860" s="370"/>
    </row>
    <row r="861" spans="1:14" s="347" customFormat="1" x14ac:dyDescent="0.25">
      <c r="A861" s="402">
        <v>44242</v>
      </c>
      <c r="B861" s="403">
        <f>+MONTH(A861)</f>
        <v>2</v>
      </c>
      <c r="C861" s="338">
        <v>137</v>
      </c>
      <c r="D861" s="340" t="str">
        <f>VLOOKUP(C861,Plan!A:B,2,0)</f>
        <v>Anticipo Construcción</v>
      </c>
      <c r="E861" s="341">
        <f>+F861-G861</f>
        <v>-14570898</v>
      </c>
      <c r="F861" s="412">
        <v>0</v>
      </c>
      <c r="G861" s="412">
        <v>14570898</v>
      </c>
      <c r="H861" s="413" t="s">
        <v>1071</v>
      </c>
      <c r="I861" s="355" t="s">
        <v>131</v>
      </c>
      <c r="J861" s="355" t="s">
        <v>588</v>
      </c>
      <c r="K861" s="208" t="str">
        <f>IF(J861&lt;&gt;"",VLOOKUP(J861,'Libro De Compras 2021'!D:E,2,0),"")</f>
        <v>PROYECTOS Y CONSTRUCCIONES TASCO LIMITADA</v>
      </c>
      <c r="L861" s="355">
        <v>2854</v>
      </c>
      <c r="N861" s="370"/>
    </row>
    <row r="862" spans="1:14" s="347" customFormat="1" x14ac:dyDescent="0.25">
      <c r="A862" s="402">
        <f t="shared" ref="A862:B864" si="11">+A861</f>
        <v>44242</v>
      </c>
      <c r="B862" s="403">
        <f t="shared" si="11"/>
        <v>2</v>
      </c>
      <c r="C862" s="338">
        <v>136</v>
      </c>
      <c r="D862" s="340" t="str">
        <f>VLOOKUP(C862,Plan!A:B,2,0)</f>
        <v>Obras en Construcción</v>
      </c>
      <c r="E862" s="341">
        <f>+F862-G862</f>
        <v>169243211</v>
      </c>
      <c r="F862" s="412">
        <v>169243211</v>
      </c>
      <c r="G862" s="412">
        <v>0</v>
      </c>
      <c r="H862" s="413" t="s">
        <v>1073</v>
      </c>
      <c r="I862" s="355" t="s">
        <v>131</v>
      </c>
      <c r="J862" s="355" t="s">
        <v>588</v>
      </c>
      <c r="K862" s="208" t="str">
        <f>IF(J862&lt;&gt;"",VLOOKUP(J862,'Libro De Compras 2021'!D:E,2,0),"")</f>
        <v>PROYECTOS Y CONSTRUCCIONES TASCO LIMITADA</v>
      </c>
      <c r="L862" s="355">
        <v>2854</v>
      </c>
      <c r="N862" s="370"/>
    </row>
    <row r="863" spans="1:14" s="347" customFormat="1" x14ac:dyDescent="0.25">
      <c r="A863" s="402">
        <f t="shared" si="11"/>
        <v>44242</v>
      </c>
      <c r="B863" s="403">
        <f t="shared" si="11"/>
        <v>2</v>
      </c>
      <c r="C863" s="338">
        <v>210</v>
      </c>
      <c r="D863" s="340" t="str">
        <f>VLOOKUP(C863,Plan!A:B,2,0)</f>
        <v>Retenciones Construcción</v>
      </c>
      <c r="E863" s="341">
        <f>+F863-G863</f>
        <v>-7285595</v>
      </c>
      <c r="F863" s="412">
        <v>0</v>
      </c>
      <c r="G863" s="412">
        <v>7285595</v>
      </c>
      <c r="H863" s="413" t="s">
        <v>1072</v>
      </c>
      <c r="I863" s="355" t="s">
        <v>131</v>
      </c>
      <c r="J863" s="355" t="s">
        <v>588</v>
      </c>
      <c r="K863" s="208" t="str">
        <f>IF(J863&lt;&gt;"",VLOOKUP(J863,'Libro De Compras 2021'!D:E,2,0),"")</f>
        <v>PROYECTOS Y CONSTRUCCIONES TASCO LIMITADA</v>
      </c>
      <c r="L863" s="355">
        <v>2854</v>
      </c>
      <c r="N863" s="370"/>
    </row>
    <row r="864" spans="1:14" s="347" customFormat="1" x14ac:dyDescent="0.25">
      <c r="A864" s="402">
        <f t="shared" si="11"/>
        <v>44242</v>
      </c>
      <c r="B864" s="403">
        <f t="shared" si="11"/>
        <v>2</v>
      </c>
      <c r="C864" s="338">
        <v>228</v>
      </c>
      <c r="D864" s="340" t="str">
        <f>VLOOKUP(C864,Plan!A:B,2,0)</f>
        <v>Proveedores CALI</v>
      </c>
      <c r="E864" s="341">
        <f>+F864-G864</f>
        <v>-147386718</v>
      </c>
      <c r="F864" s="412">
        <v>0</v>
      </c>
      <c r="G864" s="412">
        <v>147386718</v>
      </c>
      <c r="H864" s="413" t="s">
        <v>589</v>
      </c>
      <c r="I864" s="355" t="s">
        <v>131</v>
      </c>
      <c r="J864" s="355" t="s">
        <v>588</v>
      </c>
      <c r="K864" s="208" t="str">
        <f>IF(J864&lt;&gt;"",VLOOKUP(J864,'Libro De Compras 2021'!D:E,2,0),"")</f>
        <v>PROYECTOS Y CONSTRUCCIONES TASCO LIMITADA</v>
      </c>
      <c r="L864" s="355">
        <v>2854</v>
      </c>
      <c r="N864" s="370"/>
    </row>
    <row r="865" spans="1:14" s="347" customFormat="1" x14ac:dyDescent="0.25">
      <c r="A865" s="402"/>
      <c r="B865" s="403"/>
      <c r="C865" s="338"/>
      <c r="D865" s="340"/>
      <c r="E865" s="341"/>
      <c r="F865" s="412"/>
      <c r="G865" s="412"/>
      <c r="H865" s="413"/>
      <c r="I865" s="355"/>
      <c r="J865" s="355"/>
      <c r="K865" s="208"/>
      <c r="L865" s="355"/>
      <c r="N865" s="370"/>
    </row>
    <row r="866" spans="1:14" s="347" customFormat="1" x14ac:dyDescent="0.25">
      <c r="A866" s="339">
        <v>44242</v>
      </c>
      <c r="B866" s="403">
        <f>+MONTH(A866)</f>
        <v>2</v>
      </c>
      <c r="C866" s="338">
        <v>228</v>
      </c>
      <c r="D866" s="340" t="str">
        <f>VLOOKUP(C866,Plan!A:B,2,0)</f>
        <v>Proveedores CALI</v>
      </c>
      <c r="E866" s="341">
        <f>+F866-G866</f>
        <v>147386718</v>
      </c>
      <c r="F866" s="289">
        <v>147386718</v>
      </c>
      <c r="G866" s="346">
        <v>0</v>
      </c>
      <c r="H866" s="404" t="s">
        <v>1075</v>
      </c>
      <c r="I866" s="403" t="s">
        <v>131</v>
      </c>
      <c r="J866" t="s">
        <v>588</v>
      </c>
      <c r="K866" t="s">
        <v>589</v>
      </c>
      <c r="L866">
        <v>2829</v>
      </c>
      <c r="N866" s="370"/>
    </row>
    <row r="867" spans="1:14" s="347" customFormat="1" x14ac:dyDescent="0.25">
      <c r="A867" s="152">
        <f>+A866</f>
        <v>44242</v>
      </c>
      <c r="B867" s="403">
        <f>+B866</f>
        <v>2</v>
      </c>
      <c r="C867" s="338">
        <v>116</v>
      </c>
      <c r="D867" s="340" t="str">
        <f>VLOOKUP(C867,Plan!A:B,2,0)</f>
        <v>Disponible CALI Security</v>
      </c>
      <c r="E867" s="341">
        <f>+F867-G867</f>
        <v>-147386718</v>
      </c>
      <c r="F867" s="405">
        <v>0</v>
      </c>
      <c r="G867" s="346">
        <f>+F866</f>
        <v>147386718</v>
      </c>
      <c r="H867" s="404" t="str">
        <f>+H866</f>
        <v>F.2854 EE.PP. N°7 TASCO</v>
      </c>
      <c r="I867" s="403" t="s">
        <v>131</v>
      </c>
      <c r="K867" s="370"/>
      <c r="N867" s="370"/>
    </row>
    <row r="868" spans="1:14" s="347" customFormat="1" x14ac:dyDescent="0.25">
      <c r="A868" s="369"/>
      <c r="D868" s="340"/>
      <c r="E868" s="341"/>
      <c r="F868" s="353"/>
      <c r="G868" s="353"/>
      <c r="H868"/>
      <c r="I868" s="403"/>
      <c r="K868" s="370"/>
      <c r="N868" s="370"/>
    </row>
    <row r="869" spans="1:14" s="347" customFormat="1" x14ac:dyDescent="0.25">
      <c r="A869" s="369">
        <v>44252</v>
      </c>
      <c r="B869" s="403">
        <f>+MONTH(A869)</f>
        <v>2</v>
      </c>
      <c r="C869" s="347">
        <v>138</v>
      </c>
      <c r="D869" s="340" t="str">
        <f>VLOOKUP(C869,Plan!A:B,2,0)</f>
        <v>Proyectos Especialidades</v>
      </c>
      <c r="E869" s="341">
        <f>+F869-G869</f>
        <v>67193</v>
      </c>
      <c r="F869" s="353">
        <v>67193</v>
      </c>
      <c r="G869" s="353">
        <v>0</v>
      </c>
      <c r="H869" t="s">
        <v>1074</v>
      </c>
      <c r="I869" s="355" t="s">
        <v>131</v>
      </c>
      <c r="K869" s="370"/>
      <c r="N869" s="370"/>
    </row>
    <row r="870" spans="1:14" s="347" customFormat="1" x14ac:dyDescent="0.25">
      <c r="A870" s="369">
        <f>+A869</f>
        <v>44252</v>
      </c>
      <c r="B870" s="403">
        <f>+B869</f>
        <v>2</v>
      </c>
      <c r="C870" s="347">
        <v>116</v>
      </c>
      <c r="D870" s="340" t="str">
        <f>VLOOKUP(C870,Plan!A:B,2,0)</f>
        <v>Disponible CALI Security</v>
      </c>
      <c r="E870" s="341">
        <f>+F870-G870</f>
        <v>-67193</v>
      </c>
      <c r="F870" s="353">
        <v>0</v>
      </c>
      <c r="G870" s="353">
        <f>+F869</f>
        <v>67193</v>
      </c>
      <c r="H870" t="s">
        <v>1074</v>
      </c>
      <c r="I870" s="355" t="s">
        <v>131</v>
      </c>
    </row>
    <row r="871" spans="1:14" s="347" customFormat="1" x14ac:dyDescent="0.25">
      <c r="A871" s="369"/>
      <c r="D871" s="340"/>
      <c r="E871" s="341"/>
      <c r="F871" s="353"/>
      <c r="G871" s="353"/>
      <c r="H871"/>
      <c r="I871" s="403"/>
    </row>
    <row r="872" spans="1:14" s="347" customFormat="1" x14ac:dyDescent="0.25">
      <c r="A872" s="402">
        <v>44255</v>
      </c>
      <c r="B872" s="403">
        <v>2</v>
      </c>
      <c r="C872" s="338">
        <v>138</v>
      </c>
      <c r="D872" s="340" t="str">
        <f>VLOOKUP(C872,Plan!A:B,2,0)</f>
        <v>Proyectos Especialidades</v>
      </c>
      <c r="E872" s="341">
        <f>+F872-G872</f>
        <v>4222126</v>
      </c>
      <c r="F872" s="289">
        <v>4222126</v>
      </c>
      <c r="G872" s="346">
        <v>0</v>
      </c>
      <c r="H872" s="404" t="s">
        <v>1286</v>
      </c>
      <c r="I872" s="355" t="s">
        <v>131</v>
      </c>
      <c r="J872" s="355" t="s">
        <v>605</v>
      </c>
      <c r="K872" s="364" t="str">
        <f>IF(J872&lt;&gt;"",VLOOKUP(J872,'Libro De Compras 2021'!D:E,2,0),"")</f>
        <v>COZ Y COMPAÃ‘IA S.A.</v>
      </c>
      <c r="L872">
        <v>5921</v>
      </c>
      <c r="M872" s="343" t="s">
        <v>614</v>
      </c>
      <c r="N872" t="str">
        <f>IF(M872&lt;&gt;"",VLOOKUP(M872,[1]Plan!F$1:G$65536,2,0),"")</f>
        <v>ITO</v>
      </c>
    </row>
    <row r="873" spans="1:14" s="347" customFormat="1" x14ac:dyDescent="0.25">
      <c r="A873" s="402">
        <f>+A872</f>
        <v>44255</v>
      </c>
      <c r="B873" s="403">
        <v>2</v>
      </c>
      <c r="C873" s="338">
        <v>228</v>
      </c>
      <c r="D873" s="340" t="str">
        <f>VLOOKUP(C873,Plan!A:B,2,0)</f>
        <v>Proveedores CALI</v>
      </c>
      <c r="E873" s="341">
        <f>+F873-G873</f>
        <v>-4222126</v>
      </c>
      <c r="F873" s="405">
        <v>0</v>
      </c>
      <c r="G873" s="346">
        <f>+F872</f>
        <v>4222126</v>
      </c>
      <c r="H873" s="404" t="s">
        <v>1286</v>
      </c>
      <c r="I873" s="355" t="s">
        <v>131</v>
      </c>
      <c r="J873" s="355" t="s">
        <v>605</v>
      </c>
      <c r="K873" s="364" t="str">
        <f>IF(J873&lt;&gt;"",VLOOKUP(J873,'Libro De Compras 2021'!D:E,2,0),"")</f>
        <v>COZ Y COMPAÃ‘IA S.A.</v>
      </c>
      <c r="L873">
        <v>5921</v>
      </c>
      <c r="M873" s="338"/>
      <c r="N873" t="str">
        <f>IF(M873&lt;&gt;"",VLOOKUP(M873,Plan!F:G,2,0),"")</f>
        <v/>
      </c>
    </row>
    <row r="874" spans="1:14" s="347" customFormat="1" x14ac:dyDescent="0.25">
      <c r="A874" s="369"/>
      <c r="C874" s="338"/>
      <c r="D874" s="340"/>
      <c r="E874" s="341"/>
      <c r="F874" s="353"/>
      <c r="G874" s="353"/>
      <c r="H874" s="354"/>
      <c r="I874" s="355"/>
      <c r="J874" s="355"/>
      <c r="K874" s="364"/>
      <c r="L874"/>
      <c r="M874" s="338"/>
      <c r="N874"/>
    </row>
    <row r="875" spans="1:14" s="347" customFormat="1" x14ac:dyDescent="0.25">
      <c r="A875" s="402">
        <v>44255</v>
      </c>
      <c r="B875" s="403">
        <v>2</v>
      </c>
      <c r="C875" s="338">
        <v>1130</v>
      </c>
      <c r="D875" s="340" t="str">
        <f>VLOOKUP(C875,Plan!A:B,2,0)</f>
        <v>Disponible Ch. Fecha</v>
      </c>
      <c r="E875" s="341">
        <f>+F875-G875</f>
        <v>50000</v>
      </c>
      <c r="F875" s="289">
        <v>50000</v>
      </c>
      <c r="G875" s="346">
        <v>0</v>
      </c>
      <c r="H875" s="404" t="s">
        <v>1291</v>
      </c>
      <c r="I875" s="355" t="s">
        <v>131</v>
      </c>
      <c r="K875" s="370"/>
      <c r="N875" s="370"/>
    </row>
    <row r="876" spans="1:14" s="347" customFormat="1" x14ac:dyDescent="0.25">
      <c r="A876" s="402">
        <f>+A875</f>
        <v>44255</v>
      </c>
      <c r="B876" s="403">
        <v>2</v>
      </c>
      <c r="C876" s="338">
        <v>1216</v>
      </c>
      <c r="D876" s="340" t="str">
        <f>VLOOKUP(C876,Plan!A:B,2,0)</f>
        <v>Otros Valores Recaudadoras</v>
      </c>
      <c r="E876" s="341">
        <f>+F876-G876</f>
        <v>-50000</v>
      </c>
      <c r="F876" s="405">
        <v>0</v>
      </c>
      <c r="G876" s="346">
        <f>+F875</f>
        <v>50000</v>
      </c>
      <c r="H876" s="404" t="str">
        <f>+H875</f>
        <v>CH a Fecha angelica sepulveda</v>
      </c>
      <c r="I876" s="355" t="s">
        <v>131</v>
      </c>
      <c r="K876" s="370"/>
      <c r="N876" s="370"/>
    </row>
    <row r="877" spans="1:14" s="347" customFormat="1" x14ac:dyDescent="0.25">
      <c r="A877" s="369"/>
      <c r="E877" s="396"/>
      <c r="F877" s="396"/>
      <c r="G877" s="396"/>
      <c r="K877" s="370"/>
      <c r="N877" s="370"/>
    </row>
    <row r="878" spans="1:14" s="347" customFormat="1" x14ac:dyDescent="0.25">
      <c r="A878" s="339">
        <v>44255</v>
      </c>
      <c r="B878" s="340">
        <v>2</v>
      </c>
      <c r="C878" s="352">
        <v>3620</v>
      </c>
      <c r="D878" s="340" t="str">
        <f>VLOOKUP(C878,Plan!A:B,2,0)</f>
        <v>Cali Recaudadores</v>
      </c>
      <c r="E878" s="341">
        <f t="shared" ref="E878:E904" si="12">+F878-G878</f>
        <v>-477000</v>
      </c>
      <c r="F878" s="353">
        <v>0</v>
      </c>
      <c r="G878" s="353">
        <v>477000</v>
      </c>
      <c r="H878" s="354" t="s">
        <v>1272</v>
      </c>
      <c r="I878" s="355" t="s">
        <v>131</v>
      </c>
      <c r="K878" s="370"/>
      <c r="N878" s="370"/>
    </row>
    <row r="879" spans="1:14" s="347" customFormat="1" x14ac:dyDescent="0.25">
      <c r="A879" s="350">
        <f>+A878</f>
        <v>44255</v>
      </c>
      <c r="B879" s="351">
        <f>+B878</f>
        <v>2</v>
      </c>
      <c r="C879" s="352">
        <v>3621</v>
      </c>
      <c r="D879" s="340" t="str">
        <f>VLOOKUP(C879,Plan!A:B,2,0)</f>
        <v>Cali Recaudadores (249)</v>
      </c>
      <c r="E879" s="341">
        <f t="shared" si="12"/>
        <v>0</v>
      </c>
      <c r="F879" s="353">
        <v>0</v>
      </c>
      <c r="G879" s="353">
        <v>0</v>
      </c>
      <c r="H879" s="354" t="str">
        <f t="shared" ref="H879:H886" si="13">+H878</f>
        <v>Centralización Recaudación Febrero</v>
      </c>
      <c r="I879" s="355" t="s">
        <v>131</v>
      </c>
      <c r="K879" s="370"/>
      <c r="N879" s="370"/>
    </row>
    <row r="880" spans="1:14" s="347" customFormat="1" x14ac:dyDescent="0.25">
      <c r="A880" s="350">
        <f t="shared" ref="A880:B884" si="14">+A878</f>
        <v>44255</v>
      </c>
      <c r="B880" s="351">
        <f t="shared" si="14"/>
        <v>2</v>
      </c>
      <c r="C880" s="352">
        <v>3630</v>
      </c>
      <c r="D880" s="340" t="str">
        <f>VLOOKUP(C880,Plan!A:B,2,0)</f>
        <v>Cali Oficina Parroquial</v>
      </c>
      <c r="E880" s="341">
        <f t="shared" si="12"/>
        <v>-536000</v>
      </c>
      <c r="F880" s="353">
        <v>0</v>
      </c>
      <c r="G880" s="353">
        <v>536000</v>
      </c>
      <c r="H880" s="354" t="str">
        <f t="shared" si="13"/>
        <v>Centralización Recaudación Febrero</v>
      </c>
      <c r="I880" s="355" t="s">
        <v>131</v>
      </c>
      <c r="K880" s="370"/>
      <c r="N880" s="370"/>
    </row>
    <row r="881" spans="1:14" s="347" customFormat="1" x14ac:dyDescent="0.25">
      <c r="A881" s="350">
        <f t="shared" si="14"/>
        <v>44255</v>
      </c>
      <c r="B881" s="351">
        <f t="shared" si="14"/>
        <v>2</v>
      </c>
      <c r="C881" s="352">
        <v>3631</v>
      </c>
      <c r="D881" s="340" t="str">
        <f>VLOOKUP(C881,Plan!A:B,2,0)</f>
        <v>Cali Oficina Parroquial (249)</v>
      </c>
      <c r="E881" s="341">
        <f t="shared" si="12"/>
        <v>-1549000</v>
      </c>
      <c r="F881" s="353">
        <v>0</v>
      </c>
      <c r="G881" s="353">
        <v>1549000</v>
      </c>
      <c r="H881" s="354" t="str">
        <f t="shared" si="13"/>
        <v>Centralización Recaudación Febrero</v>
      </c>
      <c r="I881" s="355" t="s">
        <v>131</v>
      </c>
      <c r="K881" s="370"/>
      <c r="N881" s="370"/>
    </row>
    <row r="882" spans="1:14" s="347" customFormat="1" x14ac:dyDescent="0.25">
      <c r="A882" s="350">
        <f t="shared" si="14"/>
        <v>44255</v>
      </c>
      <c r="B882" s="351">
        <f t="shared" si="14"/>
        <v>2</v>
      </c>
      <c r="C882" s="352">
        <v>3640</v>
      </c>
      <c r="D882" s="340" t="str">
        <f>VLOOKUP(C882,Plan!A:B,2,0)</f>
        <v>Cali Tarjetas de Creditos</v>
      </c>
      <c r="E882" s="341">
        <f t="shared" si="12"/>
        <v>-4376600</v>
      </c>
      <c r="F882" s="353">
        <v>0</v>
      </c>
      <c r="G882" s="353">
        <v>4376600</v>
      </c>
      <c r="H882" s="354" t="str">
        <f t="shared" si="13"/>
        <v>Centralización Recaudación Febrero</v>
      </c>
      <c r="I882" s="355" t="s">
        <v>131</v>
      </c>
      <c r="K882" s="370"/>
      <c r="N882" s="370"/>
    </row>
    <row r="883" spans="1:14" s="347" customFormat="1" x14ac:dyDescent="0.25">
      <c r="A883" s="350">
        <f t="shared" si="14"/>
        <v>44255</v>
      </c>
      <c r="B883" s="351">
        <f t="shared" si="14"/>
        <v>2</v>
      </c>
      <c r="C883" s="352">
        <v>3641</v>
      </c>
      <c r="D883" s="340" t="str">
        <f>VLOOKUP(C883,Plan!A:B,2,0)</f>
        <v>Cali Tarjetas de Creditos (249)</v>
      </c>
      <c r="E883" s="341">
        <f t="shared" si="12"/>
        <v>-5001258</v>
      </c>
      <c r="F883" s="353">
        <v>0</v>
      </c>
      <c r="G883" s="353">
        <v>5001258</v>
      </c>
      <c r="H883" s="354" t="str">
        <f t="shared" si="13"/>
        <v>Centralización Recaudación Febrero</v>
      </c>
      <c r="I883" s="355" t="s">
        <v>131</v>
      </c>
      <c r="K883" s="370"/>
      <c r="N883" s="370"/>
    </row>
    <row r="884" spans="1:14" s="347" customFormat="1" x14ac:dyDescent="0.25">
      <c r="A884" s="350">
        <f t="shared" si="14"/>
        <v>44255</v>
      </c>
      <c r="B884" s="351">
        <f t="shared" si="14"/>
        <v>2</v>
      </c>
      <c r="C884" s="352">
        <v>1216</v>
      </c>
      <c r="D884" s="340" t="str">
        <f>VLOOKUP(C884,Plan!A:B,2,0)</f>
        <v>Otros Valores Recaudadoras</v>
      </c>
      <c r="E884" s="341">
        <f t="shared" si="12"/>
        <v>477000</v>
      </c>
      <c r="F884" s="353">
        <f>+G878+G879</f>
        <v>477000</v>
      </c>
      <c r="G884" s="353">
        <v>0</v>
      </c>
      <c r="H884" s="354" t="str">
        <f t="shared" si="13"/>
        <v>Centralización Recaudación Febrero</v>
      </c>
      <c r="I884" s="355" t="s">
        <v>131</v>
      </c>
      <c r="K884" s="370"/>
      <c r="N884" s="370"/>
    </row>
    <row r="885" spans="1:14" s="347" customFormat="1" ht="15.65" customHeight="1" x14ac:dyDescent="0.25">
      <c r="A885" s="350">
        <f>+A884</f>
        <v>44255</v>
      </c>
      <c r="B885" s="351">
        <f>+B884</f>
        <v>2</v>
      </c>
      <c r="C885" s="352">
        <v>1217</v>
      </c>
      <c r="D885" s="340" t="str">
        <f>VLOOKUP(C885,Plan!A:B,2,0)</f>
        <v>Otros Valores -Oficina y Transferencias (248)</v>
      </c>
      <c r="E885" s="341">
        <f t="shared" si="12"/>
        <v>536000</v>
      </c>
      <c r="F885" s="353">
        <f>+G880</f>
        <v>536000</v>
      </c>
      <c r="G885" s="353">
        <v>0</v>
      </c>
      <c r="H885" s="354" t="str">
        <f t="shared" si="13"/>
        <v>Centralización Recaudación Febrero</v>
      </c>
      <c r="I885" s="355" t="s">
        <v>131</v>
      </c>
      <c r="K885" s="370"/>
      <c r="N885" s="370"/>
    </row>
    <row r="886" spans="1:14" s="347" customFormat="1" x14ac:dyDescent="0.25">
      <c r="A886" s="350">
        <f>+A885</f>
        <v>44255</v>
      </c>
      <c r="B886" s="351">
        <f>+B885</f>
        <v>2</v>
      </c>
      <c r="C886" s="352">
        <v>1222</v>
      </c>
      <c r="D886" s="340" t="str">
        <f>VLOOKUP(C886,Plan!A:B,2,0)</f>
        <v>Otros Valores -Oficina y Transferencias (249)</v>
      </c>
      <c r="E886" s="341">
        <f t="shared" si="12"/>
        <v>1549000</v>
      </c>
      <c r="F886" s="353">
        <f>+G881</f>
        <v>1549000</v>
      </c>
      <c r="G886" s="353">
        <v>0</v>
      </c>
      <c r="H886" s="354" t="str">
        <f t="shared" si="13"/>
        <v>Centralización Recaudación Febrero</v>
      </c>
      <c r="I886" s="355" t="s">
        <v>131</v>
      </c>
      <c r="K886" s="370"/>
      <c r="N886" s="370"/>
    </row>
    <row r="887" spans="1:14" s="347" customFormat="1" x14ac:dyDescent="0.25">
      <c r="A887" s="350">
        <f>+A885</f>
        <v>44255</v>
      </c>
      <c r="B887" s="351">
        <f>+B885</f>
        <v>2</v>
      </c>
      <c r="C887" s="352">
        <v>1218</v>
      </c>
      <c r="D887" s="340" t="str">
        <f>VLOOKUP(C887,Plan!A:B,2,0)</f>
        <v>Otros Valores Tarjeta de Credito</v>
      </c>
      <c r="E887" s="341">
        <f t="shared" si="12"/>
        <v>9377858</v>
      </c>
      <c r="F887" s="353">
        <f>+G882+G883</f>
        <v>9377858</v>
      </c>
      <c r="G887" s="353">
        <v>0</v>
      </c>
      <c r="H887" s="354" t="str">
        <f>+H885</f>
        <v>Centralización Recaudación Febrero</v>
      </c>
      <c r="I887" s="355" t="s">
        <v>131</v>
      </c>
      <c r="K887" s="370"/>
      <c r="N887" s="370"/>
    </row>
    <row r="888" spans="1:14" s="347" customFormat="1" x14ac:dyDescent="0.25">
      <c r="A888" s="350">
        <f t="shared" ref="A888:B895" si="15">+A887</f>
        <v>44255</v>
      </c>
      <c r="B888" s="351">
        <f t="shared" si="15"/>
        <v>2</v>
      </c>
      <c r="C888" s="352">
        <v>202</v>
      </c>
      <c r="D888" s="340" t="str">
        <f>VLOOKUP(C888,Plan!A:B,2,0)</f>
        <v>Arzobispado por pagar</v>
      </c>
      <c r="E888" s="341">
        <f t="shared" si="12"/>
        <v>-2817252</v>
      </c>
      <c r="F888" s="353">
        <v>0</v>
      </c>
      <c r="G888" s="353">
        <f>+ROUND((((G878+G880+G882)*0.99)*0.88)*0.6,0)</f>
        <v>2817252</v>
      </c>
      <c r="H888" s="354" t="str">
        <f t="shared" ref="H888:H904" si="16">+H887</f>
        <v>Centralización Recaudación Febrero</v>
      </c>
      <c r="I888" s="355" t="s">
        <v>131</v>
      </c>
      <c r="K888" s="370"/>
      <c r="N888" s="370"/>
    </row>
    <row r="889" spans="1:14" s="347" customFormat="1" x14ac:dyDescent="0.25">
      <c r="A889" s="350">
        <f t="shared" si="15"/>
        <v>44255</v>
      </c>
      <c r="B889" s="351">
        <f t="shared" si="15"/>
        <v>2</v>
      </c>
      <c r="C889" s="352">
        <v>4120</v>
      </c>
      <c r="D889" s="340" t="str">
        <f>VLOOKUP(C889,Plan!A:B,2,0)</f>
        <v>Aporte Arzobispado</v>
      </c>
      <c r="E889" s="341">
        <f t="shared" si="12"/>
        <v>2817252</v>
      </c>
      <c r="F889" s="353">
        <f>+G888</f>
        <v>2817252</v>
      </c>
      <c r="G889" s="353">
        <v>0</v>
      </c>
      <c r="H889" s="354" t="str">
        <f t="shared" si="16"/>
        <v>Centralización Recaudación Febrero</v>
      </c>
      <c r="I889" s="355" t="s">
        <v>131</v>
      </c>
      <c r="K889" s="370"/>
      <c r="N889" s="370"/>
    </row>
    <row r="890" spans="1:14" s="347" customFormat="1" x14ac:dyDescent="0.25">
      <c r="A890" s="350">
        <f t="shared" si="15"/>
        <v>44255</v>
      </c>
      <c r="B890" s="351">
        <f t="shared" si="15"/>
        <v>2</v>
      </c>
      <c r="C890" s="352">
        <v>203</v>
      </c>
      <c r="D890" s="340" t="str">
        <f>VLOOKUP(C890,Plan!A:B,2,0)</f>
        <v>Recaudadoras por pagar</v>
      </c>
      <c r="E890" s="341">
        <f t="shared" si="12"/>
        <v>-57240</v>
      </c>
      <c r="F890" s="353">
        <v>0</v>
      </c>
      <c r="G890" s="356">
        <f>+F884*0.12</f>
        <v>57240</v>
      </c>
      <c r="H890" s="354" t="str">
        <f t="shared" si="16"/>
        <v>Centralización Recaudación Febrero</v>
      </c>
      <c r="I890" s="355" t="s">
        <v>131</v>
      </c>
      <c r="K890" s="370"/>
      <c r="N890" s="370"/>
    </row>
    <row r="891" spans="1:14" s="347" customFormat="1" x14ac:dyDescent="0.25">
      <c r="A891" s="350">
        <f t="shared" si="15"/>
        <v>44255</v>
      </c>
      <c r="B891" s="351">
        <f t="shared" si="15"/>
        <v>2</v>
      </c>
      <c r="C891" s="352">
        <v>201</v>
      </c>
      <c r="D891" s="340" t="str">
        <f>VLOOKUP(C891,Plan!A:B,2,0)</f>
        <v>1% por pagar</v>
      </c>
      <c r="E891" s="341">
        <f t="shared" si="12"/>
        <v>-119399</v>
      </c>
      <c r="F891" s="353">
        <v>0</v>
      </c>
      <c r="G891" s="356">
        <f>ROUND(SUM(G878:G883)*0.01,0)</f>
        <v>119399</v>
      </c>
      <c r="H891" s="354" t="str">
        <f t="shared" si="16"/>
        <v>Centralización Recaudación Febrero</v>
      </c>
      <c r="I891" s="355" t="s">
        <v>131</v>
      </c>
      <c r="K891" s="370"/>
      <c r="N891" s="370"/>
    </row>
    <row r="892" spans="1:14" s="347" customFormat="1" x14ac:dyDescent="0.25">
      <c r="A892" s="350">
        <f t="shared" si="15"/>
        <v>44255</v>
      </c>
      <c r="B892" s="351">
        <f t="shared" si="15"/>
        <v>2</v>
      </c>
      <c r="C892" s="352">
        <v>4140</v>
      </c>
      <c r="D892" s="340" t="str">
        <f>VLOOKUP(C892,Plan!A:B,2,0)</f>
        <v>Comisiones Cali Recaudadores</v>
      </c>
      <c r="E892" s="341">
        <f t="shared" si="12"/>
        <v>57240</v>
      </c>
      <c r="F892" s="353">
        <f>+G890</f>
        <v>57240</v>
      </c>
      <c r="G892" s="353">
        <v>0</v>
      </c>
      <c r="H892" s="354" t="str">
        <f t="shared" si="16"/>
        <v>Centralización Recaudación Febrero</v>
      </c>
      <c r="I892" s="355" t="s">
        <v>131</v>
      </c>
      <c r="K892" s="370"/>
      <c r="N892" s="370"/>
    </row>
    <row r="893" spans="1:14" s="347" customFormat="1" x14ac:dyDescent="0.25">
      <c r="A893" s="350">
        <f t="shared" si="15"/>
        <v>44255</v>
      </c>
      <c r="B893" s="351">
        <f t="shared" si="15"/>
        <v>2</v>
      </c>
      <c r="C893" s="352">
        <v>4110</v>
      </c>
      <c r="D893" s="340" t="str">
        <f>VLOOKUP(C893,Plan!A:B,2,0)</f>
        <v>Aporte Papal</v>
      </c>
      <c r="E893" s="341">
        <f t="shared" si="12"/>
        <v>119399</v>
      </c>
      <c r="F893" s="353">
        <f>+G891</f>
        <v>119399</v>
      </c>
      <c r="G893" s="353">
        <v>0</v>
      </c>
      <c r="H893" s="354" t="str">
        <f t="shared" si="16"/>
        <v>Centralización Recaudación Febrero</v>
      </c>
      <c r="I893" s="355" t="s">
        <v>131</v>
      </c>
      <c r="K893" s="370"/>
      <c r="N893" s="370"/>
    </row>
    <row r="894" spans="1:14" s="347" customFormat="1" x14ac:dyDescent="0.25">
      <c r="A894" s="350">
        <f t="shared" si="15"/>
        <v>44255</v>
      </c>
      <c r="B894" s="351">
        <f t="shared" si="15"/>
        <v>2</v>
      </c>
      <c r="C894" s="352">
        <v>3610</v>
      </c>
      <c r="D894" s="340" t="str">
        <f>VLOOKUP(C894,Plan!A:B,2,0)</f>
        <v>Cali  Arzobispado</v>
      </c>
      <c r="E894" s="341">
        <f t="shared" si="12"/>
        <v>-6067075</v>
      </c>
      <c r="F894" s="353">
        <v>0</v>
      </c>
      <c r="G894" s="353">
        <v>6067075</v>
      </c>
      <c r="H894" s="354" t="str">
        <f t="shared" si="16"/>
        <v>Centralización Recaudación Febrero</v>
      </c>
      <c r="I894" s="355" t="s">
        <v>131</v>
      </c>
      <c r="K894" s="370"/>
      <c r="N894" s="370"/>
    </row>
    <row r="895" spans="1:14" s="347" customFormat="1" x14ac:dyDescent="0.25">
      <c r="A895" s="350">
        <f t="shared" si="15"/>
        <v>44255</v>
      </c>
      <c r="B895" s="351">
        <f t="shared" si="15"/>
        <v>2</v>
      </c>
      <c r="C895" s="352">
        <v>3611</v>
      </c>
      <c r="D895" s="340" t="str">
        <f>VLOOKUP(C895,Plan!A:B,2,0)</f>
        <v>Cali  Arzobispado (249)</v>
      </c>
      <c r="E895" s="341">
        <f t="shared" si="12"/>
        <v>-2014500</v>
      </c>
      <c r="F895" s="353">
        <v>0</v>
      </c>
      <c r="G895" s="353">
        <v>2014500</v>
      </c>
      <c r="H895" s="354" t="str">
        <f t="shared" si="16"/>
        <v>Centralización Recaudación Febrero</v>
      </c>
      <c r="I895" s="355" t="s">
        <v>131</v>
      </c>
      <c r="K895" s="370"/>
      <c r="N895" s="370"/>
    </row>
    <row r="896" spans="1:14" s="347" customFormat="1" x14ac:dyDescent="0.25">
      <c r="A896" s="350">
        <f t="shared" ref="A896:B898" si="17">+A894</f>
        <v>44255</v>
      </c>
      <c r="B896" s="351">
        <f t="shared" si="17"/>
        <v>2</v>
      </c>
      <c r="C896" s="352">
        <v>4160</v>
      </c>
      <c r="D896" s="340" t="str">
        <f>VLOOKUP(C896,Plan!A:B,2,0)</f>
        <v>Comisiones Cali Arzobispado</v>
      </c>
      <c r="E896" s="341">
        <f t="shared" si="12"/>
        <v>415382</v>
      </c>
      <c r="F896" s="353">
        <v>415382</v>
      </c>
      <c r="G896" s="353">
        <v>0</v>
      </c>
      <c r="H896" s="354" t="str">
        <f t="shared" si="16"/>
        <v>Centralización Recaudación Febrero</v>
      </c>
      <c r="I896" s="355" t="s">
        <v>131</v>
      </c>
      <c r="K896" s="370"/>
      <c r="N896" s="370"/>
    </row>
    <row r="897" spans="1:14" s="347" customFormat="1" x14ac:dyDescent="0.25">
      <c r="A897" s="350">
        <f t="shared" si="17"/>
        <v>44255</v>
      </c>
      <c r="B897" s="351">
        <f t="shared" si="17"/>
        <v>2</v>
      </c>
      <c r="C897" s="352">
        <v>4160</v>
      </c>
      <c r="D897" s="340" t="str">
        <f>VLOOKUP(C897,Plan!A:B,2,0)</f>
        <v>Comisiones Cali Arzobispado</v>
      </c>
      <c r="E897" s="341">
        <f t="shared" si="12"/>
        <v>50363</v>
      </c>
      <c r="F897" s="353">
        <v>50363</v>
      </c>
      <c r="G897" s="353">
        <v>0</v>
      </c>
      <c r="H897" s="354" t="str">
        <f t="shared" si="16"/>
        <v>Centralización Recaudación Febrero</v>
      </c>
      <c r="I897" s="355" t="s">
        <v>131</v>
      </c>
      <c r="K897" s="370"/>
      <c r="N897" s="370"/>
    </row>
    <row r="898" spans="1:14" s="347" customFormat="1" x14ac:dyDescent="0.25">
      <c r="A898" s="350">
        <f t="shared" si="17"/>
        <v>44255</v>
      </c>
      <c r="B898" s="351">
        <f t="shared" si="17"/>
        <v>2</v>
      </c>
      <c r="C898" s="352">
        <v>4120</v>
      </c>
      <c r="D898" s="340" t="str">
        <f>VLOOKUP(C898,Plan!A:B,2,0)</f>
        <v>Aporte Arzobispado</v>
      </c>
      <c r="E898" s="341">
        <f t="shared" si="12"/>
        <v>3354613</v>
      </c>
      <c r="F898" s="353">
        <f>ROUND((+G894-F896-F899)*0.6,0)</f>
        <v>3354613</v>
      </c>
      <c r="G898" s="353">
        <v>0</v>
      </c>
      <c r="H898" s="354" t="str">
        <f t="shared" si="16"/>
        <v>Centralización Recaudación Febrero</v>
      </c>
      <c r="I898" s="355" t="s">
        <v>131</v>
      </c>
      <c r="K898" s="370"/>
      <c r="N898" s="370"/>
    </row>
    <row r="899" spans="1:14" s="347" customFormat="1" x14ac:dyDescent="0.25">
      <c r="A899" s="350">
        <f>+A898</f>
        <v>44255</v>
      </c>
      <c r="B899" s="351">
        <f>+B898</f>
        <v>2</v>
      </c>
      <c r="C899" s="352">
        <v>4110</v>
      </c>
      <c r="D899" s="340" t="str">
        <f>VLOOKUP(C899,Plan!A:B,2,0)</f>
        <v>Aporte Papal</v>
      </c>
      <c r="E899" s="341">
        <f t="shared" si="12"/>
        <v>60671</v>
      </c>
      <c r="F899" s="353">
        <f>ROUND((+G894)*0.01,0)</f>
        <v>60671</v>
      </c>
      <c r="G899" s="353">
        <v>0</v>
      </c>
      <c r="H899" s="354" t="str">
        <f t="shared" si="16"/>
        <v>Centralización Recaudación Febrero</v>
      </c>
      <c r="I899" s="355" t="s">
        <v>131</v>
      </c>
      <c r="K899" s="370"/>
      <c r="N899" s="370"/>
    </row>
    <row r="900" spans="1:14" s="347" customFormat="1" x14ac:dyDescent="0.25">
      <c r="A900" s="350">
        <f>+A899</f>
        <v>44255</v>
      </c>
      <c r="B900" s="351">
        <f>+B899</f>
        <v>2</v>
      </c>
      <c r="C900" s="352">
        <v>4110</v>
      </c>
      <c r="D900" s="340" t="str">
        <f>VLOOKUP(C900,Plan!A:B,2,0)</f>
        <v>Aporte Papal</v>
      </c>
      <c r="E900" s="341">
        <f t="shared" si="12"/>
        <v>20145</v>
      </c>
      <c r="F900" s="353">
        <f>(+G895)*0.01</f>
        <v>20145</v>
      </c>
      <c r="G900" s="353">
        <v>0</v>
      </c>
      <c r="H900" s="354" t="str">
        <f t="shared" si="16"/>
        <v>Centralización Recaudación Febrero</v>
      </c>
      <c r="I900" s="355" t="s">
        <v>131</v>
      </c>
      <c r="K900" s="370"/>
      <c r="N900" s="370"/>
    </row>
    <row r="901" spans="1:14" s="347" customFormat="1" x14ac:dyDescent="0.25">
      <c r="A901" s="350">
        <f>+A899</f>
        <v>44255</v>
      </c>
      <c r="B901" s="351">
        <f>+B899</f>
        <v>2</v>
      </c>
      <c r="C901" s="352">
        <v>1219</v>
      </c>
      <c r="D901" s="340" t="str">
        <f>VLOOKUP(C901,Plan!A:B,2,0)</f>
        <v>Otros Valores Arzobispado (248)</v>
      </c>
      <c r="E901" s="341">
        <f t="shared" si="12"/>
        <v>2236409</v>
      </c>
      <c r="F901" s="353">
        <f>+G894-F896-F898-F899</f>
        <v>2236409</v>
      </c>
      <c r="G901" s="353">
        <v>0</v>
      </c>
      <c r="H901" s="354" t="str">
        <f t="shared" si="16"/>
        <v>Centralización Recaudación Febrero</v>
      </c>
      <c r="I901" s="355" t="s">
        <v>131</v>
      </c>
      <c r="K901" s="370"/>
      <c r="N901" s="370"/>
    </row>
    <row r="902" spans="1:14" s="347" customFormat="1" x14ac:dyDescent="0.25">
      <c r="A902" s="350">
        <f>+A901</f>
        <v>44255</v>
      </c>
      <c r="B902" s="351">
        <f>+B901</f>
        <v>2</v>
      </c>
      <c r="C902" s="352">
        <v>1220</v>
      </c>
      <c r="D902" s="340" t="str">
        <f>VLOOKUP(C902,Plan!A:B,2,0)</f>
        <v>Otros Valores Arzobispado (249)</v>
      </c>
      <c r="E902" s="341">
        <f t="shared" si="12"/>
        <v>1943992</v>
      </c>
      <c r="F902" s="353">
        <f>+G895-F897-F900</f>
        <v>1943992</v>
      </c>
      <c r="G902" s="353">
        <v>0</v>
      </c>
      <c r="H902" s="354" t="str">
        <f t="shared" si="16"/>
        <v>Centralización Recaudación Febrero</v>
      </c>
      <c r="I902" s="355" t="s">
        <v>131</v>
      </c>
      <c r="K902" s="370"/>
      <c r="N902" s="370"/>
    </row>
    <row r="903" spans="1:14" s="347" customFormat="1" x14ac:dyDescent="0.25">
      <c r="A903" s="350">
        <f>+A901</f>
        <v>44255</v>
      </c>
      <c r="B903" s="351">
        <f>+B901</f>
        <v>2</v>
      </c>
      <c r="C903" s="352">
        <v>1218</v>
      </c>
      <c r="D903" s="340" t="str">
        <f>VLOOKUP(C903,Plan!A:B,2,0)</f>
        <v>Otros Valores Tarjeta de Credito</v>
      </c>
      <c r="E903" s="341">
        <f t="shared" si="12"/>
        <v>-91997</v>
      </c>
      <c r="F903" s="353">
        <f>+G896+G898</f>
        <v>0</v>
      </c>
      <c r="G903" s="353">
        <f>+F904</f>
        <v>91997</v>
      </c>
      <c r="H903" s="354" t="str">
        <f t="shared" si="16"/>
        <v>Centralización Recaudación Febrero</v>
      </c>
      <c r="I903" s="355" t="s">
        <v>131</v>
      </c>
      <c r="K903" s="370"/>
      <c r="N903" s="370"/>
    </row>
    <row r="904" spans="1:14" s="347" customFormat="1" x14ac:dyDescent="0.25">
      <c r="A904" s="350">
        <f>+A901</f>
        <v>44255</v>
      </c>
      <c r="B904" s="351">
        <f>+B901</f>
        <v>2</v>
      </c>
      <c r="C904" s="352">
        <v>4150</v>
      </c>
      <c r="D904" s="340" t="str">
        <f>VLOOKUP(C904,Plan!A:B,2,0)</f>
        <v>Comisiones Cali Tarjetas de Creditos</v>
      </c>
      <c r="E904" s="341">
        <f t="shared" si="12"/>
        <v>91997</v>
      </c>
      <c r="F904" s="353">
        <f>ROUND(+(G883+G882)*(1-0.9881),0)*0+91997</f>
        <v>91997</v>
      </c>
      <c r="G904" s="353">
        <v>0</v>
      </c>
      <c r="H904" s="354" t="str">
        <f t="shared" si="16"/>
        <v>Centralización Recaudación Febrero</v>
      </c>
      <c r="I904" s="355" t="s">
        <v>131</v>
      </c>
      <c r="K904" s="370"/>
      <c r="N904" s="370"/>
    </row>
    <row r="905" spans="1:14" s="347" customFormat="1" x14ac:dyDescent="0.25">
      <c r="A905" s="350"/>
      <c r="B905" s="351"/>
      <c r="C905" s="352"/>
      <c r="D905" s="340"/>
      <c r="E905" s="341"/>
      <c r="F905" s="353"/>
      <c r="G905" s="353"/>
      <c r="H905" s="354"/>
      <c r="I905" s="355"/>
      <c r="K905" s="370"/>
      <c r="N905" s="370"/>
    </row>
    <row r="906" spans="1:14" s="347" customFormat="1" x14ac:dyDescent="0.25">
      <c r="A906" s="402">
        <f>+A884</f>
        <v>44255</v>
      </c>
      <c r="B906" s="403">
        <f>+B884</f>
        <v>2</v>
      </c>
      <c r="C906" s="338">
        <v>125</v>
      </c>
      <c r="D906" s="340" t="str">
        <f>VLOOKUP(C906,Plan!A:B,2,0)</f>
        <v>Depósito a plazo Cali</v>
      </c>
      <c r="E906" s="341">
        <f>+F906-G906</f>
        <v>0</v>
      </c>
      <c r="F906" s="346">
        <v>0</v>
      </c>
      <c r="G906" s="346">
        <v>0</v>
      </c>
      <c r="H906" s="343" t="s">
        <v>858</v>
      </c>
      <c r="I906" s="340" t="s">
        <v>131</v>
      </c>
      <c r="K906" s="370"/>
      <c r="N906" s="370"/>
    </row>
    <row r="907" spans="1:14" s="347" customFormat="1" x14ac:dyDescent="0.25">
      <c r="A907" s="402">
        <f>+A906</f>
        <v>44255</v>
      </c>
      <c r="B907" s="403">
        <f>+B906</f>
        <v>2</v>
      </c>
      <c r="C907" s="338">
        <v>6002</v>
      </c>
      <c r="D907" s="340" t="str">
        <f>VLOOKUP(C907,Plan!A:B,2,0)</f>
        <v>Intereses Financieros Cali</v>
      </c>
      <c r="E907" s="341">
        <f>+F907-G907</f>
        <v>0</v>
      </c>
      <c r="F907" s="346">
        <v>0</v>
      </c>
      <c r="G907" s="346">
        <f>+F906</f>
        <v>0</v>
      </c>
      <c r="H907" s="338" t="s">
        <v>858</v>
      </c>
      <c r="I907" s="340" t="s">
        <v>131</v>
      </c>
      <c r="K907" s="370"/>
      <c r="N907" s="370"/>
    </row>
    <row r="908" spans="1:14" s="347" customFormat="1" x14ac:dyDescent="0.25">
      <c r="A908" s="339"/>
      <c r="B908" s="340"/>
      <c r="C908" s="338"/>
      <c r="D908" s="340"/>
      <c r="E908" s="396"/>
      <c r="F908" s="396"/>
      <c r="G908" s="396"/>
      <c r="H908" s="338"/>
      <c r="I908" s="340"/>
      <c r="K908" s="370"/>
      <c r="N908" s="370"/>
    </row>
    <row r="909" spans="1:14" s="347" customFormat="1" x14ac:dyDescent="0.25">
      <c r="A909" s="402">
        <f>+A906</f>
        <v>44255</v>
      </c>
      <c r="B909" s="403">
        <f>+B906</f>
        <v>2</v>
      </c>
      <c r="C909" s="338">
        <v>118</v>
      </c>
      <c r="D909" s="340" t="str">
        <f>VLOOKUP(C909,Plan!A:B,2,0)</f>
        <v>Depósito a plazo Cali Banco Security</v>
      </c>
      <c r="E909" s="341">
        <f>+F909-G909</f>
        <v>779488</v>
      </c>
      <c r="F909" s="346">
        <v>779488</v>
      </c>
      <c r="G909" s="346">
        <v>0</v>
      </c>
      <c r="H909" s="343" t="s">
        <v>859</v>
      </c>
      <c r="I909" s="340" t="s">
        <v>131</v>
      </c>
      <c r="K909" s="370"/>
      <c r="N909" s="370"/>
    </row>
    <row r="910" spans="1:14" s="347" customFormat="1" x14ac:dyDescent="0.25">
      <c r="A910" s="402">
        <f>+A909</f>
        <v>44255</v>
      </c>
      <c r="B910" s="403">
        <f>+B909</f>
        <v>2</v>
      </c>
      <c r="C910" s="338">
        <v>6002</v>
      </c>
      <c r="D910" s="340" t="str">
        <f>VLOOKUP(C910,Plan!A:B,2,0)</f>
        <v>Intereses Financieros Cali</v>
      </c>
      <c r="E910" s="341">
        <f>+F910-G910</f>
        <v>-779488</v>
      </c>
      <c r="F910" s="346">
        <v>0</v>
      </c>
      <c r="G910" s="346">
        <f>+F909</f>
        <v>779488</v>
      </c>
      <c r="H910" s="338" t="s">
        <v>859</v>
      </c>
      <c r="I910" s="340" t="s">
        <v>131</v>
      </c>
      <c r="K910" s="370"/>
      <c r="N910" s="370"/>
    </row>
    <row r="911" spans="1:14" s="347" customFormat="1" x14ac:dyDescent="0.25">
      <c r="A911" s="339"/>
      <c r="B911" s="340"/>
      <c r="C911" s="338"/>
      <c r="D911" s="340"/>
      <c r="E911" s="396"/>
      <c r="F911" s="396"/>
      <c r="G911" s="396"/>
      <c r="H911" s="338"/>
      <c r="I911" s="340"/>
      <c r="K911" s="370"/>
      <c r="N911" s="370"/>
    </row>
    <row r="912" spans="1:14" s="347" customFormat="1" x14ac:dyDescent="0.25">
      <c r="A912" s="402">
        <f>+A909</f>
        <v>44255</v>
      </c>
      <c r="B912" s="403">
        <f>+B909</f>
        <v>2</v>
      </c>
      <c r="C912" s="338">
        <v>119</v>
      </c>
      <c r="D912" s="340" t="str">
        <f>VLOOKUP(C912,Plan!A:B,2,0)</f>
        <v>FM Cali Banco Security</v>
      </c>
      <c r="E912" s="341">
        <f>+F912-G912</f>
        <v>5213</v>
      </c>
      <c r="F912" s="346">
        <v>5213</v>
      </c>
      <c r="G912" s="346">
        <v>0</v>
      </c>
      <c r="H912" s="343" t="s">
        <v>554</v>
      </c>
      <c r="I912" s="340" t="s">
        <v>131</v>
      </c>
      <c r="K912" s="370"/>
      <c r="N912" s="370"/>
    </row>
    <row r="913" spans="1:14" s="347" customFormat="1" x14ac:dyDescent="0.25">
      <c r="A913" s="402">
        <f>+A912</f>
        <v>44255</v>
      </c>
      <c r="B913" s="403">
        <f>+B912</f>
        <v>2</v>
      </c>
      <c r="C913" s="338">
        <v>6002</v>
      </c>
      <c r="D913" s="340" t="str">
        <f>VLOOKUP(C913,Plan!A:B,2,0)</f>
        <v>Intereses Financieros Cali</v>
      </c>
      <c r="E913" s="341">
        <f>+F913-G913</f>
        <v>-5213</v>
      </c>
      <c r="F913" s="346">
        <v>0</v>
      </c>
      <c r="G913" s="346">
        <f>+F912</f>
        <v>5213</v>
      </c>
      <c r="H913" s="338" t="s">
        <v>554</v>
      </c>
      <c r="I913" s="340" t="s">
        <v>131</v>
      </c>
      <c r="K913" s="370"/>
      <c r="N913" s="370"/>
    </row>
    <row r="914" spans="1:14" s="347" customFormat="1" x14ac:dyDescent="0.25">
      <c r="A914" s="369"/>
      <c r="D914" s="340"/>
      <c r="E914" s="341"/>
      <c r="F914" s="353"/>
      <c r="G914" s="353"/>
      <c r="H914"/>
      <c r="I914" s="403"/>
      <c r="K914" s="370"/>
      <c r="N914" s="370"/>
    </row>
    <row r="915" spans="1:14" s="347" customFormat="1" x14ac:dyDescent="0.25">
      <c r="A915" s="369"/>
      <c r="E915" s="396"/>
      <c r="F915" s="396"/>
      <c r="G915" s="396"/>
      <c r="K915" s="370"/>
      <c r="N915" s="370"/>
    </row>
    <row r="916" spans="1:14" s="347" customFormat="1" x14ac:dyDescent="0.25">
      <c r="A916" s="369">
        <v>44256</v>
      </c>
      <c r="B916" s="347">
        <f>+MONTH(A916)</f>
        <v>3</v>
      </c>
      <c r="C916" s="347">
        <v>115</v>
      </c>
      <c r="D916" s="340" t="str">
        <f>VLOOKUP(C916,Plan!A:B,2,0)</f>
        <v>Disponible Cali B.Chile</v>
      </c>
      <c r="E916" s="341">
        <f>+F916-G916</f>
        <v>2236409</v>
      </c>
      <c r="F916" s="353">
        <v>2236409</v>
      </c>
      <c r="G916" s="353">
        <v>0</v>
      </c>
      <c r="H916" t="s">
        <v>1043</v>
      </c>
      <c r="I916" s="403" t="s">
        <v>131</v>
      </c>
      <c r="K916" s="370"/>
      <c r="N916" s="370"/>
    </row>
    <row r="917" spans="1:14" s="347" customFormat="1" x14ac:dyDescent="0.25">
      <c r="A917" s="369">
        <f>+A916</f>
        <v>44256</v>
      </c>
      <c r="B917" s="347">
        <f>+MONTH(A917)</f>
        <v>3</v>
      </c>
      <c r="C917" s="347">
        <v>1219</v>
      </c>
      <c r="D917" s="340" t="str">
        <f>VLOOKUP(C917,Plan!A:B,2,0)</f>
        <v>Otros Valores Arzobispado (248)</v>
      </c>
      <c r="E917" s="341">
        <f>+F917-G917</f>
        <v>-2236409</v>
      </c>
      <c r="F917" s="353">
        <v>0</v>
      </c>
      <c r="G917" s="353">
        <f>+F916</f>
        <v>2236409</v>
      </c>
      <c r="H917" t="s">
        <v>1043</v>
      </c>
      <c r="I917" s="403" t="s">
        <v>131</v>
      </c>
      <c r="K917" s="370"/>
      <c r="N917" s="370"/>
    </row>
    <row r="918" spans="1:14" s="347" customFormat="1" x14ac:dyDescent="0.25">
      <c r="A918" s="369"/>
      <c r="E918" s="396"/>
      <c r="F918" s="396"/>
      <c r="G918" s="396"/>
      <c r="K918" s="370"/>
      <c r="N918" s="370"/>
    </row>
    <row r="919" spans="1:14" s="347" customFormat="1" x14ac:dyDescent="0.25">
      <c r="A919" s="369">
        <v>44256</v>
      </c>
      <c r="B919" s="347">
        <f>+MONTH(A919)</f>
        <v>3</v>
      </c>
      <c r="C919" s="347">
        <v>115</v>
      </c>
      <c r="D919" s="340" t="str">
        <f>VLOOKUP(C919,Plan!A:B,2,0)</f>
        <v>Disponible Cali B.Chile</v>
      </c>
      <c r="E919" s="341">
        <f>+F919-G919</f>
        <v>1943993</v>
      </c>
      <c r="F919" s="353">
        <v>1943993</v>
      </c>
      <c r="G919" s="353">
        <v>0</v>
      </c>
      <c r="H919" t="s">
        <v>1044</v>
      </c>
      <c r="I919" s="403" t="s">
        <v>131</v>
      </c>
      <c r="K919" s="370"/>
      <c r="N919" s="370"/>
    </row>
    <row r="920" spans="1:14" s="347" customFormat="1" x14ac:dyDescent="0.25">
      <c r="A920" s="369">
        <f>+A919</f>
        <v>44256</v>
      </c>
      <c r="B920" s="347">
        <f>+MONTH(A920)</f>
        <v>3</v>
      </c>
      <c r="C920" s="347">
        <v>1220</v>
      </c>
      <c r="D920" s="340" t="str">
        <f>VLOOKUP(C920,Plan!A:B,2,0)</f>
        <v>Otros Valores Arzobispado (249)</v>
      </c>
      <c r="E920" s="341">
        <f>+F920-G920</f>
        <v>-1943993</v>
      </c>
      <c r="F920" s="353">
        <v>0</v>
      </c>
      <c r="G920" s="353">
        <f>+F919</f>
        <v>1943993</v>
      </c>
      <c r="H920" t="s">
        <v>1044</v>
      </c>
      <c r="I920" s="403" t="s">
        <v>131</v>
      </c>
      <c r="K920" s="370"/>
      <c r="N920" s="370"/>
    </row>
    <row r="921" spans="1:14" s="347" customFormat="1" x14ac:dyDescent="0.25">
      <c r="A921" s="369"/>
      <c r="E921" s="396"/>
      <c r="F921" s="396"/>
      <c r="G921" s="396"/>
      <c r="K921" s="370"/>
      <c r="N921" s="370"/>
    </row>
    <row r="922" spans="1:14" s="347" customFormat="1" x14ac:dyDescent="0.25">
      <c r="A922" s="369">
        <v>44256</v>
      </c>
      <c r="B922" s="347">
        <f>+MONTH(A922)</f>
        <v>3</v>
      </c>
      <c r="C922" s="347">
        <v>115</v>
      </c>
      <c r="D922" s="340" t="str">
        <f>VLOOKUP(C922,Plan!A:B,2,0)</f>
        <v>Disponible Cali B.Chile</v>
      </c>
      <c r="E922" s="341">
        <f>+F922-G922</f>
        <v>50000</v>
      </c>
      <c r="F922" s="353">
        <v>50000</v>
      </c>
      <c r="G922" s="353">
        <v>0</v>
      </c>
      <c r="H922" t="s">
        <v>966</v>
      </c>
      <c r="I922" s="403" t="s">
        <v>131</v>
      </c>
      <c r="K922" s="370"/>
      <c r="N922" s="370"/>
    </row>
    <row r="923" spans="1:14" s="347" customFormat="1" x14ac:dyDescent="0.25">
      <c r="A923" s="369">
        <f>+A922</f>
        <v>44256</v>
      </c>
      <c r="B923" s="347">
        <f>+MONTH(A923)</f>
        <v>3</v>
      </c>
      <c r="C923" s="347">
        <v>3210</v>
      </c>
      <c r="D923" s="340" t="str">
        <f>VLOOKUP(C923,Plan!A:B,2,0)</f>
        <v>Donacion Construccion</v>
      </c>
      <c r="E923" s="341">
        <f>+F923-G923</f>
        <v>-50000</v>
      </c>
      <c r="F923" s="353">
        <v>0</v>
      </c>
      <c r="G923" s="353">
        <f>+F922</f>
        <v>50000</v>
      </c>
      <c r="H923" t="s">
        <v>966</v>
      </c>
      <c r="I923" s="403" t="s">
        <v>131</v>
      </c>
      <c r="K923" s="370"/>
      <c r="N923" s="370"/>
    </row>
    <row r="924" spans="1:14" s="347" customFormat="1" x14ac:dyDescent="0.25">
      <c r="A924" s="369"/>
      <c r="E924" s="396"/>
      <c r="F924" s="396"/>
      <c r="G924" s="396"/>
      <c r="K924" s="370"/>
      <c r="N924" s="370"/>
    </row>
    <row r="925" spans="1:14" s="347" customFormat="1" x14ac:dyDescent="0.25">
      <c r="A925" s="369">
        <v>44256</v>
      </c>
      <c r="B925" s="347">
        <f>+MONTH(A925)</f>
        <v>3</v>
      </c>
      <c r="C925" s="347">
        <v>115</v>
      </c>
      <c r="D925" s="340" t="str">
        <f>VLOOKUP(C925,Plan!A:B,2,0)</f>
        <v>Disponible Cali B.Chile</v>
      </c>
      <c r="E925" s="341">
        <f>+F925-G925</f>
        <v>10000</v>
      </c>
      <c r="F925" s="353">
        <v>10000</v>
      </c>
      <c r="G925" s="353">
        <v>0</v>
      </c>
      <c r="H925" t="s">
        <v>1045</v>
      </c>
      <c r="I925" s="403" t="s">
        <v>131</v>
      </c>
      <c r="K925" s="370"/>
      <c r="N925" s="370"/>
    </row>
    <row r="926" spans="1:14" s="347" customFormat="1" x14ac:dyDescent="0.25">
      <c r="A926" s="369">
        <f>+A925</f>
        <v>44256</v>
      </c>
      <c r="B926" s="347">
        <f>+MONTH(A926)</f>
        <v>3</v>
      </c>
      <c r="C926" s="347">
        <v>1222</v>
      </c>
      <c r="D926" s="340" t="str">
        <f>VLOOKUP(C926,Plan!A:B,2,0)</f>
        <v>Otros Valores -Oficina y Transferencias (249)</v>
      </c>
      <c r="E926" s="341">
        <f>+F926-G926</f>
        <v>-10000</v>
      </c>
      <c r="F926" s="353">
        <v>0</v>
      </c>
      <c r="G926" s="353">
        <f>+F925</f>
        <v>10000</v>
      </c>
      <c r="H926" t="s">
        <v>1045</v>
      </c>
      <c r="I926" s="403" t="s">
        <v>131</v>
      </c>
      <c r="K926" s="370"/>
      <c r="N926" s="370"/>
    </row>
    <row r="927" spans="1:14" s="347" customFormat="1" x14ac:dyDescent="0.25">
      <c r="A927" s="369"/>
      <c r="E927" s="396"/>
      <c r="F927" s="396"/>
      <c r="G927" s="396"/>
      <c r="K927" s="370"/>
      <c r="N927" s="370"/>
    </row>
    <row r="928" spans="1:14" s="347" customFormat="1" x14ac:dyDescent="0.25">
      <c r="A928" s="369">
        <v>44256</v>
      </c>
      <c r="B928" s="347">
        <f>+MONTH(A928)</f>
        <v>3</v>
      </c>
      <c r="C928" s="347">
        <v>115</v>
      </c>
      <c r="D928" s="340" t="str">
        <f>VLOOKUP(C928,Plan!A:B,2,0)</f>
        <v>Disponible Cali B.Chile</v>
      </c>
      <c r="E928" s="341">
        <f>+F928-G928</f>
        <v>36000</v>
      </c>
      <c r="F928" s="353">
        <v>36000</v>
      </c>
      <c r="G928" s="353">
        <v>0</v>
      </c>
      <c r="H928" t="s">
        <v>964</v>
      </c>
      <c r="I928" s="403" t="s">
        <v>131</v>
      </c>
      <c r="K928" s="370"/>
      <c r="N928" s="370"/>
    </row>
    <row r="929" spans="1:14" s="347" customFormat="1" x14ac:dyDescent="0.25">
      <c r="A929" s="369">
        <f>+A928</f>
        <v>44256</v>
      </c>
      <c r="B929" s="347">
        <f>+MONTH(A929)</f>
        <v>3</v>
      </c>
      <c r="C929" s="347">
        <v>1222</v>
      </c>
      <c r="D929" s="340" t="str">
        <f>VLOOKUP(C929,Plan!A:B,2,0)</f>
        <v>Otros Valores -Oficina y Transferencias (249)</v>
      </c>
      <c r="E929" s="341">
        <f>+F929-G929</f>
        <v>-36000</v>
      </c>
      <c r="F929" s="353">
        <v>0</v>
      </c>
      <c r="G929" s="353">
        <f>+F928</f>
        <v>36000</v>
      </c>
      <c r="H929" t="s">
        <v>964</v>
      </c>
      <c r="I929" s="403" t="s">
        <v>131</v>
      </c>
      <c r="K929" s="370"/>
      <c r="N929" s="370"/>
    </row>
    <row r="930" spans="1:14" s="347" customFormat="1" x14ac:dyDescent="0.25">
      <c r="A930" s="369"/>
      <c r="E930" s="396"/>
      <c r="F930" s="396"/>
      <c r="G930" s="396"/>
      <c r="K930" s="370"/>
      <c r="N930" s="370"/>
    </row>
    <row r="931" spans="1:14" s="347" customFormat="1" x14ac:dyDescent="0.25">
      <c r="A931" s="369">
        <v>44256</v>
      </c>
      <c r="B931" s="347">
        <f>+MONTH(A931)</f>
        <v>3</v>
      </c>
      <c r="C931" s="347">
        <v>115</v>
      </c>
      <c r="D931" s="340" t="str">
        <f>VLOOKUP(C931,Plan!A:B,2,0)</f>
        <v>Disponible Cali B.Chile</v>
      </c>
      <c r="E931" s="341">
        <f>+F931-G931</f>
        <v>100000</v>
      </c>
      <c r="F931" s="353">
        <v>100000</v>
      </c>
      <c r="G931" s="353">
        <v>0</v>
      </c>
      <c r="H931" t="s">
        <v>965</v>
      </c>
      <c r="I931" s="403" t="s">
        <v>131</v>
      </c>
      <c r="K931" s="370"/>
      <c r="N931" s="370"/>
    </row>
    <row r="932" spans="1:14" s="347" customFormat="1" x14ac:dyDescent="0.25">
      <c r="A932" s="369">
        <f>+A931</f>
        <v>44256</v>
      </c>
      <c r="B932" s="347">
        <f>+MONTH(A932)</f>
        <v>3</v>
      </c>
      <c r="C932" s="347">
        <v>3210</v>
      </c>
      <c r="D932" s="340" t="str">
        <f>VLOOKUP(C932,Plan!A:B,2,0)</f>
        <v>Donacion Construccion</v>
      </c>
      <c r="E932" s="341">
        <f>+F932-G932</f>
        <v>-100000</v>
      </c>
      <c r="F932" s="353">
        <v>0</v>
      </c>
      <c r="G932" s="353">
        <f>+F931</f>
        <v>100000</v>
      </c>
      <c r="H932" t="s">
        <v>965</v>
      </c>
      <c r="I932" s="403" t="s">
        <v>131</v>
      </c>
      <c r="K932" s="370"/>
      <c r="N932" s="370"/>
    </row>
    <row r="933" spans="1:14" s="347" customFormat="1" x14ac:dyDescent="0.25">
      <c r="A933" s="369"/>
      <c r="E933" s="396"/>
      <c r="F933" s="396"/>
      <c r="G933" s="396"/>
      <c r="K933" s="370"/>
      <c r="N933" s="370"/>
    </row>
    <row r="934" spans="1:14" s="347" customFormat="1" x14ac:dyDescent="0.25">
      <c r="A934" s="369">
        <v>44256</v>
      </c>
      <c r="B934" s="347">
        <f>+MONTH(A934)</f>
        <v>3</v>
      </c>
      <c r="C934" s="347">
        <v>115</v>
      </c>
      <c r="D934" s="340" t="str">
        <f>VLOOKUP(C934,Plan!A:B,2,0)</f>
        <v>Disponible Cali B.Chile</v>
      </c>
      <c r="E934" s="341">
        <f>+F934-G934</f>
        <v>20000</v>
      </c>
      <c r="F934" s="353">
        <v>20000</v>
      </c>
      <c r="G934" s="353">
        <v>0</v>
      </c>
      <c r="H934" t="s">
        <v>1046</v>
      </c>
      <c r="I934" s="403" t="s">
        <v>131</v>
      </c>
      <c r="K934" s="370"/>
      <c r="N934" s="370"/>
    </row>
    <row r="935" spans="1:14" s="347" customFormat="1" x14ac:dyDescent="0.25">
      <c r="A935" s="369">
        <f>+A934</f>
        <v>44256</v>
      </c>
      <c r="B935" s="347">
        <f>+MONTH(A935)</f>
        <v>3</v>
      </c>
      <c r="C935" s="347">
        <v>216</v>
      </c>
      <c r="D935" s="340" t="str">
        <f>VLOOKUP(C935,Plan!A:B,2,0)</f>
        <v>Cuenta por Pagar a Administración Colectas</v>
      </c>
      <c r="E935" s="341">
        <f>+F935-G935</f>
        <v>-20000</v>
      </c>
      <c r="F935" s="353">
        <v>0</v>
      </c>
      <c r="G935" s="353">
        <f>+F934</f>
        <v>20000</v>
      </c>
      <c r="H935" t="s">
        <v>1046</v>
      </c>
      <c r="I935" s="403" t="s">
        <v>131</v>
      </c>
      <c r="K935" s="370"/>
      <c r="N935" s="370"/>
    </row>
    <row r="936" spans="1:14" s="347" customFormat="1" x14ac:dyDescent="0.25">
      <c r="A936" s="369"/>
      <c r="E936" s="396"/>
      <c r="F936" s="396"/>
      <c r="G936" s="396"/>
      <c r="K936" s="370"/>
      <c r="N936" s="370"/>
    </row>
    <row r="937" spans="1:14" s="347" customFormat="1" x14ac:dyDescent="0.25">
      <c r="A937" s="369">
        <v>44256</v>
      </c>
      <c r="B937" s="347">
        <f>+MONTH(A937)</f>
        <v>3</v>
      </c>
      <c r="C937" s="347">
        <v>115</v>
      </c>
      <c r="D937" s="340" t="str">
        <f>VLOOKUP(C937,Plan!A:B,2,0)</f>
        <v>Disponible Cali B.Chile</v>
      </c>
      <c r="E937" s="341">
        <f>+F937-G937</f>
        <v>60000</v>
      </c>
      <c r="F937" s="353">
        <v>60000</v>
      </c>
      <c r="G937" s="353">
        <v>0</v>
      </c>
      <c r="H937" t="s">
        <v>1047</v>
      </c>
      <c r="I937" s="403" t="s">
        <v>131</v>
      </c>
      <c r="K937" s="370"/>
      <c r="N937" s="370"/>
    </row>
    <row r="938" spans="1:14" s="347" customFormat="1" x14ac:dyDescent="0.25">
      <c r="A938" s="369">
        <f>+A937</f>
        <v>44256</v>
      </c>
      <c r="B938" s="347">
        <f>+MONTH(A938)</f>
        <v>3</v>
      </c>
      <c r="C938" s="347">
        <v>1222</v>
      </c>
      <c r="D938" s="340" t="str">
        <f>VLOOKUP(C938,Plan!A:B,2,0)</f>
        <v>Otros Valores -Oficina y Transferencias (249)</v>
      </c>
      <c r="E938" s="341">
        <f>+F938-G938</f>
        <v>-60000</v>
      </c>
      <c r="F938" s="353">
        <v>0</v>
      </c>
      <c r="G938" s="353">
        <f>+F937</f>
        <v>60000</v>
      </c>
      <c r="H938" t="s">
        <v>1047</v>
      </c>
      <c r="I938" s="403" t="s">
        <v>131</v>
      </c>
      <c r="K938" s="370"/>
      <c r="N938" s="370"/>
    </row>
    <row r="939" spans="1:14" s="347" customFormat="1" x14ac:dyDescent="0.25">
      <c r="A939" s="369"/>
      <c r="E939" s="396"/>
      <c r="F939" s="396"/>
      <c r="G939" s="396"/>
      <c r="K939" s="370"/>
      <c r="N939" s="370"/>
    </row>
    <row r="940" spans="1:14" s="347" customFormat="1" x14ac:dyDescent="0.25">
      <c r="A940" s="369">
        <v>44256</v>
      </c>
      <c r="B940" s="347">
        <f>+MONTH(A940)</f>
        <v>3</v>
      </c>
      <c r="C940" s="347">
        <v>115</v>
      </c>
      <c r="D940" s="340" t="str">
        <f>VLOOKUP(C940,Plan!A:B,2,0)</f>
        <v>Disponible Cali B.Chile</v>
      </c>
      <c r="E940" s="341">
        <f>+F940-G940</f>
        <v>125000</v>
      </c>
      <c r="F940" s="353">
        <v>125000</v>
      </c>
      <c r="G940" s="353">
        <v>0</v>
      </c>
      <c r="H940" t="s">
        <v>967</v>
      </c>
      <c r="I940" s="403" t="s">
        <v>131</v>
      </c>
      <c r="K940" s="370"/>
      <c r="N940" s="370"/>
    </row>
    <row r="941" spans="1:14" s="347" customFormat="1" x14ac:dyDescent="0.25">
      <c r="A941" s="369">
        <f>+A940</f>
        <v>44256</v>
      </c>
      <c r="B941" s="347">
        <f>+MONTH(A941)</f>
        <v>3</v>
      </c>
      <c r="C941" s="347">
        <v>3210</v>
      </c>
      <c r="D941" s="340" t="str">
        <f>VLOOKUP(C941,Plan!A:B,2,0)</f>
        <v>Donacion Construccion</v>
      </c>
      <c r="E941" s="341">
        <f>+F941-G941</f>
        <v>-125000</v>
      </c>
      <c r="F941" s="353">
        <v>0</v>
      </c>
      <c r="G941" s="353">
        <f>+F940</f>
        <v>125000</v>
      </c>
      <c r="H941" t="s">
        <v>967</v>
      </c>
      <c r="I941" s="403" t="s">
        <v>131</v>
      </c>
      <c r="K941" s="370"/>
      <c r="N941" s="370"/>
    </row>
    <row r="942" spans="1:14" s="347" customFormat="1" x14ac:dyDescent="0.25">
      <c r="A942" s="369"/>
      <c r="E942" s="396"/>
      <c r="F942" s="396"/>
      <c r="G942" s="396"/>
      <c r="K942" s="370"/>
      <c r="N942" s="370"/>
    </row>
    <row r="943" spans="1:14" s="347" customFormat="1" x14ac:dyDescent="0.25">
      <c r="A943" s="369">
        <v>44256</v>
      </c>
      <c r="B943" s="347">
        <f>+MONTH(A943)</f>
        <v>3</v>
      </c>
      <c r="C943" s="347">
        <v>115</v>
      </c>
      <c r="D943" s="340" t="str">
        <f>VLOOKUP(C943,Plan!A:B,2,0)</f>
        <v>Disponible Cali B.Chile</v>
      </c>
      <c r="E943" s="341">
        <f>+F943-G943</f>
        <v>30000</v>
      </c>
      <c r="F943" s="353">
        <v>30000</v>
      </c>
      <c r="G943" s="353">
        <v>0</v>
      </c>
      <c r="H943" t="s">
        <v>1048</v>
      </c>
      <c r="I943" s="403" t="s">
        <v>131</v>
      </c>
      <c r="K943" s="370"/>
      <c r="N943" s="370"/>
    </row>
    <row r="944" spans="1:14" s="347" customFormat="1" x14ac:dyDescent="0.25">
      <c r="A944" s="369">
        <f>+A943</f>
        <v>44256</v>
      </c>
      <c r="B944" s="347">
        <f>+MONTH(A944)</f>
        <v>3</v>
      </c>
      <c r="C944" s="347">
        <v>1217</v>
      </c>
      <c r="D944" s="340" t="str">
        <f>VLOOKUP(C944,Plan!A:B,2,0)</f>
        <v>Otros Valores -Oficina y Transferencias (248)</v>
      </c>
      <c r="E944" s="341">
        <f>+F944-G944</f>
        <v>-30000</v>
      </c>
      <c r="F944" s="353">
        <v>0</v>
      </c>
      <c r="G944" s="353">
        <f>+F943</f>
        <v>30000</v>
      </c>
      <c r="H944" t="s">
        <v>1048</v>
      </c>
      <c r="I944" s="403" t="s">
        <v>131</v>
      </c>
      <c r="K944" s="370"/>
      <c r="N944" s="370"/>
    </row>
    <row r="945" spans="1:14" s="347" customFormat="1" x14ac:dyDescent="0.25">
      <c r="A945" s="369"/>
      <c r="E945" s="396"/>
      <c r="F945" s="396"/>
      <c r="G945" s="396"/>
      <c r="K945" s="370"/>
      <c r="N945" s="370"/>
    </row>
    <row r="946" spans="1:14" s="347" customFormat="1" x14ac:dyDescent="0.25">
      <c r="A946" s="369">
        <v>44256</v>
      </c>
      <c r="B946" s="347">
        <f>+MONTH(A946)</f>
        <v>3</v>
      </c>
      <c r="C946" s="347">
        <v>115</v>
      </c>
      <c r="D946" s="340" t="str">
        <f>VLOOKUP(C946,Plan!A:B,2,0)</f>
        <v>Disponible Cali B.Chile</v>
      </c>
      <c r="E946" s="341">
        <f>+F946-G946</f>
        <v>10000</v>
      </c>
      <c r="F946" s="353">
        <v>10000</v>
      </c>
      <c r="G946" s="353">
        <v>0</v>
      </c>
      <c r="H946" t="s">
        <v>971</v>
      </c>
      <c r="I946" s="403" t="s">
        <v>131</v>
      </c>
      <c r="K946" s="370"/>
      <c r="N946" s="370"/>
    </row>
    <row r="947" spans="1:14" s="347" customFormat="1" x14ac:dyDescent="0.25">
      <c r="A947" s="369">
        <f>+A946</f>
        <v>44256</v>
      </c>
      <c r="B947" s="347">
        <f>+MONTH(A947)</f>
        <v>3</v>
      </c>
      <c r="C947" s="347">
        <v>216</v>
      </c>
      <c r="D947" s="340" t="str">
        <f>VLOOKUP(C947,Plan!A:B,2,0)</f>
        <v>Cuenta por Pagar a Administración Colectas</v>
      </c>
      <c r="E947" s="341">
        <f>+F947-G947</f>
        <v>-10000</v>
      </c>
      <c r="F947" s="353">
        <v>0</v>
      </c>
      <c r="G947" s="353">
        <f>+F946</f>
        <v>10000</v>
      </c>
      <c r="H947" t="s">
        <v>971</v>
      </c>
      <c r="I947" s="403" t="s">
        <v>131</v>
      </c>
      <c r="K947" s="370"/>
      <c r="N947" s="370"/>
    </row>
    <row r="948" spans="1:14" s="347" customFormat="1" x14ac:dyDescent="0.25">
      <c r="A948" s="369"/>
      <c r="E948" s="396"/>
      <c r="F948" s="396"/>
      <c r="G948" s="396"/>
      <c r="K948" s="370"/>
      <c r="N948" s="370"/>
    </row>
    <row r="949" spans="1:14" s="347" customFormat="1" x14ac:dyDescent="0.25">
      <c r="A949" s="369">
        <v>44256</v>
      </c>
      <c r="B949" s="347">
        <f>+MONTH(A949)</f>
        <v>3</v>
      </c>
      <c r="C949" s="347">
        <v>115</v>
      </c>
      <c r="D949" s="340" t="str">
        <f>VLOOKUP(C949,Plan!A:B,2,0)</f>
        <v>Disponible Cali B.Chile</v>
      </c>
      <c r="E949" s="341">
        <f>+F949-G949</f>
        <v>30000</v>
      </c>
      <c r="F949" s="353">
        <v>30000</v>
      </c>
      <c r="G949" s="353">
        <v>0</v>
      </c>
      <c r="H949" t="s">
        <v>970</v>
      </c>
      <c r="I949" s="403" t="s">
        <v>131</v>
      </c>
      <c r="K949" s="370"/>
      <c r="N949" s="370"/>
    </row>
    <row r="950" spans="1:14" s="347" customFormat="1" x14ac:dyDescent="0.25">
      <c r="A950" s="369">
        <f>+A949</f>
        <v>44256</v>
      </c>
      <c r="B950" s="347">
        <f>+MONTH(A950)</f>
        <v>3</v>
      </c>
      <c r="C950" s="347">
        <v>1222</v>
      </c>
      <c r="D950" s="340" t="str">
        <f>VLOOKUP(C950,Plan!A:B,2,0)</f>
        <v>Otros Valores -Oficina y Transferencias (249)</v>
      </c>
      <c r="E950" s="341">
        <f>+F950-G950</f>
        <v>-30000</v>
      </c>
      <c r="F950" s="353">
        <v>0</v>
      </c>
      <c r="G950" s="353">
        <f>+F949</f>
        <v>30000</v>
      </c>
      <c r="H950" t="s">
        <v>970</v>
      </c>
      <c r="I950" s="403" t="s">
        <v>131</v>
      </c>
      <c r="K950" s="370"/>
      <c r="N950" s="370"/>
    </row>
    <row r="951" spans="1:14" s="347" customFormat="1" x14ac:dyDescent="0.25">
      <c r="A951" s="369"/>
      <c r="E951" s="396"/>
      <c r="F951" s="396"/>
      <c r="G951" s="396"/>
      <c r="K951" s="370"/>
      <c r="N951" s="370"/>
    </row>
    <row r="952" spans="1:14" s="347" customFormat="1" x14ac:dyDescent="0.25">
      <c r="A952" s="369">
        <v>44256</v>
      </c>
      <c r="B952" s="347">
        <f>+MONTH(A952)</f>
        <v>3</v>
      </c>
      <c r="C952" s="347">
        <v>115</v>
      </c>
      <c r="D952" s="340" t="str">
        <f>VLOOKUP(C952,Plan!A:B,2,0)</f>
        <v>Disponible Cali B.Chile</v>
      </c>
      <c r="E952" s="341">
        <f>+F952-G952</f>
        <v>20000</v>
      </c>
      <c r="F952" s="353">
        <v>20000</v>
      </c>
      <c r="G952" s="353">
        <v>0</v>
      </c>
      <c r="H952" t="s">
        <v>963</v>
      </c>
      <c r="I952" s="403" t="s">
        <v>131</v>
      </c>
      <c r="K952" s="370"/>
      <c r="N952" s="370"/>
    </row>
    <row r="953" spans="1:14" s="347" customFormat="1" x14ac:dyDescent="0.25">
      <c r="A953" s="369">
        <f>+A952</f>
        <v>44256</v>
      </c>
      <c r="B953" s="347">
        <f>+MONTH(A953)</f>
        <v>3</v>
      </c>
      <c r="C953" s="347">
        <v>1222</v>
      </c>
      <c r="D953" s="340" t="str">
        <f>VLOOKUP(C953,Plan!A:B,2,0)</f>
        <v>Otros Valores -Oficina y Transferencias (249)</v>
      </c>
      <c r="E953" s="341">
        <f>+F953-G953</f>
        <v>-20000</v>
      </c>
      <c r="F953" s="353">
        <v>0</v>
      </c>
      <c r="G953" s="353">
        <f>+F952</f>
        <v>20000</v>
      </c>
      <c r="H953" t="s">
        <v>963</v>
      </c>
      <c r="I953" s="403" t="s">
        <v>131</v>
      </c>
      <c r="K953" s="370"/>
      <c r="N953" s="370"/>
    </row>
    <row r="954" spans="1:14" s="347" customFormat="1" x14ac:dyDescent="0.25">
      <c r="A954" s="369"/>
      <c r="E954" s="396"/>
      <c r="F954" s="396"/>
      <c r="G954" s="396"/>
      <c r="K954" s="370"/>
      <c r="N954" s="370"/>
    </row>
    <row r="955" spans="1:14" s="347" customFormat="1" x14ac:dyDescent="0.25">
      <c r="A955" s="369">
        <v>44256</v>
      </c>
      <c r="B955" s="347">
        <f>+MONTH(A955)</f>
        <v>3</v>
      </c>
      <c r="C955" s="347">
        <v>115</v>
      </c>
      <c r="D955" s="340" t="str">
        <f>VLOOKUP(C955,Plan!A:B,2,0)</f>
        <v>Disponible Cali B.Chile</v>
      </c>
      <c r="E955" s="341">
        <f>+F955-G955</f>
        <v>10000</v>
      </c>
      <c r="F955" s="353">
        <v>10000</v>
      </c>
      <c r="G955" s="353">
        <v>0</v>
      </c>
      <c r="H955" t="s">
        <v>968</v>
      </c>
      <c r="I955" s="403" t="s">
        <v>131</v>
      </c>
      <c r="K955" s="370"/>
      <c r="N955" s="370"/>
    </row>
    <row r="956" spans="1:14" s="347" customFormat="1" x14ac:dyDescent="0.25">
      <c r="A956" s="369">
        <f>+A955</f>
        <v>44256</v>
      </c>
      <c r="B956" s="347">
        <f>+MONTH(A956)</f>
        <v>3</v>
      </c>
      <c r="C956" s="347">
        <v>3210</v>
      </c>
      <c r="D956" s="340" t="str">
        <f>VLOOKUP(C956,Plan!A:B,2,0)</f>
        <v>Donacion Construccion</v>
      </c>
      <c r="E956" s="341">
        <f>+F956-G956</f>
        <v>-10000</v>
      </c>
      <c r="F956" s="353">
        <v>0</v>
      </c>
      <c r="G956" s="353">
        <f>+F955</f>
        <v>10000</v>
      </c>
      <c r="H956" t="s">
        <v>968</v>
      </c>
      <c r="I956" s="403" t="s">
        <v>131</v>
      </c>
      <c r="K956" s="370"/>
      <c r="N956" s="370"/>
    </row>
    <row r="957" spans="1:14" s="347" customFormat="1" x14ac:dyDescent="0.25">
      <c r="A957" s="369"/>
      <c r="E957" s="396"/>
      <c r="F957" s="396"/>
      <c r="G957" s="396"/>
      <c r="K957" s="370"/>
      <c r="N957" s="370"/>
    </row>
    <row r="958" spans="1:14" s="347" customFormat="1" x14ac:dyDescent="0.25">
      <c r="A958" s="369">
        <v>44256</v>
      </c>
      <c r="B958" s="347">
        <f>+MONTH(A958)</f>
        <v>3</v>
      </c>
      <c r="C958" s="347">
        <v>115</v>
      </c>
      <c r="D958" s="340" t="str">
        <f>VLOOKUP(C958,Plan!A:B,2,0)</f>
        <v>Disponible Cali B.Chile</v>
      </c>
      <c r="E958" s="341">
        <f>+F958-G958</f>
        <v>25000</v>
      </c>
      <c r="F958" s="353">
        <v>25000</v>
      </c>
      <c r="G958" s="353">
        <v>0</v>
      </c>
      <c r="H958" t="s">
        <v>981</v>
      </c>
      <c r="I958" s="403" t="s">
        <v>131</v>
      </c>
      <c r="K958" s="370"/>
      <c r="N958" s="370"/>
    </row>
    <row r="959" spans="1:14" s="347" customFormat="1" x14ac:dyDescent="0.25">
      <c r="A959" s="369">
        <f>+A958</f>
        <v>44256</v>
      </c>
      <c r="B959" s="347">
        <f>+MONTH(A959)</f>
        <v>3</v>
      </c>
      <c r="C959" s="347">
        <v>1222</v>
      </c>
      <c r="D959" s="340" t="str">
        <f>VLOOKUP(C959,Plan!A:B,2,0)</f>
        <v>Otros Valores -Oficina y Transferencias (249)</v>
      </c>
      <c r="E959" s="341">
        <f>+F959-G959</f>
        <v>-25000</v>
      </c>
      <c r="F959" s="353">
        <v>0</v>
      </c>
      <c r="G959" s="353">
        <f>+F958</f>
        <v>25000</v>
      </c>
      <c r="H959" t="s">
        <v>981</v>
      </c>
      <c r="I959" s="403" t="s">
        <v>131</v>
      </c>
      <c r="K959" s="370"/>
      <c r="N959" s="370"/>
    </row>
    <row r="960" spans="1:14" s="347" customFormat="1" x14ac:dyDescent="0.25">
      <c r="A960" s="369"/>
      <c r="E960" s="396"/>
      <c r="F960" s="396"/>
      <c r="G960" s="396"/>
      <c r="K960" s="370"/>
      <c r="N960" s="370"/>
    </row>
    <row r="961" spans="1:14" s="347" customFormat="1" x14ac:dyDescent="0.25">
      <c r="A961" s="369">
        <v>44256</v>
      </c>
      <c r="B961" s="347">
        <f>+MONTH(A961)</f>
        <v>3</v>
      </c>
      <c r="C961" s="347">
        <v>115</v>
      </c>
      <c r="D961" s="340" t="str">
        <f>VLOOKUP(C961,Plan!A:B,2,0)</f>
        <v>Disponible Cali B.Chile</v>
      </c>
      <c r="E961" s="341">
        <f>+F961-G961</f>
        <v>12000</v>
      </c>
      <c r="F961" s="353">
        <v>12000</v>
      </c>
      <c r="G961" s="353">
        <v>0</v>
      </c>
      <c r="H961" t="s">
        <v>1049</v>
      </c>
      <c r="I961" s="403" t="s">
        <v>131</v>
      </c>
      <c r="K961" s="370"/>
      <c r="N961" s="370"/>
    </row>
    <row r="962" spans="1:14" s="347" customFormat="1" x14ac:dyDescent="0.25">
      <c r="A962" s="369">
        <f>+A961</f>
        <v>44256</v>
      </c>
      <c r="B962" s="347">
        <f>+MONTH(A962)</f>
        <v>3</v>
      </c>
      <c r="C962" s="347">
        <v>216</v>
      </c>
      <c r="D962" s="340" t="str">
        <f>VLOOKUP(C962,Plan!A:B,2,0)</f>
        <v>Cuenta por Pagar a Administración Colectas</v>
      </c>
      <c r="E962" s="341">
        <f>+F962-G962</f>
        <v>-12000</v>
      </c>
      <c r="F962" s="353">
        <v>0</v>
      </c>
      <c r="G962" s="353">
        <f>+F961</f>
        <v>12000</v>
      </c>
      <c r="H962" t="s">
        <v>1049</v>
      </c>
      <c r="I962" s="403" t="s">
        <v>131</v>
      </c>
      <c r="K962" s="370"/>
      <c r="N962" s="370"/>
    </row>
    <row r="963" spans="1:14" s="347" customFormat="1" x14ac:dyDescent="0.25">
      <c r="A963" s="369"/>
      <c r="E963" s="396"/>
      <c r="F963" s="396"/>
      <c r="G963" s="396"/>
      <c r="K963" s="370"/>
      <c r="N963" s="370"/>
    </row>
    <row r="964" spans="1:14" s="347" customFormat="1" x14ac:dyDescent="0.25">
      <c r="A964" s="369">
        <v>44256</v>
      </c>
      <c r="B964" s="347">
        <f>+MONTH(A964)</f>
        <v>3</v>
      </c>
      <c r="C964" s="347">
        <v>115</v>
      </c>
      <c r="D964" s="340" t="str">
        <f>VLOOKUP(C964,Plan!A:B,2,0)</f>
        <v>Disponible Cali B.Chile</v>
      </c>
      <c r="E964" s="341">
        <f>+F964-G964</f>
        <v>10000</v>
      </c>
      <c r="F964" s="353">
        <v>10000</v>
      </c>
      <c r="G964" s="353">
        <v>0</v>
      </c>
      <c r="H964" t="s">
        <v>973</v>
      </c>
      <c r="I964" s="403" t="s">
        <v>131</v>
      </c>
      <c r="K964" s="370"/>
      <c r="N964" s="370"/>
    </row>
    <row r="965" spans="1:14" s="347" customFormat="1" x14ac:dyDescent="0.25">
      <c r="A965" s="369">
        <f>+A964</f>
        <v>44256</v>
      </c>
      <c r="B965" s="347">
        <f>+MONTH(A965)</f>
        <v>3</v>
      </c>
      <c r="C965" s="347">
        <v>1222</v>
      </c>
      <c r="D965" s="340" t="str">
        <f>VLOOKUP(C965,Plan!A:B,2,0)</f>
        <v>Otros Valores -Oficina y Transferencias (249)</v>
      </c>
      <c r="E965" s="341">
        <f>+F965-G965</f>
        <v>-10000</v>
      </c>
      <c r="F965" s="353">
        <v>0</v>
      </c>
      <c r="G965" s="353">
        <f>+F964</f>
        <v>10000</v>
      </c>
      <c r="H965" t="s">
        <v>973</v>
      </c>
      <c r="I965" s="403" t="s">
        <v>131</v>
      </c>
      <c r="K965" s="370"/>
      <c r="N965" s="370"/>
    </row>
    <row r="966" spans="1:14" s="347" customFormat="1" x14ac:dyDescent="0.25">
      <c r="A966" s="369"/>
      <c r="E966" s="396"/>
      <c r="F966" s="396"/>
      <c r="G966" s="396"/>
      <c r="K966" s="370"/>
      <c r="N966" s="370"/>
    </row>
    <row r="967" spans="1:14" s="347" customFormat="1" x14ac:dyDescent="0.25">
      <c r="A967" s="369">
        <v>44256</v>
      </c>
      <c r="B967" s="347">
        <f>+MONTH(A967)</f>
        <v>3</v>
      </c>
      <c r="C967" s="347">
        <v>115</v>
      </c>
      <c r="D967" s="340" t="str">
        <f>VLOOKUP(C967,Plan!A:B,2,0)</f>
        <v>Disponible Cali B.Chile</v>
      </c>
      <c r="E967" s="341">
        <f>+F967-G967</f>
        <v>50000</v>
      </c>
      <c r="F967" s="353">
        <v>50000</v>
      </c>
      <c r="G967" s="353">
        <v>0</v>
      </c>
      <c r="H967" t="s">
        <v>974</v>
      </c>
      <c r="I967" s="403" t="s">
        <v>131</v>
      </c>
      <c r="K967" s="370"/>
      <c r="N967" s="370"/>
    </row>
    <row r="968" spans="1:14" s="347" customFormat="1" x14ac:dyDescent="0.25">
      <c r="A968" s="369">
        <f>+A967</f>
        <v>44256</v>
      </c>
      <c r="B968" s="347">
        <f>+MONTH(A968)</f>
        <v>3</v>
      </c>
      <c r="C968" s="347">
        <v>1222</v>
      </c>
      <c r="D968" s="340" t="str">
        <f>VLOOKUP(C968,Plan!A:B,2,0)</f>
        <v>Otros Valores -Oficina y Transferencias (249)</v>
      </c>
      <c r="E968" s="341">
        <f>+F968-G968</f>
        <v>-50000</v>
      </c>
      <c r="F968" s="353">
        <v>0</v>
      </c>
      <c r="G968" s="353">
        <f>+F967</f>
        <v>50000</v>
      </c>
      <c r="H968" t="s">
        <v>974</v>
      </c>
      <c r="I968" s="403" t="s">
        <v>131</v>
      </c>
      <c r="K968" s="370"/>
      <c r="N968" s="370"/>
    </row>
    <row r="969" spans="1:14" s="347" customFormat="1" x14ac:dyDescent="0.25">
      <c r="A969" s="369"/>
      <c r="E969" s="396"/>
      <c r="F969" s="396"/>
      <c r="G969" s="396"/>
      <c r="K969" s="370"/>
      <c r="N969" s="370"/>
    </row>
    <row r="970" spans="1:14" s="347" customFormat="1" x14ac:dyDescent="0.25">
      <c r="A970" s="369">
        <v>44256</v>
      </c>
      <c r="B970" s="347">
        <f>+MONTH(A970)</f>
        <v>3</v>
      </c>
      <c r="C970" s="347">
        <v>115</v>
      </c>
      <c r="D970" s="340" t="str">
        <f>VLOOKUP(C970,Plan!A:B,2,0)</f>
        <v>Disponible Cali B.Chile</v>
      </c>
      <c r="E970" s="341">
        <f>+F970-G970</f>
        <v>73000</v>
      </c>
      <c r="F970" s="353">
        <v>73000</v>
      </c>
      <c r="G970" s="353">
        <v>0</v>
      </c>
      <c r="H970" t="s">
        <v>1050</v>
      </c>
      <c r="I970" s="403" t="s">
        <v>131</v>
      </c>
      <c r="K970" s="370"/>
      <c r="N970" s="370"/>
    </row>
    <row r="971" spans="1:14" s="347" customFormat="1" x14ac:dyDescent="0.25">
      <c r="A971" s="369">
        <f>+A970</f>
        <v>44256</v>
      </c>
      <c r="B971" s="347">
        <f>+MONTH(A971)</f>
        <v>3</v>
      </c>
      <c r="C971" s="347">
        <v>3210</v>
      </c>
      <c r="D971" s="340" t="str">
        <f>VLOOKUP(C971,Plan!A:B,2,0)</f>
        <v>Donacion Construccion</v>
      </c>
      <c r="E971" s="341">
        <f>+F971-G971</f>
        <v>-73000</v>
      </c>
      <c r="F971" s="353">
        <v>0</v>
      </c>
      <c r="G971" s="353">
        <f>+F970</f>
        <v>73000</v>
      </c>
      <c r="H971" t="s">
        <v>1050</v>
      </c>
      <c r="I971" s="403" t="s">
        <v>131</v>
      </c>
      <c r="K971" s="370"/>
      <c r="N971" s="370"/>
    </row>
    <row r="972" spans="1:14" s="347" customFormat="1" x14ac:dyDescent="0.25">
      <c r="A972" s="369"/>
      <c r="E972" s="396"/>
      <c r="F972" s="396"/>
      <c r="G972" s="396"/>
      <c r="K972" s="370"/>
      <c r="N972" s="370"/>
    </row>
    <row r="973" spans="1:14" s="347" customFormat="1" x14ac:dyDescent="0.25">
      <c r="A973" s="369">
        <v>44256</v>
      </c>
      <c r="B973" s="347">
        <f>+MONTH(A973)</f>
        <v>3</v>
      </c>
      <c r="C973" s="347">
        <v>115</v>
      </c>
      <c r="D973" s="340" t="str">
        <f>VLOOKUP(C973,Plan!A:B,2,0)</f>
        <v>Disponible Cali B.Chile</v>
      </c>
      <c r="E973" s="341">
        <f>+F973-G973</f>
        <v>40000</v>
      </c>
      <c r="F973" s="353">
        <v>40000</v>
      </c>
      <c r="G973" s="353">
        <v>0</v>
      </c>
      <c r="H973" t="s">
        <v>1051</v>
      </c>
      <c r="I973" s="403" t="s">
        <v>131</v>
      </c>
      <c r="K973" s="370"/>
      <c r="N973" s="370"/>
    </row>
    <row r="974" spans="1:14" s="347" customFormat="1" x14ac:dyDescent="0.25">
      <c r="A974" s="369">
        <f>+A973</f>
        <v>44256</v>
      </c>
      <c r="B974" s="347">
        <f>+MONTH(A974)</f>
        <v>3</v>
      </c>
      <c r="C974" s="347">
        <v>3210</v>
      </c>
      <c r="D974" s="340" t="str">
        <f>VLOOKUP(C974,Plan!A:B,2,0)</f>
        <v>Donacion Construccion</v>
      </c>
      <c r="E974" s="341">
        <f>+F974-G974</f>
        <v>-40000</v>
      </c>
      <c r="F974" s="353">
        <v>0</v>
      </c>
      <c r="G974" s="353">
        <f>+F973</f>
        <v>40000</v>
      </c>
      <c r="H974" t="s">
        <v>1051</v>
      </c>
      <c r="I974" s="403" t="s">
        <v>131</v>
      </c>
      <c r="K974" s="370"/>
      <c r="N974" s="370"/>
    </row>
    <row r="975" spans="1:14" s="347" customFormat="1" x14ac:dyDescent="0.25">
      <c r="A975" s="369"/>
      <c r="E975" s="396"/>
      <c r="F975" s="396"/>
      <c r="G975" s="396"/>
      <c r="K975" s="370"/>
      <c r="N975" s="370"/>
    </row>
    <row r="976" spans="1:14" s="347" customFormat="1" x14ac:dyDescent="0.25">
      <c r="A976" s="369">
        <v>44256</v>
      </c>
      <c r="B976" s="347">
        <f>+MONTH(A976)</f>
        <v>3</v>
      </c>
      <c r="C976" s="347">
        <v>115</v>
      </c>
      <c r="D976" s="340" t="str">
        <f>VLOOKUP(C976,Plan!A:B,2,0)</f>
        <v>Disponible Cali B.Chile</v>
      </c>
      <c r="E976" s="341">
        <f>+F976-G976</f>
        <v>48000</v>
      </c>
      <c r="F976" s="353">
        <v>48000</v>
      </c>
      <c r="G976" s="353">
        <v>0</v>
      </c>
      <c r="H976" t="s">
        <v>975</v>
      </c>
      <c r="I976" s="403" t="s">
        <v>131</v>
      </c>
      <c r="K976" s="370"/>
      <c r="N976" s="370"/>
    </row>
    <row r="977" spans="1:14" s="347" customFormat="1" x14ac:dyDescent="0.25">
      <c r="A977" s="369">
        <f>+A976</f>
        <v>44256</v>
      </c>
      <c r="B977" s="347">
        <f>+MONTH(A977)</f>
        <v>3</v>
      </c>
      <c r="C977" s="347">
        <v>1217</v>
      </c>
      <c r="D977" s="340" t="str">
        <f>VLOOKUP(C977,Plan!A:B,2,0)</f>
        <v>Otros Valores -Oficina y Transferencias (248)</v>
      </c>
      <c r="E977" s="341">
        <f>+F977-G977</f>
        <v>-48000</v>
      </c>
      <c r="F977" s="353">
        <v>0</v>
      </c>
      <c r="G977" s="353">
        <f>+F976</f>
        <v>48000</v>
      </c>
      <c r="H977" t="s">
        <v>975</v>
      </c>
      <c r="I977" s="403" t="s">
        <v>131</v>
      </c>
      <c r="K977" s="370"/>
      <c r="N977" s="370"/>
    </row>
    <row r="978" spans="1:14" s="347" customFormat="1" x14ac:dyDescent="0.25">
      <c r="A978" s="369"/>
      <c r="E978" s="396"/>
      <c r="F978" s="396"/>
      <c r="G978" s="396"/>
      <c r="K978" s="370"/>
      <c r="N978" s="370"/>
    </row>
    <row r="979" spans="1:14" s="347" customFormat="1" x14ac:dyDescent="0.25">
      <c r="A979" s="369">
        <v>44256</v>
      </c>
      <c r="B979" s="347">
        <f>+MONTH(A979)</f>
        <v>3</v>
      </c>
      <c r="C979" s="347">
        <v>115</v>
      </c>
      <c r="D979" s="340" t="str">
        <f>VLOOKUP(C979,Plan!A:B,2,0)</f>
        <v>Disponible Cali B.Chile</v>
      </c>
      <c r="E979" s="341">
        <f>+F979-G979</f>
        <v>40000</v>
      </c>
      <c r="F979" s="353">
        <v>40000</v>
      </c>
      <c r="G979" s="353">
        <v>0</v>
      </c>
      <c r="H979" t="s">
        <v>976</v>
      </c>
      <c r="I979" s="403" t="s">
        <v>131</v>
      </c>
      <c r="K979" s="370"/>
      <c r="N979" s="370"/>
    </row>
    <row r="980" spans="1:14" s="347" customFormat="1" x14ac:dyDescent="0.25">
      <c r="A980" s="369">
        <f>+A979</f>
        <v>44256</v>
      </c>
      <c r="B980" s="347">
        <f>+MONTH(A980)</f>
        <v>3</v>
      </c>
      <c r="C980" s="347">
        <v>1222</v>
      </c>
      <c r="D980" s="340" t="str">
        <f>VLOOKUP(C980,Plan!A:B,2,0)</f>
        <v>Otros Valores -Oficina y Transferencias (249)</v>
      </c>
      <c r="E980" s="341">
        <f>+F980-G980</f>
        <v>-40000</v>
      </c>
      <c r="F980" s="353">
        <v>0</v>
      </c>
      <c r="G980" s="353">
        <f>+F979</f>
        <v>40000</v>
      </c>
      <c r="H980" t="s">
        <v>976</v>
      </c>
      <c r="I980" s="403" t="s">
        <v>131</v>
      </c>
      <c r="K980" s="370"/>
      <c r="N980" s="370"/>
    </row>
    <row r="981" spans="1:14" s="347" customFormat="1" x14ac:dyDescent="0.25">
      <c r="A981" s="369"/>
      <c r="E981" s="396"/>
      <c r="F981" s="396"/>
      <c r="G981" s="396"/>
      <c r="K981" s="370"/>
      <c r="N981" s="370"/>
    </row>
    <row r="982" spans="1:14" s="347" customFormat="1" x14ac:dyDescent="0.25">
      <c r="A982" s="369">
        <v>44256</v>
      </c>
      <c r="B982" s="347">
        <f>+MONTH(A982)</f>
        <v>3</v>
      </c>
      <c r="C982" s="347">
        <v>115</v>
      </c>
      <c r="D982" s="340" t="str">
        <f>VLOOKUP(C982,Plan!A:B,2,0)</f>
        <v>Disponible Cali B.Chile</v>
      </c>
      <c r="E982" s="341">
        <f>+F982-G982</f>
        <v>20000</v>
      </c>
      <c r="F982" s="353">
        <v>20000</v>
      </c>
      <c r="G982" s="353">
        <v>0</v>
      </c>
      <c r="H982" t="s">
        <v>548</v>
      </c>
      <c r="I982" s="403" t="s">
        <v>131</v>
      </c>
      <c r="K982" s="370"/>
      <c r="N982" s="370"/>
    </row>
    <row r="983" spans="1:14" s="347" customFormat="1" x14ac:dyDescent="0.25">
      <c r="A983" s="369">
        <f>+A982</f>
        <v>44256</v>
      </c>
      <c r="B983" s="347">
        <f>+MONTH(A983)</f>
        <v>3</v>
      </c>
      <c r="C983" s="347">
        <v>1222</v>
      </c>
      <c r="D983" s="340" t="str">
        <f>VLOOKUP(C983,Plan!A:B,2,0)</f>
        <v>Otros Valores -Oficina y Transferencias (249)</v>
      </c>
      <c r="E983" s="341">
        <f>+F983-G983</f>
        <v>-20000</v>
      </c>
      <c r="F983" s="353">
        <v>0</v>
      </c>
      <c r="G983" s="353">
        <f>+F982</f>
        <v>20000</v>
      </c>
      <c r="H983" t="s">
        <v>548</v>
      </c>
      <c r="I983" s="403" t="s">
        <v>131</v>
      </c>
      <c r="K983" s="370"/>
      <c r="N983" s="370"/>
    </row>
    <row r="984" spans="1:14" s="347" customFormat="1" x14ac:dyDescent="0.25">
      <c r="A984" s="369"/>
      <c r="E984" s="396"/>
      <c r="F984" s="396"/>
      <c r="G984" s="396"/>
      <c r="K984" s="370"/>
      <c r="N984" s="370"/>
    </row>
    <row r="985" spans="1:14" s="347" customFormat="1" x14ac:dyDescent="0.25">
      <c r="A985" s="369">
        <v>44256</v>
      </c>
      <c r="B985" s="347">
        <f>+MONTH(A985)</f>
        <v>3</v>
      </c>
      <c r="C985" s="347">
        <v>115</v>
      </c>
      <c r="D985" s="340" t="str">
        <f>VLOOKUP(C985,Plan!A:B,2,0)</f>
        <v>Disponible Cali B.Chile</v>
      </c>
      <c r="E985" s="341">
        <f>+F985-G985</f>
        <v>50000</v>
      </c>
      <c r="F985" s="353">
        <v>50000</v>
      </c>
      <c r="G985" s="353">
        <v>0</v>
      </c>
      <c r="H985" t="s">
        <v>547</v>
      </c>
      <c r="I985" s="403" t="s">
        <v>131</v>
      </c>
      <c r="K985" s="370"/>
      <c r="N985" s="370"/>
    </row>
    <row r="986" spans="1:14" s="347" customFormat="1" x14ac:dyDescent="0.25">
      <c r="A986" s="369">
        <f>+A985</f>
        <v>44256</v>
      </c>
      <c r="B986" s="347">
        <f>+MONTH(A986)</f>
        <v>3</v>
      </c>
      <c r="C986" s="347">
        <v>1222</v>
      </c>
      <c r="D986" s="340" t="str">
        <f>VLOOKUP(C986,Plan!A:B,2,0)</f>
        <v>Otros Valores -Oficina y Transferencias (249)</v>
      </c>
      <c r="E986" s="341">
        <f>+F986-G986</f>
        <v>-50000</v>
      </c>
      <c r="F986" s="353">
        <v>0</v>
      </c>
      <c r="G986" s="353">
        <f>+F985</f>
        <v>50000</v>
      </c>
      <c r="H986" t="s">
        <v>547</v>
      </c>
      <c r="I986" s="403" t="s">
        <v>131</v>
      </c>
      <c r="K986" s="370"/>
      <c r="N986" s="370"/>
    </row>
    <row r="987" spans="1:14" s="347" customFormat="1" x14ac:dyDescent="0.25">
      <c r="A987" s="369"/>
      <c r="E987" s="396"/>
      <c r="F987" s="396"/>
      <c r="G987" s="396"/>
      <c r="K987" s="370"/>
      <c r="N987" s="370"/>
    </row>
    <row r="988" spans="1:14" s="347" customFormat="1" x14ac:dyDescent="0.25">
      <c r="A988" s="369">
        <v>44256</v>
      </c>
      <c r="B988" s="347">
        <f>+MONTH(A988)</f>
        <v>3</v>
      </c>
      <c r="C988" s="347">
        <v>115</v>
      </c>
      <c r="D988" s="340" t="str">
        <f>VLOOKUP(C988,Plan!A:B,2,0)</f>
        <v>Disponible Cali B.Chile</v>
      </c>
      <c r="E988" s="341">
        <f>+F988-G988</f>
        <v>30000</v>
      </c>
      <c r="F988" s="353">
        <v>30000</v>
      </c>
      <c r="G988" s="353">
        <v>0</v>
      </c>
      <c r="H988" t="s">
        <v>978</v>
      </c>
      <c r="I988" s="403" t="s">
        <v>131</v>
      </c>
      <c r="K988" s="370"/>
      <c r="N988" s="370"/>
    </row>
    <row r="989" spans="1:14" s="347" customFormat="1" x14ac:dyDescent="0.25">
      <c r="A989" s="369">
        <f>+A988</f>
        <v>44256</v>
      </c>
      <c r="B989" s="347">
        <f>+MONTH(A989)</f>
        <v>3</v>
      </c>
      <c r="C989" s="347">
        <v>3210</v>
      </c>
      <c r="D989" s="340" t="str">
        <f>VLOOKUP(C989,Plan!A:B,2,0)</f>
        <v>Donacion Construccion</v>
      </c>
      <c r="E989" s="341">
        <f>+F989-G989</f>
        <v>-30000</v>
      </c>
      <c r="F989" s="353">
        <v>0</v>
      </c>
      <c r="G989" s="353">
        <f>+F988</f>
        <v>30000</v>
      </c>
      <c r="H989" t="s">
        <v>978</v>
      </c>
      <c r="I989" s="403" t="s">
        <v>131</v>
      </c>
      <c r="K989" s="370"/>
      <c r="N989" s="370"/>
    </row>
    <row r="990" spans="1:14" s="347" customFormat="1" x14ac:dyDescent="0.25">
      <c r="A990" s="369"/>
      <c r="E990" s="396"/>
      <c r="F990" s="396"/>
      <c r="G990" s="396"/>
      <c r="K990" s="370"/>
      <c r="N990" s="370"/>
    </row>
    <row r="991" spans="1:14" s="347" customFormat="1" x14ac:dyDescent="0.25">
      <c r="A991" s="369">
        <v>44256</v>
      </c>
      <c r="B991" s="347">
        <f>+MONTH(A991)</f>
        <v>3</v>
      </c>
      <c r="C991" s="347">
        <v>115</v>
      </c>
      <c r="D991" s="340" t="str">
        <f>VLOOKUP(C991,Plan!A:B,2,0)</f>
        <v>Disponible Cali B.Chile</v>
      </c>
      <c r="E991" s="341">
        <f>+F991-G991</f>
        <v>20000</v>
      </c>
      <c r="F991" s="353">
        <v>20000</v>
      </c>
      <c r="G991" s="353">
        <v>0</v>
      </c>
      <c r="H991" t="s">
        <v>977</v>
      </c>
      <c r="I991" s="403" t="s">
        <v>131</v>
      </c>
      <c r="K991" s="370"/>
      <c r="N991" s="370"/>
    </row>
    <row r="992" spans="1:14" s="347" customFormat="1" x14ac:dyDescent="0.25">
      <c r="A992" s="369">
        <f>+A991</f>
        <v>44256</v>
      </c>
      <c r="B992" s="347">
        <f>+MONTH(A992)</f>
        <v>3</v>
      </c>
      <c r="C992" s="347">
        <v>3210</v>
      </c>
      <c r="D992" s="340" t="str">
        <f>VLOOKUP(C992,Plan!A:B,2,0)</f>
        <v>Donacion Construccion</v>
      </c>
      <c r="E992" s="341">
        <f>+F992-G992</f>
        <v>-20000</v>
      </c>
      <c r="F992" s="353">
        <v>0</v>
      </c>
      <c r="G992" s="353">
        <f>+F991</f>
        <v>20000</v>
      </c>
      <c r="H992" t="s">
        <v>977</v>
      </c>
      <c r="I992" s="403" t="s">
        <v>131</v>
      </c>
      <c r="K992" s="370"/>
      <c r="N992" s="370"/>
    </row>
    <row r="993" spans="1:14" s="347" customFormat="1" x14ac:dyDescent="0.25">
      <c r="A993" s="369"/>
      <c r="E993" s="396"/>
      <c r="F993" s="396"/>
      <c r="G993" s="396"/>
      <c r="K993" s="370"/>
      <c r="N993" s="370"/>
    </row>
    <row r="994" spans="1:14" s="347" customFormat="1" x14ac:dyDescent="0.25">
      <c r="A994" s="369">
        <v>44256</v>
      </c>
      <c r="B994" s="347">
        <f>+MONTH(A994)</f>
        <v>3</v>
      </c>
      <c r="C994" s="347">
        <v>115</v>
      </c>
      <c r="D994" s="340" t="str">
        <f>VLOOKUP(C994,Plan!A:B,2,0)</f>
        <v>Disponible Cali B.Chile</v>
      </c>
      <c r="E994" s="341">
        <f>+F994-G994</f>
        <v>15000</v>
      </c>
      <c r="F994" s="353">
        <v>15000</v>
      </c>
      <c r="G994" s="353">
        <v>0</v>
      </c>
      <c r="H994" t="s">
        <v>979</v>
      </c>
      <c r="I994" s="403" t="s">
        <v>131</v>
      </c>
      <c r="K994" s="370"/>
      <c r="N994" s="370"/>
    </row>
    <row r="995" spans="1:14" s="347" customFormat="1" x14ac:dyDescent="0.25">
      <c r="A995" s="369">
        <f>+A994</f>
        <v>44256</v>
      </c>
      <c r="B995" s="347">
        <f>+MONTH(A995)</f>
        <v>3</v>
      </c>
      <c r="C995" s="347">
        <v>1222</v>
      </c>
      <c r="D995" s="340" t="str">
        <f>VLOOKUP(C995,Plan!A:B,2,0)</f>
        <v>Otros Valores -Oficina y Transferencias (249)</v>
      </c>
      <c r="E995" s="341">
        <f>+F995-G995</f>
        <v>-15000</v>
      </c>
      <c r="F995" s="353">
        <v>0</v>
      </c>
      <c r="G995" s="353">
        <f>+F994</f>
        <v>15000</v>
      </c>
      <c r="H995" t="s">
        <v>979</v>
      </c>
      <c r="I995" s="403" t="s">
        <v>131</v>
      </c>
      <c r="K995" s="370"/>
      <c r="N995" s="370"/>
    </row>
    <row r="996" spans="1:14" s="347" customFormat="1" x14ac:dyDescent="0.25">
      <c r="A996" s="369"/>
      <c r="E996" s="396"/>
      <c r="F996" s="396"/>
      <c r="G996" s="396"/>
      <c r="K996" s="370"/>
      <c r="N996" s="370"/>
    </row>
    <row r="997" spans="1:14" s="347" customFormat="1" x14ac:dyDescent="0.25">
      <c r="A997" s="369">
        <v>44256</v>
      </c>
      <c r="B997" s="347">
        <f>+MONTH(A997)</f>
        <v>3</v>
      </c>
      <c r="C997" s="347">
        <v>115</v>
      </c>
      <c r="D997" s="340" t="str">
        <f>VLOOKUP(C997,Plan!A:B,2,0)</f>
        <v>Disponible Cali B.Chile</v>
      </c>
      <c r="E997" s="341">
        <f>+F997-G997</f>
        <v>200000</v>
      </c>
      <c r="F997" s="353">
        <v>200000</v>
      </c>
      <c r="G997" s="353">
        <v>0</v>
      </c>
      <c r="H997" t="s">
        <v>1052</v>
      </c>
      <c r="I997" s="403" t="s">
        <v>131</v>
      </c>
      <c r="K997" s="370"/>
      <c r="N997" s="370"/>
    </row>
    <row r="998" spans="1:14" s="347" customFormat="1" x14ac:dyDescent="0.25">
      <c r="A998" s="369">
        <f>+A997</f>
        <v>44256</v>
      </c>
      <c r="B998" s="347">
        <f>+MONTH(A998)</f>
        <v>3</v>
      </c>
      <c r="C998" s="347">
        <v>3210</v>
      </c>
      <c r="D998" s="340" t="str">
        <f>VLOOKUP(C998,Plan!A:B,2,0)</f>
        <v>Donacion Construccion</v>
      </c>
      <c r="E998" s="341">
        <f>+F998-G998</f>
        <v>-200000</v>
      </c>
      <c r="F998" s="353">
        <v>0</v>
      </c>
      <c r="G998" s="353">
        <f>+F997</f>
        <v>200000</v>
      </c>
      <c r="H998" t="s">
        <v>1052</v>
      </c>
      <c r="I998" s="403" t="s">
        <v>131</v>
      </c>
      <c r="K998" s="370"/>
      <c r="N998" s="370"/>
    </row>
    <row r="999" spans="1:14" s="347" customFormat="1" x14ac:dyDescent="0.25">
      <c r="A999" s="369"/>
      <c r="E999" s="396"/>
      <c r="F999" s="396"/>
      <c r="G999" s="396"/>
      <c r="K999" s="370"/>
      <c r="N999" s="370"/>
    </row>
    <row r="1000" spans="1:14" s="347" customFormat="1" x14ac:dyDescent="0.25">
      <c r="A1000" s="369">
        <v>44256</v>
      </c>
      <c r="B1000" s="347">
        <f>+MONTH(A1000)</f>
        <v>3</v>
      </c>
      <c r="C1000" s="347">
        <v>115</v>
      </c>
      <c r="D1000" s="340" t="str">
        <f>VLOOKUP(C1000,Plan!A:B,2,0)</f>
        <v>Disponible Cali B.Chile</v>
      </c>
      <c r="E1000" s="341">
        <f>+F1000-G1000</f>
        <v>80000</v>
      </c>
      <c r="F1000" s="353">
        <v>80000</v>
      </c>
      <c r="G1000" s="353">
        <v>0</v>
      </c>
      <c r="H1000" t="s">
        <v>797</v>
      </c>
      <c r="I1000" s="403" t="s">
        <v>131</v>
      </c>
      <c r="K1000" s="370"/>
      <c r="N1000" s="370"/>
    </row>
    <row r="1001" spans="1:14" s="347" customFormat="1" x14ac:dyDescent="0.25">
      <c r="A1001" s="369">
        <f>+A1000</f>
        <v>44256</v>
      </c>
      <c r="B1001" s="347">
        <f>+MONTH(A1001)</f>
        <v>3</v>
      </c>
      <c r="C1001" s="347">
        <v>1217</v>
      </c>
      <c r="D1001" s="340" t="str">
        <f>VLOOKUP(C1001,Plan!A:B,2,0)</f>
        <v>Otros Valores -Oficina y Transferencias (248)</v>
      </c>
      <c r="E1001" s="341">
        <f>+F1001-G1001</f>
        <v>-80000</v>
      </c>
      <c r="F1001" s="353">
        <v>0</v>
      </c>
      <c r="G1001" s="353">
        <f>+F1000</f>
        <v>80000</v>
      </c>
      <c r="H1001" t="s">
        <v>797</v>
      </c>
      <c r="I1001" s="403" t="s">
        <v>131</v>
      </c>
      <c r="K1001" s="370"/>
      <c r="N1001" s="370"/>
    </row>
    <row r="1002" spans="1:14" s="347" customFormat="1" x14ac:dyDescent="0.25">
      <c r="A1002" s="369"/>
      <c r="E1002" s="396"/>
      <c r="F1002" s="396"/>
      <c r="G1002" s="396"/>
      <c r="K1002" s="370"/>
      <c r="N1002" s="370"/>
    </row>
    <row r="1003" spans="1:14" s="347" customFormat="1" x14ac:dyDescent="0.25">
      <c r="A1003" s="369">
        <v>44256</v>
      </c>
      <c r="B1003" s="347">
        <f>+MONTH(A1003)</f>
        <v>3</v>
      </c>
      <c r="C1003" s="347">
        <v>115</v>
      </c>
      <c r="D1003" s="340" t="str">
        <f>VLOOKUP(C1003,Plan!A:B,2,0)</f>
        <v>Disponible Cali B.Chile</v>
      </c>
      <c r="E1003" s="341">
        <f>+F1003-G1003</f>
        <v>50000</v>
      </c>
      <c r="F1003" s="353">
        <v>50000</v>
      </c>
      <c r="G1003" s="353">
        <v>0</v>
      </c>
      <c r="H1003" t="s">
        <v>1053</v>
      </c>
      <c r="I1003" s="403" t="s">
        <v>131</v>
      </c>
      <c r="K1003" s="370"/>
      <c r="N1003" s="370"/>
    </row>
    <row r="1004" spans="1:14" s="347" customFormat="1" x14ac:dyDescent="0.25">
      <c r="A1004" s="369">
        <f>+A1003</f>
        <v>44256</v>
      </c>
      <c r="B1004" s="347">
        <f>+MONTH(A1004)</f>
        <v>3</v>
      </c>
      <c r="C1004" s="347">
        <v>1130</v>
      </c>
      <c r="D1004" s="340" t="str">
        <f>VLOOKUP(C1004,Plan!A:B,2,0)</f>
        <v>Disponible Ch. Fecha</v>
      </c>
      <c r="E1004" s="341">
        <f>+F1004-G1004</f>
        <v>-50000</v>
      </c>
      <c r="F1004" s="353">
        <v>0</v>
      </c>
      <c r="G1004" s="353">
        <f>+F1003</f>
        <v>50000</v>
      </c>
      <c r="H1004" t="s">
        <v>1053</v>
      </c>
      <c r="I1004" s="403" t="s">
        <v>131</v>
      </c>
      <c r="K1004" s="370"/>
      <c r="N1004" s="370"/>
    </row>
    <row r="1005" spans="1:14" s="347" customFormat="1" x14ac:dyDescent="0.25">
      <c r="A1005" s="369"/>
      <c r="E1005" s="396"/>
      <c r="F1005" s="396"/>
      <c r="G1005" s="396"/>
      <c r="K1005" s="370"/>
      <c r="N1005" s="370"/>
    </row>
    <row r="1006" spans="1:14" s="347" customFormat="1" x14ac:dyDescent="0.25">
      <c r="A1006" s="369">
        <v>44256</v>
      </c>
      <c r="B1006" s="347">
        <f>+MONTH(A1006)</f>
        <v>3</v>
      </c>
      <c r="C1006" s="347">
        <v>115</v>
      </c>
      <c r="D1006" s="340" t="str">
        <f>VLOOKUP(C1006,Plan!A:B,2,0)</f>
        <v>Disponible Cali B.Chile</v>
      </c>
      <c r="E1006" s="341">
        <f>+F1006-G1006</f>
        <v>40000</v>
      </c>
      <c r="F1006" s="353">
        <v>40000</v>
      </c>
      <c r="G1006" s="353">
        <v>0</v>
      </c>
      <c r="H1006" t="s">
        <v>989</v>
      </c>
      <c r="I1006" s="403" t="s">
        <v>131</v>
      </c>
      <c r="K1006" s="370"/>
      <c r="N1006" s="370"/>
    </row>
    <row r="1007" spans="1:14" s="347" customFormat="1" x14ac:dyDescent="0.25">
      <c r="A1007" s="369">
        <f>+A1006</f>
        <v>44256</v>
      </c>
      <c r="B1007" s="347">
        <f>+MONTH(A1007)</f>
        <v>3</v>
      </c>
      <c r="C1007" s="347">
        <v>1217</v>
      </c>
      <c r="D1007" s="340" t="str">
        <f>VLOOKUP(C1007,Plan!A:B,2,0)</f>
        <v>Otros Valores -Oficina y Transferencias (248)</v>
      </c>
      <c r="E1007" s="341">
        <f>+F1007-G1007</f>
        <v>-40000</v>
      </c>
      <c r="F1007" s="353">
        <v>0</v>
      </c>
      <c r="G1007" s="353">
        <f>+F1006</f>
        <v>40000</v>
      </c>
      <c r="H1007" t="s">
        <v>989</v>
      </c>
      <c r="I1007" s="403" t="s">
        <v>131</v>
      </c>
      <c r="K1007" s="370"/>
      <c r="N1007" s="370"/>
    </row>
    <row r="1008" spans="1:14" s="347" customFormat="1" x14ac:dyDescent="0.25">
      <c r="A1008" s="369"/>
      <c r="E1008" s="396"/>
      <c r="F1008" s="396"/>
      <c r="G1008" s="396"/>
      <c r="K1008" s="370"/>
      <c r="N1008" s="370"/>
    </row>
    <row r="1009" spans="1:14" s="347" customFormat="1" x14ac:dyDescent="0.25">
      <c r="A1009" s="369">
        <v>44256</v>
      </c>
      <c r="B1009" s="347">
        <f>+MONTH(A1009)</f>
        <v>3</v>
      </c>
      <c r="C1009" s="347">
        <v>115</v>
      </c>
      <c r="D1009" s="340" t="str">
        <f>VLOOKUP(C1009,Plan!A:B,2,0)</f>
        <v>Disponible Cali B.Chile</v>
      </c>
      <c r="E1009" s="341">
        <f>+F1009-G1009</f>
        <v>15000</v>
      </c>
      <c r="F1009" s="353">
        <v>15000</v>
      </c>
      <c r="G1009" s="353">
        <v>0</v>
      </c>
      <c r="H1009" t="s">
        <v>1035</v>
      </c>
      <c r="I1009" s="403" t="s">
        <v>131</v>
      </c>
      <c r="K1009" s="370"/>
      <c r="N1009" s="370"/>
    </row>
    <row r="1010" spans="1:14" s="347" customFormat="1" x14ac:dyDescent="0.25">
      <c r="A1010" s="369">
        <f>+A1009</f>
        <v>44256</v>
      </c>
      <c r="B1010" s="347">
        <f>+MONTH(A1010)</f>
        <v>3</v>
      </c>
      <c r="C1010" s="347">
        <v>1217</v>
      </c>
      <c r="D1010" s="340" t="str">
        <f>VLOOKUP(C1010,Plan!A:B,2,0)</f>
        <v>Otros Valores -Oficina y Transferencias (248)</v>
      </c>
      <c r="E1010" s="341">
        <f>+F1010-G1010</f>
        <v>-15000</v>
      </c>
      <c r="F1010" s="353">
        <v>0</v>
      </c>
      <c r="G1010" s="353">
        <f>+F1009</f>
        <v>15000</v>
      </c>
      <c r="H1010" t="s">
        <v>1035</v>
      </c>
      <c r="I1010" s="403" t="s">
        <v>131</v>
      </c>
      <c r="K1010" s="370"/>
      <c r="N1010" s="370"/>
    </row>
    <row r="1011" spans="1:14" s="347" customFormat="1" x14ac:dyDescent="0.25">
      <c r="A1011" s="369"/>
      <c r="E1011" s="396"/>
      <c r="F1011" s="396"/>
      <c r="G1011" s="396"/>
      <c r="K1011" s="370"/>
      <c r="N1011" s="370"/>
    </row>
    <row r="1012" spans="1:14" s="347" customFormat="1" x14ac:dyDescent="0.25">
      <c r="A1012" s="369">
        <v>44256</v>
      </c>
      <c r="B1012" s="347">
        <f>+MONTH(A1012)</f>
        <v>3</v>
      </c>
      <c r="C1012" s="347">
        <v>115</v>
      </c>
      <c r="D1012" s="340" t="str">
        <f>VLOOKUP(C1012,Plan!A:B,2,0)</f>
        <v>Disponible Cali B.Chile</v>
      </c>
      <c r="E1012" s="341">
        <f>+F1012-G1012</f>
        <v>30000</v>
      </c>
      <c r="F1012" s="353">
        <v>30000</v>
      </c>
      <c r="G1012" s="353">
        <v>0</v>
      </c>
      <c r="H1012" t="s">
        <v>1054</v>
      </c>
      <c r="I1012" s="403" t="s">
        <v>131</v>
      </c>
      <c r="K1012" s="370"/>
      <c r="N1012" s="370"/>
    </row>
    <row r="1013" spans="1:14" s="347" customFormat="1" x14ac:dyDescent="0.25">
      <c r="A1013" s="369">
        <f>+A1012</f>
        <v>44256</v>
      </c>
      <c r="B1013" s="347">
        <f>+MONTH(A1013)</f>
        <v>3</v>
      </c>
      <c r="C1013" s="347">
        <v>216</v>
      </c>
      <c r="D1013" s="340" t="str">
        <f>VLOOKUP(C1013,Plan!A:B,2,0)</f>
        <v>Cuenta por Pagar a Administración Colectas</v>
      </c>
      <c r="E1013" s="341">
        <f>+F1013-G1013</f>
        <v>-30000</v>
      </c>
      <c r="F1013" s="353">
        <v>0</v>
      </c>
      <c r="G1013" s="353">
        <f>+F1012</f>
        <v>30000</v>
      </c>
      <c r="H1013" t="s">
        <v>1054</v>
      </c>
      <c r="I1013" s="403" t="s">
        <v>131</v>
      </c>
      <c r="K1013" s="370"/>
      <c r="N1013" s="370"/>
    </row>
    <row r="1014" spans="1:14" s="347" customFormat="1" x14ac:dyDescent="0.25">
      <c r="A1014" s="369"/>
      <c r="E1014" s="396"/>
      <c r="F1014" s="396"/>
      <c r="G1014" s="396"/>
      <c r="K1014" s="370"/>
      <c r="N1014" s="370"/>
    </row>
    <row r="1015" spans="1:14" s="347" customFormat="1" x14ac:dyDescent="0.25">
      <c r="A1015" s="369">
        <v>44257</v>
      </c>
      <c r="B1015" s="347">
        <f>+MONTH(A1015)</f>
        <v>3</v>
      </c>
      <c r="C1015" s="347">
        <v>115</v>
      </c>
      <c r="D1015" s="340" t="str">
        <f>VLOOKUP(C1015,Plan!A:B,2,0)</f>
        <v>Disponible Cali B.Chile</v>
      </c>
      <c r="E1015" s="341">
        <f>+F1015-G1015</f>
        <v>45000</v>
      </c>
      <c r="F1015" s="353">
        <v>45000</v>
      </c>
      <c r="G1015" s="353">
        <v>0</v>
      </c>
      <c r="H1015" t="s">
        <v>993</v>
      </c>
      <c r="I1015" s="403" t="s">
        <v>131</v>
      </c>
      <c r="K1015" s="370"/>
      <c r="N1015" s="370"/>
    </row>
    <row r="1016" spans="1:14" s="347" customFormat="1" x14ac:dyDescent="0.25">
      <c r="A1016" s="369">
        <f>+A1015</f>
        <v>44257</v>
      </c>
      <c r="B1016" s="347">
        <f>+MONTH(A1016)</f>
        <v>3</v>
      </c>
      <c r="C1016" s="347">
        <v>3210</v>
      </c>
      <c r="D1016" s="340" t="str">
        <f>VLOOKUP(C1016,Plan!A:B,2,0)</f>
        <v>Donacion Construccion</v>
      </c>
      <c r="E1016" s="341">
        <f>+F1016-G1016</f>
        <v>-45000</v>
      </c>
      <c r="F1016" s="353">
        <v>0</v>
      </c>
      <c r="G1016" s="353">
        <f>+F1015</f>
        <v>45000</v>
      </c>
      <c r="H1016" t="s">
        <v>993</v>
      </c>
      <c r="I1016" s="403" t="s">
        <v>131</v>
      </c>
      <c r="K1016" s="370"/>
      <c r="N1016" s="370"/>
    </row>
    <row r="1017" spans="1:14" s="347" customFormat="1" x14ac:dyDescent="0.25">
      <c r="A1017" s="369"/>
      <c r="E1017" s="396"/>
      <c r="F1017" s="396"/>
      <c r="G1017" s="396"/>
      <c r="K1017" s="370"/>
      <c r="N1017" s="370"/>
    </row>
    <row r="1018" spans="1:14" s="347" customFormat="1" x14ac:dyDescent="0.25">
      <c r="A1018" s="369">
        <v>44257</v>
      </c>
      <c r="B1018" s="347">
        <f>+MONTH(A1018)</f>
        <v>3</v>
      </c>
      <c r="C1018" s="347">
        <v>115</v>
      </c>
      <c r="D1018" s="340" t="str">
        <f>VLOOKUP(C1018,Plan!A:B,2,0)</f>
        <v>Disponible Cali B.Chile</v>
      </c>
      <c r="E1018" s="341">
        <f>+F1018-G1018</f>
        <v>55000</v>
      </c>
      <c r="F1018" s="353">
        <v>55000</v>
      </c>
      <c r="G1018" s="353">
        <v>0</v>
      </c>
      <c r="H1018" t="s">
        <v>992</v>
      </c>
      <c r="I1018" s="403" t="s">
        <v>131</v>
      </c>
      <c r="K1018" s="370"/>
      <c r="N1018" s="370"/>
    </row>
    <row r="1019" spans="1:14" s="347" customFormat="1" x14ac:dyDescent="0.25">
      <c r="A1019" s="369">
        <f>+A1018</f>
        <v>44257</v>
      </c>
      <c r="B1019" s="347">
        <f>+MONTH(A1019)</f>
        <v>3</v>
      </c>
      <c r="C1019" s="347">
        <v>1222</v>
      </c>
      <c r="D1019" s="340" t="str">
        <f>VLOOKUP(C1019,Plan!A:B,2,0)</f>
        <v>Otros Valores -Oficina y Transferencias (249)</v>
      </c>
      <c r="E1019" s="341">
        <f>+F1019-G1019</f>
        <v>-55000</v>
      </c>
      <c r="F1019" s="353">
        <v>0</v>
      </c>
      <c r="G1019" s="353">
        <f>+F1018</f>
        <v>55000</v>
      </c>
      <c r="H1019" t="s">
        <v>992</v>
      </c>
      <c r="I1019" s="403" t="s">
        <v>131</v>
      </c>
      <c r="K1019" s="370"/>
      <c r="N1019" s="370"/>
    </row>
    <row r="1020" spans="1:14" s="347" customFormat="1" x14ac:dyDescent="0.25">
      <c r="A1020" s="369"/>
      <c r="E1020" s="396"/>
      <c r="F1020" s="396"/>
      <c r="G1020" s="396"/>
      <c r="K1020" s="370"/>
      <c r="N1020" s="370"/>
    </row>
    <row r="1021" spans="1:14" s="347" customFormat="1" x14ac:dyDescent="0.25">
      <c r="A1021" s="369">
        <v>44257</v>
      </c>
      <c r="B1021" s="347">
        <f>+MONTH(A1021)</f>
        <v>3</v>
      </c>
      <c r="C1021" s="347">
        <v>115</v>
      </c>
      <c r="D1021" s="340" t="str">
        <f>VLOOKUP(C1021,Plan!A:B,2,0)</f>
        <v>Disponible Cali B.Chile</v>
      </c>
      <c r="E1021" s="341">
        <f>+F1021-G1021</f>
        <v>10000</v>
      </c>
      <c r="F1021" s="353">
        <v>10000</v>
      </c>
      <c r="G1021" s="353">
        <v>0</v>
      </c>
      <c r="H1021" t="s">
        <v>1028</v>
      </c>
      <c r="I1021" s="403" t="s">
        <v>131</v>
      </c>
      <c r="K1021" s="370"/>
      <c r="N1021" s="370"/>
    </row>
    <row r="1022" spans="1:14" s="347" customFormat="1" x14ac:dyDescent="0.25">
      <c r="A1022" s="369">
        <f>+A1021</f>
        <v>44257</v>
      </c>
      <c r="B1022" s="347">
        <f>+MONTH(A1022)</f>
        <v>3</v>
      </c>
      <c r="C1022" s="347">
        <v>1217</v>
      </c>
      <c r="D1022" s="340" t="str">
        <f>VLOOKUP(C1022,Plan!A:B,2,0)</f>
        <v>Otros Valores -Oficina y Transferencias (248)</v>
      </c>
      <c r="E1022" s="341">
        <f>+F1022-G1022</f>
        <v>-10000</v>
      </c>
      <c r="F1022" s="353">
        <v>0</v>
      </c>
      <c r="G1022" s="353">
        <f>+F1021</f>
        <v>10000</v>
      </c>
      <c r="H1022" t="s">
        <v>1028</v>
      </c>
      <c r="I1022" s="403" t="s">
        <v>131</v>
      </c>
      <c r="K1022" s="370"/>
      <c r="N1022" s="370"/>
    </row>
    <row r="1023" spans="1:14" s="347" customFormat="1" x14ac:dyDescent="0.25">
      <c r="K1023" s="370"/>
      <c r="N1023" s="370"/>
    </row>
    <row r="1024" spans="1:14" s="347" customFormat="1" x14ac:dyDescent="0.25">
      <c r="A1024" s="369">
        <v>44257</v>
      </c>
      <c r="B1024" s="347">
        <f>+MONTH(A1024)</f>
        <v>3</v>
      </c>
      <c r="C1024" s="347">
        <v>115</v>
      </c>
      <c r="D1024" s="340" t="str">
        <f>VLOOKUP(C1024,Plan!A:B,2,0)</f>
        <v>Disponible Cali B.Chile</v>
      </c>
      <c r="E1024" s="341">
        <f>+F1024-G1024</f>
        <v>180000</v>
      </c>
      <c r="F1024" s="353">
        <v>180000</v>
      </c>
      <c r="G1024" s="353">
        <v>0</v>
      </c>
      <c r="H1024" t="s">
        <v>1055</v>
      </c>
      <c r="I1024" s="403" t="s">
        <v>131</v>
      </c>
      <c r="K1024" s="370"/>
      <c r="N1024" s="370"/>
    </row>
    <row r="1025" spans="1:14" s="347" customFormat="1" x14ac:dyDescent="0.25">
      <c r="A1025" s="369">
        <f>+A1024</f>
        <v>44257</v>
      </c>
      <c r="B1025" s="347">
        <f>+MONTH(A1025)</f>
        <v>3</v>
      </c>
      <c r="C1025" s="347">
        <v>1222</v>
      </c>
      <c r="D1025" s="340" t="str">
        <f>VLOOKUP(C1025,Plan!A:B,2,0)</f>
        <v>Otros Valores -Oficina y Transferencias (249)</v>
      </c>
      <c r="E1025" s="341">
        <f>+F1025-G1025</f>
        <v>-180000</v>
      </c>
      <c r="F1025" s="353">
        <v>0</v>
      </c>
      <c r="G1025" s="353">
        <f>+F1024</f>
        <v>180000</v>
      </c>
      <c r="H1025" t="s">
        <v>1055</v>
      </c>
      <c r="I1025" s="403" t="s">
        <v>131</v>
      </c>
      <c r="K1025" s="370"/>
      <c r="N1025" s="370"/>
    </row>
    <row r="1026" spans="1:14" s="347" customFormat="1" x14ac:dyDescent="0.25">
      <c r="A1026" s="369"/>
      <c r="E1026" s="396"/>
      <c r="F1026" s="396"/>
      <c r="G1026" s="396"/>
      <c r="K1026" s="370"/>
      <c r="N1026" s="370"/>
    </row>
    <row r="1027" spans="1:14" s="347" customFormat="1" x14ac:dyDescent="0.25">
      <c r="A1027" s="369">
        <v>44257</v>
      </c>
      <c r="B1027" s="347">
        <f>+MONTH(A1027)</f>
        <v>3</v>
      </c>
      <c r="C1027" s="347">
        <v>115</v>
      </c>
      <c r="D1027" s="340" t="str">
        <f>VLOOKUP(C1027,Plan!A:B,2,0)</f>
        <v>Disponible Cali B.Chile</v>
      </c>
      <c r="E1027" s="341">
        <f>+F1027-G1027</f>
        <v>25000</v>
      </c>
      <c r="F1027" s="353">
        <v>25000</v>
      </c>
      <c r="G1027" s="353">
        <v>0</v>
      </c>
      <c r="H1027" t="s">
        <v>990</v>
      </c>
      <c r="I1027" s="403" t="s">
        <v>131</v>
      </c>
      <c r="K1027" s="370"/>
      <c r="N1027" s="370"/>
    </row>
    <row r="1028" spans="1:14" s="347" customFormat="1" x14ac:dyDescent="0.25">
      <c r="A1028" s="369">
        <f>+A1027</f>
        <v>44257</v>
      </c>
      <c r="B1028" s="347">
        <f>+MONTH(A1028)</f>
        <v>3</v>
      </c>
      <c r="C1028" s="347">
        <v>1222</v>
      </c>
      <c r="D1028" s="340" t="str">
        <f>VLOOKUP(C1028,Plan!A:B,2,0)</f>
        <v>Otros Valores -Oficina y Transferencias (249)</v>
      </c>
      <c r="E1028" s="341">
        <f>+F1028-G1028</f>
        <v>-25000</v>
      </c>
      <c r="F1028" s="353">
        <v>0</v>
      </c>
      <c r="G1028" s="353">
        <f>+F1027</f>
        <v>25000</v>
      </c>
      <c r="H1028" t="s">
        <v>990</v>
      </c>
      <c r="I1028" s="403" t="s">
        <v>131</v>
      </c>
      <c r="K1028" s="370"/>
      <c r="N1028" s="370"/>
    </row>
    <row r="1029" spans="1:14" s="347" customFormat="1" x14ac:dyDescent="0.25">
      <c r="A1029" s="369"/>
      <c r="E1029" s="396"/>
      <c r="F1029" s="396"/>
      <c r="G1029" s="396"/>
      <c r="K1029" s="370"/>
      <c r="N1029" s="370"/>
    </row>
    <row r="1030" spans="1:14" s="347" customFormat="1" x14ac:dyDescent="0.25">
      <c r="A1030" s="369">
        <v>44257</v>
      </c>
      <c r="B1030" s="347">
        <f>+MONTH(A1030)</f>
        <v>3</v>
      </c>
      <c r="C1030" s="347">
        <v>115</v>
      </c>
      <c r="D1030" s="340" t="str">
        <f>VLOOKUP(C1030,Plan!A:B,2,0)</f>
        <v>Disponible Cali B.Chile</v>
      </c>
      <c r="E1030" s="341">
        <f>+F1030-G1030</f>
        <v>20000</v>
      </c>
      <c r="F1030" s="353">
        <v>20000</v>
      </c>
      <c r="G1030" s="353">
        <v>0</v>
      </c>
      <c r="H1030" t="s">
        <v>1056</v>
      </c>
      <c r="I1030" s="403" t="s">
        <v>131</v>
      </c>
      <c r="K1030" s="370"/>
      <c r="N1030" s="370"/>
    </row>
    <row r="1031" spans="1:14" s="347" customFormat="1" x14ac:dyDescent="0.25">
      <c r="A1031" s="369">
        <f>+A1030</f>
        <v>44257</v>
      </c>
      <c r="B1031" s="347">
        <f>+MONTH(A1031)</f>
        <v>3</v>
      </c>
      <c r="C1031" s="347">
        <v>1222</v>
      </c>
      <c r="D1031" s="340" t="str">
        <f>VLOOKUP(C1031,Plan!A:B,2,0)</f>
        <v>Otros Valores -Oficina y Transferencias (249)</v>
      </c>
      <c r="E1031" s="341">
        <f>+F1031-G1031</f>
        <v>-20000</v>
      </c>
      <c r="F1031" s="353">
        <v>0</v>
      </c>
      <c r="G1031" s="353">
        <f>+F1030</f>
        <v>20000</v>
      </c>
      <c r="H1031" t="s">
        <v>1056</v>
      </c>
      <c r="I1031" s="403" t="s">
        <v>131</v>
      </c>
      <c r="K1031" s="370"/>
      <c r="N1031" s="370"/>
    </row>
    <row r="1032" spans="1:14" s="347" customFormat="1" x14ac:dyDescent="0.25">
      <c r="A1032" s="369"/>
      <c r="E1032" s="396"/>
      <c r="F1032" s="396"/>
      <c r="G1032" s="396"/>
      <c r="K1032" s="370"/>
      <c r="N1032" s="370"/>
    </row>
    <row r="1033" spans="1:14" s="347" customFormat="1" x14ac:dyDescent="0.25">
      <c r="A1033" s="369">
        <v>44257</v>
      </c>
      <c r="B1033" s="347">
        <f>+MONTH(A1033)</f>
        <v>3</v>
      </c>
      <c r="C1033" s="347">
        <v>115</v>
      </c>
      <c r="D1033" s="340" t="str">
        <f>VLOOKUP(C1033,Plan!A:B,2,0)</f>
        <v>Disponible Cali B.Chile</v>
      </c>
      <c r="E1033" s="341">
        <f>+F1033-G1033</f>
        <v>50000</v>
      </c>
      <c r="F1033" s="353">
        <v>50000</v>
      </c>
      <c r="G1033" s="353">
        <v>0</v>
      </c>
      <c r="H1033" t="s">
        <v>995</v>
      </c>
      <c r="I1033" s="403" t="s">
        <v>131</v>
      </c>
      <c r="K1033" s="370"/>
      <c r="N1033" s="370"/>
    </row>
    <row r="1034" spans="1:14" s="347" customFormat="1" x14ac:dyDescent="0.25">
      <c r="A1034" s="369">
        <f>+A1033</f>
        <v>44257</v>
      </c>
      <c r="B1034" s="347">
        <f>+MONTH(A1034)</f>
        <v>3</v>
      </c>
      <c r="C1034" s="347">
        <v>1222</v>
      </c>
      <c r="D1034" s="340" t="str">
        <f>VLOOKUP(C1034,Plan!A:B,2,0)</f>
        <v>Otros Valores -Oficina y Transferencias (249)</v>
      </c>
      <c r="E1034" s="341">
        <f>+F1034-G1034</f>
        <v>-50000</v>
      </c>
      <c r="F1034" s="353">
        <v>0</v>
      </c>
      <c r="G1034" s="353">
        <f>+F1033</f>
        <v>50000</v>
      </c>
      <c r="H1034" t="s">
        <v>995</v>
      </c>
      <c r="I1034" s="403" t="s">
        <v>131</v>
      </c>
      <c r="K1034" s="370"/>
      <c r="N1034" s="370"/>
    </row>
    <row r="1035" spans="1:14" s="347" customFormat="1" x14ac:dyDescent="0.25">
      <c r="A1035" s="369"/>
      <c r="E1035" s="396"/>
      <c r="F1035" s="396"/>
      <c r="G1035" s="396"/>
      <c r="K1035" s="370"/>
      <c r="N1035" s="370"/>
    </row>
    <row r="1036" spans="1:14" s="347" customFormat="1" x14ac:dyDescent="0.25">
      <c r="A1036" s="369">
        <v>44258</v>
      </c>
      <c r="B1036" s="347">
        <f>+MONTH(A1036)</f>
        <v>3</v>
      </c>
      <c r="C1036" s="347">
        <v>115</v>
      </c>
      <c r="D1036" s="340" t="str">
        <f>VLOOKUP(C1036,Plan!A:B,2,0)</f>
        <v>Disponible Cali B.Chile</v>
      </c>
      <c r="E1036" s="341">
        <f>+F1036-G1036</f>
        <v>37000</v>
      </c>
      <c r="F1036" s="353">
        <v>37000</v>
      </c>
      <c r="G1036" s="353">
        <v>0</v>
      </c>
      <c r="H1036" t="s">
        <v>787</v>
      </c>
      <c r="I1036" s="403" t="s">
        <v>131</v>
      </c>
      <c r="K1036" s="370"/>
      <c r="N1036" s="370"/>
    </row>
    <row r="1037" spans="1:14" s="347" customFormat="1" x14ac:dyDescent="0.25">
      <c r="A1037" s="369">
        <f>+A1036</f>
        <v>44258</v>
      </c>
      <c r="B1037" s="347">
        <f>+MONTH(A1037)</f>
        <v>3</v>
      </c>
      <c r="C1037" s="347">
        <v>1222</v>
      </c>
      <c r="D1037" s="340" t="str">
        <f>VLOOKUP(C1037,Plan!A:B,2,0)</f>
        <v>Otros Valores -Oficina y Transferencias (249)</v>
      </c>
      <c r="E1037" s="341">
        <f>+F1037-G1037</f>
        <v>-37000</v>
      </c>
      <c r="F1037" s="353">
        <v>0</v>
      </c>
      <c r="G1037" s="353">
        <f>+F1036</f>
        <v>37000</v>
      </c>
      <c r="H1037" t="s">
        <v>787</v>
      </c>
      <c r="I1037" s="403" t="s">
        <v>131</v>
      </c>
      <c r="K1037" s="370"/>
      <c r="N1037" s="370"/>
    </row>
    <row r="1038" spans="1:14" s="347" customFormat="1" x14ac:dyDescent="0.25">
      <c r="A1038" s="369"/>
      <c r="E1038" s="396"/>
      <c r="F1038" s="396"/>
      <c r="G1038" s="396"/>
      <c r="K1038" s="370"/>
      <c r="N1038" s="370"/>
    </row>
    <row r="1039" spans="1:14" s="347" customFormat="1" x14ac:dyDescent="0.25">
      <c r="A1039" s="369">
        <v>44258</v>
      </c>
      <c r="B1039" s="347">
        <f>+MONTH(A1039)</f>
        <v>3</v>
      </c>
      <c r="C1039" s="347">
        <v>115</v>
      </c>
      <c r="D1039" s="340" t="str">
        <f>VLOOKUP(C1039,Plan!A:B,2,0)</f>
        <v>Disponible Cali B.Chile</v>
      </c>
      <c r="E1039" s="341">
        <f>+F1039-G1039</f>
        <v>30000</v>
      </c>
      <c r="F1039" s="353">
        <v>30000</v>
      </c>
      <c r="G1039" s="353">
        <v>0</v>
      </c>
      <c r="H1039" t="s">
        <v>996</v>
      </c>
      <c r="I1039" s="403" t="s">
        <v>131</v>
      </c>
      <c r="K1039" s="370"/>
      <c r="N1039" s="370"/>
    </row>
    <row r="1040" spans="1:14" s="347" customFormat="1" x14ac:dyDescent="0.25">
      <c r="A1040" s="369">
        <f>+A1039</f>
        <v>44258</v>
      </c>
      <c r="B1040" s="347">
        <f>+MONTH(A1040)</f>
        <v>3</v>
      </c>
      <c r="C1040" s="347">
        <v>3210</v>
      </c>
      <c r="D1040" s="340" t="str">
        <f>VLOOKUP(C1040,Plan!A:B,2,0)</f>
        <v>Donacion Construccion</v>
      </c>
      <c r="E1040" s="341">
        <f>+F1040-G1040</f>
        <v>-30000</v>
      </c>
      <c r="F1040" s="353">
        <v>0</v>
      </c>
      <c r="G1040" s="353">
        <f>+F1039</f>
        <v>30000</v>
      </c>
      <c r="H1040" t="s">
        <v>996</v>
      </c>
      <c r="I1040" s="403" t="s">
        <v>131</v>
      </c>
      <c r="K1040" s="370"/>
      <c r="N1040" s="370"/>
    </row>
    <row r="1041" spans="1:14" s="347" customFormat="1" x14ac:dyDescent="0.25">
      <c r="A1041" s="369"/>
      <c r="E1041" s="396"/>
      <c r="F1041" s="396"/>
      <c r="G1041" s="396"/>
      <c r="K1041" s="370"/>
      <c r="N1041" s="370"/>
    </row>
    <row r="1042" spans="1:14" s="347" customFormat="1" x14ac:dyDescent="0.25">
      <c r="A1042" s="369">
        <v>44258</v>
      </c>
      <c r="B1042" s="347">
        <f>+MONTH(A1042)</f>
        <v>3</v>
      </c>
      <c r="C1042" s="347">
        <v>115</v>
      </c>
      <c r="D1042" s="340" t="str">
        <f>VLOOKUP(C1042,Plan!A:B,2,0)</f>
        <v>Disponible Cali B.Chile</v>
      </c>
      <c r="E1042" s="341">
        <f>+F1042-G1042</f>
        <v>59286</v>
      </c>
      <c r="F1042" s="353">
        <v>59286</v>
      </c>
      <c r="G1042" s="353">
        <v>0</v>
      </c>
      <c r="H1042" t="s">
        <v>1058</v>
      </c>
      <c r="I1042" s="403" t="s">
        <v>131</v>
      </c>
      <c r="K1042" s="370"/>
      <c r="N1042" s="370"/>
    </row>
    <row r="1043" spans="1:14" s="347" customFormat="1" x14ac:dyDescent="0.25">
      <c r="A1043" s="369">
        <v>44258</v>
      </c>
      <c r="B1043" s="347">
        <f>+MONTH(A1043)</f>
        <v>3</v>
      </c>
      <c r="C1043" s="347">
        <v>4331</v>
      </c>
      <c r="D1043" s="340" t="str">
        <f>VLOOKUP(C1043,Plan!A:B,2,0)</f>
        <v>Cali</v>
      </c>
      <c r="E1043" s="341">
        <f>+F1043-G1043</f>
        <v>714</v>
      </c>
      <c r="F1043" s="353">
        <f>+G1044-F1042</f>
        <v>714</v>
      </c>
      <c r="G1043" s="353">
        <v>0</v>
      </c>
      <c r="H1043" t="s">
        <v>1058</v>
      </c>
      <c r="I1043" s="403" t="s">
        <v>131</v>
      </c>
      <c r="K1043" s="370"/>
      <c r="N1043" s="370"/>
    </row>
    <row r="1044" spans="1:14" s="347" customFormat="1" x14ac:dyDescent="0.25">
      <c r="A1044" s="369">
        <f>+A1042</f>
        <v>44258</v>
      </c>
      <c r="B1044" s="347">
        <f>+MONTH(A1044)</f>
        <v>3</v>
      </c>
      <c r="C1044" s="347">
        <v>1222</v>
      </c>
      <c r="D1044" s="340" t="str">
        <f>VLOOKUP(C1044,Plan!A:B,2,0)</f>
        <v>Otros Valores -Oficina y Transferencias (249)</v>
      </c>
      <c r="E1044" s="341">
        <f>+F1044-G1044</f>
        <v>-60000</v>
      </c>
      <c r="F1044" s="353">
        <v>0</v>
      </c>
      <c r="G1044" s="353">
        <v>60000</v>
      </c>
      <c r="H1044" t="s">
        <v>1058</v>
      </c>
      <c r="I1044" s="403" t="s">
        <v>131</v>
      </c>
      <c r="K1044" s="370"/>
      <c r="N1044" s="370"/>
    </row>
    <row r="1045" spans="1:14" s="347" customFormat="1" x14ac:dyDescent="0.25">
      <c r="A1045" s="369"/>
      <c r="E1045" s="396"/>
      <c r="F1045" s="396"/>
      <c r="G1045" s="396"/>
      <c r="K1045" s="370"/>
      <c r="N1045" s="370"/>
    </row>
    <row r="1046" spans="1:14" s="347" customFormat="1" x14ac:dyDescent="0.25">
      <c r="A1046" s="369">
        <v>44258</v>
      </c>
      <c r="B1046" s="347">
        <f>+MONTH(A1046)</f>
        <v>3</v>
      </c>
      <c r="C1046" s="347">
        <v>115</v>
      </c>
      <c r="D1046" s="340" t="str">
        <f>VLOOKUP(C1046,Plan!A:B,2,0)</f>
        <v>Disponible Cali B.Chile</v>
      </c>
      <c r="E1046" s="341">
        <f>+F1046-G1046</f>
        <v>19600</v>
      </c>
      <c r="F1046" s="353">
        <v>19600</v>
      </c>
      <c r="G1046" s="353">
        <v>0</v>
      </c>
      <c r="H1046" t="s">
        <v>1057</v>
      </c>
      <c r="I1046" s="403" t="s">
        <v>131</v>
      </c>
      <c r="K1046" s="370"/>
      <c r="N1046" s="370"/>
    </row>
    <row r="1047" spans="1:14" s="347" customFormat="1" x14ac:dyDescent="0.25">
      <c r="A1047" s="369">
        <f>+A1046</f>
        <v>44258</v>
      </c>
      <c r="B1047" s="347">
        <f>+MONTH(A1047)</f>
        <v>3</v>
      </c>
      <c r="C1047" s="347">
        <v>3210</v>
      </c>
      <c r="D1047" s="340" t="str">
        <f>VLOOKUP(C1047,Plan!A:B,2,0)</f>
        <v>Donacion Construccion</v>
      </c>
      <c r="E1047" s="341">
        <f>+F1047-G1047</f>
        <v>-19600</v>
      </c>
      <c r="F1047" s="353">
        <v>0</v>
      </c>
      <c r="G1047" s="353">
        <f>+F1046</f>
        <v>19600</v>
      </c>
      <c r="H1047" t="s">
        <v>1057</v>
      </c>
      <c r="I1047" s="403" t="s">
        <v>131</v>
      </c>
      <c r="K1047" s="370"/>
      <c r="N1047" s="370"/>
    </row>
    <row r="1048" spans="1:14" s="347" customFormat="1" x14ac:dyDescent="0.25">
      <c r="A1048" s="369"/>
      <c r="E1048" s="396"/>
      <c r="F1048" s="396"/>
      <c r="G1048" s="396"/>
      <c r="K1048" s="370"/>
      <c r="N1048" s="370"/>
    </row>
    <row r="1049" spans="1:14" s="347" customFormat="1" x14ac:dyDescent="0.25">
      <c r="A1049" s="369">
        <v>44258</v>
      </c>
      <c r="B1049" s="347">
        <f>+MONTH(A1049)</f>
        <v>3</v>
      </c>
      <c r="C1049" s="347">
        <v>115</v>
      </c>
      <c r="D1049" s="340" t="str">
        <f>VLOOKUP(C1049,Plan!A:B,2,0)</f>
        <v>Disponible Cali B.Chile</v>
      </c>
      <c r="E1049" s="341">
        <f>+F1049-G1049</f>
        <v>20000</v>
      </c>
      <c r="F1049" s="353">
        <v>20000</v>
      </c>
      <c r="G1049" s="353">
        <v>0</v>
      </c>
      <c r="H1049" t="s">
        <v>998</v>
      </c>
      <c r="I1049" s="403" t="s">
        <v>131</v>
      </c>
      <c r="K1049" s="370"/>
      <c r="N1049" s="370"/>
    </row>
    <row r="1050" spans="1:14" s="347" customFormat="1" x14ac:dyDescent="0.25">
      <c r="A1050" s="369">
        <f>+A1049</f>
        <v>44258</v>
      </c>
      <c r="B1050" s="347">
        <f>+MONTH(A1050)</f>
        <v>3</v>
      </c>
      <c r="C1050" s="347">
        <v>1222</v>
      </c>
      <c r="D1050" s="340" t="str">
        <f>VLOOKUP(C1050,Plan!A:B,2,0)</f>
        <v>Otros Valores -Oficina y Transferencias (249)</v>
      </c>
      <c r="E1050" s="341">
        <f>+F1050-G1050</f>
        <v>-20000</v>
      </c>
      <c r="F1050" s="353">
        <v>0</v>
      </c>
      <c r="G1050" s="353">
        <f>+F1049</f>
        <v>20000</v>
      </c>
      <c r="H1050" t="s">
        <v>998</v>
      </c>
      <c r="I1050" s="403" t="s">
        <v>131</v>
      </c>
      <c r="K1050" s="370"/>
      <c r="N1050" s="370"/>
    </row>
    <row r="1051" spans="1:14" s="347" customFormat="1" x14ac:dyDescent="0.25">
      <c r="A1051" s="369"/>
      <c r="E1051" s="396"/>
      <c r="F1051" s="396"/>
      <c r="G1051" s="396"/>
      <c r="K1051" s="370"/>
      <c r="N1051" s="370"/>
    </row>
    <row r="1052" spans="1:14" s="347" customFormat="1" x14ac:dyDescent="0.25">
      <c r="A1052" s="369">
        <v>44259</v>
      </c>
      <c r="B1052" s="347">
        <f>+MONTH(A1052)</f>
        <v>3</v>
      </c>
      <c r="C1052" s="347">
        <v>115</v>
      </c>
      <c r="D1052" s="340" t="str">
        <f>VLOOKUP(C1052,Plan!A:B,2,0)</f>
        <v>Disponible Cali B.Chile</v>
      </c>
      <c r="E1052" s="341">
        <f>+F1052-G1052</f>
        <v>20000</v>
      </c>
      <c r="F1052" s="353">
        <v>20000</v>
      </c>
      <c r="G1052" s="353">
        <v>0</v>
      </c>
      <c r="H1052" t="s">
        <v>1001</v>
      </c>
      <c r="I1052" s="403" t="s">
        <v>131</v>
      </c>
      <c r="K1052" s="370"/>
      <c r="N1052" s="370"/>
    </row>
    <row r="1053" spans="1:14" s="347" customFormat="1" x14ac:dyDescent="0.25">
      <c r="A1053" s="369">
        <f>+A1052</f>
        <v>44259</v>
      </c>
      <c r="B1053" s="347">
        <f>+MONTH(A1053)</f>
        <v>3</v>
      </c>
      <c r="C1053" s="347">
        <v>3210</v>
      </c>
      <c r="D1053" s="340" t="str">
        <f>VLOOKUP(C1053,Plan!A:B,2,0)</f>
        <v>Donacion Construccion</v>
      </c>
      <c r="E1053" s="341">
        <f>+F1053-G1053</f>
        <v>-20000</v>
      </c>
      <c r="F1053" s="353">
        <v>0</v>
      </c>
      <c r="G1053" s="353">
        <f>+F1052</f>
        <v>20000</v>
      </c>
      <c r="H1053" t="s">
        <v>1001</v>
      </c>
      <c r="I1053" s="403" t="s">
        <v>131</v>
      </c>
      <c r="K1053" s="370"/>
      <c r="N1053" s="370"/>
    </row>
    <row r="1054" spans="1:14" s="347" customFormat="1" x14ac:dyDescent="0.25">
      <c r="A1054" s="369"/>
      <c r="E1054" s="396"/>
      <c r="F1054" s="396"/>
      <c r="G1054" s="396"/>
      <c r="K1054" s="370"/>
      <c r="N1054" s="370"/>
    </row>
    <row r="1055" spans="1:14" s="347" customFormat="1" x14ac:dyDescent="0.25">
      <c r="A1055" s="369">
        <v>44259</v>
      </c>
      <c r="B1055" s="347">
        <f>+MONTH(A1055)</f>
        <v>3</v>
      </c>
      <c r="C1055" s="347">
        <v>115</v>
      </c>
      <c r="D1055" s="340" t="str">
        <f>VLOOKUP(C1055,Plan!A:B,2,0)</f>
        <v>Disponible Cali B.Chile</v>
      </c>
      <c r="E1055" s="341">
        <f>+F1055-G1055</f>
        <v>150000</v>
      </c>
      <c r="F1055" s="353">
        <v>150000</v>
      </c>
      <c r="G1055" s="353">
        <v>0</v>
      </c>
      <c r="H1055" t="s">
        <v>1002</v>
      </c>
      <c r="I1055" s="403" t="s">
        <v>131</v>
      </c>
      <c r="K1055" s="370"/>
      <c r="N1055" s="370"/>
    </row>
    <row r="1056" spans="1:14" s="347" customFormat="1" x14ac:dyDescent="0.25">
      <c r="A1056" s="369">
        <f>+A1055</f>
        <v>44259</v>
      </c>
      <c r="B1056" s="347">
        <f>+MONTH(A1056)</f>
        <v>3</v>
      </c>
      <c r="C1056" s="347">
        <v>1222</v>
      </c>
      <c r="D1056" s="340" t="str">
        <f>VLOOKUP(C1056,Plan!A:B,2,0)</f>
        <v>Otros Valores -Oficina y Transferencias (249)</v>
      </c>
      <c r="E1056" s="341">
        <f>+F1056-G1056</f>
        <v>-150000</v>
      </c>
      <c r="F1056" s="353">
        <v>0</v>
      </c>
      <c r="G1056" s="353">
        <f>+F1055</f>
        <v>150000</v>
      </c>
      <c r="H1056" t="s">
        <v>1002</v>
      </c>
      <c r="I1056" s="403" t="s">
        <v>131</v>
      </c>
      <c r="K1056" s="370"/>
      <c r="N1056" s="370"/>
    </row>
    <row r="1057" spans="1:14" s="347" customFormat="1" x14ac:dyDescent="0.25">
      <c r="A1057" s="369"/>
      <c r="E1057" s="396"/>
      <c r="F1057" s="396"/>
      <c r="G1057" s="396"/>
      <c r="K1057" s="370"/>
      <c r="N1057" s="370"/>
    </row>
    <row r="1058" spans="1:14" s="347" customFormat="1" x14ac:dyDescent="0.25">
      <c r="A1058" s="369">
        <v>44259</v>
      </c>
      <c r="B1058" s="347">
        <f>+MONTH(A1058)</f>
        <v>3</v>
      </c>
      <c r="C1058" s="347">
        <v>115</v>
      </c>
      <c r="D1058" s="340" t="str">
        <f>VLOOKUP(C1058,Plan!A:B,2,0)</f>
        <v>Disponible Cali B.Chile</v>
      </c>
      <c r="E1058" s="341">
        <f>+F1058-G1058</f>
        <v>70000</v>
      </c>
      <c r="F1058" s="353">
        <v>70000</v>
      </c>
      <c r="G1058" s="353">
        <v>0</v>
      </c>
      <c r="H1058" t="s">
        <v>997</v>
      </c>
      <c r="I1058" s="403" t="s">
        <v>131</v>
      </c>
      <c r="K1058" s="370"/>
      <c r="N1058" s="370"/>
    </row>
    <row r="1059" spans="1:14" s="347" customFormat="1" x14ac:dyDescent="0.25">
      <c r="A1059" s="369">
        <f>+A1058</f>
        <v>44259</v>
      </c>
      <c r="B1059" s="347">
        <f>+MONTH(A1059)</f>
        <v>3</v>
      </c>
      <c r="C1059" s="347">
        <v>1222</v>
      </c>
      <c r="D1059" s="340" t="str">
        <f>VLOOKUP(C1059,Plan!A:B,2,0)</f>
        <v>Otros Valores -Oficina y Transferencias (249)</v>
      </c>
      <c r="E1059" s="341">
        <f>+F1059-G1059</f>
        <v>-70000</v>
      </c>
      <c r="F1059" s="353">
        <v>0</v>
      </c>
      <c r="G1059" s="353">
        <f>+F1058</f>
        <v>70000</v>
      </c>
      <c r="H1059" t="s">
        <v>997</v>
      </c>
      <c r="I1059" s="403" t="s">
        <v>131</v>
      </c>
      <c r="K1059" s="370"/>
      <c r="N1059" s="370"/>
    </row>
    <row r="1060" spans="1:14" s="347" customFormat="1" x14ac:dyDescent="0.25">
      <c r="A1060" s="369"/>
      <c r="E1060" s="396"/>
      <c r="F1060" s="396"/>
      <c r="G1060" s="396"/>
      <c r="K1060" s="370"/>
      <c r="N1060" s="370"/>
    </row>
    <row r="1061" spans="1:14" s="347" customFormat="1" x14ac:dyDescent="0.25">
      <c r="A1061" s="369">
        <v>44259</v>
      </c>
      <c r="B1061" s="347">
        <f>+MONTH(A1061)</f>
        <v>3</v>
      </c>
      <c r="C1061" s="347">
        <v>115</v>
      </c>
      <c r="D1061" s="340" t="str">
        <f>VLOOKUP(C1061,Plan!A:B,2,0)</f>
        <v>Disponible Cali B.Chile</v>
      </c>
      <c r="E1061" s="341">
        <f>+F1061-G1061</f>
        <v>25000</v>
      </c>
      <c r="F1061" s="353">
        <v>25000</v>
      </c>
      <c r="G1061" s="353">
        <v>0</v>
      </c>
      <c r="H1061" t="s">
        <v>980</v>
      </c>
      <c r="I1061" s="403" t="s">
        <v>131</v>
      </c>
      <c r="K1061" s="370"/>
      <c r="N1061" s="370"/>
    </row>
    <row r="1062" spans="1:14" s="347" customFormat="1" x14ac:dyDescent="0.25">
      <c r="A1062" s="369">
        <f>+A1061</f>
        <v>44259</v>
      </c>
      <c r="B1062" s="347">
        <f>+MONTH(A1062)</f>
        <v>3</v>
      </c>
      <c r="C1062" s="347">
        <v>1217</v>
      </c>
      <c r="D1062" s="340" t="str">
        <f>VLOOKUP(C1062,Plan!A:B,2,0)</f>
        <v>Otros Valores -Oficina y Transferencias (248)</v>
      </c>
      <c r="E1062" s="341">
        <f>+F1062-G1062</f>
        <v>-25000</v>
      </c>
      <c r="F1062" s="353">
        <v>0</v>
      </c>
      <c r="G1062" s="353">
        <f>+F1061</f>
        <v>25000</v>
      </c>
      <c r="H1062" t="s">
        <v>980</v>
      </c>
      <c r="I1062" s="403" t="s">
        <v>131</v>
      </c>
      <c r="K1062" s="370"/>
      <c r="N1062" s="370"/>
    </row>
    <row r="1063" spans="1:14" s="347" customFormat="1" x14ac:dyDescent="0.25">
      <c r="A1063" s="369"/>
      <c r="E1063" s="396"/>
      <c r="F1063" s="396"/>
      <c r="G1063" s="396"/>
      <c r="K1063" s="370"/>
      <c r="N1063" s="370"/>
    </row>
    <row r="1064" spans="1:14" s="347" customFormat="1" x14ac:dyDescent="0.25">
      <c r="A1064" s="369">
        <v>44259</v>
      </c>
      <c r="B1064" s="347">
        <f>+MONTH(A1064)</f>
        <v>3</v>
      </c>
      <c r="C1064" s="347">
        <v>115</v>
      </c>
      <c r="D1064" s="340" t="str">
        <f>VLOOKUP(C1064,Plan!A:B,2,0)</f>
        <v>Disponible Cali B.Chile</v>
      </c>
      <c r="E1064" s="341">
        <f>+F1064-G1064</f>
        <v>20000</v>
      </c>
      <c r="F1064" s="353">
        <v>20000</v>
      </c>
      <c r="G1064" s="353">
        <v>0</v>
      </c>
      <c r="H1064" t="s">
        <v>983</v>
      </c>
      <c r="I1064" s="403" t="s">
        <v>131</v>
      </c>
      <c r="K1064" s="370"/>
      <c r="N1064" s="370"/>
    </row>
    <row r="1065" spans="1:14" s="347" customFormat="1" x14ac:dyDescent="0.25">
      <c r="A1065" s="369">
        <f>+A1064</f>
        <v>44259</v>
      </c>
      <c r="B1065" s="347">
        <f>+MONTH(A1065)</f>
        <v>3</v>
      </c>
      <c r="C1065" s="347">
        <v>1222</v>
      </c>
      <c r="D1065" s="340" t="str">
        <f>VLOOKUP(C1065,Plan!A:B,2,0)</f>
        <v>Otros Valores -Oficina y Transferencias (249)</v>
      </c>
      <c r="E1065" s="341">
        <f>+F1065-G1065</f>
        <v>-20000</v>
      </c>
      <c r="F1065" s="353">
        <v>0</v>
      </c>
      <c r="G1065" s="353">
        <f>+F1064</f>
        <v>20000</v>
      </c>
      <c r="H1065" t="s">
        <v>983</v>
      </c>
      <c r="I1065" s="403" t="s">
        <v>131</v>
      </c>
      <c r="K1065" s="370"/>
      <c r="N1065" s="370"/>
    </row>
    <row r="1066" spans="1:14" s="347" customFormat="1" x14ac:dyDescent="0.25">
      <c r="A1066" s="369"/>
      <c r="E1066" s="396"/>
      <c r="F1066" s="396"/>
      <c r="G1066" s="396"/>
      <c r="K1066" s="370"/>
      <c r="N1066" s="370"/>
    </row>
    <row r="1067" spans="1:14" s="347" customFormat="1" x14ac:dyDescent="0.25">
      <c r="A1067" s="339">
        <v>44260</v>
      </c>
      <c r="B1067" s="340">
        <f>+MONTH(A1067)</f>
        <v>3</v>
      </c>
      <c r="C1067" s="338">
        <v>227</v>
      </c>
      <c r="D1067" s="340" t="str">
        <f>VLOOKUP(C1067,Plan!A$1:B$65542,2,0)</f>
        <v>Provisión Honorarios Cali</v>
      </c>
      <c r="E1067" s="341">
        <f>+F1067-G1067</f>
        <v>100000</v>
      </c>
      <c r="F1067" s="346">
        <v>100000</v>
      </c>
      <c r="G1067" s="346">
        <v>0</v>
      </c>
      <c r="H1067" t="s">
        <v>1059</v>
      </c>
      <c r="I1067" s="340" t="s">
        <v>131</v>
      </c>
      <c r="K1067" s="370"/>
      <c r="N1067" s="370"/>
    </row>
    <row r="1068" spans="1:14" s="347" customFormat="1" x14ac:dyDescent="0.25">
      <c r="A1068" s="339">
        <f>+A1067</f>
        <v>44260</v>
      </c>
      <c r="B1068" s="340">
        <f>+MONTH(A1068)</f>
        <v>3</v>
      </c>
      <c r="C1068" s="338">
        <v>115</v>
      </c>
      <c r="D1068" s="340" t="str">
        <f>VLOOKUP(C1068,Plan!A$1:B$65542,2,0)</f>
        <v>Disponible Cali B.Chile</v>
      </c>
      <c r="E1068" s="341">
        <f>+F1068-G1068</f>
        <v>-100000</v>
      </c>
      <c r="F1068" s="346">
        <v>0</v>
      </c>
      <c r="G1068" s="346">
        <v>100000</v>
      </c>
      <c r="H1068" s="338" t="str">
        <f>+H1067</f>
        <v>Hon.FEB/21 Campaña Hazte Parte</v>
      </c>
      <c r="I1068" s="401" t="str">
        <f>+I1067</f>
        <v>Cali</v>
      </c>
      <c r="K1068" s="370"/>
      <c r="N1068" s="370"/>
    </row>
    <row r="1069" spans="1:14" s="347" customFormat="1" x14ac:dyDescent="0.25">
      <c r="A1069" s="369"/>
      <c r="E1069" s="396"/>
      <c r="F1069" s="396"/>
      <c r="G1069" s="396"/>
      <c r="K1069" s="370"/>
      <c r="N1069" s="370"/>
    </row>
    <row r="1070" spans="1:14" s="347" customFormat="1" x14ac:dyDescent="0.25">
      <c r="A1070" s="339">
        <v>44260</v>
      </c>
      <c r="B1070" s="340">
        <f>+MONTH(A1070)</f>
        <v>3</v>
      </c>
      <c r="C1070" s="338">
        <v>203</v>
      </c>
      <c r="D1070" s="340" t="str">
        <f>VLOOKUP(C1070,Plan!A$1:B$65542,2,0)</f>
        <v>Recaudadoras por pagar</v>
      </c>
      <c r="E1070" s="341">
        <f>+F1070-G1070</f>
        <v>57240</v>
      </c>
      <c r="F1070" s="346">
        <v>57240</v>
      </c>
      <c r="G1070" s="346">
        <v>0</v>
      </c>
      <c r="H1070" t="s">
        <v>1060</v>
      </c>
      <c r="I1070" s="340" t="s">
        <v>131</v>
      </c>
      <c r="K1070" s="370"/>
      <c r="N1070" s="370"/>
    </row>
    <row r="1071" spans="1:14" s="347" customFormat="1" x14ac:dyDescent="0.25">
      <c r="A1071" s="339">
        <f>+A1070</f>
        <v>44260</v>
      </c>
      <c r="B1071" s="340">
        <f>+MONTH(A1071)</f>
        <v>3</v>
      </c>
      <c r="C1071" s="338">
        <v>204</v>
      </c>
      <c r="D1071" s="340" t="str">
        <f>VLOOKUP(C1071,Plan!A$1:B$65542,2,0)</f>
        <v>Retención Honorarios Cali</v>
      </c>
      <c r="E1071" s="341">
        <f>+F1071-G1071</f>
        <v>-6583</v>
      </c>
      <c r="F1071" s="346">
        <v>0</v>
      </c>
      <c r="G1071" s="346">
        <f>+F1070-G1072</f>
        <v>6583</v>
      </c>
      <c r="H1071" s="338" t="str">
        <f>+H1070</f>
        <v>Comision CALI  Recaudado FEB/21</v>
      </c>
      <c r="I1071" s="401" t="str">
        <f>+I1070</f>
        <v>Cali</v>
      </c>
      <c r="K1071" s="370"/>
      <c r="N1071" s="370"/>
    </row>
    <row r="1072" spans="1:14" s="347" customFormat="1" x14ac:dyDescent="0.25">
      <c r="A1072" s="339">
        <f>+A1070</f>
        <v>44260</v>
      </c>
      <c r="B1072" s="340">
        <f>+MONTH(A1072)</f>
        <v>3</v>
      </c>
      <c r="C1072" s="338">
        <v>115</v>
      </c>
      <c r="D1072" s="340" t="str">
        <f>VLOOKUP(C1072,Plan!A$1:B$65542,2,0)</f>
        <v>Disponible Cali B.Chile</v>
      </c>
      <c r="E1072" s="341">
        <f>+F1072-G1072</f>
        <v>-50657</v>
      </c>
      <c r="F1072" s="346">
        <v>0</v>
      </c>
      <c r="G1072" s="346">
        <v>50657</v>
      </c>
      <c r="H1072" s="338" t="str">
        <f>+H1070</f>
        <v>Comision CALI  Recaudado FEB/21</v>
      </c>
      <c r="I1072" s="401" t="str">
        <f>+I1070</f>
        <v>Cali</v>
      </c>
      <c r="K1072" s="370"/>
      <c r="N1072" s="370"/>
    </row>
    <row r="1073" spans="1:14" s="347" customFormat="1" x14ac:dyDescent="0.25">
      <c r="A1073" s="369"/>
      <c r="E1073" s="396"/>
      <c r="F1073" s="396"/>
      <c r="G1073" s="396"/>
      <c r="K1073" s="370"/>
      <c r="N1073" s="370"/>
    </row>
    <row r="1074" spans="1:14" s="347" customFormat="1" x14ac:dyDescent="0.25">
      <c r="A1074" s="369">
        <v>44260</v>
      </c>
      <c r="B1074" s="347">
        <f>+MONTH(A1074)</f>
        <v>3</v>
      </c>
      <c r="C1074" s="347">
        <v>115</v>
      </c>
      <c r="D1074" s="340" t="str">
        <f>VLOOKUP(C1074,Plan!A:B,2,0)</f>
        <v>Disponible Cali B.Chile</v>
      </c>
      <c r="E1074" s="341">
        <f>+F1074-G1074</f>
        <v>120000</v>
      </c>
      <c r="F1074" s="353">
        <v>120000</v>
      </c>
      <c r="G1074" s="353">
        <v>0</v>
      </c>
      <c r="H1074" t="s">
        <v>972</v>
      </c>
      <c r="I1074" s="403" t="s">
        <v>131</v>
      </c>
      <c r="K1074" s="370"/>
      <c r="N1074" s="370"/>
    </row>
    <row r="1075" spans="1:14" s="347" customFormat="1" x14ac:dyDescent="0.25">
      <c r="A1075" s="369">
        <f>+A1074</f>
        <v>44260</v>
      </c>
      <c r="B1075" s="347">
        <f>+MONTH(A1075)</f>
        <v>3</v>
      </c>
      <c r="C1075" s="347">
        <v>1222</v>
      </c>
      <c r="D1075" s="340" t="str">
        <f>VLOOKUP(C1075,Plan!A:B,2,0)</f>
        <v>Otros Valores -Oficina y Transferencias (249)</v>
      </c>
      <c r="E1075" s="341">
        <f>+F1075-G1075</f>
        <v>-120000</v>
      </c>
      <c r="F1075" s="353">
        <v>0</v>
      </c>
      <c r="G1075" s="353">
        <f>+F1074</f>
        <v>120000</v>
      </c>
      <c r="H1075" t="s">
        <v>972</v>
      </c>
      <c r="I1075" s="403" t="s">
        <v>131</v>
      </c>
      <c r="K1075" s="370"/>
      <c r="N1075" s="370"/>
    </row>
    <row r="1076" spans="1:14" s="347" customFormat="1" x14ac:dyDescent="0.25">
      <c r="A1076" s="369"/>
      <c r="E1076" s="396"/>
      <c r="F1076" s="396"/>
      <c r="G1076" s="396"/>
      <c r="K1076" s="370"/>
      <c r="N1076" s="370"/>
    </row>
    <row r="1077" spans="1:14" s="347" customFormat="1" x14ac:dyDescent="0.25">
      <c r="A1077" s="369">
        <v>44260</v>
      </c>
      <c r="B1077" s="347">
        <f>+MONTH(A1077)</f>
        <v>3</v>
      </c>
      <c r="C1077" s="347">
        <v>115</v>
      </c>
      <c r="D1077" s="340" t="str">
        <f>VLOOKUP(C1077,Plan!A:B,2,0)</f>
        <v>Disponible Cali B.Chile</v>
      </c>
      <c r="E1077" s="341">
        <f>+F1077-G1077</f>
        <v>150000</v>
      </c>
      <c r="F1077" s="353">
        <v>150000</v>
      </c>
      <c r="G1077" s="353">
        <v>0</v>
      </c>
      <c r="H1077" t="s">
        <v>1061</v>
      </c>
      <c r="I1077" s="403" t="s">
        <v>131</v>
      </c>
      <c r="K1077" s="370"/>
      <c r="N1077" s="370"/>
    </row>
    <row r="1078" spans="1:14" s="347" customFormat="1" x14ac:dyDescent="0.25">
      <c r="A1078" s="369">
        <f>+A1077</f>
        <v>44260</v>
      </c>
      <c r="B1078" s="347">
        <f>+MONTH(A1078)</f>
        <v>3</v>
      </c>
      <c r="C1078" s="347">
        <v>1217</v>
      </c>
      <c r="D1078" s="340" t="str">
        <f>VLOOKUP(C1078,Plan!A:B,2,0)</f>
        <v>Otros Valores -Oficina y Transferencias (248)</v>
      </c>
      <c r="E1078" s="341">
        <f>+F1078-G1078</f>
        <v>-150000</v>
      </c>
      <c r="F1078" s="353">
        <v>0</v>
      </c>
      <c r="G1078" s="353">
        <f>+F1077</f>
        <v>150000</v>
      </c>
      <c r="H1078" t="s">
        <v>1061</v>
      </c>
      <c r="I1078" s="403" t="s">
        <v>131</v>
      </c>
      <c r="K1078" s="370"/>
      <c r="N1078" s="370"/>
    </row>
    <row r="1079" spans="1:14" s="347" customFormat="1" x14ac:dyDescent="0.25">
      <c r="A1079" s="369"/>
      <c r="E1079" s="396"/>
      <c r="F1079" s="396"/>
      <c r="G1079" s="396"/>
      <c r="K1079" s="370"/>
      <c r="N1079" s="370"/>
    </row>
    <row r="1080" spans="1:14" s="347" customFormat="1" x14ac:dyDescent="0.25">
      <c r="A1080" s="369">
        <v>44260</v>
      </c>
      <c r="B1080" s="347">
        <f>+MONTH(A1080)</f>
        <v>3</v>
      </c>
      <c r="C1080" s="347">
        <v>115</v>
      </c>
      <c r="D1080" s="340" t="str">
        <f>VLOOKUP(C1080,Plan!A:B,2,0)</f>
        <v>Disponible Cali B.Chile</v>
      </c>
      <c r="E1080" s="341">
        <f>+F1080-G1080</f>
        <v>50000</v>
      </c>
      <c r="F1080" s="353">
        <v>50000</v>
      </c>
      <c r="G1080" s="353">
        <v>0</v>
      </c>
      <c r="H1080" t="s">
        <v>1006</v>
      </c>
      <c r="I1080" s="403" t="s">
        <v>131</v>
      </c>
      <c r="K1080" s="370"/>
      <c r="N1080" s="370"/>
    </row>
    <row r="1081" spans="1:14" s="347" customFormat="1" x14ac:dyDescent="0.25">
      <c r="A1081" s="369">
        <f>+A1080</f>
        <v>44260</v>
      </c>
      <c r="B1081" s="347">
        <f>+MONTH(A1081)</f>
        <v>3</v>
      </c>
      <c r="C1081" s="347">
        <v>3210</v>
      </c>
      <c r="D1081" s="340" t="str">
        <f>VLOOKUP(C1081,Plan!A:B,2,0)</f>
        <v>Donacion Construccion</v>
      </c>
      <c r="E1081" s="341">
        <f>+F1081-G1081</f>
        <v>-50000</v>
      </c>
      <c r="F1081" s="353">
        <v>0</v>
      </c>
      <c r="G1081" s="353">
        <f>+F1080</f>
        <v>50000</v>
      </c>
      <c r="H1081" t="s">
        <v>1006</v>
      </c>
      <c r="I1081" s="403" t="s">
        <v>131</v>
      </c>
      <c r="K1081" s="370"/>
      <c r="N1081" s="370"/>
    </row>
    <row r="1082" spans="1:14" s="347" customFormat="1" x14ac:dyDescent="0.25">
      <c r="A1082" s="369"/>
      <c r="E1082" s="396"/>
      <c r="F1082" s="396"/>
      <c r="G1082" s="396"/>
      <c r="K1082" s="370"/>
      <c r="N1082" s="370"/>
    </row>
    <row r="1083" spans="1:14" s="347" customFormat="1" x14ac:dyDescent="0.25">
      <c r="A1083" s="369">
        <v>44260</v>
      </c>
      <c r="B1083" s="347">
        <f>+MONTH(A1083)</f>
        <v>3</v>
      </c>
      <c r="C1083" s="347">
        <v>115</v>
      </c>
      <c r="D1083" s="340" t="str">
        <f>VLOOKUP(C1083,Plan!A:B,2,0)</f>
        <v>Disponible Cali B.Chile</v>
      </c>
      <c r="E1083" s="341">
        <f>+F1083-G1083</f>
        <v>100000</v>
      </c>
      <c r="F1083" s="353">
        <v>100000</v>
      </c>
      <c r="G1083" s="353">
        <v>0</v>
      </c>
      <c r="H1083" t="s">
        <v>987</v>
      </c>
      <c r="I1083" s="403" t="s">
        <v>131</v>
      </c>
      <c r="K1083" s="370"/>
      <c r="N1083" s="370"/>
    </row>
    <row r="1084" spans="1:14" s="347" customFormat="1" x14ac:dyDescent="0.25">
      <c r="A1084" s="369">
        <f>+A1083</f>
        <v>44260</v>
      </c>
      <c r="B1084" s="347">
        <f>+MONTH(A1084)</f>
        <v>3</v>
      </c>
      <c r="C1084" s="347">
        <v>1217</v>
      </c>
      <c r="D1084" s="340" t="str">
        <f>VLOOKUP(C1084,Plan!A:B,2,0)</f>
        <v>Otros Valores -Oficina y Transferencias (248)</v>
      </c>
      <c r="E1084" s="341">
        <f>+F1084-G1084</f>
        <v>-100000</v>
      </c>
      <c r="F1084" s="353">
        <v>0</v>
      </c>
      <c r="G1084" s="353">
        <f>+F1083</f>
        <v>100000</v>
      </c>
      <c r="H1084" t="s">
        <v>987</v>
      </c>
      <c r="I1084" s="403" t="s">
        <v>131</v>
      </c>
      <c r="K1084" s="370"/>
      <c r="N1084" s="370"/>
    </row>
    <row r="1085" spans="1:14" s="347" customFormat="1" x14ac:dyDescent="0.25">
      <c r="A1085" s="369"/>
      <c r="E1085" s="396"/>
      <c r="F1085" s="396"/>
      <c r="G1085" s="396"/>
      <c r="K1085" s="370"/>
      <c r="N1085" s="370"/>
    </row>
    <row r="1086" spans="1:14" s="347" customFormat="1" x14ac:dyDescent="0.25">
      <c r="A1086" s="369">
        <v>44260</v>
      </c>
      <c r="B1086" s="347">
        <f>+MONTH(A1086)</f>
        <v>3</v>
      </c>
      <c r="C1086" s="347">
        <v>115</v>
      </c>
      <c r="D1086" s="340" t="str">
        <f>VLOOKUP(C1086,Plan!A:B,2,0)</f>
        <v>Disponible Cali B.Chile</v>
      </c>
      <c r="E1086" s="341">
        <f>+F1086-G1086</f>
        <v>24000</v>
      </c>
      <c r="F1086" s="353">
        <v>24000</v>
      </c>
      <c r="G1086" s="353">
        <v>0</v>
      </c>
      <c r="H1086" t="s">
        <v>1053</v>
      </c>
      <c r="I1086" s="403" t="s">
        <v>131</v>
      </c>
      <c r="K1086" s="370"/>
      <c r="N1086" s="370"/>
    </row>
    <row r="1087" spans="1:14" s="347" customFormat="1" x14ac:dyDescent="0.25">
      <c r="A1087" s="369">
        <f>+A1086</f>
        <v>44260</v>
      </c>
      <c r="B1087" s="347">
        <f>+MONTH(A1087)</f>
        <v>3</v>
      </c>
      <c r="C1087" s="347">
        <v>1130</v>
      </c>
      <c r="D1087" s="340" t="str">
        <f>VLOOKUP(C1087,Plan!A:B,2,0)</f>
        <v>Disponible Ch. Fecha</v>
      </c>
      <c r="E1087" s="341">
        <f>+F1087-G1087</f>
        <v>-24000</v>
      </c>
      <c r="F1087" s="353">
        <v>0</v>
      </c>
      <c r="G1087" s="353">
        <f>+F1086</f>
        <v>24000</v>
      </c>
      <c r="H1087" t="s">
        <v>1053</v>
      </c>
      <c r="I1087" s="403" t="s">
        <v>131</v>
      </c>
      <c r="K1087" s="370"/>
      <c r="N1087" s="370"/>
    </row>
    <row r="1088" spans="1:14" s="347" customFormat="1" x14ac:dyDescent="0.25">
      <c r="A1088" s="369"/>
      <c r="E1088" s="396"/>
      <c r="F1088" s="396"/>
      <c r="G1088" s="396"/>
      <c r="K1088" s="370"/>
      <c r="N1088" s="370"/>
    </row>
    <row r="1089" spans="1:14" s="347" customFormat="1" x14ac:dyDescent="0.25">
      <c r="A1089" s="369">
        <v>44263</v>
      </c>
      <c r="B1089" s="347">
        <f>+MONTH(A1089)</f>
        <v>3</v>
      </c>
      <c r="C1089" s="347">
        <v>115</v>
      </c>
      <c r="D1089" s="340" t="str">
        <f>VLOOKUP(C1089,Plan!A:B,2,0)</f>
        <v>Disponible Cali B.Chile</v>
      </c>
      <c r="E1089" s="341">
        <f>+F1089-G1089</f>
        <v>40000</v>
      </c>
      <c r="F1089" s="353">
        <v>40000</v>
      </c>
      <c r="G1089" s="353">
        <v>0</v>
      </c>
      <c r="H1089" t="s">
        <v>1011</v>
      </c>
      <c r="I1089" s="403" t="s">
        <v>131</v>
      </c>
      <c r="K1089" s="370"/>
      <c r="N1089" s="370"/>
    </row>
    <row r="1090" spans="1:14" s="347" customFormat="1" x14ac:dyDescent="0.25">
      <c r="A1090" s="369">
        <f>+A1089</f>
        <v>44263</v>
      </c>
      <c r="B1090" s="347">
        <f>+MONTH(A1090)</f>
        <v>3</v>
      </c>
      <c r="C1090" s="347">
        <v>1222</v>
      </c>
      <c r="D1090" s="340" t="str">
        <f>VLOOKUP(C1090,Plan!A:B,2,0)</f>
        <v>Otros Valores -Oficina y Transferencias (249)</v>
      </c>
      <c r="E1090" s="341">
        <f>+F1090-G1090</f>
        <v>-40000</v>
      </c>
      <c r="F1090" s="353">
        <v>0</v>
      </c>
      <c r="G1090" s="353">
        <f>+F1089</f>
        <v>40000</v>
      </c>
      <c r="H1090" t="s">
        <v>1011</v>
      </c>
      <c r="I1090" s="403" t="s">
        <v>131</v>
      </c>
      <c r="K1090" s="370"/>
      <c r="N1090" s="370"/>
    </row>
    <row r="1091" spans="1:14" s="347" customFormat="1" x14ac:dyDescent="0.25">
      <c r="A1091" s="369"/>
      <c r="E1091" s="396"/>
      <c r="F1091" s="396"/>
      <c r="G1091" s="396"/>
      <c r="K1091" s="370"/>
      <c r="N1091" s="370"/>
    </row>
    <row r="1092" spans="1:14" s="347" customFormat="1" x14ac:dyDescent="0.25">
      <c r="A1092" s="369">
        <v>44263</v>
      </c>
      <c r="B1092" s="347">
        <f>+MONTH(A1092)</f>
        <v>3</v>
      </c>
      <c r="C1092" s="347">
        <v>115</v>
      </c>
      <c r="D1092" s="340" t="str">
        <f>VLOOKUP(C1092,Plan!A:B,2,0)</f>
        <v>Disponible Cali B.Chile</v>
      </c>
      <c r="E1092" s="341">
        <f>+F1092-G1092</f>
        <v>40000</v>
      </c>
      <c r="F1092" s="353">
        <v>40000</v>
      </c>
      <c r="G1092" s="353">
        <v>0</v>
      </c>
      <c r="H1092" t="s">
        <v>1009</v>
      </c>
      <c r="I1092" s="403" t="s">
        <v>131</v>
      </c>
      <c r="K1092" s="370"/>
      <c r="N1092" s="370"/>
    </row>
    <row r="1093" spans="1:14" s="347" customFormat="1" x14ac:dyDescent="0.25">
      <c r="A1093" s="369">
        <f>+A1092</f>
        <v>44263</v>
      </c>
      <c r="B1093" s="347">
        <f>+MONTH(A1093)</f>
        <v>3</v>
      </c>
      <c r="C1093" s="347">
        <v>1222</v>
      </c>
      <c r="D1093" s="340" t="str">
        <f>VLOOKUP(C1093,Plan!A:B,2,0)</f>
        <v>Otros Valores -Oficina y Transferencias (249)</v>
      </c>
      <c r="E1093" s="341">
        <f>+F1093-G1093</f>
        <v>-40000</v>
      </c>
      <c r="F1093" s="353">
        <v>0</v>
      </c>
      <c r="G1093" s="353">
        <f>+F1092</f>
        <v>40000</v>
      </c>
      <c r="H1093" t="s">
        <v>1009</v>
      </c>
      <c r="I1093" s="403" t="s">
        <v>131</v>
      </c>
      <c r="K1093" s="370"/>
      <c r="N1093" s="370"/>
    </row>
    <row r="1094" spans="1:14" s="347" customFormat="1" x14ac:dyDescent="0.25">
      <c r="A1094" s="369"/>
      <c r="E1094" s="396"/>
      <c r="F1094" s="396"/>
      <c r="G1094" s="396"/>
      <c r="K1094" s="370"/>
      <c r="N1094" s="370"/>
    </row>
    <row r="1095" spans="1:14" s="347" customFormat="1" x14ac:dyDescent="0.25">
      <c r="A1095" s="369">
        <v>44263</v>
      </c>
      <c r="B1095" s="347">
        <f>+MONTH(A1095)</f>
        <v>3</v>
      </c>
      <c r="C1095" s="347">
        <v>115</v>
      </c>
      <c r="D1095" s="340" t="str">
        <f>VLOOKUP(C1095,Plan!A:B,2,0)</f>
        <v>Disponible Cali B.Chile</v>
      </c>
      <c r="E1095" s="341">
        <f>+F1095-G1095</f>
        <v>15000</v>
      </c>
      <c r="F1095" s="353">
        <v>15000</v>
      </c>
      <c r="G1095" s="353">
        <v>0</v>
      </c>
      <c r="H1095" t="s">
        <v>1062</v>
      </c>
      <c r="I1095" s="403" t="s">
        <v>131</v>
      </c>
      <c r="K1095" s="370"/>
      <c r="N1095" s="370"/>
    </row>
    <row r="1096" spans="1:14" s="347" customFormat="1" x14ac:dyDescent="0.25">
      <c r="A1096" s="369">
        <f>+A1095</f>
        <v>44263</v>
      </c>
      <c r="B1096" s="347">
        <f>+MONTH(A1096)</f>
        <v>3</v>
      </c>
      <c r="C1096" s="347">
        <v>3210</v>
      </c>
      <c r="D1096" s="340" t="str">
        <f>VLOOKUP(C1096,Plan!A:B,2,0)</f>
        <v>Donacion Construccion</v>
      </c>
      <c r="E1096" s="341">
        <f>+F1096-G1096</f>
        <v>-15000</v>
      </c>
      <c r="F1096" s="353">
        <v>0</v>
      </c>
      <c r="G1096" s="353">
        <f>+F1095</f>
        <v>15000</v>
      </c>
      <c r="H1096" t="s">
        <v>1062</v>
      </c>
      <c r="I1096" s="403" t="s">
        <v>131</v>
      </c>
      <c r="K1096" s="370"/>
      <c r="N1096" s="370"/>
    </row>
    <row r="1097" spans="1:14" s="347" customFormat="1" x14ac:dyDescent="0.25">
      <c r="A1097" s="369"/>
      <c r="E1097" s="396"/>
      <c r="F1097" s="396"/>
      <c r="G1097" s="396"/>
      <c r="K1097" s="370"/>
      <c r="N1097" s="370"/>
    </row>
    <row r="1098" spans="1:14" s="347" customFormat="1" x14ac:dyDescent="0.25">
      <c r="A1098" s="369">
        <v>44263</v>
      </c>
      <c r="B1098" s="347">
        <f>+MONTH(A1098)</f>
        <v>3</v>
      </c>
      <c r="C1098" s="347">
        <v>115</v>
      </c>
      <c r="D1098" s="340" t="str">
        <f>VLOOKUP(C1098,Plan!A:B,2,0)</f>
        <v>Disponible Cali B.Chile</v>
      </c>
      <c r="E1098" s="341">
        <f>+F1098-G1098</f>
        <v>10000</v>
      </c>
      <c r="F1098" s="353">
        <v>10000</v>
      </c>
      <c r="G1098" s="353">
        <v>0</v>
      </c>
      <c r="H1098" t="s">
        <v>971</v>
      </c>
      <c r="I1098" s="403" t="s">
        <v>131</v>
      </c>
      <c r="K1098" s="370"/>
      <c r="N1098" s="370"/>
    </row>
    <row r="1099" spans="1:14" s="347" customFormat="1" x14ac:dyDescent="0.25">
      <c r="A1099" s="369">
        <f>+A1098</f>
        <v>44263</v>
      </c>
      <c r="B1099" s="347">
        <f>+MONTH(A1099)</f>
        <v>3</v>
      </c>
      <c r="C1099" s="347">
        <v>216</v>
      </c>
      <c r="D1099" s="340" t="str">
        <f>VLOOKUP(C1099,Plan!A:B,2,0)</f>
        <v>Cuenta por Pagar a Administración Colectas</v>
      </c>
      <c r="E1099" s="341">
        <f>+F1099-G1099</f>
        <v>-10000</v>
      </c>
      <c r="F1099" s="353">
        <v>0</v>
      </c>
      <c r="G1099" s="353">
        <f>+F1098</f>
        <v>10000</v>
      </c>
      <c r="H1099" t="s">
        <v>971</v>
      </c>
      <c r="I1099" s="403" t="s">
        <v>131</v>
      </c>
      <c r="K1099" s="370"/>
      <c r="N1099" s="370"/>
    </row>
    <row r="1100" spans="1:14" s="347" customFormat="1" x14ac:dyDescent="0.25">
      <c r="A1100" s="369"/>
      <c r="E1100" s="396"/>
      <c r="F1100" s="396"/>
      <c r="G1100" s="396"/>
      <c r="K1100" s="370"/>
      <c r="N1100" s="370"/>
    </row>
    <row r="1101" spans="1:14" s="347" customFormat="1" x14ac:dyDescent="0.25">
      <c r="A1101" s="369">
        <v>44263</v>
      </c>
      <c r="B1101" s="347">
        <f>+MONTH(A1101)</f>
        <v>3</v>
      </c>
      <c r="C1101" s="347">
        <v>115</v>
      </c>
      <c r="D1101" s="340" t="str">
        <f>VLOOKUP(C1101,Plan!A:B,2,0)</f>
        <v>Disponible Cali B.Chile</v>
      </c>
      <c r="E1101" s="341">
        <f>+F1101-G1101</f>
        <v>2000</v>
      </c>
      <c r="F1101" s="353">
        <v>2000</v>
      </c>
      <c r="G1101" s="353">
        <v>0</v>
      </c>
      <c r="H1101" t="s">
        <v>1010</v>
      </c>
      <c r="I1101" s="403" t="s">
        <v>131</v>
      </c>
      <c r="K1101" s="370"/>
      <c r="N1101" s="370"/>
    </row>
    <row r="1102" spans="1:14" s="347" customFormat="1" x14ac:dyDescent="0.25">
      <c r="A1102" s="369">
        <f>+A1101</f>
        <v>44263</v>
      </c>
      <c r="B1102" s="347">
        <f>+MONTH(A1102)</f>
        <v>3</v>
      </c>
      <c r="C1102" s="347">
        <v>216</v>
      </c>
      <c r="D1102" s="340" t="str">
        <f>VLOOKUP(C1102,Plan!A:B,2,0)</f>
        <v>Cuenta por Pagar a Administración Colectas</v>
      </c>
      <c r="E1102" s="341">
        <f>+F1102-G1102</f>
        <v>-2000</v>
      </c>
      <c r="F1102" s="353">
        <v>0</v>
      </c>
      <c r="G1102" s="353">
        <f>+F1101</f>
        <v>2000</v>
      </c>
      <c r="H1102" t="s">
        <v>1010</v>
      </c>
      <c r="I1102" s="403" t="s">
        <v>131</v>
      </c>
      <c r="K1102" s="370"/>
      <c r="N1102" s="370"/>
    </row>
    <row r="1103" spans="1:14" s="347" customFormat="1" x14ac:dyDescent="0.25">
      <c r="A1103" s="369"/>
      <c r="E1103" s="396"/>
      <c r="F1103" s="396"/>
      <c r="G1103" s="396"/>
      <c r="K1103" s="370"/>
      <c r="N1103" s="370"/>
    </row>
    <row r="1104" spans="1:14" s="347" customFormat="1" x14ac:dyDescent="0.25">
      <c r="A1104" s="369">
        <v>44263</v>
      </c>
      <c r="B1104" s="347">
        <f>+MONTH(A1104)</f>
        <v>3</v>
      </c>
      <c r="C1104" s="347">
        <v>115</v>
      </c>
      <c r="D1104" s="340" t="str">
        <f>VLOOKUP(C1104,Plan!A:B,2,0)</f>
        <v>Disponible Cali B.Chile</v>
      </c>
      <c r="E1104" s="341">
        <f>+F1104-G1104</f>
        <v>10000</v>
      </c>
      <c r="F1104" s="353">
        <v>10000</v>
      </c>
      <c r="G1104" s="353">
        <v>0</v>
      </c>
      <c r="H1104" t="s">
        <v>999</v>
      </c>
      <c r="I1104" s="403" t="s">
        <v>131</v>
      </c>
      <c r="K1104" s="370"/>
      <c r="N1104" s="370"/>
    </row>
    <row r="1105" spans="1:14" s="347" customFormat="1" x14ac:dyDescent="0.25">
      <c r="A1105" s="369">
        <f>+A1104</f>
        <v>44263</v>
      </c>
      <c r="B1105" s="347">
        <f>+MONTH(A1105)</f>
        <v>3</v>
      </c>
      <c r="C1105" s="347">
        <v>1222</v>
      </c>
      <c r="D1105" s="340" t="str">
        <f>VLOOKUP(C1105,Plan!A:B,2,0)</f>
        <v>Otros Valores -Oficina y Transferencias (249)</v>
      </c>
      <c r="E1105" s="341">
        <f>+F1105-G1105</f>
        <v>-10000</v>
      </c>
      <c r="F1105" s="353">
        <v>0</v>
      </c>
      <c r="G1105" s="353">
        <f>+F1104</f>
        <v>10000</v>
      </c>
      <c r="H1105" t="s">
        <v>999</v>
      </c>
      <c r="I1105" s="403" t="s">
        <v>131</v>
      </c>
      <c r="K1105" s="370"/>
      <c r="N1105" s="370"/>
    </row>
    <row r="1106" spans="1:14" s="347" customFormat="1" x14ac:dyDescent="0.25">
      <c r="A1106" s="369"/>
      <c r="E1106" s="396"/>
      <c r="F1106" s="396"/>
      <c r="G1106" s="396"/>
      <c r="K1106" s="370"/>
      <c r="N1106" s="370"/>
    </row>
    <row r="1107" spans="1:14" s="347" customFormat="1" x14ac:dyDescent="0.25">
      <c r="A1107" s="369">
        <v>44263</v>
      </c>
      <c r="B1107" s="347">
        <f>+MONTH(A1107)</f>
        <v>3</v>
      </c>
      <c r="C1107" s="347">
        <v>115</v>
      </c>
      <c r="D1107" s="340" t="str">
        <f>VLOOKUP(C1107,Plan!A:B,2,0)</f>
        <v>Disponible Cali B.Chile</v>
      </c>
      <c r="E1107" s="341">
        <f>+F1107-G1107</f>
        <v>10000</v>
      </c>
      <c r="F1107" s="353">
        <v>10000</v>
      </c>
      <c r="G1107" s="353">
        <v>0</v>
      </c>
      <c r="H1107" t="s">
        <v>1000</v>
      </c>
      <c r="I1107" s="403" t="s">
        <v>131</v>
      </c>
      <c r="K1107" s="370"/>
      <c r="N1107" s="370"/>
    </row>
    <row r="1108" spans="1:14" s="347" customFormat="1" x14ac:dyDescent="0.25">
      <c r="A1108" s="369">
        <f>+A1107</f>
        <v>44263</v>
      </c>
      <c r="B1108" s="347">
        <f>+MONTH(A1108)</f>
        <v>3</v>
      </c>
      <c r="C1108" s="347">
        <v>3210</v>
      </c>
      <c r="D1108" s="340" t="str">
        <f>VLOOKUP(C1108,Plan!A:B,2,0)</f>
        <v>Donacion Construccion</v>
      </c>
      <c r="E1108" s="341">
        <f>+F1108-G1108</f>
        <v>-10000</v>
      </c>
      <c r="F1108" s="353">
        <v>0</v>
      </c>
      <c r="G1108" s="353">
        <f>+F1107</f>
        <v>10000</v>
      </c>
      <c r="H1108" t="s">
        <v>1000</v>
      </c>
      <c r="I1108" s="403" t="s">
        <v>131</v>
      </c>
      <c r="K1108" s="370"/>
      <c r="N1108" s="370"/>
    </row>
    <row r="1109" spans="1:14" s="347" customFormat="1" x14ac:dyDescent="0.25">
      <c r="A1109" s="369"/>
      <c r="E1109" s="396"/>
      <c r="F1109" s="396"/>
      <c r="G1109" s="396"/>
      <c r="K1109" s="370"/>
      <c r="N1109" s="370"/>
    </row>
    <row r="1110" spans="1:14" s="347" customFormat="1" x14ac:dyDescent="0.25">
      <c r="A1110" s="369">
        <v>44263</v>
      </c>
      <c r="B1110" s="347">
        <f>+MONTH(A1110)</f>
        <v>3</v>
      </c>
      <c r="C1110" s="347">
        <v>115</v>
      </c>
      <c r="D1110" s="340" t="str">
        <f>VLOOKUP(C1110,Plan!A:B,2,0)</f>
        <v>Disponible Cali B.Chile</v>
      </c>
      <c r="E1110" s="341">
        <f>+F1110-G1110</f>
        <v>60000</v>
      </c>
      <c r="F1110" s="353">
        <v>60000</v>
      </c>
      <c r="G1110" s="353">
        <v>0</v>
      </c>
      <c r="H1110" t="s">
        <v>1031</v>
      </c>
      <c r="I1110" s="403" t="s">
        <v>131</v>
      </c>
      <c r="K1110" s="370"/>
      <c r="N1110" s="370"/>
    </row>
    <row r="1111" spans="1:14" s="347" customFormat="1" x14ac:dyDescent="0.25">
      <c r="A1111" s="369">
        <f>+A1110</f>
        <v>44263</v>
      </c>
      <c r="B1111" s="347">
        <f>+MONTH(A1111)</f>
        <v>3</v>
      </c>
      <c r="C1111" s="347">
        <v>1217</v>
      </c>
      <c r="D1111" s="340" t="str">
        <f>VLOOKUP(C1111,Plan!A:B,2,0)</f>
        <v>Otros Valores -Oficina y Transferencias (248)</v>
      </c>
      <c r="E1111" s="341">
        <f>+F1111-G1111</f>
        <v>-60000</v>
      </c>
      <c r="F1111" s="353">
        <v>0</v>
      </c>
      <c r="G1111" s="353">
        <f>+F1110</f>
        <v>60000</v>
      </c>
      <c r="H1111" t="s">
        <v>1031</v>
      </c>
      <c r="I1111" s="403" t="s">
        <v>131</v>
      </c>
      <c r="K1111" s="370"/>
      <c r="N1111" s="370"/>
    </row>
    <row r="1112" spans="1:14" s="347" customFormat="1" x14ac:dyDescent="0.25">
      <c r="A1112" s="369"/>
      <c r="E1112" s="396"/>
      <c r="F1112" s="396"/>
      <c r="G1112" s="396"/>
      <c r="K1112" s="370"/>
      <c r="N1112" s="370"/>
    </row>
    <row r="1113" spans="1:14" s="347" customFormat="1" x14ac:dyDescent="0.25">
      <c r="A1113" s="369">
        <v>44263</v>
      </c>
      <c r="B1113" s="347">
        <f>+MONTH(A1113)</f>
        <v>3</v>
      </c>
      <c r="C1113" s="347">
        <v>115</v>
      </c>
      <c r="D1113" s="340" t="str">
        <f>VLOOKUP(C1113,Plan!A:B,2,0)</f>
        <v>Disponible Cali B.Chile</v>
      </c>
      <c r="E1113" s="341">
        <f>+F1113-G1113</f>
        <v>64000</v>
      </c>
      <c r="F1113" s="353">
        <v>64000</v>
      </c>
      <c r="G1113" s="353">
        <v>0</v>
      </c>
      <c r="H1113" t="s">
        <v>550</v>
      </c>
      <c r="I1113" s="403" t="s">
        <v>131</v>
      </c>
      <c r="K1113" s="370"/>
      <c r="N1113" s="370"/>
    </row>
    <row r="1114" spans="1:14" s="347" customFormat="1" x14ac:dyDescent="0.25">
      <c r="A1114" s="369">
        <f>+A1113</f>
        <v>44263</v>
      </c>
      <c r="B1114" s="347">
        <f>+MONTH(A1114)</f>
        <v>3</v>
      </c>
      <c r="C1114" s="347">
        <v>1217</v>
      </c>
      <c r="D1114" s="340" t="str">
        <f>VLOOKUP(C1114,Plan!A:B,2,0)</f>
        <v>Otros Valores -Oficina y Transferencias (248)</v>
      </c>
      <c r="E1114" s="341">
        <f>+F1114-G1114</f>
        <v>-64000</v>
      </c>
      <c r="F1114" s="353">
        <v>0</v>
      </c>
      <c r="G1114" s="353">
        <f>+F1113</f>
        <v>64000</v>
      </c>
      <c r="H1114" t="s">
        <v>550</v>
      </c>
      <c r="I1114" s="403" t="s">
        <v>131</v>
      </c>
      <c r="K1114" s="370"/>
      <c r="N1114" s="370"/>
    </row>
    <row r="1115" spans="1:14" s="347" customFormat="1" x14ac:dyDescent="0.25">
      <c r="A1115" s="369"/>
      <c r="E1115" s="396"/>
      <c r="F1115" s="396"/>
      <c r="G1115" s="396"/>
      <c r="K1115" s="370"/>
      <c r="N1115" s="370"/>
    </row>
    <row r="1116" spans="1:14" s="347" customFormat="1" x14ac:dyDescent="0.25">
      <c r="A1116" s="369">
        <v>44263</v>
      </c>
      <c r="B1116" s="347">
        <f>+MONTH(A1116)</f>
        <v>3</v>
      </c>
      <c r="C1116" s="347">
        <v>115</v>
      </c>
      <c r="D1116" s="340" t="str">
        <f>VLOOKUP(C1116,Plan!A:B,2,0)</f>
        <v>Disponible Cali B.Chile</v>
      </c>
      <c r="E1116" s="341">
        <f>+F1116-G1116</f>
        <v>10000</v>
      </c>
      <c r="F1116" s="353">
        <v>10000</v>
      </c>
      <c r="G1116" s="353">
        <v>0</v>
      </c>
      <c r="H1116" t="s">
        <v>1027</v>
      </c>
      <c r="I1116" s="403" t="s">
        <v>131</v>
      </c>
      <c r="K1116" s="370"/>
      <c r="N1116" s="370"/>
    </row>
    <row r="1117" spans="1:14" s="347" customFormat="1" x14ac:dyDescent="0.25">
      <c r="A1117" s="369">
        <f>+A1116</f>
        <v>44263</v>
      </c>
      <c r="B1117" s="347">
        <f>+MONTH(A1117)</f>
        <v>3</v>
      </c>
      <c r="C1117" s="347">
        <v>1217</v>
      </c>
      <c r="D1117" s="340" t="str">
        <f>VLOOKUP(C1117,Plan!A:B,2,0)</f>
        <v>Otros Valores -Oficina y Transferencias (248)</v>
      </c>
      <c r="E1117" s="341">
        <f>+F1117-G1117</f>
        <v>-10000</v>
      </c>
      <c r="F1117" s="353">
        <v>0</v>
      </c>
      <c r="G1117" s="353">
        <f>+F1116</f>
        <v>10000</v>
      </c>
      <c r="H1117" t="s">
        <v>1027</v>
      </c>
      <c r="I1117" s="403" t="s">
        <v>131</v>
      </c>
      <c r="K1117" s="370"/>
      <c r="N1117" s="370"/>
    </row>
    <row r="1118" spans="1:14" s="347" customFormat="1" x14ac:dyDescent="0.25">
      <c r="A1118" s="369"/>
      <c r="E1118" s="396"/>
      <c r="F1118" s="396"/>
      <c r="G1118" s="396"/>
      <c r="K1118" s="370"/>
      <c r="N1118" s="370"/>
    </row>
    <row r="1119" spans="1:14" s="347" customFormat="1" x14ac:dyDescent="0.25">
      <c r="A1119" s="369">
        <v>44263</v>
      </c>
      <c r="B1119" s="347">
        <f>+MONTH(A1119)</f>
        <v>3</v>
      </c>
      <c r="C1119" s="347">
        <v>115</v>
      </c>
      <c r="D1119" s="340" t="str">
        <f>VLOOKUP(C1119,Plan!A:B,2,0)</f>
        <v>Disponible Cali B.Chile</v>
      </c>
      <c r="E1119" s="341">
        <f>+F1119-G1119</f>
        <v>1000000</v>
      </c>
      <c r="F1119" s="353">
        <v>1000000</v>
      </c>
      <c r="G1119" s="353">
        <v>0</v>
      </c>
      <c r="H1119" t="s">
        <v>1063</v>
      </c>
      <c r="I1119" s="403" t="s">
        <v>131</v>
      </c>
      <c r="K1119" s="370"/>
      <c r="N1119" s="370"/>
    </row>
    <row r="1120" spans="1:14" s="347" customFormat="1" x14ac:dyDescent="0.25">
      <c r="A1120" s="369">
        <f>+A1119</f>
        <v>44263</v>
      </c>
      <c r="B1120" s="347">
        <f>+MONTH(A1120)</f>
        <v>3</v>
      </c>
      <c r="C1120" s="347">
        <v>3210</v>
      </c>
      <c r="D1120" s="340" t="str">
        <f>VLOOKUP(C1120,Plan!A:B,2,0)</f>
        <v>Donacion Construccion</v>
      </c>
      <c r="E1120" s="341">
        <f>+F1120-G1120</f>
        <v>-1000000</v>
      </c>
      <c r="F1120" s="353">
        <v>0</v>
      </c>
      <c r="G1120" s="353">
        <f>+F1119</f>
        <v>1000000</v>
      </c>
      <c r="H1120" t="s">
        <v>1063</v>
      </c>
      <c r="I1120" s="403" t="s">
        <v>131</v>
      </c>
      <c r="K1120" s="370"/>
      <c r="N1120" s="370"/>
    </row>
    <row r="1121" spans="1:14" s="347" customFormat="1" x14ac:dyDescent="0.25">
      <c r="A1121" s="369"/>
      <c r="E1121" s="396"/>
      <c r="F1121" s="396"/>
      <c r="G1121" s="396"/>
      <c r="K1121" s="370"/>
      <c r="N1121" s="370"/>
    </row>
    <row r="1122" spans="1:14" s="347" customFormat="1" x14ac:dyDescent="0.25">
      <c r="A1122" s="369">
        <v>44264</v>
      </c>
      <c r="B1122" s="347">
        <f>+MONTH(A1122)</f>
        <v>3</v>
      </c>
      <c r="C1122" s="347">
        <v>115</v>
      </c>
      <c r="D1122" s="340" t="str">
        <f>VLOOKUP(C1122,Plan!A:B,2,0)</f>
        <v>Disponible Cali B.Chile</v>
      </c>
      <c r="E1122" s="341">
        <f>+F1122-G1122</f>
        <v>30000</v>
      </c>
      <c r="F1122" s="353">
        <v>30000</v>
      </c>
      <c r="G1122" s="353">
        <v>0</v>
      </c>
      <c r="H1122" t="s">
        <v>1003</v>
      </c>
      <c r="I1122" s="403" t="s">
        <v>131</v>
      </c>
      <c r="K1122" s="370"/>
      <c r="N1122" s="370"/>
    </row>
    <row r="1123" spans="1:14" s="347" customFormat="1" x14ac:dyDescent="0.25">
      <c r="A1123" s="369">
        <f>+A1122</f>
        <v>44264</v>
      </c>
      <c r="B1123" s="347">
        <f>+MONTH(A1123)</f>
        <v>3</v>
      </c>
      <c r="C1123" s="347">
        <v>3210</v>
      </c>
      <c r="D1123" s="340" t="str">
        <f>VLOOKUP(C1123,Plan!A:B,2,0)</f>
        <v>Donacion Construccion</v>
      </c>
      <c r="E1123" s="341">
        <f>+F1123-G1123</f>
        <v>-30000</v>
      </c>
      <c r="F1123" s="353">
        <v>0</v>
      </c>
      <c r="G1123" s="353">
        <f>+F1122</f>
        <v>30000</v>
      </c>
      <c r="H1123" t="s">
        <v>1003</v>
      </c>
      <c r="I1123" s="403" t="s">
        <v>131</v>
      </c>
      <c r="K1123" s="370"/>
      <c r="N1123" s="370"/>
    </row>
    <row r="1124" spans="1:14" s="347" customFormat="1" x14ac:dyDescent="0.25">
      <c r="A1124" s="369"/>
      <c r="E1124" s="396"/>
      <c r="F1124" s="396"/>
      <c r="G1124" s="396"/>
      <c r="K1124" s="370"/>
      <c r="N1124" s="370"/>
    </row>
    <row r="1125" spans="1:14" s="347" customFormat="1" x14ac:dyDescent="0.25">
      <c r="A1125" s="369">
        <v>44264</v>
      </c>
      <c r="B1125" s="347">
        <f>+MONTH(A1125)</f>
        <v>3</v>
      </c>
      <c r="C1125" s="347">
        <v>115</v>
      </c>
      <c r="D1125" s="340" t="str">
        <f>VLOOKUP(C1125,Plan!A:B,2,0)</f>
        <v>Disponible Cali B.Chile</v>
      </c>
      <c r="E1125" s="341">
        <f>+F1125-G1125</f>
        <v>25480</v>
      </c>
      <c r="F1125" s="353">
        <v>25480</v>
      </c>
      <c r="G1125" s="353">
        <v>0</v>
      </c>
      <c r="H1125" t="s">
        <v>1064</v>
      </c>
      <c r="I1125" s="403" t="s">
        <v>131</v>
      </c>
      <c r="K1125" s="370"/>
      <c r="N1125" s="370"/>
    </row>
    <row r="1126" spans="1:14" s="347" customFormat="1" x14ac:dyDescent="0.25">
      <c r="A1126" s="369">
        <f>+A1125</f>
        <v>44264</v>
      </c>
      <c r="B1126" s="347">
        <f>+MONTH(A1126)</f>
        <v>3</v>
      </c>
      <c r="C1126" s="347">
        <v>3210</v>
      </c>
      <c r="D1126" s="340" t="str">
        <f>VLOOKUP(C1126,Plan!A:B,2,0)</f>
        <v>Donacion Construccion</v>
      </c>
      <c r="E1126" s="341">
        <f>+F1126-G1126</f>
        <v>-25480</v>
      </c>
      <c r="F1126" s="353">
        <v>0</v>
      </c>
      <c r="G1126" s="353">
        <f>+F1125</f>
        <v>25480</v>
      </c>
      <c r="H1126" t="s">
        <v>1064</v>
      </c>
      <c r="I1126" s="403" t="s">
        <v>131</v>
      </c>
      <c r="K1126" s="370"/>
      <c r="N1126" s="370"/>
    </row>
    <row r="1127" spans="1:14" s="347" customFormat="1" x14ac:dyDescent="0.25">
      <c r="A1127" s="369"/>
      <c r="E1127" s="396"/>
      <c r="F1127" s="396"/>
      <c r="G1127" s="396"/>
      <c r="K1127" s="370"/>
      <c r="N1127" s="370"/>
    </row>
    <row r="1128" spans="1:14" s="347" customFormat="1" x14ac:dyDescent="0.25">
      <c r="A1128" s="369">
        <v>44264</v>
      </c>
      <c r="B1128" s="347">
        <f>+MONTH(A1128)</f>
        <v>3</v>
      </c>
      <c r="C1128" s="347">
        <v>4170</v>
      </c>
      <c r="D1128" s="340" t="str">
        <f>VLOOKUP(C1128,Plan!A:B,2,0)</f>
        <v>Cali otros</v>
      </c>
      <c r="E1128" s="341">
        <f>+F1128-G1128</f>
        <v>1742</v>
      </c>
      <c r="F1128" s="353">
        <v>1742</v>
      </c>
      <c r="G1128" s="353">
        <v>0</v>
      </c>
      <c r="H1128" t="s">
        <v>1005</v>
      </c>
      <c r="I1128" s="403" t="s">
        <v>131</v>
      </c>
      <c r="K1128" s="370"/>
      <c r="N1128" s="370"/>
    </row>
    <row r="1129" spans="1:14" s="347" customFormat="1" x14ac:dyDescent="0.25">
      <c r="A1129" s="369">
        <f>+A1128</f>
        <v>44264</v>
      </c>
      <c r="B1129" s="347">
        <f>+MONTH(A1129)</f>
        <v>3</v>
      </c>
      <c r="C1129" s="347">
        <v>115</v>
      </c>
      <c r="D1129" s="340" t="str">
        <f>VLOOKUP(C1129,Plan!A:B,2,0)</f>
        <v>Disponible Cali B.Chile</v>
      </c>
      <c r="E1129" s="341">
        <f>+F1129-G1129</f>
        <v>-1742</v>
      </c>
      <c r="F1129" s="353">
        <v>0</v>
      </c>
      <c r="G1129" s="353">
        <f>+F1128</f>
        <v>1742</v>
      </c>
      <c r="H1129" t="s">
        <v>1005</v>
      </c>
      <c r="I1129" s="403" t="s">
        <v>131</v>
      </c>
      <c r="K1129" s="370"/>
      <c r="N1129" s="370"/>
    </row>
    <row r="1130" spans="1:14" s="347" customFormat="1" x14ac:dyDescent="0.25">
      <c r="A1130" s="369"/>
      <c r="E1130" s="396"/>
      <c r="F1130" s="396"/>
      <c r="G1130" s="396"/>
      <c r="K1130" s="370"/>
      <c r="N1130" s="370"/>
    </row>
    <row r="1131" spans="1:14" s="347" customFormat="1" x14ac:dyDescent="0.25">
      <c r="A1131" s="369">
        <v>44265</v>
      </c>
      <c r="B1131" s="347">
        <f>+MONTH(A1131)</f>
        <v>3</v>
      </c>
      <c r="C1131" s="347">
        <v>115</v>
      </c>
      <c r="D1131" s="340" t="str">
        <f>VLOOKUP(C1131,Plan!A:B,2,0)</f>
        <v>Disponible Cali B.Chile</v>
      </c>
      <c r="E1131" s="341">
        <f>+F1131-G1131</f>
        <v>150000</v>
      </c>
      <c r="F1131" s="353">
        <v>150000</v>
      </c>
      <c r="G1131" s="353">
        <v>0</v>
      </c>
      <c r="H1131" t="s">
        <v>1021</v>
      </c>
      <c r="I1131" s="403" t="s">
        <v>131</v>
      </c>
      <c r="K1131" s="370"/>
      <c r="N1131" s="370"/>
    </row>
    <row r="1132" spans="1:14" s="347" customFormat="1" x14ac:dyDescent="0.25">
      <c r="A1132" s="369">
        <f>+A1131</f>
        <v>44265</v>
      </c>
      <c r="B1132" s="347">
        <f>+MONTH(A1132)</f>
        <v>3</v>
      </c>
      <c r="C1132" s="347">
        <v>3210</v>
      </c>
      <c r="D1132" s="340" t="str">
        <f>VLOOKUP(C1132,Plan!A:B,2,0)</f>
        <v>Donacion Construccion</v>
      </c>
      <c r="E1132" s="341">
        <f>+F1132-G1132</f>
        <v>-150000</v>
      </c>
      <c r="F1132" s="353">
        <v>0</v>
      </c>
      <c r="G1132" s="353">
        <f>+F1131</f>
        <v>150000</v>
      </c>
      <c r="H1132" t="s">
        <v>1021</v>
      </c>
      <c r="I1132" s="403" t="s">
        <v>131</v>
      </c>
      <c r="K1132" s="370"/>
      <c r="N1132" s="370"/>
    </row>
    <row r="1133" spans="1:14" s="347" customFormat="1" x14ac:dyDescent="0.25">
      <c r="A1133" s="369"/>
      <c r="E1133" s="396"/>
      <c r="F1133" s="396"/>
      <c r="G1133" s="396"/>
      <c r="K1133" s="370"/>
      <c r="N1133" s="370"/>
    </row>
    <row r="1134" spans="1:14" s="347" customFormat="1" x14ac:dyDescent="0.25">
      <c r="A1134" s="369">
        <v>44265</v>
      </c>
      <c r="B1134" s="347">
        <f>+MONTH(A1134)</f>
        <v>3</v>
      </c>
      <c r="C1134" s="347">
        <v>115</v>
      </c>
      <c r="D1134" s="340" t="str">
        <f>VLOOKUP(C1134,Plan!A:B,2,0)</f>
        <v>Disponible Cali B.Chile</v>
      </c>
      <c r="E1134" s="341">
        <f>+F1134-G1134</f>
        <v>30000</v>
      </c>
      <c r="F1134" s="353">
        <v>30000</v>
      </c>
      <c r="G1134" s="353">
        <v>0</v>
      </c>
      <c r="H1134" t="s">
        <v>1015</v>
      </c>
      <c r="I1134" s="403" t="s">
        <v>131</v>
      </c>
      <c r="K1134" s="370"/>
      <c r="N1134" s="370"/>
    </row>
    <row r="1135" spans="1:14" s="347" customFormat="1" x14ac:dyDescent="0.25">
      <c r="A1135" s="369">
        <f>+A1134</f>
        <v>44265</v>
      </c>
      <c r="B1135" s="347">
        <f>+MONTH(A1135)</f>
        <v>3</v>
      </c>
      <c r="C1135" s="347">
        <v>1222</v>
      </c>
      <c r="D1135" s="340" t="str">
        <f>VLOOKUP(C1135,Plan!A:B,2,0)</f>
        <v>Otros Valores -Oficina y Transferencias (249)</v>
      </c>
      <c r="E1135" s="341">
        <f>+F1135-G1135</f>
        <v>-30000</v>
      </c>
      <c r="F1135" s="353">
        <v>0</v>
      </c>
      <c r="G1135" s="353">
        <f>+F1134</f>
        <v>30000</v>
      </c>
      <c r="H1135" t="s">
        <v>1015</v>
      </c>
      <c r="I1135" s="403" t="s">
        <v>131</v>
      </c>
      <c r="K1135" s="370"/>
      <c r="N1135" s="370"/>
    </row>
    <row r="1136" spans="1:14" s="347" customFormat="1" x14ac:dyDescent="0.25">
      <c r="A1136" s="369"/>
      <c r="E1136" s="396"/>
      <c r="F1136" s="396"/>
      <c r="G1136" s="396"/>
      <c r="K1136" s="370"/>
      <c r="N1136" s="370"/>
    </row>
    <row r="1137" spans="1:14" s="347" customFormat="1" x14ac:dyDescent="0.25">
      <c r="A1137" s="369">
        <v>44265</v>
      </c>
      <c r="B1137" s="347">
        <f>+MONTH(A1137)</f>
        <v>3</v>
      </c>
      <c r="C1137" s="347">
        <v>115</v>
      </c>
      <c r="D1137" s="340" t="str">
        <f>VLOOKUP(C1137,Plan!A:B,2,0)</f>
        <v>Disponible Cali B.Chile</v>
      </c>
      <c r="E1137" s="341">
        <f>+F1137-G1137</f>
        <v>17000</v>
      </c>
      <c r="F1137" s="353">
        <v>17000</v>
      </c>
      <c r="G1137" s="353">
        <v>0</v>
      </c>
      <c r="H1137" t="s">
        <v>1016</v>
      </c>
      <c r="I1137" s="403" t="s">
        <v>131</v>
      </c>
      <c r="K1137" s="370"/>
      <c r="N1137" s="370"/>
    </row>
    <row r="1138" spans="1:14" s="347" customFormat="1" x14ac:dyDescent="0.25">
      <c r="A1138" s="369">
        <f>+A1137</f>
        <v>44265</v>
      </c>
      <c r="B1138" s="347">
        <f>+MONTH(A1138)</f>
        <v>3</v>
      </c>
      <c r="C1138" s="347">
        <v>1222</v>
      </c>
      <c r="D1138" s="340" t="str">
        <f>VLOOKUP(C1138,Plan!A:B,2,0)</f>
        <v>Otros Valores -Oficina y Transferencias (249)</v>
      </c>
      <c r="E1138" s="341">
        <f>+F1138-G1138</f>
        <v>-17000</v>
      </c>
      <c r="F1138" s="353">
        <v>0</v>
      </c>
      <c r="G1138" s="353">
        <f>+F1137</f>
        <v>17000</v>
      </c>
      <c r="H1138" t="s">
        <v>1016</v>
      </c>
      <c r="I1138" s="403" t="s">
        <v>131</v>
      </c>
      <c r="K1138" s="370"/>
      <c r="N1138" s="370"/>
    </row>
    <row r="1139" spans="1:14" s="347" customFormat="1" x14ac:dyDescent="0.25">
      <c r="A1139" s="369"/>
      <c r="E1139" s="396"/>
      <c r="F1139" s="396"/>
      <c r="G1139" s="396"/>
      <c r="K1139" s="370"/>
      <c r="N1139" s="370"/>
    </row>
    <row r="1140" spans="1:14" s="347" customFormat="1" x14ac:dyDescent="0.25">
      <c r="A1140" s="369">
        <v>44265</v>
      </c>
      <c r="B1140" s="347">
        <f>+MONTH(A1140)</f>
        <v>3</v>
      </c>
      <c r="C1140" s="347">
        <v>115</v>
      </c>
      <c r="D1140" s="340" t="str">
        <f>VLOOKUP(C1140,Plan!A:B,2,0)</f>
        <v>Disponible Cali B.Chile</v>
      </c>
      <c r="E1140" s="341">
        <f>+F1140-G1140</f>
        <v>9285861</v>
      </c>
      <c r="F1140" s="353">
        <v>9285861</v>
      </c>
      <c r="G1140" s="353">
        <v>0</v>
      </c>
      <c r="H1140" t="s">
        <v>1065</v>
      </c>
      <c r="I1140" s="403" t="s">
        <v>131</v>
      </c>
      <c r="K1140" s="370"/>
      <c r="N1140" s="370"/>
    </row>
    <row r="1141" spans="1:14" s="347" customFormat="1" x14ac:dyDescent="0.25">
      <c r="A1141" s="369">
        <f>+A1140</f>
        <v>44265</v>
      </c>
      <c r="B1141" s="347">
        <f>+MONTH(A1141)</f>
        <v>3</v>
      </c>
      <c r="C1141" s="347">
        <v>1218</v>
      </c>
      <c r="D1141" s="340" t="str">
        <f>VLOOKUP(C1141,Plan!A:B,2,0)</f>
        <v>Otros Valores Tarjeta de Credito</v>
      </c>
      <c r="E1141" s="341">
        <f>+F1141-G1141</f>
        <v>-9285861</v>
      </c>
      <c r="F1141" s="353">
        <v>0</v>
      </c>
      <c r="G1141" s="353">
        <f>+F1140</f>
        <v>9285861</v>
      </c>
      <c r="H1141" t="s">
        <v>1065</v>
      </c>
      <c r="I1141" s="403" t="s">
        <v>131</v>
      </c>
      <c r="K1141" s="370"/>
      <c r="N1141" s="370"/>
    </row>
    <row r="1142" spans="1:14" s="347" customFormat="1" x14ac:dyDescent="0.25">
      <c r="A1142" s="369"/>
      <c r="E1142" s="396"/>
      <c r="F1142" s="396"/>
      <c r="G1142" s="396"/>
      <c r="K1142" s="370"/>
      <c r="N1142" s="370"/>
    </row>
    <row r="1143" spans="1:14" s="347" customFormat="1" x14ac:dyDescent="0.25">
      <c r="A1143" s="369">
        <v>44266</v>
      </c>
      <c r="B1143" s="347">
        <f>+MONTH(A1143)</f>
        <v>3</v>
      </c>
      <c r="C1143" s="347">
        <v>115</v>
      </c>
      <c r="D1143" s="340" t="str">
        <f>VLOOKUP(C1143,Plan!A:B,2,0)</f>
        <v>Disponible Cali B.Chile</v>
      </c>
      <c r="E1143" s="341">
        <f>+F1143-G1143</f>
        <v>30000</v>
      </c>
      <c r="F1143" s="353">
        <v>30000</v>
      </c>
      <c r="G1143" s="353">
        <v>0</v>
      </c>
      <c r="H1143" t="s">
        <v>1066</v>
      </c>
      <c r="I1143" s="403" t="s">
        <v>131</v>
      </c>
      <c r="K1143" s="370"/>
      <c r="N1143" s="370"/>
    </row>
    <row r="1144" spans="1:14" s="347" customFormat="1" x14ac:dyDescent="0.25">
      <c r="A1144" s="369">
        <f>+A1143</f>
        <v>44266</v>
      </c>
      <c r="B1144" s="347">
        <f>+MONTH(A1144)</f>
        <v>3</v>
      </c>
      <c r="C1144" s="347">
        <v>1222</v>
      </c>
      <c r="D1144" s="340" t="str">
        <f>VLOOKUP(C1144,Plan!A:B,2,0)</f>
        <v>Otros Valores -Oficina y Transferencias (249)</v>
      </c>
      <c r="E1144" s="341">
        <f>+F1144-G1144</f>
        <v>-30000</v>
      </c>
      <c r="F1144" s="353">
        <v>0</v>
      </c>
      <c r="G1144" s="353">
        <f>+F1143</f>
        <v>30000</v>
      </c>
      <c r="H1144" t="s">
        <v>1066</v>
      </c>
      <c r="I1144" s="403" t="s">
        <v>131</v>
      </c>
      <c r="K1144" s="370"/>
      <c r="N1144" s="370"/>
    </row>
    <row r="1145" spans="1:14" s="347" customFormat="1" ht="14.45" customHeight="1" x14ac:dyDescent="0.25">
      <c r="A1145" s="369"/>
      <c r="E1145" s="396"/>
      <c r="F1145" s="396"/>
      <c r="G1145" s="396"/>
      <c r="K1145" s="370"/>
      <c r="N1145" s="370"/>
    </row>
    <row r="1146" spans="1:14" s="347" customFormat="1" x14ac:dyDescent="0.25">
      <c r="A1146" s="369">
        <v>44266</v>
      </c>
      <c r="B1146" s="347">
        <f>+MONTH(A1146)</f>
        <v>3</v>
      </c>
      <c r="C1146" s="347">
        <v>115</v>
      </c>
      <c r="D1146" s="340" t="str">
        <f>VLOOKUP(C1146,Plan!A:B,2,0)</f>
        <v>Disponible Cali B.Chile</v>
      </c>
      <c r="E1146" s="341">
        <f>+F1146-G1146</f>
        <v>10000</v>
      </c>
      <c r="F1146" s="353">
        <v>10000</v>
      </c>
      <c r="G1146" s="353">
        <v>0</v>
      </c>
      <c r="H1146" t="s">
        <v>1020</v>
      </c>
      <c r="I1146" s="403" t="s">
        <v>131</v>
      </c>
      <c r="K1146" s="370"/>
      <c r="N1146" s="370"/>
    </row>
    <row r="1147" spans="1:14" s="347" customFormat="1" x14ac:dyDescent="0.25">
      <c r="A1147" s="369">
        <f>+A1146</f>
        <v>44266</v>
      </c>
      <c r="B1147" s="347">
        <f>+MONTH(A1147)</f>
        <v>3</v>
      </c>
      <c r="C1147" s="347">
        <v>1217</v>
      </c>
      <c r="D1147" s="340" t="str">
        <f>VLOOKUP(C1147,Plan!A:B,2,0)</f>
        <v>Otros Valores -Oficina y Transferencias (248)</v>
      </c>
      <c r="E1147" s="341">
        <f>+F1147-G1147</f>
        <v>-10000</v>
      </c>
      <c r="F1147" s="353">
        <v>0</v>
      </c>
      <c r="G1147" s="353">
        <f>+F1146</f>
        <v>10000</v>
      </c>
      <c r="H1147" t="s">
        <v>1020</v>
      </c>
      <c r="I1147" s="403" t="s">
        <v>131</v>
      </c>
      <c r="K1147" s="370"/>
      <c r="N1147" s="370"/>
    </row>
    <row r="1148" spans="1:14" s="347" customFormat="1" x14ac:dyDescent="0.25">
      <c r="A1148" s="369"/>
      <c r="E1148" s="396"/>
      <c r="F1148" s="396"/>
      <c r="G1148" s="396"/>
      <c r="K1148" s="370"/>
      <c r="N1148" s="370"/>
    </row>
    <row r="1149" spans="1:14" s="347" customFormat="1" x14ac:dyDescent="0.25">
      <c r="A1149" s="369">
        <v>44266</v>
      </c>
      <c r="B1149" s="347">
        <f>+MONTH(A1149)</f>
        <v>3</v>
      </c>
      <c r="C1149" s="347">
        <v>115</v>
      </c>
      <c r="D1149" s="340" t="str">
        <f>VLOOKUP(C1149,Plan!A:B,2,0)</f>
        <v>Disponible Cali B.Chile</v>
      </c>
      <c r="E1149" s="341">
        <f>+F1149-G1149</f>
        <v>10000</v>
      </c>
      <c r="F1149" s="353">
        <v>10000</v>
      </c>
      <c r="G1149" s="353">
        <v>0</v>
      </c>
      <c r="H1149" t="s">
        <v>1017</v>
      </c>
      <c r="I1149" s="403" t="s">
        <v>131</v>
      </c>
      <c r="K1149" s="370"/>
      <c r="N1149" s="370"/>
    </row>
    <row r="1150" spans="1:14" s="347" customFormat="1" x14ac:dyDescent="0.25">
      <c r="A1150" s="369">
        <f>+A1149</f>
        <v>44266</v>
      </c>
      <c r="B1150" s="347">
        <f>+MONTH(A1150)</f>
        <v>3</v>
      </c>
      <c r="C1150" s="347">
        <v>1216</v>
      </c>
      <c r="D1150" s="340" t="str">
        <f>VLOOKUP(C1150,Plan!A:B,2,0)</f>
        <v>Otros Valores Recaudadoras</v>
      </c>
      <c r="E1150" s="341">
        <f>+F1150-G1150</f>
        <v>-10000</v>
      </c>
      <c r="F1150" s="353">
        <v>0</v>
      </c>
      <c r="G1150" s="353">
        <f>+F1149</f>
        <v>10000</v>
      </c>
      <c r="H1150" t="s">
        <v>1017</v>
      </c>
      <c r="I1150" s="403" t="s">
        <v>131</v>
      </c>
      <c r="K1150" s="370"/>
      <c r="N1150" s="370"/>
    </row>
    <row r="1151" spans="1:14" s="347" customFormat="1" x14ac:dyDescent="0.25">
      <c r="A1151" s="369"/>
      <c r="E1151" s="396"/>
      <c r="F1151" s="396"/>
      <c r="G1151" s="396"/>
      <c r="K1151" s="370"/>
      <c r="N1151" s="370"/>
    </row>
    <row r="1152" spans="1:14" s="347" customFormat="1" x14ac:dyDescent="0.25">
      <c r="A1152" s="369">
        <v>44267</v>
      </c>
      <c r="B1152" s="347">
        <f>+MONTH(A1152)</f>
        <v>3</v>
      </c>
      <c r="C1152" s="347">
        <v>115</v>
      </c>
      <c r="D1152" s="340" t="str">
        <f>VLOOKUP(C1152,Plan!A:B,2,0)</f>
        <v>Disponible Cali B.Chile</v>
      </c>
      <c r="E1152" s="341">
        <f>+F1152-G1152</f>
        <v>70000</v>
      </c>
      <c r="F1152" s="353">
        <v>70000</v>
      </c>
      <c r="G1152" s="353">
        <v>0</v>
      </c>
      <c r="H1152" t="s">
        <v>1067</v>
      </c>
      <c r="I1152" s="403" t="s">
        <v>131</v>
      </c>
      <c r="K1152" s="370"/>
      <c r="N1152" s="370"/>
    </row>
    <row r="1153" spans="1:14" s="347" customFormat="1" x14ac:dyDescent="0.25">
      <c r="A1153" s="369">
        <f>+A1152</f>
        <v>44267</v>
      </c>
      <c r="B1153" s="347">
        <f>+MONTH(A1153)</f>
        <v>3</v>
      </c>
      <c r="C1153" s="347">
        <v>3210</v>
      </c>
      <c r="D1153" s="340" t="str">
        <f>VLOOKUP(C1153,Plan!A:B,2,0)</f>
        <v>Donacion Construccion</v>
      </c>
      <c r="E1153" s="341">
        <f>+F1153-G1153</f>
        <v>-70000</v>
      </c>
      <c r="F1153" s="353">
        <v>0</v>
      </c>
      <c r="G1153" s="353">
        <f>+F1152</f>
        <v>70000</v>
      </c>
      <c r="H1153" t="s">
        <v>1067</v>
      </c>
      <c r="I1153" s="403" t="s">
        <v>131</v>
      </c>
      <c r="K1153" s="370"/>
      <c r="N1153" s="370"/>
    </row>
    <row r="1154" spans="1:14" s="347" customFormat="1" x14ac:dyDescent="0.25">
      <c r="A1154" s="369"/>
      <c r="E1154" s="396"/>
      <c r="F1154" s="396"/>
      <c r="G1154" s="396"/>
      <c r="K1154" s="370"/>
      <c r="N1154" s="370"/>
    </row>
    <row r="1155" spans="1:14" s="347" customFormat="1" x14ac:dyDescent="0.25">
      <c r="A1155" s="339">
        <v>44267</v>
      </c>
      <c r="B1155" s="340">
        <v>3</v>
      </c>
      <c r="C1155" s="338">
        <v>204</v>
      </c>
      <c r="D1155" s="340" t="str">
        <f>VLOOKUP(C1155,Plan!A$1:B$65542,2,0)</f>
        <v>Retención Honorarios Cali</v>
      </c>
      <c r="E1155" s="341">
        <f>+F1155-G1155</f>
        <v>51262</v>
      </c>
      <c r="F1155" s="346">
        <v>51262</v>
      </c>
      <c r="G1155" s="346">
        <v>0</v>
      </c>
      <c r="H1155" s="343" t="s">
        <v>1269</v>
      </c>
      <c r="I1155" s="401" t="s">
        <v>131</v>
      </c>
      <c r="K1155" s="370"/>
      <c r="N1155" s="370"/>
    </row>
    <row r="1156" spans="1:14" s="347" customFormat="1" x14ac:dyDescent="0.25">
      <c r="A1156" s="339">
        <f>+A1155</f>
        <v>44267</v>
      </c>
      <c r="B1156" s="340">
        <v>3</v>
      </c>
      <c r="C1156" s="338">
        <v>141</v>
      </c>
      <c r="D1156" s="340" t="str">
        <f>VLOOKUP(C1156,Plan!A$1:B$65542,2,0)</f>
        <v>Cuentas por Cobrar a Administración</v>
      </c>
      <c r="E1156" s="341">
        <f>+F1156-G1156</f>
        <v>-51262</v>
      </c>
      <c r="F1156" s="346">
        <v>0</v>
      </c>
      <c r="G1156" s="346">
        <f>+F1155</f>
        <v>51262</v>
      </c>
      <c r="H1156" s="338" t="str">
        <f>+H1155</f>
        <v>Pago F29 Febrero por Adm.</v>
      </c>
      <c r="I1156" s="401" t="str">
        <f>+I1155</f>
        <v>Cali</v>
      </c>
      <c r="K1156" s="370"/>
      <c r="N1156" s="370"/>
    </row>
    <row r="1157" spans="1:14" s="347" customFormat="1" x14ac:dyDescent="0.25">
      <c r="A1157" s="369"/>
      <c r="E1157" s="396"/>
      <c r="F1157" s="396"/>
      <c r="G1157" s="396"/>
      <c r="K1157" s="370"/>
      <c r="N1157" s="370"/>
    </row>
    <row r="1158" spans="1:14" s="347" customFormat="1" x14ac:dyDescent="0.25">
      <c r="A1158" s="357">
        <v>44267</v>
      </c>
      <c r="B1158" s="358">
        <f>+MONTH(A1158)</f>
        <v>3</v>
      </c>
      <c r="C1158" s="358">
        <v>116</v>
      </c>
      <c r="D1158" s="358" t="str">
        <f>VLOOKUP(C1158,Plan!A:B,2,0)</f>
        <v>Disponible CALI Security</v>
      </c>
      <c r="E1158" s="341">
        <f>+F1158-G1158</f>
        <v>5000000</v>
      </c>
      <c r="F1158" s="412">
        <v>5000000</v>
      </c>
      <c r="G1158" s="353">
        <v>0</v>
      </c>
      <c r="H1158" t="s">
        <v>1076</v>
      </c>
      <c r="I1158" s="403" t="s">
        <v>131</v>
      </c>
      <c r="K1158" s="370"/>
      <c r="N1158" s="370"/>
    </row>
    <row r="1159" spans="1:14" s="347" customFormat="1" x14ac:dyDescent="0.25">
      <c r="A1159" s="369">
        <f>+A1158</f>
        <v>44267</v>
      </c>
      <c r="B1159" s="347">
        <f>+MONTH(A1159)</f>
        <v>3</v>
      </c>
      <c r="C1159" s="347">
        <v>115</v>
      </c>
      <c r="D1159" s="340" t="str">
        <f>VLOOKUP(C1159,Plan!A:B,2,0)</f>
        <v>Disponible Cali B.Chile</v>
      </c>
      <c r="E1159" s="341">
        <f>+F1159-G1159</f>
        <v>-5000000</v>
      </c>
      <c r="F1159" s="353">
        <v>0</v>
      </c>
      <c r="G1159" s="353">
        <f>+F1158</f>
        <v>5000000</v>
      </c>
      <c r="H1159" t="s">
        <v>1076</v>
      </c>
      <c r="I1159" s="403" t="s">
        <v>131</v>
      </c>
      <c r="K1159" s="370"/>
      <c r="N1159" s="370"/>
    </row>
    <row r="1160" spans="1:14" s="347" customFormat="1" x14ac:dyDescent="0.25">
      <c r="A1160" s="369"/>
      <c r="E1160" s="396"/>
      <c r="F1160" s="396"/>
      <c r="G1160" s="396"/>
      <c r="K1160" s="370"/>
      <c r="N1160" s="370"/>
    </row>
    <row r="1161" spans="1:14" s="347" customFormat="1" x14ac:dyDescent="0.25">
      <c r="A1161" s="357">
        <v>44267</v>
      </c>
      <c r="B1161" s="358">
        <f>+MONTH(A1161)</f>
        <v>3</v>
      </c>
      <c r="C1161" s="358">
        <v>116</v>
      </c>
      <c r="D1161" s="358" t="str">
        <f>VLOOKUP(C1161,Plan!A:B,2,0)</f>
        <v>Disponible CALI Security</v>
      </c>
      <c r="E1161" s="341">
        <f>+F1161-G1161</f>
        <v>5000000</v>
      </c>
      <c r="F1161" s="412">
        <v>5000000</v>
      </c>
      <c r="G1161" s="353">
        <v>0</v>
      </c>
      <c r="H1161" t="s">
        <v>1076</v>
      </c>
      <c r="I1161" s="403" t="s">
        <v>131</v>
      </c>
      <c r="K1161" s="370"/>
      <c r="N1161" s="370"/>
    </row>
    <row r="1162" spans="1:14" s="347" customFormat="1" x14ac:dyDescent="0.25">
      <c r="A1162" s="369">
        <f>+A1161</f>
        <v>44267</v>
      </c>
      <c r="B1162" s="347">
        <f>+MONTH(A1162)</f>
        <v>3</v>
      </c>
      <c r="C1162" s="347">
        <v>115</v>
      </c>
      <c r="D1162" s="340" t="str">
        <f>VLOOKUP(C1162,Plan!A:B,2,0)</f>
        <v>Disponible Cali B.Chile</v>
      </c>
      <c r="E1162" s="341">
        <f>+F1162-G1162</f>
        <v>-5000000</v>
      </c>
      <c r="F1162" s="353">
        <v>0</v>
      </c>
      <c r="G1162" s="353">
        <f>+F1161</f>
        <v>5000000</v>
      </c>
      <c r="H1162" t="s">
        <v>1076</v>
      </c>
      <c r="I1162" s="403" t="s">
        <v>131</v>
      </c>
      <c r="K1162" s="370"/>
      <c r="N1162" s="370"/>
    </row>
    <row r="1163" spans="1:14" s="358" customFormat="1" x14ac:dyDescent="0.25">
      <c r="A1163" s="369"/>
      <c r="B1163" s="347"/>
      <c r="C1163" s="347"/>
      <c r="D1163" s="347"/>
      <c r="E1163" s="396"/>
      <c r="F1163" s="396"/>
      <c r="G1163" s="396"/>
      <c r="H1163" s="347"/>
      <c r="I1163" s="347"/>
      <c r="K1163" s="428"/>
      <c r="N1163" s="428"/>
    </row>
    <row r="1164" spans="1:14" s="347" customFormat="1" x14ac:dyDescent="0.25">
      <c r="A1164" s="357">
        <v>44267</v>
      </c>
      <c r="B1164" s="358">
        <f>+MONTH(A1164)</f>
        <v>3</v>
      </c>
      <c r="C1164" s="358">
        <v>116</v>
      </c>
      <c r="D1164" s="358" t="str">
        <f>VLOOKUP(C1164,Plan!A:B,2,0)</f>
        <v>Disponible CALI Security</v>
      </c>
      <c r="E1164" s="341">
        <f>+F1164-G1164</f>
        <v>5000000</v>
      </c>
      <c r="F1164" s="412">
        <v>5000000</v>
      </c>
      <c r="G1164" s="353">
        <v>0</v>
      </c>
      <c r="H1164" t="s">
        <v>1076</v>
      </c>
      <c r="I1164" s="403" t="s">
        <v>131</v>
      </c>
      <c r="K1164" s="370"/>
      <c r="N1164" s="370"/>
    </row>
    <row r="1165" spans="1:14" s="347" customFormat="1" x14ac:dyDescent="0.25">
      <c r="A1165" s="369">
        <f>+A1164</f>
        <v>44267</v>
      </c>
      <c r="B1165" s="347">
        <f>+MONTH(A1165)</f>
        <v>3</v>
      </c>
      <c r="C1165" s="347">
        <v>115</v>
      </c>
      <c r="D1165" s="340" t="str">
        <f>VLOOKUP(C1165,Plan!A:B,2,0)</f>
        <v>Disponible Cali B.Chile</v>
      </c>
      <c r="E1165" s="341">
        <f>+F1165-G1165</f>
        <v>-5000000</v>
      </c>
      <c r="F1165" s="353">
        <v>0</v>
      </c>
      <c r="G1165" s="353">
        <f>+F1164</f>
        <v>5000000</v>
      </c>
      <c r="H1165" t="s">
        <v>1076</v>
      </c>
      <c r="I1165" s="403" t="s">
        <v>131</v>
      </c>
      <c r="K1165" s="370"/>
      <c r="N1165" s="370"/>
    </row>
    <row r="1166" spans="1:14" s="347" customFormat="1" x14ac:dyDescent="0.25">
      <c r="A1166" s="369"/>
      <c r="E1166" s="396"/>
      <c r="F1166" s="396"/>
      <c r="G1166" s="396"/>
      <c r="K1166" s="370"/>
      <c r="N1166" s="370"/>
    </row>
    <row r="1167" spans="1:14" s="347" customFormat="1" x14ac:dyDescent="0.25">
      <c r="A1167" s="357">
        <v>44267</v>
      </c>
      <c r="B1167" s="358">
        <f>+MONTH(A1167)</f>
        <v>3</v>
      </c>
      <c r="C1167" s="358">
        <v>116</v>
      </c>
      <c r="D1167" s="358" t="str">
        <f>VLOOKUP(C1167,Plan!A:B,2,0)</f>
        <v>Disponible CALI Security</v>
      </c>
      <c r="E1167" s="341">
        <f>+F1167-G1167</f>
        <v>5000000</v>
      </c>
      <c r="F1167" s="412">
        <v>5000000</v>
      </c>
      <c r="G1167" s="353">
        <v>0</v>
      </c>
      <c r="H1167" t="s">
        <v>1076</v>
      </c>
      <c r="I1167" s="403" t="s">
        <v>131</v>
      </c>
      <c r="K1167" s="370"/>
      <c r="N1167" s="370"/>
    </row>
    <row r="1168" spans="1:14" s="347" customFormat="1" x14ac:dyDescent="0.25">
      <c r="A1168" s="369">
        <f>+A1167</f>
        <v>44267</v>
      </c>
      <c r="B1168" s="347">
        <f>+MONTH(A1168)</f>
        <v>3</v>
      </c>
      <c r="C1168" s="347">
        <v>115</v>
      </c>
      <c r="D1168" s="340" t="str">
        <f>VLOOKUP(C1168,Plan!A:B,2,0)</f>
        <v>Disponible Cali B.Chile</v>
      </c>
      <c r="E1168" s="341">
        <f>+F1168-G1168</f>
        <v>-5000000</v>
      </c>
      <c r="F1168" s="353">
        <v>0</v>
      </c>
      <c r="G1168" s="353">
        <f>+F1167</f>
        <v>5000000</v>
      </c>
      <c r="H1168" t="s">
        <v>1076</v>
      </c>
      <c r="I1168" s="403" t="s">
        <v>131</v>
      </c>
      <c r="K1168" s="370"/>
      <c r="N1168" s="370"/>
    </row>
    <row r="1169" spans="1:14" s="347" customFormat="1" x14ac:dyDescent="0.25">
      <c r="A1169" s="369"/>
      <c r="E1169" s="396"/>
      <c r="F1169" s="396"/>
      <c r="G1169" s="396"/>
      <c r="K1169" s="370"/>
      <c r="N1169" s="370"/>
    </row>
    <row r="1170" spans="1:14" s="347" customFormat="1" x14ac:dyDescent="0.25">
      <c r="A1170" s="357">
        <v>44267</v>
      </c>
      <c r="B1170" s="358">
        <f>+MONTH(A1170)</f>
        <v>3</v>
      </c>
      <c r="C1170" s="358">
        <v>116</v>
      </c>
      <c r="D1170" s="358" t="str">
        <f>VLOOKUP(C1170,Plan!A:B,2,0)</f>
        <v>Disponible CALI Security</v>
      </c>
      <c r="E1170" s="341">
        <f>+F1170-G1170</f>
        <v>5000000</v>
      </c>
      <c r="F1170" s="412">
        <v>5000000</v>
      </c>
      <c r="G1170" s="353">
        <v>0</v>
      </c>
      <c r="H1170" t="s">
        <v>1076</v>
      </c>
      <c r="I1170" s="403" t="s">
        <v>131</v>
      </c>
      <c r="K1170" s="370"/>
      <c r="N1170" s="370"/>
    </row>
    <row r="1171" spans="1:14" s="347" customFormat="1" x14ac:dyDescent="0.25">
      <c r="A1171" s="369">
        <f>+A1170</f>
        <v>44267</v>
      </c>
      <c r="B1171" s="347">
        <f>+MONTH(A1171)</f>
        <v>3</v>
      </c>
      <c r="C1171" s="347">
        <v>115</v>
      </c>
      <c r="D1171" s="340" t="str">
        <f>VLOOKUP(C1171,Plan!A:B,2,0)</f>
        <v>Disponible Cali B.Chile</v>
      </c>
      <c r="E1171" s="341">
        <f>+F1171-G1171</f>
        <v>-5000000</v>
      </c>
      <c r="F1171" s="353">
        <v>0</v>
      </c>
      <c r="G1171" s="353">
        <f>+F1170</f>
        <v>5000000</v>
      </c>
      <c r="H1171" t="s">
        <v>1076</v>
      </c>
      <c r="I1171" s="403" t="s">
        <v>131</v>
      </c>
      <c r="K1171" s="370"/>
      <c r="N1171" s="370"/>
    </row>
    <row r="1172" spans="1:14" s="347" customFormat="1" x14ac:dyDescent="0.25">
      <c r="A1172" s="369"/>
      <c r="E1172" s="396"/>
      <c r="F1172" s="396"/>
      <c r="G1172" s="396"/>
      <c r="K1172" s="370"/>
      <c r="N1172" s="370"/>
    </row>
    <row r="1173" spans="1:14" s="347" customFormat="1" x14ac:dyDescent="0.25">
      <c r="A1173" s="357">
        <v>44267</v>
      </c>
      <c r="B1173" s="358">
        <f>+MONTH(A1173)</f>
        <v>3</v>
      </c>
      <c r="C1173" s="358">
        <v>4170</v>
      </c>
      <c r="D1173" s="358" t="str">
        <f>VLOOKUP(C1173,Plan!A:B,2,0)</f>
        <v>Cali otros</v>
      </c>
      <c r="E1173" s="341">
        <f>+F1173-G1173</f>
        <v>200000</v>
      </c>
      <c r="F1173" s="412">
        <v>200000</v>
      </c>
      <c r="G1173" s="412">
        <v>0</v>
      </c>
      <c r="H1173" s="428" t="s">
        <v>1077</v>
      </c>
      <c r="I1173" s="429" t="s">
        <v>131</v>
      </c>
      <c r="K1173" s="370"/>
      <c r="N1173" s="370"/>
    </row>
    <row r="1174" spans="1:14" s="347" customFormat="1" x14ac:dyDescent="0.25">
      <c r="A1174" s="369">
        <f>+A1173</f>
        <v>44267</v>
      </c>
      <c r="B1174" s="347">
        <f>+MONTH(A1174)</f>
        <v>3</v>
      </c>
      <c r="C1174" s="347">
        <v>115</v>
      </c>
      <c r="D1174" s="340" t="str">
        <f>VLOOKUP(C1174,Plan!A:B,2,0)</f>
        <v>Disponible Cali B.Chile</v>
      </c>
      <c r="E1174" s="341">
        <f>+F1174-G1174</f>
        <v>-200000</v>
      </c>
      <c r="F1174" s="353">
        <v>0</v>
      </c>
      <c r="G1174" s="353">
        <f>+F1173</f>
        <v>200000</v>
      </c>
      <c r="H1174" t="s">
        <v>1077</v>
      </c>
      <c r="I1174" s="403" t="s">
        <v>131</v>
      </c>
      <c r="K1174" s="370"/>
      <c r="N1174" s="370"/>
    </row>
    <row r="1175" spans="1:14" s="347" customFormat="1" x14ac:dyDescent="0.25">
      <c r="A1175" s="369"/>
      <c r="E1175" s="396"/>
      <c r="F1175" s="396"/>
      <c r="G1175" s="396"/>
      <c r="K1175" s="370"/>
      <c r="N1175" s="370"/>
    </row>
    <row r="1176" spans="1:14" s="347" customFormat="1" x14ac:dyDescent="0.25">
      <c r="A1176" s="369">
        <v>44270</v>
      </c>
      <c r="B1176" s="347">
        <f>+MONTH(A1176)</f>
        <v>3</v>
      </c>
      <c r="C1176" s="347">
        <v>115</v>
      </c>
      <c r="D1176" s="340" t="str">
        <f>VLOOKUP(C1176,Plan!A:B,2,0)</f>
        <v>Disponible Cali B.Chile</v>
      </c>
      <c r="E1176" s="341">
        <f>+F1176-G1176</f>
        <v>7000</v>
      </c>
      <c r="F1176" s="353">
        <v>7000</v>
      </c>
      <c r="G1176" s="353">
        <v>0</v>
      </c>
      <c r="H1176" t="s">
        <v>1078</v>
      </c>
      <c r="I1176" s="403" t="s">
        <v>131</v>
      </c>
      <c r="K1176" s="370"/>
      <c r="N1176" s="370"/>
    </row>
    <row r="1177" spans="1:14" s="347" customFormat="1" x14ac:dyDescent="0.25">
      <c r="A1177" s="369">
        <f>+A1176</f>
        <v>44270</v>
      </c>
      <c r="B1177" s="347">
        <f>+MONTH(A1177)</f>
        <v>3</v>
      </c>
      <c r="C1177" s="347">
        <v>1222</v>
      </c>
      <c r="D1177" s="340" t="str">
        <f>VLOOKUP(C1177,Plan!A:B,2,0)</f>
        <v>Otros Valores -Oficina y Transferencias (249)</v>
      </c>
      <c r="E1177" s="341">
        <f>+F1177-G1177</f>
        <v>-7000</v>
      </c>
      <c r="F1177" s="353">
        <v>0</v>
      </c>
      <c r="G1177" s="353">
        <f>+F1176</f>
        <v>7000</v>
      </c>
      <c r="H1177" t="s">
        <v>1078</v>
      </c>
      <c r="I1177" s="403" t="s">
        <v>131</v>
      </c>
      <c r="K1177" s="370"/>
      <c r="N1177" s="370"/>
    </row>
    <row r="1178" spans="1:14" s="347" customFormat="1" x14ac:dyDescent="0.25">
      <c r="A1178" s="369"/>
      <c r="E1178" s="396"/>
      <c r="F1178" s="396"/>
      <c r="G1178" s="396"/>
      <c r="K1178" s="370"/>
      <c r="N1178" s="370"/>
    </row>
    <row r="1179" spans="1:14" s="347" customFormat="1" x14ac:dyDescent="0.25">
      <c r="A1179" s="369">
        <v>44270</v>
      </c>
      <c r="B1179" s="347">
        <f>+MONTH(A1179)</f>
        <v>3</v>
      </c>
      <c r="C1179" s="347">
        <v>115</v>
      </c>
      <c r="D1179" s="340" t="str">
        <f>VLOOKUP(C1179,Plan!A:B,2,0)</f>
        <v>Disponible Cali B.Chile</v>
      </c>
      <c r="E1179" s="341">
        <f>+F1179-G1179</f>
        <v>200000</v>
      </c>
      <c r="F1179" s="353">
        <v>200000</v>
      </c>
      <c r="G1179" s="353">
        <v>0</v>
      </c>
      <c r="H1179" t="s">
        <v>1079</v>
      </c>
      <c r="I1179" s="403" t="s">
        <v>131</v>
      </c>
      <c r="K1179" s="370"/>
      <c r="N1179" s="370"/>
    </row>
    <row r="1180" spans="1:14" s="347" customFormat="1" x14ac:dyDescent="0.25">
      <c r="A1180" s="369">
        <f>+A1179</f>
        <v>44270</v>
      </c>
      <c r="B1180" s="347">
        <f>+MONTH(A1180)</f>
        <v>3</v>
      </c>
      <c r="C1180" s="347">
        <v>3210</v>
      </c>
      <c r="D1180" s="340" t="str">
        <f>VLOOKUP(C1180,Plan!A:B,2,0)</f>
        <v>Donacion Construccion</v>
      </c>
      <c r="E1180" s="341">
        <f>+F1180-G1180</f>
        <v>-200000</v>
      </c>
      <c r="F1180" s="353">
        <v>0</v>
      </c>
      <c r="G1180" s="353">
        <f>+F1179</f>
        <v>200000</v>
      </c>
      <c r="H1180" t="s">
        <v>1079</v>
      </c>
      <c r="I1180" s="403" t="s">
        <v>131</v>
      </c>
      <c r="K1180" s="370"/>
      <c r="N1180" s="370"/>
    </row>
    <row r="1181" spans="1:14" s="347" customFormat="1" x14ac:dyDescent="0.25">
      <c r="A1181" s="369"/>
      <c r="E1181" s="396"/>
      <c r="F1181" s="396"/>
      <c r="G1181" s="396"/>
      <c r="K1181" s="370"/>
      <c r="N1181" s="370"/>
    </row>
    <row r="1182" spans="1:14" s="347" customFormat="1" x14ac:dyDescent="0.25">
      <c r="A1182" s="369">
        <v>44270</v>
      </c>
      <c r="B1182" s="347">
        <f>+MONTH(A1182)</f>
        <v>3</v>
      </c>
      <c r="C1182" s="347">
        <v>115</v>
      </c>
      <c r="D1182" s="340" t="str">
        <f>VLOOKUP(C1182,Plan!A:B,2,0)</f>
        <v>Disponible Cali B.Chile</v>
      </c>
      <c r="E1182" s="341">
        <f>+F1182-G1182</f>
        <v>30000</v>
      </c>
      <c r="F1182" s="353">
        <v>30000</v>
      </c>
      <c r="G1182" s="353">
        <v>0</v>
      </c>
      <c r="H1182" t="s">
        <v>970</v>
      </c>
      <c r="I1182" s="403" t="s">
        <v>131</v>
      </c>
      <c r="K1182" s="370"/>
      <c r="N1182" s="370"/>
    </row>
    <row r="1183" spans="1:14" s="347" customFormat="1" x14ac:dyDescent="0.25">
      <c r="A1183" s="369">
        <f>+A1182</f>
        <v>44270</v>
      </c>
      <c r="B1183" s="347">
        <f>+MONTH(A1183)</f>
        <v>3</v>
      </c>
      <c r="C1183" s="347">
        <v>1222</v>
      </c>
      <c r="D1183" s="340" t="str">
        <f>VLOOKUP(C1183,Plan!A:B,2,0)</f>
        <v>Otros Valores -Oficina y Transferencias (249)</v>
      </c>
      <c r="E1183" s="341">
        <f>+F1183-G1183</f>
        <v>-30000</v>
      </c>
      <c r="F1183" s="353">
        <v>0</v>
      </c>
      <c r="G1183" s="353">
        <f>+F1182</f>
        <v>30000</v>
      </c>
      <c r="H1183" t="s">
        <v>970</v>
      </c>
      <c r="I1183" s="403" t="s">
        <v>131</v>
      </c>
      <c r="K1183" s="370"/>
      <c r="N1183" s="370"/>
    </row>
    <row r="1184" spans="1:14" s="347" customFormat="1" x14ac:dyDescent="0.25">
      <c r="A1184" s="369"/>
      <c r="E1184" s="396"/>
      <c r="F1184" s="396"/>
      <c r="G1184" s="396"/>
      <c r="K1184" s="370"/>
      <c r="N1184" s="370"/>
    </row>
    <row r="1185" spans="1:14" s="347" customFormat="1" x14ac:dyDescent="0.25">
      <c r="A1185" s="369">
        <v>44270</v>
      </c>
      <c r="B1185" s="347">
        <f>+MONTH(A1185)</f>
        <v>3</v>
      </c>
      <c r="C1185" s="347">
        <v>115</v>
      </c>
      <c r="D1185" s="340" t="str">
        <f>VLOOKUP(C1185,Plan!A:B,2,0)</f>
        <v>Disponible Cali B.Chile</v>
      </c>
      <c r="E1185" s="341">
        <f>+F1185-G1185</f>
        <v>10000</v>
      </c>
      <c r="F1185" s="353">
        <v>10000</v>
      </c>
      <c r="G1185" s="353">
        <v>0</v>
      </c>
      <c r="H1185" t="s">
        <v>971</v>
      </c>
      <c r="I1185" s="403" t="s">
        <v>131</v>
      </c>
      <c r="K1185" s="370"/>
      <c r="N1185" s="370"/>
    </row>
    <row r="1186" spans="1:14" s="347" customFormat="1" x14ac:dyDescent="0.25">
      <c r="A1186" s="369">
        <f>+A1185</f>
        <v>44270</v>
      </c>
      <c r="B1186" s="347">
        <f>+MONTH(A1186)</f>
        <v>3</v>
      </c>
      <c r="C1186" s="347">
        <v>216</v>
      </c>
      <c r="D1186" s="340" t="str">
        <f>VLOOKUP(C1186,Plan!A:B,2,0)</f>
        <v>Cuenta por Pagar a Administración Colectas</v>
      </c>
      <c r="E1186" s="341">
        <f>+F1186-G1186</f>
        <v>-10000</v>
      </c>
      <c r="F1186" s="353">
        <v>0</v>
      </c>
      <c r="G1186" s="353">
        <f>+F1185</f>
        <v>10000</v>
      </c>
      <c r="H1186" t="s">
        <v>971</v>
      </c>
      <c r="I1186" s="403" t="s">
        <v>131</v>
      </c>
      <c r="K1186" s="370"/>
      <c r="N1186" s="370"/>
    </row>
    <row r="1187" spans="1:14" s="347" customFormat="1" x14ac:dyDescent="0.25">
      <c r="A1187" s="369"/>
      <c r="E1187" s="396"/>
      <c r="F1187" s="396"/>
      <c r="G1187" s="396"/>
      <c r="K1187" s="370"/>
      <c r="N1187" s="370"/>
    </row>
    <row r="1188" spans="1:14" s="347" customFormat="1" x14ac:dyDescent="0.25">
      <c r="A1188" s="369">
        <v>44270</v>
      </c>
      <c r="B1188" s="347">
        <f>+MONTH(A1188)</f>
        <v>3</v>
      </c>
      <c r="C1188" s="347">
        <v>115</v>
      </c>
      <c r="D1188" s="340" t="str">
        <f>VLOOKUP(C1188,Plan!A:B,2,0)</f>
        <v>Disponible Cali B.Chile</v>
      </c>
      <c r="E1188" s="341">
        <f>+F1188-G1188</f>
        <v>350000</v>
      </c>
      <c r="F1188" s="353">
        <v>350000</v>
      </c>
      <c r="G1188" s="353">
        <v>0</v>
      </c>
      <c r="H1188" t="s">
        <v>1080</v>
      </c>
      <c r="I1188" s="403" t="s">
        <v>131</v>
      </c>
      <c r="K1188" s="370"/>
      <c r="N1188" s="370"/>
    </row>
    <row r="1189" spans="1:14" s="347" customFormat="1" x14ac:dyDescent="0.25">
      <c r="A1189" s="369">
        <f>+A1188</f>
        <v>44270</v>
      </c>
      <c r="B1189" s="347">
        <f>+MONTH(A1189)</f>
        <v>3</v>
      </c>
      <c r="C1189" s="347">
        <v>3210</v>
      </c>
      <c r="D1189" s="340" t="str">
        <f>VLOOKUP(C1189,Plan!A:B,2,0)</f>
        <v>Donacion Construccion</v>
      </c>
      <c r="E1189" s="341">
        <f>+F1189-G1189</f>
        <v>-350000</v>
      </c>
      <c r="F1189" s="353">
        <v>0</v>
      </c>
      <c r="G1189" s="353">
        <f>+F1188</f>
        <v>350000</v>
      </c>
      <c r="H1189" t="s">
        <v>1080</v>
      </c>
      <c r="I1189" s="403" t="s">
        <v>131</v>
      </c>
      <c r="K1189" s="370"/>
      <c r="N1189" s="370"/>
    </row>
    <row r="1190" spans="1:14" s="347" customFormat="1" x14ac:dyDescent="0.25">
      <c r="A1190" s="369"/>
      <c r="E1190" s="396"/>
      <c r="F1190" s="396"/>
      <c r="G1190" s="396"/>
      <c r="K1190" s="370"/>
      <c r="N1190" s="370"/>
    </row>
    <row r="1191" spans="1:14" s="347" customFormat="1" x14ac:dyDescent="0.25">
      <c r="A1191" s="369">
        <v>44270</v>
      </c>
      <c r="B1191" s="347">
        <f>+MONTH(A1191)</f>
        <v>3</v>
      </c>
      <c r="C1191" s="347">
        <v>115</v>
      </c>
      <c r="D1191" s="340" t="str">
        <f>VLOOKUP(C1191,Plan!A:B,2,0)</f>
        <v>Disponible Cali B.Chile</v>
      </c>
      <c r="E1191" s="341">
        <f>+F1191-G1191</f>
        <v>20000</v>
      </c>
      <c r="F1191" s="353">
        <v>20000</v>
      </c>
      <c r="G1191" s="353">
        <v>0</v>
      </c>
      <c r="H1191" t="s">
        <v>1022</v>
      </c>
      <c r="I1191" s="403" t="s">
        <v>131</v>
      </c>
      <c r="K1191" s="370"/>
      <c r="N1191" s="370"/>
    </row>
    <row r="1192" spans="1:14" s="347" customFormat="1" x14ac:dyDescent="0.25">
      <c r="A1192" s="369">
        <f>+A1191</f>
        <v>44270</v>
      </c>
      <c r="B1192" s="347">
        <f>+MONTH(A1192)</f>
        <v>3</v>
      </c>
      <c r="C1192" s="347">
        <v>3210</v>
      </c>
      <c r="D1192" s="340" t="str">
        <f>VLOOKUP(C1192,Plan!A:B,2,0)</f>
        <v>Donacion Construccion</v>
      </c>
      <c r="E1192" s="341">
        <f>+F1192-G1192</f>
        <v>-20000</v>
      </c>
      <c r="F1192" s="353">
        <v>0</v>
      </c>
      <c r="G1192" s="353">
        <f>+F1191</f>
        <v>20000</v>
      </c>
      <c r="H1192" t="s">
        <v>1022</v>
      </c>
      <c r="I1192" s="403" t="s">
        <v>131</v>
      </c>
      <c r="K1192" s="370"/>
      <c r="N1192" s="370"/>
    </row>
    <row r="1193" spans="1:14" s="347" customFormat="1" x14ac:dyDescent="0.25">
      <c r="A1193" s="369"/>
      <c r="E1193" s="396"/>
      <c r="F1193" s="396"/>
      <c r="G1193" s="396"/>
      <c r="K1193" s="370"/>
      <c r="N1193" s="370"/>
    </row>
    <row r="1194" spans="1:14" s="347" customFormat="1" x14ac:dyDescent="0.25">
      <c r="A1194" s="369">
        <v>44270</v>
      </c>
      <c r="B1194" s="347">
        <f>+MONTH(A1194)</f>
        <v>3</v>
      </c>
      <c r="C1194" s="347">
        <v>115</v>
      </c>
      <c r="D1194" s="340" t="str">
        <f>VLOOKUP(C1194,Plan!A:B,2,0)</f>
        <v>Disponible Cali B.Chile</v>
      </c>
      <c r="E1194" s="341">
        <f>+F1194-G1194</f>
        <v>25000</v>
      </c>
      <c r="F1194" s="353">
        <v>25000</v>
      </c>
      <c r="G1194" s="353">
        <v>0</v>
      </c>
      <c r="H1194" t="s">
        <v>1023</v>
      </c>
      <c r="I1194" s="403" t="s">
        <v>131</v>
      </c>
      <c r="K1194" s="370"/>
      <c r="N1194" s="370"/>
    </row>
    <row r="1195" spans="1:14" s="347" customFormat="1" x14ac:dyDescent="0.25">
      <c r="A1195" s="369">
        <f>+A1194</f>
        <v>44270</v>
      </c>
      <c r="B1195" s="347">
        <f>+MONTH(A1195)</f>
        <v>3</v>
      </c>
      <c r="C1195" s="347">
        <v>1222</v>
      </c>
      <c r="D1195" s="340" t="str">
        <f>VLOOKUP(C1195,Plan!A:B,2,0)</f>
        <v>Otros Valores -Oficina y Transferencias (249)</v>
      </c>
      <c r="E1195" s="341">
        <f>+F1195-G1195</f>
        <v>-25000</v>
      </c>
      <c r="F1195" s="353">
        <v>0</v>
      </c>
      <c r="G1195" s="353">
        <f>+F1194</f>
        <v>25000</v>
      </c>
      <c r="H1195" t="s">
        <v>1023</v>
      </c>
      <c r="I1195" s="403" t="s">
        <v>131</v>
      </c>
      <c r="K1195" s="370"/>
      <c r="N1195" s="370"/>
    </row>
    <row r="1196" spans="1:14" s="347" customFormat="1" x14ac:dyDescent="0.25">
      <c r="A1196" s="369"/>
      <c r="E1196" s="396"/>
      <c r="F1196" s="396"/>
      <c r="G1196" s="396"/>
      <c r="K1196" s="370"/>
      <c r="N1196" s="370"/>
    </row>
    <row r="1197" spans="1:14" s="347" customFormat="1" x14ac:dyDescent="0.25">
      <c r="A1197" s="369">
        <v>44270</v>
      </c>
      <c r="B1197" s="347">
        <f>+MONTH(A1197)</f>
        <v>3</v>
      </c>
      <c r="C1197" s="347">
        <v>115</v>
      </c>
      <c r="D1197" s="340" t="str">
        <f>VLOOKUP(C1197,Plan!A:B,2,0)</f>
        <v>Disponible Cali B.Chile</v>
      </c>
      <c r="E1197" s="341">
        <f>+F1197-G1197</f>
        <v>5000</v>
      </c>
      <c r="F1197" s="353">
        <v>5000</v>
      </c>
      <c r="G1197" s="353">
        <v>0</v>
      </c>
      <c r="H1197" t="s">
        <v>1081</v>
      </c>
      <c r="I1197" s="403" t="s">
        <v>131</v>
      </c>
      <c r="K1197" s="370"/>
      <c r="N1197" s="370"/>
    </row>
    <row r="1198" spans="1:14" s="347" customFormat="1" x14ac:dyDescent="0.25">
      <c r="A1198" s="369">
        <f>+A1197</f>
        <v>44270</v>
      </c>
      <c r="B1198" s="347">
        <f>+MONTH(A1198)</f>
        <v>3</v>
      </c>
      <c r="C1198" s="347">
        <v>216</v>
      </c>
      <c r="D1198" s="340" t="str">
        <f>VLOOKUP(C1198,Plan!A:B,2,0)</f>
        <v>Cuenta por Pagar a Administración Colectas</v>
      </c>
      <c r="E1198" s="341">
        <f>+F1198-G1198</f>
        <v>-5000</v>
      </c>
      <c r="F1198" s="353">
        <v>0</v>
      </c>
      <c r="G1198" s="353">
        <f>+F1197</f>
        <v>5000</v>
      </c>
      <c r="H1198" t="s">
        <v>1081</v>
      </c>
      <c r="I1198" s="403" t="s">
        <v>131</v>
      </c>
      <c r="K1198" s="370"/>
      <c r="N1198" s="370"/>
    </row>
    <row r="1199" spans="1:14" s="347" customFormat="1" x14ac:dyDescent="0.25">
      <c r="A1199" s="369"/>
      <c r="E1199" s="396"/>
      <c r="F1199" s="396"/>
      <c r="G1199" s="396"/>
      <c r="K1199" s="370"/>
      <c r="N1199" s="370"/>
    </row>
    <row r="1200" spans="1:14" s="347" customFormat="1" x14ac:dyDescent="0.25">
      <c r="A1200" s="369">
        <v>44270</v>
      </c>
      <c r="B1200" s="347">
        <f>+MONTH(A1200)</f>
        <v>3</v>
      </c>
      <c r="C1200" s="347">
        <v>115</v>
      </c>
      <c r="D1200" s="340" t="str">
        <f>VLOOKUP(C1200,Plan!A:B,2,0)</f>
        <v>Disponible Cali B.Chile</v>
      </c>
      <c r="E1200" s="341">
        <f>+F1200-G1200</f>
        <v>50000</v>
      </c>
      <c r="F1200" s="353">
        <v>50000</v>
      </c>
      <c r="G1200" s="353">
        <v>0</v>
      </c>
      <c r="H1200" t="s">
        <v>1024</v>
      </c>
      <c r="I1200" s="403" t="s">
        <v>131</v>
      </c>
      <c r="K1200" s="370"/>
      <c r="N1200" s="370"/>
    </row>
    <row r="1201" spans="1:14" s="347" customFormat="1" x14ac:dyDescent="0.25">
      <c r="A1201" s="369">
        <f>+A1200</f>
        <v>44270</v>
      </c>
      <c r="B1201" s="347">
        <f>+MONTH(A1201)</f>
        <v>3</v>
      </c>
      <c r="C1201" s="347">
        <v>1222</v>
      </c>
      <c r="D1201" s="340" t="str">
        <f>VLOOKUP(C1201,Plan!A:B,2,0)</f>
        <v>Otros Valores -Oficina y Transferencias (249)</v>
      </c>
      <c r="E1201" s="341">
        <f>+F1201-G1201</f>
        <v>-50000</v>
      </c>
      <c r="F1201" s="353">
        <v>0</v>
      </c>
      <c r="G1201" s="353">
        <f>+F1200</f>
        <v>50000</v>
      </c>
      <c r="H1201" t="s">
        <v>1024</v>
      </c>
      <c r="I1201" s="403" t="s">
        <v>131</v>
      </c>
      <c r="K1201" s="370"/>
      <c r="N1201" s="370"/>
    </row>
    <row r="1202" spans="1:14" s="347" customFormat="1" x14ac:dyDescent="0.25">
      <c r="A1202" s="369"/>
      <c r="E1202" s="396"/>
      <c r="F1202" s="396"/>
      <c r="G1202" s="396"/>
      <c r="K1202" s="370"/>
      <c r="N1202" s="370"/>
    </row>
    <row r="1203" spans="1:14" s="347" customFormat="1" x14ac:dyDescent="0.25">
      <c r="A1203" s="369">
        <v>44270</v>
      </c>
      <c r="B1203" s="347">
        <f>+MONTH(A1203)</f>
        <v>3</v>
      </c>
      <c r="C1203" s="347">
        <v>115</v>
      </c>
      <c r="D1203" s="340" t="str">
        <f>VLOOKUP(C1203,Plan!A:B,2,0)</f>
        <v>Disponible Cali B.Chile</v>
      </c>
      <c r="E1203" s="341">
        <f>+F1203-G1203</f>
        <v>20000</v>
      </c>
      <c r="F1203" s="353">
        <v>20000</v>
      </c>
      <c r="G1203" s="353">
        <v>0</v>
      </c>
      <c r="H1203" t="s">
        <v>1025</v>
      </c>
      <c r="I1203" s="403" t="s">
        <v>131</v>
      </c>
      <c r="K1203" s="370"/>
      <c r="N1203" s="370"/>
    </row>
    <row r="1204" spans="1:14" s="347" customFormat="1" x14ac:dyDescent="0.25">
      <c r="A1204" s="369">
        <f>+A1203</f>
        <v>44270</v>
      </c>
      <c r="B1204" s="347">
        <f>+MONTH(A1204)</f>
        <v>3</v>
      </c>
      <c r="C1204" s="347">
        <v>1222</v>
      </c>
      <c r="D1204" s="340" t="str">
        <f>VLOOKUP(C1204,Plan!A:B,2,0)</f>
        <v>Otros Valores -Oficina y Transferencias (249)</v>
      </c>
      <c r="E1204" s="341">
        <f>+F1204-G1204</f>
        <v>-20000</v>
      </c>
      <c r="F1204" s="353">
        <v>0</v>
      </c>
      <c r="G1204" s="353">
        <f>+F1203</f>
        <v>20000</v>
      </c>
      <c r="H1204" t="s">
        <v>1025</v>
      </c>
      <c r="I1204" s="403" t="s">
        <v>131</v>
      </c>
      <c r="K1204" s="370"/>
      <c r="N1204" s="370"/>
    </row>
    <row r="1205" spans="1:14" s="347" customFormat="1" x14ac:dyDescent="0.25">
      <c r="A1205" s="369"/>
      <c r="E1205" s="396"/>
      <c r="F1205" s="396"/>
      <c r="G1205" s="396"/>
      <c r="K1205" s="370"/>
      <c r="N1205" s="370"/>
    </row>
    <row r="1206" spans="1:14" s="347" customFormat="1" x14ac:dyDescent="0.25">
      <c r="A1206" s="369">
        <v>44270</v>
      </c>
      <c r="B1206" s="347">
        <f>+MONTH(A1206)</f>
        <v>3</v>
      </c>
      <c r="C1206" s="347">
        <v>115</v>
      </c>
      <c r="D1206" s="340" t="str">
        <f>VLOOKUP(C1206,Plan!A:B,2,0)</f>
        <v>Disponible Cali B.Chile</v>
      </c>
      <c r="E1206" s="341">
        <f>+F1206-G1206</f>
        <v>290000</v>
      </c>
      <c r="F1206" s="353">
        <v>290000</v>
      </c>
      <c r="G1206" s="353">
        <v>0</v>
      </c>
      <c r="H1206" s="338" t="s">
        <v>1687</v>
      </c>
      <c r="I1206" s="403" t="s">
        <v>131</v>
      </c>
      <c r="K1206" s="370"/>
      <c r="N1206" s="370"/>
    </row>
    <row r="1207" spans="1:14" s="347" customFormat="1" x14ac:dyDescent="0.25">
      <c r="A1207" s="369">
        <f>+A1206</f>
        <v>44270</v>
      </c>
      <c r="B1207" s="347">
        <f>+MONTH(A1207)</f>
        <v>3</v>
      </c>
      <c r="C1207" s="347">
        <v>1216</v>
      </c>
      <c r="D1207" s="340" t="str">
        <f>VLOOKUP(C1207,Plan!A:B,2,0)</f>
        <v>Otros Valores Recaudadoras</v>
      </c>
      <c r="E1207" s="341">
        <f>+F1207-G1207</f>
        <v>-290000</v>
      </c>
      <c r="F1207" s="353">
        <v>0</v>
      </c>
      <c r="G1207" s="353">
        <f>+F1206</f>
        <v>290000</v>
      </c>
      <c r="H1207" s="338" t="s">
        <v>1687</v>
      </c>
      <c r="I1207" s="403" t="s">
        <v>131</v>
      </c>
      <c r="K1207" s="370"/>
      <c r="N1207" s="370"/>
    </row>
    <row r="1208" spans="1:14" s="347" customFormat="1" x14ac:dyDescent="0.25">
      <c r="A1208" s="369"/>
      <c r="E1208" s="396"/>
      <c r="F1208" s="396"/>
      <c r="G1208" s="396"/>
      <c r="K1208" s="370"/>
      <c r="N1208" s="370"/>
    </row>
    <row r="1209" spans="1:14" s="347" customFormat="1" x14ac:dyDescent="0.25">
      <c r="A1209" s="369">
        <v>44270</v>
      </c>
      <c r="B1209" s="347">
        <f>+MONTH(A1209)</f>
        <v>3</v>
      </c>
      <c r="C1209" s="347">
        <v>115</v>
      </c>
      <c r="D1209" s="340" t="str">
        <f>VLOOKUP(C1209,Plan!A:B,2,0)</f>
        <v>Disponible Cali B.Chile</v>
      </c>
      <c r="E1209" s="341">
        <f>+F1209-G1209</f>
        <v>42000</v>
      </c>
      <c r="F1209" s="353">
        <v>42000</v>
      </c>
      <c r="G1209" s="353">
        <v>0</v>
      </c>
      <c r="H1209" s="338" t="s">
        <v>1687</v>
      </c>
      <c r="I1209" s="403" t="s">
        <v>131</v>
      </c>
      <c r="K1209" s="370"/>
      <c r="N1209" s="370"/>
    </row>
    <row r="1210" spans="1:14" s="347" customFormat="1" x14ac:dyDescent="0.25">
      <c r="A1210" s="369">
        <f>+A1209</f>
        <v>44270</v>
      </c>
      <c r="B1210" s="347">
        <f>+MONTH(A1210)</f>
        <v>3</v>
      </c>
      <c r="C1210" s="347">
        <v>1216</v>
      </c>
      <c r="D1210" s="340" t="str">
        <f>VLOOKUP(C1210,Plan!A:B,2,0)</f>
        <v>Otros Valores Recaudadoras</v>
      </c>
      <c r="E1210" s="341">
        <f>+F1210-G1210</f>
        <v>-42000</v>
      </c>
      <c r="F1210" s="353">
        <v>0</v>
      </c>
      <c r="G1210" s="353">
        <f>+F1209</f>
        <v>42000</v>
      </c>
      <c r="H1210" s="338" t="s">
        <v>1687</v>
      </c>
      <c r="I1210" s="403" t="s">
        <v>131</v>
      </c>
      <c r="K1210" s="370"/>
      <c r="N1210" s="370"/>
    </row>
    <row r="1211" spans="1:14" s="347" customFormat="1" x14ac:dyDescent="0.25">
      <c r="A1211" s="369"/>
      <c r="E1211" s="396"/>
      <c r="F1211" s="396"/>
      <c r="G1211" s="396"/>
      <c r="K1211" s="370"/>
      <c r="N1211" s="370"/>
    </row>
    <row r="1212" spans="1:14" s="347" customFormat="1" x14ac:dyDescent="0.25">
      <c r="A1212" s="369">
        <v>44270</v>
      </c>
      <c r="B1212" s="347">
        <f>+MONTH(A1212)</f>
        <v>3</v>
      </c>
      <c r="C1212" s="347">
        <v>115</v>
      </c>
      <c r="D1212" s="340" t="str">
        <f>VLOOKUP(C1212,Plan!A:B,2,0)</f>
        <v>Disponible Cali B.Chile</v>
      </c>
      <c r="E1212" s="341">
        <f>+F1212-G1212</f>
        <v>115000</v>
      </c>
      <c r="F1212" s="353">
        <v>115000</v>
      </c>
      <c r="G1212" s="353">
        <v>0</v>
      </c>
      <c r="H1212" s="338" t="s">
        <v>1687</v>
      </c>
      <c r="I1212" s="403" t="s">
        <v>131</v>
      </c>
      <c r="K1212" s="370"/>
      <c r="N1212" s="370"/>
    </row>
    <row r="1213" spans="1:14" s="347" customFormat="1" x14ac:dyDescent="0.25">
      <c r="A1213" s="369">
        <f>+A1212</f>
        <v>44270</v>
      </c>
      <c r="B1213" s="347">
        <f>+MONTH(A1213)</f>
        <v>3</v>
      </c>
      <c r="C1213" s="347">
        <v>1216</v>
      </c>
      <c r="D1213" s="340" t="str">
        <f>VLOOKUP(C1213,Plan!A:B,2,0)</f>
        <v>Otros Valores Recaudadoras</v>
      </c>
      <c r="E1213" s="341">
        <f>+F1213-G1213</f>
        <v>-115000</v>
      </c>
      <c r="F1213" s="353">
        <v>0</v>
      </c>
      <c r="G1213" s="353">
        <f>+F1212</f>
        <v>115000</v>
      </c>
      <c r="H1213" s="338" t="s">
        <v>1687</v>
      </c>
      <c r="I1213" s="403" t="s">
        <v>131</v>
      </c>
      <c r="K1213" s="370"/>
      <c r="N1213" s="370"/>
    </row>
    <row r="1214" spans="1:14" s="347" customFormat="1" x14ac:dyDescent="0.25">
      <c r="A1214" s="369"/>
      <c r="E1214" s="396"/>
      <c r="F1214" s="396"/>
      <c r="G1214" s="396"/>
      <c r="K1214" s="370"/>
      <c r="N1214" s="370"/>
    </row>
    <row r="1215" spans="1:14" s="347" customFormat="1" x14ac:dyDescent="0.25">
      <c r="A1215" s="369">
        <v>44270</v>
      </c>
      <c r="B1215" s="347">
        <f>+MONTH(A1215)</f>
        <v>3</v>
      </c>
      <c r="C1215" s="347">
        <v>119</v>
      </c>
      <c r="D1215" s="340" t="str">
        <f>VLOOKUP(C1215,Plan!A:B,2,0)</f>
        <v>FM Cali Banco Security</v>
      </c>
      <c r="E1215" s="341">
        <f>+F1215-G1215</f>
        <v>60045000</v>
      </c>
      <c r="F1215" s="353">
        <v>60045000</v>
      </c>
      <c r="G1215" s="353">
        <v>0</v>
      </c>
      <c r="H1215" s="156" t="s">
        <v>2119</v>
      </c>
      <c r="I1215" s="403" t="s">
        <v>131</v>
      </c>
      <c r="K1215" s="370"/>
      <c r="N1215" s="370"/>
    </row>
    <row r="1216" spans="1:14" s="347" customFormat="1" x14ac:dyDescent="0.25">
      <c r="A1216" s="369">
        <f>+A1215</f>
        <v>44270</v>
      </c>
      <c r="B1216" s="347">
        <f>+MONTH(A1216)</f>
        <v>3</v>
      </c>
      <c r="C1216" s="347">
        <v>118</v>
      </c>
      <c r="D1216" s="340" t="str">
        <f>VLOOKUP(C1216,Plan!A:B,2,0)</f>
        <v>Depósito a plazo Cali Banco Security</v>
      </c>
      <c r="E1216" s="341">
        <f>+F1216-G1216</f>
        <v>-60045000</v>
      </c>
      <c r="F1216" s="353">
        <v>0</v>
      </c>
      <c r="G1216" s="353">
        <f>+F1215</f>
        <v>60045000</v>
      </c>
      <c r="H1216" s="156" t="s">
        <v>2119</v>
      </c>
      <c r="I1216" s="403" t="s">
        <v>131</v>
      </c>
      <c r="K1216" s="370"/>
      <c r="N1216" s="370"/>
    </row>
    <row r="1217" spans="1:14" s="347" customFormat="1" x14ac:dyDescent="0.25">
      <c r="A1217" s="369"/>
      <c r="E1217" s="396"/>
      <c r="F1217" s="396"/>
      <c r="G1217" s="396"/>
      <c r="K1217" s="370"/>
      <c r="N1217" s="370"/>
    </row>
    <row r="1218" spans="1:14" s="347" customFormat="1" x14ac:dyDescent="0.25">
      <c r="A1218" s="369">
        <v>44270</v>
      </c>
      <c r="B1218" s="347">
        <f>+MONTH(A1218)</f>
        <v>3</v>
      </c>
      <c r="C1218" s="347">
        <v>119</v>
      </c>
      <c r="D1218" s="340" t="str">
        <f>VLOOKUP(C1218,Plan!A:B,2,0)</f>
        <v>FM Cali Banco Security</v>
      </c>
      <c r="E1218" s="341">
        <f>+F1218-G1218</f>
        <v>74051800</v>
      </c>
      <c r="F1218" s="353">
        <v>74051800</v>
      </c>
      <c r="G1218" s="353">
        <v>0</v>
      </c>
      <c r="H1218" s="156" t="s">
        <v>2119</v>
      </c>
      <c r="I1218" s="403" t="s">
        <v>131</v>
      </c>
      <c r="K1218" s="370"/>
      <c r="N1218" s="370"/>
    </row>
    <row r="1219" spans="1:14" s="347" customFormat="1" x14ac:dyDescent="0.25">
      <c r="A1219" s="369">
        <f>+A1218</f>
        <v>44270</v>
      </c>
      <c r="B1219" s="347">
        <f>+MONTH(A1219)</f>
        <v>3</v>
      </c>
      <c r="C1219" s="347">
        <v>118</v>
      </c>
      <c r="D1219" s="340" t="str">
        <f>VLOOKUP(C1219,Plan!A:B,2,0)</f>
        <v>Depósito a plazo Cali Banco Security</v>
      </c>
      <c r="E1219" s="341">
        <f>+F1219-G1219</f>
        <v>-74051800</v>
      </c>
      <c r="F1219" s="353">
        <v>0</v>
      </c>
      <c r="G1219" s="353">
        <f>+F1218</f>
        <v>74051800</v>
      </c>
      <c r="H1219" s="156" t="s">
        <v>2119</v>
      </c>
      <c r="I1219" s="403" t="s">
        <v>131</v>
      </c>
      <c r="K1219" s="370"/>
      <c r="N1219" s="370"/>
    </row>
    <row r="1220" spans="1:14" s="347" customFormat="1" x14ac:dyDescent="0.25">
      <c r="A1220" s="369"/>
      <c r="E1220" s="396"/>
      <c r="F1220" s="396"/>
      <c r="G1220" s="396"/>
      <c r="K1220" s="370"/>
      <c r="N1220" s="370"/>
    </row>
    <row r="1221" spans="1:14" s="347" customFormat="1" x14ac:dyDescent="0.25">
      <c r="A1221" s="369">
        <v>44271</v>
      </c>
      <c r="B1221" s="347">
        <f>+MONTH(A1221)</f>
        <v>3</v>
      </c>
      <c r="C1221" s="347">
        <v>115</v>
      </c>
      <c r="D1221" s="340" t="str">
        <f>VLOOKUP(C1221,Plan!A:B,2,0)</f>
        <v>Disponible Cali B.Chile</v>
      </c>
      <c r="E1221" s="341">
        <f>+F1221-G1221</f>
        <v>20000</v>
      </c>
      <c r="F1221" s="353">
        <v>20000</v>
      </c>
      <c r="G1221" s="353">
        <v>0</v>
      </c>
      <c r="H1221" t="s">
        <v>988</v>
      </c>
      <c r="I1221" s="403" t="s">
        <v>131</v>
      </c>
      <c r="K1221" s="370"/>
      <c r="N1221" s="370"/>
    </row>
    <row r="1222" spans="1:14" s="347" customFormat="1" x14ac:dyDescent="0.25">
      <c r="A1222" s="369">
        <f>+A1221</f>
        <v>44271</v>
      </c>
      <c r="B1222" s="347">
        <f>+MONTH(A1222)</f>
        <v>3</v>
      </c>
      <c r="C1222" s="347">
        <v>1222</v>
      </c>
      <c r="D1222" s="340" t="str">
        <f>VLOOKUP(C1222,Plan!A:B,2,0)</f>
        <v>Otros Valores -Oficina y Transferencias (249)</v>
      </c>
      <c r="E1222" s="341">
        <f>+F1222-G1222</f>
        <v>-20000</v>
      </c>
      <c r="F1222" s="353">
        <v>0</v>
      </c>
      <c r="G1222" s="353">
        <f>+F1221</f>
        <v>20000</v>
      </c>
      <c r="H1222" t="s">
        <v>988</v>
      </c>
      <c r="I1222" s="403" t="s">
        <v>131</v>
      </c>
      <c r="K1222" s="370"/>
      <c r="N1222" s="370"/>
    </row>
    <row r="1223" spans="1:14" s="347" customFormat="1" x14ac:dyDescent="0.25">
      <c r="A1223" s="369"/>
      <c r="E1223" s="396"/>
      <c r="F1223" s="396"/>
      <c r="G1223" s="396"/>
      <c r="K1223" s="370"/>
      <c r="N1223" s="370"/>
    </row>
    <row r="1224" spans="1:14" s="347" customFormat="1" x14ac:dyDescent="0.25">
      <c r="A1224" s="369">
        <v>44271</v>
      </c>
      <c r="B1224" s="347">
        <f>+MONTH(A1224)</f>
        <v>3</v>
      </c>
      <c r="C1224" s="347">
        <v>115</v>
      </c>
      <c r="D1224" s="340" t="str">
        <f>VLOOKUP(C1224,Plan!A:B,2,0)</f>
        <v>Disponible Cali B.Chile</v>
      </c>
      <c r="E1224" s="341">
        <f>+F1224-G1224</f>
        <v>1150000</v>
      </c>
      <c r="F1224" s="353">
        <v>1150000</v>
      </c>
      <c r="G1224" s="353">
        <v>0</v>
      </c>
      <c r="H1224" t="s">
        <v>1080</v>
      </c>
      <c r="I1224" s="403" t="s">
        <v>131</v>
      </c>
      <c r="K1224" s="370"/>
      <c r="N1224" s="370"/>
    </row>
    <row r="1225" spans="1:14" s="347" customFormat="1" x14ac:dyDescent="0.25">
      <c r="A1225" s="369">
        <f>+A1224</f>
        <v>44271</v>
      </c>
      <c r="B1225" s="347">
        <f>+MONTH(A1225)</f>
        <v>3</v>
      </c>
      <c r="C1225" s="347">
        <v>3210</v>
      </c>
      <c r="D1225" s="340" t="str">
        <f>VLOOKUP(C1225,Plan!A:B,2,0)</f>
        <v>Donacion Construccion</v>
      </c>
      <c r="E1225" s="341">
        <f>+F1225-G1225</f>
        <v>-1150000</v>
      </c>
      <c r="F1225" s="353">
        <v>0</v>
      </c>
      <c r="G1225" s="353">
        <f>+F1224</f>
        <v>1150000</v>
      </c>
      <c r="H1225" t="s">
        <v>1080</v>
      </c>
      <c r="I1225" s="403" t="s">
        <v>131</v>
      </c>
      <c r="K1225" s="370"/>
      <c r="N1225" s="370"/>
    </row>
    <row r="1226" spans="1:14" s="347" customFormat="1" x14ac:dyDescent="0.25">
      <c r="A1226" s="369"/>
      <c r="E1226" s="396"/>
      <c r="F1226" s="396"/>
      <c r="G1226" s="396"/>
      <c r="K1226" s="370"/>
      <c r="N1226" s="370"/>
    </row>
    <row r="1227" spans="1:14" s="347" customFormat="1" x14ac:dyDescent="0.25">
      <c r="A1227" s="369">
        <v>44271</v>
      </c>
      <c r="B1227" s="347">
        <f>+MONTH(A1227)</f>
        <v>3</v>
      </c>
      <c r="C1227" s="347">
        <v>115</v>
      </c>
      <c r="D1227" s="340" t="str">
        <f>VLOOKUP(C1227,Plan!A:B,2,0)</f>
        <v>Disponible Cali B.Chile</v>
      </c>
      <c r="E1227" s="341">
        <f>+F1227-G1227</f>
        <v>15000</v>
      </c>
      <c r="F1227" s="353">
        <v>15000</v>
      </c>
      <c r="G1227" s="353">
        <v>0</v>
      </c>
      <c r="H1227" t="s">
        <v>940</v>
      </c>
      <c r="I1227" s="403" t="s">
        <v>131</v>
      </c>
      <c r="K1227" s="370"/>
      <c r="N1227" s="370"/>
    </row>
    <row r="1228" spans="1:14" s="347" customFormat="1" x14ac:dyDescent="0.25">
      <c r="A1228" s="369">
        <f>+A1227</f>
        <v>44271</v>
      </c>
      <c r="B1228" s="347">
        <f>+MONTH(A1228)</f>
        <v>3</v>
      </c>
      <c r="C1228" s="347">
        <v>1216</v>
      </c>
      <c r="D1228" s="340" t="str">
        <f>VLOOKUP(C1228,Plan!A:B,2,0)</f>
        <v>Otros Valores Recaudadoras</v>
      </c>
      <c r="E1228" s="341">
        <f>+F1228-G1228</f>
        <v>-15000</v>
      </c>
      <c r="F1228" s="353">
        <v>0</v>
      </c>
      <c r="G1228" s="353">
        <f>+F1227</f>
        <v>15000</v>
      </c>
      <c r="H1228" t="s">
        <v>940</v>
      </c>
      <c r="I1228" s="403" t="s">
        <v>131</v>
      </c>
      <c r="K1228" s="370"/>
      <c r="N1228" s="370"/>
    </row>
    <row r="1229" spans="1:14" s="347" customFormat="1" x14ac:dyDescent="0.25">
      <c r="A1229" s="369"/>
      <c r="E1229" s="396"/>
      <c r="F1229" s="396"/>
      <c r="G1229" s="396"/>
      <c r="K1229" s="370"/>
      <c r="N1229" s="370"/>
    </row>
    <row r="1230" spans="1:14" s="347" customFormat="1" x14ac:dyDescent="0.25">
      <c r="A1230" s="369">
        <v>44271</v>
      </c>
      <c r="B1230" s="347">
        <f>+MONTH(A1230)</f>
        <v>3</v>
      </c>
      <c r="C1230" s="347">
        <v>115</v>
      </c>
      <c r="D1230" s="340" t="str">
        <f>VLOOKUP(C1230,Plan!A:B,2,0)</f>
        <v>Disponible Cali B.Chile</v>
      </c>
      <c r="E1230" s="341">
        <f>+F1230-G1230</f>
        <v>20000</v>
      </c>
      <c r="F1230" s="353">
        <v>20000</v>
      </c>
      <c r="G1230" s="353">
        <v>0</v>
      </c>
      <c r="H1230" t="s">
        <v>1007</v>
      </c>
      <c r="I1230" s="403" t="s">
        <v>131</v>
      </c>
      <c r="K1230" s="370"/>
      <c r="N1230" s="370"/>
    </row>
    <row r="1231" spans="1:14" s="347" customFormat="1" x14ac:dyDescent="0.25">
      <c r="A1231" s="369">
        <f>+A1230</f>
        <v>44271</v>
      </c>
      <c r="B1231" s="347">
        <f>+MONTH(A1231)</f>
        <v>3</v>
      </c>
      <c r="C1231" s="347">
        <v>1222</v>
      </c>
      <c r="D1231" s="340" t="str">
        <f>VLOOKUP(C1231,Plan!A:B,2,0)</f>
        <v>Otros Valores -Oficina y Transferencias (249)</v>
      </c>
      <c r="E1231" s="341">
        <f>+F1231-G1231</f>
        <v>-20000</v>
      </c>
      <c r="F1231" s="353">
        <v>0</v>
      </c>
      <c r="G1231" s="353">
        <f>+F1230</f>
        <v>20000</v>
      </c>
      <c r="H1231" t="s">
        <v>1007</v>
      </c>
      <c r="I1231" s="403" t="s">
        <v>131</v>
      </c>
      <c r="K1231" s="370"/>
      <c r="N1231" s="370"/>
    </row>
    <row r="1232" spans="1:14" s="347" customFormat="1" x14ac:dyDescent="0.25">
      <c r="A1232" s="369"/>
      <c r="E1232" s="396"/>
      <c r="F1232" s="396"/>
      <c r="G1232" s="396"/>
      <c r="K1232" s="370"/>
      <c r="N1232" s="370"/>
    </row>
    <row r="1233" spans="1:14" s="347" customFormat="1" x14ac:dyDescent="0.25">
      <c r="A1233" s="369">
        <v>44273</v>
      </c>
      <c r="B1233" s="347">
        <f>+MONTH(A1233)</f>
        <v>3</v>
      </c>
      <c r="C1233" s="347">
        <v>115</v>
      </c>
      <c r="D1233" s="340" t="str">
        <f>VLOOKUP(C1233,Plan!A:B,2,0)</f>
        <v>Disponible Cali B.Chile</v>
      </c>
      <c r="E1233" s="341">
        <f>+F1233-G1233</f>
        <v>10000</v>
      </c>
      <c r="F1233" s="353">
        <v>10000</v>
      </c>
      <c r="G1233" s="353">
        <v>0</v>
      </c>
      <c r="H1233" t="s">
        <v>1028</v>
      </c>
      <c r="I1233" s="403" t="s">
        <v>131</v>
      </c>
      <c r="K1233" s="370"/>
      <c r="N1233" s="370"/>
    </row>
    <row r="1234" spans="1:14" s="347" customFormat="1" x14ac:dyDescent="0.25">
      <c r="A1234" s="369">
        <f>+A1233</f>
        <v>44273</v>
      </c>
      <c r="B1234" s="347">
        <f>+MONTH(A1234)</f>
        <v>3</v>
      </c>
      <c r="C1234" s="347">
        <v>1217</v>
      </c>
      <c r="D1234" s="340" t="str">
        <f>VLOOKUP(C1234,Plan!A:B,2,0)</f>
        <v>Otros Valores -Oficina y Transferencias (248)</v>
      </c>
      <c r="E1234" s="341">
        <f>+F1234-G1234</f>
        <v>-10000</v>
      </c>
      <c r="F1234" s="353">
        <v>0</v>
      </c>
      <c r="G1234" s="353">
        <f>+F1233</f>
        <v>10000</v>
      </c>
      <c r="H1234" t="s">
        <v>1028</v>
      </c>
      <c r="I1234" s="403" t="s">
        <v>131</v>
      </c>
      <c r="K1234" s="370"/>
      <c r="N1234" s="370"/>
    </row>
    <row r="1235" spans="1:14" s="347" customFormat="1" x14ac:dyDescent="0.25">
      <c r="A1235" s="369"/>
      <c r="E1235" s="396"/>
      <c r="F1235" s="396"/>
      <c r="G1235" s="396"/>
      <c r="K1235" s="370"/>
      <c r="N1235" s="370"/>
    </row>
    <row r="1236" spans="1:14" s="347" customFormat="1" x14ac:dyDescent="0.25">
      <c r="A1236" s="369">
        <v>44277</v>
      </c>
      <c r="B1236" s="347">
        <f>+MONTH(A1236)</f>
        <v>3</v>
      </c>
      <c r="C1236" s="347">
        <v>115</v>
      </c>
      <c r="D1236" s="340" t="str">
        <f>VLOOKUP(C1236,Plan!A:B,2,0)</f>
        <v>Disponible Cali B.Chile</v>
      </c>
      <c r="E1236" s="341">
        <f>+F1236-G1236</f>
        <v>50000</v>
      </c>
      <c r="F1236" s="353">
        <v>50000</v>
      </c>
      <c r="G1236" s="353">
        <v>0</v>
      </c>
      <c r="H1236" s="338" t="s">
        <v>1687</v>
      </c>
      <c r="I1236" s="403" t="s">
        <v>131</v>
      </c>
      <c r="K1236" s="370"/>
      <c r="N1236" s="370"/>
    </row>
    <row r="1237" spans="1:14" s="347" customFormat="1" x14ac:dyDescent="0.25">
      <c r="A1237" s="369">
        <f>+A1236</f>
        <v>44277</v>
      </c>
      <c r="B1237" s="347">
        <f>+MONTH(A1237)</f>
        <v>3</v>
      </c>
      <c r="C1237" s="347">
        <v>1216</v>
      </c>
      <c r="D1237" s="340" t="str">
        <f>VLOOKUP(C1237,Plan!A:B,2,0)</f>
        <v>Otros Valores Recaudadoras</v>
      </c>
      <c r="E1237" s="341">
        <f>+F1237-G1237</f>
        <v>-50000</v>
      </c>
      <c r="F1237" s="353">
        <v>0</v>
      </c>
      <c r="G1237" s="353">
        <f>+F1236</f>
        <v>50000</v>
      </c>
      <c r="H1237" s="338" t="s">
        <v>1687</v>
      </c>
      <c r="I1237" s="403" t="s">
        <v>131</v>
      </c>
      <c r="K1237" s="370"/>
      <c r="N1237" s="370"/>
    </row>
    <row r="1238" spans="1:14" s="347" customFormat="1" x14ac:dyDescent="0.25">
      <c r="A1238" s="369"/>
      <c r="E1238" s="396"/>
      <c r="F1238" s="396"/>
      <c r="G1238" s="396"/>
      <c r="K1238" s="370"/>
      <c r="N1238" s="370"/>
    </row>
    <row r="1239" spans="1:14" s="347" customFormat="1" x14ac:dyDescent="0.25">
      <c r="A1239" s="369">
        <v>44277</v>
      </c>
      <c r="B1239" s="347">
        <f>+MONTH(A1239)</f>
        <v>3</v>
      </c>
      <c r="C1239" s="347">
        <v>115</v>
      </c>
      <c r="D1239" s="340" t="str">
        <f>VLOOKUP(C1239,Plan!A:B,2,0)</f>
        <v>Disponible Cali B.Chile</v>
      </c>
      <c r="E1239" s="341">
        <f>+F1239-G1239</f>
        <v>60000</v>
      </c>
      <c r="F1239" s="353">
        <v>60000</v>
      </c>
      <c r="G1239" s="353">
        <v>0</v>
      </c>
      <c r="H1239" s="338" t="s">
        <v>1687</v>
      </c>
      <c r="I1239" s="403" t="s">
        <v>131</v>
      </c>
      <c r="K1239" s="370"/>
      <c r="N1239" s="370"/>
    </row>
    <row r="1240" spans="1:14" s="347" customFormat="1" x14ac:dyDescent="0.25">
      <c r="A1240" s="369">
        <f>+A1239</f>
        <v>44277</v>
      </c>
      <c r="B1240" s="347">
        <f>+MONTH(A1240)</f>
        <v>3</v>
      </c>
      <c r="C1240" s="347">
        <v>1216</v>
      </c>
      <c r="D1240" s="340" t="str">
        <f>VLOOKUP(C1240,Plan!A:B,2,0)</f>
        <v>Otros Valores Recaudadoras</v>
      </c>
      <c r="E1240" s="341">
        <f>+F1240-G1240</f>
        <v>-60000</v>
      </c>
      <c r="F1240" s="353">
        <v>0</v>
      </c>
      <c r="G1240" s="353">
        <f>+F1239</f>
        <v>60000</v>
      </c>
      <c r="H1240" s="338" t="s">
        <v>1687</v>
      </c>
      <c r="I1240" s="403" t="s">
        <v>131</v>
      </c>
      <c r="K1240" s="370"/>
      <c r="N1240" s="370"/>
    </row>
    <row r="1241" spans="1:14" s="347" customFormat="1" x14ac:dyDescent="0.25">
      <c r="A1241" s="369"/>
      <c r="E1241" s="396"/>
      <c r="F1241" s="396"/>
      <c r="G1241" s="396"/>
      <c r="K1241" s="370"/>
      <c r="N1241" s="370"/>
    </row>
    <row r="1242" spans="1:14" s="347" customFormat="1" x14ac:dyDescent="0.25">
      <c r="A1242" s="369">
        <v>44277</v>
      </c>
      <c r="B1242" s="347">
        <f>+MONTH(A1242)</f>
        <v>3</v>
      </c>
      <c r="C1242" s="347">
        <v>115</v>
      </c>
      <c r="D1242" s="340" t="str">
        <f>VLOOKUP(C1242,Plan!A:B,2,0)</f>
        <v>Disponible Cali B.Chile</v>
      </c>
      <c r="E1242" s="341">
        <f>+F1242-G1242</f>
        <v>18000</v>
      </c>
      <c r="F1242" s="353">
        <v>18000</v>
      </c>
      <c r="G1242" s="353">
        <v>0</v>
      </c>
      <c r="H1242" t="s">
        <v>1030</v>
      </c>
      <c r="I1242" s="403" t="s">
        <v>131</v>
      </c>
      <c r="K1242" s="370"/>
      <c r="N1242" s="370"/>
    </row>
    <row r="1243" spans="1:14" s="347" customFormat="1" x14ac:dyDescent="0.25">
      <c r="A1243" s="369">
        <f>+A1242</f>
        <v>44277</v>
      </c>
      <c r="B1243" s="347">
        <f>+MONTH(A1243)</f>
        <v>3</v>
      </c>
      <c r="C1243" s="347">
        <v>1222</v>
      </c>
      <c r="D1243" s="340" t="str">
        <f>VLOOKUP(C1243,Plan!A:B,2,0)</f>
        <v>Otros Valores -Oficina y Transferencias (249)</v>
      </c>
      <c r="E1243" s="341">
        <f>+F1243-G1243</f>
        <v>-18000</v>
      </c>
      <c r="F1243" s="353">
        <v>0</v>
      </c>
      <c r="G1243" s="353">
        <f>+F1242</f>
        <v>18000</v>
      </c>
      <c r="H1243" t="s">
        <v>1030</v>
      </c>
      <c r="I1243" s="403" t="s">
        <v>131</v>
      </c>
      <c r="K1243" s="370"/>
      <c r="N1243" s="370"/>
    </row>
    <row r="1244" spans="1:14" s="347" customFormat="1" x14ac:dyDescent="0.25">
      <c r="A1244" s="369"/>
      <c r="E1244" s="396"/>
      <c r="F1244" s="396"/>
      <c r="G1244" s="396"/>
      <c r="K1244" s="370"/>
      <c r="N1244" s="370"/>
    </row>
    <row r="1245" spans="1:14" s="347" customFormat="1" x14ac:dyDescent="0.25">
      <c r="A1245" s="369">
        <v>44277</v>
      </c>
      <c r="B1245" s="347">
        <f>+MONTH(A1245)</f>
        <v>3</v>
      </c>
      <c r="C1245" s="347">
        <v>115</v>
      </c>
      <c r="D1245" s="340" t="str">
        <f>VLOOKUP(C1245,Plan!A:B,2,0)</f>
        <v>Disponible Cali B.Chile</v>
      </c>
      <c r="E1245" s="341">
        <f>+F1245-G1245</f>
        <v>2000</v>
      </c>
      <c r="F1245" s="353">
        <v>2000</v>
      </c>
      <c r="G1245" s="353">
        <v>0</v>
      </c>
      <c r="H1245" t="s">
        <v>1010</v>
      </c>
      <c r="I1245" s="403" t="s">
        <v>131</v>
      </c>
      <c r="K1245" s="370"/>
      <c r="N1245" s="370"/>
    </row>
    <row r="1246" spans="1:14" s="347" customFormat="1" x14ac:dyDescent="0.25">
      <c r="A1246" s="369">
        <f>+A1245</f>
        <v>44277</v>
      </c>
      <c r="B1246" s="347">
        <f>+MONTH(A1246)</f>
        <v>3</v>
      </c>
      <c r="C1246" s="347">
        <v>216</v>
      </c>
      <c r="D1246" s="340" t="str">
        <f>VLOOKUP(C1246,Plan!A:B,2,0)</f>
        <v>Cuenta por Pagar a Administración Colectas</v>
      </c>
      <c r="E1246" s="341">
        <f>+F1246-G1246</f>
        <v>-2000</v>
      </c>
      <c r="F1246" s="353">
        <v>0</v>
      </c>
      <c r="G1246" s="353">
        <f>+F1245</f>
        <v>2000</v>
      </c>
      <c r="H1246" t="s">
        <v>1010</v>
      </c>
      <c r="I1246" s="403" t="s">
        <v>131</v>
      </c>
      <c r="K1246" s="370"/>
      <c r="N1246" s="370"/>
    </row>
    <row r="1247" spans="1:14" s="347" customFormat="1" x14ac:dyDescent="0.25">
      <c r="A1247" s="369"/>
      <c r="E1247" s="396"/>
      <c r="F1247" s="396"/>
      <c r="G1247" s="396"/>
      <c r="K1247" s="370"/>
      <c r="N1247" s="370"/>
    </row>
    <row r="1248" spans="1:14" s="347" customFormat="1" x14ac:dyDescent="0.25">
      <c r="A1248" s="369">
        <v>44277</v>
      </c>
      <c r="B1248" s="347">
        <f>+MONTH(A1248)</f>
        <v>3</v>
      </c>
      <c r="C1248" s="347">
        <v>115</v>
      </c>
      <c r="D1248" s="340" t="str">
        <f>VLOOKUP(C1248,Plan!A:B,2,0)</f>
        <v>Disponible Cali B.Chile</v>
      </c>
      <c r="E1248" s="341">
        <f>+F1248-G1248</f>
        <v>8000</v>
      </c>
      <c r="F1248" s="353">
        <v>8000</v>
      </c>
      <c r="G1248" s="353">
        <v>0</v>
      </c>
      <c r="H1248" t="s">
        <v>971</v>
      </c>
      <c r="I1248" s="403" t="s">
        <v>131</v>
      </c>
      <c r="K1248" s="370"/>
      <c r="N1248" s="370"/>
    </row>
    <row r="1249" spans="1:14" s="347" customFormat="1" x14ac:dyDescent="0.25">
      <c r="A1249" s="369">
        <f>+A1248</f>
        <v>44277</v>
      </c>
      <c r="B1249" s="347">
        <f>+MONTH(A1249)</f>
        <v>3</v>
      </c>
      <c r="C1249" s="347">
        <v>216</v>
      </c>
      <c r="D1249" s="340" t="str">
        <f>VLOOKUP(C1249,Plan!A:B,2,0)</f>
        <v>Cuenta por Pagar a Administración Colectas</v>
      </c>
      <c r="E1249" s="341">
        <f>+F1249-G1249</f>
        <v>-8000</v>
      </c>
      <c r="F1249" s="353">
        <v>0</v>
      </c>
      <c r="G1249" s="353">
        <f>+F1248</f>
        <v>8000</v>
      </c>
      <c r="H1249" t="s">
        <v>971</v>
      </c>
      <c r="I1249" s="403" t="s">
        <v>131</v>
      </c>
      <c r="K1249" s="370"/>
      <c r="N1249" s="370"/>
    </row>
    <row r="1250" spans="1:14" s="347" customFormat="1" x14ac:dyDescent="0.25">
      <c r="A1250" s="369"/>
      <c r="E1250" s="396"/>
      <c r="F1250" s="396"/>
      <c r="G1250" s="396"/>
      <c r="K1250" s="370"/>
      <c r="N1250" s="370"/>
    </row>
    <row r="1251" spans="1:14" s="347" customFormat="1" x14ac:dyDescent="0.25">
      <c r="A1251" s="369">
        <v>44277</v>
      </c>
      <c r="B1251" s="347">
        <f>+MONTH(A1251)</f>
        <v>3</v>
      </c>
      <c r="C1251" s="347">
        <v>115</v>
      </c>
      <c r="D1251" s="340" t="str">
        <f>VLOOKUP(C1251,Plan!A:B,2,0)</f>
        <v>Disponible Cali B.Chile</v>
      </c>
      <c r="E1251" s="341">
        <f>+F1251-G1251</f>
        <v>30000</v>
      </c>
      <c r="F1251" s="353">
        <v>30000</v>
      </c>
      <c r="G1251" s="353">
        <v>0</v>
      </c>
      <c r="H1251" t="s">
        <v>1082</v>
      </c>
      <c r="I1251" s="403" t="s">
        <v>131</v>
      </c>
      <c r="K1251" s="370"/>
      <c r="N1251" s="370"/>
    </row>
    <row r="1252" spans="1:14" s="347" customFormat="1" x14ac:dyDescent="0.25">
      <c r="A1252" s="369">
        <f>+A1251</f>
        <v>44277</v>
      </c>
      <c r="B1252" s="347">
        <f>+MONTH(A1252)</f>
        <v>3</v>
      </c>
      <c r="C1252" s="347">
        <v>1222</v>
      </c>
      <c r="D1252" s="340" t="str">
        <f>VLOOKUP(C1252,Plan!A:B,2,0)</f>
        <v>Otros Valores -Oficina y Transferencias (249)</v>
      </c>
      <c r="E1252" s="341">
        <f>+F1252-G1252</f>
        <v>-30000</v>
      </c>
      <c r="F1252" s="353">
        <v>0</v>
      </c>
      <c r="G1252" s="353">
        <f>+F1251</f>
        <v>30000</v>
      </c>
      <c r="H1252" t="s">
        <v>1082</v>
      </c>
      <c r="I1252" s="403" t="s">
        <v>131</v>
      </c>
      <c r="K1252" s="370"/>
      <c r="N1252" s="370"/>
    </row>
    <row r="1253" spans="1:14" s="347" customFormat="1" x14ac:dyDescent="0.25">
      <c r="A1253" s="369"/>
      <c r="E1253" s="396"/>
      <c r="F1253" s="396"/>
      <c r="G1253" s="396"/>
      <c r="K1253" s="370"/>
      <c r="N1253" s="370"/>
    </row>
    <row r="1254" spans="1:14" s="347" customFormat="1" x14ac:dyDescent="0.25">
      <c r="A1254" s="369">
        <v>44277</v>
      </c>
      <c r="B1254" s="347">
        <f>+MONTH(A1254)</f>
        <v>3</v>
      </c>
      <c r="C1254" s="347">
        <v>115</v>
      </c>
      <c r="D1254" s="340" t="str">
        <f>VLOOKUP(C1254,Plan!A:B,2,0)</f>
        <v>Disponible Cali B.Chile</v>
      </c>
      <c r="E1254" s="341">
        <f>+F1254-G1254</f>
        <v>100000</v>
      </c>
      <c r="F1254" s="353">
        <v>100000</v>
      </c>
      <c r="G1254" s="353">
        <v>0</v>
      </c>
      <c r="H1254" t="s">
        <v>1021</v>
      </c>
      <c r="I1254" s="403" t="s">
        <v>131</v>
      </c>
      <c r="K1254" s="370"/>
      <c r="N1254" s="370"/>
    </row>
    <row r="1255" spans="1:14" s="347" customFormat="1" x14ac:dyDescent="0.25">
      <c r="A1255" s="369">
        <f>+A1254</f>
        <v>44277</v>
      </c>
      <c r="B1255" s="347">
        <f>+MONTH(A1255)</f>
        <v>3</v>
      </c>
      <c r="C1255" s="347">
        <v>3210</v>
      </c>
      <c r="D1255" s="340" t="str">
        <f>VLOOKUP(C1255,Plan!A:B,2,0)</f>
        <v>Donacion Construccion</v>
      </c>
      <c r="E1255" s="341">
        <f>+F1255-G1255</f>
        <v>-100000</v>
      </c>
      <c r="F1255" s="353">
        <v>0</v>
      </c>
      <c r="G1255" s="353">
        <f>+F1254</f>
        <v>100000</v>
      </c>
      <c r="H1255" t="s">
        <v>1021</v>
      </c>
      <c r="I1255" s="403" t="s">
        <v>131</v>
      </c>
      <c r="K1255" s="370"/>
      <c r="N1255" s="370"/>
    </row>
    <row r="1256" spans="1:14" s="347" customFormat="1" x14ac:dyDescent="0.25">
      <c r="A1256" s="369"/>
      <c r="E1256" s="396"/>
      <c r="F1256" s="396"/>
      <c r="G1256" s="396"/>
      <c r="K1256" s="370"/>
      <c r="N1256" s="370"/>
    </row>
    <row r="1257" spans="1:14" s="347" customFormat="1" x14ac:dyDescent="0.25">
      <c r="A1257" s="369">
        <v>44277</v>
      </c>
      <c r="B1257" s="347">
        <f>+MONTH(A1257)</f>
        <v>3</v>
      </c>
      <c r="C1257" s="347">
        <v>115</v>
      </c>
      <c r="D1257" s="340" t="str">
        <f>VLOOKUP(C1257,Plan!A:B,2,0)</f>
        <v>Disponible Cali B.Chile</v>
      </c>
      <c r="E1257" s="341">
        <f>+F1257-G1257</f>
        <v>20000</v>
      </c>
      <c r="F1257" s="353">
        <v>20000</v>
      </c>
      <c r="G1257" s="353">
        <v>0</v>
      </c>
      <c r="H1257" t="s">
        <v>1083</v>
      </c>
      <c r="I1257" s="403" t="s">
        <v>131</v>
      </c>
      <c r="K1257" s="370"/>
      <c r="N1257" s="370"/>
    </row>
    <row r="1258" spans="1:14" s="347" customFormat="1" x14ac:dyDescent="0.25">
      <c r="A1258" s="369">
        <f>+A1257</f>
        <v>44277</v>
      </c>
      <c r="B1258" s="347">
        <f>+MONTH(A1258)</f>
        <v>3</v>
      </c>
      <c r="C1258" s="347">
        <v>1222</v>
      </c>
      <c r="D1258" s="340" t="str">
        <f>VLOOKUP(C1258,Plan!A:B,2,0)</f>
        <v>Otros Valores -Oficina y Transferencias (249)</v>
      </c>
      <c r="E1258" s="341">
        <f>+F1258-G1258</f>
        <v>-20000</v>
      </c>
      <c r="F1258" s="353">
        <v>0</v>
      </c>
      <c r="G1258" s="353">
        <f>+F1257</f>
        <v>20000</v>
      </c>
      <c r="H1258" t="s">
        <v>1083</v>
      </c>
      <c r="I1258" s="403" t="s">
        <v>131</v>
      </c>
      <c r="K1258" s="370"/>
      <c r="N1258" s="370"/>
    </row>
    <row r="1259" spans="1:14" s="347" customFormat="1" x14ac:dyDescent="0.25">
      <c r="A1259" s="369"/>
      <c r="E1259" s="396"/>
      <c r="F1259" s="396"/>
      <c r="G1259" s="396"/>
      <c r="K1259" s="370"/>
      <c r="N1259" s="370"/>
    </row>
    <row r="1260" spans="1:14" s="347" customFormat="1" x14ac:dyDescent="0.25">
      <c r="A1260" s="369">
        <v>44278</v>
      </c>
      <c r="B1260" s="347">
        <f>+MONTH(A1260)</f>
        <v>3</v>
      </c>
      <c r="C1260" s="347">
        <v>115</v>
      </c>
      <c r="D1260" s="340" t="str">
        <f>VLOOKUP(C1260,Plan!A:B,2,0)</f>
        <v>Disponible Cali B.Chile</v>
      </c>
      <c r="E1260" s="341">
        <f>+F1260-G1260</f>
        <v>120000</v>
      </c>
      <c r="F1260" s="353">
        <v>120000</v>
      </c>
      <c r="G1260" s="353">
        <v>0</v>
      </c>
      <c r="H1260" t="s">
        <v>1084</v>
      </c>
      <c r="I1260" s="403" t="s">
        <v>131</v>
      </c>
      <c r="K1260" s="370"/>
      <c r="N1260" s="370"/>
    </row>
    <row r="1261" spans="1:14" s="347" customFormat="1" x14ac:dyDescent="0.25">
      <c r="A1261" s="369">
        <f>+A1260</f>
        <v>44278</v>
      </c>
      <c r="B1261" s="347">
        <f>+MONTH(A1261)</f>
        <v>3</v>
      </c>
      <c r="C1261" s="347">
        <v>1222</v>
      </c>
      <c r="D1261" s="340" t="str">
        <f>VLOOKUP(C1261,Plan!A:B,2,0)</f>
        <v>Otros Valores -Oficina y Transferencias (249)</v>
      </c>
      <c r="E1261" s="341">
        <f>+F1261-G1261</f>
        <v>-120000</v>
      </c>
      <c r="F1261" s="353">
        <v>0</v>
      </c>
      <c r="G1261" s="353">
        <f>+F1260</f>
        <v>120000</v>
      </c>
      <c r="H1261" t="s">
        <v>1084</v>
      </c>
      <c r="I1261" s="403" t="s">
        <v>131</v>
      </c>
      <c r="K1261" s="370"/>
      <c r="N1261" s="370"/>
    </row>
    <row r="1262" spans="1:14" s="347" customFormat="1" x14ac:dyDescent="0.25">
      <c r="A1262" s="369"/>
      <c r="E1262" s="396"/>
      <c r="F1262" s="396"/>
      <c r="G1262" s="396"/>
      <c r="K1262" s="370"/>
      <c r="N1262" s="370"/>
    </row>
    <row r="1263" spans="1:14" s="347" customFormat="1" x14ac:dyDescent="0.25">
      <c r="A1263" s="369">
        <v>44278</v>
      </c>
      <c r="B1263" s="347">
        <f>+MONTH(A1263)</f>
        <v>3</v>
      </c>
      <c r="C1263" s="347">
        <v>115</v>
      </c>
      <c r="D1263" s="340" t="str">
        <f>VLOOKUP(C1263,Plan!A:B,2,0)</f>
        <v>Disponible Cali B.Chile</v>
      </c>
      <c r="E1263" s="341">
        <f>+F1263-G1263</f>
        <v>30000</v>
      </c>
      <c r="F1263" s="353">
        <v>30000</v>
      </c>
      <c r="G1263" s="353">
        <v>0</v>
      </c>
      <c r="H1263" t="s">
        <v>1032</v>
      </c>
      <c r="I1263" s="403" t="s">
        <v>131</v>
      </c>
      <c r="K1263" s="370"/>
      <c r="N1263" s="370"/>
    </row>
    <row r="1264" spans="1:14" s="347" customFormat="1" x14ac:dyDescent="0.25">
      <c r="A1264" s="369">
        <f>+A1263</f>
        <v>44278</v>
      </c>
      <c r="B1264" s="347">
        <f>+MONTH(A1264)</f>
        <v>3</v>
      </c>
      <c r="C1264" s="347">
        <v>1217</v>
      </c>
      <c r="D1264" s="340" t="str">
        <f>VLOOKUP(C1264,Plan!A:B,2,0)</f>
        <v>Otros Valores -Oficina y Transferencias (248)</v>
      </c>
      <c r="E1264" s="341">
        <f>+F1264-G1264</f>
        <v>-30000</v>
      </c>
      <c r="F1264" s="353">
        <v>0</v>
      </c>
      <c r="G1264" s="353">
        <f>+F1263</f>
        <v>30000</v>
      </c>
      <c r="H1264" t="s">
        <v>1032</v>
      </c>
      <c r="I1264" s="403" t="s">
        <v>131</v>
      </c>
      <c r="K1264" s="370"/>
      <c r="N1264" s="370"/>
    </row>
    <row r="1265" spans="1:14" s="347" customFormat="1" x14ac:dyDescent="0.25">
      <c r="A1265" s="369"/>
      <c r="E1265" s="396"/>
      <c r="F1265" s="396"/>
      <c r="G1265" s="396"/>
      <c r="K1265" s="370"/>
      <c r="N1265" s="370"/>
    </row>
    <row r="1266" spans="1:14" s="347" customFormat="1" x14ac:dyDescent="0.25">
      <c r="A1266" s="369">
        <v>44278</v>
      </c>
      <c r="B1266" s="347">
        <f>+MONTH(A1266)</f>
        <v>3</v>
      </c>
      <c r="C1266" s="347">
        <v>115</v>
      </c>
      <c r="D1266" s="340" t="str">
        <f>VLOOKUP(C1266,Plan!A:B,2,0)</f>
        <v>Disponible Cali B.Chile</v>
      </c>
      <c r="E1266" s="341">
        <f>+F1266-G1266</f>
        <v>20000</v>
      </c>
      <c r="F1266" s="353">
        <v>20000</v>
      </c>
      <c r="G1266" s="353">
        <v>0</v>
      </c>
      <c r="H1266" t="s">
        <v>1033</v>
      </c>
      <c r="I1266" s="403" t="s">
        <v>131</v>
      </c>
      <c r="K1266" s="370"/>
      <c r="N1266" s="370"/>
    </row>
    <row r="1267" spans="1:14" s="347" customFormat="1" x14ac:dyDescent="0.25">
      <c r="A1267" s="369">
        <f>+A1266</f>
        <v>44278</v>
      </c>
      <c r="B1267" s="347">
        <f>+MONTH(A1267)</f>
        <v>3</v>
      </c>
      <c r="C1267" s="347">
        <v>1222</v>
      </c>
      <c r="D1267" s="340" t="str">
        <f>VLOOKUP(C1267,Plan!A:B,2,0)</f>
        <v>Otros Valores -Oficina y Transferencias (249)</v>
      </c>
      <c r="E1267" s="341">
        <f>+F1267-G1267</f>
        <v>-20000</v>
      </c>
      <c r="F1267" s="353">
        <v>0</v>
      </c>
      <c r="G1267" s="353">
        <f>+F1266</f>
        <v>20000</v>
      </c>
      <c r="H1267" t="s">
        <v>1033</v>
      </c>
      <c r="I1267" s="403" t="s">
        <v>131</v>
      </c>
      <c r="K1267" s="370"/>
      <c r="N1267" s="370"/>
    </row>
    <row r="1268" spans="1:14" s="347" customFormat="1" x14ac:dyDescent="0.25">
      <c r="A1268" s="369"/>
      <c r="E1268" s="396"/>
      <c r="F1268" s="396"/>
      <c r="G1268" s="396"/>
      <c r="K1268" s="370"/>
      <c r="N1268" s="370"/>
    </row>
    <row r="1269" spans="1:14" s="347" customFormat="1" x14ac:dyDescent="0.25">
      <c r="A1269" s="369">
        <v>44278</v>
      </c>
      <c r="B1269" s="347">
        <f>+MONTH(A1269)</f>
        <v>3</v>
      </c>
      <c r="C1269" s="347">
        <v>115</v>
      </c>
      <c r="D1269" s="340" t="str">
        <f>VLOOKUP(C1269,Plan!A:B,2,0)</f>
        <v>Disponible Cali B.Chile</v>
      </c>
      <c r="E1269" s="341">
        <f>+F1269-G1269</f>
        <v>100000</v>
      </c>
      <c r="F1269" s="353">
        <v>100000</v>
      </c>
      <c r="G1269" s="353">
        <v>0</v>
      </c>
      <c r="H1269" t="s">
        <v>1085</v>
      </c>
      <c r="I1269" s="403" t="s">
        <v>131</v>
      </c>
      <c r="K1269" s="370"/>
      <c r="N1269" s="370"/>
    </row>
    <row r="1270" spans="1:14" s="347" customFormat="1" x14ac:dyDescent="0.25">
      <c r="A1270" s="369">
        <f>+A1269</f>
        <v>44278</v>
      </c>
      <c r="B1270" s="347">
        <f>+MONTH(A1270)</f>
        <v>3</v>
      </c>
      <c r="C1270" s="347">
        <v>3210</v>
      </c>
      <c r="D1270" s="340" t="str">
        <f>VLOOKUP(C1270,Plan!A:B,2,0)</f>
        <v>Donacion Construccion</v>
      </c>
      <c r="E1270" s="341">
        <f>+F1270-G1270</f>
        <v>-100000</v>
      </c>
      <c r="F1270" s="353">
        <v>0</v>
      </c>
      <c r="G1270" s="353">
        <f>+F1269</f>
        <v>100000</v>
      </c>
      <c r="H1270" t="s">
        <v>1085</v>
      </c>
      <c r="I1270" s="403" t="s">
        <v>131</v>
      </c>
      <c r="K1270" s="370"/>
      <c r="N1270" s="370"/>
    </row>
    <row r="1271" spans="1:14" s="347" customFormat="1" x14ac:dyDescent="0.25">
      <c r="A1271" s="369"/>
      <c r="E1271" s="396"/>
      <c r="F1271" s="396"/>
      <c r="G1271" s="396"/>
      <c r="K1271" s="370"/>
      <c r="N1271" s="370"/>
    </row>
    <row r="1272" spans="1:14" s="347" customFormat="1" x14ac:dyDescent="0.25">
      <c r="A1272" s="369">
        <v>44278</v>
      </c>
      <c r="B1272" s="347">
        <f>+MONTH(A1272)</f>
        <v>3</v>
      </c>
      <c r="C1272" s="347">
        <v>115</v>
      </c>
      <c r="D1272" s="340" t="str">
        <f>VLOOKUP(C1272,Plan!A:B,2,0)</f>
        <v>Disponible Cali B.Chile</v>
      </c>
      <c r="E1272" s="341">
        <f>+F1272-G1272</f>
        <v>9800</v>
      </c>
      <c r="F1272" s="353">
        <v>9800</v>
      </c>
      <c r="G1272" s="353">
        <v>0</v>
      </c>
      <c r="H1272" t="s">
        <v>1088</v>
      </c>
      <c r="I1272" s="403" t="s">
        <v>131</v>
      </c>
      <c r="K1272" s="370"/>
      <c r="N1272" s="370"/>
    </row>
    <row r="1273" spans="1:14" s="347" customFormat="1" x14ac:dyDescent="0.25">
      <c r="A1273" s="369">
        <f>+A1272</f>
        <v>44278</v>
      </c>
      <c r="B1273" s="347">
        <f>+MONTH(A1273)</f>
        <v>3</v>
      </c>
      <c r="C1273" s="347">
        <v>3210</v>
      </c>
      <c r="D1273" s="340" t="str">
        <f>VLOOKUP(C1273,Plan!A:B,2,0)</f>
        <v>Donacion Construccion</v>
      </c>
      <c r="E1273" s="341">
        <f>+F1273-G1273</f>
        <v>-9800</v>
      </c>
      <c r="F1273" s="353">
        <v>0</v>
      </c>
      <c r="G1273" s="353">
        <f>+F1272</f>
        <v>9800</v>
      </c>
      <c r="H1273" t="s">
        <v>1088</v>
      </c>
      <c r="I1273" s="403" t="s">
        <v>131</v>
      </c>
      <c r="K1273" s="370"/>
      <c r="N1273" s="370"/>
    </row>
    <row r="1274" spans="1:14" s="347" customFormat="1" x14ac:dyDescent="0.25">
      <c r="A1274" s="369"/>
      <c r="E1274" s="396"/>
      <c r="F1274" s="396"/>
      <c r="G1274" s="396"/>
      <c r="K1274" s="370"/>
      <c r="N1274" s="370"/>
    </row>
    <row r="1275" spans="1:14" s="347" customFormat="1" x14ac:dyDescent="0.25">
      <c r="A1275" s="369">
        <v>44279</v>
      </c>
      <c r="B1275" s="347">
        <f>+MONTH(A1275)</f>
        <v>3</v>
      </c>
      <c r="C1275" s="347">
        <v>115</v>
      </c>
      <c r="D1275" s="340" t="str">
        <f>VLOOKUP(C1275,Plan!A:B,2,0)</f>
        <v>Disponible Cali B.Chile</v>
      </c>
      <c r="E1275" s="341">
        <f>+F1275-G1275</f>
        <v>50000</v>
      </c>
      <c r="F1275" s="353">
        <v>50000</v>
      </c>
      <c r="G1275" s="353">
        <v>0</v>
      </c>
      <c r="H1275" t="s">
        <v>1087</v>
      </c>
      <c r="I1275" s="403" t="s">
        <v>131</v>
      </c>
      <c r="K1275" s="370"/>
      <c r="N1275" s="370"/>
    </row>
    <row r="1276" spans="1:14" s="347" customFormat="1" x14ac:dyDescent="0.25">
      <c r="A1276" s="369">
        <f>+A1275</f>
        <v>44279</v>
      </c>
      <c r="B1276" s="347">
        <f>+MONTH(A1276)</f>
        <v>3</v>
      </c>
      <c r="C1276" s="347">
        <v>141</v>
      </c>
      <c r="D1276" s="340" t="str">
        <f>VLOOKUP(C1276,Plan!A:B,2,0)</f>
        <v>Cuentas por Cobrar a Administración</v>
      </c>
      <c r="E1276" s="341">
        <f>+F1276-G1276</f>
        <v>-50000</v>
      </c>
      <c r="F1276" s="353">
        <v>0</v>
      </c>
      <c r="G1276" s="353">
        <f>+F1275</f>
        <v>50000</v>
      </c>
      <c r="H1276" t="s">
        <v>1087</v>
      </c>
      <c r="I1276" s="403" t="s">
        <v>131</v>
      </c>
      <c r="K1276" s="370"/>
      <c r="N1276" s="370"/>
    </row>
    <row r="1277" spans="1:14" s="347" customFormat="1" x14ac:dyDescent="0.25">
      <c r="K1277" s="370"/>
      <c r="N1277" s="370"/>
    </row>
    <row r="1278" spans="1:14" s="347" customFormat="1" x14ac:dyDescent="0.25">
      <c r="A1278" s="369">
        <v>44279</v>
      </c>
      <c r="B1278" s="347">
        <f>+MONTH(A1278)</f>
        <v>3</v>
      </c>
      <c r="C1278" s="347">
        <v>115</v>
      </c>
      <c r="D1278" s="340" t="str">
        <f>VLOOKUP(C1278,Plan!A:B,2,0)</f>
        <v>Disponible Cali B.Chile</v>
      </c>
      <c r="E1278" s="341">
        <f>+F1278-G1278</f>
        <v>5000000</v>
      </c>
      <c r="F1278" s="353">
        <v>5000000</v>
      </c>
      <c r="G1278" s="353">
        <v>0</v>
      </c>
      <c r="H1278" t="s">
        <v>1086</v>
      </c>
      <c r="I1278" s="403" t="s">
        <v>131</v>
      </c>
      <c r="K1278" s="370"/>
      <c r="N1278" s="370"/>
    </row>
    <row r="1279" spans="1:14" s="347" customFormat="1" x14ac:dyDescent="0.25">
      <c r="A1279" s="369">
        <f>+A1278</f>
        <v>44279</v>
      </c>
      <c r="B1279" s="347">
        <f>+MONTH(A1279)</f>
        <v>3</v>
      </c>
      <c r="C1279" s="347">
        <v>3210</v>
      </c>
      <c r="D1279" s="340" t="str">
        <f>VLOOKUP(C1279,Plan!A:B,2,0)</f>
        <v>Donacion Construccion</v>
      </c>
      <c r="E1279" s="341">
        <f>+F1279-G1279</f>
        <v>-5000000</v>
      </c>
      <c r="F1279" s="353">
        <v>0</v>
      </c>
      <c r="G1279" s="353">
        <f>+F1278</f>
        <v>5000000</v>
      </c>
      <c r="H1279" t="s">
        <v>1086</v>
      </c>
      <c r="I1279" s="403" t="s">
        <v>131</v>
      </c>
      <c r="K1279" s="370"/>
      <c r="N1279" s="370"/>
    </row>
    <row r="1280" spans="1:14" s="347" customFormat="1" x14ac:dyDescent="0.25">
      <c r="A1280" s="369"/>
      <c r="E1280" s="396"/>
      <c r="F1280" s="396"/>
      <c r="G1280" s="396"/>
      <c r="K1280" s="370"/>
      <c r="N1280" s="370"/>
    </row>
    <row r="1281" spans="1:14" s="347" customFormat="1" x14ac:dyDescent="0.25">
      <c r="A1281" s="369">
        <v>44280</v>
      </c>
      <c r="B1281" s="347">
        <f>+MONTH(A1281)</f>
        <v>3</v>
      </c>
      <c r="C1281" s="347">
        <v>115</v>
      </c>
      <c r="D1281" s="340" t="str">
        <f>VLOOKUP(C1281,Plan!A:B,2,0)</f>
        <v>Disponible Cali B.Chile</v>
      </c>
      <c r="E1281" s="341">
        <f>+F1281-G1281</f>
        <v>10000</v>
      </c>
      <c r="F1281" s="353">
        <v>10000</v>
      </c>
      <c r="G1281" s="353">
        <v>0</v>
      </c>
      <c r="H1281" t="s">
        <v>1036</v>
      </c>
      <c r="I1281" s="403" t="s">
        <v>131</v>
      </c>
      <c r="K1281" s="370"/>
      <c r="N1281" s="370"/>
    </row>
    <row r="1282" spans="1:14" s="347" customFormat="1" x14ac:dyDescent="0.25">
      <c r="A1282" s="369">
        <f>+A1281</f>
        <v>44280</v>
      </c>
      <c r="B1282" s="347">
        <f>+MONTH(A1282)</f>
        <v>3</v>
      </c>
      <c r="C1282" s="347">
        <v>3210</v>
      </c>
      <c r="D1282" s="340" t="str">
        <f>VLOOKUP(C1282,Plan!A:B,2,0)</f>
        <v>Donacion Construccion</v>
      </c>
      <c r="E1282" s="341">
        <f>+F1282-G1282</f>
        <v>-10000</v>
      </c>
      <c r="F1282" s="353">
        <v>0</v>
      </c>
      <c r="G1282" s="353">
        <f>+F1281</f>
        <v>10000</v>
      </c>
      <c r="H1282" t="s">
        <v>1036</v>
      </c>
      <c r="I1282" s="403" t="s">
        <v>131</v>
      </c>
      <c r="K1282" s="370"/>
      <c r="N1282" s="370"/>
    </row>
    <row r="1283" spans="1:14" s="347" customFormat="1" x14ac:dyDescent="0.25">
      <c r="A1283" s="369"/>
      <c r="E1283" s="396"/>
      <c r="F1283" s="396"/>
      <c r="G1283" s="396"/>
      <c r="K1283" s="370"/>
      <c r="N1283" s="370"/>
    </row>
    <row r="1284" spans="1:14" s="347" customFormat="1" x14ac:dyDescent="0.25">
      <c r="A1284" s="369">
        <v>44280</v>
      </c>
      <c r="B1284" s="347">
        <f>+MONTH(A1284)</f>
        <v>3</v>
      </c>
      <c r="C1284" s="347">
        <v>115</v>
      </c>
      <c r="D1284" s="340" t="str">
        <f>VLOOKUP(C1284,Plan!A:B,2,0)</f>
        <v>Disponible Cali B.Chile</v>
      </c>
      <c r="E1284" s="341">
        <f>+F1284-G1284</f>
        <v>100000</v>
      </c>
      <c r="F1284" s="353">
        <v>100000</v>
      </c>
      <c r="G1284" s="353">
        <v>0</v>
      </c>
      <c r="H1284" t="s">
        <v>1089</v>
      </c>
      <c r="I1284" s="403" t="s">
        <v>131</v>
      </c>
      <c r="K1284" s="370"/>
      <c r="N1284" s="370"/>
    </row>
    <row r="1285" spans="1:14" s="347" customFormat="1" x14ac:dyDescent="0.25">
      <c r="A1285" s="369">
        <f>+A1284</f>
        <v>44280</v>
      </c>
      <c r="B1285" s="347">
        <f>+MONTH(A1285)</f>
        <v>3</v>
      </c>
      <c r="C1285" s="347">
        <v>3210</v>
      </c>
      <c r="D1285" s="340" t="str">
        <f>VLOOKUP(C1285,Plan!A:B,2,0)</f>
        <v>Donacion Construccion</v>
      </c>
      <c r="E1285" s="341">
        <f>+F1285-G1285</f>
        <v>-100000</v>
      </c>
      <c r="F1285" s="353">
        <v>0</v>
      </c>
      <c r="G1285" s="353">
        <f>+F1284</f>
        <v>100000</v>
      </c>
      <c r="H1285" t="s">
        <v>1089</v>
      </c>
      <c r="I1285" s="403" t="s">
        <v>131</v>
      </c>
      <c r="K1285" s="370"/>
      <c r="N1285" s="370"/>
    </row>
    <row r="1286" spans="1:14" s="347" customFormat="1" x14ac:dyDescent="0.25">
      <c r="A1286" s="369"/>
      <c r="E1286" s="396"/>
      <c r="F1286" s="396"/>
      <c r="G1286" s="396"/>
      <c r="K1286" s="370"/>
      <c r="N1286" s="370"/>
    </row>
    <row r="1287" spans="1:14" s="347" customFormat="1" x14ac:dyDescent="0.25">
      <c r="A1287" s="369">
        <v>44281</v>
      </c>
      <c r="B1287" s="347">
        <f>+MONTH(A1287)</f>
        <v>3</v>
      </c>
      <c r="C1287" s="347">
        <v>115</v>
      </c>
      <c r="D1287" s="340" t="str">
        <f>VLOOKUP(C1287,Plan!A:B,2,0)</f>
        <v>Disponible Cali B.Chile</v>
      </c>
      <c r="E1287" s="341">
        <f>+F1287-G1287</f>
        <v>1813252</v>
      </c>
      <c r="F1287" s="353">
        <v>1813252</v>
      </c>
      <c r="G1287" s="353">
        <v>0</v>
      </c>
      <c r="H1287" t="s">
        <v>1090</v>
      </c>
      <c r="I1287" s="403" t="s">
        <v>131</v>
      </c>
      <c r="K1287" s="370"/>
      <c r="N1287" s="370"/>
    </row>
    <row r="1288" spans="1:14" s="347" customFormat="1" x14ac:dyDescent="0.25">
      <c r="A1288" s="369">
        <f>+A1287</f>
        <v>44281</v>
      </c>
      <c r="B1288" s="347">
        <f>+MONTH(A1288)</f>
        <v>3</v>
      </c>
      <c r="C1288" s="347">
        <v>1219</v>
      </c>
      <c r="D1288" s="340" t="str">
        <f>VLOOKUP(C1288,Plan!A:B,2,0)</f>
        <v>Otros Valores Arzobispado (248)</v>
      </c>
      <c r="E1288" s="341">
        <f>+F1288-G1288</f>
        <v>-1813252</v>
      </c>
      <c r="F1288" s="353">
        <v>0</v>
      </c>
      <c r="G1288" s="353">
        <f>+F1287</f>
        <v>1813252</v>
      </c>
      <c r="H1288" t="s">
        <v>1090</v>
      </c>
      <c r="I1288" s="403" t="s">
        <v>131</v>
      </c>
      <c r="K1288" s="370"/>
      <c r="N1288" s="370"/>
    </row>
    <row r="1289" spans="1:14" s="347" customFormat="1" x14ac:dyDescent="0.25">
      <c r="A1289" s="369"/>
      <c r="E1289" s="396"/>
      <c r="F1289" s="396"/>
      <c r="G1289" s="396"/>
      <c r="K1289" s="370"/>
      <c r="N1289" s="370"/>
    </row>
    <row r="1290" spans="1:14" s="347" customFormat="1" x14ac:dyDescent="0.25">
      <c r="A1290" s="369">
        <v>44281</v>
      </c>
      <c r="B1290" s="347">
        <f>+MONTH(A1290)</f>
        <v>3</v>
      </c>
      <c r="C1290" s="347">
        <v>115</v>
      </c>
      <c r="D1290" s="340" t="str">
        <f>VLOOKUP(C1290,Plan!A:B,2,0)</f>
        <v>Disponible Cali B.Chile</v>
      </c>
      <c r="E1290" s="341">
        <f>+F1290-G1290</f>
        <v>2038563</v>
      </c>
      <c r="F1290" s="353">
        <v>2038563</v>
      </c>
      <c r="G1290" s="353">
        <v>0</v>
      </c>
      <c r="H1290" t="s">
        <v>1091</v>
      </c>
      <c r="I1290" s="403" t="s">
        <v>131</v>
      </c>
      <c r="K1290" s="370"/>
      <c r="N1290" s="370"/>
    </row>
    <row r="1291" spans="1:14" s="347" customFormat="1" x14ac:dyDescent="0.25">
      <c r="A1291" s="369">
        <f>+A1290</f>
        <v>44281</v>
      </c>
      <c r="B1291" s="347">
        <f>+MONTH(A1291)</f>
        <v>3</v>
      </c>
      <c r="C1291" s="347">
        <v>1220</v>
      </c>
      <c r="D1291" s="340" t="str">
        <f>VLOOKUP(C1291,Plan!A:B,2,0)</f>
        <v>Otros Valores Arzobispado (249)</v>
      </c>
      <c r="E1291" s="341">
        <f>+F1291-G1291</f>
        <v>-2038563</v>
      </c>
      <c r="F1291" s="353">
        <v>0</v>
      </c>
      <c r="G1291" s="353">
        <f>+F1290</f>
        <v>2038563</v>
      </c>
      <c r="H1291" t="s">
        <v>1091</v>
      </c>
      <c r="I1291" s="403" t="s">
        <v>131</v>
      </c>
      <c r="K1291" s="370"/>
      <c r="N1291" s="370"/>
    </row>
    <row r="1292" spans="1:14" s="347" customFormat="1" x14ac:dyDescent="0.25">
      <c r="A1292" s="369"/>
      <c r="E1292" s="396"/>
      <c r="F1292" s="396"/>
      <c r="G1292" s="396"/>
      <c r="K1292" s="370"/>
      <c r="N1292" s="370"/>
    </row>
    <row r="1293" spans="1:14" s="347" customFormat="1" x14ac:dyDescent="0.25">
      <c r="A1293" s="369">
        <v>44281</v>
      </c>
      <c r="B1293" s="347">
        <f>+MONTH(A1293)</f>
        <v>3</v>
      </c>
      <c r="C1293" s="347">
        <v>115</v>
      </c>
      <c r="D1293" s="340" t="str">
        <f>VLOOKUP(C1293,Plan!A:B,2,0)</f>
        <v>Disponible Cali B.Chile</v>
      </c>
      <c r="E1293" s="341">
        <f>+F1293-G1293</f>
        <v>400000</v>
      </c>
      <c r="F1293" s="353">
        <v>400000</v>
      </c>
      <c r="G1293" s="353">
        <v>0</v>
      </c>
      <c r="H1293" t="s">
        <v>1041</v>
      </c>
      <c r="I1293" s="403" t="s">
        <v>131</v>
      </c>
      <c r="K1293" s="370"/>
      <c r="N1293" s="370"/>
    </row>
    <row r="1294" spans="1:14" s="347" customFormat="1" x14ac:dyDescent="0.25">
      <c r="A1294" s="369">
        <f>+A1293</f>
        <v>44281</v>
      </c>
      <c r="B1294" s="347">
        <f>+MONTH(A1294)</f>
        <v>3</v>
      </c>
      <c r="C1294" s="347">
        <v>3210</v>
      </c>
      <c r="D1294" s="340" t="str">
        <f>VLOOKUP(C1294,Plan!A:B,2,0)</f>
        <v>Donacion Construccion</v>
      </c>
      <c r="E1294" s="341">
        <f>+F1294-G1294</f>
        <v>-400000</v>
      </c>
      <c r="F1294" s="353">
        <v>0</v>
      </c>
      <c r="G1294" s="353">
        <f>+F1293</f>
        <v>400000</v>
      </c>
      <c r="H1294" t="s">
        <v>1041</v>
      </c>
      <c r="I1294" s="403" t="s">
        <v>131</v>
      </c>
      <c r="K1294" s="370"/>
      <c r="N1294" s="370"/>
    </row>
    <row r="1295" spans="1:14" s="347" customFormat="1" x14ac:dyDescent="0.25">
      <c r="A1295" s="369"/>
      <c r="E1295" s="396"/>
      <c r="F1295" s="396"/>
      <c r="G1295" s="396"/>
      <c r="K1295" s="370"/>
      <c r="N1295" s="370"/>
    </row>
    <row r="1296" spans="1:14" s="347" customFormat="1" x14ac:dyDescent="0.25">
      <c r="A1296" s="369">
        <v>44281</v>
      </c>
      <c r="B1296" s="347">
        <f>+MONTH(A1296)</f>
        <v>3</v>
      </c>
      <c r="C1296" s="347">
        <v>115</v>
      </c>
      <c r="D1296" s="340" t="str">
        <f>VLOOKUP(C1296,Plan!A:B,2,0)</f>
        <v>Disponible Cali B.Chile</v>
      </c>
      <c r="E1296" s="341">
        <f>+F1296-G1296</f>
        <v>1472635</v>
      </c>
      <c r="F1296" s="353">
        <v>1472635</v>
      </c>
      <c r="G1296" s="353">
        <v>0</v>
      </c>
      <c r="H1296" t="s">
        <v>1092</v>
      </c>
      <c r="I1296" s="403" t="s">
        <v>131</v>
      </c>
      <c r="K1296" s="370"/>
      <c r="N1296" s="370"/>
    </row>
    <row r="1297" spans="1:14" s="347" customFormat="1" x14ac:dyDescent="0.25">
      <c r="A1297" s="369">
        <f>+A1296</f>
        <v>44281</v>
      </c>
      <c r="B1297" s="347">
        <f>+MONTH(A1297)</f>
        <v>3</v>
      </c>
      <c r="C1297" s="347">
        <v>3210</v>
      </c>
      <c r="D1297" s="340" t="str">
        <f>VLOOKUP(C1297,Plan!A:B,2,0)</f>
        <v>Donacion Construccion</v>
      </c>
      <c r="E1297" s="341">
        <f>+F1297-G1297</f>
        <v>-1472635</v>
      </c>
      <c r="F1297" s="353">
        <v>0</v>
      </c>
      <c r="G1297" s="353">
        <f>+F1296</f>
        <v>1472635</v>
      </c>
      <c r="H1297" t="s">
        <v>1092</v>
      </c>
      <c r="I1297" s="403" t="s">
        <v>131</v>
      </c>
      <c r="K1297" s="370"/>
      <c r="N1297" s="370"/>
    </row>
    <row r="1298" spans="1:14" s="347" customFormat="1" x14ac:dyDescent="0.25">
      <c r="A1298" s="369"/>
      <c r="E1298" s="396"/>
      <c r="F1298" s="396"/>
      <c r="G1298" s="396"/>
      <c r="K1298" s="370"/>
      <c r="N1298" s="370"/>
    </row>
    <row r="1299" spans="1:14" s="347" customFormat="1" x14ac:dyDescent="0.25">
      <c r="A1299" s="369">
        <v>44281</v>
      </c>
      <c r="B1299" s="347">
        <f>+MONTH(A1299)</f>
        <v>3</v>
      </c>
      <c r="C1299" s="347">
        <v>115</v>
      </c>
      <c r="D1299" s="340" t="str">
        <f>VLOOKUP(C1299,Plan!A:B,2,0)</f>
        <v>Disponible Cali B.Chile</v>
      </c>
      <c r="E1299" s="341">
        <f>+F1299-G1299</f>
        <v>30000</v>
      </c>
      <c r="F1299" s="353">
        <v>30000</v>
      </c>
      <c r="G1299" s="353">
        <v>0</v>
      </c>
      <c r="H1299" t="s">
        <v>1048</v>
      </c>
      <c r="I1299" s="403" t="s">
        <v>131</v>
      </c>
      <c r="K1299" s="370"/>
      <c r="N1299" s="370"/>
    </row>
    <row r="1300" spans="1:14" s="347" customFormat="1" x14ac:dyDescent="0.25">
      <c r="A1300" s="369">
        <f>+A1299</f>
        <v>44281</v>
      </c>
      <c r="B1300" s="347">
        <f>+MONTH(A1300)</f>
        <v>3</v>
      </c>
      <c r="C1300" s="347">
        <v>1217</v>
      </c>
      <c r="D1300" s="340" t="str">
        <f>VLOOKUP(C1300,Plan!A:B,2,0)</f>
        <v>Otros Valores -Oficina y Transferencias (248)</v>
      </c>
      <c r="E1300" s="341">
        <f>+F1300-G1300</f>
        <v>-30000</v>
      </c>
      <c r="F1300" s="353">
        <v>0</v>
      </c>
      <c r="G1300" s="353">
        <f>+F1299</f>
        <v>30000</v>
      </c>
      <c r="H1300" t="s">
        <v>1048</v>
      </c>
      <c r="I1300" s="403" t="s">
        <v>131</v>
      </c>
      <c r="K1300" s="370"/>
      <c r="N1300" s="370"/>
    </row>
    <row r="1301" spans="1:14" s="347" customFormat="1" x14ac:dyDescent="0.25">
      <c r="A1301" s="369"/>
      <c r="E1301" s="396"/>
      <c r="F1301" s="396"/>
      <c r="G1301" s="396"/>
      <c r="K1301" s="370"/>
      <c r="N1301" s="370"/>
    </row>
    <row r="1302" spans="1:14" s="347" customFormat="1" x14ac:dyDescent="0.25">
      <c r="A1302" s="369">
        <v>44281</v>
      </c>
      <c r="B1302" s="347">
        <f>+MONTH(A1302)</f>
        <v>3</v>
      </c>
      <c r="C1302" s="347">
        <v>115</v>
      </c>
      <c r="D1302" s="340" t="str">
        <f>VLOOKUP(C1302,Plan!A:B,2,0)</f>
        <v>Disponible Cali B.Chile</v>
      </c>
      <c r="E1302" s="341">
        <f>+F1302-G1302</f>
        <v>10000</v>
      </c>
      <c r="F1302" s="353">
        <v>10000</v>
      </c>
      <c r="G1302" s="353">
        <v>0</v>
      </c>
      <c r="H1302" t="s">
        <v>1093</v>
      </c>
      <c r="I1302" s="403" t="s">
        <v>131</v>
      </c>
      <c r="K1302" s="370"/>
      <c r="N1302" s="370"/>
    </row>
    <row r="1303" spans="1:14" s="347" customFormat="1" x14ac:dyDescent="0.25">
      <c r="A1303" s="369">
        <f>+A1302</f>
        <v>44281</v>
      </c>
      <c r="B1303" s="347">
        <f>+MONTH(A1303)</f>
        <v>3</v>
      </c>
      <c r="C1303" s="347">
        <v>1222</v>
      </c>
      <c r="D1303" s="340" t="str">
        <f>VLOOKUP(C1303,Plan!A:B,2,0)</f>
        <v>Otros Valores -Oficina y Transferencias (249)</v>
      </c>
      <c r="E1303" s="341">
        <f>+F1303-G1303</f>
        <v>-10000</v>
      </c>
      <c r="F1303" s="353">
        <v>0</v>
      </c>
      <c r="G1303" s="353">
        <f>+F1302</f>
        <v>10000</v>
      </c>
      <c r="H1303" t="s">
        <v>1093</v>
      </c>
      <c r="I1303" s="403" t="s">
        <v>131</v>
      </c>
      <c r="K1303" s="370"/>
      <c r="N1303" s="370"/>
    </row>
    <row r="1304" spans="1:14" s="347" customFormat="1" x14ac:dyDescent="0.25">
      <c r="A1304" s="369"/>
      <c r="E1304" s="396"/>
      <c r="F1304" s="396"/>
      <c r="G1304" s="396"/>
      <c r="K1304" s="370"/>
      <c r="N1304" s="370"/>
    </row>
    <row r="1305" spans="1:14" s="347" customFormat="1" x14ac:dyDescent="0.25">
      <c r="A1305" s="369">
        <v>44284</v>
      </c>
      <c r="B1305" s="347">
        <f>+MONTH(A1305)</f>
        <v>3</v>
      </c>
      <c r="C1305" s="347">
        <v>115</v>
      </c>
      <c r="D1305" s="340" t="str">
        <f>VLOOKUP(C1305,Plan!A:B,2,0)</f>
        <v>Disponible Cali B.Chile</v>
      </c>
      <c r="E1305" s="341">
        <f>+F1305-G1305</f>
        <v>1500000</v>
      </c>
      <c r="F1305" s="353">
        <v>1500000</v>
      </c>
      <c r="G1305" s="353">
        <v>0</v>
      </c>
      <c r="H1305" t="s">
        <v>1094</v>
      </c>
      <c r="I1305" s="403" t="s">
        <v>131</v>
      </c>
      <c r="K1305" s="370"/>
      <c r="N1305" s="370"/>
    </row>
    <row r="1306" spans="1:14" s="347" customFormat="1" x14ac:dyDescent="0.25">
      <c r="A1306" s="369">
        <f>+A1305</f>
        <v>44284</v>
      </c>
      <c r="B1306" s="347">
        <f>+MONTH(A1306)</f>
        <v>3</v>
      </c>
      <c r="C1306" s="347">
        <v>1222</v>
      </c>
      <c r="D1306" s="340" t="str">
        <f>VLOOKUP(C1306,Plan!A:B,2,0)</f>
        <v>Otros Valores -Oficina y Transferencias (249)</v>
      </c>
      <c r="E1306" s="341">
        <f>+F1306-G1306</f>
        <v>-1500000</v>
      </c>
      <c r="F1306" s="353">
        <v>0</v>
      </c>
      <c r="G1306" s="353">
        <f>+F1305</f>
        <v>1500000</v>
      </c>
      <c r="H1306" t="s">
        <v>1094</v>
      </c>
      <c r="I1306" s="403" t="s">
        <v>131</v>
      </c>
      <c r="K1306" s="370"/>
      <c r="N1306" s="370"/>
    </row>
    <row r="1307" spans="1:14" s="347" customFormat="1" x14ac:dyDescent="0.25">
      <c r="A1307" s="369"/>
      <c r="E1307" s="396"/>
      <c r="F1307" s="396"/>
      <c r="G1307" s="396"/>
      <c r="K1307" s="370"/>
      <c r="N1307" s="370"/>
    </row>
    <row r="1308" spans="1:14" s="347" customFormat="1" x14ac:dyDescent="0.25">
      <c r="A1308" s="369">
        <v>44284</v>
      </c>
      <c r="B1308" s="347">
        <f>+MONTH(A1308)</f>
        <v>3</v>
      </c>
      <c r="C1308" s="347">
        <v>115</v>
      </c>
      <c r="D1308" s="340" t="str">
        <f>VLOOKUP(C1308,Plan!A:B,2,0)</f>
        <v>Disponible Cali B.Chile</v>
      </c>
      <c r="E1308" s="341">
        <f>+F1308-G1308</f>
        <v>2000</v>
      </c>
      <c r="F1308" s="353">
        <v>2000</v>
      </c>
      <c r="G1308" s="353">
        <v>0</v>
      </c>
      <c r="H1308" t="s">
        <v>1010</v>
      </c>
      <c r="I1308" s="403" t="s">
        <v>131</v>
      </c>
      <c r="K1308" s="370"/>
      <c r="N1308" s="370"/>
    </row>
    <row r="1309" spans="1:14" s="347" customFormat="1" x14ac:dyDescent="0.25">
      <c r="A1309" s="369">
        <f>+A1308</f>
        <v>44284</v>
      </c>
      <c r="B1309" s="347">
        <f>+MONTH(A1309)</f>
        <v>3</v>
      </c>
      <c r="C1309" s="347">
        <v>216</v>
      </c>
      <c r="D1309" s="340" t="str">
        <f>VLOOKUP(C1309,Plan!A:B,2,0)</f>
        <v>Cuenta por Pagar a Administración Colectas</v>
      </c>
      <c r="E1309" s="341">
        <f>+F1309-G1309</f>
        <v>-2000</v>
      </c>
      <c r="F1309" s="353">
        <v>0</v>
      </c>
      <c r="G1309" s="353">
        <f>+F1308</f>
        <v>2000</v>
      </c>
      <c r="H1309" t="s">
        <v>1010</v>
      </c>
      <c r="I1309" s="403" t="s">
        <v>131</v>
      </c>
      <c r="K1309" s="370"/>
      <c r="N1309" s="370"/>
    </row>
    <row r="1310" spans="1:14" s="347" customFormat="1" x14ac:dyDescent="0.25">
      <c r="A1310" s="369"/>
      <c r="E1310" s="396"/>
      <c r="F1310" s="396"/>
      <c r="G1310" s="396"/>
      <c r="K1310" s="370"/>
      <c r="N1310" s="370"/>
    </row>
    <row r="1311" spans="1:14" s="347" customFormat="1" x14ac:dyDescent="0.25">
      <c r="A1311" s="369">
        <v>44284</v>
      </c>
      <c r="B1311" s="347">
        <f>+MONTH(A1311)</f>
        <v>3</v>
      </c>
      <c r="C1311" s="347">
        <v>115</v>
      </c>
      <c r="D1311" s="340" t="str">
        <f>VLOOKUP(C1311,Plan!A:B,2,0)</f>
        <v>Disponible Cali B.Chile</v>
      </c>
      <c r="E1311" s="341">
        <f>+F1311-G1311</f>
        <v>20000</v>
      </c>
      <c r="F1311" s="353">
        <v>20000</v>
      </c>
      <c r="G1311" s="353">
        <v>0</v>
      </c>
      <c r="H1311" t="s">
        <v>1046</v>
      </c>
      <c r="I1311" s="403" t="s">
        <v>131</v>
      </c>
      <c r="K1311" s="370"/>
      <c r="N1311" s="370"/>
    </row>
    <row r="1312" spans="1:14" s="347" customFormat="1" x14ac:dyDescent="0.25">
      <c r="A1312" s="369">
        <f>+A1311</f>
        <v>44284</v>
      </c>
      <c r="B1312" s="347">
        <f>+MONTH(A1312)</f>
        <v>3</v>
      </c>
      <c r="C1312" s="347">
        <v>216</v>
      </c>
      <c r="D1312" s="340" t="str">
        <f>VLOOKUP(C1312,Plan!A:B,2,0)</f>
        <v>Cuenta por Pagar a Administración Colectas</v>
      </c>
      <c r="E1312" s="341">
        <f>+F1312-G1312</f>
        <v>-20000</v>
      </c>
      <c r="F1312" s="353">
        <v>0</v>
      </c>
      <c r="G1312" s="353">
        <f>+F1311</f>
        <v>20000</v>
      </c>
      <c r="H1312" t="s">
        <v>1046</v>
      </c>
      <c r="I1312" s="403" t="s">
        <v>131</v>
      </c>
      <c r="K1312" s="370"/>
      <c r="N1312" s="370"/>
    </row>
    <row r="1313" spans="1:14" s="347" customFormat="1" x14ac:dyDescent="0.25">
      <c r="A1313" s="369"/>
      <c r="E1313" s="396"/>
      <c r="F1313" s="396"/>
      <c r="G1313" s="396"/>
      <c r="K1313" s="370"/>
      <c r="N1313" s="370"/>
    </row>
    <row r="1314" spans="1:14" s="347" customFormat="1" x14ac:dyDescent="0.25">
      <c r="A1314" s="369">
        <v>44284</v>
      </c>
      <c r="B1314" s="347">
        <f>+MONTH(A1314)</f>
        <v>3</v>
      </c>
      <c r="C1314" s="347">
        <v>115</v>
      </c>
      <c r="D1314" s="340" t="str">
        <f>VLOOKUP(C1314,Plan!A:B,2,0)</f>
        <v>Disponible Cali B.Chile</v>
      </c>
      <c r="E1314" s="341">
        <f>+F1314-G1314</f>
        <v>10000</v>
      </c>
      <c r="F1314" s="353">
        <v>10000</v>
      </c>
      <c r="G1314" s="353">
        <v>0</v>
      </c>
      <c r="H1314" t="s">
        <v>1045</v>
      </c>
      <c r="I1314" s="403" t="s">
        <v>131</v>
      </c>
      <c r="K1314" s="370"/>
      <c r="N1314" s="370"/>
    </row>
    <row r="1315" spans="1:14" s="347" customFormat="1" x14ac:dyDescent="0.25">
      <c r="A1315" s="369">
        <f>+A1314</f>
        <v>44284</v>
      </c>
      <c r="B1315" s="347">
        <f>+MONTH(A1315)</f>
        <v>3</v>
      </c>
      <c r="C1315" s="347">
        <v>1222</v>
      </c>
      <c r="D1315" s="340" t="str">
        <f>VLOOKUP(C1315,Plan!A:B,2,0)</f>
        <v>Otros Valores -Oficina y Transferencias (249)</v>
      </c>
      <c r="E1315" s="341">
        <f>+F1315-G1315</f>
        <v>-10000</v>
      </c>
      <c r="F1315" s="353">
        <v>0</v>
      </c>
      <c r="G1315" s="353">
        <f>+F1314</f>
        <v>10000</v>
      </c>
      <c r="H1315" t="s">
        <v>1045</v>
      </c>
      <c r="I1315" s="403" t="s">
        <v>131</v>
      </c>
      <c r="K1315" s="370"/>
      <c r="N1315" s="370"/>
    </row>
    <row r="1316" spans="1:14" s="347" customFormat="1" x14ac:dyDescent="0.25">
      <c r="A1316" s="369"/>
      <c r="E1316" s="396"/>
      <c r="F1316" s="396"/>
      <c r="G1316" s="396"/>
      <c r="K1316" s="370"/>
      <c r="N1316" s="370"/>
    </row>
    <row r="1317" spans="1:14" s="347" customFormat="1" x14ac:dyDescent="0.25">
      <c r="A1317" s="369">
        <v>44284</v>
      </c>
      <c r="B1317" s="347">
        <f>+MONTH(A1317)</f>
        <v>3</v>
      </c>
      <c r="C1317" s="347">
        <v>115</v>
      </c>
      <c r="D1317" s="340" t="str">
        <f>VLOOKUP(C1317,Plan!A:B,2,0)</f>
        <v>Disponible Cali B.Chile</v>
      </c>
      <c r="E1317" s="341">
        <f>+F1317-G1317</f>
        <v>125000</v>
      </c>
      <c r="F1317" s="353">
        <v>125000</v>
      </c>
      <c r="G1317" s="353">
        <v>0</v>
      </c>
      <c r="H1317" t="s">
        <v>967</v>
      </c>
      <c r="I1317" s="403" t="s">
        <v>131</v>
      </c>
      <c r="K1317" s="370"/>
      <c r="N1317" s="370"/>
    </row>
    <row r="1318" spans="1:14" s="347" customFormat="1" x14ac:dyDescent="0.25">
      <c r="A1318" s="369">
        <f>+A1317</f>
        <v>44284</v>
      </c>
      <c r="B1318" s="347">
        <f>+MONTH(A1318)</f>
        <v>3</v>
      </c>
      <c r="C1318" s="347">
        <v>3210</v>
      </c>
      <c r="D1318" s="340" t="str">
        <f>VLOOKUP(C1318,Plan!A:B,2,0)</f>
        <v>Donacion Construccion</v>
      </c>
      <c r="E1318" s="341">
        <f>+F1318-G1318</f>
        <v>-125000</v>
      </c>
      <c r="F1318" s="353">
        <v>0</v>
      </c>
      <c r="G1318" s="353">
        <f>+F1317</f>
        <v>125000</v>
      </c>
      <c r="H1318" t="s">
        <v>967</v>
      </c>
      <c r="I1318" s="403" t="s">
        <v>131</v>
      </c>
      <c r="K1318" s="370"/>
      <c r="N1318" s="370"/>
    </row>
    <row r="1319" spans="1:14" s="347" customFormat="1" x14ac:dyDescent="0.25">
      <c r="A1319" s="369"/>
      <c r="E1319" s="396"/>
      <c r="F1319" s="396"/>
      <c r="G1319" s="396"/>
      <c r="K1319" s="370"/>
      <c r="N1319" s="370"/>
    </row>
    <row r="1320" spans="1:14" s="347" customFormat="1" x14ac:dyDescent="0.25">
      <c r="A1320" s="369">
        <v>44284</v>
      </c>
      <c r="B1320" s="347">
        <f>+MONTH(A1320)</f>
        <v>3</v>
      </c>
      <c r="C1320" s="347">
        <v>115</v>
      </c>
      <c r="D1320" s="340" t="str">
        <f>VLOOKUP(C1320,Plan!A:B,2,0)</f>
        <v>Disponible Cali B.Chile</v>
      </c>
      <c r="E1320" s="341">
        <f>+F1320-G1320</f>
        <v>10000</v>
      </c>
      <c r="F1320" s="353">
        <v>10000</v>
      </c>
      <c r="G1320" s="353">
        <v>0</v>
      </c>
      <c r="H1320" t="s">
        <v>971</v>
      </c>
      <c r="I1320" s="403" t="s">
        <v>131</v>
      </c>
      <c r="K1320" s="370"/>
      <c r="N1320" s="370"/>
    </row>
    <row r="1321" spans="1:14" s="347" customFormat="1" x14ac:dyDescent="0.25">
      <c r="A1321" s="369">
        <f>+A1320</f>
        <v>44284</v>
      </c>
      <c r="B1321" s="347">
        <f>+MONTH(A1321)</f>
        <v>3</v>
      </c>
      <c r="C1321" s="347">
        <v>216</v>
      </c>
      <c r="D1321" s="340" t="str">
        <f>VLOOKUP(C1321,Plan!A:B,2,0)</f>
        <v>Cuenta por Pagar a Administración Colectas</v>
      </c>
      <c r="E1321" s="341">
        <f>+F1321-G1321</f>
        <v>-10000</v>
      </c>
      <c r="F1321" s="353">
        <v>0</v>
      </c>
      <c r="G1321" s="353">
        <f>+F1320</f>
        <v>10000</v>
      </c>
      <c r="H1321" t="s">
        <v>971</v>
      </c>
      <c r="I1321" s="403" t="s">
        <v>131</v>
      </c>
      <c r="K1321" s="370"/>
      <c r="N1321" s="370"/>
    </row>
    <row r="1322" spans="1:14" s="347" customFormat="1" x14ac:dyDescent="0.25">
      <c r="A1322" s="369"/>
      <c r="E1322" s="396"/>
      <c r="F1322" s="396"/>
      <c r="G1322" s="396"/>
      <c r="K1322" s="370"/>
      <c r="N1322" s="370"/>
    </row>
    <row r="1323" spans="1:14" s="347" customFormat="1" x14ac:dyDescent="0.25">
      <c r="A1323" s="369">
        <v>44284</v>
      </c>
      <c r="B1323" s="347">
        <f>+MONTH(A1323)</f>
        <v>3</v>
      </c>
      <c r="C1323" s="347">
        <v>115</v>
      </c>
      <c r="D1323" s="340" t="str">
        <f>VLOOKUP(C1323,Plan!A:B,2,0)</f>
        <v>Disponible Cali B.Chile</v>
      </c>
      <c r="E1323" s="341">
        <f>+F1323-G1323</f>
        <v>5000</v>
      </c>
      <c r="F1323" s="353">
        <v>5000</v>
      </c>
      <c r="G1323" s="353">
        <v>0</v>
      </c>
      <c r="H1323" t="s">
        <v>1095</v>
      </c>
      <c r="I1323" s="403" t="s">
        <v>131</v>
      </c>
      <c r="K1323" s="370"/>
      <c r="N1323" s="370"/>
    </row>
    <row r="1324" spans="1:14" s="347" customFormat="1" x14ac:dyDescent="0.25">
      <c r="A1324" s="369">
        <f>+A1323</f>
        <v>44284</v>
      </c>
      <c r="B1324" s="347">
        <f>+MONTH(A1324)</f>
        <v>3</v>
      </c>
      <c r="C1324" s="347">
        <v>216</v>
      </c>
      <c r="D1324" s="340" t="str">
        <f>VLOOKUP(C1324,Plan!A:B,2,0)</f>
        <v>Cuenta por Pagar a Administración Colectas</v>
      </c>
      <c r="E1324" s="341">
        <f>+F1324-G1324</f>
        <v>-5000</v>
      </c>
      <c r="F1324" s="353">
        <v>0</v>
      </c>
      <c r="G1324" s="353">
        <f>+F1323</f>
        <v>5000</v>
      </c>
      <c r="H1324" t="s">
        <v>1095</v>
      </c>
      <c r="I1324" s="403" t="s">
        <v>131</v>
      </c>
      <c r="K1324" s="370"/>
      <c r="N1324" s="370"/>
    </row>
    <row r="1325" spans="1:14" s="347" customFormat="1" x14ac:dyDescent="0.25">
      <c r="A1325" s="369"/>
      <c r="E1325" s="396"/>
      <c r="F1325" s="396"/>
      <c r="G1325" s="396"/>
      <c r="K1325" s="370"/>
      <c r="N1325" s="370"/>
    </row>
    <row r="1326" spans="1:14" s="347" customFormat="1" x14ac:dyDescent="0.25">
      <c r="A1326" s="369">
        <v>44284</v>
      </c>
      <c r="B1326" s="347">
        <f>+MONTH(A1326)</f>
        <v>3</v>
      </c>
      <c r="C1326" s="347">
        <v>115</v>
      </c>
      <c r="D1326" s="340" t="str">
        <f>VLOOKUP(C1326,Plan!A:B,2,0)</f>
        <v>Disponible Cali B.Chile</v>
      </c>
      <c r="E1326" s="341">
        <f>+F1326-G1326</f>
        <v>350000</v>
      </c>
      <c r="F1326" s="353">
        <v>350000</v>
      </c>
      <c r="G1326" s="353">
        <v>0</v>
      </c>
      <c r="H1326" t="s">
        <v>1096</v>
      </c>
      <c r="I1326" s="403" t="s">
        <v>131</v>
      </c>
      <c r="K1326" s="370"/>
      <c r="N1326" s="370"/>
    </row>
    <row r="1327" spans="1:14" s="347" customFormat="1" x14ac:dyDescent="0.25">
      <c r="A1327" s="369">
        <f>+A1326</f>
        <v>44284</v>
      </c>
      <c r="B1327" s="347">
        <f>+MONTH(A1327)</f>
        <v>3</v>
      </c>
      <c r="C1327" s="347">
        <v>3210</v>
      </c>
      <c r="D1327" s="340" t="str">
        <f>VLOOKUP(C1327,Plan!A:B,2,0)</f>
        <v>Donacion Construccion</v>
      </c>
      <c r="E1327" s="341">
        <f>+F1327-G1327</f>
        <v>-350000</v>
      </c>
      <c r="F1327" s="353">
        <v>0</v>
      </c>
      <c r="G1327" s="353">
        <f>+F1326</f>
        <v>350000</v>
      </c>
      <c r="H1327" t="s">
        <v>1096</v>
      </c>
      <c r="I1327" s="403" t="s">
        <v>131</v>
      </c>
      <c r="K1327" s="370"/>
      <c r="N1327" s="370"/>
    </row>
    <row r="1328" spans="1:14" s="347" customFormat="1" x14ac:dyDescent="0.25">
      <c r="A1328" s="369"/>
      <c r="E1328" s="396"/>
      <c r="F1328" s="396"/>
      <c r="G1328" s="396"/>
      <c r="K1328" s="370"/>
      <c r="N1328" s="370"/>
    </row>
    <row r="1329" spans="1:14" s="347" customFormat="1" x14ac:dyDescent="0.25">
      <c r="A1329" s="369">
        <v>44284</v>
      </c>
      <c r="B1329" s="347">
        <f>+MONTH(A1329)</f>
        <v>3</v>
      </c>
      <c r="C1329" s="347">
        <v>115</v>
      </c>
      <c r="D1329" s="340" t="str">
        <f>VLOOKUP(C1329,Plan!A:B,2,0)</f>
        <v>Disponible Cali B.Chile</v>
      </c>
      <c r="E1329" s="341">
        <f>+F1329-G1329</f>
        <v>73000</v>
      </c>
      <c r="F1329" s="353">
        <v>73000</v>
      </c>
      <c r="G1329" s="353">
        <v>0</v>
      </c>
      <c r="H1329" t="s">
        <v>1050</v>
      </c>
      <c r="I1329" s="403" t="s">
        <v>131</v>
      </c>
      <c r="K1329" s="370"/>
      <c r="N1329" s="370"/>
    </row>
    <row r="1330" spans="1:14" s="347" customFormat="1" x14ac:dyDescent="0.25">
      <c r="A1330" s="369">
        <f>+A1329</f>
        <v>44284</v>
      </c>
      <c r="B1330" s="347">
        <f>+MONTH(A1330)</f>
        <v>3</v>
      </c>
      <c r="C1330" s="347">
        <v>3210</v>
      </c>
      <c r="D1330" s="340" t="str">
        <f>VLOOKUP(C1330,Plan!A:B,2,0)</f>
        <v>Donacion Construccion</v>
      </c>
      <c r="E1330" s="341">
        <f>+F1330-G1330</f>
        <v>-73000</v>
      </c>
      <c r="F1330" s="353">
        <v>0</v>
      </c>
      <c r="G1330" s="353">
        <f>+F1329</f>
        <v>73000</v>
      </c>
      <c r="H1330" t="s">
        <v>1050</v>
      </c>
      <c r="I1330" s="403" t="s">
        <v>131</v>
      </c>
      <c r="K1330" s="370"/>
      <c r="N1330" s="370"/>
    </row>
    <row r="1331" spans="1:14" s="347" customFormat="1" x14ac:dyDescent="0.25">
      <c r="A1331" s="369"/>
      <c r="E1331" s="396"/>
      <c r="F1331" s="396"/>
      <c r="G1331" s="396"/>
      <c r="K1331" s="370"/>
      <c r="N1331" s="370"/>
    </row>
    <row r="1332" spans="1:14" s="347" customFormat="1" x14ac:dyDescent="0.25">
      <c r="A1332" s="369">
        <v>44284</v>
      </c>
      <c r="B1332" s="347">
        <f>+MONTH(A1332)</f>
        <v>3</v>
      </c>
      <c r="C1332" s="347">
        <v>115</v>
      </c>
      <c r="D1332" s="340" t="str">
        <f>VLOOKUP(C1332,Plan!A:B,2,0)</f>
        <v>Disponible Cali B.Chile</v>
      </c>
      <c r="E1332" s="341">
        <f>+F1332-G1332</f>
        <v>40000</v>
      </c>
      <c r="F1332" s="353">
        <v>40000</v>
      </c>
      <c r="G1332" s="353">
        <v>0</v>
      </c>
      <c r="H1332" t="s">
        <v>1051</v>
      </c>
      <c r="I1332" s="403" t="s">
        <v>131</v>
      </c>
      <c r="K1332" s="370"/>
      <c r="N1332" s="370"/>
    </row>
    <row r="1333" spans="1:14" s="347" customFormat="1" x14ac:dyDescent="0.25">
      <c r="A1333" s="369">
        <f>+A1332</f>
        <v>44284</v>
      </c>
      <c r="B1333" s="347">
        <f>+MONTH(A1333)</f>
        <v>3</v>
      </c>
      <c r="C1333" s="347">
        <v>3210</v>
      </c>
      <c r="D1333" s="340" t="str">
        <f>VLOOKUP(C1333,Plan!A:B,2,0)</f>
        <v>Donacion Construccion</v>
      </c>
      <c r="E1333" s="341">
        <f>+F1333-G1333</f>
        <v>-40000</v>
      </c>
      <c r="F1333" s="353">
        <v>0</v>
      </c>
      <c r="G1333" s="353">
        <f>+F1332</f>
        <v>40000</v>
      </c>
      <c r="H1333" t="s">
        <v>1051</v>
      </c>
      <c r="I1333" s="403" t="s">
        <v>131</v>
      </c>
      <c r="K1333" s="370"/>
      <c r="N1333" s="370"/>
    </row>
    <row r="1334" spans="1:14" s="347" customFormat="1" x14ac:dyDescent="0.25">
      <c r="A1334" s="369"/>
      <c r="E1334" s="396"/>
      <c r="F1334" s="396"/>
      <c r="G1334" s="396"/>
      <c r="K1334" s="370"/>
      <c r="N1334" s="370"/>
    </row>
    <row r="1335" spans="1:14" s="347" customFormat="1" x14ac:dyDescent="0.25">
      <c r="A1335" s="369">
        <v>44284</v>
      </c>
      <c r="B1335" s="347">
        <f>+MONTH(A1335)</f>
        <v>3</v>
      </c>
      <c r="C1335" s="347">
        <v>115</v>
      </c>
      <c r="D1335" s="340" t="str">
        <f>VLOOKUP(C1335,Plan!A:B,2,0)</f>
        <v>Disponible Cali B.Chile</v>
      </c>
      <c r="E1335" s="341">
        <f>+F1335-G1335</f>
        <v>60000</v>
      </c>
      <c r="F1335" s="353">
        <v>60000</v>
      </c>
      <c r="G1335" s="353">
        <v>0</v>
      </c>
      <c r="H1335" t="s">
        <v>1047</v>
      </c>
      <c r="I1335" s="403" t="s">
        <v>131</v>
      </c>
      <c r="K1335" s="370"/>
      <c r="N1335" s="370"/>
    </row>
    <row r="1336" spans="1:14" s="347" customFormat="1" x14ac:dyDescent="0.25">
      <c r="A1336" s="369">
        <f>+A1335</f>
        <v>44284</v>
      </c>
      <c r="B1336" s="347">
        <f>+MONTH(A1336)</f>
        <v>3</v>
      </c>
      <c r="C1336" s="347">
        <v>1222</v>
      </c>
      <c r="D1336" s="340" t="str">
        <f>VLOOKUP(C1336,Plan!A:B,2,0)</f>
        <v>Otros Valores -Oficina y Transferencias (249)</v>
      </c>
      <c r="E1336" s="341">
        <f>+F1336-G1336</f>
        <v>-60000</v>
      </c>
      <c r="F1336" s="353">
        <v>0</v>
      </c>
      <c r="G1336" s="353">
        <f>+F1335</f>
        <v>60000</v>
      </c>
      <c r="H1336" t="s">
        <v>1047</v>
      </c>
      <c r="I1336" s="403" t="s">
        <v>131</v>
      </c>
      <c r="K1336" s="370"/>
      <c r="N1336" s="370"/>
    </row>
    <row r="1337" spans="1:14" s="347" customFormat="1" x14ac:dyDescent="0.25">
      <c r="A1337" s="369"/>
      <c r="E1337" s="396"/>
      <c r="F1337" s="396"/>
      <c r="G1337" s="396"/>
      <c r="K1337" s="370"/>
      <c r="N1337" s="370"/>
    </row>
    <row r="1338" spans="1:14" s="347" customFormat="1" x14ac:dyDescent="0.25">
      <c r="A1338" s="369">
        <v>44284</v>
      </c>
      <c r="B1338" s="347">
        <f>+MONTH(A1338)</f>
        <v>3</v>
      </c>
      <c r="C1338" s="347">
        <v>115</v>
      </c>
      <c r="D1338" s="340" t="str">
        <f>VLOOKUP(C1338,Plan!A:B,2,0)</f>
        <v>Disponible Cali B.Chile</v>
      </c>
      <c r="E1338" s="341">
        <f>+F1338-G1338</f>
        <v>49405</v>
      </c>
      <c r="F1338" s="353">
        <v>49405</v>
      </c>
      <c r="G1338" s="353">
        <v>0</v>
      </c>
      <c r="H1338" t="s">
        <v>1097</v>
      </c>
      <c r="I1338" s="403" t="s">
        <v>131</v>
      </c>
      <c r="K1338" s="370"/>
      <c r="N1338" s="370"/>
    </row>
    <row r="1339" spans="1:14" s="347" customFormat="1" x14ac:dyDescent="0.25">
      <c r="A1339" s="369">
        <f>+A1338</f>
        <v>44284</v>
      </c>
      <c r="B1339" s="347">
        <f>+MONTH(A1339)</f>
        <v>3</v>
      </c>
      <c r="C1339" s="347">
        <v>3210</v>
      </c>
      <c r="D1339" s="340" t="str">
        <f>VLOOKUP(C1339,Plan!A:B,2,0)</f>
        <v>Donacion Construccion</v>
      </c>
      <c r="E1339" s="341">
        <f>+F1339-G1339</f>
        <v>-49405</v>
      </c>
      <c r="F1339" s="353">
        <v>0</v>
      </c>
      <c r="G1339" s="353">
        <f>+F1338</f>
        <v>49405</v>
      </c>
      <c r="H1339" t="s">
        <v>1097</v>
      </c>
      <c r="I1339" s="403" t="s">
        <v>131</v>
      </c>
      <c r="K1339" s="370"/>
      <c r="N1339" s="370"/>
    </row>
    <row r="1340" spans="1:14" s="347" customFormat="1" x14ac:dyDescent="0.25">
      <c r="A1340" s="369"/>
      <c r="E1340" s="396"/>
      <c r="F1340" s="396"/>
      <c r="G1340" s="396"/>
      <c r="K1340" s="370"/>
      <c r="N1340" s="370"/>
    </row>
    <row r="1341" spans="1:14" s="347" customFormat="1" x14ac:dyDescent="0.25">
      <c r="A1341" s="369">
        <v>44284</v>
      </c>
      <c r="B1341" s="347">
        <f>+MONTH(A1341)</f>
        <v>3</v>
      </c>
      <c r="C1341" s="347">
        <v>115</v>
      </c>
      <c r="D1341" s="340" t="str">
        <f>VLOOKUP(C1341,Plan!A:B,2,0)</f>
        <v>Disponible Cali B.Chile</v>
      </c>
      <c r="E1341" s="341">
        <f>+F1341-G1341</f>
        <v>25000</v>
      </c>
      <c r="F1341" s="353">
        <v>25000</v>
      </c>
      <c r="G1341" s="353">
        <v>0</v>
      </c>
      <c r="H1341" t="s">
        <v>969</v>
      </c>
      <c r="I1341" s="403" t="s">
        <v>131</v>
      </c>
      <c r="K1341" s="370"/>
      <c r="N1341" s="370"/>
    </row>
    <row r="1342" spans="1:14" s="347" customFormat="1" x14ac:dyDescent="0.25">
      <c r="A1342" s="369">
        <f>+A1341</f>
        <v>44284</v>
      </c>
      <c r="B1342" s="347">
        <f>+MONTH(A1342)</f>
        <v>3</v>
      </c>
      <c r="C1342" s="347">
        <v>1217</v>
      </c>
      <c r="D1342" s="340" t="str">
        <f>VLOOKUP(C1342,Plan!A:B,2,0)</f>
        <v>Otros Valores -Oficina y Transferencias (248)</v>
      </c>
      <c r="E1342" s="341">
        <f>+F1342-G1342</f>
        <v>-25000</v>
      </c>
      <c r="F1342" s="353">
        <v>0</v>
      </c>
      <c r="G1342" s="353">
        <f>+F1341</f>
        <v>25000</v>
      </c>
      <c r="H1342" t="s">
        <v>969</v>
      </c>
      <c r="I1342" s="403" t="s">
        <v>131</v>
      </c>
      <c r="K1342" s="370"/>
      <c r="N1342" s="370"/>
    </row>
    <row r="1343" spans="1:14" s="347" customFormat="1" x14ac:dyDescent="0.25">
      <c r="A1343" s="369"/>
      <c r="E1343" s="396"/>
      <c r="F1343" s="396"/>
      <c r="G1343" s="396"/>
      <c r="K1343" s="370"/>
      <c r="N1343" s="370"/>
    </row>
    <row r="1344" spans="1:14" s="347" customFormat="1" x14ac:dyDescent="0.25">
      <c r="A1344" s="369">
        <v>44285</v>
      </c>
      <c r="B1344" s="347">
        <f>+MONTH(A1344)</f>
        <v>3</v>
      </c>
      <c r="C1344" s="347">
        <v>115</v>
      </c>
      <c r="D1344" s="340" t="str">
        <f>VLOOKUP(C1344,Plan!A:B,2,0)</f>
        <v>Disponible Cali B.Chile</v>
      </c>
      <c r="E1344" s="341">
        <f>+F1344-G1344</f>
        <v>100000</v>
      </c>
      <c r="F1344" s="353">
        <v>100000</v>
      </c>
      <c r="G1344" s="353">
        <v>0</v>
      </c>
      <c r="H1344" t="s">
        <v>1098</v>
      </c>
      <c r="I1344" s="403" t="s">
        <v>131</v>
      </c>
      <c r="K1344" s="370"/>
      <c r="N1344" s="370"/>
    </row>
    <row r="1345" spans="1:14" s="347" customFormat="1" ht="17" customHeight="1" x14ac:dyDescent="0.25">
      <c r="A1345" s="369">
        <f>+A1344</f>
        <v>44285</v>
      </c>
      <c r="B1345" s="347">
        <f>+MONTH(A1345)</f>
        <v>3</v>
      </c>
      <c r="C1345" s="347">
        <v>3210</v>
      </c>
      <c r="D1345" s="340" t="str">
        <f>VLOOKUP(C1345,Plan!A:B,2,0)</f>
        <v>Donacion Construccion</v>
      </c>
      <c r="E1345" s="341">
        <f>+F1345-G1345</f>
        <v>-100000</v>
      </c>
      <c r="F1345" s="353">
        <v>0</v>
      </c>
      <c r="G1345" s="353">
        <f>+F1344</f>
        <v>100000</v>
      </c>
      <c r="H1345" t="s">
        <v>1098</v>
      </c>
      <c r="I1345" s="403" t="s">
        <v>131</v>
      </c>
      <c r="K1345" s="370"/>
      <c r="N1345" s="370"/>
    </row>
    <row r="1346" spans="1:14" s="347" customFormat="1" ht="17" customHeight="1" x14ac:dyDescent="0.25">
      <c r="A1346" s="369"/>
      <c r="E1346" s="396"/>
      <c r="F1346" s="396"/>
      <c r="G1346" s="396"/>
      <c r="K1346" s="370"/>
      <c r="N1346" s="370"/>
    </row>
    <row r="1347" spans="1:14" s="347" customFormat="1" x14ac:dyDescent="0.25">
      <c r="A1347" s="369">
        <v>44285</v>
      </c>
      <c r="B1347" s="347">
        <f>+MONTH(A1347)</f>
        <v>3</v>
      </c>
      <c r="C1347" s="347">
        <v>115</v>
      </c>
      <c r="D1347" s="340" t="str">
        <f>VLOOKUP(C1347,Plan!A:B,2,0)</f>
        <v>Disponible Cali B.Chile</v>
      </c>
      <c r="E1347" s="341">
        <f>+F1347-G1347</f>
        <v>15000</v>
      </c>
      <c r="F1347" s="353">
        <v>15000</v>
      </c>
      <c r="G1347" s="353">
        <v>0</v>
      </c>
      <c r="H1347" t="s">
        <v>968</v>
      </c>
      <c r="I1347" s="403" t="s">
        <v>131</v>
      </c>
      <c r="K1347" s="370"/>
      <c r="N1347" s="370"/>
    </row>
    <row r="1348" spans="1:14" s="347" customFormat="1" x14ac:dyDescent="0.25">
      <c r="A1348" s="369">
        <f>+A1347</f>
        <v>44285</v>
      </c>
      <c r="B1348" s="347">
        <f>+MONTH(A1348)</f>
        <v>3</v>
      </c>
      <c r="C1348" s="347">
        <v>3210</v>
      </c>
      <c r="D1348" s="340" t="str">
        <f>VLOOKUP(C1348,Plan!A:B,2,0)</f>
        <v>Donacion Construccion</v>
      </c>
      <c r="E1348" s="341">
        <f>+F1348-G1348</f>
        <v>-15000</v>
      </c>
      <c r="F1348" s="353">
        <v>0</v>
      </c>
      <c r="G1348" s="353">
        <f>+F1347</f>
        <v>15000</v>
      </c>
      <c r="H1348" t="s">
        <v>968</v>
      </c>
      <c r="I1348" s="403" t="s">
        <v>131</v>
      </c>
      <c r="K1348" s="370"/>
      <c r="N1348" s="370"/>
    </row>
    <row r="1349" spans="1:14" s="347" customFormat="1" x14ac:dyDescent="0.25">
      <c r="A1349" s="369"/>
      <c r="E1349" s="396"/>
      <c r="F1349" s="396"/>
      <c r="G1349" s="396"/>
      <c r="K1349" s="370"/>
      <c r="N1349" s="370"/>
    </row>
    <row r="1350" spans="1:14" s="347" customFormat="1" x14ac:dyDescent="0.25">
      <c r="A1350" s="369">
        <v>44285</v>
      </c>
      <c r="B1350" s="347">
        <f>+MONTH(A1350)</f>
        <v>3</v>
      </c>
      <c r="C1350" s="347">
        <v>115</v>
      </c>
      <c r="D1350" s="340" t="str">
        <f>VLOOKUP(C1350,Plan!A:B,2,0)</f>
        <v>Disponible Cali B.Chile</v>
      </c>
      <c r="E1350" s="341">
        <f>+F1350-G1350</f>
        <v>15000</v>
      </c>
      <c r="F1350" s="353">
        <v>15000</v>
      </c>
      <c r="G1350" s="353">
        <v>0</v>
      </c>
      <c r="H1350" t="s">
        <v>1099</v>
      </c>
      <c r="I1350" s="403" t="s">
        <v>131</v>
      </c>
      <c r="K1350" s="370"/>
      <c r="N1350" s="370"/>
    </row>
    <row r="1351" spans="1:14" s="347" customFormat="1" x14ac:dyDescent="0.25">
      <c r="A1351" s="369">
        <f>+A1350</f>
        <v>44285</v>
      </c>
      <c r="B1351" s="347">
        <f>+MONTH(A1351)</f>
        <v>3</v>
      </c>
      <c r="C1351" s="347">
        <v>1222</v>
      </c>
      <c r="D1351" s="340" t="str">
        <f>VLOOKUP(C1351,Plan!A:B,2,0)</f>
        <v>Otros Valores -Oficina y Transferencias (249)</v>
      </c>
      <c r="E1351" s="341">
        <f>+F1351-G1351</f>
        <v>-15000</v>
      </c>
      <c r="F1351" s="353">
        <v>0</v>
      </c>
      <c r="G1351" s="353">
        <f>+F1350</f>
        <v>15000</v>
      </c>
      <c r="H1351" t="s">
        <v>1099</v>
      </c>
      <c r="I1351" s="403" t="s">
        <v>131</v>
      </c>
      <c r="K1351" s="370"/>
      <c r="N1351" s="370"/>
    </row>
    <row r="1352" spans="1:14" s="347" customFormat="1" x14ac:dyDescent="0.25">
      <c r="A1352" s="369"/>
      <c r="E1352" s="396"/>
      <c r="F1352" s="396"/>
      <c r="G1352" s="396"/>
      <c r="K1352" s="370"/>
      <c r="N1352" s="370"/>
    </row>
    <row r="1353" spans="1:14" s="347" customFormat="1" x14ac:dyDescent="0.25">
      <c r="A1353" s="369">
        <v>44285</v>
      </c>
      <c r="B1353" s="347">
        <f>+MONTH(A1353)</f>
        <v>3</v>
      </c>
      <c r="C1353" s="347">
        <v>201</v>
      </c>
      <c r="D1353" s="340" t="str">
        <f>VLOOKUP(C1353,Plan!A:B,2,0)</f>
        <v>1% por pagar</v>
      </c>
      <c r="E1353" s="341">
        <f>+F1353-G1353</f>
        <v>119399</v>
      </c>
      <c r="F1353" s="353">
        <v>119399</v>
      </c>
      <c r="G1353" s="353">
        <v>0</v>
      </c>
      <c r="H1353" t="s">
        <v>1100</v>
      </c>
      <c r="I1353" s="403" t="s">
        <v>131</v>
      </c>
      <c r="K1353" s="370"/>
      <c r="N1353" s="370"/>
    </row>
    <row r="1354" spans="1:14" s="347" customFormat="1" x14ac:dyDescent="0.25">
      <c r="A1354" s="369">
        <v>44285</v>
      </c>
      <c r="B1354" s="347">
        <f>+MONTH(A1354)</f>
        <v>3</v>
      </c>
      <c r="C1354" s="347">
        <v>202</v>
      </c>
      <c r="D1354" s="340" t="str">
        <f>VLOOKUP(C1354,Plan!A:B,2,0)</f>
        <v>Arzobispado por pagar</v>
      </c>
      <c r="E1354" s="341">
        <f>+F1354-G1354</f>
        <v>2817251</v>
      </c>
      <c r="F1354" s="353">
        <f>+G1355-F1353</f>
        <v>2817251</v>
      </c>
      <c r="G1354" s="353">
        <v>0</v>
      </c>
      <c r="H1354" t="s">
        <v>1100</v>
      </c>
      <c r="I1354" s="403" t="s">
        <v>131</v>
      </c>
      <c r="K1354" s="370"/>
      <c r="N1354" s="370"/>
    </row>
    <row r="1355" spans="1:14" s="347" customFormat="1" x14ac:dyDescent="0.25">
      <c r="A1355" s="369">
        <f>+A1353</f>
        <v>44285</v>
      </c>
      <c r="B1355" s="347">
        <f>+MONTH(A1355)</f>
        <v>3</v>
      </c>
      <c r="C1355" s="347">
        <v>115</v>
      </c>
      <c r="D1355" s="340" t="str">
        <f>VLOOKUP(C1355,Plan!A:B,2,0)</f>
        <v>Disponible Cali B.Chile</v>
      </c>
      <c r="E1355" s="341">
        <f>+F1355-G1355</f>
        <v>-2936650</v>
      </c>
      <c r="F1355" s="353">
        <v>0</v>
      </c>
      <c r="G1355" s="353">
        <v>2936650</v>
      </c>
      <c r="H1355" t="s">
        <v>1100</v>
      </c>
      <c r="I1355" s="403" t="s">
        <v>131</v>
      </c>
      <c r="K1355" s="370"/>
      <c r="N1355" s="370"/>
    </row>
    <row r="1356" spans="1:14" s="347" customFormat="1" x14ac:dyDescent="0.25">
      <c r="A1356" s="369"/>
      <c r="E1356" s="396"/>
      <c r="F1356" s="396"/>
      <c r="G1356" s="396"/>
      <c r="K1356" s="370"/>
      <c r="N1356" s="370"/>
    </row>
    <row r="1357" spans="1:14" s="347" customFormat="1" x14ac:dyDescent="0.25">
      <c r="A1357" s="339">
        <v>44285</v>
      </c>
      <c r="B1357" s="347">
        <f>+MONTH(A1357)</f>
        <v>3</v>
      </c>
      <c r="C1357" s="338">
        <v>4170</v>
      </c>
      <c r="D1357" s="340" t="str">
        <f>VLOOKUP(C1357,Plan!A$1:B$65542,2,0)</f>
        <v>Cali otros</v>
      </c>
      <c r="E1357" s="341">
        <f>+F1357-G1357</f>
        <v>677966</v>
      </c>
      <c r="F1357" s="346">
        <v>677966</v>
      </c>
      <c r="G1357" s="346">
        <v>0</v>
      </c>
      <c r="H1357" s="343" t="s">
        <v>1804</v>
      </c>
      <c r="I1357" s="340" t="s">
        <v>131</v>
      </c>
      <c r="K1357" s="370"/>
      <c r="N1357" s="370"/>
    </row>
    <row r="1358" spans="1:14" s="347" customFormat="1" x14ac:dyDescent="0.25">
      <c r="A1358" s="339">
        <f>+A1357</f>
        <v>44285</v>
      </c>
      <c r="B1358" s="347">
        <f>+MONTH(A1358)</f>
        <v>3</v>
      </c>
      <c r="C1358" s="338">
        <v>204</v>
      </c>
      <c r="D1358" s="340" t="str">
        <f>VLOOKUP(C1358,Plan!A$1:B$65542,2,0)</f>
        <v>Retención Honorarios Cali</v>
      </c>
      <c r="E1358" s="341">
        <f>+F1358-G1358</f>
        <v>-77966</v>
      </c>
      <c r="F1358" s="346">
        <v>0</v>
      </c>
      <c r="G1358" s="346">
        <v>77966</v>
      </c>
      <c r="H1358" s="338" t="str">
        <f>+H1357</f>
        <v xml:space="preserve"> G. de la Vega  BE 314 Febrero</v>
      </c>
      <c r="I1358" s="401" t="str">
        <f>+I1357</f>
        <v>Cali</v>
      </c>
      <c r="K1358" s="370"/>
      <c r="N1358" s="370"/>
    </row>
    <row r="1359" spans="1:14" s="347" customFormat="1" x14ac:dyDescent="0.25">
      <c r="A1359" s="339">
        <f>+A1357</f>
        <v>44285</v>
      </c>
      <c r="B1359" s="347">
        <f>+MONTH(A1359)</f>
        <v>3</v>
      </c>
      <c r="C1359" s="338">
        <v>205</v>
      </c>
      <c r="D1359" s="340" t="str">
        <f>VLOOKUP(C1359,Plan!A$1:B$65542,2,0)</f>
        <v>Honorarios por pagar Cali</v>
      </c>
      <c r="E1359" s="341">
        <f>+F1359-G1359</f>
        <v>-600000</v>
      </c>
      <c r="F1359" s="346">
        <v>0</v>
      </c>
      <c r="G1359" s="346">
        <v>600000</v>
      </c>
      <c r="H1359" s="338" t="str">
        <f>+H1357</f>
        <v xml:space="preserve"> G. de la Vega  BE 314 Febrero</v>
      </c>
      <c r="I1359" s="401" t="str">
        <f>+I1357</f>
        <v>Cali</v>
      </c>
      <c r="K1359" s="370"/>
      <c r="N1359" s="370"/>
    </row>
    <row r="1360" spans="1:14" s="347" customFormat="1" x14ac:dyDescent="0.25">
      <c r="A1360" s="369"/>
      <c r="E1360" s="396"/>
      <c r="F1360" s="396"/>
      <c r="G1360" s="396"/>
      <c r="K1360" s="370"/>
      <c r="N1360" s="370"/>
    </row>
    <row r="1361" spans="1:14" s="347" customFormat="1" x14ac:dyDescent="0.25">
      <c r="A1361" s="339">
        <v>44285</v>
      </c>
      <c r="B1361" s="347">
        <f>+MONTH(A1361)</f>
        <v>3</v>
      </c>
      <c r="C1361" s="338">
        <v>4170</v>
      </c>
      <c r="D1361" s="340" t="str">
        <f>VLOOKUP(C1361,Plan!A$1:B$65542,2,0)</f>
        <v>Cali otros</v>
      </c>
      <c r="E1361" s="341">
        <f>+F1361-G1361</f>
        <v>169492</v>
      </c>
      <c r="F1361" s="346">
        <v>169492</v>
      </c>
      <c r="G1361" s="346">
        <v>0</v>
      </c>
      <c r="H1361" s="343" t="s">
        <v>1808</v>
      </c>
      <c r="I1361" s="340" t="s">
        <v>131</v>
      </c>
      <c r="K1361" s="370"/>
      <c r="N1361" s="370"/>
    </row>
    <row r="1362" spans="1:14" s="347" customFormat="1" x14ac:dyDescent="0.25">
      <c r="A1362" s="339">
        <f>+A1361</f>
        <v>44285</v>
      </c>
      <c r="B1362" s="347">
        <f>+MONTH(A1362)</f>
        <v>3</v>
      </c>
      <c r="C1362" s="338">
        <v>204</v>
      </c>
      <c r="D1362" s="340" t="str">
        <f>VLOOKUP(C1362,Plan!A$1:B$65542,2,0)</f>
        <v>Retención Honorarios Cali</v>
      </c>
      <c r="E1362" s="341">
        <f>+F1362-G1362</f>
        <v>-19492</v>
      </c>
      <c r="F1362" s="346">
        <v>0</v>
      </c>
      <c r="G1362" s="346">
        <v>19492</v>
      </c>
      <c r="H1362" s="338" t="str">
        <f>+H1361</f>
        <v xml:space="preserve"> G. de la Vega Hon. Marzo</v>
      </c>
      <c r="I1362" s="401" t="str">
        <f>+I1361</f>
        <v>Cali</v>
      </c>
      <c r="K1362" s="370"/>
      <c r="N1362" s="370"/>
    </row>
    <row r="1363" spans="1:14" s="347" customFormat="1" x14ac:dyDescent="0.25">
      <c r="A1363" s="339">
        <f>+A1361</f>
        <v>44285</v>
      </c>
      <c r="B1363" s="347">
        <f>+MONTH(A1363)</f>
        <v>3</v>
      </c>
      <c r="C1363" s="338">
        <v>115</v>
      </c>
      <c r="D1363" s="340" t="str">
        <f>VLOOKUP(C1363,Plan!A$1:B$65542,2,0)</f>
        <v>Disponible Cali B.Chile</v>
      </c>
      <c r="E1363" s="341">
        <f>+F1363-G1363</f>
        <v>-150000</v>
      </c>
      <c r="F1363" s="346">
        <v>0</v>
      </c>
      <c r="G1363" s="346">
        <v>150000</v>
      </c>
      <c r="H1363" s="338" t="str">
        <f>+H1361</f>
        <v xml:space="preserve"> G. de la Vega Hon. Marzo</v>
      </c>
      <c r="I1363" s="401" t="str">
        <f>+I1361</f>
        <v>Cali</v>
      </c>
      <c r="K1363" s="370"/>
      <c r="N1363" s="370"/>
    </row>
    <row r="1364" spans="1:14" s="347" customFormat="1" x14ac:dyDescent="0.25">
      <c r="A1364" s="369"/>
      <c r="E1364" s="396"/>
      <c r="F1364" s="396"/>
      <c r="G1364" s="396"/>
      <c r="K1364" s="370"/>
      <c r="N1364" s="370"/>
    </row>
    <row r="1365" spans="1:14" s="347" customFormat="1" x14ac:dyDescent="0.25">
      <c r="A1365" s="339">
        <v>44285</v>
      </c>
      <c r="B1365" s="347">
        <f>+MONTH(A1365)</f>
        <v>3</v>
      </c>
      <c r="C1365" s="338">
        <v>4170</v>
      </c>
      <c r="D1365" s="340" t="str">
        <f>VLOOKUP(C1365,Plan!A$1:B$65542,2,0)</f>
        <v>Cali otros</v>
      </c>
      <c r="E1365" s="341">
        <f>+F1365-G1365</f>
        <v>112994</v>
      </c>
      <c r="F1365" s="346">
        <v>112994</v>
      </c>
      <c r="G1365" s="346">
        <v>0</v>
      </c>
      <c r="H1365" s="343" t="s">
        <v>1101</v>
      </c>
      <c r="I1365" s="340" t="s">
        <v>131</v>
      </c>
      <c r="K1365" s="370"/>
      <c r="N1365" s="370"/>
    </row>
    <row r="1366" spans="1:14" s="347" customFormat="1" x14ac:dyDescent="0.25">
      <c r="A1366" s="339">
        <f>+A1365</f>
        <v>44285</v>
      </c>
      <c r="B1366" s="347">
        <f>+MONTH(A1366)</f>
        <v>3</v>
      </c>
      <c r="C1366" s="338">
        <v>204</v>
      </c>
      <c r="D1366" s="340" t="str">
        <f>VLOOKUP(C1366,Plan!A$1:B$65542,2,0)</f>
        <v>Retención Honorarios Cali</v>
      </c>
      <c r="E1366" s="341">
        <f>+F1366-G1366</f>
        <v>-12994</v>
      </c>
      <c r="F1366" s="346">
        <v>0</v>
      </c>
      <c r="G1366" s="346">
        <v>12994</v>
      </c>
      <c r="H1366" s="338" t="str">
        <f>+H1365</f>
        <v>Francisco Lopez Blanc Marzo/21 Campaña Hazte Parte</v>
      </c>
      <c r="I1366" s="401" t="str">
        <f>+I1365</f>
        <v>Cali</v>
      </c>
      <c r="K1366" s="370"/>
      <c r="N1366" s="370"/>
    </row>
    <row r="1367" spans="1:14" s="347" customFormat="1" x14ac:dyDescent="0.25">
      <c r="A1367" s="339">
        <f>+A1365</f>
        <v>44285</v>
      </c>
      <c r="B1367" s="347">
        <f>+MONTH(A1367)</f>
        <v>3</v>
      </c>
      <c r="C1367" s="338">
        <v>115</v>
      </c>
      <c r="D1367" s="340" t="str">
        <f>VLOOKUP(C1367,Plan!A$1:B$65542,2,0)</f>
        <v>Disponible Cali B.Chile</v>
      </c>
      <c r="E1367" s="341">
        <f>+F1367-G1367</f>
        <v>-100000</v>
      </c>
      <c r="F1367" s="346">
        <v>0</v>
      </c>
      <c r="G1367" s="346">
        <v>100000</v>
      </c>
      <c r="H1367" s="338" t="str">
        <f>+H1365</f>
        <v>Francisco Lopez Blanc Marzo/21 Campaña Hazte Parte</v>
      </c>
      <c r="I1367" s="401" t="str">
        <f>+I1365</f>
        <v>Cali</v>
      </c>
      <c r="K1367" s="370"/>
      <c r="N1367" s="370"/>
    </row>
    <row r="1368" spans="1:14" s="347" customFormat="1" x14ac:dyDescent="0.25">
      <c r="A1368" s="369"/>
      <c r="E1368" s="396"/>
      <c r="F1368" s="396"/>
      <c r="G1368" s="396"/>
      <c r="K1368" s="370"/>
      <c r="N1368" s="370"/>
    </row>
    <row r="1369" spans="1:14" s="347" customFormat="1" x14ac:dyDescent="0.25">
      <c r="A1369" s="369">
        <v>44285</v>
      </c>
      <c r="B1369" s="347">
        <f>+MONTH(A1369)</f>
        <v>3</v>
      </c>
      <c r="C1369" s="347">
        <v>115</v>
      </c>
      <c r="D1369" s="340" t="str">
        <f>VLOOKUP(C1369,Plan!A:B,2,0)</f>
        <v>Disponible Cali B.Chile</v>
      </c>
      <c r="E1369" s="341">
        <f>+F1369-G1369</f>
        <v>50000</v>
      </c>
      <c r="F1369" s="353">
        <v>50000</v>
      </c>
      <c r="G1369" s="353">
        <v>0</v>
      </c>
      <c r="H1369" t="s">
        <v>966</v>
      </c>
      <c r="I1369" s="403" t="s">
        <v>131</v>
      </c>
      <c r="K1369" s="370"/>
      <c r="N1369" s="370"/>
    </row>
    <row r="1370" spans="1:14" s="347" customFormat="1" x14ac:dyDescent="0.25">
      <c r="A1370" s="369">
        <f>+A1369</f>
        <v>44285</v>
      </c>
      <c r="B1370" s="347">
        <f>+MONTH(A1370)</f>
        <v>3</v>
      </c>
      <c r="C1370" s="347">
        <v>3210</v>
      </c>
      <c r="D1370" s="340" t="str">
        <f>VLOOKUP(C1370,Plan!A:B,2,0)</f>
        <v>Donacion Construccion</v>
      </c>
      <c r="E1370" s="341">
        <f>+F1370-G1370</f>
        <v>-50000</v>
      </c>
      <c r="F1370" s="353">
        <v>0</v>
      </c>
      <c r="G1370" s="353">
        <f>+F1369</f>
        <v>50000</v>
      </c>
      <c r="H1370" t="s">
        <v>966</v>
      </c>
      <c r="I1370" s="403" t="s">
        <v>131</v>
      </c>
      <c r="K1370" s="370"/>
      <c r="N1370" s="370"/>
    </row>
    <row r="1371" spans="1:14" s="347" customFormat="1" x14ac:dyDescent="0.25">
      <c r="A1371" s="369"/>
      <c r="E1371" s="396"/>
      <c r="F1371" s="396"/>
      <c r="G1371" s="396"/>
      <c r="K1371" s="370"/>
      <c r="N1371" s="370"/>
    </row>
    <row r="1372" spans="1:14" s="347" customFormat="1" x14ac:dyDescent="0.25">
      <c r="A1372" s="369">
        <v>44285</v>
      </c>
      <c r="B1372" s="347">
        <f>+MONTH(A1372)</f>
        <v>3</v>
      </c>
      <c r="C1372" s="347">
        <v>115</v>
      </c>
      <c r="D1372" s="340" t="str">
        <f>VLOOKUP(C1372,Plan!A:B,2,0)</f>
        <v>Disponible Cali B.Chile</v>
      </c>
      <c r="E1372" s="341">
        <f>+F1372-G1372</f>
        <v>36000</v>
      </c>
      <c r="F1372" s="353">
        <v>36000</v>
      </c>
      <c r="G1372" s="353">
        <v>0</v>
      </c>
      <c r="H1372" t="s">
        <v>964</v>
      </c>
      <c r="I1372" s="403" t="s">
        <v>131</v>
      </c>
      <c r="K1372" s="370"/>
      <c r="N1372" s="370"/>
    </row>
    <row r="1373" spans="1:14" s="347" customFormat="1" x14ac:dyDescent="0.25">
      <c r="A1373" s="369">
        <f>+A1372</f>
        <v>44285</v>
      </c>
      <c r="B1373" s="347">
        <f>+MONTH(A1373)</f>
        <v>3</v>
      </c>
      <c r="C1373" s="347">
        <v>1222</v>
      </c>
      <c r="D1373" s="340" t="str">
        <f>VLOOKUP(C1373,Plan!A:B,2,0)</f>
        <v>Otros Valores -Oficina y Transferencias (249)</v>
      </c>
      <c r="E1373" s="341">
        <f>+F1373-G1373</f>
        <v>-36000</v>
      </c>
      <c r="F1373" s="353">
        <v>0</v>
      </c>
      <c r="G1373" s="353">
        <f>+F1372</f>
        <v>36000</v>
      </c>
      <c r="H1373" t="s">
        <v>964</v>
      </c>
      <c r="I1373" s="403" t="s">
        <v>131</v>
      </c>
      <c r="K1373" s="370"/>
      <c r="N1373" s="370"/>
    </row>
    <row r="1374" spans="1:14" s="347" customFormat="1" x14ac:dyDescent="0.25">
      <c r="A1374" s="369"/>
      <c r="E1374" s="396"/>
      <c r="F1374" s="396"/>
      <c r="G1374" s="396"/>
      <c r="K1374" s="370"/>
      <c r="N1374" s="370"/>
    </row>
    <row r="1375" spans="1:14" s="347" customFormat="1" x14ac:dyDescent="0.25">
      <c r="A1375" s="369">
        <v>44285</v>
      </c>
      <c r="B1375" s="347">
        <f>+MONTH(A1375)</f>
        <v>3</v>
      </c>
      <c r="C1375" s="347">
        <v>115</v>
      </c>
      <c r="D1375" s="340" t="str">
        <f>VLOOKUP(C1375,Plan!A:B,2,0)</f>
        <v>Disponible Cali B.Chile</v>
      </c>
      <c r="E1375" s="341">
        <f>+F1375-G1375</f>
        <v>100000</v>
      </c>
      <c r="F1375" s="353">
        <v>100000</v>
      </c>
      <c r="G1375" s="353">
        <v>0</v>
      </c>
      <c r="H1375" t="s">
        <v>965</v>
      </c>
      <c r="I1375" s="403" t="s">
        <v>131</v>
      </c>
      <c r="K1375" s="370"/>
      <c r="N1375" s="370"/>
    </row>
    <row r="1376" spans="1:14" s="347" customFormat="1" x14ac:dyDescent="0.25">
      <c r="A1376" s="369">
        <f>+A1375</f>
        <v>44285</v>
      </c>
      <c r="B1376" s="347">
        <f>+MONTH(A1376)</f>
        <v>3</v>
      </c>
      <c r="C1376" s="347">
        <v>3210</v>
      </c>
      <c r="D1376" s="340" t="str">
        <f>VLOOKUP(C1376,Plan!A:B,2,0)</f>
        <v>Donacion Construccion</v>
      </c>
      <c r="E1376" s="341">
        <f>+F1376-G1376</f>
        <v>-100000</v>
      </c>
      <c r="F1376" s="353">
        <v>0</v>
      </c>
      <c r="G1376" s="353">
        <f>+F1375</f>
        <v>100000</v>
      </c>
      <c r="H1376" t="s">
        <v>965</v>
      </c>
      <c r="I1376" s="403" t="s">
        <v>131</v>
      </c>
      <c r="K1376" s="370"/>
      <c r="N1376" s="370"/>
    </row>
    <row r="1377" spans="1:14" s="347" customFormat="1" x14ac:dyDescent="0.25">
      <c r="A1377" s="369"/>
      <c r="E1377" s="396"/>
      <c r="F1377" s="396"/>
      <c r="G1377" s="396"/>
      <c r="K1377" s="370"/>
      <c r="N1377" s="370"/>
    </row>
    <row r="1378" spans="1:14" s="347" customFormat="1" x14ac:dyDescent="0.25">
      <c r="A1378" s="369">
        <v>44285</v>
      </c>
      <c r="B1378" s="347">
        <f>+MONTH(A1378)</f>
        <v>3</v>
      </c>
      <c r="C1378" s="347">
        <v>115</v>
      </c>
      <c r="D1378" s="340" t="str">
        <f>VLOOKUP(C1378,Plan!A:B,2,0)</f>
        <v>Disponible Cali B.Chile</v>
      </c>
      <c r="E1378" s="341">
        <f>+F1378-G1378</f>
        <v>9537988</v>
      </c>
      <c r="F1378" s="353">
        <v>9537988</v>
      </c>
      <c r="G1378" s="353">
        <v>0</v>
      </c>
      <c r="H1378" t="s">
        <v>1102</v>
      </c>
      <c r="I1378" s="403" t="s">
        <v>131</v>
      </c>
      <c r="K1378" s="370"/>
      <c r="N1378" s="370"/>
    </row>
    <row r="1379" spans="1:14" s="347" customFormat="1" x14ac:dyDescent="0.25">
      <c r="A1379" s="369">
        <f>+A1378</f>
        <v>44285</v>
      </c>
      <c r="B1379" s="347">
        <f>+MONTH(A1379)</f>
        <v>3</v>
      </c>
      <c r="C1379" s="347">
        <v>1218</v>
      </c>
      <c r="D1379" s="340" t="str">
        <f>VLOOKUP(C1379,Plan!A:B,2,0)</f>
        <v>Otros Valores Tarjeta de Credito</v>
      </c>
      <c r="E1379" s="341">
        <f>+F1379-G1379</f>
        <v>-9537988</v>
      </c>
      <c r="F1379" s="353">
        <v>0</v>
      </c>
      <c r="G1379" s="353">
        <f>+F1378</f>
        <v>9537988</v>
      </c>
      <c r="H1379" t="s">
        <v>1102</v>
      </c>
      <c r="I1379" s="403" t="s">
        <v>131</v>
      </c>
      <c r="K1379" s="370"/>
      <c r="N1379" s="370"/>
    </row>
    <row r="1380" spans="1:14" s="347" customFormat="1" x14ac:dyDescent="0.25">
      <c r="A1380" s="369"/>
      <c r="E1380" s="396"/>
      <c r="F1380" s="396"/>
      <c r="G1380" s="396"/>
      <c r="K1380" s="370"/>
      <c r="N1380" s="370"/>
    </row>
    <row r="1381" spans="1:14" s="347" customFormat="1" x14ac:dyDescent="0.25">
      <c r="A1381" s="369">
        <v>44285</v>
      </c>
      <c r="B1381" s="347">
        <f>+MONTH(A1381)</f>
        <v>3</v>
      </c>
      <c r="C1381" s="347">
        <v>115</v>
      </c>
      <c r="D1381" s="340" t="str">
        <f>VLOOKUP(C1381,Plan!A:B,2,0)</f>
        <v>Disponible Cali B.Chile</v>
      </c>
      <c r="E1381" s="341">
        <f>+F1381-G1381</f>
        <v>150000</v>
      </c>
      <c r="F1381" s="353">
        <v>150000</v>
      </c>
      <c r="G1381" s="353">
        <v>0</v>
      </c>
      <c r="H1381" t="s">
        <v>1098</v>
      </c>
      <c r="I1381" s="403" t="s">
        <v>131</v>
      </c>
      <c r="K1381" s="370"/>
      <c r="N1381" s="370"/>
    </row>
    <row r="1382" spans="1:14" s="347" customFormat="1" x14ac:dyDescent="0.25">
      <c r="A1382" s="369">
        <f>+A1381</f>
        <v>44285</v>
      </c>
      <c r="B1382" s="347">
        <f>+MONTH(A1382)</f>
        <v>3</v>
      </c>
      <c r="C1382" s="347">
        <v>3210</v>
      </c>
      <c r="D1382" s="340" t="str">
        <f>VLOOKUP(C1382,Plan!A:B,2,0)</f>
        <v>Donacion Construccion</v>
      </c>
      <c r="E1382" s="341">
        <f>+F1382-G1382</f>
        <v>-150000</v>
      </c>
      <c r="F1382" s="353">
        <v>0</v>
      </c>
      <c r="G1382" s="353">
        <f>+F1381</f>
        <v>150000</v>
      </c>
      <c r="H1382" t="s">
        <v>1098</v>
      </c>
      <c r="I1382" s="403" t="s">
        <v>131</v>
      </c>
      <c r="K1382" s="370"/>
      <c r="N1382" s="370"/>
    </row>
    <row r="1383" spans="1:14" s="347" customFormat="1" x14ac:dyDescent="0.25">
      <c r="A1383" s="369"/>
      <c r="E1383" s="396"/>
      <c r="F1383" s="396"/>
      <c r="G1383" s="396"/>
      <c r="K1383" s="370"/>
      <c r="N1383" s="370"/>
    </row>
    <row r="1384" spans="1:14" s="347" customFormat="1" x14ac:dyDescent="0.25">
      <c r="A1384" s="369">
        <v>44285</v>
      </c>
      <c r="B1384" s="347">
        <f>+MONTH(A1384)</f>
        <v>3</v>
      </c>
      <c r="C1384" s="347">
        <v>115</v>
      </c>
      <c r="D1384" s="340" t="str">
        <f>VLOOKUP(C1384,Plan!A:B,2,0)</f>
        <v>Disponible Cali B.Chile</v>
      </c>
      <c r="E1384" s="341">
        <f>+F1384-G1384</f>
        <v>1200000</v>
      </c>
      <c r="F1384" s="353">
        <v>1200000</v>
      </c>
      <c r="G1384" s="353">
        <v>0</v>
      </c>
      <c r="H1384" t="s">
        <v>1103</v>
      </c>
      <c r="I1384" s="403" t="s">
        <v>131</v>
      </c>
      <c r="K1384" s="370"/>
      <c r="N1384" s="370"/>
    </row>
    <row r="1385" spans="1:14" s="347" customFormat="1" x14ac:dyDescent="0.25">
      <c r="A1385" s="369">
        <f>+A1384</f>
        <v>44285</v>
      </c>
      <c r="B1385" s="347">
        <f>+MONTH(A1385)</f>
        <v>3</v>
      </c>
      <c r="C1385" s="347">
        <v>3210</v>
      </c>
      <c r="D1385" s="340" t="str">
        <f>VLOOKUP(C1385,Plan!A:B,2,0)</f>
        <v>Donacion Construccion</v>
      </c>
      <c r="E1385" s="341">
        <f>+F1385-G1385</f>
        <v>-1200000</v>
      </c>
      <c r="F1385" s="353">
        <v>0</v>
      </c>
      <c r="G1385" s="353">
        <f>+F1384</f>
        <v>1200000</v>
      </c>
      <c r="H1385" t="s">
        <v>1103</v>
      </c>
      <c r="I1385" s="403" t="s">
        <v>131</v>
      </c>
      <c r="K1385" s="370"/>
      <c r="N1385" s="370"/>
    </row>
    <row r="1386" spans="1:14" s="347" customFormat="1" x14ac:dyDescent="0.25">
      <c r="A1386" s="369"/>
      <c r="E1386" s="396"/>
      <c r="F1386" s="396"/>
      <c r="G1386" s="396"/>
      <c r="K1386" s="370"/>
      <c r="N1386" s="370"/>
    </row>
    <row r="1387" spans="1:14" s="347" customFormat="1" x14ac:dyDescent="0.25">
      <c r="A1387" s="369">
        <v>44285</v>
      </c>
      <c r="B1387" s="347">
        <f>+MONTH(A1387)</f>
        <v>3</v>
      </c>
      <c r="C1387" s="347">
        <v>115</v>
      </c>
      <c r="D1387" s="340" t="str">
        <f>VLOOKUP(C1387,Plan!A:B,2,0)</f>
        <v>Disponible Cali B.Chile</v>
      </c>
      <c r="E1387" s="341">
        <f>+F1387-G1387</f>
        <v>15000</v>
      </c>
      <c r="F1387" s="353">
        <v>15000</v>
      </c>
      <c r="G1387" s="353">
        <v>0</v>
      </c>
      <c r="H1387" t="s">
        <v>1035</v>
      </c>
      <c r="I1387" s="403" t="s">
        <v>131</v>
      </c>
      <c r="K1387" s="370"/>
      <c r="N1387" s="370"/>
    </row>
    <row r="1388" spans="1:14" s="347" customFormat="1" x14ac:dyDescent="0.25">
      <c r="A1388" s="369">
        <f>+A1387</f>
        <v>44285</v>
      </c>
      <c r="B1388" s="347">
        <f>+MONTH(A1388)</f>
        <v>3</v>
      </c>
      <c r="C1388" s="347">
        <v>1217</v>
      </c>
      <c r="D1388" s="340" t="str">
        <f>VLOOKUP(C1388,Plan!A:B,2,0)</f>
        <v>Otros Valores -Oficina y Transferencias (248)</v>
      </c>
      <c r="E1388" s="341">
        <f>+F1388-G1388</f>
        <v>-15000</v>
      </c>
      <c r="F1388" s="353">
        <v>0</v>
      </c>
      <c r="G1388" s="353">
        <f>+F1387</f>
        <v>15000</v>
      </c>
      <c r="H1388" t="s">
        <v>1035</v>
      </c>
      <c r="I1388" s="403" t="s">
        <v>131</v>
      </c>
      <c r="K1388" s="370"/>
      <c r="N1388" s="370"/>
    </row>
    <row r="1389" spans="1:14" s="347" customFormat="1" x14ac:dyDescent="0.25">
      <c r="A1389" s="369"/>
      <c r="E1389" s="396"/>
      <c r="F1389" s="396"/>
      <c r="G1389" s="396"/>
      <c r="K1389" s="370"/>
      <c r="N1389" s="370"/>
    </row>
    <row r="1390" spans="1:14" s="347" customFormat="1" x14ac:dyDescent="0.25">
      <c r="A1390" s="369">
        <v>44286</v>
      </c>
      <c r="B1390" s="347">
        <f>+MONTH(A1390)</f>
        <v>3</v>
      </c>
      <c r="C1390" s="347">
        <v>115</v>
      </c>
      <c r="D1390" s="340" t="str">
        <f>VLOOKUP(C1390,Plan!A:B,2,0)</f>
        <v>Disponible Cali B.Chile</v>
      </c>
      <c r="E1390" s="341">
        <f>+F1390-G1390</f>
        <v>2150000</v>
      </c>
      <c r="F1390" s="353">
        <v>2150000</v>
      </c>
      <c r="G1390" s="353">
        <v>0</v>
      </c>
      <c r="H1390" t="s">
        <v>1096</v>
      </c>
      <c r="I1390" s="403" t="s">
        <v>131</v>
      </c>
      <c r="K1390" s="370"/>
      <c r="N1390" s="370"/>
    </row>
    <row r="1391" spans="1:14" s="347" customFormat="1" x14ac:dyDescent="0.25">
      <c r="A1391" s="369">
        <f>+A1390</f>
        <v>44286</v>
      </c>
      <c r="B1391" s="347">
        <f>+MONTH(A1391)</f>
        <v>3</v>
      </c>
      <c r="C1391" s="347">
        <v>3210</v>
      </c>
      <c r="D1391" s="340" t="str">
        <f>VLOOKUP(C1391,Plan!A:B,2,0)</f>
        <v>Donacion Construccion</v>
      </c>
      <c r="E1391" s="341">
        <f>+F1391-G1391</f>
        <v>-2150000</v>
      </c>
      <c r="F1391" s="353">
        <v>0</v>
      </c>
      <c r="G1391" s="353">
        <f>+F1390</f>
        <v>2150000</v>
      </c>
      <c r="H1391" t="s">
        <v>1096</v>
      </c>
      <c r="I1391" s="403" t="s">
        <v>131</v>
      </c>
      <c r="K1391" s="370"/>
      <c r="N1391" s="370"/>
    </row>
    <row r="1392" spans="1:14" s="347" customFormat="1" x14ac:dyDescent="0.25">
      <c r="A1392" s="369"/>
      <c r="E1392" s="396"/>
      <c r="F1392" s="396"/>
      <c r="G1392" s="396"/>
      <c r="K1392" s="370"/>
      <c r="N1392" s="370"/>
    </row>
    <row r="1393" spans="1:14" s="347" customFormat="1" x14ac:dyDescent="0.25">
      <c r="A1393" s="369">
        <v>44286</v>
      </c>
      <c r="B1393" s="347">
        <f>+MONTH(A1393)</f>
        <v>3</v>
      </c>
      <c r="C1393" s="347">
        <v>115</v>
      </c>
      <c r="D1393" s="340" t="str">
        <f>VLOOKUP(C1393,Plan!A:B,2,0)</f>
        <v>Disponible Cali B.Chile</v>
      </c>
      <c r="E1393" s="341">
        <f>+F1393-G1393</f>
        <v>14000</v>
      </c>
      <c r="F1393" s="353">
        <v>14000</v>
      </c>
      <c r="G1393" s="353">
        <v>0</v>
      </c>
      <c r="H1393" t="s">
        <v>1104</v>
      </c>
      <c r="I1393" s="403" t="s">
        <v>131</v>
      </c>
      <c r="K1393" s="370"/>
      <c r="N1393" s="370"/>
    </row>
    <row r="1394" spans="1:14" s="347" customFormat="1" x14ac:dyDescent="0.25">
      <c r="A1394" s="369">
        <f>+A1393</f>
        <v>44286</v>
      </c>
      <c r="B1394" s="347">
        <f>+MONTH(A1394)</f>
        <v>3</v>
      </c>
      <c r="C1394" s="347">
        <v>3210</v>
      </c>
      <c r="D1394" s="340" t="str">
        <f>VLOOKUP(C1394,Plan!A:B,2,0)</f>
        <v>Donacion Construccion</v>
      </c>
      <c r="E1394" s="341">
        <f>+F1394-G1394</f>
        <v>-14000</v>
      </c>
      <c r="F1394" s="353">
        <v>0</v>
      </c>
      <c r="G1394" s="353">
        <f>+F1393</f>
        <v>14000</v>
      </c>
      <c r="H1394" t="s">
        <v>1104</v>
      </c>
      <c r="I1394" s="403" t="s">
        <v>131</v>
      </c>
      <c r="K1394" s="370"/>
      <c r="N1394" s="370"/>
    </row>
    <row r="1395" spans="1:14" s="347" customFormat="1" x14ac:dyDescent="0.25">
      <c r="A1395" s="369"/>
      <c r="E1395" s="396"/>
      <c r="F1395" s="396"/>
      <c r="G1395" s="396"/>
      <c r="K1395" s="370"/>
      <c r="N1395" s="370"/>
    </row>
    <row r="1396" spans="1:14" ht="14.95" customHeight="1" x14ac:dyDescent="0.25">
      <c r="A1396" s="369">
        <v>44286</v>
      </c>
      <c r="B1396" s="347">
        <f>+MONTH(A1396)</f>
        <v>3</v>
      </c>
      <c r="C1396" s="347">
        <v>115</v>
      </c>
      <c r="D1396" s="340" t="str">
        <f>VLOOKUP(C1396,Plan!A:B,2,0)</f>
        <v>Disponible Cali B.Chile</v>
      </c>
      <c r="E1396" s="341">
        <f>+F1396-G1396</f>
        <v>494050</v>
      </c>
      <c r="F1396" s="353">
        <v>494050</v>
      </c>
      <c r="G1396" s="353">
        <v>0</v>
      </c>
      <c r="H1396" t="s">
        <v>1105</v>
      </c>
      <c r="I1396" s="403" t="s">
        <v>131</v>
      </c>
    </row>
    <row r="1397" spans="1:14" s="347" customFormat="1" x14ac:dyDescent="0.25">
      <c r="A1397" s="369">
        <f>+A1396</f>
        <v>44286</v>
      </c>
      <c r="B1397" s="347">
        <f>+MONTH(A1397)</f>
        <v>3</v>
      </c>
      <c r="C1397" s="347">
        <v>3210</v>
      </c>
      <c r="D1397" s="340" t="str">
        <f>VLOOKUP(C1397,Plan!A:B,2,0)</f>
        <v>Donacion Construccion</v>
      </c>
      <c r="E1397" s="341">
        <f>+F1397-G1397</f>
        <v>-494050</v>
      </c>
      <c r="F1397" s="353">
        <v>0</v>
      </c>
      <c r="G1397" s="353">
        <f>+F1396</f>
        <v>494050</v>
      </c>
      <c r="H1397" t="s">
        <v>1105</v>
      </c>
      <c r="I1397" s="403" t="s">
        <v>131</v>
      </c>
      <c r="K1397" s="370"/>
      <c r="N1397" s="370"/>
    </row>
    <row r="1398" spans="1:14" s="347" customFormat="1" x14ac:dyDescent="0.25">
      <c r="A1398" s="369"/>
      <c r="E1398" s="396"/>
      <c r="F1398" s="396"/>
      <c r="G1398" s="396"/>
      <c r="K1398" s="370"/>
      <c r="N1398" s="370"/>
    </row>
    <row r="1399" spans="1:14" s="347" customFormat="1" x14ac:dyDescent="0.25">
      <c r="A1399" s="369">
        <v>44286</v>
      </c>
      <c r="B1399" s="347">
        <f>+MONTH(A1399)</f>
        <v>3</v>
      </c>
      <c r="C1399" s="347">
        <v>115</v>
      </c>
      <c r="D1399" s="340" t="str">
        <f>VLOOKUP(C1399,Plan!A:B,2,0)</f>
        <v>Disponible Cali B.Chile</v>
      </c>
      <c r="E1399" s="341">
        <f>+F1399-G1399</f>
        <v>20000</v>
      </c>
      <c r="F1399" s="353">
        <v>20000</v>
      </c>
      <c r="G1399" s="353">
        <v>0</v>
      </c>
      <c r="H1399" t="s">
        <v>1056</v>
      </c>
      <c r="I1399" s="403" t="s">
        <v>131</v>
      </c>
      <c r="K1399" s="370"/>
      <c r="N1399" s="370"/>
    </row>
    <row r="1400" spans="1:14" s="347" customFormat="1" x14ac:dyDescent="0.25">
      <c r="A1400" s="369">
        <f>+A1399</f>
        <v>44286</v>
      </c>
      <c r="B1400" s="347">
        <f>+MONTH(A1400)</f>
        <v>3</v>
      </c>
      <c r="C1400" s="347">
        <v>1222</v>
      </c>
      <c r="D1400" s="340" t="str">
        <f>VLOOKUP(C1400,Plan!A:B,2,0)</f>
        <v>Otros Valores -Oficina y Transferencias (249)</v>
      </c>
      <c r="E1400" s="341">
        <f>+F1400-G1400</f>
        <v>-20000</v>
      </c>
      <c r="F1400" s="353">
        <v>0</v>
      </c>
      <c r="G1400" s="353">
        <f>+F1399</f>
        <v>20000</v>
      </c>
      <c r="H1400" t="s">
        <v>1056</v>
      </c>
      <c r="I1400" s="403" t="s">
        <v>131</v>
      </c>
      <c r="K1400" s="370"/>
      <c r="N1400" s="370"/>
    </row>
    <row r="1401" spans="1:14" s="347" customFormat="1" x14ac:dyDescent="0.25">
      <c r="A1401" s="369"/>
      <c r="E1401" s="396"/>
      <c r="F1401" s="396"/>
      <c r="G1401" s="396"/>
      <c r="K1401" s="370"/>
      <c r="N1401" s="370"/>
    </row>
    <row r="1402" spans="1:14" s="347" customFormat="1" x14ac:dyDescent="0.25">
      <c r="A1402" s="369">
        <v>44286</v>
      </c>
      <c r="B1402" s="347">
        <f>+MONTH(A1402)</f>
        <v>3</v>
      </c>
      <c r="C1402" s="347">
        <v>115</v>
      </c>
      <c r="D1402" s="340" t="str">
        <f>VLOOKUP(C1402,Plan!A:B,2,0)</f>
        <v>Disponible Cali B.Chile</v>
      </c>
      <c r="E1402" s="341">
        <f>+F1402-G1402</f>
        <v>20000</v>
      </c>
      <c r="F1402" s="353">
        <v>20000</v>
      </c>
      <c r="G1402" s="353">
        <v>0</v>
      </c>
      <c r="H1402" t="s">
        <v>963</v>
      </c>
      <c r="I1402" s="403" t="s">
        <v>131</v>
      </c>
      <c r="K1402" s="370"/>
      <c r="N1402" s="370"/>
    </row>
    <row r="1403" spans="1:14" s="347" customFormat="1" x14ac:dyDescent="0.25">
      <c r="A1403" s="369">
        <f>+A1402</f>
        <v>44286</v>
      </c>
      <c r="B1403" s="347">
        <f>+MONTH(A1403)</f>
        <v>3</v>
      </c>
      <c r="C1403" s="347">
        <v>1222</v>
      </c>
      <c r="D1403" s="340" t="str">
        <f>VLOOKUP(C1403,Plan!A:B,2,0)</f>
        <v>Otros Valores -Oficina y Transferencias (249)</v>
      </c>
      <c r="E1403" s="341">
        <f>+F1403-G1403</f>
        <v>-20000</v>
      </c>
      <c r="F1403" s="353">
        <v>0</v>
      </c>
      <c r="G1403" s="353">
        <f>+F1402</f>
        <v>20000</v>
      </c>
      <c r="H1403" t="s">
        <v>963</v>
      </c>
      <c r="I1403" s="403" t="s">
        <v>131</v>
      </c>
      <c r="K1403" s="370"/>
      <c r="N1403" s="370"/>
    </row>
    <row r="1404" spans="1:14" s="347" customFormat="1" x14ac:dyDescent="0.25">
      <c r="A1404" s="339"/>
      <c r="B1404" s="340"/>
      <c r="C1404" s="338"/>
      <c r="D1404" s="340"/>
      <c r="E1404" s="341"/>
      <c r="F1404" s="345"/>
      <c r="G1404" s="345"/>
      <c r="H1404" s="338"/>
      <c r="I1404" s="340"/>
      <c r="K1404" s="370"/>
      <c r="N1404" s="370"/>
    </row>
    <row r="1405" spans="1:14" s="347" customFormat="1" x14ac:dyDescent="0.25">
      <c r="A1405" s="339">
        <v>44267</v>
      </c>
      <c r="B1405" s="340">
        <f>+MONTH(A1405)</f>
        <v>3</v>
      </c>
      <c r="C1405" s="338">
        <v>117</v>
      </c>
      <c r="D1405" s="338" t="str">
        <f>+VLOOKUP(C1405,Plan!A:C,2,FALSE)</f>
        <v>Disponible CALI Santander</v>
      </c>
      <c r="E1405" s="341">
        <f>+F1405-G1405</f>
        <v>29400000</v>
      </c>
      <c r="F1405" s="346">
        <v>29400000</v>
      </c>
      <c r="G1405" s="346">
        <v>0</v>
      </c>
      <c r="H1405" s="338" t="s">
        <v>1296</v>
      </c>
      <c r="I1405" s="343" t="s">
        <v>131</v>
      </c>
      <c r="K1405" s="370"/>
      <c r="N1405" s="370"/>
    </row>
    <row r="1406" spans="1:14" s="347" customFormat="1" x14ac:dyDescent="0.25">
      <c r="A1406" s="339">
        <f>+A1405</f>
        <v>44267</v>
      </c>
      <c r="B1406" s="338">
        <f>+B1405</f>
        <v>3</v>
      </c>
      <c r="C1406" s="338">
        <v>3210</v>
      </c>
      <c r="D1406" s="338" t="str">
        <f>+VLOOKUP(C1406,Plan!A:C,2,FALSE)</f>
        <v>Donacion Construccion</v>
      </c>
      <c r="E1406" s="341">
        <f>+F1406-G1406</f>
        <v>-29400000</v>
      </c>
      <c r="F1406" s="346">
        <v>0</v>
      </c>
      <c r="G1406" s="346">
        <f>+F1405</f>
        <v>29400000</v>
      </c>
      <c r="H1406" s="338" t="str">
        <f>+H1405</f>
        <v>Dep NN</v>
      </c>
      <c r="I1406" s="343" t="s">
        <v>131</v>
      </c>
      <c r="K1406" s="370"/>
      <c r="N1406" s="370"/>
    </row>
    <row r="1407" spans="1:14" s="347" customFormat="1" x14ac:dyDescent="0.25">
      <c r="A1407" s="369"/>
      <c r="E1407" s="396"/>
      <c r="F1407" s="396"/>
      <c r="G1407" s="396"/>
      <c r="K1407" s="370"/>
      <c r="N1407" s="370"/>
    </row>
    <row r="1408" spans="1:14" s="347" customFormat="1" x14ac:dyDescent="0.25">
      <c r="A1408" s="339">
        <v>44270</v>
      </c>
      <c r="B1408" s="340">
        <f>+MONTH(A1408)</f>
        <v>3</v>
      </c>
      <c r="C1408" s="338">
        <v>113</v>
      </c>
      <c r="D1408" s="338" t="str">
        <f>+VLOOKUP(C1408,Plan!A:C,2,FALSE)</f>
        <v>Depósito a plazo Cali Banco Santander</v>
      </c>
      <c r="E1408" s="341">
        <f>+F1408-G1408</f>
        <v>30000000</v>
      </c>
      <c r="F1408" s="346">
        <v>30000000</v>
      </c>
      <c r="G1408" s="346">
        <v>0</v>
      </c>
      <c r="H1408" s="338" t="s">
        <v>1297</v>
      </c>
      <c r="I1408" s="343" t="s">
        <v>131</v>
      </c>
      <c r="K1408" s="370"/>
      <c r="N1408" s="370"/>
    </row>
    <row r="1409" spans="1:14" s="347" customFormat="1" x14ac:dyDescent="0.25">
      <c r="A1409" s="339">
        <f>+A1408</f>
        <v>44270</v>
      </c>
      <c r="B1409" s="338">
        <f>+B1408</f>
        <v>3</v>
      </c>
      <c r="C1409" s="338">
        <v>117</v>
      </c>
      <c r="D1409" s="338" t="str">
        <f>+VLOOKUP(C1409,Plan!A:C,2,FALSE)</f>
        <v>Disponible CALI Santander</v>
      </c>
      <c r="E1409" s="341">
        <f>+F1409-G1409</f>
        <v>-30000000</v>
      </c>
      <c r="F1409" s="346">
        <v>0</v>
      </c>
      <c r="G1409" s="346">
        <f>+F1408</f>
        <v>30000000</v>
      </c>
      <c r="H1409" s="338" t="str">
        <f>+H1408</f>
        <v>DAP B. Santander</v>
      </c>
      <c r="I1409" s="343" t="s">
        <v>131</v>
      </c>
      <c r="K1409" s="370"/>
      <c r="N1409" s="370"/>
    </row>
    <row r="1410" spans="1:14" s="347" customFormat="1" x14ac:dyDescent="0.25">
      <c r="A1410" s="369"/>
      <c r="E1410" s="396"/>
      <c r="F1410" s="396"/>
      <c r="G1410" s="396"/>
    </row>
    <row r="1411" spans="1:14" s="347" customFormat="1" x14ac:dyDescent="0.25">
      <c r="A1411" s="369">
        <v>44263</v>
      </c>
      <c r="B1411" s="347">
        <f>+MONTH(A1411)</f>
        <v>3</v>
      </c>
      <c r="C1411" s="347">
        <v>4170</v>
      </c>
      <c r="D1411" s="340" t="str">
        <f>VLOOKUP(C1411,Plan!A:B,2,0)</f>
        <v>Cali otros</v>
      </c>
      <c r="E1411" s="341">
        <f>+F1411-G1411</f>
        <v>527</v>
      </c>
      <c r="F1411" s="353">
        <v>527</v>
      </c>
      <c r="G1411" s="353">
        <v>0</v>
      </c>
      <c r="H1411" t="s">
        <v>1068</v>
      </c>
      <c r="I1411" s="403" t="s">
        <v>131</v>
      </c>
    </row>
    <row r="1412" spans="1:14" s="347" customFormat="1" x14ac:dyDescent="0.25">
      <c r="A1412" s="369">
        <f>+A1411</f>
        <v>44263</v>
      </c>
      <c r="B1412" s="347">
        <f>+MONTH(A1412)</f>
        <v>3</v>
      </c>
      <c r="C1412" s="347">
        <v>116</v>
      </c>
      <c r="D1412" s="340" t="str">
        <f>VLOOKUP(C1412,Plan!A:B,2,0)</f>
        <v>Disponible CALI Security</v>
      </c>
      <c r="E1412" s="341">
        <f>+F1412-G1412</f>
        <v>-527</v>
      </c>
      <c r="F1412" s="353">
        <v>0</v>
      </c>
      <c r="G1412" s="353">
        <f>+F1411</f>
        <v>527</v>
      </c>
      <c r="H1412" t="s">
        <v>1068</v>
      </c>
      <c r="I1412" s="403" t="s">
        <v>131</v>
      </c>
      <c r="J1412" s="355" t="s">
        <v>588</v>
      </c>
      <c r="K1412" s="208" t="str">
        <f>IF(J1412&lt;&gt;"",VLOOKUP(J1412,'Libro De Compras 2021'!D:E,2,0),"")</f>
        <v>PROYECTOS Y CONSTRUCCIONES TASCO LIMITADA</v>
      </c>
      <c r="L1412" s="355">
        <v>2884</v>
      </c>
      <c r="N1412" s="370"/>
    </row>
    <row r="1413" spans="1:14" s="347" customFormat="1" x14ac:dyDescent="0.25">
      <c r="A1413" s="369"/>
      <c r="D1413" s="340"/>
      <c r="E1413" s="341"/>
      <c r="F1413" s="353"/>
      <c r="G1413" s="353"/>
      <c r="H1413"/>
      <c r="I1413" s="403"/>
      <c r="J1413" s="355" t="s">
        <v>588</v>
      </c>
      <c r="K1413" s="208" t="str">
        <f>IF(J1413&lt;&gt;"",VLOOKUP(J1413,'Libro De Compras 2021'!D:E,2,0),"")</f>
        <v>PROYECTOS Y CONSTRUCCIONES TASCO LIMITADA</v>
      </c>
      <c r="L1413" s="355">
        <f>+L1412</f>
        <v>2884</v>
      </c>
      <c r="N1413" s="370"/>
    </row>
    <row r="1414" spans="1:14" s="347" customFormat="1" x14ac:dyDescent="0.25">
      <c r="A1414" s="369">
        <v>44263</v>
      </c>
      <c r="B1414" s="347">
        <f>+MONTH(A1414)</f>
        <v>3</v>
      </c>
      <c r="C1414" s="347">
        <v>4170</v>
      </c>
      <c r="D1414" s="340" t="str">
        <f>VLOOKUP(C1414,Plan!A:B,2,0)</f>
        <v>Cali otros</v>
      </c>
      <c r="E1414" s="341">
        <f>+F1414-G1414</f>
        <v>100</v>
      </c>
      <c r="F1414" s="353">
        <v>100</v>
      </c>
      <c r="G1414" s="353">
        <v>0</v>
      </c>
      <c r="H1414" t="s">
        <v>1068</v>
      </c>
      <c r="I1414" s="403" t="s">
        <v>131</v>
      </c>
      <c r="J1414" s="355" t="s">
        <v>588</v>
      </c>
      <c r="K1414" s="208" t="str">
        <f>IF(J1414&lt;&gt;"",VLOOKUP(J1414,'Libro De Compras 2021'!D:E,2,0),"")</f>
        <v>PROYECTOS Y CONSTRUCCIONES TASCO LIMITADA</v>
      </c>
      <c r="L1414" s="355">
        <f>+L1413</f>
        <v>2884</v>
      </c>
      <c r="N1414" s="370"/>
    </row>
    <row r="1415" spans="1:14" s="347" customFormat="1" x14ac:dyDescent="0.25">
      <c r="A1415" s="369">
        <f>+A1414</f>
        <v>44263</v>
      </c>
      <c r="B1415" s="347">
        <f>+MONTH(A1415)</f>
        <v>3</v>
      </c>
      <c r="C1415" s="347">
        <v>116</v>
      </c>
      <c r="D1415" s="340" t="str">
        <f>VLOOKUP(C1415,Plan!A:B,2,0)</f>
        <v>Disponible CALI Security</v>
      </c>
      <c r="E1415" s="341">
        <f>+F1415-G1415</f>
        <v>-100</v>
      </c>
      <c r="F1415" s="353">
        <v>0</v>
      </c>
      <c r="G1415" s="353">
        <f>+F1414</f>
        <v>100</v>
      </c>
      <c r="H1415" t="s">
        <v>1068</v>
      </c>
      <c r="I1415" s="403" t="s">
        <v>131</v>
      </c>
      <c r="J1415" s="355" t="s">
        <v>588</v>
      </c>
      <c r="K1415" s="208" t="str">
        <f>IF(J1415&lt;&gt;"",VLOOKUP(J1415,'Libro De Compras 2021'!D:E,2,0),"")</f>
        <v>PROYECTOS Y CONSTRUCCIONES TASCO LIMITADA</v>
      </c>
      <c r="L1415" s="355">
        <f>+L1414</f>
        <v>2884</v>
      </c>
      <c r="N1415" s="370"/>
    </row>
    <row r="1416" spans="1:14" s="347" customFormat="1" x14ac:dyDescent="0.25">
      <c r="A1416" s="369"/>
      <c r="E1416" s="396"/>
      <c r="F1416" s="396"/>
      <c r="G1416" s="396"/>
      <c r="J1416" s="355"/>
      <c r="K1416" s="208"/>
      <c r="L1416" s="355"/>
      <c r="N1416" s="370"/>
    </row>
    <row r="1417" spans="1:14" s="347" customFormat="1" x14ac:dyDescent="0.25">
      <c r="A1417" s="369">
        <v>44267</v>
      </c>
      <c r="B1417" s="347">
        <f>+MONTH(A1417)</f>
        <v>3</v>
      </c>
      <c r="C1417" s="347">
        <v>116</v>
      </c>
      <c r="D1417" s="340" t="str">
        <f>VLOOKUP(C1417,Plan!A:B,2,0)</f>
        <v>Disponible CALI Security</v>
      </c>
      <c r="E1417" s="341">
        <f>+F1417-G1417</f>
        <v>80000000</v>
      </c>
      <c r="F1417" s="353">
        <v>80000000</v>
      </c>
      <c r="G1417" s="353">
        <v>0</v>
      </c>
      <c r="H1417" t="s">
        <v>1070</v>
      </c>
      <c r="I1417" s="355" t="s">
        <v>131</v>
      </c>
      <c r="J1417" t="s">
        <v>588</v>
      </c>
      <c r="K1417" t="s">
        <v>589</v>
      </c>
      <c r="L1417">
        <v>284</v>
      </c>
      <c r="N1417" s="370"/>
    </row>
    <row r="1418" spans="1:14" s="347" customFormat="1" x14ac:dyDescent="0.25">
      <c r="A1418" s="369">
        <f>+A1417</f>
        <v>44267</v>
      </c>
      <c r="B1418" s="347">
        <f>+MONTH(A1418)</f>
        <v>3</v>
      </c>
      <c r="C1418" s="347">
        <v>119</v>
      </c>
      <c r="D1418" s="340" t="str">
        <f>VLOOKUP(C1418,Plan!A:B,2,0)</f>
        <v>FM Cali Banco Security</v>
      </c>
      <c r="E1418" s="341">
        <f>+F1418-G1418</f>
        <v>-80000000</v>
      </c>
      <c r="F1418" s="353">
        <v>0</v>
      </c>
      <c r="G1418" s="353">
        <f>+F1417</f>
        <v>80000000</v>
      </c>
      <c r="H1418" t="s">
        <v>1070</v>
      </c>
      <c r="I1418" s="355" t="s">
        <v>131</v>
      </c>
      <c r="J1418" s="347" t="str">
        <f>+J1417</f>
        <v>80965500-8</v>
      </c>
      <c r="K1418" s="370" t="str">
        <f>+K1417</f>
        <v>PROYECTOS Y CONSTRUCCIONES TASCO LIMITADA</v>
      </c>
      <c r="L1418" s="347">
        <f>+L1417</f>
        <v>284</v>
      </c>
      <c r="N1418" s="370"/>
    </row>
    <row r="1419" spans="1:14" s="347" customFormat="1" x14ac:dyDescent="0.25">
      <c r="A1419" s="369"/>
      <c r="E1419" s="396"/>
      <c r="F1419" s="396"/>
      <c r="G1419" s="396"/>
      <c r="K1419" s="370"/>
      <c r="N1419" s="370"/>
    </row>
    <row r="1420" spans="1:14" s="347" customFormat="1" x14ac:dyDescent="0.25">
      <c r="A1420" s="402">
        <v>44270</v>
      </c>
      <c r="B1420" s="403">
        <f>+MONTH(A1420)</f>
        <v>3</v>
      </c>
      <c r="C1420" s="338">
        <v>137</v>
      </c>
      <c r="D1420" s="340" t="str">
        <f>VLOOKUP(C1420,Plan!A:B,2,0)</f>
        <v>Anticipo Construcción</v>
      </c>
      <c r="E1420" s="341">
        <f>+F1420-G1420</f>
        <v>-9621480</v>
      </c>
      <c r="F1420" s="412">
        <v>0</v>
      </c>
      <c r="G1420" s="412">
        <v>9621480</v>
      </c>
      <c r="H1420" s="413" t="s">
        <v>1248</v>
      </c>
      <c r="I1420" s="355" t="s">
        <v>131</v>
      </c>
      <c r="J1420" s="355" t="s">
        <v>605</v>
      </c>
      <c r="K1420" s="364" t="str">
        <f>IF(J1420&lt;&gt;"",VLOOKUP(J1420,'Libro De Compras 2021'!D:E,2,0),"")</f>
        <v>COZ Y COMPAÃ‘IA S.A.</v>
      </c>
      <c r="L1420">
        <v>5921</v>
      </c>
      <c r="N1420" s="370"/>
    </row>
    <row r="1421" spans="1:14" s="347" customFormat="1" x14ac:dyDescent="0.25">
      <c r="A1421" s="402">
        <f t="shared" ref="A1421:B1423" si="18">+A1420</f>
        <v>44270</v>
      </c>
      <c r="B1421" s="403">
        <f t="shared" si="18"/>
        <v>3</v>
      </c>
      <c r="C1421" s="338">
        <v>136</v>
      </c>
      <c r="D1421" s="340" t="str">
        <f>VLOOKUP(C1421,Plan!A:B,2,0)</f>
        <v>Obras en Construcción</v>
      </c>
      <c r="E1421" s="341">
        <f>+F1421-G1421</f>
        <v>111750674</v>
      </c>
      <c r="F1421" s="412">
        <v>111750674</v>
      </c>
      <c r="G1421" s="412">
        <v>0</v>
      </c>
      <c r="H1421" s="413" t="s">
        <v>1247</v>
      </c>
      <c r="I1421" s="355" t="s">
        <v>131</v>
      </c>
      <c r="K1421" s="370"/>
      <c r="N1421" s="370"/>
    </row>
    <row r="1422" spans="1:14" s="347" customFormat="1" x14ac:dyDescent="0.25">
      <c r="A1422" s="402">
        <f t="shared" si="18"/>
        <v>44270</v>
      </c>
      <c r="B1422" s="403">
        <f t="shared" si="18"/>
        <v>3</v>
      </c>
      <c r="C1422" s="338">
        <v>210</v>
      </c>
      <c r="D1422" s="340" t="str">
        <f>VLOOKUP(C1422,Plan!A:B,2,0)</f>
        <v>Retenciones Construcción</v>
      </c>
      <c r="E1422" s="341">
        <f>+F1422-G1422</f>
        <v>-4810745</v>
      </c>
      <c r="F1422" s="412">
        <v>0</v>
      </c>
      <c r="G1422" s="412">
        <v>4810745</v>
      </c>
      <c r="H1422" s="413" t="s">
        <v>1246</v>
      </c>
      <c r="I1422" s="355" t="s">
        <v>131</v>
      </c>
      <c r="K1422" s="370"/>
      <c r="N1422" s="370"/>
    </row>
    <row r="1423" spans="1:14" s="347" customFormat="1" x14ac:dyDescent="0.25">
      <c r="A1423" s="402">
        <f t="shared" si="18"/>
        <v>44270</v>
      </c>
      <c r="B1423" s="403">
        <f t="shared" si="18"/>
        <v>3</v>
      </c>
      <c r="C1423" s="338">
        <v>228</v>
      </c>
      <c r="D1423" s="340" t="str">
        <f>VLOOKUP(C1423,Plan!A:B,2,0)</f>
        <v>Proveedores CALI</v>
      </c>
      <c r="E1423" s="341">
        <f>+F1423-G1423</f>
        <v>-97318449</v>
      </c>
      <c r="F1423" s="412">
        <v>0</v>
      </c>
      <c r="G1423" s="412">
        <v>97318449</v>
      </c>
      <c r="H1423" s="413" t="s">
        <v>589</v>
      </c>
      <c r="I1423" s="355" t="s">
        <v>131</v>
      </c>
      <c r="J1423" s="355" t="s">
        <v>605</v>
      </c>
      <c r="K1423" s="364" t="str">
        <f>IF(J1423&lt;&gt;"",VLOOKUP(J1423,'Libro De Compras 2021'!D:E,2,0),"")</f>
        <v>COZ Y COMPAÃ‘IA S.A.</v>
      </c>
      <c r="L1423">
        <v>5973</v>
      </c>
      <c r="M1423" s="343" t="s">
        <v>614</v>
      </c>
      <c r="N1423" t="str">
        <f>IF(M1423&lt;&gt;"",VLOOKUP(M1423,[1]Plan!F$1:G$65536,2,0),"")</f>
        <v>ITO</v>
      </c>
    </row>
    <row r="1424" spans="1:14" s="347" customFormat="1" x14ac:dyDescent="0.25">
      <c r="A1424" s="402"/>
      <c r="B1424" s="403"/>
      <c r="C1424" s="338"/>
      <c r="D1424" s="340"/>
      <c r="E1424" s="341"/>
      <c r="F1424" s="412"/>
      <c r="G1424" s="412"/>
      <c r="H1424" s="413"/>
      <c r="I1424" s="355"/>
      <c r="J1424" s="355" t="s">
        <v>605</v>
      </c>
      <c r="K1424" s="364" t="str">
        <f>IF(J1424&lt;&gt;"",VLOOKUP(J1424,'Libro De Compras 2021'!D:E,2,0),"")</f>
        <v>COZ Y COMPAÃ‘IA S.A.</v>
      </c>
      <c r="L1424">
        <v>5973</v>
      </c>
      <c r="M1424" s="338"/>
      <c r="N1424" t="str">
        <f>IF(M1424&lt;&gt;"",VLOOKUP(M1424,Plan!F:G,2,0),"")</f>
        <v/>
      </c>
    </row>
    <row r="1425" spans="1:14" s="347" customFormat="1" x14ac:dyDescent="0.25">
      <c r="A1425" s="339">
        <v>44270</v>
      </c>
      <c r="B1425" s="403">
        <f>+MONTH(A1425)</f>
        <v>3</v>
      </c>
      <c r="C1425" s="338">
        <v>228</v>
      </c>
      <c r="D1425" s="340" t="str">
        <f>VLOOKUP(C1425,Plan!A:B,2,0)</f>
        <v>Proveedores CALI</v>
      </c>
      <c r="E1425" s="341">
        <f>+F1425-G1425</f>
        <v>97318449</v>
      </c>
      <c r="F1425" s="289">
        <v>97318449</v>
      </c>
      <c r="G1425" s="346">
        <v>0</v>
      </c>
      <c r="H1425" s="404" t="s">
        <v>1075</v>
      </c>
      <c r="I1425" s="403" t="s">
        <v>131</v>
      </c>
      <c r="K1425" s="370"/>
      <c r="N1425" s="370"/>
    </row>
    <row r="1426" spans="1:14" s="347" customFormat="1" x14ac:dyDescent="0.25">
      <c r="A1426" s="152">
        <f>+A1425</f>
        <v>44270</v>
      </c>
      <c r="B1426" s="403">
        <f>+B1425</f>
        <v>3</v>
      </c>
      <c r="C1426" s="338">
        <v>116</v>
      </c>
      <c r="D1426" s="340" t="str">
        <f>VLOOKUP(C1426,Plan!A:B,2,0)</f>
        <v>Disponible CALI Security</v>
      </c>
      <c r="E1426" s="341">
        <f>+F1426-G1426</f>
        <v>-97318449</v>
      </c>
      <c r="F1426" s="405">
        <v>0</v>
      </c>
      <c r="G1426" s="346">
        <f>+F1425</f>
        <v>97318449</v>
      </c>
      <c r="H1426" s="404" t="str">
        <f>+H1425</f>
        <v>F.2854 EE.PP. N°7 TASCO</v>
      </c>
      <c r="I1426" s="403" t="s">
        <v>131</v>
      </c>
      <c r="J1426" s="355" t="s">
        <v>605</v>
      </c>
      <c r="K1426" s="364" t="str">
        <f>IF(J1426&lt;&gt;"",VLOOKUP(J1426,'Libro De Compras 2021'!D:E,2,0),"")</f>
        <v>COZ Y COMPAÃ‘IA S.A.</v>
      </c>
      <c r="L1426">
        <v>5973</v>
      </c>
      <c r="M1426" s="343"/>
      <c r="N1426"/>
    </row>
    <row r="1427" spans="1:14" s="347" customFormat="1" x14ac:dyDescent="0.25">
      <c r="A1427" s="369"/>
      <c r="D1427" s="340"/>
      <c r="E1427" s="341"/>
      <c r="F1427" s="353"/>
      <c r="G1427" s="353"/>
      <c r="H1427"/>
      <c r="I1427" s="403"/>
      <c r="J1427" s="355"/>
      <c r="K1427" s="364"/>
      <c r="L1427"/>
      <c r="M1427" s="338"/>
      <c r="N1427" t="str">
        <f>IF(M1427&lt;&gt;"",VLOOKUP(M1427,Plan!F:G,2,0),"")</f>
        <v/>
      </c>
    </row>
    <row r="1428" spans="1:14" s="347" customFormat="1" x14ac:dyDescent="0.25">
      <c r="A1428" s="369">
        <v>44270</v>
      </c>
      <c r="B1428" s="403">
        <f>+MONTH(A1428)</f>
        <v>3</v>
      </c>
      <c r="C1428" s="347">
        <v>228</v>
      </c>
      <c r="D1428" s="340" t="str">
        <f>VLOOKUP(C1428,Plan!A:B,2,0)</f>
        <v>Proveedores CALI</v>
      </c>
      <c r="E1428" s="341">
        <f>+F1428-G1428</f>
        <v>4222126</v>
      </c>
      <c r="F1428" s="353">
        <v>4222126</v>
      </c>
      <c r="G1428" s="353">
        <v>0</v>
      </c>
      <c r="H1428" t="s">
        <v>1244</v>
      </c>
      <c r="I1428" s="355" t="s">
        <v>131</v>
      </c>
      <c r="K1428" s="370"/>
      <c r="N1428" s="370"/>
    </row>
    <row r="1429" spans="1:14" s="347" customFormat="1" x14ac:dyDescent="0.25">
      <c r="A1429" s="369">
        <f>+A1428</f>
        <v>44270</v>
      </c>
      <c r="B1429" s="403">
        <f>+B1428</f>
        <v>3</v>
      </c>
      <c r="C1429" s="347">
        <v>116</v>
      </c>
      <c r="D1429" s="340" t="str">
        <f>VLOOKUP(C1429,Plan!A:B,2,0)</f>
        <v>Disponible CALI Security</v>
      </c>
      <c r="E1429" s="341">
        <f>+F1429-G1429</f>
        <v>-4222126</v>
      </c>
      <c r="F1429" s="353">
        <v>0</v>
      </c>
      <c r="G1429" s="353">
        <f>+F1428</f>
        <v>4222126</v>
      </c>
      <c r="H1429" t="s">
        <v>1074</v>
      </c>
      <c r="I1429" s="355" t="s">
        <v>131</v>
      </c>
      <c r="K1429" s="370"/>
      <c r="N1429" s="370"/>
    </row>
    <row r="1430" spans="1:14" s="347" customFormat="1" x14ac:dyDescent="0.25">
      <c r="A1430" s="369"/>
      <c r="E1430" s="396"/>
      <c r="F1430" s="396"/>
      <c r="G1430" s="396"/>
      <c r="K1430" s="370"/>
      <c r="N1430" s="370"/>
    </row>
    <row r="1431" spans="1:14" s="347" customFormat="1" x14ac:dyDescent="0.25">
      <c r="A1431" s="369">
        <v>44270</v>
      </c>
      <c r="B1431" s="403">
        <f>+MONTH(A1431)</f>
        <v>3</v>
      </c>
      <c r="C1431" s="347">
        <v>138</v>
      </c>
      <c r="D1431" s="340" t="str">
        <f>VLOOKUP(C1431,Plan!A:B,2,0)</f>
        <v>Proyectos Especialidades</v>
      </c>
      <c r="E1431" s="341">
        <f>+F1431-G1431</f>
        <v>4243498</v>
      </c>
      <c r="F1431" s="353">
        <v>4243498</v>
      </c>
      <c r="G1431" s="353">
        <v>0</v>
      </c>
      <c r="H1431" t="s">
        <v>1245</v>
      </c>
      <c r="I1431" s="355" t="s">
        <v>131</v>
      </c>
      <c r="K1431" s="370"/>
      <c r="N1431" s="370"/>
    </row>
    <row r="1432" spans="1:14" s="347" customFormat="1" x14ac:dyDescent="0.25">
      <c r="A1432" s="369">
        <f>+A1431</f>
        <v>44270</v>
      </c>
      <c r="B1432" s="403">
        <f>+B1431</f>
        <v>3</v>
      </c>
      <c r="C1432" s="347">
        <v>228</v>
      </c>
      <c r="D1432" s="340" t="str">
        <f>VLOOKUP(C1432,Plan!A:B,2,0)</f>
        <v>Proveedores CALI</v>
      </c>
      <c r="E1432" s="341">
        <f>+F1432-G1432</f>
        <v>-4243498</v>
      </c>
      <c r="F1432" s="353">
        <v>0</v>
      </c>
      <c r="G1432" s="353">
        <f>+F1431</f>
        <v>4243498</v>
      </c>
      <c r="H1432" t="str">
        <f>+H1431</f>
        <v>Fact. 5973 ITO Feb/21</v>
      </c>
      <c r="I1432" s="355" t="s">
        <v>131</v>
      </c>
      <c r="K1432" s="370"/>
      <c r="N1432" s="370"/>
    </row>
    <row r="1433" spans="1:14" s="347" customFormat="1" x14ac:dyDescent="0.25">
      <c r="A1433" s="369"/>
      <c r="E1433" s="396"/>
      <c r="F1433" s="396"/>
      <c r="G1433" s="396"/>
      <c r="K1433" s="370"/>
      <c r="N1433" s="370"/>
    </row>
    <row r="1434" spans="1:14" s="347" customFormat="1" x14ac:dyDescent="0.25">
      <c r="A1434" s="369">
        <v>44270</v>
      </c>
      <c r="B1434" s="403">
        <f>+MONTH(A1434)</f>
        <v>3</v>
      </c>
      <c r="C1434" s="347">
        <v>228</v>
      </c>
      <c r="D1434" s="340" t="str">
        <f>VLOOKUP(C1434,Plan!A:B,2,0)</f>
        <v>Proveedores CALI</v>
      </c>
      <c r="E1434" s="341">
        <f>+F1434-G1434</f>
        <v>4243498</v>
      </c>
      <c r="F1434" s="353">
        <v>4243498</v>
      </c>
      <c r="G1434" s="353">
        <v>0</v>
      </c>
      <c r="H1434" t="s">
        <v>1245</v>
      </c>
      <c r="I1434" s="355" t="s">
        <v>131</v>
      </c>
      <c r="K1434" s="370"/>
      <c r="N1434" s="370"/>
    </row>
    <row r="1435" spans="1:14" s="347" customFormat="1" x14ac:dyDescent="0.25">
      <c r="A1435" s="369">
        <f>+A1434</f>
        <v>44270</v>
      </c>
      <c r="B1435" s="403">
        <f>+B1434</f>
        <v>3</v>
      </c>
      <c r="C1435" s="347">
        <v>116</v>
      </c>
      <c r="D1435" s="340" t="str">
        <f>VLOOKUP(C1435,Plan!A:B,2,0)</f>
        <v>Disponible CALI Security</v>
      </c>
      <c r="E1435" s="341">
        <f>+F1435-G1435</f>
        <v>-4243498</v>
      </c>
      <c r="F1435" s="353">
        <v>0</v>
      </c>
      <c r="G1435" s="353">
        <f>+F1434</f>
        <v>4243498</v>
      </c>
      <c r="H1435" t="str">
        <f>+H1434</f>
        <v>Fact. 5973 ITO Feb/21</v>
      </c>
      <c r="I1435" s="355" t="s">
        <v>131</v>
      </c>
      <c r="K1435" s="370"/>
      <c r="N1435" s="370"/>
    </row>
    <row r="1436" spans="1:14" s="347" customFormat="1" x14ac:dyDescent="0.25">
      <c r="A1436" s="369"/>
      <c r="E1436" s="396"/>
      <c r="F1436" s="396"/>
      <c r="G1436" s="396"/>
      <c r="K1436" s="370"/>
      <c r="N1436" s="370"/>
    </row>
    <row r="1437" spans="1:14" s="347" customFormat="1" x14ac:dyDescent="0.25">
      <c r="A1437" s="339">
        <v>44286</v>
      </c>
      <c r="B1437" s="340">
        <v>3</v>
      </c>
      <c r="C1437" s="352">
        <v>3620</v>
      </c>
      <c r="D1437" s="340" t="str">
        <f>VLOOKUP(C1437,Plan!A:B,2,0)</f>
        <v>Cali Recaudadores</v>
      </c>
      <c r="E1437" s="341">
        <f t="shared" ref="E1437:E1463" si="19">+F1437-G1437</f>
        <v>-582000</v>
      </c>
      <c r="F1437" s="353">
        <v>0</v>
      </c>
      <c r="G1437" s="353">
        <v>582000</v>
      </c>
      <c r="H1437" s="354" t="s">
        <v>1273</v>
      </c>
      <c r="I1437" s="355" t="s">
        <v>131</v>
      </c>
      <c r="K1437" s="370"/>
      <c r="N1437" s="370"/>
    </row>
    <row r="1438" spans="1:14" s="347" customFormat="1" x14ac:dyDescent="0.25">
      <c r="A1438" s="350">
        <f>+A1437</f>
        <v>44286</v>
      </c>
      <c r="B1438" s="351">
        <f>+B1437</f>
        <v>3</v>
      </c>
      <c r="C1438" s="352">
        <v>3621</v>
      </c>
      <c r="D1438" s="340" t="str">
        <f>VLOOKUP(C1438,Plan!A:B,2,0)</f>
        <v>Cali Recaudadores (249)</v>
      </c>
      <c r="E1438" s="341">
        <f t="shared" si="19"/>
        <v>0</v>
      </c>
      <c r="F1438" s="353">
        <v>0</v>
      </c>
      <c r="G1438" s="353">
        <v>0</v>
      </c>
      <c r="H1438" s="354" t="str">
        <f t="shared" ref="H1438:H1445" si="20">+H1437</f>
        <v>Centralización Recaudación Marzo</v>
      </c>
      <c r="I1438" s="355" t="s">
        <v>131</v>
      </c>
      <c r="K1438" s="370"/>
      <c r="N1438" s="370"/>
    </row>
    <row r="1439" spans="1:14" s="347" customFormat="1" x14ac:dyDescent="0.25">
      <c r="A1439" s="350">
        <f t="shared" ref="A1439:B1443" si="21">+A1437</f>
        <v>44286</v>
      </c>
      <c r="B1439" s="351">
        <f t="shared" si="21"/>
        <v>3</v>
      </c>
      <c r="C1439" s="352">
        <v>3630</v>
      </c>
      <c r="D1439" s="340" t="str">
        <f>VLOOKUP(C1439,Plan!A:B,2,0)</f>
        <v>Cali Oficina Parroquial</v>
      </c>
      <c r="E1439" s="341">
        <f t="shared" si="19"/>
        <v>-752000</v>
      </c>
      <c r="F1439" s="353">
        <v>0</v>
      </c>
      <c r="G1439" s="353">
        <v>752000</v>
      </c>
      <c r="H1439" s="354" t="str">
        <f t="shared" si="20"/>
        <v>Centralización Recaudación Marzo</v>
      </c>
      <c r="I1439" s="355" t="s">
        <v>131</v>
      </c>
      <c r="K1439" s="370"/>
      <c r="N1439" s="370"/>
    </row>
    <row r="1440" spans="1:14" s="347" customFormat="1" x14ac:dyDescent="0.25">
      <c r="A1440" s="350">
        <f t="shared" si="21"/>
        <v>44286</v>
      </c>
      <c r="B1440" s="351">
        <f t="shared" si="21"/>
        <v>3</v>
      </c>
      <c r="C1440" s="352">
        <v>3631</v>
      </c>
      <c r="D1440" s="340" t="str">
        <f>VLOOKUP(C1440,Plan!A:B,2,0)</f>
        <v>Cali Oficina Parroquial (249)</v>
      </c>
      <c r="E1440" s="341">
        <f t="shared" si="19"/>
        <v>-3656000</v>
      </c>
      <c r="F1440" s="353">
        <v>0</v>
      </c>
      <c r="G1440" s="353">
        <v>3656000</v>
      </c>
      <c r="H1440" s="354" t="str">
        <f t="shared" si="20"/>
        <v>Centralización Recaudación Marzo</v>
      </c>
      <c r="I1440" s="355" t="s">
        <v>131</v>
      </c>
      <c r="K1440" s="370"/>
      <c r="N1440" s="370"/>
    </row>
    <row r="1441" spans="1:14" s="347" customFormat="1" x14ac:dyDescent="0.25">
      <c r="A1441" s="350">
        <f t="shared" si="21"/>
        <v>44286</v>
      </c>
      <c r="B1441" s="351">
        <f t="shared" si="21"/>
        <v>3</v>
      </c>
      <c r="C1441" s="352">
        <v>3640</v>
      </c>
      <c r="D1441" s="340" t="str">
        <f>VLOOKUP(C1441,Plan!A:B,2,0)</f>
        <v>Cali Tarjetas de Creditos</v>
      </c>
      <c r="E1441" s="341">
        <f t="shared" si="19"/>
        <v>-4374600</v>
      </c>
      <c r="F1441" s="353">
        <v>0</v>
      </c>
      <c r="G1441" s="353">
        <v>4374600</v>
      </c>
      <c r="H1441" s="354" t="str">
        <f t="shared" si="20"/>
        <v>Centralización Recaudación Marzo</v>
      </c>
      <c r="I1441" s="355" t="s">
        <v>131</v>
      </c>
      <c r="K1441" s="370"/>
      <c r="N1441" s="370"/>
    </row>
    <row r="1442" spans="1:14" s="347" customFormat="1" x14ac:dyDescent="0.25">
      <c r="A1442" s="350">
        <f t="shared" si="21"/>
        <v>44286</v>
      </c>
      <c r="B1442" s="351">
        <f t="shared" si="21"/>
        <v>3</v>
      </c>
      <c r="C1442" s="352">
        <v>3641</v>
      </c>
      <c r="D1442" s="340" t="str">
        <f>VLOOKUP(C1442,Plan!A:B,2,0)</f>
        <v>Cali Tarjetas de Creditos (249)</v>
      </c>
      <c r="E1442" s="341">
        <f t="shared" si="19"/>
        <v>-5408258</v>
      </c>
      <c r="F1442" s="353">
        <v>0</v>
      </c>
      <c r="G1442" s="353">
        <v>5408258</v>
      </c>
      <c r="H1442" s="354" t="str">
        <f t="shared" si="20"/>
        <v>Centralización Recaudación Marzo</v>
      </c>
      <c r="I1442" s="355" t="s">
        <v>131</v>
      </c>
      <c r="K1442" s="370"/>
      <c r="N1442" s="370"/>
    </row>
    <row r="1443" spans="1:14" s="347" customFormat="1" x14ac:dyDescent="0.25">
      <c r="A1443" s="350">
        <f t="shared" si="21"/>
        <v>44286</v>
      </c>
      <c r="B1443" s="351">
        <f t="shared" si="21"/>
        <v>3</v>
      </c>
      <c r="C1443" s="352">
        <v>1216</v>
      </c>
      <c r="D1443" s="340" t="str">
        <f>VLOOKUP(C1443,Plan!A:B,2,0)</f>
        <v>Otros Valores Recaudadoras</v>
      </c>
      <c r="E1443" s="341">
        <f t="shared" si="19"/>
        <v>582000</v>
      </c>
      <c r="F1443" s="353">
        <f>+G1437+G1438</f>
        <v>582000</v>
      </c>
      <c r="G1443" s="353">
        <v>0</v>
      </c>
      <c r="H1443" s="354" t="str">
        <f t="shared" si="20"/>
        <v>Centralización Recaudación Marzo</v>
      </c>
      <c r="I1443" s="355" t="s">
        <v>131</v>
      </c>
      <c r="K1443" s="370"/>
      <c r="N1443" s="370"/>
    </row>
    <row r="1444" spans="1:14" s="347" customFormat="1" x14ac:dyDescent="0.25">
      <c r="A1444" s="350">
        <f>+A1443</f>
        <v>44286</v>
      </c>
      <c r="B1444" s="351">
        <f>+B1443</f>
        <v>3</v>
      </c>
      <c r="C1444" s="352">
        <v>1217</v>
      </c>
      <c r="D1444" s="340" t="str">
        <f>VLOOKUP(C1444,Plan!A:B,2,0)</f>
        <v>Otros Valores -Oficina y Transferencias (248)</v>
      </c>
      <c r="E1444" s="341">
        <f t="shared" si="19"/>
        <v>752000</v>
      </c>
      <c r="F1444" s="353">
        <f>+G1439</f>
        <v>752000</v>
      </c>
      <c r="G1444" s="353">
        <v>0</v>
      </c>
      <c r="H1444" s="354" t="str">
        <f t="shared" si="20"/>
        <v>Centralización Recaudación Marzo</v>
      </c>
      <c r="I1444" s="355" t="s">
        <v>131</v>
      </c>
      <c r="K1444" s="370"/>
      <c r="N1444" s="370"/>
    </row>
    <row r="1445" spans="1:14" s="347" customFormat="1" x14ac:dyDescent="0.25">
      <c r="A1445" s="350">
        <f>+A1444</f>
        <v>44286</v>
      </c>
      <c r="B1445" s="351">
        <f>+B1444</f>
        <v>3</v>
      </c>
      <c r="C1445" s="352">
        <v>1222</v>
      </c>
      <c r="D1445" s="340" t="str">
        <f>VLOOKUP(C1445,Plan!A:B,2,0)</f>
        <v>Otros Valores -Oficina y Transferencias (249)</v>
      </c>
      <c r="E1445" s="341">
        <f t="shared" si="19"/>
        <v>3656000</v>
      </c>
      <c r="F1445" s="353">
        <f>+G1440</f>
        <v>3656000</v>
      </c>
      <c r="G1445" s="353">
        <v>0</v>
      </c>
      <c r="H1445" s="354" t="str">
        <f t="shared" si="20"/>
        <v>Centralización Recaudación Marzo</v>
      </c>
      <c r="I1445" s="355" t="s">
        <v>131</v>
      </c>
      <c r="K1445" s="370"/>
      <c r="N1445" s="370"/>
    </row>
    <row r="1446" spans="1:14" s="347" customFormat="1" x14ac:dyDescent="0.25">
      <c r="A1446" s="350">
        <f>+A1444</f>
        <v>44286</v>
      </c>
      <c r="B1446" s="351">
        <f>+B1444</f>
        <v>3</v>
      </c>
      <c r="C1446" s="352">
        <v>1218</v>
      </c>
      <c r="D1446" s="340" t="str">
        <f>VLOOKUP(C1446,Plan!A:B,2,0)</f>
        <v>Otros Valores Tarjeta de Credito</v>
      </c>
      <c r="E1446" s="341">
        <f t="shared" si="19"/>
        <v>9782858</v>
      </c>
      <c r="F1446" s="353">
        <f>+G1441+G1442</f>
        <v>9782858</v>
      </c>
      <c r="G1446" s="353">
        <v>0</v>
      </c>
      <c r="H1446" s="354" t="str">
        <f>+H1444</f>
        <v>Centralización Recaudación Marzo</v>
      </c>
      <c r="I1446" s="355" t="s">
        <v>131</v>
      </c>
      <c r="K1446" s="370"/>
      <c r="N1446" s="370"/>
    </row>
    <row r="1447" spans="1:14" s="347" customFormat="1" x14ac:dyDescent="0.25">
      <c r="A1447" s="350">
        <f t="shared" ref="A1447:B1454" si="22">+A1446</f>
        <v>44286</v>
      </c>
      <c r="B1447" s="351">
        <f t="shared" si="22"/>
        <v>3</v>
      </c>
      <c r="C1447" s="352">
        <v>202</v>
      </c>
      <c r="D1447" s="340" t="str">
        <f>VLOOKUP(C1447,Plan!A:B,2,0)</f>
        <v>Arzobispado por pagar</v>
      </c>
      <c r="E1447" s="341">
        <f t="shared" si="19"/>
        <v>-2983999</v>
      </c>
      <c r="F1447" s="353">
        <v>0</v>
      </c>
      <c r="G1447" s="353">
        <f>+ROUND((((G1437+G1439+G1441)*0.99)*0.88)*0.6,0)</f>
        <v>2983999</v>
      </c>
      <c r="H1447" s="354" t="str">
        <f t="shared" ref="H1447:H1463" si="23">+H1446</f>
        <v>Centralización Recaudación Marzo</v>
      </c>
      <c r="I1447" s="355" t="s">
        <v>131</v>
      </c>
      <c r="K1447" s="370"/>
      <c r="N1447" s="370"/>
    </row>
    <row r="1448" spans="1:14" s="347" customFormat="1" x14ac:dyDescent="0.25">
      <c r="A1448" s="350">
        <f t="shared" si="22"/>
        <v>44286</v>
      </c>
      <c r="B1448" s="351">
        <f t="shared" si="22"/>
        <v>3</v>
      </c>
      <c r="C1448" s="352">
        <v>4120</v>
      </c>
      <c r="D1448" s="340" t="str">
        <f>VLOOKUP(C1448,Plan!A:B,2,0)</f>
        <v>Aporte Arzobispado</v>
      </c>
      <c r="E1448" s="341">
        <f t="shared" si="19"/>
        <v>2983999</v>
      </c>
      <c r="F1448" s="353">
        <f>+G1447</f>
        <v>2983999</v>
      </c>
      <c r="G1448" s="353">
        <v>0</v>
      </c>
      <c r="H1448" s="354" t="str">
        <f t="shared" si="23"/>
        <v>Centralización Recaudación Marzo</v>
      </c>
      <c r="I1448" s="355" t="s">
        <v>131</v>
      </c>
      <c r="K1448" s="370"/>
      <c r="N1448" s="370"/>
    </row>
    <row r="1449" spans="1:14" s="347" customFormat="1" x14ac:dyDescent="0.25">
      <c r="A1449" s="350">
        <f t="shared" si="22"/>
        <v>44286</v>
      </c>
      <c r="B1449" s="351">
        <f t="shared" si="22"/>
        <v>3</v>
      </c>
      <c r="C1449" s="352">
        <v>203</v>
      </c>
      <c r="D1449" s="340" t="str">
        <f>VLOOKUP(C1449,Plan!A:B,2,0)</f>
        <v>Recaudadoras por pagar</v>
      </c>
      <c r="E1449" s="341">
        <f t="shared" si="19"/>
        <v>-69840</v>
      </c>
      <c r="F1449" s="353">
        <v>0</v>
      </c>
      <c r="G1449" s="356">
        <f>+F1443*0.12</f>
        <v>69840</v>
      </c>
      <c r="H1449" s="354" t="str">
        <f t="shared" si="23"/>
        <v>Centralización Recaudación Marzo</v>
      </c>
      <c r="I1449" s="355" t="s">
        <v>131</v>
      </c>
      <c r="K1449" s="370"/>
      <c r="N1449" s="370"/>
    </row>
    <row r="1450" spans="1:14" s="347" customFormat="1" x14ac:dyDescent="0.25">
      <c r="A1450" s="350">
        <f t="shared" si="22"/>
        <v>44286</v>
      </c>
      <c r="B1450" s="351">
        <f t="shared" si="22"/>
        <v>3</v>
      </c>
      <c r="C1450" s="352">
        <v>201</v>
      </c>
      <c r="D1450" s="340" t="str">
        <f>VLOOKUP(C1450,Plan!A:B,2,0)</f>
        <v>1% por pagar</v>
      </c>
      <c r="E1450" s="341">
        <f t="shared" si="19"/>
        <v>-147729</v>
      </c>
      <c r="F1450" s="353">
        <v>0</v>
      </c>
      <c r="G1450" s="356">
        <f>ROUND(SUM(G1437:G1442)*0.01,0)</f>
        <v>147729</v>
      </c>
      <c r="H1450" s="354" t="str">
        <f t="shared" si="23"/>
        <v>Centralización Recaudación Marzo</v>
      </c>
      <c r="I1450" s="355" t="s">
        <v>131</v>
      </c>
      <c r="K1450" s="370"/>
      <c r="N1450" s="370"/>
    </row>
    <row r="1451" spans="1:14" s="347" customFormat="1" x14ac:dyDescent="0.25">
      <c r="A1451" s="350">
        <f t="shared" si="22"/>
        <v>44286</v>
      </c>
      <c r="B1451" s="351">
        <f t="shared" si="22"/>
        <v>3</v>
      </c>
      <c r="C1451" s="352">
        <v>4140</v>
      </c>
      <c r="D1451" s="340" t="str">
        <f>VLOOKUP(C1451,Plan!A:B,2,0)</f>
        <v>Comisiones Cali Recaudadores</v>
      </c>
      <c r="E1451" s="341">
        <f t="shared" si="19"/>
        <v>69840</v>
      </c>
      <c r="F1451" s="353">
        <f>+G1449</f>
        <v>69840</v>
      </c>
      <c r="G1451" s="353">
        <v>0</v>
      </c>
      <c r="H1451" s="354" t="str">
        <f t="shared" si="23"/>
        <v>Centralización Recaudación Marzo</v>
      </c>
      <c r="I1451" s="355" t="s">
        <v>131</v>
      </c>
      <c r="K1451" s="370"/>
      <c r="N1451" s="370"/>
    </row>
    <row r="1452" spans="1:14" s="347" customFormat="1" x14ac:dyDescent="0.25">
      <c r="A1452" s="350">
        <f t="shared" si="22"/>
        <v>44286</v>
      </c>
      <c r="B1452" s="351">
        <f t="shared" si="22"/>
        <v>3</v>
      </c>
      <c r="C1452" s="352">
        <v>4110</v>
      </c>
      <c r="D1452" s="340" t="str">
        <f>VLOOKUP(C1452,Plan!A:B,2,0)</f>
        <v>Aporte Papal</v>
      </c>
      <c r="E1452" s="341">
        <f t="shared" si="19"/>
        <v>147729</v>
      </c>
      <c r="F1452" s="353">
        <f>+G1450</f>
        <v>147729</v>
      </c>
      <c r="G1452" s="353">
        <v>0</v>
      </c>
      <c r="H1452" s="354" t="str">
        <f t="shared" si="23"/>
        <v>Centralización Recaudación Marzo</v>
      </c>
      <c r="I1452" s="355" t="s">
        <v>131</v>
      </c>
      <c r="K1452" s="370"/>
      <c r="N1452" s="370"/>
    </row>
    <row r="1453" spans="1:14" s="347" customFormat="1" x14ac:dyDescent="0.25">
      <c r="A1453" s="350">
        <f t="shared" si="22"/>
        <v>44286</v>
      </c>
      <c r="B1453" s="351">
        <f t="shared" si="22"/>
        <v>3</v>
      </c>
      <c r="C1453" s="352">
        <v>3610</v>
      </c>
      <c r="D1453" s="340" t="str">
        <f>VLOOKUP(C1453,Plan!A:B,2,0)</f>
        <v>Cali  Arzobispado</v>
      </c>
      <c r="E1453" s="341">
        <f t="shared" si="19"/>
        <v>-4900254</v>
      </c>
      <c r="F1453" s="353">
        <v>0</v>
      </c>
      <c r="G1453" s="353">
        <v>4900254</v>
      </c>
      <c r="H1453" s="354" t="str">
        <f t="shared" si="23"/>
        <v>Centralización Recaudación Marzo</v>
      </c>
      <c r="I1453" s="355" t="s">
        <v>131</v>
      </c>
      <c r="K1453" s="370"/>
      <c r="N1453" s="370"/>
    </row>
    <row r="1454" spans="1:14" s="347" customFormat="1" x14ac:dyDescent="0.25">
      <c r="A1454" s="350">
        <f t="shared" si="22"/>
        <v>44286</v>
      </c>
      <c r="B1454" s="351">
        <f t="shared" si="22"/>
        <v>3</v>
      </c>
      <c r="C1454" s="352">
        <v>3611</v>
      </c>
      <c r="D1454" s="340" t="str">
        <f>VLOOKUP(C1454,Plan!A:B,2,0)</f>
        <v>Cali  Arzobispado (249)</v>
      </c>
      <c r="E1454" s="341">
        <f t="shared" si="19"/>
        <v>-2112500</v>
      </c>
      <c r="F1454" s="353">
        <v>0</v>
      </c>
      <c r="G1454" s="353">
        <v>2112500</v>
      </c>
      <c r="H1454" s="354" t="str">
        <f t="shared" si="23"/>
        <v>Centralización Recaudación Marzo</v>
      </c>
      <c r="I1454" s="355" t="s">
        <v>131</v>
      </c>
      <c r="K1454" s="370"/>
      <c r="N1454" s="370"/>
    </row>
    <row r="1455" spans="1:14" s="347" customFormat="1" x14ac:dyDescent="0.25">
      <c r="A1455" s="350">
        <f t="shared" ref="A1455:B1457" si="24">+A1453</f>
        <v>44286</v>
      </c>
      <c r="B1455" s="351">
        <f t="shared" si="24"/>
        <v>3</v>
      </c>
      <c r="C1455" s="352">
        <v>4160</v>
      </c>
      <c r="D1455" s="340" t="str">
        <f>VLOOKUP(C1455,Plan!A:B,2,0)</f>
        <v>Comisiones Cali Arzobispado</v>
      </c>
      <c r="E1455" s="341">
        <f t="shared" si="19"/>
        <v>318122</v>
      </c>
      <c r="F1455" s="353">
        <v>318122</v>
      </c>
      <c r="G1455" s="353">
        <v>0</v>
      </c>
      <c r="H1455" s="354" t="str">
        <f t="shared" si="23"/>
        <v>Centralización Recaudación Marzo</v>
      </c>
      <c r="I1455" s="355" t="s">
        <v>131</v>
      </c>
      <c r="K1455" s="370"/>
      <c r="N1455" s="370"/>
    </row>
    <row r="1456" spans="1:14" s="347" customFormat="1" x14ac:dyDescent="0.25">
      <c r="A1456" s="350">
        <f t="shared" si="24"/>
        <v>44286</v>
      </c>
      <c r="B1456" s="351">
        <f t="shared" si="24"/>
        <v>3</v>
      </c>
      <c r="C1456" s="352">
        <v>4160</v>
      </c>
      <c r="D1456" s="340" t="str">
        <f>VLOOKUP(C1456,Plan!A:B,2,0)</f>
        <v>Comisiones Cali Arzobispado</v>
      </c>
      <c r="E1456" s="341">
        <f t="shared" si="19"/>
        <v>52813</v>
      </c>
      <c r="F1456" s="353">
        <v>52813</v>
      </c>
      <c r="G1456" s="353">
        <v>0</v>
      </c>
      <c r="H1456" s="354" t="str">
        <f t="shared" si="23"/>
        <v>Centralización Recaudación Marzo</v>
      </c>
      <c r="I1456" s="355" t="s">
        <v>131</v>
      </c>
      <c r="K1456" s="370"/>
      <c r="N1456" s="370"/>
    </row>
    <row r="1457" spans="1:14" s="347" customFormat="1" x14ac:dyDescent="0.25">
      <c r="A1457" s="350">
        <f t="shared" si="24"/>
        <v>44286</v>
      </c>
      <c r="B1457" s="351">
        <f t="shared" si="24"/>
        <v>3</v>
      </c>
      <c r="C1457" s="352">
        <v>4120</v>
      </c>
      <c r="D1457" s="340" t="str">
        <f>VLOOKUP(C1457,Plan!A:B,2,0)</f>
        <v>Aporte Arzobispado</v>
      </c>
      <c r="E1457" s="341">
        <f t="shared" si="19"/>
        <v>2719877</v>
      </c>
      <c r="F1457" s="353">
        <f>ROUND((+G1453-F1455-F1458)*0.6,0)</f>
        <v>2719877</v>
      </c>
      <c r="G1457" s="353">
        <v>0</v>
      </c>
      <c r="H1457" s="354" t="str">
        <f t="shared" si="23"/>
        <v>Centralización Recaudación Marzo</v>
      </c>
      <c r="I1457" s="355" t="s">
        <v>131</v>
      </c>
      <c r="K1457" s="370"/>
      <c r="N1457" s="370"/>
    </row>
    <row r="1458" spans="1:14" s="347" customFormat="1" x14ac:dyDescent="0.25">
      <c r="A1458" s="350">
        <f>+A1457</f>
        <v>44286</v>
      </c>
      <c r="B1458" s="351">
        <f>+B1457</f>
        <v>3</v>
      </c>
      <c r="C1458" s="352">
        <v>4110</v>
      </c>
      <c r="D1458" s="340" t="str">
        <f>VLOOKUP(C1458,Plan!A:B,2,0)</f>
        <v>Aporte Papal</v>
      </c>
      <c r="E1458" s="341">
        <f t="shared" si="19"/>
        <v>49003</v>
      </c>
      <c r="F1458" s="353">
        <f>ROUND((+G1453)*0.01,0)</f>
        <v>49003</v>
      </c>
      <c r="G1458" s="353">
        <v>0</v>
      </c>
      <c r="H1458" s="354" t="str">
        <f t="shared" si="23"/>
        <v>Centralización Recaudación Marzo</v>
      </c>
      <c r="I1458" s="355" t="s">
        <v>131</v>
      </c>
      <c r="K1458" s="370"/>
      <c r="N1458" s="370"/>
    </row>
    <row r="1459" spans="1:14" s="347" customFormat="1" x14ac:dyDescent="0.25">
      <c r="A1459" s="350">
        <f>+A1458</f>
        <v>44286</v>
      </c>
      <c r="B1459" s="351">
        <f>+B1458</f>
        <v>3</v>
      </c>
      <c r="C1459" s="352">
        <v>4110</v>
      </c>
      <c r="D1459" s="340" t="str">
        <f>VLOOKUP(C1459,Plan!A:B,2,0)</f>
        <v>Aporte Papal</v>
      </c>
      <c r="E1459" s="341">
        <f t="shared" si="19"/>
        <v>21125</v>
      </c>
      <c r="F1459" s="353">
        <f>(+G1454)*0.01</f>
        <v>21125</v>
      </c>
      <c r="G1459" s="353">
        <v>0</v>
      </c>
      <c r="H1459" s="354" t="str">
        <f t="shared" si="23"/>
        <v>Centralización Recaudación Marzo</v>
      </c>
      <c r="I1459" s="355" t="s">
        <v>131</v>
      </c>
      <c r="K1459" s="370"/>
      <c r="N1459" s="370"/>
    </row>
    <row r="1460" spans="1:14" s="347" customFormat="1" x14ac:dyDescent="0.25">
      <c r="A1460" s="350">
        <f>+A1458</f>
        <v>44286</v>
      </c>
      <c r="B1460" s="351">
        <f>+B1458</f>
        <v>3</v>
      </c>
      <c r="C1460" s="352">
        <v>1219</v>
      </c>
      <c r="D1460" s="340" t="str">
        <f>VLOOKUP(C1460,Plan!A:B,2,0)</f>
        <v>Otros Valores Arzobispado (248)</v>
      </c>
      <c r="E1460" s="341">
        <f t="shared" si="19"/>
        <v>1813252</v>
      </c>
      <c r="F1460" s="353">
        <f>+G1453-F1455-F1457-F1458</f>
        <v>1813252</v>
      </c>
      <c r="G1460" s="353">
        <v>0</v>
      </c>
      <c r="H1460" s="354" t="str">
        <f t="shared" si="23"/>
        <v>Centralización Recaudación Marzo</v>
      </c>
      <c r="I1460" s="355" t="s">
        <v>131</v>
      </c>
      <c r="K1460" s="370"/>
      <c r="N1460" s="370"/>
    </row>
    <row r="1461" spans="1:14" s="347" customFormat="1" x14ac:dyDescent="0.25">
      <c r="A1461" s="350">
        <f>+A1460</f>
        <v>44286</v>
      </c>
      <c r="B1461" s="351">
        <f>+B1460</f>
        <v>3</v>
      </c>
      <c r="C1461" s="352">
        <v>1220</v>
      </c>
      <c r="D1461" s="340" t="str">
        <f>VLOOKUP(C1461,Plan!A:B,2,0)</f>
        <v>Otros Valores Arzobispado (249)</v>
      </c>
      <c r="E1461" s="341">
        <f t="shared" si="19"/>
        <v>2038562</v>
      </c>
      <c r="F1461" s="353">
        <f>+G1454-F1456-F1459</f>
        <v>2038562</v>
      </c>
      <c r="G1461" s="353">
        <v>0</v>
      </c>
      <c r="H1461" s="354" t="str">
        <f t="shared" si="23"/>
        <v>Centralización Recaudación Marzo</v>
      </c>
      <c r="I1461" s="355" t="s">
        <v>131</v>
      </c>
      <c r="K1461" s="370"/>
      <c r="N1461" s="370"/>
    </row>
    <row r="1462" spans="1:14" s="347" customFormat="1" x14ac:dyDescent="0.25">
      <c r="A1462" s="350">
        <f>+A1460</f>
        <v>44286</v>
      </c>
      <c r="B1462" s="351">
        <f>+B1460</f>
        <v>3</v>
      </c>
      <c r="C1462" s="352">
        <v>1218</v>
      </c>
      <c r="D1462" s="340" t="str">
        <f>VLOOKUP(C1462,Plan!A:B,2,0)</f>
        <v>Otros Valores Tarjeta de Credito</v>
      </c>
      <c r="E1462" s="341">
        <f t="shared" si="19"/>
        <v>-244870</v>
      </c>
      <c r="F1462" s="353">
        <f>+G1455+G1457</f>
        <v>0</v>
      </c>
      <c r="G1462" s="353">
        <f>+F1463</f>
        <v>244870</v>
      </c>
      <c r="H1462" s="354" t="str">
        <f t="shared" si="23"/>
        <v>Centralización Recaudación Marzo</v>
      </c>
      <c r="I1462" s="355" t="s">
        <v>131</v>
      </c>
      <c r="K1462" s="370"/>
      <c r="N1462" s="370"/>
    </row>
    <row r="1463" spans="1:14" s="347" customFormat="1" x14ac:dyDescent="0.25">
      <c r="A1463" s="350">
        <f>+A1460</f>
        <v>44286</v>
      </c>
      <c r="B1463" s="351">
        <f>+B1460</f>
        <v>3</v>
      </c>
      <c r="C1463" s="352">
        <v>4150</v>
      </c>
      <c r="D1463" s="340" t="str">
        <f>VLOOKUP(C1463,Plan!A:B,2,0)</f>
        <v>Comisiones Cali Tarjetas de Creditos</v>
      </c>
      <c r="E1463" s="341">
        <f t="shared" si="19"/>
        <v>244870</v>
      </c>
      <c r="F1463" s="353">
        <f>ROUND(+(G1442+G1441)*(1-0.9881),0)*0+244870</f>
        <v>244870</v>
      </c>
      <c r="G1463" s="353">
        <v>0</v>
      </c>
      <c r="H1463" s="354" t="str">
        <f t="shared" si="23"/>
        <v>Centralización Recaudación Marzo</v>
      </c>
      <c r="I1463" s="355" t="s">
        <v>131</v>
      </c>
      <c r="K1463" s="370"/>
      <c r="N1463" s="370"/>
    </row>
    <row r="1464" spans="1:14" s="347" customFormat="1" x14ac:dyDescent="0.25">
      <c r="A1464" s="369"/>
      <c r="D1464" s="340"/>
      <c r="E1464" s="341"/>
      <c r="F1464" s="353"/>
      <c r="G1464" s="353"/>
      <c r="H1464"/>
      <c r="I1464" s="403"/>
      <c r="K1464" s="370"/>
      <c r="N1464" s="370"/>
    </row>
    <row r="1465" spans="1:14" s="347" customFormat="1" x14ac:dyDescent="0.25">
      <c r="A1465" s="369">
        <v>44286</v>
      </c>
      <c r="B1465" s="347">
        <f t="shared" ref="B1465:B1482" si="25">+MONTH(A1465)</f>
        <v>3</v>
      </c>
      <c r="C1465" s="347">
        <v>141</v>
      </c>
      <c r="D1465" s="340" t="str">
        <f>VLOOKUP(C1465,Plan!A:B,2,0)</f>
        <v>Cuentas por Cobrar a Administración</v>
      </c>
      <c r="E1465" s="341">
        <f t="shared" ref="E1465:E1482" si="26">+F1465-G1465</f>
        <v>20000</v>
      </c>
      <c r="F1465" s="264">
        <v>20000</v>
      </c>
      <c r="G1465" s="353">
        <v>0</v>
      </c>
      <c r="H1465" t="s">
        <v>941</v>
      </c>
      <c r="I1465" s="403" t="s">
        <v>131</v>
      </c>
      <c r="K1465" s="370"/>
      <c r="N1465" s="370"/>
    </row>
    <row r="1466" spans="1:14" s="347" customFormat="1" x14ac:dyDescent="0.25">
      <c r="A1466" s="369">
        <f t="shared" ref="A1466:A1482" si="27">+A1465</f>
        <v>44286</v>
      </c>
      <c r="B1466" s="347">
        <f t="shared" si="25"/>
        <v>3</v>
      </c>
      <c r="C1466" s="347">
        <v>141</v>
      </c>
      <c r="D1466" s="340" t="str">
        <f>VLOOKUP(C1466,Plan!A:B,2,0)</f>
        <v>Cuentas por Cobrar a Administración</v>
      </c>
      <c r="E1466" s="341">
        <f t="shared" si="26"/>
        <v>60000</v>
      </c>
      <c r="F1466" s="264">
        <v>60000</v>
      </c>
      <c r="G1466" s="353">
        <v>0</v>
      </c>
      <c r="H1466" t="s">
        <v>1236</v>
      </c>
      <c r="I1466" s="403" t="s">
        <v>131</v>
      </c>
      <c r="K1466" s="370"/>
      <c r="N1466" s="370"/>
    </row>
    <row r="1467" spans="1:14" s="347" customFormat="1" x14ac:dyDescent="0.25">
      <c r="A1467" s="369">
        <f t="shared" si="27"/>
        <v>44286</v>
      </c>
      <c r="B1467" s="347">
        <f t="shared" si="25"/>
        <v>3</v>
      </c>
      <c r="C1467" s="347">
        <v>141</v>
      </c>
      <c r="D1467" s="340" t="str">
        <f>VLOOKUP(C1467,Plan!A:B,2,0)</f>
        <v>Cuentas por Cobrar a Administración</v>
      </c>
      <c r="E1467" s="341">
        <f t="shared" si="26"/>
        <v>30000</v>
      </c>
      <c r="F1467" s="264">
        <v>30000</v>
      </c>
      <c r="G1467" s="353">
        <v>0</v>
      </c>
      <c r="H1467" t="s">
        <v>737</v>
      </c>
      <c r="I1467" s="403" t="s">
        <v>131</v>
      </c>
      <c r="K1467" s="370"/>
      <c r="N1467" s="370"/>
    </row>
    <row r="1468" spans="1:14" s="347" customFormat="1" x14ac:dyDescent="0.25">
      <c r="A1468" s="369">
        <f t="shared" si="27"/>
        <v>44286</v>
      </c>
      <c r="B1468" s="347">
        <f t="shared" si="25"/>
        <v>3</v>
      </c>
      <c r="C1468" s="347">
        <v>141</v>
      </c>
      <c r="D1468" s="340" t="str">
        <f>VLOOKUP(C1468,Plan!A:B,2,0)</f>
        <v>Cuentas por Cobrar a Administración</v>
      </c>
      <c r="E1468" s="341">
        <f t="shared" si="26"/>
        <v>20000</v>
      </c>
      <c r="F1468" s="264">
        <v>20000</v>
      </c>
      <c r="G1468" s="353">
        <v>0</v>
      </c>
      <c r="H1468" t="s">
        <v>1209</v>
      </c>
      <c r="I1468" s="403" t="s">
        <v>131</v>
      </c>
      <c r="K1468" s="370"/>
      <c r="N1468" s="370"/>
    </row>
    <row r="1469" spans="1:14" s="347" customFormat="1" x14ac:dyDescent="0.25">
      <c r="A1469" s="369">
        <f t="shared" si="27"/>
        <v>44286</v>
      </c>
      <c r="B1469" s="347">
        <f t="shared" si="25"/>
        <v>3</v>
      </c>
      <c r="C1469" s="347">
        <v>141</v>
      </c>
      <c r="D1469" s="340" t="str">
        <f>VLOOKUP(C1469,Plan!A:B,2,0)</f>
        <v>Cuentas por Cobrar a Administración</v>
      </c>
      <c r="E1469" s="341">
        <f t="shared" si="26"/>
        <v>15000</v>
      </c>
      <c r="F1469" s="264">
        <v>15000</v>
      </c>
      <c r="G1469" s="353">
        <v>0</v>
      </c>
      <c r="H1469" t="s">
        <v>688</v>
      </c>
      <c r="I1469" s="403" t="s">
        <v>131</v>
      </c>
      <c r="K1469" s="370"/>
      <c r="N1469" s="370"/>
    </row>
    <row r="1470" spans="1:14" s="347" customFormat="1" x14ac:dyDescent="0.25">
      <c r="A1470" s="369">
        <f t="shared" si="27"/>
        <v>44286</v>
      </c>
      <c r="B1470" s="347">
        <f t="shared" si="25"/>
        <v>3</v>
      </c>
      <c r="C1470" s="347">
        <v>141</v>
      </c>
      <c r="D1470" s="340" t="str">
        <f>VLOOKUP(C1470,Plan!A:B,2,0)</f>
        <v>Cuentas por Cobrar a Administración</v>
      </c>
      <c r="E1470" s="341">
        <f t="shared" si="26"/>
        <v>100000</v>
      </c>
      <c r="F1470" s="264">
        <v>100000</v>
      </c>
      <c r="G1470" s="353">
        <v>0</v>
      </c>
      <c r="H1470" t="s">
        <v>1143</v>
      </c>
      <c r="I1470" s="403" t="s">
        <v>131</v>
      </c>
      <c r="K1470" s="370"/>
      <c r="N1470" s="370"/>
    </row>
    <row r="1471" spans="1:14" s="347" customFormat="1" x14ac:dyDescent="0.25">
      <c r="A1471" s="369">
        <f t="shared" si="27"/>
        <v>44286</v>
      </c>
      <c r="B1471" s="347">
        <f t="shared" si="25"/>
        <v>3</v>
      </c>
      <c r="C1471" s="347">
        <v>141</v>
      </c>
      <c r="D1471" s="340" t="str">
        <f>VLOOKUP(C1471,Plan!A:B,2,0)</f>
        <v>Cuentas por Cobrar a Administración</v>
      </c>
      <c r="E1471" s="341">
        <f t="shared" si="26"/>
        <v>250000</v>
      </c>
      <c r="F1471" s="264">
        <v>250000</v>
      </c>
      <c r="G1471" s="353">
        <v>0</v>
      </c>
      <c r="H1471" t="s">
        <v>1210</v>
      </c>
      <c r="I1471" s="403" t="s">
        <v>131</v>
      </c>
      <c r="K1471" s="370"/>
      <c r="N1471" s="370"/>
    </row>
    <row r="1472" spans="1:14" s="347" customFormat="1" x14ac:dyDescent="0.25">
      <c r="A1472" s="369">
        <f t="shared" si="27"/>
        <v>44286</v>
      </c>
      <c r="B1472" s="347">
        <f t="shared" si="25"/>
        <v>3</v>
      </c>
      <c r="C1472" s="347">
        <v>141</v>
      </c>
      <c r="D1472" s="340" t="str">
        <f>VLOOKUP(C1472,Plan!A:B,2,0)</f>
        <v>Cuentas por Cobrar a Administración</v>
      </c>
      <c r="E1472" s="341">
        <f t="shared" si="26"/>
        <v>120000</v>
      </c>
      <c r="F1472" s="264">
        <v>120000</v>
      </c>
      <c r="G1472" s="353">
        <v>0</v>
      </c>
      <c r="H1472" t="s">
        <v>675</v>
      </c>
      <c r="I1472" s="403" t="s">
        <v>131</v>
      </c>
      <c r="K1472" s="370"/>
      <c r="N1472" s="370"/>
    </row>
    <row r="1473" spans="1:14" s="347" customFormat="1" x14ac:dyDescent="0.25">
      <c r="A1473" s="369">
        <f t="shared" si="27"/>
        <v>44286</v>
      </c>
      <c r="B1473" s="347">
        <f t="shared" si="25"/>
        <v>3</v>
      </c>
      <c r="C1473" s="347">
        <v>3210</v>
      </c>
      <c r="D1473" s="340" t="str">
        <f>VLOOKUP(C1473,Plan!A:B,2,0)</f>
        <v>Donacion Construccion</v>
      </c>
      <c r="E1473" s="341">
        <f t="shared" si="26"/>
        <v>-20000</v>
      </c>
      <c r="F1473" s="264">
        <v>0</v>
      </c>
      <c r="G1473" s="264">
        <v>20000</v>
      </c>
      <c r="H1473" t="s">
        <v>941</v>
      </c>
      <c r="I1473" s="403" t="s">
        <v>131</v>
      </c>
      <c r="K1473" s="370"/>
      <c r="N1473" s="370"/>
    </row>
    <row r="1474" spans="1:14" s="347" customFormat="1" x14ac:dyDescent="0.25">
      <c r="A1474" s="369">
        <f t="shared" si="27"/>
        <v>44286</v>
      </c>
      <c r="B1474" s="347">
        <f t="shared" si="25"/>
        <v>3</v>
      </c>
      <c r="C1474" s="347">
        <v>3210</v>
      </c>
      <c r="D1474" s="340" t="str">
        <f>VLOOKUP(C1474,Plan!A:B,2,0)</f>
        <v>Donacion Construccion</v>
      </c>
      <c r="E1474" s="341">
        <f t="shared" si="26"/>
        <v>-60000</v>
      </c>
      <c r="F1474" s="264">
        <v>0</v>
      </c>
      <c r="G1474" s="264">
        <v>60000</v>
      </c>
      <c r="H1474" t="s">
        <v>1236</v>
      </c>
      <c r="I1474" s="403" t="s">
        <v>131</v>
      </c>
      <c r="K1474" s="370"/>
      <c r="N1474" s="370"/>
    </row>
    <row r="1475" spans="1:14" s="347" customFormat="1" x14ac:dyDescent="0.25">
      <c r="A1475" s="369">
        <f t="shared" si="27"/>
        <v>44286</v>
      </c>
      <c r="B1475" s="347">
        <f t="shared" si="25"/>
        <v>3</v>
      </c>
      <c r="C1475" s="347">
        <v>1222</v>
      </c>
      <c r="D1475" s="340" t="str">
        <f>VLOOKUP(C1475,Plan!A:B,2,0)</f>
        <v>Otros Valores -Oficina y Transferencias (249)</v>
      </c>
      <c r="E1475" s="341">
        <f t="shared" si="26"/>
        <v>-30000</v>
      </c>
      <c r="F1475" s="264">
        <v>0</v>
      </c>
      <c r="G1475" s="264">
        <v>30000</v>
      </c>
      <c r="H1475" t="s">
        <v>737</v>
      </c>
      <c r="I1475" s="403" t="s">
        <v>131</v>
      </c>
      <c r="K1475" s="370"/>
      <c r="N1475" s="370"/>
    </row>
    <row r="1476" spans="1:14" s="347" customFormat="1" x14ac:dyDescent="0.25">
      <c r="A1476" s="369">
        <f t="shared" si="27"/>
        <v>44286</v>
      </c>
      <c r="B1476" s="347">
        <f t="shared" si="25"/>
        <v>3</v>
      </c>
      <c r="C1476" s="347">
        <v>3210</v>
      </c>
      <c r="D1476" s="340" t="str">
        <f>VLOOKUP(C1476,Plan!A:B,2,0)</f>
        <v>Donacion Construccion</v>
      </c>
      <c r="E1476" s="341">
        <f t="shared" si="26"/>
        <v>-20000</v>
      </c>
      <c r="F1476" s="264">
        <v>0</v>
      </c>
      <c r="G1476" s="264">
        <v>20000</v>
      </c>
      <c r="H1476" t="s">
        <v>1209</v>
      </c>
      <c r="I1476" s="403" t="s">
        <v>131</v>
      </c>
      <c r="K1476" s="370"/>
      <c r="N1476" s="370"/>
    </row>
    <row r="1477" spans="1:14" s="347" customFormat="1" x14ac:dyDescent="0.25">
      <c r="A1477" s="369">
        <f t="shared" si="27"/>
        <v>44286</v>
      </c>
      <c r="B1477" s="347">
        <f t="shared" si="25"/>
        <v>3</v>
      </c>
      <c r="C1477" s="347">
        <v>1222</v>
      </c>
      <c r="D1477" s="340" t="str">
        <f>VLOOKUP(C1477,Plan!A:B,2,0)</f>
        <v>Otros Valores -Oficina y Transferencias (249)</v>
      </c>
      <c r="E1477" s="341">
        <f t="shared" si="26"/>
        <v>-15000</v>
      </c>
      <c r="F1477" s="264">
        <v>0</v>
      </c>
      <c r="G1477" s="264">
        <v>15000</v>
      </c>
      <c r="H1477" t="s">
        <v>688</v>
      </c>
      <c r="I1477" s="403" t="s">
        <v>131</v>
      </c>
      <c r="K1477" s="370"/>
      <c r="N1477" s="370"/>
    </row>
    <row r="1478" spans="1:14" s="347" customFormat="1" x14ac:dyDescent="0.25">
      <c r="A1478" s="369">
        <f t="shared" si="27"/>
        <v>44286</v>
      </c>
      <c r="B1478" s="347">
        <f t="shared" si="25"/>
        <v>3</v>
      </c>
      <c r="C1478" s="347">
        <v>3210</v>
      </c>
      <c r="D1478" s="340" t="str">
        <f>VLOOKUP(C1478,Plan!A:B,2,0)</f>
        <v>Donacion Construccion</v>
      </c>
      <c r="E1478" s="341">
        <f t="shared" si="26"/>
        <v>-100000</v>
      </c>
      <c r="F1478" s="264">
        <v>0</v>
      </c>
      <c r="G1478" s="264">
        <v>100000</v>
      </c>
      <c r="H1478" t="s">
        <v>1143</v>
      </c>
      <c r="I1478" s="403" t="s">
        <v>131</v>
      </c>
      <c r="K1478" s="370"/>
      <c r="N1478" s="370"/>
    </row>
    <row r="1479" spans="1:14" s="347" customFormat="1" x14ac:dyDescent="0.25">
      <c r="A1479" s="369">
        <f t="shared" si="27"/>
        <v>44286</v>
      </c>
      <c r="B1479" s="347">
        <f t="shared" si="25"/>
        <v>3</v>
      </c>
      <c r="C1479" s="347">
        <v>3210</v>
      </c>
      <c r="D1479" s="340" t="str">
        <f>VLOOKUP(C1479,Plan!A:B,2,0)</f>
        <v>Donacion Construccion</v>
      </c>
      <c r="E1479" s="341">
        <f t="shared" si="26"/>
        <v>-250000</v>
      </c>
      <c r="F1479" s="264">
        <v>0</v>
      </c>
      <c r="G1479" s="264">
        <v>250000</v>
      </c>
      <c r="H1479" t="s">
        <v>1210</v>
      </c>
      <c r="I1479" s="403" t="s">
        <v>131</v>
      </c>
      <c r="K1479" s="370"/>
      <c r="N1479" s="370"/>
    </row>
    <row r="1480" spans="1:14" s="347" customFormat="1" x14ac:dyDescent="0.25">
      <c r="A1480" s="369">
        <f t="shared" si="27"/>
        <v>44286</v>
      </c>
      <c r="B1480" s="347">
        <f t="shared" si="25"/>
        <v>3</v>
      </c>
      <c r="C1480" s="347">
        <v>1222</v>
      </c>
      <c r="D1480" s="340" t="str">
        <f>VLOOKUP(C1480,Plan!A:B,2,0)</f>
        <v>Otros Valores -Oficina y Transferencias (249)</v>
      </c>
      <c r="E1480" s="341">
        <f t="shared" si="26"/>
        <v>-120000</v>
      </c>
      <c r="F1480" s="264">
        <v>0</v>
      </c>
      <c r="G1480" s="264">
        <v>120000</v>
      </c>
      <c r="H1480" t="s">
        <v>675</v>
      </c>
      <c r="I1480" s="403" t="s">
        <v>131</v>
      </c>
      <c r="K1480" s="370"/>
      <c r="N1480" s="370"/>
    </row>
    <row r="1481" spans="1:14" s="347" customFormat="1" x14ac:dyDescent="0.25">
      <c r="A1481" s="369">
        <f t="shared" si="27"/>
        <v>44286</v>
      </c>
      <c r="B1481" s="347">
        <f t="shared" si="25"/>
        <v>3</v>
      </c>
      <c r="C1481" s="347">
        <v>141</v>
      </c>
      <c r="D1481" s="340" t="str">
        <f>VLOOKUP(C1481,Plan!A:B,2,0)</f>
        <v>Cuentas por Cobrar a Administración</v>
      </c>
      <c r="E1481" s="341">
        <f t="shared" si="26"/>
        <v>100000</v>
      </c>
      <c r="F1481" s="264">
        <v>100000</v>
      </c>
      <c r="G1481" s="353">
        <v>0</v>
      </c>
      <c r="H1481" t="s">
        <v>743</v>
      </c>
      <c r="I1481" s="403" t="s">
        <v>131</v>
      </c>
      <c r="K1481" s="370"/>
      <c r="N1481" s="370"/>
    </row>
    <row r="1482" spans="1:14" s="347" customFormat="1" x14ac:dyDescent="0.25">
      <c r="A1482" s="369">
        <f t="shared" si="27"/>
        <v>44286</v>
      </c>
      <c r="B1482" s="347">
        <f t="shared" si="25"/>
        <v>3</v>
      </c>
      <c r="C1482" s="347">
        <v>1222</v>
      </c>
      <c r="D1482" s="340" t="str">
        <f>VLOOKUP(C1482,Plan!A:B,2,0)</f>
        <v>Otros Valores -Oficina y Transferencias (249)</v>
      </c>
      <c r="E1482" s="341">
        <f t="shared" si="26"/>
        <v>-100000</v>
      </c>
      <c r="F1482" s="264">
        <v>0</v>
      </c>
      <c r="G1482" s="264">
        <f>+F1481</f>
        <v>100000</v>
      </c>
      <c r="H1482" t="s">
        <v>743</v>
      </c>
      <c r="I1482" s="403" t="s">
        <v>131</v>
      </c>
      <c r="K1482" s="370"/>
      <c r="N1482" s="370"/>
    </row>
    <row r="1483" spans="1:14" s="347" customFormat="1" x14ac:dyDescent="0.25">
      <c r="A1483" s="369"/>
      <c r="D1483" s="340"/>
      <c r="E1483" s="341"/>
      <c r="F1483" s="264"/>
      <c r="G1483" s="264"/>
      <c r="H1483"/>
      <c r="I1483" s="403"/>
      <c r="K1483" s="370"/>
      <c r="N1483" s="370"/>
    </row>
    <row r="1484" spans="1:14" s="347" customFormat="1" x14ac:dyDescent="0.25">
      <c r="A1484" s="402">
        <f>+A1461</f>
        <v>44286</v>
      </c>
      <c r="B1484" s="403">
        <f>+B1461</f>
        <v>3</v>
      </c>
      <c r="C1484" s="338">
        <v>125</v>
      </c>
      <c r="D1484" s="340" t="str">
        <f>VLOOKUP(C1484,Plan!A:B,2,0)</f>
        <v>Depósito a plazo Cali</v>
      </c>
      <c r="E1484" s="341">
        <f>+F1484-G1484</f>
        <v>0</v>
      </c>
      <c r="F1484" s="346">
        <v>0</v>
      </c>
      <c r="G1484" s="346">
        <v>0</v>
      </c>
      <c r="H1484" s="343" t="s">
        <v>858</v>
      </c>
      <c r="I1484" s="340" t="s">
        <v>131</v>
      </c>
      <c r="K1484" s="370"/>
      <c r="N1484" s="370"/>
    </row>
    <row r="1485" spans="1:14" s="347" customFormat="1" x14ac:dyDescent="0.25">
      <c r="A1485" s="402">
        <f>+A1484</f>
        <v>44286</v>
      </c>
      <c r="B1485" s="403">
        <f>+B1484</f>
        <v>3</v>
      </c>
      <c r="C1485" s="338">
        <v>6002</v>
      </c>
      <c r="D1485" s="340" t="str">
        <f>VLOOKUP(C1485,Plan!A:B,2,0)</f>
        <v>Intereses Financieros Cali</v>
      </c>
      <c r="E1485" s="341">
        <f>+F1485-G1485</f>
        <v>0</v>
      </c>
      <c r="F1485" s="346">
        <v>0</v>
      </c>
      <c r="G1485" s="346">
        <f>+F1484</f>
        <v>0</v>
      </c>
      <c r="H1485" s="338" t="s">
        <v>858</v>
      </c>
      <c r="I1485" s="340" t="s">
        <v>131</v>
      </c>
      <c r="K1485" s="370"/>
      <c r="N1485" s="370"/>
    </row>
    <row r="1486" spans="1:14" s="347" customFormat="1" x14ac:dyDescent="0.25">
      <c r="A1486" s="339"/>
      <c r="B1486" s="340"/>
      <c r="C1486" s="338"/>
      <c r="D1486" s="340"/>
      <c r="E1486" s="396"/>
      <c r="F1486" s="396"/>
      <c r="G1486" s="396"/>
      <c r="H1486" s="338"/>
      <c r="I1486" s="340"/>
      <c r="K1486" s="370"/>
      <c r="N1486" s="370"/>
    </row>
    <row r="1487" spans="1:14" s="347" customFormat="1" x14ac:dyDescent="0.25">
      <c r="A1487" s="402">
        <f>+A1484</f>
        <v>44286</v>
      </c>
      <c r="B1487" s="403">
        <f>+B1484</f>
        <v>3</v>
      </c>
      <c r="C1487" s="338">
        <v>118</v>
      </c>
      <c r="D1487" s="340" t="str">
        <f>VLOOKUP(C1487,Plan!A:B,2,0)</f>
        <v>Depósito a plazo Cali Banco Security</v>
      </c>
      <c r="E1487" s="341">
        <f>+F1487-G1487</f>
        <v>651519</v>
      </c>
      <c r="F1487" s="346">
        <v>651519</v>
      </c>
      <c r="G1487" s="346">
        <v>0</v>
      </c>
      <c r="H1487" s="343" t="s">
        <v>859</v>
      </c>
      <c r="I1487" s="340" t="s">
        <v>131</v>
      </c>
      <c r="K1487" s="370"/>
      <c r="N1487" s="370"/>
    </row>
    <row r="1488" spans="1:14" s="347" customFormat="1" x14ac:dyDescent="0.25">
      <c r="A1488" s="402">
        <f>+A1487</f>
        <v>44286</v>
      </c>
      <c r="B1488" s="403">
        <f>+B1487</f>
        <v>3</v>
      </c>
      <c r="C1488" s="338">
        <v>6002</v>
      </c>
      <c r="D1488" s="340" t="str">
        <f>VLOOKUP(C1488,Plan!A:B,2,0)</f>
        <v>Intereses Financieros Cali</v>
      </c>
      <c r="E1488" s="341">
        <f>+F1488-G1488</f>
        <v>-651519</v>
      </c>
      <c r="F1488" s="346">
        <v>0</v>
      </c>
      <c r="G1488" s="346">
        <f>+F1487</f>
        <v>651519</v>
      </c>
      <c r="H1488" s="338" t="s">
        <v>859</v>
      </c>
      <c r="I1488" s="340" t="s">
        <v>131</v>
      </c>
      <c r="K1488" s="370"/>
      <c r="N1488" s="370"/>
    </row>
    <row r="1489" spans="1:14" s="347" customFormat="1" x14ac:dyDescent="0.25">
      <c r="A1489" s="339"/>
      <c r="B1489" s="340"/>
      <c r="C1489" s="338"/>
      <c r="D1489" s="340"/>
      <c r="E1489" s="396"/>
      <c r="F1489" s="396"/>
      <c r="G1489" s="396"/>
      <c r="H1489" s="338"/>
      <c r="I1489" s="340"/>
      <c r="K1489" s="370"/>
      <c r="N1489" s="370"/>
    </row>
    <row r="1490" spans="1:14" s="347" customFormat="1" x14ac:dyDescent="0.25">
      <c r="A1490" s="402">
        <f>+A1487</f>
        <v>44286</v>
      </c>
      <c r="B1490" s="403">
        <f>+B1487</f>
        <v>3</v>
      </c>
      <c r="C1490" s="338">
        <v>119</v>
      </c>
      <c r="D1490" s="340" t="str">
        <f>VLOOKUP(C1490,Plan!A:B,2,0)</f>
        <v>FM Cali Banco Security</v>
      </c>
      <c r="E1490" s="341">
        <f>+F1490-G1490</f>
        <v>4793</v>
      </c>
      <c r="F1490" s="346">
        <v>4793</v>
      </c>
      <c r="G1490" s="346">
        <v>0</v>
      </c>
      <c r="H1490" s="343" t="s">
        <v>554</v>
      </c>
      <c r="I1490" s="340" t="s">
        <v>131</v>
      </c>
      <c r="K1490" s="370"/>
      <c r="N1490" s="370"/>
    </row>
    <row r="1491" spans="1:14" s="347" customFormat="1" x14ac:dyDescent="0.25">
      <c r="A1491" s="402">
        <f>+A1490</f>
        <v>44286</v>
      </c>
      <c r="B1491" s="403">
        <f>+B1490</f>
        <v>3</v>
      </c>
      <c r="C1491" s="338">
        <v>6002</v>
      </c>
      <c r="D1491" s="340" t="str">
        <f>VLOOKUP(C1491,Plan!A:B,2,0)</f>
        <v>Intereses Financieros Cali</v>
      </c>
      <c r="E1491" s="341">
        <f>+F1491-G1491</f>
        <v>-4793</v>
      </c>
      <c r="F1491" s="346">
        <v>0</v>
      </c>
      <c r="G1491" s="346">
        <f>+F1490</f>
        <v>4793</v>
      </c>
      <c r="H1491" s="338" t="s">
        <v>554</v>
      </c>
      <c r="I1491" s="340" t="s">
        <v>131</v>
      </c>
      <c r="K1491" s="370"/>
      <c r="N1491" s="370"/>
    </row>
    <row r="1492" spans="1:14" s="347" customFormat="1" x14ac:dyDescent="0.25">
      <c r="A1492" s="369"/>
      <c r="E1492" s="396"/>
      <c r="F1492" s="396"/>
      <c r="G1492" s="396"/>
      <c r="K1492" s="370"/>
      <c r="N1492" s="370"/>
    </row>
    <row r="1493" spans="1:14" s="347" customFormat="1" x14ac:dyDescent="0.25">
      <c r="A1493" s="402">
        <f>+A1490</f>
        <v>44286</v>
      </c>
      <c r="B1493" s="403">
        <f>+B1490</f>
        <v>3</v>
      </c>
      <c r="C1493" s="338">
        <v>113</v>
      </c>
      <c r="D1493" s="340" t="str">
        <f>VLOOKUP(C1493,Plan!A:B,2,0)</f>
        <v>Depósito a plazo Cali Banco Santander</v>
      </c>
      <c r="E1493" s="341">
        <f>+F1493-G1493</f>
        <v>0</v>
      </c>
      <c r="F1493" s="346">
        <v>0</v>
      </c>
      <c r="G1493" s="346">
        <v>0</v>
      </c>
      <c r="H1493" s="343" t="s">
        <v>2122</v>
      </c>
      <c r="I1493" s="340" t="s">
        <v>131</v>
      </c>
      <c r="K1493" s="370"/>
      <c r="N1493" s="370"/>
    </row>
    <row r="1494" spans="1:14" s="347" customFormat="1" x14ac:dyDescent="0.25">
      <c r="A1494" s="402">
        <f>+A1493</f>
        <v>44286</v>
      </c>
      <c r="B1494" s="403">
        <f>+B1493</f>
        <v>3</v>
      </c>
      <c r="C1494" s="338">
        <v>6002</v>
      </c>
      <c r="D1494" s="340" t="str">
        <f>VLOOKUP(C1494,Plan!A:B,2,0)</f>
        <v>Intereses Financieros Cali</v>
      </c>
      <c r="E1494" s="341">
        <f>+F1494-G1494</f>
        <v>0</v>
      </c>
      <c r="F1494" s="346">
        <v>0</v>
      </c>
      <c r="G1494" s="346">
        <f>+F1493</f>
        <v>0</v>
      </c>
      <c r="H1494" s="338" t="str">
        <f>+H1493</f>
        <v>Intereses Devengados DAP Santander</v>
      </c>
      <c r="I1494" s="340" t="s">
        <v>131</v>
      </c>
      <c r="K1494" s="370"/>
      <c r="N1494" s="370"/>
    </row>
    <row r="1495" spans="1:14" s="347" customFormat="1" x14ac:dyDescent="0.25">
      <c r="A1495" s="402"/>
      <c r="B1495" s="403"/>
      <c r="C1495" s="338"/>
      <c r="D1495" s="340"/>
      <c r="E1495" s="341"/>
      <c r="F1495" s="342"/>
      <c r="G1495" s="342"/>
      <c r="H1495" s="338"/>
      <c r="I1495" s="340"/>
      <c r="K1495" s="370"/>
      <c r="N1495" s="370"/>
    </row>
    <row r="1496" spans="1:14" s="347" customFormat="1" x14ac:dyDescent="0.25">
      <c r="A1496" s="369">
        <v>44287</v>
      </c>
      <c r="B1496" s="347">
        <f>+MONTH(A1496)</f>
        <v>4</v>
      </c>
      <c r="C1496" s="347">
        <v>115</v>
      </c>
      <c r="D1496" s="340" t="str">
        <f>VLOOKUP(C1496,Plan!A:B,2,0)</f>
        <v>Disponible Cali B.Chile</v>
      </c>
      <c r="E1496" s="341">
        <f>+F1496-G1496</f>
        <v>40000</v>
      </c>
      <c r="F1496" s="405">
        <v>40000</v>
      </c>
      <c r="G1496" s="405">
        <v>0</v>
      </c>
      <c r="H1496" t="s">
        <v>788</v>
      </c>
      <c r="I1496" s="403" t="s">
        <v>131</v>
      </c>
      <c r="K1496" s="370"/>
      <c r="N1496" s="370"/>
    </row>
    <row r="1497" spans="1:14" s="347" customFormat="1" x14ac:dyDescent="0.25">
      <c r="A1497" s="369">
        <f>+A1496</f>
        <v>44287</v>
      </c>
      <c r="B1497" s="347">
        <f>+MONTH(A1497)</f>
        <v>4</v>
      </c>
      <c r="C1497" s="347">
        <v>1217</v>
      </c>
      <c r="D1497" s="340" t="str">
        <f>VLOOKUP(C1497,Plan!A:B,2,0)</f>
        <v>Otros Valores -Oficina y Transferencias (248)</v>
      </c>
      <c r="E1497" s="341">
        <f>+F1497-G1497</f>
        <v>-40000</v>
      </c>
      <c r="F1497" s="405">
        <v>0</v>
      </c>
      <c r="G1497" s="405">
        <f>+F1496</f>
        <v>40000</v>
      </c>
      <c r="H1497" t="str">
        <f>+H1496</f>
        <v>M. Dominguez / 248</v>
      </c>
      <c r="I1497" s="403" t="s">
        <v>131</v>
      </c>
      <c r="K1497" s="370"/>
      <c r="N1497" s="370"/>
    </row>
    <row r="1498" spans="1:14" s="347" customFormat="1" x14ac:dyDescent="0.25">
      <c r="A1498" s="369"/>
      <c r="E1498" s="396"/>
      <c r="F1498" s="396"/>
      <c r="G1498" s="396"/>
      <c r="K1498" s="370"/>
      <c r="N1498" s="370"/>
    </row>
    <row r="1499" spans="1:14" s="347" customFormat="1" x14ac:dyDescent="0.25">
      <c r="A1499" s="369">
        <v>44287</v>
      </c>
      <c r="B1499" s="347">
        <f>+MONTH(A1499)</f>
        <v>4</v>
      </c>
      <c r="C1499" s="347">
        <v>115</v>
      </c>
      <c r="D1499" s="340" t="str">
        <f>VLOOKUP(C1499,Plan!A:B,2,0)</f>
        <v>Disponible Cali B.Chile</v>
      </c>
      <c r="E1499" s="341">
        <f>+F1499-G1499</f>
        <v>37000</v>
      </c>
      <c r="F1499" s="405">
        <v>37000</v>
      </c>
      <c r="G1499" s="405">
        <v>0</v>
      </c>
      <c r="H1499" t="s">
        <v>787</v>
      </c>
      <c r="I1499" s="403" t="s">
        <v>131</v>
      </c>
      <c r="K1499" s="370"/>
      <c r="N1499" s="370"/>
    </row>
    <row r="1500" spans="1:14" s="347" customFormat="1" x14ac:dyDescent="0.25">
      <c r="A1500" s="369">
        <f>+A1499</f>
        <v>44287</v>
      </c>
      <c r="B1500" s="347">
        <f>+MONTH(A1500)</f>
        <v>4</v>
      </c>
      <c r="C1500" s="347">
        <v>1222</v>
      </c>
      <c r="D1500" s="340" t="str">
        <f>VLOOKUP(C1500,Plan!A:B,2,0)</f>
        <v>Otros Valores -Oficina y Transferencias (249)</v>
      </c>
      <c r="E1500" s="341">
        <f>+F1500-G1500</f>
        <v>-37000</v>
      </c>
      <c r="F1500" s="405">
        <v>0</v>
      </c>
      <c r="G1500" s="405">
        <f>+F1499</f>
        <v>37000</v>
      </c>
      <c r="H1500" t="str">
        <f>+H1499</f>
        <v>Juan Pablo Ríos Ross / 249</v>
      </c>
      <c r="I1500" s="403" t="s">
        <v>131</v>
      </c>
      <c r="K1500" s="370"/>
      <c r="N1500" s="370"/>
    </row>
    <row r="1501" spans="1:14" s="347" customFormat="1" x14ac:dyDescent="0.25">
      <c r="A1501" s="369"/>
      <c r="E1501" s="396"/>
      <c r="F1501" s="396"/>
      <c r="G1501" s="396"/>
      <c r="K1501" s="370"/>
      <c r="N1501" s="370"/>
    </row>
    <row r="1502" spans="1:14" s="347" customFormat="1" x14ac:dyDescent="0.25">
      <c r="A1502" s="369">
        <v>44287</v>
      </c>
      <c r="B1502" s="347">
        <f>+MONTH(A1502)</f>
        <v>4</v>
      </c>
      <c r="C1502" s="347">
        <v>115</v>
      </c>
      <c r="D1502" s="340" t="str">
        <f>VLOOKUP(C1502,Plan!A:B,2,0)</f>
        <v>Disponible Cali B.Chile</v>
      </c>
      <c r="E1502" s="341">
        <f>+F1502-G1502</f>
        <v>10000</v>
      </c>
      <c r="F1502" s="405">
        <v>10000</v>
      </c>
      <c r="G1502" s="405">
        <v>0</v>
      </c>
      <c r="H1502" t="s">
        <v>973</v>
      </c>
      <c r="I1502" s="403" t="s">
        <v>131</v>
      </c>
      <c r="K1502" s="370"/>
      <c r="N1502" s="370"/>
    </row>
    <row r="1503" spans="1:14" s="347" customFormat="1" x14ac:dyDescent="0.25">
      <c r="A1503" s="369">
        <f>+A1502</f>
        <v>44287</v>
      </c>
      <c r="B1503" s="347">
        <f>+MONTH(A1503)</f>
        <v>4</v>
      </c>
      <c r="C1503" s="347">
        <v>1222</v>
      </c>
      <c r="D1503" s="340" t="str">
        <f>VLOOKUP(C1503,Plan!A:B,2,0)</f>
        <v>Otros Valores -Oficina y Transferencias (249)</v>
      </c>
      <c r="E1503" s="341">
        <f>+F1503-G1503</f>
        <v>-10000</v>
      </c>
      <c r="F1503" s="405">
        <v>0</v>
      </c>
      <c r="G1503" s="405">
        <f>+F1502</f>
        <v>10000</v>
      </c>
      <c r="H1503" t="str">
        <f>+H1502</f>
        <v>Ana María Ugarte / 249</v>
      </c>
      <c r="I1503" s="403" t="s">
        <v>131</v>
      </c>
      <c r="K1503" s="370"/>
      <c r="N1503" s="370"/>
    </row>
    <row r="1504" spans="1:14" s="347" customFormat="1" x14ac:dyDescent="0.25">
      <c r="K1504" s="370"/>
      <c r="N1504" s="370"/>
    </row>
    <row r="1505" spans="1:14" s="347" customFormat="1" x14ac:dyDescent="0.25">
      <c r="A1505" s="369">
        <v>44287</v>
      </c>
      <c r="B1505" s="347">
        <f>+MONTH(A1505)</f>
        <v>4</v>
      </c>
      <c r="C1505" s="347">
        <v>115</v>
      </c>
      <c r="D1505" s="340" t="str">
        <f>VLOOKUP(C1505,Plan!A:B,2,0)</f>
        <v>Disponible Cali B.Chile</v>
      </c>
      <c r="E1505" s="341">
        <f>+F1505-G1505</f>
        <v>50000</v>
      </c>
      <c r="F1505" s="405">
        <v>50000</v>
      </c>
      <c r="G1505" s="405">
        <v>0</v>
      </c>
      <c r="H1505" t="s">
        <v>974</v>
      </c>
      <c r="I1505" s="403" t="s">
        <v>131</v>
      </c>
      <c r="K1505" s="370"/>
      <c r="N1505" s="370"/>
    </row>
    <row r="1506" spans="1:14" s="347" customFormat="1" x14ac:dyDescent="0.25">
      <c r="A1506" s="369">
        <f>+A1505</f>
        <v>44287</v>
      </c>
      <c r="B1506" s="347">
        <f>+MONTH(A1506)</f>
        <v>4</v>
      </c>
      <c r="C1506" s="347">
        <v>1222</v>
      </c>
      <c r="D1506" s="340" t="str">
        <f>VLOOKUP(C1506,Plan!A:B,2,0)</f>
        <v>Otros Valores -Oficina y Transferencias (249)</v>
      </c>
      <c r="E1506" s="341">
        <f>+F1506-G1506</f>
        <v>-50000</v>
      </c>
      <c r="F1506" s="405">
        <v>0</v>
      </c>
      <c r="G1506" s="405">
        <f>+F1505</f>
        <v>50000</v>
      </c>
      <c r="H1506" t="str">
        <f>+H1505</f>
        <v>Matías Rafael Ubilla Silva / 249</v>
      </c>
      <c r="I1506" s="403" t="s">
        <v>131</v>
      </c>
      <c r="K1506" s="370"/>
      <c r="N1506" s="370"/>
    </row>
    <row r="1507" spans="1:14" s="347" customFormat="1" x14ac:dyDescent="0.25">
      <c r="A1507" s="369"/>
      <c r="E1507" s="396"/>
      <c r="F1507" s="396"/>
      <c r="G1507" s="396"/>
      <c r="K1507" s="370"/>
      <c r="N1507" s="370"/>
    </row>
    <row r="1508" spans="1:14" s="347" customFormat="1" x14ac:dyDescent="0.25">
      <c r="A1508" s="369">
        <v>44287</v>
      </c>
      <c r="B1508" s="347">
        <f>+MONTH(A1508)</f>
        <v>4</v>
      </c>
      <c r="C1508" s="347">
        <v>115</v>
      </c>
      <c r="D1508" s="340" t="str">
        <f>VLOOKUP(C1508,Plan!A:B,2,0)</f>
        <v>Disponible Cali B.Chile</v>
      </c>
      <c r="E1508" s="341">
        <f>+F1508-G1508</f>
        <v>48000</v>
      </c>
      <c r="F1508" s="405">
        <v>48000</v>
      </c>
      <c r="G1508" s="405">
        <v>0</v>
      </c>
      <c r="H1508" t="s">
        <v>975</v>
      </c>
      <c r="I1508" s="403" t="s">
        <v>131</v>
      </c>
      <c r="K1508" s="370"/>
      <c r="N1508" s="370"/>
    </row>
    <row r="1509" spans="1:14" s="347" customFormat="1" x14ac:dyDescent="0.25">
      <c r="A1509" s="369">
        <f>+A1508</f>
        <v>44287</v>
      </c>
      <c r="B1509" s="347">
        <f>+MONTH(A1509)</f>
        <v>4</v>
      </c>
      <c r="C1509" s="347">
        <v>1217</v>
      </c>
      <c r="D1509" s="340" t="str">
        <f>VLOOKUP(C1509,Plan!A:B,2,0)</f>
        <v>Otros Valores -Oficina y Transferencias (248)</v>
      </c>
      <c r="E1509" s="341">
        <f>+F1509-G1509</f>
        <v>-48000</v>
      </c>
      <c r="F1509" s="405">
        <v>0</v>
      </c>
      <c r="G1509" s="405">
        <f>+F1508</f>
        <v>48000</v>
      </c>
      <c r="H1509" t="str">
        <f>+H1508</f>
        <v>Enrique José Manuel Ferrer/248</v>
      </c>
      <c r="I1509" s="403" t="s">
        <v>131</v>
      </c>
      <c r="K1509" s="370"/>
      <c r="N1509" s="370"/>
    </row>
    <row r="1510" spans="1:14" s="347" customFormat="1" x14ac:dyDescent="0.25">
      <c r="A1510" s="369"/>
      <c r="E1510" s="396"/>
      <c r="F1510" s="396"/>
      <c r="G1510" s="396"/>
      <c r="K1510" s="370"/>
      <c r="N1510" s="370"/>
    </row>
    <row r="1511" spans="1:14" s="347" customFormat="1" x14ac:dyDescent="0.25">
      <c r="A1511" s="369">
        <v>44287</v>
      </c>
      <c r="B1511" s="347">
        <f>+MONTH(A1511)</f>
        <v>4</v>
      </c>
      <c r="C1511" s="347">
        <v>115</v>
      </c>
      <c r="D1511" s="340" t="str">
        <f>VLOOKUP(C1511,Plan!A:B,2,0)</f>
        <v>Disponible Cali B.Chile</v>
      </c>
      <c r="E1511" s="341">
        <f>+F1511-G1511</f>
        <v>40000</v>
      </c>
      <c r="F1511" s="405">
        <v>40000</v>
      </c>
      <c r="G1511" s="405">
        <v>0</v>
      </c>
      <c r="H1511" t="s">
        <v>976</v>
      </c>
      <c r="I1511" s="403" t="s">
        <v>131</v>
      </c>
      <c r="K1511" s="370"/>
      <c r="N1511" s="370"/>
    </row>
    <row r="1512" spans="1:14" s="347" customFormat="1" x14ac:dyDescent="0.25">
      <c r="A1512" s="369">
        <f>+A1511</f>
        <v>44287</v>
      </c>
      <c r="B1512" s="347">
        <f>+MONTH(A1512)</f>
        <v>4</v>
      </c>
      <c r="C1512" s="347">
        <v>1222</v>
      </c>
      <c r="D1512" s="340" t="str">
        <f>VLOOKUP(C1512,Plan!A:B,2,0)</f>
        <v>Otros Valores -Oficina y Transferencias (249)</v>
      </c>
      <c r="E1512" s="341">
        <f>+F1512-G1512</f>
        <v>-40000</v>
      </c>
      <c r="F1512" s="405">
        <v>0</v>
      </c>
      <c r="G1512" s="405">
        <f>+F1511</f>
        <v>40000</v>
      </c>
      <c r="H1512" t="str">
        <f>+H1511</f>
        <v>Ricardo Cañas Cambiaso / 249</v>
      </c>
      <c r="I1512" s="403" t="s">
        <v>131</v>
      </c>
      <c r="K1512" s="370"/>
      <c r="N1512" s="370"/>
    </row>
    <row r="1513" spans="1:14" s="347" customFormat="1" x14ac:dyDescent="0.25">
      <c r="A1513" s="369"/>
      <c r="E1513" s="396"/>
      <c r="F1513" s="396"/>
      <c r="G1513" s="396"/>
      <c r="K1513" s="370"/>
      <c r="N1513" s="370"/>
    </row>
    <row r="1514" spans="1:14" s="347" customFormat="1" x14ac:dyDescent="0.25">
      <c r="A1514" s="369">
        <v>44287</v>
      </c>
      <c r="B1514" s="347">
        <f>+MONTH(A1514)</f>
        <v>4</v>
      </c>
      <c r="C1514" s="347">
        <v>115</v>
      </c>
      <c r="D1514" s="340" t="str">
        <f>VLOOKUP(C1514,Plan!A:B,2,0)</f>
        <v>Disponible Cali B.Chile</v>
      </c>
      <c r="E1514" s="341">
        <f>+F1514-G1514</f>
        <v>20000</v>
      </c>
      <c r="F1514" s="405">
        <v>20000</v>
      </c>
      <c r="G1514" s="405">
        <v>0</v>
      </c>
      <c r="H1514" t="s">
        <v>977</v>
      </c>
      <c r="I1514" s="403" t="s">
        <v>131</v>
      </c>
      <c r="K1514" s="370"/>
      <c r="N1514" s="370"/>
    </row>
    <row r="1515" spans="1:14" s="347" customFormat="1" x14ac:dyDescent="0.25">
      <c r="A1515" s="369">
        <f>+A1514</f>
        <v>44287</v>
      </c>
      <c r="B1515" s="347">
        <f>+MONTH(A1515)</f>
        <v>4</v>
      </c>
      <c r="C1515" s="347">
        <v>3210</v>
      </c>
      <c r="D1515" s="340" t="str">
        <f>VLOOKUP(C1515,Plan!A:B,2,0)</f>
        <v>Donacion Construccion</v>
      </c>
      <c r="E1515" s="341">
        <f>+F1515-G1515</f>
        <v>-20000</v>
      </c>
      <c r="F1515" s="405">
        <v>0</v>
      </c>
      <c r="G1515" s="405">
        <f>+F1514</f>
        <v>20000</v>
      </c>
      <c r="H1515" t="str">
        <f>+H1514</f>
        <v>Fco.Javier Campos González/Azul</v>
      </c>
      <c r="I1515" s="403" t="s">
        <v>131</v>
      </c>
      <c r="K1515" s="370"/>
      <c r="N1515" s="370"/>
    </row>
    <row r="1516" spans="1:14" s="347" customFormat="1" x14ac:dyDescent="0.25">
      <c r="A1516" s="369"/>
      <c r="E1516" s="396"/>
      <c r="F1516" s="396"/>
      <c r="G1516" s="396"/>
      <c r="K1516" s="370"/>
      <c r="N1516" s="370"/>
    </row>
    <row r="1517" spans="1:14" s="347" customFormat="1" x14ac:dyDescent="0.25">
      <c r="A1517" s="369">
        <v>44287</v>
      </c>
      <c r="B1517" s="347">
        <f>+MONTH(A1517)</f>
        <v>4</v>
      </c>
      <c r="C1517" s="347">
        <v>115</v>
      </c>
      <c r="D1517" s="340" t="str">
        <f>VLOOKUP(C1517,Plan!A:B,2,0)</f>
        <v>Disponible Cali B.Chile</v>
      </c>
      <c r="E1517" s="341">
        <f>+F1517-G1517</f>
        <v>20000</v>
      </c>
      <c r="F1517" s="405">
        <v>20000</v>
      </c>
      <c r="G1517" s="405">
        <v>0</v>
      </c>
      <c r="H1517" t="s">
        <v>548</v>
      </c>
      <c r="I1517" s="403" t="s">
        <v>131</v>
      </c>
      <c r="K1517" s="370"/>
      <c r="N1517" s="370"/>
    </row>
    <row r="1518" spans="1:14" s="347" customFormat="1" x14ac:dyDescent="0.25">
      <c r="A1518" s="369">
        <f>+A1517</f>
        <v>44287</v>
      </c>
      <c r="B1518" s="347">
        <f>+MONTH(A1518)</f>
        <v>4</v>
      </c>
      <c r="C1518" s="347">
        <v>1222</v>
      </c>
      <c r="D1518" s="340" t="str">
        <f>VLOOKUP(C1518,Plan!A:B,2,0)</f>
        <v>Otros Valores -Oficina y Transferencias (249)</v>
      </c>
      <c r="E1518" s="341">
        <f>+F1518-G1518</f>
        <v>-20000</v>
      </c>
      <c r="F1518" s="405">
        <v>0</v>
      </c>
      <c r="G1518" s="405">
        <f>+F1517</f>
        <v>20000</v>
      </c>
      <c r="H1518" t="str">
        <f>+H1517</f>
        <v>Josefina Claude / 249</v>
      </c>
      <c r="I1518" s="403" t="s">
        <v>131</v>
      </c>
      <c r="K1518" s="370"/>
      <c r="N1518" s="370"/>
    </row>
    <row r="1519" spans="1:14" s="347" customFormat="1" x14ac:dyDescent="0.25">
      <c r="A1519" s="369"/>
      <c r="E1519" s="396"/>
      <c r="F1519" s="396"/>
      <c r="G1519" s="396"/>
      <c r="K1519" s="370"/>
      <c r="N1519" s="370"/>
    </row>
    <row r="1520" spans="1:14" s="347" customFormat="1" x14ac:dyDescent="0.25">
      <c r="A1520" s="369">
        <v>44287</v>
      </c>
      <c r="B1520" s="347">
        <f>+MONTH(A1520)</f>
        <v>4</v>
      </c>
      <c r="C1520" s="347">
        <v>115</v>
      </c>
      <c r="D1520" s="340" t="str">
        <f>VLOOKUP(C1520,Plan!A:B,2,0)</f>
        <v>Disponible Cali B.Chile</v>
      </c>
      <c r="E1520" s="341">
        <f>+F1520-G1520</f>
        <v>50000</v>
      </c>
      <c r="F1520" s="405">
        <v>50000</v>
      </c>
      <c r="G1520" s="405">
        <v>0</v>
      </c>
      <c r="H1520" t="s">
        <v>547</v>
      </c>
      <c r="I1520" s="403" t="s">
        <v>131</v>
      </c>
      <c r="K1520" s="370"/>
      <c r="N1520" s="370"/>
    </row>
    <row r="1521" spans="1:14" s="347" customFormat="1" x14ac:dyDescent="0.25">
      <c r="A1521" s="369">
        <f>+A1520</f>
        <v>44287</v>
      </c>
      <c r="B1521" s="347">
        <f>+MONTH(A1521)</f>
        <v>4</v>
      </c>
      <c r="C1521" s="347">
        <v>1222</v>
      </c>
      <c r="D1521" s="340" t="str">
        <f>VLOOKUP(C1521,Plan!A:B,2,0)</f>
        <v>Otros Valores -Oficina y Transferencias (249)</v>
      </c>
      <c r="E1521" s="341">
        <f>+F1521-G1521</f>
        <v>-50000</v>
      </c>
      <c r="F1521" s="405">
        <v>0</v>
      </c>
      <c r="G1521" s="405">
        <f>+F1520</f>
        <v>50000</v>
      </c>
      <c r="H1521" t="str">
        <f>+H1520</f>
        <v>Jorge Claude / 249</v>
      </c>
      <c r="I1521" s="403" t="s">
        <v>131</v>
      </c>
      <c r="K1521" s="370"/>
      <c r="N1521" s="370"/>
    </row>
    <row r="1522" spans="1:14" s="347" customFormat="1" x14ac:dyDescent="0.25">
      <c r="A1522" s="369"/>
      <c r="E1522" s="396"/>
      <c r="F1522" s="396"/>
      <c r="G1522" s="396"/>
      <c r="K1522" s="370"/>
      <c r="N1522" s="370"/>
    </row>
    <row r="1523" spans="1:14" s="347" customFormat="1" x14ac:dyDescent="0.25">
      <c r="A1523" s="369">
        <v>44287</v>
      </c>
      <c r="B1523" s="347">
        <f>+MONTH(A1523)</f>
        <v>4</v>
      </c>
      <c r="C1523" s="347">
        <v>115</v>
      </c>
      <c r="D1523" s="340" t="str">
        <f>VLOOKUP(C1523,Plan!A:B,2,0)</f>
        <v>Disponible Cali B.Chile</v>
      </c>
      <c r="E1523" s="341">
        <f>+F1523-G1523</f>
        <v>30000</v>
      </c>
      <c r="F1523" s="405">
        <v>30000</v>
      </c>
      <c r="G1523" s="405">
        <v>0</v>
      </c>
      <c r="H1523" t="s">
        <v>978</v>
      </c>
      <c r="I1523" s="403" t="s">
        <v>131</v>
      </c>
      <c r="K1523" s="370"/>
      <c r="N1523" s="370"/>
    </row>
    <row r="1524" spans="1:14" s="347" customFormat="1" x14ac:dyDescent="0.25">
      <c r="A1524" s="369">
        <f>+A1523</f>
        <v>44287</v>
      </c>
      <c r="B1524" s="347">
        <f>+MONTH(A1524)</f>
        <v>4</v>
      </c>
      <c r="C1524" s="347">
        <v>3210</v>
      </c>
      <c r="D1524" s="340" t="str">
        <f>VLOOKUP(C1524,Plan!A:B,2,0)</f>
        <v>Donacion Construccion</v>
      </c>
      <c r="E1524" s="341">
        <f>+F1524-G1524</f>
        <v>-30000</v>
      </c>
      <c r="F1524" s="405">
        <v>0</v>
      </c>
      <c r="G1524" s="405">
        <f>+F1523</f>
        <v>30000</v>
      </c>
      <c r="H1524" t="str">
        <f>+H1523</f>
        <v>Sergio Rodríguez Oro / Azul</v>
      </c>
      <c r="I1524" s="403" t="s">
        <v>131</v>
      </c>
      <c r="K1524" s="370"/>
      <c r="N1524" s="370"/>
    </row>
    <row r="1525" spans="1:14" s="347" customFormat="1" x14ac:dyDescent="0.25">
      <c r="A1525" s="369"/>
      <c r="E1525" s="396"/>
      <c r="F1525" s="396"/>
      <c r="G1525" s="396"/>
      <c r="K1525" s="370"/>
      <c r="N1525" s="370"/>
    </row>
    <row r="1526" spans="1:14" s="347" customFormat="1" x14ac:dyDescent="0.25">
      <c r="A1526" s="369">
        <v>44287</v>
      </c>
      <c r="B1526" s="347">
        <f>+MONTH(A1526)</f>
        <v>4</v>
      </c>
      <c r="C1526" s="347">
        <v>115</v>
      </c>
      <c r="D1526" s="340" t="str">
        <f>VLOOKUP(C1526,Plan!A:B,2,0)</f>
        <v>Disponible Cali B.Chile</v>
      </c>
      <c r="E1526" s="341">
        <f>+F1526-G1526</f>
        <v>15000</v>
      </c>
      <c r="F1526" s="405">
        <v>15000</v>
      </c>
      <c r="G1526" s="405">
        <v>0</v>
      </c>
      <c r="H1526" t="s">
        <v>979</v>
      </c>
      <c r="I1526" s="403" t="s">
        <v>131</v>
      </c>
      <c r="K1526" s="370"/>
      <c r="N1526" s="370"/>
    </row>
    <row r="1527" spans="1:14" s="347" customFormat="1" x14ac:dyDescent="0.25">
      <c r="A1527" s="369">
        <f>+A1526</f>
        <v>44287</v>
      </c>
      <c r="B1527" s="347">
        <f>+MONTH(A1527)</f>
        <v>4</v>
      </c>
      <c r="C1527" s="347">
        <v>1222</v>
      </c>
      <c r="D1527" s="340" t="str">
        <f>VLOOKUP(C1527,Plan!A:B,2,0)</f>
        <v>Otros Valores -Oficina y Transferencias (249)</v>
      </c>
      <c r="E1527" s="341">
        <f>+F1527-G1527</f>
        <v>-15000</v>
      </c>
      <c r="F1527" s="405">
        <v>0</v>
      </c>
      <c r="G1527" s="405">
        <f>+F1526</f>
        <v>15000</v>
      </c>
      <c r="H1527" t="str">
        <f>+H1526</f>
        <v>María Paulina Grez / 249</v>
      </c>
      <c r="I1527" s="403" t="s">
        <v>131</v>
      </c>
      <c r="K1527" s="370"/>
      <c r="N1527" s="370"/>
    </row>
    <row r="1528" spans="1:14" s="347" customFormat="1" x14ac:dyDescent="0.25">
      <c r="A1528" s="369"/>
      <c r="E1528" s="396"/>
      <c r="F1528" s="396"/>
      <c r="G1528" s="396"/>
      <c r="K1528" s="370"/>
      <c r="N1528" s="370"/>
    </row>
    <row r="1529" spans="1:14" s="347" customFormat="1" x14ac:dyDescent="0.25">
      <c r="A1529" s="369">
        <v>44287</v>
      </c>
      <c r="B1529" s="347">
        <f>+MONTH(A1529)</f>
        <v>4</v>
      </c>
      <c r="C1529" s="347">
        <v>115</v>
      </c>
      <c r="D1529" s="340" t="str">
        <f>VLOOKUP(C1529,Plan!A:B,2,0)</f>
        <v>Disponible Cali B.Chile</v>
      </c>
      <c r="E1529" s="341">
        <f>+F1529-G1529</f>
        <v>3000000</v>
      </c>
      <c r="F1529" s="405">
        <v>3000000</v>
      </c>
      <c r="G1529" s="405">
        <v>0</v>
      </c>
      <c r="H1529" t="s">
        <v>1668</v>
      </c>
      <c r="I1529" s="403" t="s">
        <v>131</v>
      </c>
      <c r="K1529" s="370"/>
      <c r="N1529" s="370"/>
    </row>
    <row r="1530" spans="1:14" s="347" customFormat="1" x14ac:dyDescent="0.25">
      <c r="A1530" s="369">
        <f>+A1529</f>
        <v>44287</v>
      </c>
      <c r="B1530" s="347">
        <f>+MONTH(A1530)</f>
        <v>4</v>
      </c>
      <c r="C1530" s="347">
        <v>3210</v>
      </c>
      <c r="D1530" s="340" t="str">
        <f>VLOOKUP(C1530,Plan!A:B,2,0)</f>
        <v>Donacion Construccion</v>
      </c>
      <c r="E1530" s="341">
        <f>+F1530-G1530</f>
        <v>-3000000</v>
      </c>
      <c r="F1530" s="405">
        <v>0</v>
      </c>
      <c r="G1530" s="405">
        <f>+F1529</f>
        <v>3000000</v>
      </c>
      <c r="H1530" t="str">
        <f>+H1529</f>
        <v>José Tomás Guzmán Rencoret / Azul</v>
      </c>
      <c r="I1530" s="403" t="s">
        <v>131</v>
      </c>
      <c r="K1530" s="370"/>
      <c r="N1530" s="370"/>
    </row>
    <row r="1531" spans="1:14" s="347" customFormat="1" x14ac:dyDescent="0.25">
      <c r="A1531" s="369"/>
      <c r="E1531" s="396"/>
      <c r="F1531" s="396"/>
      <c r="G1531" s="396"/>
      <c r="K1531" s="370"/>
      <c r="N1531" s="370"/>
    </row>
    <row r="1532" spans="1:14" s="347" customFormat="1" x14ac:dyDescent="0.25">
      <c r="A1532" s="369">
        <v>44287</v>
      </c>
      <c r="B1532" s="347">
        <f>+MONTH(A1532)</f>
        <v>4</v>
      </c>
      <c r="C1532" s="347">
        <v>115</v>
      </c>
      <c r="D1532" s="340" t="str">
        <f>VLOOKUP(C1532,Plan!A:B,2,0)</f>
        <v>Disponible Cali B.Chile</v>
      </c>
      <c r="E1532" s="341">
        <f>+F1532-G1532</f>
        <v>30000</v>
      </c>
      <c r="F1532" s="405">
        <v>30000</v>
      </c>
      <c r="G1532" s="405">
        <v>0</v>
      </c>
      <c r="H1532" t="s">
        <v>1669</v>
      </c>
      <c r="I1532" s="403" t="s">
        <v>131</v>
      </c>
      <c r="K1532" s="370"/>
      <c r="N1532" s="370"/>
    </row>
    <row r="1533" spans="1:14" s="347" customFormat="1" x14ac:dyDescent="0.25">
      <c r="A1533" s="369">
        <f>+A1532</f>
        <v>44287</v>
      </c>
      <c r="B1533" s="347">
        <f>+MONTH(A1533)</f>
        <v>4</v>
      </c>
      <c r="C1533" s="347">
        <v>1222</v>
      </c>
      <c r="D1533" s="340" t="str">
        <f>VLOOKUP(C1533,Plan!A:B,2,0)</f>
        <v>Otros Valores -Oficina y Transferencias (249)</v>
      </c>
      <c r="E1533" s="341">
        <f>+F1533-G1533</f>
        <v>-30000</v>
      </c>
      <c r="F1533" s="405">
        <v>0</v>
      </c>
      <c r="G1533" s="405">
        <f>+F1532</f>
        <v>30000</v>
      </c>
      <c r="H1533" t="str">
        <f>+H1532</f>
        <v>Carlos Enrique Blanco Plummer / 249</v>
      </c>
      <c r="I1533" s="403" t="s">
        <v>131</v>
      </c>
      <c r="K1533" s="370"/>
      <c r="N1533" s="370"/>
    </row>
    <row r="1534" spans="1:14" s="347" customFormat="1" x14ac:dyDescent="0.25">
      <c r="A1534" s="369"/>
      <c r="E1534" s="396"/>
      <c r="F1534" s="396"/>
      <c r="G1534" s="396"/>
      <c r="K1534" s="370"/>
      <c r="N1534" s="370"/>
    </row>
    <row r="1535" spans="1:14" s="347" customFormat="1" x14ac:dyDescent="0.25">
      <c r="A1535" s="369">
        <v>44287</v>
      </c>
      <c r="B1535" s="347">
        <f>+MONTH(A1535)</f>
        <v>4</v>
      </c>
      <c r="C1535" s="347">
        <v>115</v>
      </c>
      <c r="D1535" s="340" t="str">
        <f>VLOOKUP(C1535,Plan!A:B,2,0)</f>
        <v>Disponible Cali B.Chile</v>
      </c>
      <c r="E1535" s="341">
        <f>+F1535-G1535</f>
        <v>100000</v>
      </c>
      <c r="F1535" s="405">
        <v>100000</v>
      </c>
      <c r="G1535" s="405">
        <v>0</v>
      </c>
      <c r="H1535" t="s">
        <v>987</v>
      </c>
      <c r="I1535" s="403" t="s">
        <v>131</v>
      </c>
      <c r="K1535" s="370"/>
      <c r="N1535" s="370"/>
    </row>
    <row r="1536" spans="1:14" s="347" customFormat="1" x14ac:dyDescent="0.25">
      <c r="A1536" s="369">
        <f>+A1535</f>
        <v>44287</v>
      </c>
      <c r="B1536" s="347">
        <f>+MONTH(A1536)</f>
        <v>4</v>
      </c>
      <c r="C1536" s="347">
        <v>1217</v>
      </c>
      <c r="D1536" s="340" t="str">
        <f>VLOOKUP(C1536,Plan!A:B,2,0)</f>
        <v>Otros Valores -Oficina y Transferencias (248)</v>
      </c>
      <c r="E1536" s="341">
        <f>+F1536-G1536</f>
        <v>-100000</v>
      </c>
      <c r="F1536" s="405">
        <v>0</v>
      </c>
      <c r="G1536" s="405">
        <f>+F1535</f>
        <v>100000</v>
      </c>
      <c r="H1536" t="str">
        <f>+H1535</f>
        <v xml:space="preserve">I. Ureta / 248 </v>
      </c>
      <c r="I1536" s="403" t="s">
        <v>131</v>
      </c>
      <c r="K1536" s="370"/>
      <c r="N1536" s="370"/>
    </row>
    <row r="1537" spans="1:14" s="347" customFormat="1" x14ac:dyDescent="0.25">
      <c r="A1537" s="369"/>
      <c r="E1537" s="396"/>
      <c r="F1537" s="396"/>
      <c r="G1537" s="396"/>
      <c r="K1537" s="370"/>
      <c r="N1537" s="370"/>
    </row>
    <row r="1538" spans="1:14" s="347" customFormat="1" x14ac:dyDescent="0.25">
      <c r="A1538" s="369">
        <v>44287</v>
      </c>
      <c r="B1538" s="347">
        <f>+MONTH(A1538)</f>
        <v>4</v>
      </c>
      <c r="C1538" s="347">
        <v>115</v>
      </c>
      <c r="D1538" s="340" t="str">
        <f>VLOOKUP(C1538,Plan!A:B,2,0)</f>
        <v>Disponible Cali B.Chile</v>
      </c>
      <c r="E1538" s="341">
        <f>+F1538-G1538</f>
        <v>10000</v>
      </c>
      <c r="F1538" s="405">
        <v>10000</v>
      </c>
      <c r="G1538" s="405">
        <v>0</v>
      </c>
      <c r="H1538" t="s">
        <v>1670</v>
      </c>
      <c r="I1538" s="403" t="s">
        <v>131</v>
      </c>
      <c r="K1538" s="370"/>
      <c r="N1538" s="370"/>
    </row>
    <row r="1539" spans="1:14" s="347" customFormat="1" x14ac:dyDescent="0.25">
      <c r="A1539" s="369">
        <f>+A1538</f>
        <v>44287</v>
      </c>
      <c r="B1539" s="347">
        <f>+MONTH(A1539)</f>
        <v>4</v>
      </c>
      <c r="C1539" s="347">
        <v>1222</v>
      </c>
      <c r="D1539" s="340" t="str">
        <f>VLOOKUP(C1539,Plan!A:B,2,0)</f>
        <v>Otros Valores -Oficina y Transferencias (249)</v>
      </c>
      <c r="E1539" s="341">
        <f>+F1539-G1539</f>
        <v>-10000</v>
      </c>
      <c r="F1539" s="405">
        <v>0</v>
      </c>
      <c r="G1539" s="405">
        <f>+F1538</f>
        <v>10000</v>
      </c>
      <c r="H1539" t="str">
        <f>+H1538</f>
        <v>María Virginia Fernández Oyarzún / 249</v>
      </c>
      <c r="I1539" s="403" t="s">
        <v>131</v>
      </c>
      <c r="K1539" s="370"/>
      <c r="N1539" s="370"/>
    </row>
    <row r="1540" spans="1:14" s="347" customFormat="1" x14ac:dyDescent="0.25">
      <c r="A1540" s="369"/>
      <c r="E1540" s="396"/>
      <c r="F1540" s="396"/>
      <c r="G1540" s="396"/>
      <c r="K1540" s="370"/>
      <c r="N1540" s="370"/>
    </row>
    <row r="1541" spans="1:14" s="347" customFormat="1" x14ac:dyDescent="0.25">
      <c r="A1541" s="369">
        <v>44287</v>
      </c>
      <c r="B1541" s="347">
        <f>+MONTH(A1541)</f>
        <v>4</v>
      </c>
      <c r="C1541" s="347">
        <v>115</v>
      </c>
      <c r="D1541" s="340" t="str">
        <f>VLOOKUP(C1541,Plan!A:B,2,0)</f>
        <v>Disponible Cali B.Chile</v>
      </c>
      <c r="E1541" s="341">
        <f>+F1541-G1541</f>
        <v>80000</v>
      </c>
      <c r="F1541" s="405">
        <v>80000</v>
      </c>
      <c r="G1541" s="405">
        <v>0</v>
      </c>
      <c r="H1541" t="s">
        <v>797</v>
      </c>
      <c r="I1541" s="403" t="s">
        <v>131</v>
      </c>
      <c r="K1541" s="370"/>
      <c r="N1541" s="370"/>
    </row>
    <row r="1542" spans="1:14" s="347" customFormat="1" x14ac:dyDescent="0.25">
      <c r="A1542" s="369">
        <f>+A1541</f>
        <v>44287</v>
      </c>
      <c r="B1542" s="347">
        <f>+MONTH(A1542)</f>
        <v>4</v>
      </c>
      <c r="C1542" s="347">
        <v>1217</v>
      </c>
      <c r="D1542" s="340" t="str">
        <f>VLOOKUP(C1542,Plan!A:B,2,0)</f>
        <v>Otros Valores -Oficina y Transferencias (248)</v>
      </c>
      <c r="E1542" s="341">
        <f>+F1542-G1542</f>
        <v>-80000</v>
      </c>
      <c r="F1542" s="405">
        <v>0</v>
      </c>
      <c r="G1542" s="405">
        <f>+F1541</f>
        <v>80000</v>
      </c>
      <c r="H1542" t="str">
        <f>+H1541</f>
        <v>R. Casas del Valle / 248</v>
      </c>
      <c r="I1542" s="403" t="s">
        <v>131</v>
      </c>
      <c r="K1542" s="370"/>
      <c r="N1542" s="370"/>
    </row>
    <row r="1543" spans="1:14" s="347" customFormat="1" x14ac:dyDescent="0.25">
      <c r="A1543" s="369"/>
      <c r="E1543" s="396"/>
      <c r="F1543" s="396"/>
      <c r="G1543" s="396"/>
      <c r="K1543" s="370"/>
      <c r="N1543" s="370"/>
    </row>
    <row r="1544" spans="1:14" s="347" customFormat="1" x14ac:dyDescent="0.25">
      <c r="A1544" s="369">
        <v>44287</v>
      </c>
      <c r="B1544" s="347">
        <f>+MONTH(A1544)</f>
        <v>4</v>
      </c>
      <c r="C1544" s="347">
        <v>115</v>
      </c>
      <c r="D1544" s="340" t="str">
        <f>VLOOKUP(C1544,Plan!A:B,2,0)</f>
        <v>Disponible Cali B.Chile</v>
      </c>
      <c r="E1544" s="341">
        <f>+F1544-G1544</f>
        <v>20000</v>
      </c>
      <c r="F1544" s="405">
        <v>20000</v>
      </c>
      <c r="G1544" s="405">
        <v>0</v>
      </c>
      <c r="H1544" t="s">
        <v>1007</v>
      </c>
      <c r="I1544" s="403" t="s">
        <v>131</v>
      </c>
      <c r="K1544" s="370"/>
      <c r="N1544" s="370"/>
    </row>
    <row r="1545" spans="1:14" s="347" customFormat="1" x14ac:dyDescent="0.25">
      <c r="A1545" s="369">
        <f>+A1544</f>
        <v>44287</v>
      </c>
      <c r="B1545" s="347">
        <f>+MONTH(A1545)</f>
        <v>4</v>
      </c>
      <c r="C1545" s="347">
        <v>1222</v>
      </c>
      <c r="D1545" s="340" t="str">
        <f>VLOOKUP(C1545,Plan!A:B,2,0)</f>
        <v>Otros Valores -Oficina y Transferencias (249)</v>
      </c>
      <c r="E1545" s="341">
        <f>+F1545-G1545</f>
        <v>-20000</v>
      </c>
      <c r="F1545" s="405">
        <v>0</v>
      </c>
      <c r="G1545" s="405">
        <f>+F1544</f>
        <v>20000</v>
      </c>
      <c r="H1545" t="str">
        <f>+H1544</f>
        <v>Oscar Guarda Barros / 249</v>
      </c>
      <c r="I1545" s="403" t="s">
        <v>131</v>
      </c>
      <c r="K1545" s="370"/>
      <c r="N1545" s="370"/>
    </row>
    <row r="1546" spans="1:14" s="347" customFormat="1" x14ac:dyDescent="0.25">
      <c r="A1546" s="369"/>
      <c r="E1546" s="396"/>
      <c r="F1546" s="396"/>
      <c r="G1546" s="396"/>
      <c r="K1546" s="370"/>
      <c r="N1546" s="370"/>
    </row>
    <row r="1547" spans="1:14" s="347" customFormat="1" x14ac:dyDescent="0.25">
      <c r="A1547" s="369">
        <v>44291</v>
      </c>
      <c r="B1547" s="347">
        <f>+MONTH(A1547)</f>
        <v>4</v>
      </c>
      <c r="C1547" s="347">
        <v>115</v>
      </c>
      <c r="D1547" s="340" t="str">
        <f>VLOOKUP(C1547,Plan!A:B,2,0)</f>
        <v>Disponible Cali B.Chile</v>
      </c>
      <c r="E1547" s="341">
        <f>+F1547-G1547</f>
        <v>45000</v>
      </c>
      <c r="F1547" s="405">
        <v>45000</v>
      </c>
      <c r="G1547" s="405">
        <v>0</v>
      </c>
      <c r="H1547" t="s">
        <v>993</v>
      </c>
      <c r="I1547" s="403" t="s">
        <v>131</v>
      </c>
      <c r="K1547" s="370"/>
      <c r="N1547" s="370"/>
    </row>
    <row r="1548" spans="1:14" s="347" customFormat="1" x14ac:dyDescent="0.25">
      <c r="A1548" s="369">
        <f>+A1547</f>
        <v>44291</v>
      </c>
      <c r="B1548" s="347">
        <f>+MONTH(A1548)</f>
        <v>4</v>
      </c>
      <c r="C1548" s="347">
        <v>3210</v>
      </c>
      <c r="D1548" s="340" t="str">
        <f>VLOOKUP(C1548,Plan!A:B,2,0)</f>
        <v>Donacion Construccion</v>
      </c>
      <c r="E1548" s="341">
        <f>+F1548-G1548</f>
        <v>-45000</v>
      </c>
      <c r="F1548" s="405">
        <v>0</v>
      </c>
      <c r="G1548" s="405">
        <f>+F1547</f>
        <v>45000</v>
      </c>
      <c r="H1548" t="str">
        <f>+H1547</f>
        <v>Patricia Romero Navarro / Azul</v>
      </c>
      <c r="I1548" s="403" t="s">
        <v>131</v>
      </c>
      <c r="K1548" s="370"/>
      <c r="N1548" s="370"/>
    </row>
    <row r="1549" spans="1:14" s="347" customFormat="1" x14ac:dyDescent="0.25">
      <c r="A1549" s="369"/>
      <c r="E1549" s="396"/>
      <c r="F1549" s="396"/>
      <c r="G1549" s="396"/>
      <c r="K1549" s="370"/>
      <c r="N1549" s="370"/>
    </row>
    <row r="1550" spans="1:14" s="347" customFormat="1" x14ac:dyDescent="0.25">
      <c r="A1550" s="369">
        <v>44291</v>
      </c>
      <c r="B1550" s="347">
        <f>+MONTH(A1550)</f>
        <v>4</v>
      </c>
      <c r="C1550" s="347">
        <v>115</v>
      </c>
      <c r="D1550" s="340" t="str">
        <f>VLOOKUP(C1550,Plan!A:B,2,0)</f>
        <v>Disponible Cali B.Chile</v>
      </c>
      <c r="E1550" s="341">
        <f>+F1550-G1550</f>
        <v>50000</v>
      </c>
      <c r="F1550" s="405">
        <v>50000</v>
      </c>
      <c r="G1550" s="405">
        <v>0</v>
      </c>
      <c r="H1550" t="s">
        <v>995</v>
      </c>
      <c r="I1550" s="403" t="s">
        <v>131</v>
      </c>
      <c r="K1550" s="370"/>
      <c r="N1550" s="370"/>
    </row>
    <row r="1551" spans="1:14" s="347" customFormat="1" x14ac:dyDescent="0.25">
      <c r="A1551" s="369">
        <f>+A1550</f>
        <v>44291</v>
      </c>
      <c r="B1551" s="347">
        <f>+MONTH(A1551)</f>
        <v>4</v>
      </c>
      <c r="C1551" s="347">
        <v>1222</v>
      </c>
      <c r="D1551" s="340" t="str">
        <f>VLOOKUP(C1551,Plan!A:B,2,0)</f>
        <v>Otros Valores -Oficina y Transferencias (249)</v>
      </c>
      <c r="E1551" s="341">
        <f>+F1551-G1551</f>
        <v>-50000</v>
      </c>
      <c r="F1551" s="405">
        <v>0</v>
      </c>
      <c r="G1551" s="405">
        <f>+F1550</f>
        <v>50000</v>
      </c>
      <c r="H1551" t="str">
        <f>+H1550</f>
        <v>Francisco Salazar González / 249</v>
      </c>
      <c r="I1551" s="403" t="s">
        <v>131</v>
      </c>
      <c r="K1551" s="370"/>
      <c r="N1551" s="370"/>
    </row>
    <row r="1552" spans="1:14" s="347" customFormat="1" x14ac:dyDescent="0.25">
      <c r="A1552" s="369"/>
      <c r="E1552" s="396"/>
      <c r="F1552" s="396"/>
      <c r="G1552" s="396"/>
      <c r="K1552" s="370"/>
      <c r="N1552" s="370"/>
    </row>
    <row r="1553" spans="1:14" s="347" customFormat="1" x14ac:dyDescent="0.25">
      <c r="A1553" s="369">
        <v>44291</v>
      </c>
      <c r="B1553" s="347">
        <f>+MONTH(A1553)</f>
        <v>4</v>
      </c>
      <c r="C1553" s="347">
        <v>115</v>
      </c>
      <c r="D1553" s="340" t="str">
        <f>VLOOKUP(C1553,Plan!A:B,2,0)</f>
        <v>Disponible Cali B.Chile</v>
      </c>
      <c r="E1553" s="341">
        <f>+F1553-G1553</f>
        <v>25000</v>
      </c>
      <c r="F1553" s="405">
        <v>25000</v>
      </c>
      <c r="G1553" s="405">
        <v>0</v>
      </c>
      <c r="H1553" t="s">
        <v>990</v>
      </c>
      <c r="I1553" s="403" t="s">
        <v>131</v>
      </c>
      <c r="K1553" s="370"/>
      <c r="N1553" s="370"/>
    </row>
    <row r="1554" spans="1:14" s="347" customFormat="1" x14ac:dyDescent="0.25">
      <c r="A1554" s="369">
        <f>+A1553</f>
        <v>44291</v>
      </c>
      <c r="B1554" s="347">
        <f>+MONTH(A1554)</f>
        <v>4</v>
      </c>
      <c r="C1554" s="347">
        <v>1222</v>
      </c>
      <c r="D1554" s="340" t="str">
        <f>VLOOKUP(C1554,Plan!A:B,2,0)</f>
        <v>Otros Valores -Oficina y Transferencias (249)</v>
      </c>
      <c r="E1554" s="341">
        <f>+F1554-G1554</f>
        <v>-25000</v>
      </c>
      <c r="F1554" s="405">
        <v>0</v>
      </c>
      <c r="G1554" s="405">
        <f>+F1553</f>
        <v>25000</v>
      </c>
      <c r="H1554" t="str">
        <f>+H1553</f>
        <v>María Dolores Rioseco Rodríguez/249</v>
      </c>
      <c r="I1554" s="403" t="s">
        <v>131</v>
      </c>
      <c r="K1554" s="370"/>
      <c r="N1554" s="370"/>
    </row>
    <row r="1555" spans="1:14" s="347" customFormat="1" x14ac:dyDescent="0.25">
      <c r="A1555" s="369"/>
      <c r="E1555" s="396"/>
      <c r="F1555" s="396"/>
      <c r="G1555" s="396"/>
      <c r="K1555" s="370"/>
      <c r="N1555" s="370"/>
    </row>
    <row r="1556" spans="1:14" s="347" customFormat="1" x14ac:dyDescent="0.25">
      <c r="A1556" s="369">
        <v>44291</v>
      </c>
      <c r="B1556" s="347">
        <f>+MONTH(A1556)</f>
        <v>4</v>
      </c>
      <c r="C1556" s="347">
        <v>115</v>
      </c>
      <c r="D1556" s="340" t="str">
        <f>VLOOKUP(C1556,Plan!A:B,2,0)</f>
        <v>Disponible Cali B.Chile</v>
      </c>
      <c r="E1556" s="341">
        <f>+F1556-G1556</f>
        <v>65000</v>
      </c>
      <c r="F1556" s="405">
        <v>65000</v>
      </c>
      <c r="G1556" s="405">
        <v>0</v>
      </c>
      <c r="H1556" t="s">
        <v>992</v>
      </c>
      <c r="I1556" s="403" t="s">
        <v>131</v>
      </c>
      <c r="K1556" s="370"/>
      <c r="N1556" s="370"/>
    </row>
    <row r="1557" spans="1:14" s="347" customFormat="1" x14ac:dyDescent="0.25">
      <c r="A1557" s="369">
        <f>+A1556</f>
        <v>44291</v>
      </c>
      <c r="B1557" s="347">
        <f>+MONTH(A1557)</f>
        <v>4</v>
      </c>
      <c r="C1557" s="347">
        <v>1222</v>
      </c>
      <c r="D1557" s="340" t="str">
        <f>VLOOKUP(C1557,Plan!A:B,2,0)</f>
        <v>Otros Valores -Oficina y Transferencias (249)</v>
      </c>
      <c r="E1557" s="341">
        <f>+F1557-G1557</f>
        <v>-65000</v>
      </c>
      <c r="F1557" s="405">
        <v>0</v>
      </c>
      <c r="G1557" s="405">
        <f>+F1556</f>
        <v>65000</v>
      </c>
      <c r="H1557" t="str">
        <f>+H1556</f>
        <v>Enrique Brahm García / 249</v>
      </c>
      <c r="I1557" s="403" t="s">
        <v>131</v>
      </c>
      <c r="K1557" s="370"/>
      <c r="N1557" s="370"/>
    </row>
    <row r="1558" spans="1:14" s="347" customFormat="1" x14ac:dyDescent="0.25">
      <c r="A1558" s="369"/>
      <c r="E1558" s="396"/>
      <c r="F1558" s="396"/>
      <c r="G1558" s="396"/>
      <c r="K1558" s="370"/>
      <c r="N1558" s="370"/>
    </row>
    <row r="1559" spans="1:14" s="347" customFormat="1" x14ac:dyDescent="0.25">
      <c r="A1559" s="369">
        <v>44291</v>
      </c>
      <c r="B1559" s="347">
        <f>+MONTH(A1559)</f>
        <v>4</v>
      </c>
      <c r="C1559" s="347">
        <v>115</v>
      </c>
      <c r="D1559" s="340" t="str">
        <f>VLOOKUP(C1559,Plan!A:B,2,0)</f>
        <v>Disponible Cali B.Chile</v>
      </c>
      <c r="E1559" s="341">
        <f>+F1559-G1559</f>
        <v>30000</v>
      </c>
      <c r="F1559" s="405">
        <v>30000</v>
      </c>
      <c r="G1559" s="405">
        <v>0</v>
      </c>
      <c r="H1559" t="s">
        <v>1671</v>
      </c>
      <c r="I1559" s="403" t="s">
        <v>131</v>
      </c>
      <c r="K1559" s="370"/>
      <c r="N1559" s="370"/>
    </row>
    <row r="1560" spans="1:14" s="347" customFormat="1" x14ac:dyDescent="0.25">
      <c r="A1560" s="369">
        <f>+A1559</f>
        <v>44291</v>
      </c>
      <c r="B1560" s="347">
        <f>+MONTH(A1560)</f>
        <v>4</v>
      </c>
      <c r="C1560" s="347">
        <v>3210</v>
      </c>
      <c r="D1560" s="340" t="str">
        <f>VLOOKUP(C1560,Plan!A:B,2,0)</f>
        <v>Donacion Construccion</v>
      </c>
      <c r="E1560" s="341">
        <f>+F1560-G1560</f>
        <v>-30000</v>
      </c>
      <c r="F1560" s="405">
        <v>0</v>
      </c>
      <c r="G1560" s="405">
        <f>+F1559</f>
        <v>30000</v>
      </c>
      <c r="H1560" t="str">
        <f>+H1559</f>
        <v>Carlos Enrique Celis Celedón / Azul</v>
      </c>
      <c r="I1560" s="403" t="s">
        <v>131</v>
      </c>
      <c r="K1560" s="370"/>
      <c r="N1560" s="370"/>
    </row>
    <row r="1561" spans="1:14" s="347" customFormat="1" x14ac:dyDescent="0.25">
      <c r="A1561" s="369"/>
      <c r="E1561" s="396"/>
      <c r="F1561" s="396"/>
      <c r="G1561" s="396"/>
      <c r="K1561" s="370"/>
      <c r="N1561" s="370"/>
    </row>
    <row r="1562" spans="1:14" s="347" customFormat="1" x14ac:dyDescent="0.25">
      <c r="A1562" s="369">
        <v>44291</v>
      </c>
      <c r="B1562" s="347">
        <f>+MONTH(A1562)</f>
        <v>4</v>
      </c>
      <c r="C1562" s="347">
        <v>115</v>
      </c>
      <c r="D1562" s="340" t="str">
        <f>VLOOKUP(C1562,Plan!A:B,2,0)</f>
        <v>Disponible Cali B.Chile</v>
      </c>
      <c r="E1562" s="341">
        <f>+F1562-G1562</f>
        <v>100000</v>
      </c>
      <c r="F1562" s="405">
        <v>100000</v>
      </c>
      <c r="G1562" s="405">
        <v>0</v>
      </c>
      <c r="H1562" t="s">
        <v>1021</v>
      </c>
      <c r="I1562" s="403" t="s">
        <v>131</v>
      </c>
      <c r="K1562" s="370"/>
      <c r="N1562" s="370"/>
    </row>
    <row r="1563" spans="1:14" s="347" customFormat="1" x14ac:dyDescent="0.25">
      <c r="A1563" s="369">
        <f>+A1562</f>
        <v>44291</v>
      </c>
      <c r="B1563" s="347">
        <f>+MONTH(A1563)</f>
        <v>4</v>
      </c>
      <c r="C1563" s="347">
        <v>3210</v>
      </c>
      <c r="D1563" s="340" t="str">
        <f>VLOOKUP(C1563,Plan!A:B,2,0)</f>
        <v>Donacion Construccion</v>
      </c>
      <c r="E1563" s="341">
        <f>+F1563-G1563</f>
        <v>-100000</v>
      </c>
      <c r="F1563" s="405">
        <v>0</v>
      </c>
      <c r="G1563" s="405">
        <f>+F1562</f>
        <v>100000</v>
      </c>
      <c r="H1563" t="str">
        <f>+H1562</f>
        <v>Italo Lubiano Tassara/Azul</v>
      </c>
      <c r="I1563" s="403" t="s">
        <v>131</v>
      </c>
      <c r="K1563" s="370"/>
      <c r="N1563" s="370"/>
    </row>
    <row r="1564" spans="1:14" s="347" customFormat="1" x14ac:dyDescent="0.25">
      <c r="A1564" s="369"/>
      <c r="E1564" s="396"/>
      <c r="F1564" s="396"/>
      <c r="G1564" s="396"/>
      <c r="K1564" s="370"/>
      <c r="N1564" s="370"/>
    </row>
    <row r="1565" spans="1:14" s="347" customFormat="1" x14ac:dyDescent="0.25">
      <c r="A1565" s="369">
        <v>44291</v>
      </c>
      <c r="B1565" s="347">
        <f>+MONTH(A1565)</f>
        <v>4</v>
      </c>
      <c r="C1565" s="347">
        <v>115</v>
      </c>
      <c r="D1565" s="340" t="str">
        <f>VLOOKUP(C1565,Plan!A:B,2,0)</f>
        <v>Disponible Cali B.Chile</v>
      </c>
      <c r="E1565" s="341">
        <f>+F1565-G1565</f>
        <v>25000</v>
      </c>
      <c r="F1565" s="405">
        <v>25000</v>
      </c>
      <c r="G1565" s="405">
        <v>0</v>
      </c>
      <c r="H1565" t="s">
        <v>981</v>
      </c>
      <c r="I1565" s="403" t="s">
        <v>131</v>
      </c>
      <c r="K1565" s="370"/>
      <c r="N1565" s="370"/>
    </row>
    <row r="1566" spans="1:14" s="347" customFormat="1" x14ac:dyDescent="0.25">
      <c r="A1566" s="369">
        <f>+A1565</f>
        <v>44291</v>
      </c>
      <c r="B1566" s="347">
        <f>+MONTH(A1566)</f>
        <v>4</v>
      </c>
      <c r="C1566" s="347">
        <v>1222</v>
      </c>
      <c r="D1566" s="340" t="str">
        <f>VLOOKUP(C1566,Plan!A:B,2,0)</f>
        <v>Otros Valores -Oficina y Transferencias (249)</v>
      </c>
      <c r="E1566" s="341">
        <f>+F1566-G1566</f>
        <v>-25000</v>
      </c>
      <c r="F1566" s="405">
        <v>0</v>
      </c>
      <c r="G1566" s="405">
        <f>+F1565</f>
        <v>25000</v>
      </c>
      <c r="H1566" t="s">
        <v>981</v>
      </c>
      <c r="I1566" s="403" t="s">
        <v>131</v>
      </c>
      <c r="K1566" s="370"/>
      <c r="N1566" s="370"/>
    </row>
    <row r="1567" spans="1:14" s="347" customFormat="1" x14ac:dyDescent="0.25">
      <c r="A1567" s="369"/>
      <c r="E1567" s="396"/>
      <c r="F1567" s="396"/>
      <c r="G1567" s="396"/>
      <c r="K1567" s="370"/>
      <c r="N1567" s="370"/>
    </row>
    <row r="1568" spans="1:14" s="347" customFormat="1" x14ac:dyDescent="0.25">
      <c r="A1568" s="369">
        <v>44291</v>
      </c>
      <c r="B1568" s="347">
        <f>+MONTH(A1568)</f>
        <v>4</v>
      </c>
      <c r="C1568" s="347">
        <v>115</v>
      </c>
      <c r="D1568" s="340" t="str">
        <f>VLOOKUP(C1568,Plan!A:B,2,0)</f>
        <v>Disponible Cali B.Chile</v>
      </c>
      <c r="E1568" s="341">
        <f>+F1568-G1568</f>
        <v>12000</v>
      </c>
      <c r="F1568" s="405">
        <v>12000</v>
      </c>
      <c r="G1568" s="405">
        <v>0</v>
      </c>
      <c r="H1568" t="s">
        <v>1672</v>
      </c>
      <c r="I1568" s="403" t="s">
        <v>131</v>
      </c>
      <c r="K1568" s="370"/>
      <c r="N1568" s="370"/>
    </row>
    <row r="1569" spans="1:14" s="347" customFormat="1" x14ac:dyDescent="0.25">
      <c r="A1569" s="369">
        <f>+A1568</f>
        <v>44291</v>
      </c>
      <c r="B1569" s="347">
        <f>+MONTH(A1569)</f>
        <v>4</v>
      </c>
      <c r="C1569" s="347">
        <v>216</v>
      </c>
      <c r="D1569" s="340" t="str">
        <f>VLOOKUP(C1569,Plan!A:B,2,0)</f>
        <v>Cuenta por Pagar a Administración Colectas</v>
      </c>
      <c r="E1569" s="341">
        <f>+F1569-G1569</f>
        <v>-12000</v>
      </c>
      <c r="F1569" s="405">
        <v>0</v>
      </c>
      <c r="G1569" s="405">
        <f>+F1568</f>
        <v>12000</v>
      </c>
      <c r="H1569" t="str">
        <f>+H1568</f>
        <v>COLECTA CELIS CELEDON MARIA SOLEDAD</v>
      </c>
      <c r="I1569" s="403" t="s">
        <v>131</v>
      </c>
      <c r="K1569" s="370"/>
      <c r="N1569" s="370"/>
    </row>
    <row r="1570" spans="1:14" s="347" customFormat="1" x14ac:dyDescent="0.25">
      <c r="A1570" s="369"/>
      <c r="E1570" s="396"/>
      <c r="F1570" s="396"/>
      <c r="G1570" s="396"/>
      <c r="K1570" s="370"/>
      <c r="N1570" s="370"/>
    </row>
    <row r="1571" spans="1:14" s="347" customFormat="1" x14ac:dyDescent="0.25">
      <c r="A1571" s="369">
        <v>44291</v>
      </c>
      <c r="B1571" s="347">
        <f>+MONTH(A1571)</f>
        <v>4</v>
      </c>
      <c r="C1571" s="347">
        <v>115</v>
      </c>
      <c r="D1571" s="340" t="str">
        <f>VLOOKUP(C1571,Plan!A:B,2,0)</f>
        <v>Disponible Cali B.Chile</v>
      </c>
      <c r="E1571" s="341">
        <f>+F1571-G1571</f>
        <v>20000</v>
      </c>
      <c r="F1571" s="405">
        <v>20000</v>
      </c>
      <c r="G1571" s="405">
        <v>0</v>
      </c>
      <c r="H1571" t="s">
        <v>1008</v>
      </c>
      <c r="I1571" s="403" t="s">
        <v>131</v>
      </c>
      <c r="K1571" s="370"/>
      <c r="N1571" s="370"/>
    </row>
    <row r="1572" spans="1:14" s="347" customFormat="1" x14ac:dyDescent="0.25">
      <c r="A1572" s="369">
        <f>+A1571</f>
        <v>44291</v>
      </c>
      <c r="B1572" s="347">
        <f>+MONTH(A1572)</f>
        <v>4</v>
      </c>
      <c r="C1572" s="347">
        <v>1222</v>
      </c>
      <c r="D1572" s="340" t="str">
        <f>VLOOKUP(C1572,Plan!A:B,2,0)</f>
        <v>Otros Valores -Oficina y Transferencias (249)</v>
      </c>
      <c r="E1572" s="341">
        <f>+F1572-G1572</f>
        <v>-20000</v>
      </c>
      <c r="F1572" s="405">
        <v>0</v>
      </c>
      <c r="G1572" s="405">
        <f>+F1571</f>
        <v>20000</v>
      </c>
      <c r="H1572" t="str">
        <f>+H1571</f>
        <v>M.Alejandra de la Lastra J./249</v>
      </c>
      <c r="I1572" s="403" t="s">
        <v>131</v>
      </c>
      <c r="K1572" s="370"/>
      <c r="N1572" s="370"/>
    </row>
    <row r="1573" spans="1:14" s="347" customFormat="1" x14ac:dyDescent="0.25">
      <c r="A1573" s="369"/>
      <c r="E1573" s="396"/>
      <c r="F1573" s="396"/>
      <c r="G1573" s="396"/>
      <c r="K1573" s="370"/>
      <c r="N1573" s="370"/>
    </row>
    <row r="1574" spans="1:14" s="347" customFormat="1" x14ac:dyDescent="0.25">
      <c r="A1574" s="369">
        <v>44291</v>
      </c>
      <c r="B1574" s="347">
        <f>+MONTH(A1574)</f>
        <v>4</v>
      </c>
      <c r="C1574" s="347">
        <v>115</v>
      </c>
      <c r="D1574" s="340" t="str">
        <f>VLOOKUP(C1574,Plan!A:B,2,0)</f>
        <v>Disponible Cali B.Chile</v>
      </c>
      <c r="E1574" s="341">
        <f>+F1574-G1574</f>
        <v>30000</v>
      </c>
      <c r="F1574" s="405">
        <v>30000</v>
      </c>
      <c r="G1574" s="405">
        <v>0</v>
      </c>
      <c r="H1574" t="s">
        <v>996</v>
      </c>
      <c r="I1574" s="403" t="s">
        <v>131</v>
      </c>
      <c r="K1574" s="370"/>
      <c r="N1574" s="370"/>
    </row>
    <row r="1575" spans="1:14" s="347" customFormat="1" x14ac:dyDescent="0.25">
      <c r="A1575" s="369">
        <f>+A1574</f>
        <v>44291</v>
      </c>
      <c r="B1575" s="347">
        <f>+MONTH(A1575)</f>
        <v>4</v>
      </c>
      <c r="C1575" s="347">
        <v>3210</v>
      </c>
      <c r="D1575" s="340" t="str">
        <f>VLOOKUP(C1575,Plan!A:B,2,0)</f>
        <v>Donacion Construccion</v>
      </c>
      <c r="E1575" s="341">
        <f>+F1575-G1575</f>
        <v>-30000</v>
      </c>
      <c r="F1575" s="405">
        <v>0</v>
      </c>
      <c r="G1575" s="405">
        <f>+F1574</f>
        <v>30000</v>
      </c>
      <c r="H1575" t="str">
        <f>+H1574</f>
        <v>Patrick Reginald Horn Garcia / Azul</v>
      </c>
      <c r="I1575" s="403" t="s">
        <v>131</v>
      </c>
      <c r="K1575" s="370"/>
      <c r="N1575" s="370"/>
    </row>
    <row r="1576" spans="1:14" s="347" customFormat="1" x14ac:dyDescent="0.25">
      <c r="A1576" s="369"/>
      <c r="E1576" s="396"/>
      <c r="F1576" s="396"/>
      <c r="G1576" s="396"/>
      <c r="K1576" s="370"/>
      <c r="N1576" s="370"/>
    </row>
    <row r="1577" spans="1:14" s="347" customFormat="1" x14ac:dyDescent="0.25">
      <c r="A1577" s="369">
        <v>44291</v>
      </c>
      <c r="B1577" s="347">
        <f>+MONTH(A1577)</f>
        <v>4</v>
      </c>
      <c r="C1577" s="347">
        <v>115</v>
      </c>
      <c r="D1577" s="340" t="str">
        <f>VLOOKUP(C1577,Plan!A:B,2,0)</f>
        <v>Disponible Cali B.Chile</v>
      </c>
      <c r="E1577" s="341">
        <f>+F1577-G1577</f>
        <v>70000</v>
      </c>
      <c r="F1577" s="405">
        <v>70000</v>
      </c>
      <c r="G1577" s="405">
        <v>0</v>
      </c>
      <c r="H1577" t="s">
        <v>997</v>
      </c>
      <c r="I1577" s="403" t="s">
        <v>131</v>
      </c>
      <c r="K1577" s="370"/>
      <c r="N1577" s="370"/>
    </row>
    <row r="1578" spans="1:14" s="347" customFormat="1" x14ac:dyDescent="0.25">
      <c r="A1578" s="369">
        <f>+A1577</f>
        <v>44291</v>
      </c>
      <c r="B1578" s="347">
        <f>+MONTH(A1578)</f>
        <v>4</v>
      </c>
      <c r="C1578" s="347">
        <v>1222</v>
      </c>
      <c r="D1578" s="340" t="str">
        <f>VLOOKUP(C1578,Plan!A:B,2,0)</f>
        <v>Otros Valores -Oficina y Transferencias (249)</v>
      </c>
      <c r="E1578" s="341">
        <f>+F1578-G1578</f>
        <v>-70000</v>
      </c>
      <c r="F1578" s="405">
        <v>0</v>
      </c>
      <c r="G1578" s="405">
        <f>+F1577</f>
        <v>70000</v>
      </c>
      <c r="H1578" t="str">
        <f>+H1577</f>
        <v>Alberto Altermatt C. / 249</v>
      </c>
      <c r="I1578" s="403" t="s">
        <v>131</v>
      </c>
      <c r="K1578" s="370"/>
      <c r="N1578" s="370"/>
    </row>
    <row r="1579" spans="1:14" s="347" customFormat="1" x14ac:dyDescent="0.25">
      <c r="A1579" s="369"/>
      <c r="E1579" s="396"/>
      <c r="F1579" s="396"/>
      <c r="G1579" s="396"/>
      <c r="K1579" s="370"/>
      <c r="N1579" s="370"/>
    </row>
    <row r="1580" spans="1:14" s="347" customFormat="1" x14ac:dyDescent="0.25">
      <c r="A1580" s="369">
        <v>44291</v>
      </c>
      <c r="B1580" s="347">
        <f>+MONTH(A1580)</f>
        <v>4</v>
      </c>
      <c r="C1580" s="347">
        <v>115</v>
      </c>
      <c r="D1580" s="340" t="str">
        <f>VLOOKUP(C1580,Plan!A:B,2,0)</f>
        <v>Disponible Cali B.Chile</v>
      </c>
      <c r="E1580" s="341">
        <f>+F1580-G1580</f>
        <v>200000</v>
      </c>
      <c r="F1580" s="405">
        <v>200000</v>
      </c>
      <c r="G1580" s="405">
        <v>0</v>
      </c>
      <c r="H1580" t="s">
        <v>1052</v>
      </c>
      <c r="I1580" s="403" t="s">
        <v>131</v>
      </c>
      <c r="K1580" s="370"/>
      <c r="N1580" s="370"/>
    </row>
    <row r="1581" spans="1:14" s="347" customFormat="1" x14ac:dyDescent="0.25">
      <c r="A1581" s="369">
        <f>+A1580</f>
        <v>44291</v>
      </c>
      <c r="B1581" s="347">
        <f>+MONTH(A1581)</f>
        <v>4</v>
      </c>
      <c r="C1581" s="347">
        <v>3210</v>
      </c>
      <c r="D1581" s="340" t="str">
        <f>VLOOKUP(C1581,Plan!A:B,2,0)</f>
        <v>Donacion Construccion</v>
      </c>
      <c r="E1581" s="341">
        <f>+F1581-G1581</f>
        <v>-200000</v>
      </c>
      <c r="F1581" s="405">
        <v>0</v>
      </c>
      <c r="G1581" s="405">
        <f>+F1580</f>
        <v>200000</v>
      </c>
      <c r="H1581" t="str">
        <f>+H1580</f>
        <v>Jorge Hernán Rodríguez Wilson/Azul</v>
      </c>
      <c r="I1581" s="403" t="s">
        <v>131</v>
      </c>
      <c r="K1581" s="370"/>
      <c r="N1581" s="370"/>
    </row>
    <row r="1582" spans="1:14" s="347" customFormat="1" x14ac:dyDescent="0.25">
      <c r="A1582" s="369"/>
      <c r="E1582" s="396"/>
      <c r="F1582" s="396"/>
      <c r="G1582" s="396"/>
      <c r="K1582" s="370"/>
      <c r="N1582" s="370"/>
    </row>
    <row r="1583" spans="1:14" s="347" customFormat="1" x14ac:dyDescent="0.25">
      <c r="A1583" s="369">
        <v>44291</v>
      </c>
      <c r="B1583" s="347">
        <f>+MONTH(A1583)</f>
        <v>4</v>
      </c>
      <c r="C1583" s="347">
        <v>115</v>
      </c>
      <c r="D1583" s="340" t="str">
        <f>VLOOKUP(C1583,Plan!A:B,2,0)</f>
        <v>Disponible Cali B.Chile</v>
      </c>
      <c r="E1583" s="341">
        <f>+F1583-G1583</f>
        <v>20000</v>
      </c>
      <c r="F1583" s="405">
        <v>20000</v>
      </c>
      <c r="G1583" s="405">
        <v>0</v>
      </c>
      <c r="H1583" t="s">
        <v>1001</v>
      </c>
      <c r="I1583" s="403" t="s">
        <v>131</v>
      </c>
      <c r="K1583" s="370"/>
      <c r="N1583" s="370"/>
    </row>
    <row r="1584" spans="1:14" s="347" customFormat="1" x14ac:dyDescent="0.25">
      <c r="A1584" s="369">
        <f>+A1583</f>
        <v>44291</v>
      </c>
      <c r="B1584" s="347">
        <f>+MONTH(A1584)</f>
        <v>4</v>
      </c>
      <c r="C1584" s="347">
        <v>3210</v>
      </c>
      <c r="D1584" s="340" t="str">
        <f>VLOOKUP(C1584,Plan!A:B,2,0)</f>
        <v>Donacion Construccion</v>
      </c>
      <c r="E1584" s="341">
        <f>+F1584-G1584</f>
        <v>-20000</v>
      </c>
      <c r="F1584" s="405">
        <v>0</v>
      </c>
      <c r="G1584" s="405">
        <f>+F1583</f>
        <v>20000</v>
      </c>
      <c r="H1584" t="str">
        <f>+H1583</f>
        <v>Karina Rabino de Alonso /Azul</v>
      </c>
      <c r="I1584" s="403" t="s">
        <v>131</v>
      </c>
      <c r="K1584" s="370"/>
      <c r="N1584" s="370"/>
    </row>
    <row r="1585" spans="1:14" s="347" customFormat="1" x14ac:dyDescent="0.25">
      <c r="A1585" s="369"/>
      <c r="E1585" s="396"/>
      <c r="F1585" s="396"/>
      <c r="G1585" s="396"/>
      <c r="K1585" s="370"/>
      <c r="N1585" s="370"/>
    </row>
    <row r="1586" spans="1:14" s="347" customFormat="1" x14ac:dyDescent="0.25">
      <c r="A1586" s="369">
        <v>44291</v>
      </c>
      <c r="B1586" s="347">
        <f>+MONTH(A1586)</f>
        <v>4</v>
      </c>
      <c r="C1586" s="347">
        <v>115</v>
      </c>
      <c r="D1586" s="340" t="str">
        <f>VLOOKUP(C1586,Plan!A:B,2,0)</f>
        <v>Disponible Cali B.Chile</v>
      </c>
      <c r="E1586" s="341">
        <f>+F1586-G1586</f>
        <v>150000</v>
      </c>
      <c r="F1586" s="405">
        <v>150000</v>
      </c>
      <c r="G1586" s="405">
        <v>0</v>
      </c>
      <c r="H1586" t="s">
        <v>1002</v>
      </c>
      <c r="I1586" s="403" t="s">
        <v>131</v>
      </c>
      <c r="K1586" s="370"/>
      <c r="N1586" s="370"/>
    </row>
    <row r="1587" spans="1:14" s="347" customFormat="1" x14ac:dyDescent="0.25">
      <c r="A1587" s="369">
        <f>+A1586</f>
        <v>44291</v>
      </c>
      <c r="B1587" s="347">
        <f>+MONTH(A1587)</f>
        <v>4</v>
      </c>
      <c r="C1587" s="347">
        <v>1222</v>
      </c>
      <c r="D1587" s="340" t="str">
        <f>VLOOKUP(C1587,Plan!A:B,2,0)</f>
        <v>Otros Valores -Oficina y Transferencias (249)</v>
      </c>
      <c r="E1587" s="341">
        <f>+F1587-G1587</f>
        <v>-150000</v>
      </c>
      <c r="F1587" s="405">
        <v>0</v>
      </c>
      <c r="G1587" s="405">
        <f>+F1586</f>
        <v>150000</v>
      </c>
      <c r="H1587" t="str">
        <f>+H1586</f>
        <v>José Miguel Ureta Cardoen / 249</v>
      </c>
      <c r="I1587" s="403" t="s">
        <v>131</v>
      </c>
      <c r="K1587" s="370"/>
      <c r="N1587" s="370"/>
    </row>
    <row r="1588" spans="1:14" s="347" customFormat="1" x14ac:dyDescent="0.25">
      <c r="A1588" s="369"/>
      <c r="E1588" s="396"/>
      <c r="F1588" s="396"/>
      <c r="G1588" s="396"/>
      <c r="K1588" s="370"/>
      <c r="N1588" s="370"/>
    </row>
    <row r="1589" spans="1:14" s="347" customFormat="1" x14ac:dyDescent="0.25">
      <c r="A1589" s="369">
        <v>44291</v>
      </c>
      <c r="B1589" s="347">
        <f>+MONTH(A1589)</f>
        <v>4</v>
      </c>
      <c r="C1589" s="347">
        <v>115</v>
      </c>
      <c r="D1589" s="340" t="str">
        <f>VLOOKUP(C1589,Plan!A:B,2,0)</f>
        <v>Disponible Cali B.Chile</v>
      </c>
      <c r="E1589" s="341">
        <f>+F1589-G1589</f>
        <v>10000</v>
      </c>
      <c r="F1589" s="405">
        <v>10000</v>
      </c>
      <c r="G1589" s="405">
        <v>0</v>
      </c>
      <c r="H1589" t="s">
        <v>1020</v>
      </c>
      <c r="I1589" s="403" t="s">
        <v>131</v>
      </c>
      <c r="K1589" s="370"/>
      <c r="N1589" s="370"/>
    </row>
    <row r="1590" spans="1:14" s="347" customFormat="1" x14ac:dyDescent="0.25">
      <c r="A1590" s="369">
        <f>+A1589</f>
        <v>44291</v>
      </c>
      <c r="B1590" s="347">
        <f>+MONTH(A1590)</f>
        <v>4</v>
      </c>
      <c r="C1590" s="347">
        <v>1217</v>
      </c>
      <c r="D1590" s="340" t="str">
        <f>VLOOKUP(C1590,Plan!A:B,2,0)</f>
        <v>Otros Valores -Oficina y Transferencias (248)</v>
      </c>
      <c r="E1590" s="341">
        <f>+F1590-G1590</f>
        <v>-10000</v>
      </c>
      <c r="F1590" s="405">
        <v>0</v>
      </c>
      <c r="G1590" s="405">
        <f>+F1589</f>
        <v>10000</v>
      </c>
      <c r="H1590" t="str">
        <f>+H1589</f>
        <v xml:space="preserve">M.Cristina Valenzuela L./248 </v>
      </c>
      <c r="I1590" s="403" t="s">
        <v>131</v>
      </c>
      <c r="K1590" s="370"/>
      <c r="N1590" s="370"/>
    </row>
    <row r="1591" spans="1:14" s="347" customFormat="1" x14ac:dyDescent="0.25">
      <c r="A1591" s="369"/>
      <c r="E1591" s="396"/>
      <c r="F1591" s="396"/>
      <c r="G1591" s="396"/>
      <c r="K1591" s="370"/>
      <c r="N1591" s="370"/>
    </row>
    <row r="1592" spans="1:14" s="347" customFormat="1" x14ac:dyDescent="0.25">
      <c r="A1592" s="369">
        <v>44291</v>
      </c>
      <c r="B1592" s="347">
        <f>+MONTH(A1592)</f>
        <v>4</v>
      </c>
      <c r="C1592" s="347">
        <v>115</v>
      </c>
      <c r="D1592" s="340" t="str">
        <f>VLOOKUP(C1592,Plan!A:B,2,0)</f>
        <v>Disponible Cali B.Chile</v>
      </c>
      <c r="E1592" s="341">
        <f>+F1592-G1592</f>
        <v>12000</v>
      </c>
      <c r="F1592" s="405">
        <v>12000</v>
      </c>
      <c r="G1592" s="405">
        <v>0</v>
      </c>
      <c r="H1592" t="s">
        <v>1673</v>
      </c>
      <c r="I1592" s="403" t="s">
        <v>131</v>
      </c>
      <c r="K1592" s="370"/>
      <c r="N1592" s="370"/>
    </row>
    <row r="1593" spans="1:14" s="347" customFormat="1" x14ac:dyDescent="0.25">
      <c r="A1593" s="369">
        <f>+A1592</f>
        <v>44291</v>
      </c>
      <c r="B1593" s="347">
        <f>+MONTH(A1593)</f>
        <v>4</v>
      </c>
      <c r="C1593" s="347">
        <v>1222</v>
      </c>
      <c r="D1593" s="340" t="str">
        <f>VLOOKUP(C1593,Plan!A:B,2,0)</f>
        <v>Otros Valores -Oficina y Transferencias (249)</v>
      </c>
      <c r="E1593" s="341">
        <f>+F1593-G1593</f>
        <v>-12000</v>
      </c>
      <c r="F1593" s="405">
        <v>0</v>
      </c>
      <c r="G1593" s="405">
        <f>+F1592</f>
        <v>12000</v>
      </c>
      <c r="H1593" t="str">
        <f>+H1592</f>
        <v xml:space="preserve">Martín Fuenzalida Izquierdo / 249 </v>
      </c>
      <c r="I1593" s="403" t="s">
        <v>131</v>
      </c>
      <c r="K1593" s="370"/>
      <c r="N1593" s="370"/>
    </row>
    <row r="1594" spans="1:14" s="347" customFormat="1" x14ac:dyDescent="0.25">
      <c r="A1594" s="369"/>
      <c r="E1594" s="396"/>
      <c r="F1594" s="396"/>
      <c r="G1594" s="396"/>
      <c r="K1594" s="370"/>
      <c r="N1594" s="370"/>
    </row>
    <row r="1595" spans="1:14" s="347" customFormat="1" x14ac:dyDescent="0.25">
      <c r="A1595" s="369">
        <v>44291</v>
      </c>
      <c r="B1595" s="347">
        <f>+MONTH(A1595)</f>
        <v>4</v>
      </c>
      <c r="C1595" s="347">
        <v>115</v>
      </c>
      <c r="D1595" s="340" t="str">
        <f>VLOOKUP(C1595,Plan!A:B,2,0)</f>
        <v>Disponible Cali B.Chile</v>
      </c>
      <c r="E1595" s="341">
        <f>+F1595-G1595</f>
        <v>50000</v>
      </c>
      <c r="F1595" s="405">
        <v>50000</v>
      </c>
      <c r="G1595" s="405">
        <v>0</v>
      </c>
      <c r="H1595" t="s">
        <v>1006</v>
      </c>
      <c r="I1595" s="403" t="s">
        <v>131</v>
      </c>
      <c r="K1595" s="370"/>
      <c r="N1595" s="370"/>
    </row>
    <row r="1596" spans="1:14" s="347" customFormat="1" x14ac:dyDescent="0.25">
      <c r="A1596" s="369">
        <f>+A1595</f>
        <v>44291</v>
      </c>
      <c r="B1596" s="347">
        <f>+MONTH(A1596)</f>
        <v>4</v>
      </c>
      <c r="C1596" s="347">
        <v>3210</v>
      </c>
      <c r="D1596" s="340" t="str">
        <f>VLOOKUP(C1596,Plan!A:B,2,0)</f>
        <v>Donacion Construccion</v>
      </c>
      <c r="E1596" s="341">
        <f>+F1596-G1596</f>
        <v>-50000</v>
      </c>
      <c r="F1596" s="405">
        <v>0</v>
      </c>
      <c r="G1596" s="405">
        <f>+F1595</f>
        <v>50000</v>
      </c>
      <c r="H1596" t="str">
        <f>+H1595</f>
        <v>José Antonio Vicuña Illanes / Azul</v>
      </c>
      <c r="I1596" s="403" t="s">
        <v>131</v>
      </c>
      <c r="K1596" s="370"/>
      <c r="N1596" s="370"/>
    </row>
    <row r="1597" spans="1:14" s="347" customFormat="1" x14ac:dyDescent="0.25">
      <c r="A1597" s="369"/>
      <c r="E1597" s="396"/>
      <c r="F1597" s="396"/>
      <c r="G1597" s="396"/>
      <c r="K1597" s="370"/>
      <c r="N1597" s="370"/>
    </row>
    <row r="1598" spans="1:14" s="347" customFormat="1" x14ac:dyDescent="0.25">
      <c r="A1598" s="369">
        <v>44291</v>
      </c>
      <c r="B1598" s="347">
        <f>+MONTH(A1598)</f>
        <v>4</v>
      </c>
      <c r="C1598" s="347">
        <v>115</v>
      </c>
      <c r="D1598" s="340" t="str">
        <f>VLOOKUP(C1598,Plan!A:B,2,0)</f>
        <v>Disponible Cali B.Chile</v>
      </c>
      <c r="E1598" s="341">
        <f>+F1598-G1598</f>
        <v>10000</v>
      </c>
      <c r="F1598" s="405">
        <v>10000</v>
      </c>
      <c r="G1598" s="405">
        <v>0</v>
      </c>
      <c r="H1598" t="s">
        <v>1028</v>
      </c>
      <c r="I1598" s="403" t="s">
        <v>131</v>
      </c>
      <c r="K1598" s="370"/>
      <c r="N1598" s="370"/>
    </row>
    <row r="1599" spans="1:14" s="347" customFormat="1" x14ac:dyDescent="0.25">
      <c r="A1599" s="369">
        <f>+A1598</f>
        <v>44291</v>
      </c>
      <c r="B1599" s="347">
        <f>+MONTH(A1599)</f>
        <v>4</v>
      </c>
      <c r="C1599" s="347">
        <v>1217</v>
      </c>
      <c r="D1599" s="340" t="str">
        <f>VLOOKUP(C1599,Plan!A:B,2,0)</f>
        <v>Otros Valores -Oficina y Transferencias (248)</v>
      </c>
      <c r="E1599" s="341">
        <f>+F1599-G1599</f>
        <v>-10000</v>
      </c>
      <c r="F1599" s="405">
        <v>0</v>
      </c>
      <c r="G1599" s="405">
        <f>+F1598</f>
        <v>10000</v>
      </c>
      <c r="H1599" t="str">
        <f>+H1598</f>
        <v>Carmen Gloria Rivas Varas / 248</v>
      </c>
      <c r="I1599" s="403" t="s">
        <v>131</v>
      </c>
      <c r="K1599" s="370"/>
      <c r="N1599" s="370"/>
    </row>
    <row r="1600" spans="1:14" s="347" customFormat="1" x14ac:dyDescent="0.25">
      <c r="A1600" s="369"/>
      <c r="E1600" s="396"/>
      <c r="F1600" s="396"/>
      <c r="G1600" s="396"/>
      <c r="K1600" s="370"/>
      <c r="N1600" s="370"/>
    </row>
    <row r="1601" spans="1:14" s="347" customFormat="1" x14ac:dyDescent="0.25">
      <c r="A1601" s="369">
        <v>44291</v>
      </c>
      <c r="B1601" s="347">
        <f>+MONTH(A1601)</f>
        <v>4</v>
      </c>
      <c r="C1601" s="347">
        <v>115</v>
      </c>
      <c r="D1601" s="340" t="str">
        <f>VLOOKUP(C1601,Plan!A:B,2,0)</f>
        <v>Disponible Cali B.Chile</v>
      </c>
      <c r="E1601" s="341">
        <f>+F1601-G1601</f>
        <v>128453</v>
      </c>
      <c r="F1601" s="405">
        <v>128453</v>
      </c>
      <c r="G1601" s="405">
        <v>0</v>
      </c>
      <c r="H1601" t="s">
        <v>1674</v>
      </c>
      <c r="I1601" s="403" t="s">
        <v>131</v>
      </c>
      <c r="K1601" s="370"/>
      <c r="N1601" s="370"/>
    </row>
    <row r="1602" spans="1:14" s="347" customFormat="1" x14ac:dyDescent="0.25">
      <c r="A1602" s="369">
        <f>+A1601</f>
        <v>44291</v>
      </c>
      <c r="B1602" s="347">
        <f>+MONTH(A1602)</f>
        <v>4</v>
      </c>
      <c r="C1602" s="347">
        <v>3210</v>
      </c>
      <c r="D1602" s="340" t="str">
        <f>VLOOKUP(C1602,Plan!A:B,2,0)</f>
        <v>Donacion Construccion</v>
      </c>
      <c r="E1602" s="341">
        <f>+F1602-G1602</f>
        <v>-128453</v>
      </c>
      <c r="F1602" s="405">
        <v>0</v>
      </c>
      <c r="G1602" s="405">
        <f>+F1601</f>
        <v>128453</v>
      </c>
      <c r="H1602" t="str">
        <f>+H1601</f>
        <v>248 y 249 Marzo 2021</v>
      </c>
      <c r="I1602" s="403" t="s">
        <v>131</v>
      </c>
      <c r="K1602" s="370"/>
      <c r="N1602" s="370"/>
    </row>
    <row r="1603" spans="1:14" s="347" customFormat="1" x14ac:dyDescent="0.25">
      <c r="A1603" s="369"/>
      <c r="E1603" s="396"/>
      <c r="F1603" s="396"/>
      <c r="G1603" s="396"/>
      <c r="K1603" s="370"/>
      <c r="N1603" s="370"/>
    </row>
    <row r="1604" spans="1:14" s="347" customFormat="1" x14ac:dyDescent="0.25">
      <c r="A1604" s="369">
        <v>44291</v>
      </c>
      <c r="B1604" s="347">
        <f>+MONTH(A1604)</f>
        <v>4</v>
      </c>
      <c r="C1604" s="347">
        <v>115</v>
      </c>
      <c r="D1604" s="340" t="str">
        <f>VLOOKUP(C1604,Plan!A:B,2,0)</f>
        <v>Disponible Cali B.Chile</v>
      </c>
      <c r="E1604" s="341">
        <f>+F1604-G1604</f>
        <v>20000</v>
      </c>
      <c r="F1604" s="405">
        <v>20000</v>
      </c>
      <c r="G1604" s="405">
        <v>0</v>
      </c>
      <c r="H1604" t="s">
        <v>983</v>
      </c>
      <c r="I1604" s="403" t="s">
        <v>131</v>
      </c>
      <c r="K1604" s="370"/>
      <c r="N1604" s="370"/>
    </row>
    <row r="1605" spans="1:14" s="347" customFormat="1" ht="14.3" customHeight="1" x14ac:dyDescent="0.25">
      <c r="A1605" s="369">
        <f>+A1604</f>
        <v>44291</v>
      </c>
      <c r="B1605" s="347">
        <f>+MONTH(A1605)</f>
        <v>4</v>
      </c>
      <c r="C1605" s="347">
        <v>1222</v>
      </c>
      <c r="D1605" s="340" t="str">
        <f>VLOOKUP(C1605,Plan!A:B,2,0)</f>
        <v>Otros Valores -Oficina y Transferencias (249)</v>
      </c>
      <c r="E1605" s="341">
        <f>+F1605-G1605</f>
        <v>-20000</v>
      </c>
      <c r="F1605" s="405">
        <v>0</v>
      </c>
      <c r="G1605" s="405">
        <f>+F1604</f>
        <v>20000</v>
      </c>
      <c r="H1605" t="str">
        <f>+H1604</f>
        <v>Macarena Gálvez Roa / 249</v>
      </c>
      <c r="I1605" s="403" t="s">
        <v>131</v>
      </c>
      <c r="K1605" s="370"/>
      <c r="N1605" s="370"/>
    </row>
    <row r="1606" spans="1:14" s="347" customFormat="1" x14ac:dyDescent="0.25">
      <c r="A1606" s="369"/>
      <c r="E1606" s="396"/>
      <c r="F1606" s="396"/>
      <c r="G1606" s="396"/>
      <c r="K1606" s="370"/>
      <c r="N1606" s="370"/>
    </row>
    <row r="1607" spans="1:14" s="347" customFormat="1" x14ac:dyDescent="0.25">
      <c r="A1607" s="369">
        <v>44292</v>
      </c>
      <c r="B1607" s="347">
        <f>+MONTH(A1607)</f>
        <v>4</v>
      </c>
      <c r="C1607" s="347">
        <v>115</v>
      </c>
      <c r="D1607" s="340" t="str">
        <f>VLOOKUP(C1607,Plan!A:B,2,0)</f>
        <v>Disponible Cali B.Chile</v>
      </c>
      <c r="E1607" s="341">
        <f>+F1607-G1607</f>
        <v>350000</v>
      </c>
      <c r="F1607" s="405">
        <v>350000</v>
      </c>
      <c r="G1607" s="405">
        <v>0</v>
      </c>
      <c r="H1607" t="s">
        <v>1675</v>
      </c>
      <c r="I1607" s="403" t="s">
        <v>131</v>
      </c>
      <c r="K1607" s="370"/>
      <c r="N1607" s="370"/>
    </row>
    <row r="1608" spans="1:14" s="347" customFormat="1" x14ac:dyDescent="0.25">
      <c r="A1608" s="369">
        <f>+A1607</f>
        <v>44292</v>
      </c>
      <c r="B1608" s="347">
        <f>+MONTH(A1608)</f>
        <v>4</v>
      </c>
      <c r="C1608" s="347">
        <v>3210</v>
      </c>
      <c r="D1608" s="340" t="str">
        <f>VLOOKUP(C1608,Plan!A:B,2,0)</f>
        <v>Donacion Construccion</v>
      </c>
      <c r="E1608" s="341">
        <f>+F1608-G1608</f>
        <v>-350000</v>
      </c>
      <c r="F1608" s="405">
        <v>0</v>
      </c>
      <c r="G1608" s="405">
        <f>+F1607</f>
        <v>350000</v>
      </c>
      <c r="H1608" t="str">
        <f>+H1607</f>
        <v>Juan Gabriel Navarro Gutiérrez / Azul</v>
      </c>
      <c r="I1608" s="403" t="s">
        <v>131</v>
      </c>
      <c r="K1608" s="370"/>
      <c r="N1608" s="370"/>
    </row>
    <row r="1609" spans="1:14" s="347" customFormat="1" x14ac:dyDescent="0.25">
      <c r="A1609" s="369"/>
      <c r="E1609" s="396"/>
      <c r="F1609" s="396"/>
      <c r="G1609" s="396"/>
      <c r="K1609" s="370"/>
      <c r="N1609" s="370"/>
    </row>
    <row r="1610" spans="1:14" s="347" customFormat="1" x14ac:dyDescent="0.25">
      <c r="A1610" s="369">
        <v>44292</v>
      </c>
      <c r="B1610" s="347">
        <f>+MONTH(A1610)</f>
        <v>4</v>
      </c>
      <c r="C1610" s="347">
        <v>115</v>
      </c>
      <c r="D1610" s="340" t="str">
        <f>VLOOKUP(C1610,Plan!A:B,2,0)</f>
        <v>Disponible Cali B.Chile</v>
      </c>
      <c r="E1610" s="341">
        <f>+F1610-G1610</f>
        <v>300000</v>
      </c>
      <c r="F1610" s="405">
        <v>300000</v>
      </c>
      <c r="G1610" s="405">
        <v>0</v>
      </c>
      <c r="H1610" t="s">
        <v>1676</v>
      </c>
      <c r="I1610" s="403" t="s">
        <v>131</v>
      </c>
      <c r="K1610" s="370"/>
      <c r="N1610" s="370"/>
    </row>
    <row r="1611" spans="1:14" s="347" customFormat="1" x14ac:dyDescent="0.25">
      <c r="A1611" s="369">
        <f>+A1610</f>
        <v>44292</v>
      </c>
      <c r="B1611" s="347">
        <f>+MONTH(A1611)</f>
        <v>4</v>
      </c>
      <c r="C1611" s="347">
        <v>3210</v>
      </c>
      <c r="D1611" s="340" t="str">
        <f>VLOOKUP(C1611,Plan!A:B,2,0)</f>
        <v>Donacion Construccion</v>
      </c>
      <c r="E1611" s="341">
        <f>+F1611-G1611</f>
        <v>-300000</v>
      </c>
      <c r="F1611" s="405">
        <v>0</v>
      </c>
      <c r="G1611" s="405">
        <f>+F1610</f>
        <v>300000</v>
      </c>
      <c r="H1611" t="str">
        <f>+H1610</f>
        <v>Francisco Javier Lathrop Velasco/Azul</v>
      </c>
      <c r="I1611" s="403" t="s">
        <v>131</v>
      </c>
      <c r="K1611" s="370"/>
      <c r="N1611" s="370"/>
    </row>
    <row r="1612" spans="1:14" s="347" customFormat="1" x14ac:dyDescent="0.25">
      <c r="A1612" s="369"/>
      <c r="E1612" s="396"/>
      <c r="F1612" s="396"/>
      <c r="G1612" s="396"/>
      <c r="K1612" s="370"/>
      <c r="N1612" s="370"/>
    </row>
    <row r="1613" spans="1:14" s="347" customFormat="1" x14ac:dyDescent="0.25">
      <c r="A1613" s="369">
        <v>44292</v>
      </c>
      <c r="B1613" s="347">
        <f>+MONTH(A1613)</f>
        <v>4</v>
      </c>
      <c r="C1613" s="347">
        <v>115</v>
      </c>
      <c r="D1613" s="340" t="str">
        <f>VLOOKUP(C1613,Plan!A:B,2,0)</f>
        <v>Disponible Cali B.Chile</v>
      </c>
      <c r="E1613" s="341">
        <f>+F1613-G1613</f>
        <v>250000</v>
      </c>
      <c r="F1613" s="405">
        <v>250000</v>
      </c>
      <c r="G1613" s="405">
        <v>0</v>
      </c>
      <c r="H1613" t="s">
        <v>1677</v>
      </c>
      <c r="I1613" s="403" t="s">
        <v>131</v>
      </c>
      <c r="K1613" s="370"/>
      <c r="N1613" s="370"/>
    </row>
    <row r="1614" spans="1:14" s="347" customFormat="1" x14ac:dyDescent="0.25">
      <c r="A1614" s="369">
        <f>+A1613</f>
        <v>44292</v>
      </c>
      <c r="B1614" s="347">
        <f>+MONTH(A1614)</f>
        <v>4</v>
      </c>
      <c r="C1614" s="347">
        <v>3210</v>
      </c>
      <c r="D1614" s="340" t="str">
        <f>VLOOKUP(C1614,Plan!A:B,2,0)</f>
        <v>Donacion Construccion</v>
      </c>
      <c r="E1614" s="341">
        <f>+F1614-G1614</f>
        <v>-250000</v>
      </c>
      <c r="F1614" s="405">
        <v>0</v>
      </c>
      <c r="G1614" s="405">
        <f>+F1613</f>
        <v>250000</v>
      </c>
      <c r="H1614" t="str">
        <f>+H1613</f>
        <v>Pedro Pablo Bossay Kretschmer/Azul</v>
      </c>
      <c r="I1614" s="403" t="s">
        <v>131</v>
      </c>
      <c r="K1614" s="370"/>
      <c r="N1614" s="370"/>
    </row>
    <row r="1615" spans="1:14" s="347" customFormat="1" x14ac:dyDescent="0.25">
      <c r="A1615" s="369"/>
      <c r="E1615" s="396"/>
      <c r="F1615" s="396"/>
      <c r="G1615" s="396"/>
      <c r="K1615" s="370"/>
      <c r="N1615" s="370"/>
    </row>
    <row r="1616" spans="1:14" s="347" customFormat="1" x14ac:dyDescent="0.25">
      <c r="A1616" s="369">
        <v>44292</v>
      </c>
      <c r="B1616" s="347">
        <f>+MONTH(A1616)</f>
        <v>4</v>
      </c>
      <c r="C1616" s="347">
        <v>115</v>
      </c>
      <c r="D1616" s="340" t="str">
        <f>VLOOKUP(C1616,Plan!A:B,2,0)</f>
        <v>Disponible Cali B.Chile</v>
      </c>
      <c r="E1616" s="341">
        <f>+F1616-G1616</f>
        <v>105000</v>
      </c>
      <c r="F1616" s="405">
        <v>105000</v>
      </c>
      <c r="G1616" s="405">
        <v>0</v>
      </c>
      <c r="H1616" t="s">
        <v>1678</v>
      </c>
      <c r="I1616" s="403" t="s">
        <v>131</v>
      </c>
      <c r="K1616" s="370"/>
      <c r="N1616" s="370"/>
    </row>
    <row r="1617" spans="1:14" s="347" customFormat="1" x14ac:dyDescent="0.25">
      <c r="A1617" s="369">
        <f>+A1616</f>
        <v>44292</v>
      </c>
      <c r="B1617" s="347">
        <f>+MONTH(A1617)</f>
        <v>4</v>
      </c>
      <c r="C1617" s="347">
        <v>1222</v>
      </c>
      <c r="D1617" s="340" t="str">
        <f>VLOOKUP(C1617,Plan!A:B,2,0)</f>
        <v>Otros Valores -Oficina y Transferencias (249)</v>
      </c>
      <c r="E1617" s="341">
        <f>+F1617-G1617</f>
        <v>-105000</v>
      </c>
      <c r="F1617" s="405">
        <v>0</v>
      </c>
      <c r="G1617" s="405">
        <f>+F1616</f>
        <v>105000</v>
      </c>
      <c r="H1617" t="str">
        <f>+H1616</f>
        <v>Ignacio Santa María Mujica / 249</v>
      </c>
      <c r="I1617" s="403" t="s">
        <v>131</v>
      </c>
      <c r="K1617" s="370"/>
      <c r="N1617" s="370"/>
    </row>
    <row r="1618" spans="1:14" s="347" customFormat="1" x14ac:dyDescent="0.25">
      <c r="A1618" s="369"/>
      <c r="E1618" s="396"/>
      <c r="F1618" s="396"/>
      <c r="G1618" s="396"/>
      <c r="K1618" s="370"/>
      <c r="N1618" s="370"/>
    </row>
    <row r="1619" spans="1:14" s="347" customFormat="1" x14ac:dyDescent="0.25">
      <c r="A1619" s="369">
        <v>44292</v>
      </c>
      <c r="B1619" s="347">
        <f>+MONTH(A1619)</f>
        <v>4</v>
      </c>
      <c r="C1619" s="347">
        <v>115</v>
      </c>
      <c r="D1619" s="340" t="str">
        <f>VLOOKUP(C1619,Plan!A:B,2,0)</f>
        <v>Disponible Cali B.Chile</v>
      </c>
      <c r="E1619" s="341">
        <f>+F1619-G1619</f>
        <v>20000</v>
      </c>
      <c r="F1619" s="405">
        <v>20000</v>
      </c>
      <c r="G1619" s="405">
        <v>0</v>
      </c>
      <c r="H1619" t="s">
        <v>998</v>
      </c>
      <c r="I1619" s="403" t="s">
        <v>131</v>
      </c>
      <c r="K1619" s="370"/>
      <c r="N1619" s="370"/>
    </row>
    <row r="1620" spans="1:14" s="347" customFormat="1" x14ac:dyDescent="0.25">
      <c r="A1620" s="369">
        <f>+A1619</f>
        <v>44292</v>
      </c>
      <c r="B1620" s="347">
        <f>+MONTH(A1620)</f>
        <v>4</v>
      </c>
      <c r="C1620" s="347">
        <v>1222</v>
      </c>
      <c r="D1620" s="340" t="str">
        <f>VLOOKUP(C1620,Plan!A:B,2,0)</f>
        <v>Otros Valores -Oficina y Transferencias (249)</v>
      </c>
      <c r="E1620" s="341">
        <f>+F1620-G1620</f>
        <v>-20000</v>
      </c>
      <c r="F1620" s="405">
        <v>0</v>
      </c>
      <c r="G1620" s="405">
        <f>+F1619</f>
        <v>20000</v>
      </c>
      <c r="H1620" t="str">
        <f>+H1619</f>
        <v>Fca. Orrego/249</v>
      </c>
      <c r="I1620" s="403" t="s">
        <v>131</v>
      </c>
      <c r="K1620" s="370"/>
      <c r="N1620" s="370"/>
    </row>
    <row r="1621" spans="1:14" s="347" customFormat="1" x14ac:dyDescent="0.25">
      <c r="A1621" s="369"/>
      <c r="E1621" s="396"/>
      <c r="F1621" s="396"/>
      <c r="G1621" s="396"/>
      <c r="K1621" s="370"/>
      <c r="N1621" s="370"/>
    </row>
    <row r="1622" spans="1:14" s="347" customFormat="1" x14ac:dyDescent="0.25">
      <c r="A1622" s="369">
        <v>44292</v>
      </c>
      <c r="B1622" s="347">
        <f>+MONTH(A1622)</f>
        <v>4</v>
      </c>
      <c r="C1622" s="347">
        <v>115</v>
      </c>
      <c r="D1622" s="340" t="str">
        <f>VLOOKUP(C1622,Plan!A:B,2,0)</f>
        <v>Disponible Cali B.Chile</v>
      </c>
      <c r="E1622" s="341">
        <f>+F1622-G1622</f>
        <v>18000</v>
      </c>
      <c r="F1622" s="405">
        <v>18000</v>
      </c>
      <c r="G1622" s="405">
        <v>0</v>
      </c>
      <c r="H1622" t="s">
        <v>824</v>
      </c>
      <c r="I1622" s="403" t="s">
        <v>131</v>
      </c>
      <c r="K1622" s="370"/>
      <c r="N1622" s="370"/>
    </row>
    <row r="1623" spans="1:14" s="347" customFormat="1" x14ac:dyDescent="0.25">
      <c r="A1623" s="369">
        <f>+A1622</f>
        <v>44292</v>
      </c>
      <c r="B1623" s="347">
        <f>+MONTH(A1623)</f>
        <v>4</v>
      </c>
      <c r="C1623" s="347">
        <v>1217</v>
      </c>
      <c r="D1623" s="340" t="str">
        <f>VLOOKUP(C1623,Plan!A:B,2,0)</f>
        <v>Otros Valores -Oficina y Transferencias (248)</v>
      </c>
      <c r="E1623" s="341">
        <f>+F1623-G1623</f>
        <v>-18000</v>
      </c>
      <c r="F1623" s="405">
        <v>0</v>
      </c>
      <c r="G1623" s="405">
        <f>+F1622</f>
        <v>18000</v>
      </c>
      <c r="H1623" t="str">
        <f>+H1622</f>
        <v>Maria Elisa Cruzat Silva / 248</v>
      </c>
      <c r="I1623" s="403" t="s">
        <v>131</v>
      </c>
      <c r="K1623" s="370"/>
      <c r="N1623" s="370"/>
    </row>
    <row r="1624" spans="1:14" s="347" customFormat="1" x14ac:dyDescent="0.25">
      <c r="A1624" s="369"/>
      <c r="E1624" s="396"/>
      <c r="F1624" s="396"/>
      <c r="G1624" s="396"/>
      <c r="K1624" s="370"/>
      <c r="N1624" s="370"/>
    </row>
    <row r="1625" spans="1:14" s="347" customFormat="1" x14ac:dyDescent="0.25">
      <c r="A1625" s="369">
        <v>44292</v>
      </c>
      <c r="B1625" s="347">
        <f>+MONTH(A1625)</f>
        <v>4</v>
      </c>
      <c r="C1625" s="347">
        <v>115</v>
      </c>
      <c r="D1625" s="340" t="str">
        <f>VLOOKUP(C1625,Plan!A:B,2,0)</f>
        <v>Disponible Cali B.Chile</v>
      </c>
      <c r="E1625" s="341">
        <f>+F1625-G1625</f>
        <v>40000</v>
      </c>
      <c r="F1625" s="405">
        <v>40000</v>
      </c>
      <c r="G1625" s="405">
        <v>0</v>
      </c>
      <c r="H1625" t="s">
        <v>1009</v>
      </c>
      <c r="I1625" s="403" t="s">
        <v>131</v>
      </c>
      <c r="K1625" s="370"/>
      <c r="N1625" s="370"/>
    </row>
    <row r="1626" spans="1:14" s="347" customFormat="1" x14ac:dyDescent="0.25">
      <c r="A1626" s="369">
        <f>+A1625</f>
        <v>44292</v>
      </c>
      <c r="B1626" s="347">
        <f>+MONTH(A1626)</f>
        <v>4</v>
      </c>
      <c r="C1626" s="347">
        <v>1222</v>
      </c>
      <c r="D1626" s="340" t="str">
        <f>VLOOKUP(C1626,Plan!A:B,2,0)</f>
        <v>Otros Valores -Oficina y Transferencias (249)</v>
      </c>
      <c r="E1626" s="341">
        <f>+F1626-G1626</f>
        <v>-40000</v>
      </c>
      <c r="F1626" s="405">
        <v>0</v>
      </c>
      <c r="G1626" s="405">
        <f>+F1625</f>
        <v>40000</v>
      </c>
      <c r="H1626" t="str">
        <f>+H1625</f>
        <v>Juan Rafael Arnaiz Johnson / 249</v>
      </c>
      <c r="I1626" s="403" t="s">
        <v>131</v>
      </c>
      <c r="K1626" s="370"/>
      <c r="N1626" s="370"/>
    </row>
    <row r="1627" spans="1:14" s="347" customFormat="1" x14ac:dyDescent="0.25">
      <c r="A1627" s="369"/>
      <c r="E1627" s="396"/>
      <c r="F1627" s="396"/>
      <c r="G1627" s="396"/>
      <c r="K1627" s="370"/>
      <c r="N1627" s="370"/>
    </row>
    <row r="1628" spans="1:14" s="347" customFormat="1" x14ac:dyDescent="0.25">
      <c r="A1628" s="369">
        <v>44292</v>
      </c>
      <c r="B1628" s="347">
        <f>+MONTH(A1628)</f>
        <v>4</v>
      </c>
      <c r="C1628" s="347">
        <v>115</v>
      </c>
      <c r="D1628" s="340" t="str">
        <f>VLOOKUP(C1628,Plan!A:B,2,0)</f>
        <v>Disponible Cali B.Chile</v>
      </c>
      <c r="E1628" s="341">
        <f>+F1628-G1628</f>
        <v>15000</v>
      </c>
      <c r="F1628" s="405">
        <v>15000</v>
      </c>
      <c r="G1628" s="405">
        <v>0</v>
      </c>
      <c r="H1628" t="s">
        <v>1062</v>
      </c>
      <c r="I1628" s="403" t="s">
        <v>131</v>
      </c>
      <c r="K1628" s="370"/>
      <c r="N1628" s="370"/>
    </row>
    <row r="1629" spans="1:14" s="347" customFormat="1" x14ac:dyDescent="0.25">
      <c r="A1629" s="369">
        <f>+A1628</f>
        <v>44292</v>
      </c>
      <c r="B1629" s="347">
        <f>+MONTH(A1629)</f>
        <v>4</v>
      </c>
      <c r="C1629" s="347">
        <v>3210</v>
      </c>
      <c r="D1629" s="340" t="str">
        <f>VLOOKUP(C1629,Plan!A:B,2,0)</f>
        <v>Donacion Construccion</v>
      </c>
      <c r="E1629" s="341">
        <f>+F1629-G1629</f>
        <v>-15000</v>
      </c>
      <c r="F1629" s="405">
        <v>0</v>
      </c>
      <c r="G1629" s="405">
        <f>+F1628</f>
        <v>15000</v>
      </c>
      <c r="H1629" t="str">
        <f>+H1628</f>
        <v>José Ignacio Wielandt Vergara/ Azul</v>
      </c>
      <c r="I1629" s="403" t="s">
        <v>131</v>
      </c>
      <c r="K1629" s="370"/>
      <c r="N1629" s="370"/>
    </row>
    <row r="1630" spans="1:14" s="347" customFormat="1" x14ac:dyDescent="0.25">
      <c r="A1630" s="369"/>
      <c r="E1630" s="396"/>
      <c r="F1630" s="396"/>
      <c r="G1630" s="396"/>
      <c r="K1630" s="370"/>
      <c r="N1630" s="370"/>
    </row>
    <row r="1631" spans="1:14" s="347" customFormat="1" x14ac:dyDescent="0.25">
      <c r="A1631" s="369">
        <v>44292</v>
      </c>
      <c r="B1631" s="347">
        <f>+MONTH(A1631)</f>
        <v>4</v>
      </c>
      <c r="C1631" s="347">
        <v>115</v>
      </c>
      <c r="D1631" s="340" t="str">
        <f>VLOOKUP(C1631,Plan!A:B,2,0)</f>
        <v>Disponible Cali B.Chile</v>
      </c>
      <c r="E1631" s="341">
        <f>+F1631-G1631</f>
        <v>10000</v>
      </c>
      <c r="F1631" s="405">
        <v>10000</v>
      </c>
      <c r="G1631" s="405">
        <v>0</v>
      </c>
      <c r="H1631" t="s">
        <v>999</v>
      </c>
      <c r="I1631" s="403" t="s">
        <v>131</v>
      </c>
      <c r="K1631" s="370"/>
      <c r="N1631" s="370"/>
    </row>
    <row r="1632" spans="1:14" s="347" customFormat="1" x14ac:dyDescent="0.25">
      <c r="A1632" s="369">
        <f>+A1631</f>
        <v>44292</v>
      </c>
      <c r="B1632" s="347">
        <f>+MONTH(A1632)</f>
        <v>4</v>
      </c>
      <c r="C1632" s="347">
        <v>1222</v>
      </c>
      <c r="D1632" s="340" t="str">
        <f>VLOOKUP(C1632,Plan!A:B,2,0)</f>
        <v>Otros Valores -Oficina y Transferencias (249)</v>
      </c>
      <c r="E1632" s="341">
        <f>+F1632-G1632</f>
        <v>-10000</v>
      </c>
      <c r="F1632" s="405">
        <v>0</v>
      </c>
      <c r="G1632" s="405">
        <f>+F1631</f>
        <v>10000</v>
      </c>
      <c r="H1632" t="str">
        <f>+H1631</f>
        <v>Carmen Mónica Barañao Rojas/249</v>
      </c>
      <c r="I1632" s="403" t="s">
        <v>131</v>
      </c>
      <c r="K1632" s="370"/>
      <c r="N1632" s="370"/>
    </row>
    <row r="1633" spans="1:14" s="347" customFormat="1" x14ac:dyDescent="0.25">
      <c r="A1633" s="369"/>
      <c r="E1633" s="396"/>
      <c r="F1633" s="396"/>
      <c r="G1633" s="396"/>
      <c r="K1633" s="370"/>
      <c r="N1633" s="370"/>
    </row>
    <row r="1634" spans="1:14" s="347" customFormat="1" x14ac:dyDescent="0.25">
      <c r="A1634" s="369">
        <v>44292</v>
      </c>
      <c r="B1634" s="347">
        <f>+MONTH(A1634)</f>
        <v>4</v>
      </c>
      <c r="C1634" s="347">
        <v>115</v>
      </c>
      <c r="D1634" s="340" t="str">
        <f>VLOOKUP(C1634,Plan!A:B,2,0)</f>
        <v>Disponible Cali B.Chile</v>
      </c>
      <c r="E1634" s="341">
        <f>+F1634-G1634</f>
        <v>10000</v>
      </c>
      <c r="F1634" s="405">
        <v>10000</v>
      </c>
      <c r="G1634" s="405">
        <v>0</v>
      </c>
      <c r="H1634" t="s">
        <v>1000</v>
      </c>
      <c r="I1634" s="403" t="s">
        <v>131</v>
      </c>
      <c r="K1634" s="370"/>
      <c r="N1634" s="370"/>
    </row>
    <row r="1635" spans="1:14" s="347" customFormat="1" x14ac:dyDescent="0.25">
      <c r="A1635" s="369">
        <f>+A1634</f>
        <v>44292</v>
      </c>
      <c r="B1635" s="347">
        <f>+MONTH(A1635)</f>
        <v>4</v>
      </c>
      <c r="C1635" s="347">
        <v>3210</v>
      </c>
      <c r="D1635" s="340" t="str">
        <f>VLOOKUP(C1635,Plan!A:B,2,0)</f>
        <v>Donacion Construccion</v>
      </c>
      <c r="E1635" s="341">
        <f>+F1635-G1635</f>
        <v>-10000</v>
      </c>
      <c r="F1635" s="405">
        <v>0</v>
      </c>
      <c r="G1635" s="405">
        <f>+F1634</f>
        <v>10000</v>
      </c>
      <c r="H1635" t="str">
        <f>+H1634</f>
        <v>Carmen Mónica Barañao Rojas/Azul</v>
      </c>
      <c r="I1635" s="403" t="s">
        <v>131</v>
      </c>
      <c r="K1635" s="370"/>
      <c r="N1635" s="370"/>
    </row>
    <row r="1636" spans="1:14" s="347" customFormat="1" x14ac:dyDescent="0.25">
      <c r="A1636" s="369"/>
      <c r="E1636" s="396"/>
      <c r="F1636" s="396"/>
      <c r="G1636" s="396"/>
      <c r="K1636" s="370"/>
      <c r="N1636" s="370"/>
    </row>
    <row r="1637" spans="1:14" s="347" customFormat="1" x14ac:dyDescent="0.25">
      <c r="A1637" s="369">
        <v>44292</v>
      </c>
      <c r="B1637" s="347">
        <f>+MONTH(A1637)</f>
        <v>4</v>
      </c>
      <c r="C1637" s="347">
        <v>115</v>
      </c>
      <c r="D1637" s="340" t="str">
        <f>VLOOKUP(C1637,Plan!A:B,2,0)</f>
        <v>Disponible Cali B.Chile</v>
      </c>
      <c r="E1637" s="341">
        <f>+F1637-G1637</f>
        <v>2200000</v>
      </c>
      <c r="F1637" s="405">
        <v>2200000</v>
      </c>
      <c r="G1637" s="405">
        <v>0</v>
      </c>
      <c r="H1637" t="s">
        <v>1676</v>
      </c>
      <c r="I1637" s="403" t="s">
        <v>131</v>
      </c>
      <c r="K1637" s="370"/>
      <c r="N1637" s="370"/>
    </row>
    <row r="1638" spans="1:14" s="347" customFormat="1" x14ac:dyDescent="0.25">
      <c r="A1638" s="369">
        <f>+A1637</f>
        <v>44292</v>
      </c>
      <c r="B1638" s="347">
        <f>+MONTH(A1638)</f>
        <v>4</v>
      </c>
      <c r="C1638" s="347">
        <v>3210</v>
      </c>
      <c r="D1638" s="340" t="str">
        <f>VLOOKUP(C1638,Plan!A:B,2,0)</f>
        <v>Donacion Construccion</v>
      </c>
      <c r="E1638" s="341">
        <f>+F1638-G1638</f>
        <v>-2200000</v>
      </c>
      <c r="F1638" s="405">
        <v>0</v>
      </c>
      <c r="G1638" s="405">
        <f>+F1637</f>
        <v>2200000</v>
      </c>
      <c r="H1638" t="str">
        <f>+H1637</f>
        <v>Francisco Javier Lathrop Velasco/Azul</v>
      </c>
      <c r="I1638" s="403" t="s">
        <v>131</v>
      </c>
      <c r="K1638" s="370"/>
      <c r="N1638" s="370"/>
    </row>
    <row r="1639" spans="1:14" s="347" customFormat="1" x14ac:dyDescent="0.25">
      <c r="A1639" s="369"/>
      <c r="E1639" s="396"/>
      <c r="F1639" s="396"/>
      <c r="G1639" s="396"/>
      <c r="K1639" s="370"/>
      <c r="N1639" s="370"/>
    </row>
    <row r="1640" spans="1:14" s="347" customFormat="1" x14ac:dyDescent="0.25">
      <c r="A1640" s="369">
        <v>44293</v>
      </c>
      <c r="B1640" s="347">
        <f>+MONTH(A1640)</f>
        <v>4</v>
      </c>
      <c r="C1640" s="347">
        <v>115</v>
      </c>
      <c r="D1640" s="340" t="str">
        <f>VLOOKUP(C1640,Plan!A:B,2,0)</f>
        <v>Disponible Cali B.Chile</v>
      </c>
      <c r="E1640" s="341">
        <f>+F1640-G1640</f>
        <v>15000</v>
      </c>
      <c r="F1640" s="405">
        <v>15000</v>
      </c>
      <c r="G1640" s="405">
        <v>0</v>
      </c>
      <c r="H1640" t="s">
        <v>940</v>
      </c>
      <c r="I1640" s="403" t="s">
        <v>131</v>
      </c>
      <c r="K1640" s="370"/>
      <c r="N1640" s="370"/>
    </row>
    <row r="1641" spans="1:14" s="347" customFormat="1" x14ac:dyDescent="0.25">
      <c r="A1641" s="369">
        <f>+A1640</f>
        <v>44293</v>
      </c>
      <c r="B1641" s="347">
        <f>+MONTH(A1641)</f>
        <v>4</v>
      </c>
      <c r="C1641" s="347">
        <v>1216</v>
      </c>
      <c r="D1641" s="340" t="str">
        <f>VLOOKUP(C1641,Plan!A:B,2,0)</f>
        <v>Otros Valores Recaudadoras</v>
      </c>
      <c r="E1641" s="341">
        <f>+F1641-G1641</f>
        <v>-15000</v>
      </c>
      <c r="F1641" s="405">
        <v>0</v>
      </c>
      <c r="G1641" s="405">
        <f>+F1640</f>
        <v>15000</v>
      </c>
      <c r="H1641" t="str">
        <f>+H1640</f>
        <v>Ana María Reyes Garín / 248</v>
      </c>
      <c r="I1641" s="403" t="s">
        <v>131</v>
      </c>
      <c r="K1641" s="370"/>
      <c r="N1641" s="370"/>
    </row>
    <row r="1642" spans="1:14" s="347" customFormat="1" x14ac:dyDescent="0.25">
      <c r="A1642" s="369"/>
      <c r="E1642" s="396"/>
      <c r="F1642" s="396"/>
      <c r="G1642" s="396"/>
      <c r="K1642" s="370"/>
      <c r="N1642" s="370"/>
    </row>
    <row r="1643" spans="1:14" s="347" customFormat="1" x14ac:dyDescent="0.25">
      <c r="A1643" s="369">
        <v>44293</v>
      </c>
      <c r="B1643" s="347">
        <f>+MONTH(A1643)</f>
        <v>4</v>
      </c>
      <c r="C1643" s="347">
        <v>115</v>
      </c>
      <c r="D1643" s="340" t="str">
        <f>VLOOKUP(C1643,Plan!A:B,2,0)</f>
        <v>Disponible Cali B.Chile</v>
      </c>
      <c r="E1643" s="341">
        <f>+F1643-G1643</f>
        <v>850000</v>
      </c>
      <c r="F1643" s="405">
        <v>850000</v>
      </c>
      <c r="G1643" s="405">
        <v>0</v>
      </c>
      <c r="H1643" t="s">
        <v>1675</v>
      </c>
      <c r="I1643" s="403" t="s">
        <v>131</v>
      </c>
      <c r="K1643" s="370"/>
      <c r="N1643" s="370"/>
    </row>
    <row r="1644" spans="1:14" s="347" customFormat="1" x14ac:dyDescent="0.25">
      <c r="A1644" s="369">
        <f>+A1643</f>
        <v>44293</v>
      </c>
      <c r="B1644" s="347">
        <f>+MONTH(A1644)</f>
        <v>4</v>
      </c>
      <c r="C1644" s="347">
        <v>3210</v>
      </c>
      <c r="D1644" s="340" t="str">
        <f>VLOOKUP(C1644,Plan!A:B,2,0)</f>
        <v>Donacion Construccion</v>
      </c>
      <c r="E1644" s="341">
        <f>+F1644-G1644</f>
        <v>-850000</v>
      </c>
      <c r="F1644" s="405">
        <v>0</v>
      </c>
      <c r="G1644" s="405">
        <f>+F1643</f>
        <v>850000</v>
      </c>
      <c r="H1644" t="str">
        <f>+H1643</f>
        <v>Juan Gabriel Navarro Gutiérrez / Azul</v>
      </c>
      <c r="I1644" s="403" t="s">
        <v>131</v>
      </c>
      <c r="K1644" s="370"/>
      <c r="N1644" s="370"/>
    </row>
    <row r="1645" spans="1:14" s="347" customFormat="1" x14ac:dyDescent="0.25">
      <c r="A1645" s="369"/>
      <c r="E1645" s="396"/>
      <c r="F1645" s="396"/>
      <c r="G1645" s="396"/>
      <c r="K1645" s="370"/>
      <c r="N1645" s="370"/>
    </row>
    <row r="1646" spans="1:14" s="347" customFormat="1" x14ac:dyDescent="0.25">
      <c r="A1646" s="369">
        <v>44293</v>
      </c>
      <c r="B1646" s="347">
        <f>+MONTH(A1646)</f>
        <v>4</v>
      </c>
      <c r="C1646" s="347">
        <v>115</v>
      </c>
      <c r="D1646" s="340" t="str">
        <f>VLOOKUP(C1646,Plan!A:B,2,0)</f>
        <v>Disponible Cali B.Chile</v>
      </c>
      <c r="E1646" s="341">
        <f>+F1646-G1646</f>
        <v>75000</v>
      </c>
      <c r="F1646" s="405">
        <v>75000</v>
      </c>
      <c r="G1646" s="405">
        <v>0</v>
      </c>
      <c r="H1646" t="s">
        <v>1679</v>
      </c>
      <c r="I1646" s="403" t="s">
        <v>131</v>
      </c>
      <c r="K1646" s="370"/>
      <c r="N1646" s="370"/>
    </row>
    <row r="1647" spans="1:14" s="347" customFormat="1" x14ac:dyDescent="0.25">
      <c r="A1647" s="369">
        <f>+A1646</f>
        <v>44293</v>
      </c>
      <c r="B1647" s="347">
        <f>+MONTH(A1647)</f>
        <v>4</v>
      </c>
      <c r="C1647" s="347">
        <v>1222</v>
      </c>
      <c r="D1647" s="340" t="str">
        <f>VLOOKUP(C1647,Plan!A:B,2,0)</f>
        <v>Otros Valores -Oficina y Transferencias (249)</v>
      </c>
      <c r="E1647" s="341">
        <f>+F1647-G1647</f>
        <v>-75000</v>
      </c>
      <c r="F1647" s="405">
        <v>0</v>
      </c>
      <c r="G1647" s="405">
        <f>+F1646</f>
        <v>75000</v>
      </c>
      <c r="H1647" t="str">
        <f>+H1646</f>
        <v>María Teresa Ibañez Vial / 249</v>
      </c>
      <c r="I1647" s="403" t="s">
        <v>131</v>
      </c>
      <c r="K1647" s="370"/>
      <c r="N1647" s="370"/>
    </row>
    <row r="1648" spans="1:14" s="347" customFormat="1" x14ac:dyDescent="0.25">
      <c r="A1648" s="369"/>
      <c r="E1648" s="396"/>
      <c r="F1648" s="396"/>
      <c r="G1648" s="396"/>
      <c r="K1648" s="370"/>
      <c r="N1648" s="370"/>
    </row>
    <row r="1649" spans="1:14" s="347" customFormat="1" x14ac:dyDescent="0.25">
      <c r="A1649" s="369">
        <v>44293</v>
      </c>
      <c r="B1649" s="347">
        <f>+MONTH(A1649)</f>
        <v>4</v>
      </c>
      <c r="C1649" s="347">
        <v>115</v>
      </c>
      <c r="D1649" s="340" t="str">
        <f>VLOOKUP(C1649,Plan!A:B,2,0)</f>
        <v>Disponible Cali B.Chile</v>
      </c>
      <c r="E1649" s="341">
        <f>+F1649-G1649</f>
        <v>3750000</v>
      </c>
      <c r="F1649" s="405">
        <v>3750000</v>
      </c>
      <c r="G1649" s="405">
        <v>0</v>
      </c>
      <c r="H1649" t="s">
        <v>1677</v>
      </c>
      <c r="I1649" s="403" t="s">
        <v>131</v>
      </c>
      <c r="K1649" s="370"/>
      <c r="N1649" s="370"/>
    </row>
    <row r="1650" spans="1:14" s="347" customFormat="1" x14ac:dyDescent="0.25">
      <c r="A1650" s="369">
        <f>+A1649</f>
        <v>44293</v>
      </c>
      <c r="B1650" s="347">
        <f>+MONTH(A1650)</f>
        <v>4</v>
      </c>
      <c r="C1650" s="347">
        <v>3210</v>
      </c>
      <c r="D1650" s="340" t="str">
        <f>VLOOKUP(C1650,Plan!A:B,2,0)</f>
        <v>Donacion Construccion</v>
      </c>
      <c r="E1650" s="341">
        <f>+F1650-G1650</f>
        <v>-3750000</v>
      </c>
      <c r="F1650" s="405">
        <v>0</v>
      </c>
      <c r="G1650" s="405">
        <f>+F1649</f>
        <v>3750000</v>
      </c>
      <c r="H1650" t="str">
        <f>+H1649</f>
        <v>Pedro Pablo Bossay Kretschmer/Azul</v>
      </c>
      <c r="I1650" s="403" t="s">
        <v>131</v>
      </c>
      <c r="K1650" s="370"/>
      <c r="N1650" s="370"/>
    </row>
    <row r="1651" spans="1:14" s="347" customFormat="1" x14ac:dyDescent="0.25">
      <c r="A1651" s="369"/>
      <c r="E1651" s="396"/>
      <c r="F1651" s="396"/>
      <c r="G1651" s="396"/>
      <c r="K1651" s="370"/>
      <c r="N1651" s="370"/>
    </row>
    <row r="1652" spans="1:14" s="347" customFormat="1" x14ac:dyDescent="0.25">
      <c r="A1652" s="369">
        <v>44293</v>
      </c>
      <c r="B1652" s="347">
        <f>+MONTH(A1652)</f>
        <v>4</v>
      </c>
      <c r="C1652" s="347">
        <v>115</v>
      </c>
      <c r="D1652" s="340" t="str">
        <f>VLOOKUP(C1652,Plan!A:B,2,0)</f>
        <v>Disponible Cali B.Chile</v>
      </c>
      <c r="E1652" s="341">
        <f>+F1652-G1652</f>
        <v>29461</v>
      </c>
      <c r="F1652" s="405">
        <v>29461</v>
      </c>
      <c r="G1652" s="405">
        <v>0</v>
      </c>
      <c r="H1652" t="s">
        <v>991</v>
      </c>
      <c r="I1652" s="403" t="s">
        <v>131</v>
      </c>
      <c r="K1652" s="370"/>
      <c r="N1652" s="370"/>
    </row>
    <row r="1653" spans="1:14" s="347" customFormat="1" x14ac:dyDescent="0.25">
      <c r="A1653" s="369">
        <v>44293</v>
      </c>
      <c r="B1653" s="347">
        <f>+MONTH(A1653)</f>
        <v>4</v>
      </c>
      <c r="C1653" s="347">
        <v>4331</v>
      </c>
      <c r="D1653" s="340" t="str">
        <f>VLOOKUP(C1653,Plan!A:B,2,0)</f>
        <v>Cali</v>
      </c>
      <c r="E1653" s="341">
        <f>+F1653-G1653</f>
        <v>539</v>
      </c>
      <c r="F1653" s="405">
        <f>+G1654-F1652</f>
        <v>539</v>
      </c>
      <c r="G1653" s="405">
        <v>0</v>
      </c>
      <c r="H1653" t="s">
        <v>991</v>
      </c>
      <c r="I1653" s="403" t="s">
        <v>131</v>
      </c>
      <c r="K1653" s="370"/>
      <c r="N1653" s="370"/>
    </row>
    <row r="1654" spans="1:14" s="347" customFormat="1" x14ac:dyDescent="0.25">
      <c r="A1654" s="369">
        <f>+A1652</f>
        <v>44293</v>
      </c>
      <c r="B1654" s="347">
        <f>+MONTH(A1654)</f>
        <v>4</v>
      </c>
      <c r="C1654" s="347">
        <v>1222</v>
      </c>
      <c r="D1654" s="340" t="str">
        <f>VLOOKUP(C1654,Plan!A:B,2,0)</f>
        <v>Otros Valores -Oficina y Transferencias (249)</v>
      </c>
      <c r="E1654" s="341">
        <f>+F1654-G1654</f>
        <v>-30000</v>
      </c>
      <c r="F1654" s="405">
        <v>0</v>
      </c>
      <c r="G1654" s="405">
        <v>30000</v>
      </c>
      <c r="H1654" t="str">
        <f>+H1652</f>
        <v>DCT (S.GuerreroV.M$20 y M.JoseGuridi M$10)</v>
      </c>
      <c r="I1654" s="403" t="s">
        <v>131</v>
      </c>
      <c r="K1654" s="370"/>
      <c r="N1654" s="370"/>
    </row>
    <row r="1655" spans="1:14" s="347" customFormat="1" x14ac:dyDescent="0.25">
      <c r="A1655" s="369"/>
      <c r="E1655" s="396"/>
      <c r="F1655" s="396"/>
      <c r="G1655" s="396"/>
      <c r="K1655" s="370"/>
      <c r="N1655" s="370"/>
    </row>
    <row r="1656" spans="1:14" s="347" customFormat="1" x14ac:dyDescent="0.25">
      <c r="A1656" s="369">
        <v>44293</v>
      </c>
      <c r="B1656" s="347">
        <f>+MONTH(A1656)</f>
        <v>4</v>
      </c>
      <c r="C1656" s="347">
        <v>115</v>
      </c>
      <c r="D1656" s="340" t="str">
        <f>VLOOKUP(C1656,Plan!A:B,2,0)</f>
        <v>Disponible Cali B.Chile</v>
      </c>
      <c r="E1656" s="341">
        <f>+F1656-G1656</f>
        <v>9820</v>
      </c>
      <c r="F1656" s="405">
        <v>9820</v>
      </c>
      <c r="G1656" s="405">
        <v>0</v>
      </c>
      <c r="H1656" t="s">
        <v>1680</v>
      </c>
      <c r="I1656" s="403" t="s">
        <v>131</v>
      </c>
      <c r="K1656" s="370"/>
      <c r="N1656" s="370"/>
    </row>
    <row r="1657" spans="1:14" s="347" customFormat="1" x14ac:dyDescent="0.25">
      <c r="A1657" s="369">
        <f>+A1656</f>
        <v>44293</v>
      </c>
      <c r="B1657" s="347">
        <f>+MONTH(A1657)</f>
        <v>4</v>
      </c>
      <c r="C1657" s="347">
        <v>3210</v>
      </c>
      <c r="D1657" s="340" t="str">
        <f>VLOOKUP(C1657,Plan!A:B,2,0)</f>
        <v>Donacion Construccion</v>
      </c>
      <c r="E1657" s="341">
        <f>+F1657-G1657</f>
        <v>-9820</v>
      </c>
      <c r="F1657" s="405">
        <v>0</v>
      </c>
      <c r="G1657" s="405">
        <f>+F1656</f>
        <v>9820</v>
      </c>
      <c r="H1657" t="str">
        <f>+H1656</f>
        <v xml:space="preserve">DCT Cristian Jirón Palma /Azul </v>
      </c>
      <c r="I1657" s="403" t="s">
        <v>131</v>
      </c>
      <c r="K1657" s="370"/>
      <c r="N1657" s="370"/>
    </row>
    <row r="1658" spans="1:14" s="347" customFormat="1" x14ac:dyDescent="0.25">
      <c r="A1658" s="369"/>
      <c r="E1658" s="396"/>
      <c r="F1658" s="396"/>
      <c r="G1658" s="396"/>
      <c r="K1658" s="370"/>
      <c r="N1658" s="370"/>
    </row>
    <row r="1659" spans="1:14" s="347" customFormat="1" x14ac:dyDescent="0.25">
      <c r="A1659" s="369">
        <v>44293</v>
      </c>
      <c r="B1659" s="347">
        <f>+MONTH(A1659)</f>
        <v>4</v>
      </c>
      <c r="C1659" s="347">
        <v>115</v>
      </c>
      <c r="D1659" s="340" t="str">
        <f>VLOOKUP(C1659,Plan!A:B,2,0)</f>
        <v>Disponible Cali B.Chile</v>
      </c>
      <c r="E1659" s="341">
        <f>+F1659-G1659</f>
        <v>64000</v>
      </c>
      <c r="F1659" s="405">
        <v>64000</v>
      </c>
      <c r="G1659" s="405">
        <v>0</v>
      </c>
      <c r="H1659" t="s">
        <v>550</v>
      </c>
      <c r="I1659" s="403" t="s">
        <v>131</v>
      </c>
      <c r="K1659" s="370"/>
      <c r="N1659" s="370"/>
    </row>
    <row r="1660" spans="1:14" s="347" customFormat="1" x14ac:dyDescent="0.25">
      <c r="A1660" s="369">
        <f>+A1659</f>
        <v>44293</v>
      </c>
      <c r="B1660" s="347">
        <f>+MONTH(A1660)</f>
        <v>4</v>
      </c>
      <c r="C1660" s="347">
        <v>1217</v>
      </c>
      <c r="D1660" s="340" t="str">
        <f>VLOOKUP(C1660,Plan!A:B,2,0)</f>
        <v>Otros Valores -Oficina y Transferencias (248)</v>
      </c>
      <c r="E1660" s="341">
        <f>+F1660-G1660</f>
        <v>-64000</v>
      </c>
      <c r="F1660" s="405">
        <v>0</v>
      </c>
      <c r="G1660" s="405">
        <f>+F1659</f>
        <v>64000</v>
      </c>
      <c r="H1660" t="str">
        <f>+H1659</f>
        <v>Leonardo Robles / 248</v>
      </c>
      <c r="I1660" s="403" t="s">
        <v>131</v>
      </c>
      <c r="K1660" s="370"/>
      <c r="N1660" s="370"/>
    </row>
    <row r="1661" spans="1:14" s="347" customFormat="1" x14ac:dyDescent="0.25">
      <c r="A1661" s="369"/>
      <c r="E1661" s="396"/>
      <c r="F1661" s="396"/>
      <c r="G1661" s="396"/>
      <c r="K1661" s="370"/>
      <c r="N1661" s="370"/>
    </row>
    <row r="1662" spans="1:14" s="347" customFormat="1" x14ac:dyDescent="0.25">
      <c r="A1662" s="369">
        <v>44294</v>
      </c>
      <c r="B1662" s="347">
        <f>+MONTH(A1662)</f>
        <v>4</v>
      </c>
      <c r="C1662" s="347">
        <v>115</v>
      </c>
      <c r="D1662" s="340" t="str">
        <f>VLOOKUP(C1662,Plan!A:B,2,0)</f>
        <v>Disponible Cali B.Chile</v>
      </c>
      <c r="E1662" s="341">
        <f>+F1662-G1662</f>
        <v>30000</v>
      </c>
      <c r="F1662" s="405">
        <v>30000</v>
      </c>
      <c r="G1662" s="405">
        <v>0</v>
      </c>
      <c r="H1662" t="s">
        <v>1012</v>
      </c>
      <c r="I1662" s="403" t="s">
        <v>131</v>
      </c>
      <c r="K1662" s="370"/>
      <c r="N1662" s="370"/>
    </row>
    <row r="1663" spans="1:14" s="347" customFormat="1" x14ac:dyDescent="0.25">
      <c r="A1663" s="369">
        <f>+A1662</f>
        <v>44294</v>
      </c>
      <c r="B1663" s="347">
        <f>+MONTH(A1663)</f>
        <v>4</v>
      </c>
      <c r="C1663" s="347">
        <v>1222</v>
      </c>
      <c r="D1663" s="340" t="str">
        <f>VLOOKUP(C1663,Plan!A:B,2,0)</f>
        <v>Otros Valores -Oficina y Transferencias (249)</v>
      </c>
      <c r="E1663" s="341">
        <f>+F1663-G1663</f>
        <v>-30000</v>
      </c>
      <c r="F1663" s="405">
        <v>0</v>
      </c>
      <c r="G1663" s="405">
        <f>+F1662</f>
        <v>30000</v>
      </c>
      <c r="H1663" t="str">
        <f>+H1662</f>
        <v>María Luz Parodi Gil / 249</v>
      </c>
      <c r="I1663" s="403" t="s">
        <v>131</v>
      </c>
      <c r="K1663" s="370"/>
      <c r="N1663" s="370"/>
    </row>
    <row r="1664" spans="1:14" s="347" customFormat="1" x14ac:dyDescent="0.25">
      <c r="A1664" s="369"/>
      <c r="E1664" s="396"/>
      <c r="F1664" s="396"/>
      <c r="G1664" s="396"/>
      <c r="K1664" s="370"/>
      <c r="N1664" s="370"/>
    </row>
    <row r="1665" spans="1:14" s="347" customFormat="1" x14ac:dyDescent="0.25">
      <c r="A1665" s="369">
        <v>44295</v>
      </c>
      <c r="B1665" s="347">
        <f>+MONTH(A1665)</f>
        <v>4</v>
      </c>
      <c r="C1665" s="347">
        <v>115</v>
      </c>
      <c r="D1665" s="340" t="str">
        <f>VLOOKUP(C1665,Plan!A:B,2,0)</f>
        <v>Disponible Cali B.Chile</v>
      </c>
      <c r="E1665" s="341">
        <f>+F1665-G1665</f>
        <v>150000</v>
      </c>
      <c r="F1665" s="405">
        <v>150000</v>
      </c>
      <c r="G1665" s="405">
        <v>0</v>
      </c>
      <c r="H1665" t="s">
        <v>1061</v>
      </c>
      <c r="I1665" s="403" t="s">
        <v>131</v>
      </c>
      <c r="K1665" s="370"/>
      <c r="N1665" s="370"/>
    </row>
    <row r="1666" spans="1:14" s="347" customFormat="1" x14ac:dyDescent="0.25">
      <c r="A1666" s="369">
        <f>+A1665</f>
        <v>44295</v>
      </c>
      <c r="B1666" s="347">
        <f>+MONTH(A1666)</f>
        <v>4</v>
      </c>
      <c r="C1666" s="347">
        <v>1217</v>
      </c>
      <c r="D1666" s="340" t="str">
        <f>VLOOKUP(C1666,Plan!A:B,2,0)</f>
        <v>Otros Valores -Oficina y Transferencias (248)</v>
      </c>
      <c r="E1666" s="341">
        <f>+F1666-G1666</f>
        <v>-150000</v>
      </c>
      <c r="F1666" s="405">
        <v>0</v>
      </c>
      <c r="G1666" s="405">
        <f>+F1665</f>
        <v>150000</v>
      </c>
      <c r="H1666" t="str">
        <f>+H1665</f>
        <v>Patricio Abalos /248</v>
      </c>
      <c r="I1666" s="403" t="s">
        <v>131</v>
      </c>
      <c r="K1666" s="370"/>
      <c r="N1666" s="370"/>
    </row>
    <row r="1667" spans="1:14" s="347" customFormat="1" x14ac:dyDescent="0.25">
      <c r="A1667" s="369"/>
      <c r="E1667" s="396"/>
      <c r="F1667" s="396"/>
      <c r="G1667" s="396"/>
      <c r="K1667" s="370"/>
      <c r="N1667" s="370"/>
    </row>
    <row r="1668" spans="1:14" s="347" customFormat="1" x14ac:dyDescent="0.25">
      <c r="A1668" s="369">
        <v>44295</v>
      </c>
      <c r="B1668" s="347">
        <f>+MONTH(A1668)</f>
        <v>4</v>
      </c>
      <c r="C1668" s="347">
        <v>115</v>
      </c>
      <c r="D1668" s="340" t="str">
        <f>VLOOKUP(C1668,Plan!A:B,2,0)</f>
        <v>Disponible Cali B.Chile</v>
      </c>
      <c r="E1668" s="341">
        <f>+F1668-G1668</f>
        <v>60000</v>
      </c>
      <c r="F1668" s="405">
        <v>60000</v>
      </c>
      <c r="G1668" s="405">
        <v>0</v>
      </c>
      <c r="H1668" t="s">
        <v>1031</v>
      </c>
      <c r="I1668" s="403" t="s">
        <v>131</v>
      </c>
      <c r="K1668" s="370"/>
      <c r="N1668" s="370"/>
    </row>
    <row r="1669" spans="1:14" s="347" customFormat="1" x14ac:dyDescent="0.25">
      <c r="A1669" s="369">
        <f>+A1668</f>
        <v>44295</v>
      </c>
      <c r="B1669" s="347">
        <f>+MONTH(A1669)</f>
        <v>4</v>
      </c>
      <c r="C1669" s="347">
        <v>1217</v>
      </c>
      <c r="D1669" s="340" t="str">
        <f>VLOOKUP(C1669,Plan!A:B,2,0)</f>
        <v>Otros Valores -Oficina y Transferencias (248)</v>
      </c>
      <c r="E1669" s="341">
        <f>+F1669-G1669</f>
        <v>-60000</v>
      </c>
      <c r="F1669" s="405">
        <v>0</v>
      </c>
      <c r="G1669" s="405">
        <f>+F1668</f>
        <v>60000</v>
      </c>
      <c r="H1669" t="str">
        <f>+H1668</f>
        <v xml:space="preserve">D. Vassiliu /248 </v>
      </c>
      <c r="I1669" s="403" t="s">
        <v>131</v>
      </c>
      <c r="K1669" s="370"/>
      <c r="N1669" s="370"/>
    </row>
    <row r="1670" spans="1:14" s="347" customFormat="1" x14ac:dyDescent="0.25">
      <c r="A1670" s="369"/>
      <c r="E1670" s="396"/>
      <c r="F1670" s="396"/>
      <c r="G1670" s="396"/>
      <c r="K1670" s="370"/>
      <c r="N1670" s="370"/>
    </row>
    <row r="1671" spans="1:14" s="347" customFormat="1" x14ac:dyDescent="0.25">
      <c r="A1671" s="369">
        <v>44295</v>
      </c>
      <c r="B1671" s="347">
        <f>+MONTH(A1671)</f>
        <v>4</v>
      </c>
      <c r="C1671" s="347">
        <v>115</v>
      </c>
      <c r="D1671" s="340" t="str">
        <f>VLOOKUP(C1671,Plan!A:B,2,0)</f>
        <v>Disponible Cali B.Chile</v>
      </c>
      <c r="E1671" s="341">
        <f>+F1671-G1671</f>
        <v>30000</v>
      </c>
      <c r="F1671" s="405">
        <v>30000</v>
      </c>
      <c r="G1671" s="405">
        <v>0</v>
      </c>
      <c r="H1671" t="s">
        <v>1066</v>
      </c>
      <c r="I1671" s="403" t="s">
        <v>131</v>
      </c>
      <c r="K1671" s="370"/>
      <c r="N1671" s="370"/>
    </row>
    <row r="1672" spans="1:14" s="347" customFormat="1" x14ac:dyDescent="0.25">
      <c r="A1672" s="369">
        <f>+A1671</f>
        <v>44295</v>
      </c>
      <c r="B1672" s="347">
        <f>+MONTH(A1672)</f>
        <v>4</v>
      </c>
      <c r="C1672" s="347">
        <v>1222</v>
      </c>
      <c r="D1672" s="340" t="str">
        <f>VLOOKUP(C1672,Plan!A:B,2,0)</f>
        <v>Otros Valores -Oficina y Transferencias (249)</v>
      </c>
      <c r="E1672" s="341">
        <f>+F1672-G1672</f>
        <v>-30000</v>
      </c>
      <c r="F1672" s="405">
        <v>0</v>
      </c>
      <c r="G1672" s="405">
        <f>+F1671</f>
        <v>30000</v>
      </c>
      <c r="H1672" t="str">
        <f>+H1671</f>
        <v>Marie Solange Vinet Homar / 249</v>
      </c>
      <c r="I1672" s="403" t="s">
        <v>131</v>
      </c>
      <c r="K1672" s="370"/>
      <c r="N1672" s="370"/>
    </row>
    <row r="1673" spans="1:14" s="347" customFormat="1" x14ac:dyDescent="0.25">
      <c r="A1673" s="369"/>
      <c r="E1673" s="396"/>
      <c r="F1673" s="396"/>
      <c r="G1673" s="396"/>
      <c r="K1673" s="370"/>
      <c r="N1673" s="370"/>
    </row>
    <row r="1674" spans="1:14" s="347" customFormat="1" x14ac:dyDescent="0.25">
      <c r="A1674" s="369">
        <v>44295</v>
      </c>
      <c r="B1674" s="347">
        <f>+MONTH(A1674)</f>
        <v>4</v>
      </c>
      <c r="C1674" s="347">
        <v>115</v>
      </c>
      <c r="D1674" s="340" t="str">
        <f>VLOOKUP(C1674,Plan!A:B,2,0)</f>
        <v>Disponible Cali B.Chile</v>
      </c>
      <c r="E1674" s="341">
        <f>+F1674-G1674</f>
        <v>20000</v>
      </c>
      <c r="F1674" s="405">
        <v>20000</v>
      </c>
      <c r="G1674" s="405">
        <v>0</v>
      </c>
      <c r="H1674" t="s">
        <v>1681</v>
      </c>
      <c r="I1674" s="403" t="s">
        <v>131</v>
      </c>
      <c r="K1674" s="370"/>
      <c r="N1674" s="370"/>
    </row>
    <row r="1675" spans="1:14" s="347" customFormat="1" x14ac:dyDescent="0.25">
      <c r="A1675" s="369">
        <f>+A1674</f>
        <v>44295</v>
      </c>
      <c r="B1675" s="347">
        <f>+MONTH(A1675)</f>
        <v>4</v>
      </c>
      <c r="C1675" s="347">
        <v>1222</v>
      </c>
      <c r="D1675" s="340" t="str">
        <f>VLOOKUP(C1675,Plan!A:B,2,0)</f>
        <v>Otros Valores -Oficina y Transferencias (249)</v>
      </c>
      <c r="E1675" s="341">
        <f>+F1675-G1675</f>
        <v>-20000</v>
      </c>
      <c r="F1675" s="405">
        <v>0</v>
      </c>
      <c r="G1675" s="405">
        <f>+F1674</f>
        <v>20000</v>
      </c>
      <c r="H1675" t="str">
        <f>+H1674</f>
        <v>Ignacio Prat Mendoza/249</v>
      </c>
      <c r="I1675" s="403" t="s">
        <v>131</v>
      </c>
      <c r="K1675" s="370"/>
      <c r="N1675" s="370"/>
    </row>
    <row r="1676" spans="1:14" s="347" customFormat="1" x14ac:dyDescent="0.25">
      <c r="A1676" s="369"/>
      <c r="E1676" s="396"/>
      <c r="F1676" s="396"/>
      <c r="G1676" s="396"/>
      <c r="K1676" s="370"/>
      <c r="N1676" s="370"/>
    </row>
    <row r="1677" spans="1:14" s="347" customFormat="1" x14ac:dyDescent="0.25">
      <c r="A1677" s="369">
        <v>44298</v>
      </c>
      <c r="B1677" s="347">
        <f>+MONTH(A1677)</f>
        <v>4</v>
      </c>
      <c r="C1677" s="347">
        <v>115</v>
      </c>
      <c r="D1677" s="340" t="str">
        <f>VLOOKUP(C1677,Plan!A:B,2,0)</f>
        <v>Disponible Cali B.Chile</v>
      </c>
      <c r="E1677" s="341">
        <f>+F1677-G1677</f>
        <v>30000</v>
      </c>
      <c r="F1677" s="405">
        <v>30000</v>
      </c>
      <c r="G1677" s="405">
        <v>0</v>
      </c>
      <c r="H1677" t="s">
        <v>1003</v>
      </c>
      <c r="I1677" s="403" t="s">
        <v>131</v>
      </c>
      <c r="K1677" s="370"/>
      <c r="N1677" s="370"/>
    </row>
    <row r="1678" spans="1:14" s="347" customFormat="1" x14ac:dyDescent="0.25">
      <c r="A1678" s="369">
        <f>+A1677</f>
        <v>44298</v>
      </c>
      <c r="B1678" s="347">
        <f>+MONTH(A1678)</f>
        <v>4</v>
      </c>
      <c r="C1678" s="347">
        <v>3210</v>
      </c>
      <c r="D1678" s="340" t="str">
        <f>VLOOKUP(C1678,Plan!A:B,2,0)</f>
        <v>Donacion Construccion</v>
      </c>
      <c r="E1678" s="341">
        <f>+F1678-G1678</f>
        <v>-30000</v>
      </c>
      <c r="F1678" s="405">
        <v>0</v>
      </c>
      <c r="G1678" s="405">
        <f>+F1677</f>
        <v>30000</v>
      </c>
      <c r="H1678" t="str">
        <f>+H1677</f>
        <v>Marcela Rebeca Pinto Zepeda / Azul</v>
      </c>
      <c r="I1678" s="403" t="s">
        <v>131</v>
      </c>
      <c r="K1678" s="370"/>
      <c r="N1678" s="370"/>
    </row>
    <row r="1679" spans="1:14" s="347" customFormat="1" x14ac:dyDescent="0.25">
      <c r="A1679" s="369"/>
      <c r="E1679" s="396"/>
      <c r="F1679" s="396"/>
      <c r="G1679" s="396"/>
      <c r="K1679" s="370"/>
      <c r="N1679" s="370"/>
    </row>
    <row r="1680" spans="1:14" s="347" customFormat="1" x14ac:dyDescent="0.25">
      <c r="A1680" s="369">
        <v>44298</v>
      </c>
      <c r="B1680" s="347">
        <f>+MONTH(A1680)</f>
        <v>4</v>
      </c>
      <c r="C1680" s="347">
        <v>115</v>
      </c>
      <c r="D1680" s="340" t="str">
        <f>VLOOKUP(C1680,Plan!A:B,2,0)</f>
        <v>Disponible Cali B.Chile</v>
      </c>
      <c r="E1680" s="341">
        <f>+F1680-G1680</f>
        <v>2500</v>
      </c>
      <c r="F1680" s="405">
        <v>2500</v>
      </c>
      <c r="G1680" s="405">
        <v>0</v>
      </c>
      <c r="H1680" s="156" t="s">
        <v>1682</v>
      </c>
      <c r="I1680" s="403" t="s">
        <v>131</v>
      </c>
      <c r="K1680" s="370"/>
      <c r="N1680" s="370"/>
    </row>
    <row r="1681" spans="1:14" s="347" customFormat="1" x14ac:dyDescent="0.25">
      <c r="A1681" s="369">
        <f>+A1680</f>
        <v>44298</v>
      </c>
      <c r="B1681" s="347">
        <f>+MONTH(A1681)</f>
        <v>4</v>
      </c>
      <c r="C1681" s="347">
        <v>216</v>
      </c>
      <c r="D1681" s="340" t="str">
        <f>VLOOKUP(C1681,Plan!A:B,2,0)</f>
        <v>Cuenta por Pagar a Administración Colectas</v>
      </c>
      <c r="E1681" s="341">
        <f>+F1681-G1681</f>
        <v>-2500</v>
      </c>
      <c r="F1681" s="405">
        <v>0</v>
      </c>
      <c r="G1681" s="405">
        <f>+F1680</f>
        <v>2500</v>
      </c>
      <c r="H1681" t="str">
        <f>+H1680</f>
        <v>COLECTA RAIMUNDO BARROS</v>
      </c>
      <c r="I1681" s="403" t="s">
        <v>131</v>
      </c>
      <c r="K1681" s="370"/>
      <c r="N1681" s="370"/>
    </row>
    <row r="1682" spans="1:14" s="347" customFormat="1" x14ac:dyDescent="0.25">
      <c r="A1682" s="369"/>
      <c r="E1682" s="396"/>
      <c r="F1682" s="396"/>
      <c r="G1682" s="396"/>
      <c r="K1682" s="370"/>
      <c r="N1682" s="370"/>
    </row>
    <row r="1683" spans="1:14" s="347" customFormat="1" x14ac:dyDescent="0.25">
      <c r="A1683" s="369">
        <v>44298</v>
      </c>
      <c r="B1683" s="347">
        <f>+MONTH(A1683)</f>
        <v>4</v>
      </c>
      <c r="C1683" s="347">
        <v>115</v>
      </c>
      <c r="D1683" s="340" t="str">
        <f>VLOOKUP(C1683,Plan!A:B,2,0)</f>
        <v>Disponible Cali B.Chile</v>
      </c>
      <c r="E1683" s="341">
        <f>+F1683-G1683</f>
        <v>10000</v>
      </c>
      <c r="F1683" s="405">
        <v>10000</v>
      </c>
      <c r="G1683" s="405">
        <v>0</v>
      </c>
      <c r="H1683" s="156" t="s">
        <v>971</v>
      </c>
      <c r="I1683" s="403" t="s">
        <v>131</v>
      </c>
      <c r="K1683" s="370"/>
      <c r="N1683" s="370"/>
    </row>
    <row r="1684" spans="1:14" s="347" customFormat="1" x14ac:dyDescent="0.25">
      <c r="A1684" s="369">
        <f>+A1683</f>
        <v>44298</v>
      </c>
      <c r="B1684" s="347">
        <f>+MONTH(A1684)</f>
        <v>4</v>
      </c>
      <c r="C1684" s="347">
        <v>216</v>
      </c>
      <c r="D1684" s="340" t="str">
        <f>VLOOKUP(C1684,Plan!A:B,2,0)</f>
        <v>Cuenta por Pagar a Administración Colectas</v>
      </c>
      <c r="E1684" s="341">
        <f>+F1684-G1684</f>
        <v>-10000</v>
      </c>
      <c r="F1684" s="405">
        <v>0</v>
      </c>
      <c r="G1684" s="405">
        <f>+F1683</f>
        <v>10000</v>
      </c>
      <c r="H1684" t="str">
        <f>+H1683</f>
        <v>Colecta Pablo Irarrazaval Mena</v>
      </c>
      <c r="I1684" s="403" t="s">
        <v>131</v>
      </c>
      <c r="K1684" s="370"/>
      <c r="N1684" s="370"/>
    </row>
    <row r="1685" spans="1:14" s="347" customFormat="1" x14ac:dyDescent="0.25">
      <c r="A1685" s="369"/>
      <c r="E1685" s="396"/>
      <c r="F1685" s="396"/>
      <c r="G1685" s="396"/>
      <c r="K1685" s="370"/>
      <c r="N1685" s="370"/>
    </row>
    <row r="1686" spans="1:14" s="347" customFormat="1" x14ac:dyDescent="0.25">
      <c r="A1686" s="369">
        <v>44298</v>
      </c>
      <c r="B1686" s="347">
        <f>+MONTH(A1686)</f>
        <v>4</v>
      </c>
      <c r="C1686" s="347">
        <v>115</v>
      </c>
      <c r="D1686" s="340" t="str">
        <f>VLOOKUP(C1686,Plan!A:B,2,0)</f>
        <v>Disponible Cali B.Chile</v>
      </c>
      <c r="E1686" s="341">
        <f>+F1686-G1686</f>
        <v>30000</v>
      </c>
      <c r="F1686" s="405">
        <v>30000</v>
      </c>
      <c r="G1686" s="405">
        <v>0</v>
      </c>
      <c r="H1686" s="156" t="s">
        <v>1683</v>
      </c>
      <c r="I1686" s="403" t="s">
        <v>131</v>
      </c>
      <c r="K1686" s="370"/>
      <c r="N1686" s="370"/>
    </row>
    <row r="1687" spans="1:14" s="347" customFormat="1" x14ac:dyDescent="0.25">
      <c r="A1687" s="369">
        <f>+A1686</f>
        <v>44298</v>
      </c>
      <c r="B1687" s="347">
        <f>+MONTH(A1687)</f>
        <v>4</v>
      </c>
      <c r="C1687" s="347">
        <v>216</v>
      </c>
      <c r="D1687" s="340" t="str">
        <f>VLOOKUP(C1687,Plan!A:B,2,0)</f>
        <v>Cuenta por Pagar a Administración Colectas</v>
      </c>
      <c r="E1687" s="341">
        <f>+F1687-G1687</f>
        <v>-30000</v>
      </c>
      <c r="F1687" s="405">
        <v>0</v>
      </c>
      <c r="G1687" s="405">
        <f>+F1686</f>
        <v>30000</v>
      </c>
      <c r="H1687" t="str">
        <f>+H1686</f>
        <v>Colecta Pedro Armando Alvarez Marin</v>
      </c>
      <c r="I1687" s="403" t="s">
        <v>131</v>
      </c>
      <c r="K1687" s="370"/>
      <c r="N1687" s="370"/>
    </row>
    <row r="1688" spans="1:14" s="347" customFormat="1" x14ac:dyDescent="0.25">
      <c r="A1688" s="369"/>
      <c r="E1688" s="396"/>
      <c r="F1688" s="396"/>
      <c r="G1688" s="396"/>
      <c r="K1688" s="370"/>
      <c r="N1688" s="370"/>
    </row>
    <row r="1689" spans="1:14" s="347" customFormat="1" x14ac:dyDescent="0.25">
      <c r="A1689" s="369">
        <v>44298</v>
      </c>
      <c r="B1689" s="347">
        <f>+MONTH(A1689)</f>
        <v>4</v>
      </c>
      <c r="C1689" s="347">
        <v>115</v>
      </c>
      <c r="D1689" s="340" t="str">
        <f>VLOOKUP(C1689,Plan!A:B,2,0)</f>
        <v>Disponible Cali B.Chile</v>
      </c>
      <c r="E1689" s="341">
        <f>+F1689-G1689</f>
        <v>20000</v>
      </c>
      <c r="F1689" s="405">
        <v>20000</v>
      </c>
      <c r="G1689" s="405">
        <v>0</v>
      </c>
      <c r="H1689" t="s">
        <v>1017</v>
      </c>
      <c r="I1689" s="403" t="s">
        <v>131</v>
      </c>
      <c r="K1689" s="370"/>
      <c r="N1689" s="370"/>
    </row>
    <row r="1690" spans="1:14" s="347" customFormat="1" x14ac:dyDescent="0.25">
      <c r="A1690" s="369">
        <f>+A1689</f>
        <v>44298</v>
      </c>
      <c r="B1690" s="347">
        <f>+MONTH(A1690)</f>
        <v>4</v>
      </c>
      <c r="C1690" s="347">
        <v>1216</v>
      </c>
      <c r="D1690" s="340" t="str">
        <f>VLOOKUP(C1690,Plan!A:B,2,0)</f>
        <v>Otros Valores Recaudadoras</v>
      </c>
      <c r="E1690" s="341">
        <f>+F1690-G1690</f>
        <v>-20000</v>
      </c>
      <c r="F1690" s="405">
        <v>0</v>
      </c>
      <c r="G1690" s="405">
        <f>+F1689</f>
        <v>20000</v>
      </c>
      <c r="H1690" t="str">
        <f>+H1689</f>
        <v>María Pía Laura Parodi Gil / 249</v>
      </c>
      <c r="I1690" s="403" t="s">
        <v>131</v>
      </c>
      <c r="K1690" s="370"/>
      <c r="N1690" s="370"/>
    </row>
    <row r="1691" spans="1:14" s="347" customFormat="1" x14ac:dyDescent="0.25">
      <c r="A1691" s="369"/>
      <c r="E1691" s="396"/>
      <c r="F1691" s="396"/>
      <c r="G1691" s="396"/>
      <c r="K1691" s="370"/>
      <c r="N1691" s="370"/>
    </row>
    <row r="1692" spans="1:14" s="347" customFormat="1" x14ac:dyDescent="0.25">
      <c r="A1692" s="369">
        <v>44298</v>
      </c>
      <c r="B1692" s="347">
        <f>+MONTH(A1692)</f>
        <v>4</v>
      </c>
      <c r="C1692" s="347">
        <v>115</v>
      </c>
      <c r="D1692" s="340" t="str">
        <f>VLOOKUP(C1692,Plan!A:B,2,0)</f>
        <v>Disponible Cali B.Chile</v>
      </c>
      <c r="E1692" s="341">
        <f>+F1692-G1692</f>
        <v>30000</v>
      </c>
      <c r="F1692" s="405">
        <v>30000</v>
      </c>
      <c r="G1692" s="405">
        <v>0</v>
      </c>
      <c r="H1692" t="s">
        <v>1015</v>
      </c>
      <c r="I1692" s="403" t="s">
        <v>131</v>
      </c>
      <c r="K1692" s="370"/>
      <c r="N1692" s="370"/>
    </row>
    <row r="1693" spans="1:14" s="347" customFormat="1" x14ac:dyDescent="0.25">
      <c r="A1693" s="369">
        <f>+A1692</f>
        <v>44298</v>
      </c>
      <c r="B1693" s="347">
        <f>+MONTH(A1693)</f>
        <v>4</v>
      </c>
      <c r="C1693" s="347">
        <v>1222</v>
      </c>
      <c r="D1693" s="340" t="str">
        <f>VLOOKUP(C1693,Plan!A:B,2,0)</f>
        <v>Otros Valores -Oficina y Transferencias (249)</v>
      </c>
      <c r="E1693" s="341">
        <f>+F1693-G1693</f>
        <v>-30000</v>
      </c>
      <c r="F1693" s="405">
        <v>0</v>
      </c>
      <c r="G1693" s="405">
        <f>+F1692</f>
        <v>30000</v>
      </c>
      <c r="H1693" t="str">
        <f>+H1692</f>
        <v>Enrique Hurtado Ruiz-Tagle / 249</v>
      </c>
      <c r="I1693" s="403" t="s">
        <v>131</v>
      </c>
      <c r="K1693" s="370"/>
      <c r="N1693" s="370"/>
    </row>
    <row r="1694" spans="1:14" s="347" customFormat="1" x14ac:dyDescent="0.25">
      <c r="A1694" s="369"/>
      <c r="E1694" s="396"/>
      <c r="F1694" s="396"/>
      <c r="G1694" s="396"/>
      <c r="K1694" s="370"/>
      <c r="N1694" s="370"/>
    </row>
    <row r="1695" spans="1:14" s="347" customFormat="1" x14ac:dyDescent="0.25">
      <c r="A1695" s="369">
        <v>44298</v>
      </c>
      <c r="B1695" s="347">
        <f>+MONTH(A1695)</f>
        <v>4</v>
      </c>
      <c r="C1695" s="347">
        <v>115</v>
      </c>
      <c r="D1695" s="340" t="str">
        <f>VLOOKUP(C1695,Plan!A:B,2,0)</f>
        <v>Disponible Cali B.Chile</v>
      </c>
      <c r="E1695" s="341">
        <f>+F1695-G1695</f>
        <v>17000</v>
      </c>
      <c r="F1695" s="405">
        <v>17000</v>
      </c>
      <c r="G1695" s="405">
        <v>0</v>
      </c>
      <c r="H1695" t="s">
        <v>1016</v>
      </c>
      <c r="I1695" s="403" t="s">
        <v>131</v>
      </c>
      <c r="K1695" s="370"/>
      <c r="N1695" s="370"/>
    </row>
    <row r="1696" spans="1:14" s="347" customFormat="1" x14ac:dyDescent="0.25">
      <c r="A1696" s="369">
        <f>+A1695</f>
        <v>44298</v>
      </c>
      <c r="B1696" s="347">
        <f>+MONTH(A1696)</f>
        <v>4</v>
      </c>
      <c r="C1696" s="347">
        <v>1222</v>
      </c>
      <c r="D1696" s="340" t="str">
        <f>VLOOKUP(C1696,Plan!A:B,2,0)</f>
        <v>Otros Valores -Oficina y Transferencias (249)</v>
      </c>
      <c r="E1696" s="341">
        <f>+F1696-G1696</f>
        <v>-17000</v>
      </c>
      <c r="F1696" s="405">
        <v>0</v>
      </c>
      <c r="G1696" s="405">
        <f>+F1695</f>
        <v>17000</v>
      </c>
      <c r="H1696" t="str">
        <f>+H1695</f>
        <v>Alejandra Pérez Fabres / 249</v>
      </c>
      <c r="I1696" s="403" t="s">
        <v>131</v>
      </c>
      <c r="K1696" s="370"/>
      <c r="N1696" s="370"/>
    </row>
    <row r="1697" spans="1:14" s="347" customFormat="1" x14ac:dyDescent="0.25">
      <c r="A1697" s="369"/>
      <c r="E1697" s="396"/>
      <c r="F1697" s="396"/>
      <c r="G1697" s="396"/>
      <c r="K1697" s="370"/>
      <c r="N1697" s="370"/>
    </row>
    <row r="1698" spans="1:14" s="347" customFormat="1" x14ac:dyDescent="0.25">
      <c r="A1698" s="369">
        <v>44298</v>
      </c>
      <c r="B1698" s="347">
        <f>+MONTH(A1698)</f>
        <v>4</v>
      </c>
      <c r="C1698" s="347">
        <v>115</v>
      </c>
      <c r="D1698" s="340" t="str">
        <f>VLOOKUP(C1698,Plan!A:B,2,0)</f>
        <v>Disponible Cali B.Chile</v>
      </c>
      <c r="E1698" s="341">
        <f>+F1698-G1698</f>
        <v>25000</v>
      </c>
      <c r="F1698" s="405">
        <v>25000</v>
      </c>
      <c r="G1698" s="405">
        <v>0</v>
      </c>
      <c r="H1698" t="s">
        <v>988</v>
      </c>
      <c r="I1698" s="403" t="s">
        <v>131</v>
      </c>
      <c r="K1698" s="370"/>
      <c r="N1698" s="370"/>
    </row>
    <row r="1699" spans="1:14" s="347" customFormat="1" x14ac:dyDescent="0.25">
      <c r="A1699" s="369">
        <f>+A1698</f>
        <v>44298</v>
      </c>
      <c r="B1699" s="347">
        <f>+MONTH(A1699)</f>
        <v>4</v>
      </c>
      <c r="C1699" s="347">
        <v>1222</v>
      </c>
      <c r="D1699" s="340" t="str">
        <f>VLOOKUP(C1699,Plan!A:B,2,0)</f>
        <v>Otros Valores -Oficina y Transferencias (249)</v>
      </c>
      <c r="E1699" s="341">
        <f>+F1699-G1699</f>
        <v>-25000</v>
      </c>
      <c r="F1699" s="405">
        <v>0</v>
      </c>
      <c r="G1699" s="405">
        <f>+F1698</f>
        <v>25000</v>
      </c>
      <c r="H1699" t="str">
        <f>+H1698</f>
        <v>María Luz Montt Díaz / 249</v>
      </c>
      <c r="I1699" s="403" t="s">
        <v>131</v>
      </c>
      <c r="K1699" s="370"/>
      <c r="N1699" s="370"/>
    </row>
    <row r="1700" spans="1:14" s="347" customFormat="1" x14ac:dyDescent="0.25">
      <c r="A1700" s="369"/>
      <c r="E1700" s="396"/>
      <c r="F1700" s="396"/>
      <c r="G1700" s="396"/>
      <c r="K1700" s="370"/>
      <c r="N1700" s="370"/>
    </row>
    <row r="1701" spans="1:14" s="347" customFormat="1" x14ac:dyDescent="0.25">
      <c r="A1701" s="369">
        <v>44299</v>
      </c>
      <c r="B1701" s="347">
        <f>+MONTH(A1701)</f>
        <v>4</v>
      </c>
      <c r="C1701" s="347">
        <v>115</v>
      </c>
      <c r="D1701" s="340" t="str">
        <f>VLOOKUP(C1701,Plan!A:B,2,0)</f>
        <v>Disponible Cali B.Chile</v>
      </c>
      <c r="E1701" s="341">
        <f>+F1701-G1701</f>
        <v>25000</v>
      </c>
      <c r="F1701" s="405">
        <v>25000</v>
      </c>
      <c r="G1701" s="405">
        <v>0</v>
      </c>
      <c r="H1701" t="s">
        <v>980</v>
      </c>
      <c r="I1701" s="403" t="s">
        <v>131</v>
      </c>
      <c r="K1701" s="370"/>
      <c r="N1701" s="370"/>
    </row>
    <row r="1702" spans="1:14" s="347" customFormat="1" x14ac:dyDescent="0.25">
      <c r="A1702" s="369">
        <f>+A1701</f>
        <v>44299</v>
      </c>
      <c r="B1702" s="347">
        <f>+MONTH(A1702)</f>
        <v>4</v>
      </c>
      <c r="C1702" s="347">
        <v>1217</v>
      </c>
      <c r="D1702" s="340" t="str">
        <f>VLOOKUP(C1702,Plan!A:B,2,0)</f>
        <v>Otros Valores -Oficina y Transferencias (248)</v>
      </c>
      <c r="E1702" s="341">
        <f>+F1702-G1702</f>
        <v>-25000</v>
      </c>
      <c r="F1702" s="405">
        <v>0</v>
      </c>
      <c r="G1702" s="405">
        <f>+F1701</f>
        <v>25000</v>
      </c>
      <c r="H1702" t="str">
        <f>+H1701</f>
        <v xml:space="preserve">Florencia García /248 </v>
      </c>
      <c r="I1702" s="403" t="s">
        <v>131</v>
      </c>
      <c r="K1702" s="370"/>
      <c r="N1702" s="370"/>
    </row>
    <row r="1703" spans="1:14" s="347" customFormat="1" x14ac:dyDescent="0.25">
      <c r="A1703" s="369"/>
      <c r="E1703" s="396"/>
      <c r="F1703" s="396"/>
      <c r="G1703" s="396"/>
      <c r="K1703" s="370"/>
      <c r="N1703" s="370"/>
    </row>
    <row r="1704" spans="1:14" s="347" customFormat="1" x14ac:dyDescent="0.25">
      <c r="A1704" s="369">
        <v>44299</v>
      </c>
      <c r="B1704" s="347">
        <f>+MONTH(A1704)</f>
        <v>4</v>
      </c>
      <c r="C1704" s="347">
        <v>115</v>
      </c>
      <c r="D1704" s="340" t="str">
        <f>VLOOKUP(C1704,Plan!A:B,2,0)</f>
        <v>Disponible Cali B.Chile</v>
      </c>
      <c r="E1704" s="341">
        <f>+F1704-G1704</f>
        <v>36000</v>
      </c>
      <c r="F1704" s="405">
        <v>36000</v>
      </c>
      <c r="G1704" s="405">
        <v>0</v>
      </c>
      <c r="H1704" t="s">
        <v>1684</v>
      </c>
      <c r="I1704" s="403" t="s">
        <v>131</v>
      </c>
      <c r="K1704" s="370"/>
      <c r="N1704" s="370"/>
    </row>
    <row r="1705" spans="1:14" s="347" customFormat="1" x14ac:dyDescent="0.25">
      <c r="A1705" s="369">
        <f>+A1704</f>
        <v>44299</v>
      </c>
      <c r="B1705" s="347">
        <f>+MONTH(A1705)</f>
        <v>4</v>
      </c>
      <c r="C1705" s="347">
        <v>1217</v>
      </c>
      <c r="D1705" s="340" t="str">
        <f>VLOOKUP(C1705,Plan!A:B,2,0)</f>
        <v>Otros Valores -Oficina y Transferencias (248)</v>
      </c>
      <c r="E1705" s="341">
        <f>+F1705-G1705</f>
        <v>-36000</v>
      </c>
      <c r="F1705" s="405">
        <v>0</v>
      </c>
      <c r="G1705" s="405">
        <f>+F1704</f>
        <v>36000</v>
      </c>
      <c r="H1705" t="str">
        <f>+H1704</f>
        <v>Pablo Eyzaguirre Chadwick/248 (E-F-M)</v>
      </c>
      <c r="I1705" s="403" t="s">
        <v>131</v>
      </c>
      <c r="K1705" s="370"/>
      <c r="N1705" s="370"/>
    </row>
    <row r="1706" spans="1:14" s="347" customFormat="1" x14ac:dyDescent="0.25">
      <c r="A1706" s="369"/>
      <c r="E1706" s="396"/>
      <c r="F1706" s="396"/>
      <c r="G1706" s="396"/>
      <c r="K1706" s="370"/>
      <c r="N1706" s="370"/>
    </row>
    <row r="1707" spans="1:14" s="347" customFormat="1" x14ac:dyDescent="0.25">
      <c r="A1707" s="369">
        <v>44299</v>
      </c>
      <c r="B1707" s="347">
        <f>+MONTH(A1707)</f>
        <v>4</v>
      </c>
      <c r="C1707" s="347">
        <v>115</v>
      </c>
      <c r="D1707" s="340" t="str">
        <f>VLOOKUP(C1707,Plan!A:B,2,0)</f>
        <v>Disponible Cali B.Chile</v>
      </c>
      <c r="E1707" s="341">
        <f>+F1707-G1707</f>
        <v>80000</v>
      </c>
      <c r="F1707" s="405">
        <v>80000</v>
      </c>
      <c r="G1707" s="405">
        <v>0</v>
      </c>
      <c r="H1707" t="s">
        <v>1413</v>
      </c>
      <c r="I1707" s="403" t="s">
        <v>131</v>
      </c>
      <c r="K1707" s="370"/>
      <c r="N1707" s="370"/>
    </row>
    <row r="1708" spans="1:14" s="347" customFormat="1" x14ac:dyDescent="0.25">
      <c r="A1708" s="369">
        <f>+A1707</f>
        <v>44299</v>
      </c>
      <c r="B1708" s="347">
        <f>+MONTH(A1708)</f>
        <v>4</v>
      </c>
      <c r="C1708" s="347">
        <v>1217</v>
      </c>
      <c r="D1708" s="340" t="str">
        <f>VLOOKUP(C1708,Plan!A:B,2,0)</f>
        <v>Otros Valores -Oficina y Transferencias (248)</v>
      </c>
      <c r="E1708" s="341">
        <f>+F1708-G1708</f>
        <v>-80000</v>
      </c>
      <c r="F1708" s="405">
        <v>0</v>
      </c>
      <c r="G1708" s="405">
        <f>+F1707</f>
        <v>80000</v>
      </c>
      <c r="H1708" t="str">
        <f>+H1707</f>
        <v>María Macarena Besa Prieto/248</v>
      </c>
      <c r="I1708" s="403" t="s">
        <v>131</v>
      </c>
      <c r="K1708" s="370"/>
      <c r="N1708" s="370"/>
    </row>
    <row r="1709" spans="1:14" s="347" customFormat="1" x14ac:dyDescent="0.25">
      <c r="A1709" s="369"/>
      <c r="E1709" s="396"/>
      <c r="F1709" s="396"/>
      <c r="G1709" s="396"/>
      <c r="K1709" s="370"/>
      <c r="N1709" s="370"/>
    </row>
    <row r="1710" spans="1:14" s="347" customFormat="1" x14ac:dyDescent="0.25">
      <c r="A1710" s="369">
        <v>44299</v>
      </c>
      <c r="B1710" s="347">
        <f>+MONTH(A1710)</f>
        <v>4</v>
      </c>
      <c r="C1710" s="347">
        <v>115</v>
      </c>
      <c r="D1710" s="340" t="str">
        <f>VLOOKUP(C1710,Plan!A:B,2,0)</f>
        <v>Disponible Cali B.Chile</v>
      </c>
      <c r="E1710" s="341">
        <f>+F1710-G1710</f>
        <v>50000</v>
      </c>
      <c r="F1710" s="405">
        <v>50000</v>
      </c>
      <c r="G1710" s="405">
        <v>0</v>
      </c>
      <c r="H1710" t="s">
        <v>1685</v>
      </c>
      <c r="I1710" s="403" t="s">
        <v>131</v>
      </c>
      <c r="K1710" s="370"/>
      <c r="N1710" s="370"/>
    </row>
    <row r="1711" spans="1:14" s="347" customFormat="1" x14ac:dyDescent="0.25">
      <c r="A1711" s="369">
        <f>+A1710</f>
        <v>44299</v>
      </c>
      <c r="B1711" s="347">
        <f>+MONTH(A1711)</f>
        <v>4</v>
      </c>
      <c r="C1711" s="347">
        <v>1217</v>
      </c>
      <c r="D1711" s="340" t="str">
        <f>VLOOKUP(C1711,Plan!A:B,2,0)</f>
        <v>Otros Valores -Oficina y Transferencias (248)</v>
      </c>
      <c r="E1711" s="341">
        <f>+F1711-G1711</f>
        <v>-50000</v>
      </c>
      <c r="F1711" s="405">
        <v>0</v>
      </c>
      <c r="G1711" s="405">
        <f>+F1710</f>
        <v>50000</v>
      </c>
      <c r="H1711" t="str">
        <f>+H1710</f>
        <v>Pedro Irarrázaval / 248</v>
      </c>
      <c r="I1711" s="403" t="s">
        <v>131</v>
      </c>
      <c r="K1711" s="370"/>
      <c r="N1711" s="370"/>
    </row>
    <row r="1712" spans="1:14" s="347" customFormat="1" x14ac:dyDescent="0.25">
      <c r="A1712" s="369"/>
      <c r="E1712" s="396"/>
      <c r="F1712" s="396"/>
      <c r="G1712" s="396"/>
      <c r="K1712" s="370"/>
      <c r="N1712" s="370"/>
    </row>
    <row r="1713" spans="1:14" s="347" customFormat="1" x14ac:dyDescent="0.25">
      <c r="A1713" s="369">
        <v>44299</v>
      </c>
      <c r="B1713" s="347">
        <f>+MONTH(A1713)</f>
        <v>4</v>
      </c>
      <c r="C1713" s="347">
        <v>115</v>
      </c>
      <c r="D1713" s="340" t="str">
        <f>VLOOKUP(C1713,Plan!A:B,2,0)</f>
        <v>Disponible Cali B.Chile</v>
      </c>
      <c r="E1713" s="341">
        <f>+F1713-G1713</f>
        <v>20000</v>
      </c>
      <c r="F1713" s="405">
        <v>20000</v>
      </c>
      <c r="G1713" s="405">
        <v>0</v>
      </c>
      <c r="H1713" s="156" t="s">
        <v>1686</v>
      </c>
      <c r="I1713" s="403" t="s">
        <v>131</v>
      </c>
      <c r="K1713" s="370"/>
      <c r="N1713" s="370"/>
    </row>
    <row r="1714" spans="1:14" s="347" customFormat="1" x14ac:dyDescent="0.25">
      <c r="A1714" s="369">
        <f>+A1713</f>
        <v>44299</v>
      </c>
      <c r="B1714" s="347">
        <f>+MONTH(A1714)</f>
        <v>4</v>
      </c>
      <c r="C1714" s="347">
        <v>217</v>
      </c>
      <c r="D1714" s="340" t="str">
        <f>VLOOKUP(C1714,Plan!A:B,2,0)</f>
        <v>Cuenta por Pagar a Administración Canastas</v>
      </c>
      <c r="E1714" s="341">
        <f>+F1714-G1714</f>
        <v>-20000</v>
      </c>
      <c r="F1714" s="405">
        <v>0</v>
      </c>
      <c r="G1714" s="405">
        <f>+F1713</f>
        <v>20000</v>
      </c>
      <c r="H1714" t="str">
        <f>+H1713</f>
        <v>Canasta M.Soledad Celis Celedón</v>
      </c>
      <c r="I1714" s="403" t="s">
        <v>131</v>
      </c>
      <c r="K1714" s="370"/>
      <c r="N1714" s="370"/>
    </row>
    <row r="1715" spans="1:14" s="347" customFormat="1" x14ac:dyDescent="0.25">
      <c r="A1715" s="369"/>
      <c r="E1715" s="396"/>
      <c r="F1715" s="396"/>
      <c r="G1715" s="396"/>
      <c r="K1715" s="370"/>
      <c r="N1715" s="370"/>
    </row>
    <row r="1716" spans="1:14" s="347" customFormat="1" x14ac:dyDescent="0.25">
      <c r="A1716" s="369">
        <v>44299</v>
      </c>
      <c r="B1716" s="347">
        <f>+MONTH(A1716)</f>
        <v>4</v>
      </c>
      <c r="C1716" s="347">
        <v>115</v>
      </c>
      <c r="D1716" s="340" t="str">
        <f>VLOOKUP(C1716,Plan!A:B,2,0)</f>
        <v>Disponible Cali B.Chile</v>
      </c>
      <c r="E1716" s="341">
        <f>+F1716-G1716</f>
        <v>20000</v>
      </c>
      <c r="F1716" s="405">
        <v>20000</v>
      </c>
      <c r="G1716" s="405">
        <v>0</v>
      </c>
      <c r="H1716" t="s">
        <v>1022</v>
      </c>
      <c r="I1716" s="403" t="s">
        <v>131</v>
      </c>
      <c r="K1716" s="370"/>
      <c r="N1716" s="370"/>
    </row>
    <row r="1717" spans="1:14" s="347" customFormat="1" x14ac:dyDescent="0.25">
      <c r="A1717" s="369">
        <f>+A1716</f>
        <v>44299</v>
      </c>
      <c r="B1717" s="347">
        <f>+MONTH(A1717)</f>
        <v>4</v>
      </c>
      <c r="C1717" s="347">
        <v>3210</v>
      </c>
      <c r="D1717" s="340" t="str">
        <f>VLOOKUP(C1717,Plan!A:B,2,0)</f>
        <v>Donacion Construccion</v>
      </c>
      <c r="E1717" s="341">
        <f>+F1717-G1717</f>
        <v>-20000</v>
      </c>
      <c r="F1717" s="405">
        <v>0</v>
      </c>
      <c r="G1717" s="405">
        <f>+F1716</f>
        <v>20000</v>
      </c>
      <c r="H1717" t="str">
        <f>+H1716</f>
        <v>M.Graciela Garrido C. / Azul</v>
      </c>
      <c r="I1717" s="403" t="s">
        <v>131</v>
      </c>
      <c r="K1717" s="370"/>
      <c r="N1717" s="370"/>
    </row>
    <row r="1718" spans="1:14" s="347" customFormat="1" x14ac:dyDescent="0.25">
      <c r="A1718" s="369"/>
      <c r="E1718" s="396"/>
      <c r="F1718" s="396"/>
      <c r="G1718" s="396"/>
      <c r="K1718" s="370"/>
      <c r="N1718" s="370"/>
    </row>
    <row r="1719" spans="1:14" s="347" customFormat="1" x14ac:dyDescent="0.25">
      <c r="A1719" s="369">
        <v>44299</v>
      </c>
      <c r="B1719" s="347">
        <f>+MONTH(A1719)</f>
        <v>4</v>
      </c>
      <c r="C1719" s="347">
        <v>115</v>
      </c>
      <c r="D1719" s="340" t="str">
        <f>VLOOKUP(C1719,Plan!A:B,2,0)</f>
        <v>Disponible Cali B.Chile</v>
      </c>
      <c r="E1719" s="341">
        <f>+F1719-G1719</f>
        <v>25000</v>
      </c>
      <c r="F1719" s="405">
        <v>25000</v>
      </c>
      <c r="G1719" s="405">
        <v>0</v>
      </c>
      <c r="H1719" t="s">
        <v>1023</v>
      </c>
      <c r="I1719" s="403" t="s">
        <v>131</v>
      </c>
      <c r="K1719" s="370"/>
      <c r="N1719" s="370"/>
    </row>
    <row r="1720" spans="1:14" s="347" customFormat="1" x14ac:dyDescent="0.25">
      <c r="A1720" s="369">
        <f>+A1719</f>
        <v>44299</v>
      </c>
      <c r="B1720" s="347">
        <f>+MONTH(A1720)</f>
        <v>4</v>
      </c>
      <c r="C1720" s="347">
        <v>1222</v>
      </c>
      <c r="D1720" s="340" t="str">
        <f>VLOOKUP(C1720,Plan!A:B,2,0)</f>
        <v>Otros Valores -Oficina y Transferencias (249)</v>
      </c>
      <c r="E1720" s="341">
        <f>+F1720-G1720</f>
        <v>-25000</v>
      </c>
      <c r="F1720" s="405">
        <v>0</v>
      </c>
      <c r="G1720" s="405">
        <f>+F1719</f>
        <v>25000</v>
      </c>
      <c r="H1720" t="str">
        <f>+H1719</f>
        <v>M.Graciela Garrido C. / 249</v>
      </c>
      <c r="I1720" s="403" t="s">
        <v>131</v>
      </c>
      <c r="K1720" s="370"/>
      <c r="N1720" s="370"/>
    </row>
    <row r="1721" spans="1:14" s="347" customFormat="1" x14ac:dyDescent="0.25">
      <c r="A1721" s="369"/>
      <c r="E1721" s="396"/>
      <c r="F1721" s="396"/>
      <c r="G1721" s="396"/>
      <c r="K1721" s="370"/>
      <c r="N1721" s="370"/>
    </row>
    <row r="1722" spans="1:14" s="347" customFormat="1" x14ac:dyDescent="0.25">
      <c r="A1722" s="369">
        <v>44299</v>
      </c>
      <c r="B1722" s="347">
        <f>+MONTH(A1722)</f>
        <v>4</v>
      </c>
      <c r="C1722" s="347">
        <v>115</v>
      </c>
      <c r="D1722" s="340" t="str">
        <f>VLOOKUP(C1722,Plan!A:B,2,0)</f>
        <v>Disponible Cali B.Chile</v>
      </c>
      <c r="E1722" s="341">
        <f>+F1722-G1722</f>
        <v>7000</v>
      </c>
      <c r="F1722" s="405">
        <v>7000</v>
      </c>
      <c r="G1722" s="405">
        <v>0</v>
      </c>
      <c r="H1722" t="s">
        <v>1078</v>
      </c>
      <c r="I1722" s="403" t="s">
        <v>131</v>
      </c>
      <c r="K1722" s="370"/>
      <c r="N1722" s="370"/>
    </row>
    <row r="1723" spans="1:14" s="347" customFormat="1" x14ac:dyDescent="0.25">
      <c r="A1723" s="369">
        <f>+A1722</f>
        <v>44299</v>
      </c>
      <c r="B1723" s="347">
        <f>+MONTH(A1723)</f>
        <v>4</v>
      </c>
      <c r="C1723" s="347">
        <v>1222</v>
      </c>
      <c r="D1723" s="340" t="str">
        <f>VLOOKUP(C1723,Plan!A:B,2,0)</f>
        <v>Otros Valores -Oficina y Transferencias (249)</v>
      </c>
      <c r="E1723" s="341">
        <f>+F1723-G1723</f>
        <v>-7000</v>
      </c>
      <c r="F1723" s="405">
        <v>0</v>
      </c>
      <c r="G1723" s="405">
        <f>+F1722</f>
        <v>7000</v>
      </c>
      <c r="H1723" t="str">
        <f>+H1722</f>
        <v>Isabel Margarita Cortés Testart/249</v>
      </c>
      <c r="I1723" s="403" t="s">
        <v>131</v>
      </c>
      <c r="K1723" s="370"/>
      <c r="N1723" s="370"/>
    </row>
    <row r="1724" spans="1:14" s="347" customFormat="1" x14ac:dyDescent="0.25">
      <c r="A1724" s="369"/>
      <c r="E1724" s="396"/>
      <c r="F1724" s="396"/>
      <c r="G1724" s="396"/>
      <c r="K1724" s="370"/>
      <c r="N1724" s="370"/>
    </row>
    <row r="1725" spans="1:14" s="347" customFormat="1" x14ac:dyDescent="0.25">
      <c r="A1725" s="369">
        <v>44299</v>
      </c>
      <c r="B1725" s="347">
        <f>+MONTH(A1725)</f>
        <v>4</v>
      </c>
      <c r="C1725" s="347">
        <v>115</v>
      </c>
      <c r="D1725" s="340" t="str">
        <f>VLOOKUP(C1725,Plan!A:B,2,0)</f>
        <v>Disponible Cali B.Chile</v>
      </c>
      <c r="E1725" s="341">
        <f>+F1725-G1725</f>
        <v>40000</v>
      </c>
      <c r="F1725" s="405">
        <v>40000</v>
      </c>
      <c r="G1725" s="405">
        <v>0</v>
      </c>
      <c r="H1725" t="s">
        <v>1011</v>
      </c>
      <c r="I1725" s="403" t="s">
        <v>131</v>
      </c>
      <c r="K1725" s="370"/>
      <c r="N1725" s="370"/>
    </row>
    <row r="1726" spans="1:14" s="347" customFormat="1" x14ac:dyDescent="0.25">
      <c r="A1726" s="369">
        <f>+A1725</f>
        <v>44299</v>
      </c>
      <c r="B1726" s="347">
        <f>+MONTH(A1726)</f>
        <v>4</v>
      </c>
      <c r="C1726" s="347">
        <v>1222</v>
      </c>
      <c r="D1726" s="340" t="str">
        <f>VLOOKUP(C1726,Plan!A:B,2,0)</f>
        <v>Otros Valores -Oficina y Transferencias (249)</v>
      </c>
      <c r="E1726" s="341">
        <f>+F1726-G1726</f>
        <v>-40000</v>
      </c>
      <c r="F1726" s="405">
        <v>0</v>
      </c>
      <c r="G1726" s="405">
        <f>+F1725</f>
        <v>40000</v>
      </c>
      <c r="H1726" t="str">
        <f>+H1725</f>
        <v>Mauricio Hargous Larraín / 249</v>
      </c>
      <c r="I1726" s="403" t="s">
        <v>131</v>
      </c>
      <c r="K1726" s="370"/>
      <c r="N1726" s="370"/>
    </row>
    <row r="1727" spans="1:14" s="347" customFormat="1" x14ac:dyDescent="0.25">
      <c r="A1727" s="369"/>
      <c r="E1727" s="396"/>
      <c r="F1727" s="396"/>
      <c r="G1727" s="396"/>
      <c r="K1727" s="370"/>
      <c r="N1727" s="370"/>
    </row>
    <row r="1728" spans="1:14" s="347" customFormat="1" x14ac:dyDescent="0.25">
      <c r="A1728" s="369">
        <v>44300</v>
      </c>
      <c r="B1728" s="347">
        <f>+MONTH(A1728)</f>
        <v>4</v>
      </c>
      <c r="C1728" s="347">
        <v>115</v>
      </c>
      <c r="D1728" s="340" t="str">
        <f>VLOOKUP(C1728,Plan!A:B,2,0)</f>
        <v>Disponible Cali B.Chile</v>
      </c>
      <c r="E1728" s="341">
        <f>+F1728-G1728</f>
        <v>227000</v>
      </c>
      <c r="F1728" s="405">
        <v>227000</v>
      </c>
      <c r="G1728" s="405">
        <v>0</v>
      </c>
      <c r="H1728" s="338" t="s">
        <v>1687</v>
      </c>
      <c r="I1728" s="403" t="s">
        <v>131</v>
      </c>
      <c r="K1728" s="370"/>
      <c r="N1728" s="370"/>
    </row>
    <row r="1729" spans="1:14" s="347" customFormat="1" x14ac:dyDescent="0.25">
      <c r="A1729" s="369">
        <f>+A1728</f>
        <v>44300</v>
      </c>
      <c r="B1729" s="347">
        <f>+MONTH(A1729)</f>
        <v>4</v>
      </c>
      <c r="C1729" s="347">
        <v>1216</v>
      </c>
      <c r="D1729" s="340" t="str">
        <f>VLOOKUP(C1729,Plan!A:B,2,0)</f>
        <v>Otros Valores Recaudadoras</v>
      </c>
      <c r="E1729" s="341">
        <f>+F1729-G1729</f>
        <v>-227000</v>
      </c>
      <c r="F1729" s="405">
        <v>0</v>
      </c>
      <c r="G1729" s="405">
        <f>+F1728</f>
        <v>227000</v>
      </c>
      <c r="H1729" s="338" t="s">
        <v>1687</v>
      </c>
      <c r="I1729" s="403" t="s">
        <v>131</v>
      </c>
      <c r="K1729" s="370"/>
      <c r="N1729" s="370"/>
    </row>
    <row r="1730" spans="1:14" s="347" customFormat="1" x14ac:dyDescent="0.25">
      <c r="A1730" s="369"/>
      <c r="E1730" s="396"/>
      <c r="F1730" s="396"/>
      <c r="G1730" s="396"/>
      <c r="K1730" s="370"/>
      <c r="N1730" s="370"/>
    </row>
    <row r="1731" spans="1:14" s="347" customFormat="1" x14ac:dyDescent="0.25">
      <c r="A1731" s="369">
        <v>44300</v>
      </c>
      <c r="B1731" s="347">
        <f>+MONTH(A1731)</f>
        <v>4</v>
      </c>
      <c r="C1731" s="347">
        <v>115</v>
      </c>
      <c r="D1731" s="340" t="str">
        <f>VLOOKUP(C1731,Plan!A:B,2,0)</f>
        <v>Disponible Cali B.Chile</v>
      </c>
      <c r="E1731" s="341">
        <f>+F1731-G1731</f>
        <v>65000</v>
      </c>
      <c r="F1731" s="405">
        <v>65000</v>
      </c>
      <c r="G1731" s="405">
        <v>0</v>
      </c>
      <c r="H1731" s="338" t="s">
        <v>1687</v>
      </c>
      <c r="I1731" s="403" t="s">
        <v>131</v>
      </c>
      <c r="K1731" s="370"/>
      <c r="N1731" s="370"/>
    </row>
    <row r="1732" spans="1:14" s="347" customFormat="1" x14ac:dyDescent="0.25">
      <c r="A1732" s="369">
        <f>+A1731</f>
        <v>44300</v>
      </c>
      <c r="B1732" s="347">
        <f>+MONTH(A1732)</f>
        <v>4</v>
      </c>
      <c r="C1732" s="347">
        <v>1216</v>
      </c>
      <c r="D1732" s="340" t="str">
        <f>VLOOKUP(C1732,Plan!A:B,2,0)</f>
        <v>Otros Valores Recaudadoras</v>
      </c>
      <c r="E1732" s="341">
        <f>+F1732-G1732</f>
        <v>-65000</v>
      </c>
      <c r="F1732" s="405">
        <v>0</v>
      </c>
      <c r="G1732" s="405">
        <f>+F1731</f>
        <v>65000</v>
      </c>
      <c r="H1732" s="338" t="s">
        <v>1687</v>
      </c>
      <c r="I1732" s="403" t="s">
        <v>131</v>
      </c>
      <c r="K1732" s="370"/>
      <c r="N1732" s="370"/>
    </row>
    <row r="1733" spans="1:14" s="347" customFormat="1" x14ac:dyDescent="0.25">
      <c r="A1733" s="369"/>
      <c r="E1733" s="396"/>
      <c r="F1733" s="396"/>
      <c r="G1733" s="396"/>
      <c r="K1733" s="370"/>
      <c r="N1733" s="370"/>
    </row>
    <row r="1734" spans="1:14" s="347" customFormat="1" x14ac:dyDescent="0.25">
      <c r="A1734" s="369">
        <v>44300</v>
      </c>
      <c r="B1734" s="347">
        <f>+MONTH(A1734)</f>
        <v>4</v>
      </c>
      <c r="C1734" s="347">
        <v>115</v>
      </c>
      <c r="D1734" s="340" t="str">
        <f>VLOOKUP(C1734,Plan!A:B,2,0)</f>
        <v>Disponible Cali B.Chile</v>
      </c>
      <c r="E1734" s="341">
        <f>+F1734-G1734</f>
        <v>115000</v>
      </c>
      <c r="F1734" s="405">
        <v>115000</v>
      </c>
      <c r="G1734" s="405">
        <v>0</v>
      </c>
      <c r="H1734" s="338" t="s">
        <v>1687</v>
      </c>
      <c r="I1734" s="403" t="s">
        <v>131</v>
      </c>
      <c r="K1734" s="370"/>
      <c r="N1734" s="370"/>
    </row>
    <row r="1735" spans="1:14" s="347" customFormat="1" x14ac:dyDescent="0.25">
      <c r="A1735" s="369">
        <f>+A1734</f>
        <v>44300</v>
      </c>
      <c r="B1735" s="347">
        <f>+MONTH(A1735)</f>
        <v>4</v>
      </c>
      <c r="C1735" s="347">
        <v>1216</v>
      </c>
      <c r="D1735" s="340" t="str">
        <f>VLOOKUP(C1735,Plan!A:B,2,0)</f>
        <v>Otros Valores Recaudadoras</v>
      </c>
      <c r="E1735" s="341">
        <f>+F1735-G1735</f>
        <v>-115000</v>
      </c>
      <c r="F1735" s="405">
        <v>0</v>
      </c>
      <c r="G1735" s="405">
        <f>+F1734</f>
        <v>115000</v>
      </c>
      <c r="H1735" s="338" t="s">
        <v>1687</v>
      </c>
      <c r="I1735" s="403" t="s">
        <v>131</v>
      </c>
      <c r="K1735" s="370"/>
      <c r="N1735" s="370"/>
    </row>
    <row r="1736" spans="1:14" s="347" customFormat="1" x14ac:dyDescent="0.25">
      <c r="A1736" s="369"/>
      <c r="E1736" s="396"/>
      <c r="F1736" s="396"/>
      <c r="G1736" s="396"/>
      <c r="K1736" s="370"/>
      <c r="N1736" s="370"/>
    </row>
    <row r="1737" spans="1:14" s="347" customFormat="1" x14ac:dyDescent="0.25">
      <c r="A1737" s="369">
        <v>44301</v>
      </c>
      <c r="B1737" s="347">
        <f>+MONTH(A1737)</f>
        <v>4</v>
      </c>
      <c r="C1737" s="347">
        <v>115</v>
      </c>
      <c r="D1737" s="340" t="str">
        <f>VLOOKUP(C1737,Plan!A:B,2,0)</f>
        <v>Disponible Cali B.Chile</v>
      </c>
      <c r="E1737" s="341">
        <f>+F1737-G1737</f>
        <v>50000</v>
      </c>
      <c r="F1737" s="405">
        <v>50000</v>
      </c>
      <c r="G1737" s="405">
        <v>0</v>
      </c>
      <c r="H1737" t="s">
        <v>1024</v>
      </c>
      <c r="I1737" s="403" t="s">
        <v>131</v>
      </c>
      <c r="K1737" s="370"/>
      <c r="N1737" s="370"/>
    </row>
    <row r="1738" spans="1:14" s="347" customFormat="1" x14ac:dyDescent="0.25">
      <c r="A1738" s="369">
        <f>+A1737</f>
        <v>44301</v>
      </c>
      <c r="B1738" s="347">
        <f>+MONTH(A1738)</f>
        <v>4</v>
      </c>
      <c r="C1738" s="347">
        <v>1222</v>
      </c>
      <c r="D1738" s="340" t="str">
        <f>VLOOKUP(C1738,Plan!A:B,2,0)</f>
        <v>Otros Valores -Oficina y Transferencias (249)</v>
      </c>
      <c r="E1738" s="341">
        <f>+F1738-G1738</f>
        <v>-50000</v>
      </c>
      <c r="F1738" s="405">
        <v>0</v>
      </c>
      <c r="G1738" s="405">
        <f>+F1737</f>
        <v>50000</v>
      </c>
      <c r="H1738" t="str">
        <f>+H1737</f>
        <v>Bernardita Mujica Gutierrez  / 249</v>
      </c>
      <c r="I1738" s="403" t="s">
        <v>131</v>
      </c>
      <c r="K1738" s="370"/>
      <c r="N1738" s="370"/>
    </row>
    <row r="1739" spans="1:14" s="347" customFormat="1" x14ac:dyDescent="0.25">
      <c r="A1739" s="369"/>
      <c r="E1739" s="396"/>
      <c r="F1739" s="396"/>
      <c r="G1739" s="396"/>
      <c r="K1739" s="370"/>
      <c r="N1739" s="370"/>
    </row>
    <row r="1740" spans="1:14" s="347" customFormat="1" x14ac:dyDescent="0.25">
      <c r="A1740" s="369">
        <v>44301</v>
      </c>
      <c r="B1740" s="347">
        <f>+MONTH(A1740)</f>
        <v>4</v>
      </c>
      <c r="C1740" s="347">
        <v>115</v>
      </c>
      <c r="D1740" s="340" t="str">
        <f>VLOOKUP(C1740,Plan!A:B,2,0)</f>
        <v>Disponible Cali B.Chile</v>
      </c>
      <c r="E1740" s="341">
        <f>+F1740-G1740</f>
        <v>20000</v>
      </c>
      <c r="F1740" s="405">
        <v>20000</v>
      </c>
      <c r="G1740" s="405">
        <v>0</v>
      </c>
      <c r="H1740" t="s">
        <v>1025</v>
      </c>
      <c r="I1740" s="403" t="s">
        <v>131</v>
      </c>
      <c r="K1740" s="370"/>
      <c r="N1740" s="370"/>
    </row>
    <row r="1741" spans="1:14" s="347" customFormat="1" x14ac:dyDescent="0.25">
      <c r="A1741" s="369">
        <f>+A1740</f>
        <v>44301</v>
      </c>
      <c r="B1741" s="347">
        <f>+MONTH(A1741)</f>
        <v>4</v>
      </c>
      <c r="C1741" s="347">
        <v>1222</v>
      </c>
      <c r="D1741" s="340" t="str">
        <f>VLOOKUP(C1741,Plan!A:B,2,0)</f>
        <v>Otros Valores -Oficina y Transferencias (249)</v>
      </c>
      <c r="E1741" s="341">
        <f>+F1741-G1741</f>
        <v>-20000</v>
      </c>
      <c r="F1741" s="405">
        <v>0</v>
      </c>
      <c r="G1741" s="405">
        <f>+F1740</f>
        <v>20000</v>
      </c>
      <c r="H1741" t="str">
        <f>+H1740</f>
        <v>Bernardita Egaña Baraona  / 249</v>
      </c>
      <c r="I1741" s="403" t="s">
        <v>131</v>
      </c>
      <c r="K1741" s="370"/>
      <c r="N1741" s="370"/>
    </row>
    <row r="1742" spans="1:14" s="347" customFormat="1" x14ac:dyDescent="0.25">
      <c r="A1742" s="369"/>
      <c r="E1742" s="396"/>
      <c r="F1742" s="396"/>
      <c r="G1742" s="396"/>
      <c r="K1742" s="370"/>
      <c r="N1742" s="370"/>
    </row>
    <row r="1743" spans="1:14" s="347" customFormat="1" x14ac:dyDescent="0.25">
      <c r="A1743" s="369">
        <v>44301</v>
      </c>
      <c r="B1743" s="347">
        <f>+MONTH(A1743)</f>
        <v>4</v>
      </c>
      <c r="C1743" s="347">
        <v>115</v>
      </c>
      <c r="D1743" s="340" t="str">
        <f>VLOOKUP(C1743,Plan!A:B,2,0)</f>
        <v>Disponible Cali B.Chile</v>
      </c>
      <c r="E1743" s="341">
        <f>+F1743-G1743</f>
        <v>500000</v>
      </c>
      <c r="F1743" s="405">
        <v>500000</v>
      </c>
      <c r="G1743" s="405">
        <v>0</v>
      </c>
      <c r="H1743" t="s">
        <v>1688</v>
      </c>
      <c r="I1743" s="403" t="s">
        <v>131</v>
      </c>
      <c r="K1743" s="370"/>
      <c r="N1743" s="370"/>
    </row>
    <row r="1744" spans="1:14" s="347" customFormat="1" x14ac:dyDescent="0.25">
      <c r="A1744" s="369">
        <f>+A1743</f>
        <v>44301</v>
      </c>
      <c r="B1744" s="347">
        <f>+MONTH(A1744)</f>
        <v>4</v>
      </c>
      <c r="C1744" s="347">
        <v>1217</v>
      </c>
      <c r="D1744" s="340" t="str">
        <f>VLOOKUP(C1744,Plan!A:B,2,0)</f>
        <v>Otros Valores -Oficina y Transferencias (248)</v>
      </c>
      <c r="E1744" s="341">
        <f>+F1744-G1744</f>
        <v>-500000</v>
      </c>
      <c r="F1744" s="405">
        <v>0</v>
      </c>
      <c r="G1744" s="405">
        <f>+F1743</f>
        <v>500000</v>
      </c>
      <c r="H1744" t="str">
        <f>+H1743</f>
        <v>Juan Manuel Gutiérrez Philippi / 248</v>
      </c>
      <c r="I1744" s="403" t="s">
        <v>131</v>
      </c>
      <c r="K1744" s="370"/>
      <c r="N1744" s="370"/>
    </row>
    <row r="1745" spans="1:14" s="347" customFormat="1" x14ac:dyDescent="0.25">
      <c r="A1745" s="369"/>
      <c r="E1745" s="396"/>
      <c r="F1745" s="396"/>
      <c r="G1745" s="396"/>
      <c r="K1745" s="370"/>
      <c r="N1745" s="370"/>
    </row>
    <row r="1746" spans="1:14" s="347" customFormat="1" x14ac:dyDescent="0.25">
      <c r="A1746" s="369">
        <v>44301</v>
      </c>
      <c r="B1746" s="347">
        <f>+MONTH(A1746)</f>
        <v>4</v>
      </c>
      <c r="C1746" s="347">
        <v>115</v>
      </c>
      <c r="D1746" s="340" t="str">
        <f>VLOOKUP(C1746,Plan!A:B,2,0)</f>
        <v>Disponible Cali B.Chile</v>
      </c>
      <c r="E1746" s="341">
        <f>+F1746-G1746</f>
        <v>5000</v>
      </c>
      <c r="F1746" s="405">
        <v>5000</v>
      </c>
      <c r="G1746" s="405">
        <v>0</v>
      </c>
      <c r="H1746" s="156" t="s">
        <v>1081</v>
      </c>
      <c r="I1746" s="403" t="s">
        <v>131</v>
      </c>
      <c r="K1746" s="370"/>
      <c r="N1746" s="370"/>
    </row>
    <row r="1747" spans="1:14" s="347" customFormat="1" x14ac:dyDescent="0.25">
      <c r="A1747" s="369">
        <f>+A1746</f>
        <v>44301</v>
      </c>
      <c r="B1747" s="347">
        <f>+MONTH(A1747)</f>
        <v>4</v>
      </c>
      <c r="C1747" s="347">
        <v>216</v>
      </c>
      <c r="D1747" s="340" t="str">
        <f>VLOOKUP(C1747,Plan!A:B,2,0)</f>
        <v>Cuenta por Pagar a Administración Colectas</v>
      </c>
      <c r="E1747" s="341">
        <f>+F1747-G1747</f>
        <v>-5000</v>
      </c>
      <c r="F1747" s="405">
        <v>0</v>
      </c>
      <c r="G1747" s="405">
        <f>+F1746</f>
        <v>5000</v>
      </c>
      <c r="H1747" t="str">
        <f>+H1746</f>
        <v>Colecta M.del Pilar Bustamante Solar</v>
      </c>
      <c r="I1747" s="403" t="s">
        <v>131</v>
      </c>
      <c r="K1747" s="370"/>
      <c r="N1747" s="370"/>
    </row>
    <row r="1748" spans="1:14" s="347" customFormat="1" x14ac:dyDescent="0.25">
      <c r="A1748" s="369"/>
      <c r="E1748" s="396"/>
      <c r="F1748" s="396"/>
      <c r="G1748" s="396"/>
      <c r="K1748" s="370"/>
      <c r="N1748" s="370"/>
    </row>
    <row r="1749" spans="1:14" s="347" customFormat="1" x14ac:dyDescent="0.25">
      <c r="A1749" s="369">
        <v>44302</v>
      </c>
      <c r="B1749" s="347">
        <f>+MONTH(A1749)</f>
        <v>4</v>
      </c>
      <c r="C1749" s="347">
        <v>202</v>
      </c>
      <c r="D1749" s="340" t="str">
        <f>VLOOKUP(C1749,Plan!A:B,2,0)</f>
        <v>Arzobispado por pagar</v>
      </c>
      <c r="E1749" s="341">
        <f>+F1749-G1749</f>
        <v>2983999</v>
      </c>
      <c r="F1749" s="405">
        <v>2983999</v>
      </c>
      <c r="G1749" s="405">
        <v>0</v>
      </c>
      <c r="H1749" s="156" t="s">
        <v>1689</v>
      </c>
      <c r="I1749" s="403" t="s">
        <v>131</v>
      </c>
      <c r="K1749" s="370"/>
      <c r="N1749" s="370"/>
    </row>
    <row r="1750" spans="1:14" s="347" customFormat="1" x14ac:dyDescent="0.25">
      <c r="A1750" s="369">
        <v>44302</v>
      </c>
      <c r="B1750" s="347">
        <f>+MONTH(A1750)</f>
        <v>4</v>
      </c>
      <c r="C1750" s="347">
        <v>201</v>
      </c>
      <c r="D1750" s="340" t="str">
        <f>VLOOKUP(C1750,Plan!A:B,2,0)</f>
        <v>1% por pagar</v>
      </c>
      <c r="E1750" s="341">
        <f>+F1750-G1750</f>
        <v>147729</v>
      </c>
      <c r="F1750" s="405">
        <v>147729</v>
      </c>
      <c r="G1750" s="405">
        <v>0</v>
      </c>
      <c r="H1750" s="156" t="s">
        <v>1689</v>
      </c>
      <c r="I1750" s="403" t="s">
        <v>131</v>
      </c>
      <c r="K1750" s="370"/>
      <c r="N1750" s="370"/>
    </row>
    <row r="1751" spans="1:14" s="347" customFormat="1" x14ac:dyDescent="0.25">
      <c r="A1751" s="369">
        <f>+A1750</f>
        <v>44302</v>
      </c>
      <c r="B1751" s="347">
        <f>+MONTH(A1751)</f>
        <v>4</v>
      </c>
      <c r="C1751" s="347">
        <v>115</v>
      </c>
      <c r="D1751" s="340" t="str">
        <f>VLOOKUP(C1751,Plan!A:B,2,0)</f>
        <v>Disponible Cali B.Chile</v>
      </c>
      <c r="E1751" s="341">
        <f>+F1751-G1751</f>
        <v>-3131728</v>
      </c>
      <c r="F1751" s="405">
        <v>0</v>
      </c>
      <c r="G1751" s="405">
        <v>3131728</v>
      </c>
      <c r="H1751" t="str">
        <f>+H1750</f>
        <v>Rendicion CALI Marzo 2021</v>
      </c>
      <c r="I1751" s="403" t="s">
        <v>131</v>
      </c>
      <c r="K1751" s="370"/>
      <c r="N1751" s="370"/>
    </row>
    <row r="1752" spans="1:14" s="347" customFormat="1" x14ac:dyDescent="0.25">
      <c r="A1752" s="369"/>
      <c r="E1752" s="396"/>
      <c r="F1752" s="396"/>
      <c r="G1752" s="396"/>
      <c r="K1752" s="370"/>
      <c r="N1752" s="370"/>
    </row>
    <row r="1753" spans="1:14" s="347" customFormat="1" x14ac:dyDescent="0.25">
      <c r="A1753" s="369">
        <v>44302</v>
      </c>
      <c r="B1753" s="347">
        <f>+MONTH(A1753)</f>
        <v>4</v>
      </c>
      <c r="C1753" s="347">
        <v>205</v>
      </c>
      <c r="D1753" s="340" t="str">
        <f>VLOOKUP(C1753,Plan!A:B,2,0)</f>
        <v>Honorarios por pagar Cali</v>
      </c>
      <c r="E1753" s="341">
        <f>+F1753-G1753</f>
        <v>600000</v>
      </c>
      <c r="F1753" s="405">
        <v>600000</v>
      </c>
      <c r="G1753" s="405">
        <v>0</v>
      </c>
      <c r="H1753" s="156" t="s">
        <v>1690</v>
      </c>
      <c r="I1753" s="403" t="s">
        <v>131</v>
      </c>
      <c r="K1753" s="370"/>
      <c r="N1753" s="370"/>
    </row>
    <row r="1754" spans="1:14" s="347" customFormat="1" x14ac:dyDescent="0.25">
      <c r="A1754" s="369">
        <f>+A1753</f>
        <v>44302</v>
      </c>
      <c r="B1754" s="347">
        <f>+MONTH(A1754)</f>
        <v>4</v>
      </c>
      <c r="C1754" s="347">
        <v>115</v>
      </c>
      <c r="D1754" s="340" t="str">
        <f>VLOOKUP(C1754,Plan!A:B,2,0)</f>
        <v>Disponible Cali B.Chile</v>
      </c>
      <c r="E1754" s="341">
        <f>+F1754-G1754</f>
        <v>-600000</v>
      </c>
      <c r="F1754" s="405">
        <v>0</v>
      </c>
      <c r="G1754" s="405">
        <f>+F1753</f>
        <v>600000</v>
      </c>
      <c r="H1754" t="str">
        <f>+H1753</f>
        <v>BE 314 Guillermo De La Vega Ivovich</v>
      </c>
      <c r="I1754" s="403" t="s">
        <v>131</v>
      </c>
      <c r="K1754" s="370"/>
      <c r="N1754" s="370"/>
    </row>
    <row r="1755" spans="1:14" s="347" customFormat="1" x14ac:dyDescent="0.25">
      <c r="A1755" s="369"/>
      <c r="E1755" s="396"/>
      <c r="F1755" s="396"/>
      <c r="G1755" s="396"/>
      <c r="K1755" s="370"/>
      <c r="N1755" s="370"/>
    </row>
    <row r="1756" spans="1:14" s="347" customFormat="1" x14ac:dyDescent="0.25">
      <c r="A1756" s="369">
        <v>44302</v>
      </c>
      <c r="B1756" s="347">
        <f>+MONTH(A1756)</f>
        <v>4</v>
      </c>
      <c r="C1756" s="347">
        <v>203</v>
      </c>
      <c r="D1756" s="340" t="str">
        <f>VLOOKUP(C1756,Plan!A:B,2,0)</f>
        <v>Recaudadoras por pagar</v>
      </c>
      <c r="E1756" s="341">
        <f>+F1756-G1756</f>
        <v>69840</v>
      </c>
      <c r="F1756" s="405">
        <v>69840</v>
      </c>
      <c r="G1756" s="405">
        <v>0</v>
      </c>
      <c r="H1756" s="156" t="s">
        <v>1799</v>
      </c>
      <c r="I1756" s="403" t="s">
        <v>131</v>
      </c>
      <c r="K1756" s="370"/>
      <c r="N1756" s="370"/>
    </row>
    <row r="1757" spans="1:14" s="347" customFormat="1" x14ac:dyDescent="0.25">
      <c r="A1757" s="369">
        <f>+A1756</f>
        <v>44302</v>
      </c>
      <c r="B1757" s="347">
        <f>+MONTH(A1757)</f>
        <v>4</v>
      </c>
      <c r="C1757" s="347">
        <v>204</v>
      </c>
      <c r="D1757" s="340" t="str">
        <f>VLOOKUP(C1757,Plan!A:B,2,0)</f>
        <v>Retención Honorarios Cali</v>
      </c>
      <c r="E1757" s="341">
        <f>+F1757-G1757</f>
        <v>-8032</v>
      </c>
      <c r="F1757" s="405">
        <v>0</v>
      </c>
      <c r="G1757" s="405">
        <v>8032</v>
      </c>
      <c r="H1757" t="str">
        <f>+H1756</f>
        <v>BE 479 Miria Angélica Sepúlveda</v>
      </c>
      <c r="I1757" s="403" t="s">
        <v>131</v>
      </c>
      <c r="K1757" s="370"/>
      <c r="N1757" s="370"/>
    </row>
    <row r="1758" spans="1:14" s="347" customFormat="1" x14ac:dyDescent="0.25">
      <c r="A1758" s="369">
        <f>+A1756</f>
        <v>44302</v>
      </c>
      <c r="B1758" s="347">
        <f>+MONTH(A1758)</f>
        <v>4</v>
      </c>
      <c r="C1758" s="347">
        <v>115</v>
      </c>
      <c r="D1758" s="340" t="str">
        <f>VLOOKUP(C1758,Plan!A:B,2,0)</f>
        <v>Disponible Cali B.Chile</v>
      </c>
      <c r="E1758" s="341">
        <f>+F1758-G1758</f>
        <v>-61808</v>
      </c>
      <c r="F1758" s="405">
        <v>0</v>
      </c>
      <c r="G1758" s="405">
        <v>61808</v>
      </c>
      <c r="H1758" t="str">
        <f>+H1757</f>
        <v>BE 479 Miria Angélica Sepúlveda</v>
      </c>
      <c r="I1758" s="403" t="s">
        <v>131</v>
      </c>
      <c r="K1758" s="370"/>
      <c r="N1758" s="370"/>
    </row>
    <row r="1759" spans="1:14" s="347" customFormat="1" x14ac:dyDescent="0.25">
      <c r="A1759" s="369"/>
      <c r="E1759" s="396"/>
      <c r="F1759" s="396"/>
      <c r="G1759" s="396"/>
      <c r="K1759" s="370"/>
      <c r="N1759" s="370"/>
    </row>
    <row r="1760" spans="1:14" s="347" customFormat="1" x14ac:dyDescent="0.25">
      <c r="A1760" s="369">
        <v>44302</v>
      </c>
      <c r="B1760" s="347">
        <f>+MONTH(A1760)</f>
        <v>4</v>
      </c>
      <c r="C1760" s="347">
        <v>116</v>
      </c>
      <c r="D1760" s="340" t="str">
        <f>VLOOKUP(C1760,Plan!A:B,2,0)</f>
        <v>Disponible CALI Security</v>
      </c>
      <c r="E1760" s="341">
        <f>+F1760-G1760</f>
        <v>35000000</v>
      </c>
      <c r="F1760" s="405">
        <v>35000000</v>
      </c>
      <c r="G1760" s="405">
        <v>0</v>
      </c>
      <c r="H1760" s="156" t="s">
        <v>1691</v>
      </c>
      <c r="I1760" s="403" t="s">
        <v>131</v>
      </c>
      <c r="K1760" s="370"/>
      <c r="N1760" s="370"/>
    </row>
    <row r="1761" spans="1:14" s="347" customFormat="1" x14ac:dyDescent="0.25">
      <c r="A1761" s="369">
        <f>+A1760</f>
        <v>44302</v>
      </c>
      <c r="B1761" s="347">
        <f>+MONTH(A1761)</f>
        <v>4</v>
      </c>
      <c r="C1761" s="347">
        <v>115</v>
      </c>
      <c r="D1761" s="340" t="str">
        <f>VLOOKUP(C1761,Plan!A:B,2,0)</f>
        <v>Disponible Cali B.Chile</v>
      </c>
      <c r="E1761" s="341">
        <f>+F1761-G1761</f>
        <v>-35000000</v>
      </c>
      <c r="F1761" s="405">
        <v>0</v>
      </c>
      <c r="G1761" s="405">
        <f>+F1760</f>
        <v>35000000</v>
      </c>
      <c r="H1761" t="str">
        <f>+H1760</f>
        <v>Traspaso inversion en Bco. Security</v>
      </c>
      <c r="I1761" s="403" t="s">
        <v>131</v>
      </c>
      <c r="K1761" s="370"/>
      <c r="N1761" s="370"/>
    </row>
    <row r="1762" spans="1:14" s="347" customFormat="1" x14ac:dyDescent="0.25">
      <c r="A1762" s="369"/>
      <c r="E1762" s="396"/>
      <c r="F1762" s="396"/>
      <c r="G1762" s="396"/>
      <c r="K1762" s="370"/>
      <c r="N1762" s="370"/>
    </row>
    <row r="1763" spans="1:14" s="347" customFormat="1" x14ac:dyDescent="0.25">
      <c r="A1763" s="369">
        <v>44305</v>
      </c>
      <c r="B1763" s="347">
        <f>+MONTH(A1763)</f>
        <v>4</v>
      </c>
      <c r="C1763" s="347">
        <v>115</v>
      </c>
      <c r="D1763" s="340" t="str">
        <f>VLOOKUP(C1763,Plan!A:B,2,0)</f>
        <v>Disponible Cali B.Chile</v>
      </c>
      <c r="E1763" s="341">
        <f>+F1763-G1763</f>
        <v>40000</v>
      </c>
      <c r="F1763" s="405">
        <v>40000</v>
      </c>
      <c r="G1763" s="405">
        <v>0</v>
      </c>
      <c r="H1763" s="338" t="s">
        <v>1687</v>
      </c>
      <c r="I1763" s="403" t="s">
        <v>131</v>
      </c>
      <c r="K1763" s="370"/>
      <c r="N1763" s="370"/>
    </row>
    <row r="1764" spans="1:14" s="347" customFormat="1" x14ac:dyDescent="0.25">
      <c r="A1764" s="369">
        <f>+A1763</f>
        <v>44305</v>
      </c>
      <c r="B1764" s="347">
        <f>+MONTH(A1764)</f>
        <v>4</v>
      </c>
      <c r="C1764" s="347">
        <v>1216</v>
      </c>
      <c r="D1764" s="340" t="str">
        <f>VLOOKUP(C1764,Plan!A:B,2,0)</f>
        <v>Otros Valores Recaudadoras</v>
      </c>
      <c r="E1764" s="341">
        <f>+F1764-G1764</f>
        <v>-40000</v>
      </c>
      <c r="F1764" s="405">
        <v>0</v>
      </c>
      <c r="G1764" s="405">
        <f>+F1763</f>
        <v>40000</v>
      </c>
      <c r="H1764" s="338" t="s">
        <v>1687</v>
      </c>
      <c r="I1764" s="403" t="s">
        <v>131</v>
      </c>
      <c r="K1764" s="370"/>
      <c r="N1764" s="370"/>
    </row>
    <row r="1765" spans="1:14" s="347" customFormat="1" x14ac:dyDescent="0.25">
      <c r="A1765" s="369"/>
      <c r="E1765" s="396"/>
      <c r="F1765" s="396"/>
      <c r="G1765" s="396"/>
      <c r="K1765" s="370"/>
      <c r="N1765" s="370"/>
    </row>
    <row r="1766" spans="1:14" s="347" customFormat="1" x14ac:dyDescent="0.25">
      <c r="A1766" s="369">
        <v>44305</v>
      </c>
      <c r="B1766" s="347">
        <f>+MONTH(A1766)</f>
        <v>4</v>
      </c>
      <c r="C1766" s="347">
        <v>115</v>
      </c>
      <c r="D1766" s="340" t="str">
        <f>VLOOKUP(C1766,Plan!A:B,2,0)</f>
        <v>Disponible Cali B.Chile</v>
      </c>
      <c r="E1766" s="341">
        <f>+F1766-G1766</f>
        <v>500000</v>
      </c>
      <c r="F1766" s="405">
        <v>500000</v>
      </c>
      <c r="G1766" s="405">
        <v>0</v>
      </c>
      <c r="H1766" t="s">
        <v>1692</v>
      </c>
      <c r="I1766" s="403" t="s">
        <v>131</v>
      </c>
      <c r="K1766" s="370"/>
      <c r="N1766" s="370"/>
    </row>
    <row r="1767" spans="1:14" s="347" customFormat="1" x14ac:dyDescent="0.25">
      <c r="A1767" s="369">
        <f>+A1766</f>
        <v>44305</v>
      </c>
      <c r="B1767" s="347">
        <f>+MONTH(A1767)</f>
        <v>4</v>
      </c>
      <c r="C1767" s="347">
        <v>1222</v>
      </c>
      <c r="D1767" s="340" t="str">
        <f>VLOOKUP(C1767,Plan!A:B,2,0)</f>
        <v>Otros Valores -Oficina y Transferencias (249)</v>
      </c>
      <c r="E1767" s="341">
        <f>+F1767-G1767</f>
        <v>-500000</v>
      </c>
      <c r="F1767" s="405">
        <v>0</v>
      </c>
      <c r="G1767" s="405">
        <f>+F1766</f>
        <v>500000</v>
      </c>
      <c r="H1767" t="str">
        <f>+H1766</f>
        <v>Juan Manuel Gutiérrez Philippi / 249</v>
      </c>
      <c r="I1767" s="403" t="s">
        <v>131</v>
      </c>
      <c r="K1767" s="370"/>
      <c r="N1767" s="370"/>
    </row>
    <row r="1768" spans="1:14" s="347" customFormat="1" x14ac:dyDescent="0.25">
      <c r="A1768" s="369"/>
      <c r="E1768" s="396"/>
      <c r="F1768" s="396"/>
      <c r="G1768" s="396"/>
      <c r="K1768" s="370"/>
      <c r="N1768" s="370"/>
    </row>
    <row r="1769" spans="1:14" s="347" customFormat="1" x14ac:dyDescent="0.25">
      <c r="A1769" s="369">
        <v>44305</v>
      </c>
      <c r="B1769" s="347">
        <f>+MONTH(A1769)</f>
        <v>4</v>
      </c>
      <c r="C1769" s="347">
        <v>115</v>
      </c>
      <c r="D1769" s="340" t="str">
        <f>VLOOKUP(C1769,Plan!A:B,2,0)</f>
        <v>Disponible Cali B.Chile</v>
      </c>
      <c r="E1769" s="341">
        <f>+F1769-G1769</f>
        <v>10000</v>
      </c>
      <c r="F1769" s="405">
        <v>10000</v>
      </c>
      <c r="G1769" s="405">
        <v>0</v>
      </c>
      <c r="H1769" t="s">
        <v>1027</v>
      </c>
      <c r="I1769" s="403" t="s">
        <v>131</v>
      </c>
      <c r="K1769" s="370"/>
      <c r="N1769" s="370"/>
    </row>
    <row r="1770" spans="1:14" s="347" customFormat="1" x14ac:dyDescent="0.25">
      <c r="A1770" s="369">
        <f>+A1769</f>
        <v>44305</v>
      </c>
      <c r="B1770" s="347">
        <f>+MONTH(A1770)</f>
        <v>4</v>
      </c>
      <c r="C1770" s="347">
        <v>1217</v>
      </c>
      <c r="D1770" s="340" t="str">
        <f>VLOOKUP(C1770,Plan!A:B,2,0)</f>
        <v>Otros Valores -Oficina y Transferencias (248)</v>
      </c>
      <c r="E1770" s="341">
        <f>+F1770-G1770</f>
        <v>-10000</v>
      </c>
      <c r="F1770" s="405">
        <v>0</v>
      </c>
      <c r="G1770" s="405">
        <f>+F1769</f>
        <v>10000</v>
      </c>
      <c r="H1770" t="str">
        <f>+H1769</f>
        <v>GODOY CAMUS CARLOS IGNACIO/248</v>
      </c>
      <c r="I1770" s="403" t="s">
        <v>131</v>
      </c>
      <c r="K1770" s="370"/>
      <c r="N1770" s="370"/>
    </row>
    <row r="1771" spans="1:14" s="347" customFormat="1" x14ac:dyDescent="0.25">
      <c r="A1771" s="369"/>
      <c r="E1771" s="396"/>
      <c r="F1771" s="396"/>
      <c r="G1771" s="396"/>
      <c r="K1771" s="370"/>
      <c r="N1771" s="370"/>
    </row>
    <row r="1772" spans="1:14" s="347" customFormat="1" x14ac:dyDescent="0.25">
      <c r="A1772" s="369">
        <v>44305</v>
      </c>
      <c r="B1772" s="347">
        <f>+MONTH(A1772)</f>
        <v>4</v>
      </c>
      <c r="C1772" s="347">
        <v>115</v>
      </c>
      <c r="D1772" s="340" t="str">
        <f>VLOOKUP(C1772,Plan!A:B,2,0)</f>
        <v>Disponible Cali B.Chile</v>
      </c>
      <c r="E1772" s="341">
        <f>+F1772-G1772</f>
        <v>2500</v>
      </c>
      <c r="F1772" s="405">
        <v>2500</v>
      </c>
      <c r="G1772" s="405">
        <v>0</v>
      </c>
      <c r="H1772" t="s">
        <v>1010</v>
      </c>
      <c r="I1772" s="403" t="s">
        <v>131</v>
      </c>
      <c r="K1772" s="370"/>
      <c r="N1772" s="370"/>
    </row>
    <row r="1773" spans="1:14" s="347" customFormat="1" x14ac:dyDescent="0.25">
      <c r="A1773" s="369">
        <f>+A1772</f>
        <v>44305</v>
      </c>
      <c r="B1773" s="347">
        <f>+MONTH(A1773)</f>
        <v>4</v>
      </c>
      <c r="C1773" s="347">
        <v>216</v>
      </c>
      <c r="D1773" s="340" t="str">
        <f>VLOOKUP(C1773,Plan!A:B,2,0)</f>
        <v>Cuenta por Pagar a Administración Colectas</v>
      </c>
      <c r="E1773" s="341">
        <f>+F1773-G1773</f>
        <v>-2500</v>
      </c>
      <c r="F1773" s="405">
        <v>0</v>
      </c>
      <c r="G1773" s="405">
        <f>+F1772</f>
        <v>2500</v>
      </c>
      <c r="H1773" t="str">
        <f>+H1772</f>
        <v>Colecta Raimundo Barros</v>
      </c>
      <c r="I1773" s="403" t="s">
        <v>131</v>
      </c>
      <c r="K1773" s="370"/>
      <c r="N1773" s="370"/>
    </row>
    <row r="1774" spans="1:14" s="347" customFormat="1" x14ac:dyDescent="0.25">
      <c r="A1774" s="369"/>
      <c r="E1774" s="396"/>
      <c r="F1774" s="396"/>
      <c r="G1774" s="396"/>
      <c r="K1774" s="370"/>
      <c r="N1774" s="370"/>
    </row>
    <row r="1775" spans="1:14" s="347" customFormat="1" x14ac:dyDescent="0.25">
      <c r="A1775" s="369">
        <v>44305</v>
      </c>
      <c r="B1775" s="347">
        <f>+MONTH(A1775)</f>
        <v>4</v>
      </c>
      <c r="C1775" s="347">
        <v>115</v>
      </c>
      <c r="D1775" s="340" t="str">
        <f>VLOOKUP(C1775,Plan!A:B,2,0)</f>
        <v>Disponible Cali B.Chile</v>
      </c>
      <c r="E1775" s="341">
        <f>+F1775-G1775</f>
        <v>100000</v>
      </c>
      <c r="F1775" s="405">
        <v>100000</v>
      </c>
      <c r="G1775" s="405">
        <v>0</v>
      </c>
      <c r="H1775" t="s">
        <v>1021</v>
      </c>
      <c r="I1775" s="403" t="s">
        <v>131</v>
      </c>
      <c r="K1775" s="370"/>
      <c r="N1775" s="370"/>
    </row>
    <row r="1776" spans="1:14" s="347" customFormat="1" x14ac:dyDescent="0.25">
      <c r="A1776" s="369">
        <f>+A1775</f>
        <v>44305</v>
      </c>
      <c r="B1776" s="347">
        <f>+MONTH(A1776)</f>
        <v>4</v>
      </c>
      <c r="C1776" s="347">
        <v>3210</v>
      </c>
      <c r="D1776" s="340" t="str">
        <f>VLOOKUP(C1776,Plan!A:B,2,0)</f>
        <v>Donacion Construccion</v>
      </c>
      <c r="E1776" s="341">
        <f>+F1776-G1776</f>
        <v>-100000</v>
      </c>
      <c r="F1776" s="405">
        <v>0</v>
      </c>
      <c r="G1776" s="405">
        <f>+F1775</f>
        <v>100000</v>
      </c>
      <c r="H1776" t="str">
        <f>+H1775</f>
        <v>Italo Lubiano Tassara/Azul</v>
      </c>
      <c r="I1776" s="403" t="s">
        <v>131</v>
      </c>
      <c r="K1776" s="370"/>
      <c r="N1776" s="370"/>
    </row>
    <row r="1777" spans="1:14" s="347" customFormat="1" x14ac:dyDescent="0.25">
      <c r="A1777" s="369"/>
      <c r="E1777" s="396"/>
      <c r="F1777" s="396"/>
      <c r="G1777" s="396"/>
      <c r="K1777" s="370"/>
      <c r="N1777" s="370"/>
    </row>
    <row r="1778" spans="1:14" s="347" customFormat="1" x14ac:dyDescent="0.25">
      <c r="A1778" s="369">
        <v>44305</v>
      </c>
      <c r="B1778" s="347">
        <f>+MONTH(A1778)</f>
        <v>4</v>
      </c>
      <c r="C1778" s="347">
        <v>115</v>
      </c>
      <c r="D1778" s="340" t="str">
        <f>VLOOKUP(C1778,Plan!A:B,2,0)</f>
        <v>Disponible Cali B.Chile</v>
      </c>
      <c r="E1778" s="341">
        <f>+F1778-G1778</f>
        <v>46</v>
      </c>
      <c r="F1778" s="405">
        <v>46</v>
      </c>
      <c r="G1778" s="405">
        <v>0</v>
      </c>
      <c r="H1778" t="s">
        <v>1217</v>
      </c>
      <c r="I1778" s="403" t="s">
        <v>131</v>
      </c>
      <c r="K1778" s="370"/>
      <c r="N1778" s="370"/>
    </row>
    <row r="1779" spans="1:14" s="347" customFormat="1" x14ac:dyDescent="0.25">
      <c r="A1779" s="369">
        <f>+A1778</f>
        <v>44305</v>
      </c>
      <c r="B1779" s="347">
        <f>+MONTH(A1779)</f>
        <v>4</v>
      </c>
      <c r="C1779" s="347">
        <v>216</v>
      </c>
      <c r="D1779" s="340" t="str">
        <f>VLOOKUP(C1779,Plan!A:B,2,0)</f>
        <v>Cuenta por Pagar a Administración Colectas</v>
      </c>
      <c r="E1779" s="341">
        <f>+F1779-G1779</f>
        <v>-46</v>
      </c>
      <c r="F1779" s="405">
        <v>0</v>
      </c>
      <c r="G1779" s="405">
        <f>+F1778</f>
        <v>46</v>
      </c>
      <c r="H1779" t="str">
        <f>+H1778</f>
        <v>Colecta NN</v>
      </c>
      <c r="I1779" s="403" t="s">
        <v>131</v>
      </c>
      <c r="K1779" s="370"/>
      <c r="N1779" s="370"/>
    </row>
    <row r="1780" spans="1:14" s="347" customFormat="1" x14ac:dyDescent="0.25">
      <c r="A1780" s="369"/>
      <c r="E1780" s="396"/>
      <c r="F1780" s="396"/>
      <c r="G1780" s="396"/>
      <c r="K1780" s="370"/>
      <c r="N1780" s="370"/>
    </row>
    <row r="1781" spans="1:14" s="347" customFormat="1" x14ac:dyDescent="0.25">
      <c r="A1781" s="369">
        <v>44306</v>
      </c>
      <c r="B1781" s="347">
        <f>+MONTH(A1781)</f>
        <v>4</v>
      </c>
      <c r="C1781" s="347">
        <v>115</v>
      </c>
      <c r="D1781" s="340" t="str">
        <f>VLOOKUP(C1781,Plan!A:B,2,0)</f>
        <v>Disponible Cali B.Chile</v>
      </c>
      <c r="E1781" s="341">
        <f>+F1781-G1781</f>
        <v>20000</v>
      </c>
      <c r="F1781" s="405">
        <v>20000</v>
      </c>
      <c r="G1781" s="405">
        <v>0</v>
      </c>
      <c r="H1781" t="s">
        <v>1030</v>
      </c>
      <c r="I1781" s="403" t="s">
        <v>131</v>
      </c>
      <c r="K1781" s="370"/>
      <c r="N1781" s="370"/>
    </row>
    <row r="1782" spans="1:14" s="347" customFormat="1" x14ac:dyDescent="0.25">
      <c r="A1782" s="369">
        <f>+A1781</f>
        <v>44306</v>
      </c>
      <c r="B1782" s="347">
        <f>+MONTH(A1782)</f>
        <v>4</v>
      </c>
      <c r="C1782" s="347">
        <v>1222</v>
      </c>
      <c r="D1782" s="340" t="str">
        <f>VLOOKUP(C1782,Plan!A:B,2,0)</f>
        <v>Otros Valores -Oficina y Transferencias (249)</v>
      </c>
      <c r="E1782" s="341">
        <f>+F1782-G1782</f>
        <v>-20000</v>
      </c>
      <c r="F1782" s="405">
        <v>0</v>
      </c>
      <c r="G1782" s="405">
        <f>+F1781</f>
        <v>20000</v>
      </c>
      <c r="H1782" t="str">
        <f>+H1781</f>
        <v>S. Villegas / 249</v>
      </c>
      <c r="I1782" s="403" t="s">
        <v>131</v>
      </c>
      <c r="K1782" s="370"/>
      <c r="N1782" s="370"/>
    </row>
    <row r="1783" spans="1:14" s="347" customFormat="1" x14ac:dyDescent="0.25">
      <c r="A1783" s="369"/>
      <c r="E1783" s="396"/>
      <c r="F1783" s="396"/>
      <c r="G1783" s="396"/>
      <c r="K1783" s="370"/>
      <c r="N1783" s="370"/>
    </row>
    <row r="1784" spans="1:14" s="347" customFormat="1" x14ac:dyDescent="0.25">
      <c r="A1784" s="369">
        <v>44306</v>
      </c>
      <c r="B1784" s="347">
        <f>+MONTH(A1784)</f>
        <v>4</v>
      </c>
      <c r="C1784" s="347">
        <v>4331</v>
      </c>
      <c r="D1784" s="340" t="str">
        <f>VLOOKUP(C1784,Plan!A:B,2,0)</f>
        <v>Cali</v>
      </c>
      <c r="E1784" s="341">
        <f>+F1784-G1784</f>
        <v>1749</v>
      </c>
      <c r="F1784" s="405">
        <v>1749</v>
      </c>
      <c r="G1784" s="405">
        <v>0</v>
      </c>
      <c r="H1784" t="s">
        <v>1693</v>
      </c>
      <c r="I1784" s="403" t="s">
        <v>131</v>
      </c>
      <c r="K1784" s="370"/>
      <c r="N1784" s="370"/>
    </row>
    <row r="1785" spans="1:14" s="347" customFormat="1" x14ac:dyDescent="0.25">
      <c r="A1785" s="369">
        <f>+A1784</f>
        <v>44306</v>
      </c>
      <c r="B1785" s="347">
        <f>+MONTH(A1785)</f>
        <v>4</v>
      </c>
      <c r="C1785" s="347">
        <v>115</v>
      </c>
      <c r="D1785" s="340" t="str">
        <f>VLOOKUP(C1785,Plan!A:B,2,0)</f>
        <v>Disponible Cali B.Chile</v>
      </c>
      <c r="E1785" s="341">
        <f>+F1785-G1785</f>
        <v>-1749</v>
      </c>
      <c r="F1785" s="405">
        <v>0</v>
      </c>
      <c r="G1785" s="405">
        <f>+F1784</f>
        <v>1749</v>
      </c>
      <c r="H1785" t="str">
        <f>+H1784</f>
        <v>Comision bancaria</v>
      </c>
      <c r="I1785" s="403" t="s">
        <v>131</v>
      </c>
      <c r="K1785" s="370"/>
      <c r="N1785" s="370"/>
    </row>
    <row r="1786" spans="1:14" s="347" customFormat="1" x14ac:dyDescent="0.25">
      <c r="A1786" s="369"/>
      <c r="E1786" s="396"/>
      <c r="F1786" s="396"/>
      <c r="G1786" s="396"/>
      <c r="K1786" s="370"/>
      <c r="N1786" s="370"/>
    </row>
    <row r="1787" spans="1:14" s="347" customFormat="1" x14ac:dyDescent="0.25">
      <c r="A1787" s="369">
        <v>44307</v>
      </c>
      <c r="B1787" s="347">
        <f>+MONTH(A1787)</f>
        <v>4</v>
      </c>
      <c r="C1787" s="347">
        <v>115</v>
      </c>
      <c r="D1787" s="340" t="str">
        <f>VLOOKUP(C1787,Plan!A:B,2,0)</f>
        <v>Disponible Cali B.Chile</v>
      </c>
      <c r="E1787" s="341">
        <f>+F1787-G1787</f>
        <v>40000</v>
      </c>
      <c r="F1787" s="405">
        <v>40000</v>
      </c>
      <c r="G1787" s="405">
        <v>0</v>
      </c>
      <c r="H1787" t="s">
        <v>1694</v>
      </c>
      <c r="I1787" s="403" t="s">
        <v>131</v>
      </c>
      <c r="K1787" s="370"/>
      <c r="N1787" s="370"/>
    </row>
    <row r="1788" spans="1:14" s="347" customFormat="1" x14ac:dyDescent="0.25">
      <c r="A1788" s="369">
        <f>+A1787</f>
        <v>44307</v>
      </c>
      <c r="B1788" s="347">
        <f>+MONTH(A1788)</f>
        <v>4</v>
      </c>
      <c r="C1788" s="347">
        <v>216</v>
      </c>
      <c r="D1788" s="340" t="str">
        <f>VLOOKUP(C1788,Plan!A:B,2,0)</f>
        <v>Cuenta por Pagar a Administración Colectas</v>
      </c>
      <c r="E1788" s="341">
        <f>+F1788-G1788</f>
        <v>-40000</v>
      </c>
      <c r="F1788" s="405">
        <v>0</v>
      </c>
      <c r="G1788" s="405">
        <f>+F1787</f>
        <v>40000</v>
      </c>
      <c r="H1788" t="str">
        <f>+H1787</f>
        <v>Colecta GODOY CAMUS CARLOS IGNACIO</v>
      </c>
      <c r="I1788" s="403" t="s">
        <v>131</v>
      </c>
      <c r="K1788" s="370"/>
      <c r="N1788" s="370"/>
    </row>
    <row r="1789" spans="1:14" s="347" customFormat="1" x14ac:dyDescent="0.25">
      <c r="A1789" s="369"/>
      <c r="E1789" s="396"/>
      <c r="F1789" s="396"/>
      <c r="G1789" s="396"/>
      <c r="K1789" s="370"/>
      <c r="N1789" s="370"/>
    </row>
    <row r="1790" spans="1:14" s="347" customFormat="1" x14ac:dyDescent="0.25">
      <c r="A1790" s="369">
        <v>44309</v>
      </c>
      <c r="B1790" s="347">
        <f>+MONTH(A1790)</f>
        <v>4</v>
      </c>
      <c r="C1790" s="347">
        <v>115</v>
      </c>
      <c r="D1790" s="340" t="str">
        <f>VLOOKUP(C1790,Plan!A:B,2,0)</f>
        <v>Disponible Cali B.Chile</v>
      </c>
      <c r="E1790" s="341">
        <f>+F1790-G1790</f>
        <v>100000</v>
      </c>
      <c r="F1790" s="405">
        <v>100000</v>
      </c>
      <c r="G1790" s="405">
        <v>0</v>
      </c>
      <c r="H1790" t="s">
        <v>1089</v>
      </c>
      <c r="I1790" s="403" t="s">
        <v>131</v>
      </c>
      <c r="K1790" s="370"/>
      <c r="N1790" s="370"/>
    </row>
    <row r="1791" spans="1:14" s="347" customFormat="1" x14ac:dyDescent="0.25">
      <c r="A1791" s="369">
        <f>+A1790</f>
        <v>44309</v>
      </c>
      <c r="B1791" s="347">
        <f>+MONTH(A1791)</f>
        <v>4</v>
      </c>
      <c r="C1791" s="347">
        <v>3210</v>
      </c>
      <c r="D1791" s="340" t="str">
        <f>VLOOKUP(C1791,Plan!A:B,2,0)</f>
        <v>Donacion Construccion</v>
      </c>
      <c r="E1791" s="341">
        <f>+F1791-G1791</f>
        <v>-100000</v>
      </c>
      <c r="F1791" s="405">
        <v>0</v>
      </c>
      <c r="G1791" s="405">
        <f>+F1790</f>
        <v>100000</v>
      </c>
      <c r="H1791" t="str">
        <f>+H1790</f>
        <v>Marcela Errázuriz León / Azul</v>
      </c>
      <c r="I1791" s="403" t="s">
        <v>131</v>
      </c>
      <c r="K1791" s="370"/>
      <c r="N1791" s="370"/>
    </row>
    <row r="1792" spans="1:14" s="347" customFormat="1" x14ac:dyDescent="0.25">
      <c r="A1792" s="369"/>
      <c r="E1792" s="396"/>
      <c r="F1792" s="396"/>
      <c r="G1792" s="396"/>
      <c r="K1792" s="370"/>
      <c r="N1792" s="370"/>
    </row>
    <row r="1793" spans="1:14" s="347" customFormat="1" x14ac:dyDescent="0.25">
      <c r="A1793" s="369">
        <v>44309</v>
      </c>
      <c r="B1793" s="347">
        <f>+MONTH(A1793)</f>
        <v>4</v>
      </c>
      <c r="C1793" s="347">
        <v>115</v>
      </c>
      <c r="D1793" s="340" t="str">
        <f>VLOOKUP(C1793,Plan!A:B,2,0)</f>
        <v>Disponible Cali B.Chile</v>
      </c>
      <c r="E1793" s="341">
        <f>+F1793-G1793</f>
        <v>30000</v>
      </c>
      <c r="F1793" s="405">
        <v>30000</v>
      </c>
      <c r="G1793" s="405">
        <v>0</v>
      </c>
      <c r="H1793" t="s">
        <v>1032</v>
      </c>
      <c r="I1793" s="403" t="s">
        <v>131</v>
      </c>
      <c r="K1793" s="370"/>
      <c r="N1793" s="370"/>
    </row>
    <row r="1794" spans="1:14" s="347" customFormat="1" x14ac:dyDescent="0.25">
      <c r="A1794" s="369">
        <f>+A1793</f>
        <v>44309</v>
      </c>
      <c r="B1794" s="347">
        <f>+MONTH(A1794)</f>
        <v>4</v>
      </c>
      <c r="C1794" s="347">
        <v>1217</v>
      </c>
      <c r="D1794" s="340" t="str">
        <f>VLOOKUP(C1794,Plan!A:B,2,0)</f>
        <v>Otros Valores -Oficina y Transferencias (248)</v>
      </c>
      <c r="E1794" s="341">
        <f>+F1794-G1794</f>
        <v>-30000</v>
      </c>
      <c r="F1794" s="405">
        <v>0</v>
      </c>
      <c r="G1794" s="405">
        <f>+F1793</f>
        <v>30000</v>
      </c>
      <c r="H1794" t="str">
        <f>+H1793</f>
        <v>Luis  E. Domínguez / 248</v>
      </c>
      <c r="I1794" s="403" t="s">
        <v>131</v>
      </c>
      <c r="K1794" s="370"/>
      <c r="N1794" s="370"/>
    </row>
    <row r="1795" spans="1:14" s="347" customFormat="1" x14ac:dyDescent="0.25">
      <c r="A1795" s="369"/>
      <c r="E1795" s="396"/>
      <c r="F1795" s="396"/>
      <c r="G1795" s="396"/>
      <c r="K1795" s="370"/>
      <c r="N1795" s="370"/>
    </row>
    <row r="1796" spans="1:14" s="347" customFormat="1" x14ac:dyDescent="0.25">
      <c r="A1796" s="369">
        <v>44309</v>
      </c>
      <c r="B1796" s="347">
        <f>+MONTH(A1796)</f>
        <v>4</v>
      </c>
      <c r="C1796" s="347">
        <v>115</v>
      </c>
      <c r="D1796" s="340" t="str">
        <f>VLOOKUP(C1796,Plan!A:B,2,0)</f>
        <v>Disponible Cali B.Chile</v>
      </c>
      <c r="E1796" s="341">
        <f>+F1796-G1796</f>
        <v>100000</v>
      </c>
      <c r="F1796" s="405">
        <v>100000</v>
      </c>
      <c r="G1796" s="405">
        <v>0</v>
      </c>
      <c r="H1796" t="s">
        <v>1695</v>
      </c>
      <c r="I1796" s="403" t="s">
        <v>131</v>
      </c>
      <c r="K1796" s="370"/>
      <c r="N1796" s="370"/>
    </row>
    <row r="1797" spans="1:14" s="347" customFormat="1" x14ac:dyDescent="0.25">
      <c r="A1797" s="369">
        <f>+A1796</f>
        <v>44309</v>
      </c>
      <c r="B1797" s="347">
        <f>+MONTH(A1797)</f>
        <v>4</v>
      </c>
      <c r="C1797" s="347">
        <v>3210</v>
      </c>
      <c r="D1797" s="340" t="str">
        <f>VLOOKUP(C1797,Plan!A:B,2,0)</f>
        <v>Donacion Construccion</v>
      </c>
      <c r="E1797" s="341">
        <f>+F1797-G1797</f>
        <v>-100000</v>
      </c>
      <c r="F1797" s="405">
        <v>0</v>
      </c>
      <c r="G1797" s="405">
        <f>+F1796</f>
        <v>100000</v>
      </c>
      <c r="H1797" t="str">
        <f>+H1796</f>
        <v>Ricardo Cruzat Ochagavia / Azul</v>
      </c>
      <c r="I1797" s="403" t="s">
        <v>131</v>
      </c>
      <c r="K1797" s="370"/>
      <c r="N1797" s="370"/>
    </row>
    <row r="1798" spans="1:14" s="347" customFormat="1" x14ac:dyDescent="0.25">
      <c r="A1798" s="369"/>
      <c r="E1798" s="396"/>
      <c r="F1798" s="396"/>
      <c r="G1798" s="396"/>
      <c r="K1798" s="370"/>
      <c r="N1798" s="370"/>
    </row>
    <row r="1799" spans="1:14" s="347" customFormat="1" x14ac:dyDescent="0.25">
      <c r="A1799" s="369">
        <v>44309</v>
      </c>
      <c r="B1799" s="347">
        <f>+MONTH(A1799)</f>
        <v>4</v>
      </c>
      <c r="C1799" s="347">
        <v>115</v>
      </c>
      <c r="D1799" s="340" t="str">
        <f>VLOOKUP(C1799,Plan!A:B,2,0)</f>
        <v>Disponible Cali B.Chile</v>
      </c>
      <c r="E1799" s="341">
        <f>+F1799-G1799</f>
        <v>20000</v>
      </c>
      <c r="F1799" s="405">
        <v>20000</v>
      </c>
      <c r="G1799" s="405">
        <v>0</v>
      </c>
      <c r="H1799" t="s">
        <v>1033</v>
      </c>
      <c r="I1799" s="403" t="s">
        <v>131</v>
      </c>
      <c r="K1799" s="370"/>
      <c r="N1799" s="370"/>
    </row>
    <row r="1800" spans="1:14" s="347" customFormat="1" x14ac:dyDescent="0.25">
      <c r="A1800" s="369">
        <f>+A1799</f>
        <v>44309</v>
      </c>
      <c r="B1800" s="347">
        <f>+MONTH(A1800)</f>
        <v>4</v>
      </c>
      <c r="C1800" s="347">
        <v>1222</v>
      </c>
      <c r="D1800" s="340" t="str">
        <f>VLOOKUP(C1800,Plan!A:B,2,0)</f>
        <v>Otros Valores -Oficina y Transferencias (249)</v>
      </c>
      <c r="E1800" s="341">
        <f>+F1800-G1800</f>
        <v>-20000</v>
      </c>
      <c r="F1800" s="405">
        <v>0</v>
      </c>
      <c r="G1800" s="405">
        <f>+F1799</f>
        <v>20000</v>
      </c>
      <c r="H1800" t="str">
        <f>+H1799</f>
        <v>Verónica Sapag Puelma / 249</v>
      </c>
      <c r="I1800" s="403" t="s">
        <v>131</v>
      </c>
      <c r="K1800" s="370"/>
      <c r="N1800" s="370"/>
    </row>
    <row r="1801" spans="1:14" s="347" customFormat="1" x14ac:dyDescent="0.25">
      <c r="A1801" s="369"/>
      <c r="E1801" s="396"/>
      <c r="F1801" s="396"/>
      <c r="G1801" s="396"/>
      <c r="K1801" s="370"/>
      <c r="N1801" s="370"/>
    </row>
    <row r="1802" spans="1:14" s="347" customFormat="1" x14ac:dyDescent="0.25">
      <c r="A1802" s="369">
        <v>44312</v>
      </c>
      <c r="B1802" s="347">
        <f>+MONTH(A1802)</f>
        <v>4</v>
      </c>
      <c r="C1802" s="347">
        <v>115</v>
      </c>
      <c r="D1802" s="340" t="str">
        <f>VLOOKUP(C1802,Plan!A:B,2,0)</f>
        <v>Disponible Cali B.Chile</v>
      </c>
      <c r="E1802" s="341">
        <f>+F1802-G1802</f>
        <v>30000</v>
      </c>
      <c r="F1802" s="405">
        <v>30000</v>
      </c>
      <c r="G1802" s="405">
        <v>0</v>
      </c>
      <c r="H1802" t="s">
        <v>1082</v>
      </c>
      <c r="I1802" s="403" t="s">
        <v>131</v>
      </c>
      <c r="K1802" s="370"/>
      <c r="N1802" s="370"/>
    </row>
    <row r="1803" spans="1:14" s="347" customFormat="1" x14ac:dyDescent="0.25">
      <c r="A1803" s="369">
        <f>+A1802</f>
        <v>44312</v>
      </c>
      <c r="B1803" s="347">
        <f>+MONTH(A1803)</f>
        <v>4</v>
      </c>
      <c r="C1803" s="347">
        <v>1222</v>
      </c>
      <c r="D1803" s="340" t="str">
        <f>VLOOKUP(C1803,Plan!A:B,2,0)</f>
        <v>Otros Valores -Oficina y Transferencias (249)</v>
      </c>
      <c r="E1803" s="341">
        <f>+F1803-G1803</f>
        <v>-30000</v>
      </c>
      <c r="F1803" s="405">
        <v>0</v>
      </c>
      <c r="G1803" s="405">
        <f>+F1802</f>
        <v>30000</v>
      </c>
      <c r="H1803" t="str">
        <f>+H1802</f>
        <v>Carmen Gloria Ovalle de la Cuadra/ 249</v>
      </c>
      <c r="I1803" s="403" t="s">
        <v>131</v>
      </c>
      <c r="K1803" s="370"/>
      <c r="N1803" s="370"/>
    </row>
    <row r="1804" spans="1:14" s="347" customFormat="1" x14ac:dyDescent="0.25">
      <c r="A1804" s="369"/>
      <c r="E1804" s="396"/>
      <c r="F1804" s="396"/>
      <c r="G1804" s="396"/>
      <c r="K1804" s="370"/>
      <c r="N1804" s="370"/>
    </row>
    <row r="1805" spans="1:14" s="347" customFormat="1" x14ac:dyDescent="0.25">
      <c r="A1805" s="369">
        <v>44312</v>
      </c>
      <c r="B1805" s="347">
        <f>+MONTH(A1805)</f>
        <v>4</v>
      </c>
      <c r="C1805" s="347">
        <v>115</v>
      </c>
      <c r="D1805" s="340" t="str">
        <f>VLOOKUP(C1805,Plan!A:B,2,0)</f>
        <v>Disponible Cali B.Chile</v>
      </c>
      <c r="E1805" s="341">
        <f>+F1805-G1805</f>
        <v>200000</v>
      </c>
      <c r="F1805" s="405">
        <v>200000</v>
      </c>
      <c r="G1805" s="405">
        <v>0</v>
      </c>
      <c r="H1805" t="s">
        <v>1696</v>
      </c>
      <c r="I1805" s="403" t="s">
        <v>131</v>
      </c>
      <c r="K1805" s="370"/>
      <c r="N1805" s="370"/>
    </row>
    <row r="1806" spans="1:14" s="347" customFormat="1" x14ac:dyDescent="0.25">
      <c r="A1806" s="369">
        <f>+A1805</f>
        <v>44312</v>
      </c>
      <c r="B1806" s="347">
        <f>+MONTH(A1806)</f>
        <v>4</v>
      </c>
      <c r="C1806" s="347">
        <v>1222</v>
      </c>
      <c r="D1806" s="340" t="str">
        <f>VLOOKUP(C1806,Plan!A:B,2,0)</f>
        <v>Otros Valores -Oficina y Transferencias (249)</v>
      </c>
      <c r="E1806" s="341">
        <f>+F1806-G1806</f>
        <v>-200000</v>
      </c>
      <c r="F1806" s="405">
        <v>0</v>
      </c>
      <c r="G1806" s="405">
        <f>+F1805</f>
        <v>200000</v>
      </c>
      <c r="H1806" t="str">
        <f>+H1805</f>
        <v>Antonio Jorge Gana de Landa / 249</v>
      </c>
      <c r="I1806" s="403" t="s">
        <v>131</v>
      </c>
      <c r="K1806" s="370"/>
      <c r="N1806" s="370"/>
    </row>
    <row r="1807" spans="1:14" s="347" customFormat="1" x14ac:dyDescent="0.25">
      <c r="A1807" s="369"/>
      <c r="E1807" s="396"/>
      <c r="F1807" s="396"/>
      <c r="G1807" s="396"/>
      <c r="K1807" s="370"/>
      <c r="N1807" s="370"/>
    </row>
    <row r="1808" spans="1:14" s="347" customFormat="1" x14ac:dyDescent="0.25">
      <c r="A1808" s="369">
        <v>44312</v>
      </c>
      <c r="B1808" s="347">
        <f>+MONTH(A1808)</f>
        <v>4</v>
      </c>
      <c r="C1808" s="347">
        <v>115</v>
      </c>
      <c r="D1808" s="340" t="str">
        <f>VLOOKUP(C1808,Plan!A:B,2,0)</f>
        <v>Disponible Cali B.Chile</v>
      </c>
      <c r="E1808" s="341">
        <f>+F1808-G1808</f>
        <v>50000</v>
      </c>
      <c r="F1808" s="405">
        <v>50000</v>
      </c>
      <c r="G1808" s="405">
        <v>0</v>
      </c>
      <c r="H1808" t="s">
        <v>1697</v>
      </c>
      <c r="I1808" s="403" t="s">
        <v>131</v>
      </c>
      <c r="K1808" s="370"/>
      <c r="N1808" s="370"/>
    </row>
    <row r="1809" spans="1:14" s="347" customFormat="1" x14ac:dyDescent="0.25">
      <c r="A1809" s="369">
        <f>+A1808</f>
        <v>44312</v>
      </c>
      <c r="B1809" s="347">
        <f>+MONTH(A1809)</f>
        <v>4</v>
      </c>
      <c r="C1809" s="347">
        <v>3210</v>
      </c>
      <c r="D1809" s="340" t="str">
        <f>VLOOKUP(C1809,Plan!A:B,2,0)</f>
        <v>Donacion Construccion</v>
      </c>
      <c r="E1809" s="341">
        <f>+F1809-G1809</f>
        <v>-50000</v>
      </c>
      <c r="F1809" s="405">
        <v>0</v>
      </c>
      <c r="G1809" s="405">
        <f>+F1808</f>
        <v>50000</v>
      </c>
      <c r="H1809" t="str">
        <f>+H1808</f>
        <v>Marcio Almeida Dos Santos / Azul</v>
      </c>
      <c r="I1809" s="403" t="s">
        <v>131</v>
      </c>
      <c r="K1809" s="370"/>
      <c r="N1809" s="370"/>
    </row>
    <row r="1810" spans="1:14" s="347" customFormat="1" x14ac:dyDescent="0.25">
      <c r="A1810" s="369"/>
      <c r="E1810" s="396"/>
      <c r="F1810" s="396"/>
      <c r="G1810" s="396"/>
      <c r="K1810" s="370"/>
      <c r="N1810" s="370"/>
    </row>
    <row r="1811" spans="1:14" s="347" customFormat="1" x14ac:dyDescent="0.25">
      <c r="A1811" s="369">
        <v>44312</v>
      </c>
      <c r="B1811" s="347">
        <f>+MONTH(A1811)</f>
        <v>4</v>
      </c>
      <c r="C1811" s="347">
        <v>115</v>
      </c>
      <c r="D1811" s="340" t="str">
        <f>VLOOKUP(C1811,Plan!A:B,2,0)</f>
        <v>Disponible Cali B.Chile</v>
      </c>
      <c r="E1811" s="341">
        <f>+F1811-G1811</f>
        <v>10000</v>
      </c>
      <c r="F1811" s="405">
        <v>10000</v>
      </c>
      <c r="G1811" s="405">
        <v>0</v>
      </c>
      <c r="H1811" t="s">
        <v>971</v>
      </c>
      <c r="I1811" s="403" t="s">
        <v>131</v>
      </c>
      <c r="K1811" s="370"/>
      <c r="N1811" s="370"/>
    </row>
    <row r="1812" spans="1:14" s="347" customFormat="1" x14ac:dyDescent="0.25">
      <c r="A1812" s="369">
        <f>+A1811</f>
        <v>44312</v>
      </c>
      <c r="B1812" s="347">
        <f>+MONTH(A1812)</f>
        <v>4</v>
      </c>
      <c r="C1812" s="347">
        <v>216</v>
      </c>
      <c r="D1812" s="340" t="str">
        <f>VLOOKUP(C1812,Plan!A:B,2,0)</f>
        <v>Cuenta por Pagar a Administración Colectas</v>
      </c>
      <c r="E1812" s="341">
        <f>+F1812-G1812</f>
        <v>-10000</v>
      </c>
      <c r="F1812" s="405">
        <v>0</v>
      </c>
      <c r="G1812" s="405">
        <f>+F1811</f>
        <v>10000</v>
      </c>
      <c r="H1812" t="str">
        <f>+H1811</f>
        <v>Colecta Pablo Irarrazaval Mena</v>
      </c>
      <c r="I1812" s="403" t="s">
        <v>131</v>
      </c>
      <c r="K1812" s="370"/>
      <c r="N1812" s="370"/>
    </row>
    <row r="1813" spans="1:14" s="347" customFormat="1" x14ac:dyDescent="0.25">
      <c r="A1813" s="369"/>
      <c r="E1813" s="396"/>
      <c r="F1813" s="396"/>
      <c r="G1813" s="396"/>
      <c r="K1813" s="370"/>
      <c r="N1813" s="370"/>
    </row>
    <row r="1814" spans="1:14" s="347" customFormat="1" x14ac:dyDescent="0.25">
      <c r="A1814" s="369">
        <v>44312</v>
      </c>
      <c r="B1814" s="347">
        <f>+MONTH(A1814)</f>
        <v>4</v>
      </c>
      <c r="C1814" s="347">
        <v>115</v>
      </c>
      <c r="D1814" s="340" t="str">
        <f>VLOOKUP(C1814,Plan!A:B,2,0)</f>
        <v>Disponible Cali B.Chile</v>
      </c>
      <c r="E1814" s="341">
        <f>+F1814-G1814</f>
        <v>10000</v>
      </c>
      <c r="F1814" s="405">
        <v>10000</v>
      </c>
      <c r="G1814" s="405">
        <v>0</v>
      </c>
      <c r="H1814" t="s">
        <v>1036</v>
      </c>
      <c r="I1814" s="403" t="s">
        <v>131</v>
      </c>
      <c r="K1814" s="370"/>
      <c r="N1814" s="370"/>
    </row>
    <row r="1815" spans="1:14" s="347" customFormat="1" x14ac:dyDescent="0.25">
      <c r="A1815" s="369">
        <f>+A1814</f>
        <v>44312</v>
      </c>
      <c r="B1815" s="347">
        <f>+MONTH(A1815)</f>
        <v>4</v>
      </c>
      <c r="C1815" s="347">
        <v>3210</v>
      </c>
      <c r="D1815" s="340" t="str">
        <f>VLOOKUP(C1815,Plan!A:B,2,0)</f>
        <v>Donacion Construccion</v>
      </c>
      <c r="E1815" s="341">
        <f>+F1815-G1815</f>
        <v>-10000</v>
      </c>
      <c r="F1815" s="405">
        <v>0</v>
      </c>
      <c r="G1815" s="405">
        <f>+F1814</f>
        <v>10000</v>
      </c>
      <c r="H1815" t="str">
        <f>+H1814</f>
        <v>Francisco Sanhueza /Azul</v>
      </c>
      <c r="I1815" s="403" t="s">
        <v>131</v>
      </c>
      <c r="K1815" s="370"/>
      <c r="N1815" s="370"/>
    </row>
    <row r="1816" spans="1:14" s="347" customFormat="1" x14ac:dyDescent="0.25">
      <c r="A1816" s="369"/>
      <c r="E1816" s="396"/>
      <c r="F1816" s="396"/>
      <c r="G1816" s="396"/>
      <c r="K1816" s="370"/>
      <c r="N1816" s="370"/>
    </row>
    <row r="1817" spans="1:14" s="347" customFormat="1" x14ac:dyDescent="0.25">
      <c r="A1817" s="369">
        <v>44312</v>
      </c>
      <c r="B1817" s="347">
        <f>+MONTH(A1817)</f>
        <v>4</v>
      </c>
      <c r="C1817" s="347">
        <v>115</v>
      </c>
      <c r="D1817" s="340" t="str">
        <f>VLOOKUP(C1817,Plan!A:B,2,0)</f>
        <v>Disponible Cali B.Chile</v>
      </c>
      <c r="E1817" s="341">
        <f>+F1817-G1817</f>
        <v>400000</v>
      </c>
      <c r="F1817" s="405">
        <v>400000</v>
      </c>
      <c r="G1817" s="405">
        <v>0</v>
      </c>
      <c r="H1817" t="s">
        <v>1041</v>
      </c>
      <c r="I1817" s="403" t="s">
        <v>131</v>
      </c>
      <c r="K1817" s="370"/>
      <c r="N1817" s="370"/>
    </row>
    <row r="1818" spans="1:14" s="347" customFormat="1" x14ac:dyDescent="0.25">
      <c r="A1818" s="369">
        <f>+A1817</f>
        <v>44312</v>
      </c>
      <c r="B1818" s="347">
        <f>+MONTH(A1818)</f>
        <v>4</v>
      </c>
      <c r="C1818" s="347">
        <v>3210</v>
      </c>
      <c r="D1818" s="340" t="str">
        <f>VLOOKUP(C1818,Plan!A:B,2,0)</f>
        <v>Donacion Construccion</v>
      </c>
      <c r="E1818" s="341">
        <f>+F1818-G1818</f>
        <v>-400000</v>
      </c>
      <c r="F1818" s="405">
        <v>0</v>
      </c>
      <c r="G1818" s="405">
        <f>+F1817</f>
        <v>400000</v>
      </c>
      <c r="H1818" t="str">
        <f>+H1817</f>
        <v>Joaquín Izcue Elgart / Azul</v>
      </c>
      <c r="I1818" s="403" t="s">
        <v>131</v>
      </c>
      <c r="K1818" s="370"/>
      <c r="N1818" s="370"/>
    </row>
    <row r="1819" spans="1:14" s="347" customFormat="1" x14ac:dyDescent="0.25">
      <c r="A1819" s="369"/>
      <c r="E1819" s="396"/>
      <c r="F1819" s="396"/>
      <c r="G1819" s="396"/>
      <c r="K1819" s="370"/>
      <c r="N1819" s="370"/>
    </row>
    <row r="1820" spans="1:14" s="347" customFormat="1" x14ac:dyDescent="0.25">
      <c r="A1820" s="369">
        <v>44312</v>
      </c>
      <c r="B1820" s="347">
        <f>+MONTH(A1820)</f>
        <v>4</v>
      </c>
      <c r="C1820" s="347">
        <v>115</v>
      </c>
      <c r="D1820" s="340" t="str">
        <f>VLOOKUP(C1820,Plan!A:B,2,0)</f>
        <v>Disponible Cali B.Chile</v>
      </c>
      <c r="E1820" s="341">
        <f>+F1820-G1820</f>
        <v>2000</v>
      </c>
      <c r="F1820" s="405">
        <v>2000</v>
      </c>
      <c r="G1820" s="405">
        <v>0</v>
      </c>
      <c r="H1820" t="s">
        <v>1010</v>
      </c>
      <c r="I1820" s="403" t="s">
        <v>131</v>
      </c>
      <c r="K1820" s="370"/>
      <c r="N1820" s="370"/>
    </row>
    <row r="1821" spans="1:14" s="347" customFormat="1" x14ac:dyDescent="0.25">
      <c r="A1821" s="369">
        <f>+A1820</f>
        <v>44312</v>
      </c>
      <c r="B1821" s="347">
        <f>+MONTH(A1821)</f>
        <v>4</v>
      </c>
      <c r="C1821" s="347">
        <v>216</v>
      </c>
      <c r="D1821" s="340" t="str">
        <f>VLOOKUP(C1821,Plan!A:B,2,0)</f>
        <v>Cuenta por Pagar a Administración Colectas</v>
      </c>
      <c r="E1821" s="341">
        <f>+F1821-G1821</f>
        <v>-2000</v>
      </c>
      <c r="F1821" s="405">
        <v>0</v>
      </c>
      <c r="G1821" s="405">
        <f>+F1820</f>
        <v>2000</v>
      </c>
      <c r="H1821" t="str">
        <f>+H1820</f>
        <v>Colecta Raimundo Barros</v>
      </c>
      <c r="I1821" s="403" t="s">
        <v>131</v>
      </c>
      <c r="K1821" s="370"/>
      <c r="N1821" s="370"/>
    </row>
    <row r="1822" spans="1:14" s="347" customFormat="1" x14ac:dyDescent="0.25">
      <c r="A1822" s="369"/>
      <c r="E1822" s="396"/>
      <c r="F1822" s="396"/>
      <c r="G1822" s="396"/>
      <c r="K1822" s="370"/>
      <c r="N1822" s="370"/>
    </row>
    <row r="1823" spans="1:14" s="347" customFormat="1" x14ac:dyDescent="0.25">
      <c r="A1823" s="369">
        <v>44312</v>
      </c>
      <c r="B1823" s="347">
        <f>+MONTH(A1823)</f>
        <v>4</v>
      </c>
      <c r="C1823" s="347">
        <v>115</v>
      </c>
      <c r="D1823" s="340" t="str">
        <f>VLOOKUP(C1823,Plan!A:B,2,0)</f>
        <v>Disponible Cali B.Chile</v>
      </c>
      <c r="E1823" s="341">
        <f>+F1823-G1823</f>
        <v>2208207</v>
      </c>
      <c r="F1823" s="405">
        <v>2208207</v>
      </c>
      <c r="G1823" s="405">
        <v>0</v>
      </c>
      <c r="H1823" t="s">
        <v>1698</v>
      </c>
      <c r="I1823" s="403" t="s">
        <v>131</v>
      </c>
      <c r="K1823" s="370"/>
      <c r="N1823" s="370"/>
    </row>
    <row r="1824" spans="1:14" s="347" customFormat="1" x14ac:dyDescent="0.25">
      <c r="A1824" s="369">
        <f>+A1823</f>
        <v>44312</v>
      </c>
      <c r="B1824" s="347">
        <f>+MONTH(A1824)</f>
        <v>4</v>
      </c>
      <c r="C1824" s="347">
        <v>1219</v>
      </c>
      <c r="D1824" s="340" t="str">
        <f>VLOOKUP(C1824,Plan!A:B,2,0)</f>
        <v>Otros Valores Arzobispado (248)</v>
      </c>
      <c r="E1824" s="341">
        <f>+F1824-G1824</f>
        <v>-2208207</v>
      </c>
      <c r="F1824" s="405">
        <v>0</v>
      </c>
      <c r="G1824" s="405">
        <f>+F1823</f>
        <v>2208207</v>
      </c>
      <c r="H1824" t="str">
        <f>+H1823</f>
        <v>Arzobispado de Stgo Marzo / 248</v>
      </c>
      <c r="I1824" s="403" t="s">
        <v>131</v>
      </c>
      <c r="K1824" s="370"/>
      <c r="N1824" s="370"/>
    </row>
    <row r="1825" spans="1:14" s="347" customFormat="1" x14ac:dyDescent="0.25">
      <c r="A1825" s="369"/>
      <c r="E1825" s="396"/>
      <c r="F1825" s="396"/>
      <c r="G1825" s="396"/>
      <c r="K1825" s="370"/>
      <c r="N1825" s="370"/>
    </row>
    <row r="1826" spans="1:14" s="347" customFormat="1" x14ac:dyDescent="0.25">
      <c r="A1826" s="369">
        <v>44312</v>
      </c>
      <c r="B1826" s="347">
        <f>+MONTH(A1826)</f>
        <v>4</v>
      </c>
      <c r="C1826" s="347">
        <v>115</v>
      </c>
      <c r="D1826" s="340" t="str">
        <f>VLOOKUP(C1826,Plan!A:B,2,0)</f>
        <v>Disponible Cali B.Chile</v>
      </c>
      <c r="E1826" s="341">
        <f>+F1826-G1826</f>
        <v>1949783</v>
      </c>
      <c r="F1826" s="405">
        <v>1949783</v>
      </c>
      <c r="G1826" s="405">
        <v>0</v>
      </c>
      <c r="H1826" t="s">
        <v>1699</v>
      </c>
      <c r="I1826" s="403" t="s">
        <v>131</v>
      </c>
      <c r="K1826" s="370"/>
      <c r="N1826" s="370"/>
    </row>
    <row r="1827" spans="1:14" s="347" customFormat="1" x14ac:dyDescent="0.25">
      <c r="A1827" s="369">
        <f>+A1826</f>
        <v>44312</v>
      </c>
      <c r="B1827" s="347">
        <f>+MONTH(A1827)</f>
        <v>4</v>
      </c>
      <c r="C1827" s="347">
        <v>1220</v>
      </c>
      <c r="D1827" s="340" t="str">
        <f>VLOOKUP(C1827,Plan!A:B,2,0)</f>
        <v>Otros Valores Arzobispado (249)</v>
      </c>
      <c r="E1827" s="341">
        <f>+F1827-G1827</f>
        <v>-1949783</v>
      </c>
      <c r="F1827" s="405">
        <v>0</v>
      </c>
      <c r="G1827" s="405">
        <f>+F1826</f>
        <v>1949783</v>
      </c>
      <c r="H1827" t="str">
        <f>+H1826</f>
        <v>Arzobispado de Stgo Marzo / 249</v>
      </c>
      <c r="I1827" s="403" t="s">
        <v>131</v>
      </c>
      <c r="K1827" s="370"/>
      <c r="N1827" s="370"/>
    </row>
    <row r="1828" spans="1:14" s="347" customFormat="1" x14ac:dyDescent="0.25">
      <c r="A1828" s="369"/>
      <c r="E1828" s="396"/>
      <c r="F1828" s="396"/>
      <c r="G1828" s="396"/>
      <c r="K1828" s="370"/>
      <c r="N1828" s="370"/>
    </row>
    <row r="1829" spans="1:14" s="347" customFormat="1" x14ac:dyDescent="0.25">
      <c r="A1829" s="369">
        <v>44313</v>
      </c>
      <c r="B1829" s="347">
        <f>+MONTH(A1829)</f>
        <v>4</v>
      </c>
      <c r="C1829" s="347">
        <v>115</v>
      </c>
      <c r="D1829" s="340" t="str">
        <f>VLOOKUP(C1829,Plan!A:B,2,0)</f>
        <v>Disponible Cali B.Chile</v>
      </c>
      <c r="E1829" s="341">
        <f>+F1829-G1829</f>
        <v>100000</v>
      </c>
      <c r="F1829" s="405">
        <v>100000</v>
      </c>
      <c r="G1829" s="405">
        <v>0</v>
      </c>
      <c r="H1829" t="s">
        <v>1098</v>
      </c>
      <c r="I1829" s="403" t="s">
        <v>131</v>
      </c>
      <c r="K1829" s="370"/>
      <c r="N1829" s="370"/>
    </row>
    <row r="1830" spans="1:14" s="347" customFormat="1" x14ac:dyDescent="0.25">
      <c r="A1830" s="369">
        <f>+A1829</f>
        <v>44313</v>
      </c>
      <c r="B1830" s="347">
        <f>+MONTH(A1830)</f>
        <v>4</v>
      </c>
      <c r="C1830" s="347">
        <v>3210</v>
      </c>
      <c r="D1830" s="340" t="str">
        <f>VLOOKUP(C1830,Plan!A:B,2,0)</f>
        <v>Donacion Construccion</v>
      </c>
      <c r="E1830" s="341">
        <f>+F1830-G1830</f>
        <v>-100000</v>
      </c>
      <c r="F1830" s="405">
        <v>0</v>
      </c>
      <c r="G1830" s="405">
        <f>+F1829</f>
        <v>100000</v>
      </c>
      <c r="H1830" t="str">
        <f>+H1829</f>
        <v>Herman Chadwick Larraín / Azul</v>
      </c>
      <c r="I1830" s="403" t="s">
        <v>131</v>
      </c>
      <c r="K1830" s="370"/>
      <c r="N1830" s="370"/>
    </row>
    <row r="1831" spans="1:14" s="347" customFormat="1" x14ac:dyDescent="0.25">
      <c r="A1831" s="369"/>
      <c r="E1831" s="396"/>
      <c r="F1831" s="396"/>
      <c r="G1831" s="396"/>
      <c r="K1831" s="370"/>
      <c r="N1831" s="370"/>
    </row>
    <row r="1832" spans="1:14" s="347" customFormat="1" x14ac:dyDescent="0.25">
      <c r="A1832" s="369">
        <v>44313</v>
      </c>
      <c r="B1832" s="347">
        <f>+MONTH(A1832)</f>
        <v>4</v>
      </c>
      <c r="C1832" s="347">
        <v>115</v>
      </c>
      <c r="D1832" s="340" t="str">
        <f>VLOOKUP(C1832,Plan!A:B,2,0)</f>
        <v>Disponible Cali B.Chile</v>
      </c>
      <c r="E1832" s="341">
        <f>+F1832-G1832</f>
        <v>10000</v>
      </c>
      <c r="F1832" s="405">
        <v>10000</v>
      </c>
      <c r="G1832" s="405">
        <v>0</v>
      </c>
      <c r="H1832" t="s">
        <v>1093</v>
      </c>
      <c r="I1832" s="403" t="s">
        <v>131</v>
      </c>
      <c r="K1832" s="370"/>
      <c r="N1832" s="370"/>
    </row>
    <row r="1833" spans="1:14" s="347" customFormat="1" x14ac:dyDescent="0.25">
      <c r="A1833" s="369">
        <f>+A1832</f>
        <v>44313</v>
      </c>
      <c r="B1833" s="347">
        <f>+MONTH(A1833)</f>
        <v>4</v>
      </c>
      <c r="C1833" s="347">
        <v>1222</v>
      </c>
      <c r="D1833" s="340" t="str">
        <f>VLOOKUP(C1833,Plan!A:B,2,0)</f>
        <v>Otros Valores -Oficina y Transferencias (249)</v>
      </c>
      <c r="E1833" s="341">
        <f>+F1833-G1833</f>
        <v>-10000</v>
      </c>
      <c r="F1833" s="405">
        <v>0</v>
      </c>
      <c r="G1833" s="405">
        <f>+F1832</f>
        <v>10000</v>
      </c>
      <c r="H1833" t="str">
        <f>+H1832</f>
        <v>José Miguel Pérez de Castro Z./249</v>
      </c>
      <c r="I1833" s="403" t="s">
        <v>131</v>
      </c>
      <c r="K1833" s="370"/>
      <c r="N1833" s="370"/>
    </row>
    <row r="1834" spans="1:14" s="347" customFormat="1" x14ac:dyDescent="0.25">
      <c r="A1834" s="369"/>
      <c r="E1834" s="396"/>
      <c r="F1834" s="396"/>
      <c r="G1834" s="396"/>
      <c r="K1834" s="370"/>
      <c r="N1834" s="370"/>
    </row>
    <row r="1835" spans="1:14" s="347" customFormat="1" x14ac:dyDescent="0.25">
      <c r="A1835" s="369">
        <v>44314</v>
      </c>
      <c r="B1835" s="347">
        <f>+MONTH(A1835)</f>
        <v>4</v>
      </c>
      <c r="C1835" s="347">
        <v>115</v>
      </c>
      <c r="D1835" s="340" t="str">
        <f>VLOOKUP(C1835,Plan!A:B,2,0)</f>
        <v>Disponible Cali B.Chile</v>
      </c>
      <c r="E1835" s="341">
        <f>+F1835-G1835</f>
        <v>200000</v>
      </c>
      <c r="F1835" s="405">
        <v>200000</v>
      </c>
      <c r="G1835" s="405">
        <v>0</v>
      </c>
      <c r="H1835" t="s">
        <v>1700</v>
      </c>
      <c r="I1835" s="403" t="s">
        <v>131</v>
      </c>
      <c r="K1835" s="370"/>
      <c r="N1835" s="370"/>
    </row>
    <row r="1836" spans="1:14" s="347" customFormat="1" x14ac:dyDescent="0.25">
      <c r="A1836" s="369">
        <f>+A1835</f>
        <v>44314</v>
      </c>
      <c r="B1836" s="347">
        <f>+MONTH(A1836)</f>
        <v>4</v>
      </c>
      <c r="C1836" s="347">
        <v>1217</v>
      </c>
      <c r="D1836" s="340" t="str">
        <f>VLOOKUP(C1836,Plan!A:B,2,0)</f>
        <v>Otros Valores -Oficina y Transferencias (248)</v>
      </c>
      <c r="E1836" s="341">
        <f>+F1836-G1836</f>
        <v>-200000</v>
      </c>
      <c r="F1836" s="405">
        <v>0</v>
      </c>
      <c r="G1836" s="405">
        <f>+F1835</f>
        <v>200000</v>
      </c>
      <c r="H1836" t="str">
        <f>+H1835</f>
        <v>Guillermo Rosende Álvarez / 248</v>
      </c>
      <c r="I1836" s="403" t="s">
        <v>131</v>
      </c>
      <c r="K1836" s="370"/>
      <c r="N1836" s="370"/>
    </row>
    <row r="1837" spans="1:14" s="347" customFormat="1" x14ac:dyDescent="0.25">
      <c r="A1837" s="369"/>
      <c r="E1837" s="396"/>
      <c r="F1837" s="396"/>
      <c r="G1837" s="396"/>
      <c r="K1837" s="370"/>
      <c r="N1837" s="370"/>
    </row>
    <row r="1838" spans="1:14" s="347" customFormat="1" x14ac:dyDescent="0.25">
      <c r="A1838" s="369">
        <v>44314</v>
      </c>
      <c r="B1838" s="347">
        <f>+MONTH(A1838)</f>
        <v>4</v>
      </c>
      <c r="C1838" s="347">
        <v>141</v>
      </c>
      <c r="D1838" s="340" t="str">
        <f>VLOOKUP(C1838,Plan!A:B,2,0)</f>
        <v>Cuentas por Cobrar a Administración</v>
      </c>
      <c r="E1838" s="341">
        <f>+F1838-G1838</f>
        <v>4000000</v>
      </c>
      <c r="F1838" s="405">
        <v>4000000</v>
      </c>
      <c r="G1838" s="405">
        <v>0</v>
      </c>
      <c r="H1838" t="s">
        <v>1397</v>
      </c>
      <c r="I1838" s="403" t="s">
        <v>131</v>
      </c>
      <c r="K1838" s="370"/>
      <c r="N1838" s="370"/>
    </row>
    <row r="1839" spans="1:14" s="347" customFormat="1" x14ac:dyDescent="0.25">
      <c r="A1839" s="369">
        <f>+A1838</f>
        <v>44314</v>
      </c>
      <c r="B1839" s="347">
        <f>+MONTH(A1839)</f>
        <v>4</v>
      </c>
      <c r="C1839" s="347">
        <v>115</v>
      </c>
      <c r="D1839" s="340" t="str">
        <f>VLOOKUP(C1839,Plan!A:B,2,0)</f>
        <v>Disponible Cali B.Chile</v>
      </c>
      <c r="E1839" s="341">
        <f>+F1839-G1839</f>
        <v>-4000000</v>
      </c>
      <c r="F1839" s="405">
        <v>0</v>
      </c>
      <c r="G1839" s="405">
        <f>+F1838</f>
        <v>4000000</v>
      </c>
      <c r="H1839" t="str">
        <f>+H1838</f>
        <v>Traspaso Cta. CALI a Adm</v>
      </c>
      <c r="I1839" s="403" t="s">
        <v>131</v>
      </c>
      <c r="K1839" s="370"/>
      <c r="N1839" s="370"/>
    </row>
    <row r="1840" spans="1:14" s="347" customFormat="1" x14ac:dyDescent="0.25">
      <c r="K1840" s="370"/>
      <c r="N1840" s="370"/>
    </row>
    <row r="1841" spans="1:14" s="347" customFormat="1" x14ac:dyDescent="0.25">
      <c r="A1841" s="369">
        <v>44314</v>
      </c>
      <c r="B1841" s="347">
        <f>+MONTH(A1841)</f>
        <v>4</v>
      </c>
      <c r="C1841" s="347">
        <v>115</v>
      </c>
      <c r="D1841" s="340" t="str">
        <f>VLOOKUP(C1841,Plan!A:B,2,0)</f>
        <v>Disponible Cali B.Chile</v>
      </c>
      <c r="E1841" s="341">
        <f>+F1841-G1841</f>
        <v>60000</v>
      </c>
      <c r="F1841" s="405">
        <v>60000</v>
      </c>
      <c r="G1841" s="405">
        <v>0</v>
      </c>
      <c r="H1841" t="s">
        <v>1042</v>
      </c>
      <c r="I1841" s="403" t="s">
        <v>131</v>
      </c>
      <c r="K1841" s="370"/>
      <c r="N1841" s="370"/>
    </row>
    <row r="1842" spans="1:14" s="347" customFormat="1" x14ac:dyDescent="0.25">
      <c r="A1842" s="369">
        <f>+A1841</f>
        <v>44314</v>
      </c>
      <c r="B1842" s="347">
        <f>+MONTH(A1842)</f>
        <v>4</v>
      </c>
      <c r="C1842" s="347">
        <v>1216</v>
      </c>
      <c r="D1842" s="340" t="str">
        <f>VLOOKUP(C1842,Plan!A:B,2,0)</f>
        <v>Otros Valores Recaudadoras</v>
      </c>
      <c r="E1842" s="341">
        <f>+F1842-G1842</f>
        <v>-60000</v>
      </c>
      <c r="F1842" s="405">
        <v>0</v>
      </c>
      <c r="G1842" s="405">
        <f>+F1841</f>
        <v>60000</v>
      </c>
      <c r="H1842" t="str">
        <f>+H1841</f>
        <v>José Tomás Poblete Jara / 248</v>
      </c>
      <c r="I1842" s="403" t="s">
        <v>131</v>
      </c>
      <c r="K1842" s="370"/>
      <c r="N1842" s="370"/>
    </row>
    <row r="1843" spans="1:14" s="347" customFormat="1" x14ac:dyDescent="0.25">
      <c r="A1843" s="369"/>
      <c r="E1843" s="396"/>
      <c r="F1843" s="396"/>
      <c r="G1843" s="396"/>
      <c r="K1843" s="370"/>
      <c r="N1843" s="370"/>
    </row>
    <row r="1844" spans="1:14" s="347" customFormat="1" x14ac:dyDescent="0.25">
      <c r="A1844" s="369">
        <v>44314</v>
      </c>
      <c r="B1844" s="347">
        <f>+MONTH(A1844)</f>
        <v>4</v>
      </c>
      <c r="C1844" s="347">
        <v>115</v>
      </c>
      <c r="D1844" s="340" t="str">
        <f>VLOOKUP(C1844,Plan!A:B,2,0)</f>
        <v>Disponible Cali B.Chile</v>
      </c>
      <c r="E1844" s="341">
        <f>+F1844-G1844</f>
        <v>73000</v>
      </c>
      <c r="F1844" s="405">
        <v>73000</v>
      </c>
      <c r="G1844" s="405">
        <v>0</v>
      </c>
      <c r="H1844" t="s">
        <v>1050</v>
      </c>
      <c r="I1844" s="403" t="s">
        <v>131</v>
      </c>
      <c r="K1844" s="370"/>
      <c r="N1844" s="370"/>
    </row>
    <row r="1845" spans="1:14" s="347" customFormat="1" x14ac:dyDescent="0.25">
      <c r="A1845" s="369">
        <f>+A1844</f>
        <v>44314</v>
      </c>
      <c r="B1845" s="347">
        <f>+MONTH(A1845)</f>
        <v>4</v>
      </c>
      <c r="C1845" s="347">
        <v>3210</v>
      </c>
      <c r="D1845" s="340" t="str">
        <f>VLOOKUP(C1845,Plan!A:B,2,0)</f>
        <v>Donacion Construccion</v>
      </c>
      <c r="E1845" s="341">
        <f>+F1845-G1845</f>
        <v>-73000</v>
      </c>
      <c r="F1845" s="405">
        <v>0</v>
      </c>
      <c r="G1845" s="405">
        <f>+F1844</f>
        <v>73000</v>
      </c>
      <c r="H1845" t="str">
        <f>+H1844</f>
        <v>Matías Silva Olmos / Azul</v>
      </c>
      <c r="I1845" s="403" t="s">
        <v>131</v>
      </c>
      <c r="K1845" s="370"/>
      <c r="N1845" s="370"/>
    </row>
    <row r="1846" spans="1:14" s="347" customFormat="1" x14ac:dyDescent="0.25">
      <c r="A1846" s="369"/>
      <c r="E1846" s="396"/>
      <c r="F1846" s="396"/>
      <c r="G1846" s="396"/>
      <c r="K1846" s="370"/>
      <c r="N1846" s="370"/>
    </row>
    <row r="1847" spans="1:14" s="347" customFormat="1" x14ac:dyDescent="0.25">
      <c r="A1847" s="369">
        <v>44314</v>
      </c>
      <c r="B1847" s="347">
        <f>+MONTH(A1847)</f>
        <v>4</v>
      </c>
      <c r="C1847" s="347">
        <v>115</v>
      </c>
      <c r="D1847" s="340" t="str">
        <f>VLOOKUP(C1847,Plan!A:B,2,0)</f>
        <v>Disponible Cali B.Chile</v>
      </c>
      <c r="E1847" s="341">
        <f>+F1847-G1847</f>
        <v>20000</v>
      </c>
      <c r="F1847" s="405">
        <v>20000</v>
      </c>
      <c r="G1847" s="405">
        <v>0</v>
      </c>
      <c r="H1847" t="s">
        <v>1046</v>
      </c>
      <c r="I1847" s="403" t="s">
        <v>131</v>
      </c>
      <c r="K1847" s="370"/>
      <c r="N1847" s="370"/>
    </row>
    <row r="1848" spans="1:14" s="347" customFormat="1" x14ac:dyDescent="0.25">
      <c r="A1848" s="369">
        <f>+A1847</f>
        <v>44314</v>
      </c>
      <c r="B1848" s="347">
        <f>+MONTH(A1848)</f>
        <v>4</v>
      </c>
      <c r="C1848" s="347">
        <v>216</v>
      </c>
      <c r="D1848" s="340" t="str">
        <f>VLOOKUP(C1848,Plan!A:B,2,0)</f>
        <v>Cuenta por Pagar a Administración Colectas</v>
      </c>
      <c r="E1848" s="341">
        <f>+F1848-G1848</f>
        <v>-20000</v>
      </c>
      <c r="F1848" s="405">
        <v>0</v>
      </c>
      <c r="G1848" s="405">
        <f>+F1847</f>
        <v>20000</v>
      </c>
      <c r="H1848" t="str">
        <f>+H1847</f>
        <v>Colecta Jorge Claude</v>
      </c>
      <c r="I1848" s="403" t="s">
        <v>131</v>
      </c>
      <c r="K1848" s="370"/>
      <c r="N1848" s="370"/>
    </row>
    <row r="1849" spans="1:14" s="347" customFormat="1" x14ac:dyDescent="0.25">
      <c r="A1849" s="369"/>
      <c r="E1849" s="396"/>
      <c r="F1849" s="396"/>
      <c r="G1849" s="396"/>
      <c r="K1849" s="370"/>
      <c r="N1849" s="370"/>
    </row>
    <row r="1850" spans="1:14" s="347" customFormat="1" x14ac:dyDescent="0.25">
      <c r="A1850" s="369">
        <v>44314</v>
      </c>
      <c r="B1850" s="347">
        <f>+MONTH(A1850)</f>
        <v>4</v>
      </c>
      <c r="C1850" s="347">
        <v>115</v>
      </c>
      <c r="D1850" s="340" t="str">
        <f>VLOOKUP(C1850,Plan!A:B,2,0)</f>
        <v>Disponible Cali B.Chile</v>
      </c>
      <c r="E1850" s="341">
        <f>+F1850-G1850</f>
        <v>10000</v>
      </c>
      <c r="F1850" s="405">
        <v>10000</v>
      </c>
      <c r="G1850" s="405">
        <v>0</v>
      </c>
      <c r="H1850" t="s">
        <v>1045</v>
      </c>
      <c r="I1850" s="403" t="s">
        <v>131</v>
      </c>
      <c r="K1850" s="370"/>
      <c r="N1850" s="370"/>
    </row>
    <row r="1851" spans="1:14" s="347" customFormat="1" x14ac:dyDescent="0.25">
      <c r="A1851" s="369">
        <f>+A1850</f>
        <v>44314</v>
      </c>
      <c r="B1851" s="347">
        <f>+MONTH(A1851)</f>
        <v>4</v>
      </c>
      <c r="C1851" s="347">
        <v>1222</v>
      </c>
      <c r="D1851" s="340" t="str">
        <f>VLOOKUP(C1851,Plan!A:B,2,0)</f>
        <v>Otros Valores -Oficina y Transferencias (249)</v>
      </c>
      <c r="E1851" s="341">
        <f>+F1851-G1851</f>
        <v>-10000</v>
      </c>
      <c r="F1851" s="405">
        <v>0</v>
      </c>
      <c r="G1851" s="405">
        <f>+F1850</f>
        <v>10000</v>
      </c>
      <c r="H1851" t="str">
        <f>+H1850</f>
        <v>Isabel Margarita Guarda Larrañaga/249</v>
      </c>
      <c r="I1851" s="403" t="s">
        <v>131</v>
      </c>
      <c r="K1851" s="370"/>
      <c r="N1851" s="370"/>
    </row>
    <row r="1852" spans="1:14" s="347" customFormat="1" x14ac:dyDescent="0.25">
      <c r="A1852" s="369"/>
      <c r="E1852" s="396"/>
      <c r="F1852" s="396"/>
      <c r="G1852" s="396"/>
      <c r="K1852" s="370"/>
      <c r="N1852" s="370"/>
    </row>
    <row r="1853" spans="1:14" s="347" customFormat="1" x14ac:dyDescent="0.25">
      <c r="A1853" s="369">
        <v>44314</v>
      </c>
      <c r="B1853" s="347">
        <f>+MONTH(A1853)</f>
        <v>4</v>
      </c>
      <c r="C1853" s="347">
        <v>115</v>
      </c>
      <c r="D1853" s="340" t="str">
        <f>VLOOKUP(C1853,Plan!A:B,2,0)</f>
        <v>Disponible Cali B.Chile</v>
      </c>
      <c r="E1853" s="341">
        <f>+F1853-G1853</f>
        <v>125000</v>
      </c>
      <c r="F1853" s="405">
        <v>125000</v>
      </c>
      <c r="G1853" s="405">
        <v>0</v>
      </c>
      <c r="H1853" t="s">
        <v>967</v>
      </c>
      <c r="I1853" s="403" t="s">
        <v>131</v>
      </c>
      <c r="K1853" s="370"/>
      <c r="N1853" s="370"/>
    </row>
    <row r="1854" spans="1:14" s="347" customFormat="1" x14ac:dyDescent="0.25">
      <c r="A1854" s="369">
        <f>+A1853</f>
        <v>44314</v>
      </c>
      <c r="B1854" s="347">
        <f>+MONTH(A1854)</f>
        <v>4</v>
      </c>
      <c r="C1854" s="347">
        <v>3210</v>
      </c>
      <c r="D1854" s="340" t="str">
        <f>VLOOKUP(C1854,Plan!A:B,2,0)</f>
        <v>Donacion Construccion</v>
      </c>
      <c r="E1854" s="341">
        <f>+F1854-G1854</f>
        <v>-125000</v>
      </c>
      <c r="F1854" s="405">
        <v>0</v>
      </c>
      <c r="G1854" s="405">
        <f>+F1853</f>
        <v>125000</v>
      </c>
      <c r="H1854" t="str">
        <f>+H1853</f>
        <v>Henry Comber Sigall / Azul</v>
      </c>
      <c r="I1854" s="403" t="s">
        <v>131</v>
      </c>
      <c r="K1854" s="370"/>
      <c r="N1854" s="370"/>
    </row>
    <row r="1855" spans="1:14" s="347" customFormat="1" x14ac:dyDescent="0.25">
      <c r="A1855" s="369"/>
      <c r="E1855" s="396"/>
      <c r="F1855" s="396"/>
      <c r="G1855" s="396"/>
      <c r="K1855" s="370"/>
      <c r="N1855" s="370"/>
    </row>
    <row r="1856" spans="1:14" s="347" customFormat="1" x14ac:dyDescent="0.25">
      <c r="A1856" s="369">
        <v>44314</v>
      </c>
      <c r="B1856" s="347">
        <f>+MONTH(A1856)</f>
        <v>4</v>
      </c>
      <c r="C1856" s="347">
        <v>115</v>
      </c>
      <c r="D1856" s="340" t="str">
        <f>VLOOKUP(C1856,Plan!A:B,2,0)</f>
        <v>Disponible Cali B.Chile</v>
      </c>
      <c r="E1856" s="341">
        <f>+F1856-G1856</f>
        <v>40000</v>
      </c>
      <c r="F1856" s="405">
        <v>40000</v>
      </c>
      <c r="G1856" s="405">
        <v>0</v>
      </c>
      <c r="H1856" t="s">
        <v>787</v>
      </c>
      <c r="I1856" s="403" t="s">
        <v>131</v>
      </c>
      <c r="K1856" s="370"/>
      <c r="N1856" s="370"/>
    </row>
    <row r="1857" spans="1:14" s="347" customFormat="1" x14ac:dyDescent="0.25">
      <c r="A1857" s="369">
        <f>+A1856</f>
        <v>44314</v>
      </c>
      <c r="B1857" s="347">
        <f>+MONTH(A1857)</f>
        <v>4</v>
      </c>
      <c r="C1857" s="347">
        <v>1222</v>
      </c>
      <c r="D1857" s="340" t="str">
        <f>VLOOKUP(C1857,Plan!A:B,2,0)</f>
        <v>Otros Valores -Oficina y Transferencias (249)</v>
      </c>
      <c r="E1857" s="341">
        <f>+F1857-G1857</f>
        <v>-40000</v>
      </c>
      <c r="F1857" s="405">
        <v>0</v>
      </c>
      <c r="G1857" s="405">
        <f>+F1856</f>
        <v>40000</v>
      </c>
      <c r="H1857" t="str">
        <f>+H1856</f>
        <v>Juan Pablo Ríos Ross / 249</v>
      </c>
      <c r="I1857" s="403" t="s">
        <v>131</v>
      </c>
      <c r="K1857" s="370"/>
      <c r="N1857" s="370"/>
    </row>
    <row r="1858" spans="1:14" s="347" customFormat="1" x14ac:dyDescent="0.25">
      <c r="A1858" s="369"/>
      <c r="E1858" s="396"/>
      <c r="F1858" s="396"/>
      <c r="G1858" s="396"/>
      <c r="K1858" s="370"/>
      <c r="N1858" s="370"/>
    </row>
    <row r="1859" spans="1:14" s="347" customFormat="1" x14ac:dyDescent="0.25">
      <c r="A1859" s="369">
        <v>44314</v>
      </c>
      <c r="B1859" s="347">
        <f>+MONTH(A1859)</f>
        <v>4</v>
      </c>
      <c r="C1859" s="347">
        <v>115</v>
      </c>
      <c r="D1859" s="340" t="str">
        <f>VLOOKUP(C1859,Plan!A:B,2,0)</f>
        <v>Disponible Cali B.Chile</v>
      </c>
      <c r="E1859" s="341">
        <f>+F1859-G1859</f>
        <v>30000</v>
      </c>
      <c r="F1859" s="405">
        <v>30000</v>
      </c>
      <c r="G1859" s="405">
        <v>0</v>
      </c>
      <c r="H1859" t="s">
        <v>970</v>
      </c>
      <c r="I1859" s="403" t="s">
        <v>131</v>
      </c>
      <c r="K1859" s="370"/>
      <c r="N1859" s="370"/>
    </row>
    <row r="1860" spans="1:14" s="347" customFormat="1" x14ac:dyDescent="0.25">
      <c r="A1860" s="369">
        <f>+A1859</f>
        <v>44314</v>
      </c>
      <c r="B1860" s="347">
        <f>+MONTH(A1860)</f>
        <v>4</v>
      </c>
      <c r="C1860" s="347">
        <v>1222</v>
      </c>
      <c r="D1860" s="340" t="str">
        <f>VLOOKUP(C1860,Plan!A:B,2,0)</f>
        <v>Otros Valores -Oficina y Transferencias (249)</v>
      </c>
      <c r="E1860" s="341">
        <f>+F1860-G1860</f>
        <v>-30000</v>
      </c>
      <c r="F1860" s="405">
        <v>0</v>
      </c>
      <c r="G1860" s="405">
        <f>+F1859</f>
        <v>30000</v>
      </c>
      <c r="H1860" t="str">
        <f>+H1859</f>
        <v>Horacio Cartagena Fagerstrom/249</v>
      </c>
      <c r="I1860" s="403" t="s">
        <v>131</v>
      </c>
      <c r="K1860" s="370"/>
      <c r="N1860" s="370"/>
    </row>
    <row r="1861" spans="1:14" s="347" customFormat="1" x14ac:dyDescent="0.25">
      <c r="A1861" s="369"/>
      <c r="E1861" s="396"/>
      <c r="F1861" s="396"/>
      <c r="G1861" s="396"/>
      <c r="K1861" s="370"/>
      <c r="N1861" s="370"/>
    </row>
    <row r="1862" spans="1:14" s="347" customFormat="1" x14ac:dyDescent="0.25">
      <c r="A1862" s="369">
        <v>44314</v>
      </c>
      <c r="B1862" s="347">
        <f>+MONTH(A1862)</f>
        <v>4</v>
      </c>
      <c r="C1862" s="347">
        <v>115</v>
      </c>
      <c r="D1862" s="340" t="str">
        <f>VLOOKUP(C1862,Plan!A:B,2,0)</f>
        <v>Disponible Cali B.Chile</v>
      </c>
      <c r="E1862" s="341">
        <f>+F1862-G1862</f>
        <v>100000</v>
      </c>
      <c r="F1862" s="405">
        <v>100000</v>
      </c>
      <c r="G1862" s="405">
        <v>0</v>
      </c>
      <c r="H1862" t="s">
        <v>1701</v>
      </c>
      <c r="I1862" s="403" t="s">
        <v>131</v>
      </c>
      <c r="K1862" s="370"/>
      <c r="N1862" s="370"/>
    </row>
    <row r="1863" spans="1:14" s="347" customFormat="1" x14ac:dyDescent="0.25">
      <c r="A1863" s="369">
        <f>+A1862</f>
        <v>44314</v>
      </c>
      <c r="B1863" s="347">
        <f>+MONTH(A1863)</f>
        <v>4</v>
      </c>
      <c r="C1863" s="347">
        <v>3210</v>
      </c>
      <c r="D1863" s="340" t="str">
        <f>VLOOKUP(C1863,Plan!A:B,2,0)</f>
        <v>Donacion Construccion</v>
      </c>
      <c r="E1863" s="341">
        <f>+F1863-G1863</f>
        <v>-100000</v>
      </c>
      <c r="F1863" s="405">
        <v>0</v>
      </c>
      <c r="G1863" s="405">
        <f>+F1862</f>
        <v>100000</v>
      </c>
      <c r="H1863" t="str">
        <f>+H1862</f>
        <v>María Raquel Domeyco Matte / Azul</v>
      </c>
      <c r="I1863" s="403" t="s">
        <v>131</v>
      </c>
      <c r="K1863" s="370"/>
      <c r="N1863" s="370"/>
    </row>
    <row r="1864" spans="1:14" s="347" customFormat="1" x14ac:dyDescent="0.25">
      <c r="A1864" s="369"/>
      <c r="E1864" s="396"/>
      <c r="F1864" s="396"/>
      <c r="G1864" s="396"/>
      <c r="K1864" s="370"/>
      <c r="N1864" s="370"/>
    </row>
    <row r="1865" spans="1:14" s="347" customFormat="1" x14ac:dyDescent="0.25">
      <c r="A1865" s="369">
        <v>44314</v>
      </c>
      <c r="B1865" s="347">
        <f>+MONTH(A1865)</f>
        <v>4</v>
      </c>
      <c r="C1865" s="347">
        <v>115</v>
      </c>
      <c r="D1865" s="340" t="str">
        <f>VLOOKUP(C1865,Plan!A:B,2,0)</f>
        <v>Disponible Cali B.Chile</v>
      </c>
      <c r="E1865" s="341">
        <f>+F1865-G1865</f>
        <v>25000</v>
      </c>
      <c r="F1865" s="405">
        <v>25000</v>
      </c>
      <c r="G1865" s="405">
        <v>0</v>
      </c>
      <c r="H1865" t="s">
        <v>969</v>
      </c>
      <c r="I1865" s="403" t="s">
        <v>131</v>
      </c>
      <c r="K1865" s="370"/>
      <c r="N1865" s="370"/>
    </row>
    <row r="1866" spans="1:14" s="347" customFormat="1" x14ac:dyDescent="0.25">
      <c r="A1866" s="369">
        <f>+A1865</f>
        <v>44314</v>
      </c>
      <c r="B1866" s="347">
        <f>+MONTH(A1866)</f>
        <v>4</v>
      </c>
      <c r="C1866" s="347">
        <v>1217</v>
      </c>
      <c r="D1866" s="340" t="str">
        <f>VLOOKUP(C1866,Plan!A:B,2,0)</f>
        <v>Otros Valores -Oficina y Transferencias (248)</v>
      </c>
      <c r="E1866" s="341">
        <f>+F1866-G1866</f>
        <v>-25000</v>
      </c>
      <c r="F1866" s="405">
        <v>0</v>
      </c>
      <c r="G1866" s="405">
        <f>+F1865</f>
        <v>25000</v>
      </c>
      <c r="H1866" t="str">
        <f>+H1865</f>
        <v>José L. Barros / 248</v>
      </c>
      <c r="I1866" s="403" t="s">
        <v>131</v>
      </c>
      <c r="K1866" s="370"/>
      <c r="N1866" s="370"/>
    </row>
    <row r="1867" spans="1:14" s="347" customFormat="1" x14ac:dyDescent="0.25">
      <c r="A1867" s="369"/>
      <c r="E1867" s="396"/>
      <c r="F1867" s="396"/>
      <c r="G1867" s="396"/>
      <c r="K1867" s="370"/>
      <c r="N1867" s="370"/>
    </row>
    <row r="1868" spans="1:14" s="347" customFormat="1" x14ac:dyDescent="0.25">
      <c r="A1868" s="369">
        <v>44314</v>
      </c>
      <c r="B1868" s="347">
        <f>+MONTH(A1868)</f>
        <v>4</v>
      </c>
      <c r="C1868" s="347">
        <v>115</v>
      </c>
      <c r="D1868" s="340" t="str">
        <f>VLOOKUP(C1868,Plan!A:B,2,0)</f>
        <v>Disponible Cali B.Chile</v>
      </c>
      <c r="E1868" s="341">
        <f>+F1868-G1868</f>
        <v>14000</v>
      </c>
      <c r="F1868" s="405">
        <v>14000</v>
      </c>
      <c r="G1868" s="405">
        <v>0</v>
      </c>
      <c r="H1868" s="338" t="s">
        <v>1687</v>
      </c>
      <c r="I1868" s="403" t="s">
        <v>131</v>
      </c>
      <c r="K1868" s="370"/>
      <c r="N1868" s="370"/>
    </row>
    <row r="1869" spans="1:14" s="347" customFormat="1" x14ac:dyDescent="0.25">
      <c r="A1869" s="369">
        <f>+A1868</f>
        <v>44314</v>
      </c>
      <c r="B1869" s="347">
        <f>+MONTH(A1869)</f>
        <v>4</v>
      </c>
      <c r="C1869" s="347">
        <v>1216</v>
      </c>
      <c r="D1869" s="340" t="str">
        <f>VLOOKUP(C1869,Plan!A:B,2,0)</f>
        <v>Otros Valores Recaudadoras</v>
      </c>
      <c r="E1869" s="341">
        <f>+F1869-G1869</f>
        <v>-14000</v>
      </c>
      <c r="F1869" s="405">
        <v>0</v>
      </c>
      <c r="G1869" s="405">
        <f>+F1868</f>
        <v>14000</v>
      </c>
      <c r="H1869" s="338" t="s">
        <v>1687</v>
      </c>
      <c r="I1869" s="403" t="s">
        <v>131</v>
      </c>
      <c r="K1869" s="370"/>
      <c r="N1869" s="370"/>
    </row>
    <row r="1870" spans="1:14" s="347" customFormat="1" x14ac:dyDescent="0.25">
      <c r="A1870" s="369"/>
      <c r="E1870" s="396"/>
      <c r="F1870" s="396"/>
      <c r="G1870" s="396"/>
      <c r="K1870" s="370"/>
      <c r="N1870" s="370"/>
    </row>
    <row r="1871" spans="1:14" s="347" customFormat="1" x14ac:dyDescent="0.25">
      <c r="A1871" s="369">
        <v>44314</v>
      </c>
      <c r="B1871" s="347">
        <f>+MONTH(A1871)</f>
        <v>4</v>
      </c>
      <c r="C1871" s="347">
        <v>115</v>
      </c>
      <c r="D1871" s="340" t="str">
        <f>VLOOKUP(C1871,Plan!A:B,2,0)</f>
        <v>Disponible Cali B.Chile</v>
      </c>
      <c r="E1871" s="341">
        <f>+F1871-G1871</f>
        <v>9490559</v>
      </c>
      <c r="F1871" s="405">
        <v>9490559</v>
      </c>
      <c r="G1871" s="405">
        <v>0</v>
      </c>
      <c r="H1871" t="s">
        <v>1702</v>
      </c>
      <c r="I1871" s="403" t="s">
        <v>131</v>
      </c>
      <c r="K1871" s="370"/>
      <c r="N1871" s="370"/>
    </row>
    <row r="1872" spans="1:14" s="347" customFormat="1" x14ac:dyDescent="0.25">
      <c r="A1872" s="369">
        <f>+A1871</f>
        <v>44314</v>
      </c>
      <c r="B1872" s="347">
        <f>+MONTH(A1872)</f>
        <v>4</v>
      </c>
      <c r="C1872" s="347">
        <v>1218</v>
      </c>
      <c r="D1872" s="340" t="str">
        <f>VLOOKUP(C1872,Plan!A:B,2,0)</f>
        <v>Otros Valores Tarjeta de Credito</v>
      </c>
      <c r="E1872" s="341">
        <f>+F1872-G1872</f>
        <v>-9490559</v>
      </c>
      <c r="F1872" s="405">
        <v>0</v>
      </c>
      <c r="G1872" s="405">
        <f>+F1871</f>
        <v>9490559</v>
      </c>
      <c r="H1872" t="str">
        <f>+H1871</f>
        <v>Abono Transbank 248 y 249 abril 2021</v>
      </c>
      <c r="I1872" s="403" t="s">
        <v>131</v>
      </c>
      <c r="K1872" s="370"/>
      <c r="N1872" s="370"/>
    </row>
    <row r="1873" spans="1:14" s="347" customFormat="1" x14ac:dyDescent="0.25">
      <c r="A1873" s="369"/>
      <c r="E1873" s="396"/>
      <c r="F1873" s="396"/>
      <c r="G1873" s="396"/>
      <c r="K1873" s="370"/>
      <c r="N1873" s="370"/>
    </row>
    <row r="1874" spans="1:14" s="347" customFormat="1" x14ac:dyDescent="0.25">
      <c r="A1874" s="369">
        <v>44314</v>
      </c>
      <c r="B1874" s="347">
        <f>+MONTH(A1874)</f>
        <v>4</v>
      </c>
      <c r="C1874" s="347">
        <v>115</v>
      </c>
      <c r="D1874" s="340" t="str">
        <f>VLOOKUP(C1874,Plan!A:B,2,0)</f>
        <v>Disponible Cali B.Chile</v>
      </c>
      <c r="E1874" s="341">
        <f>+F1874-G1874</f>
        <v>462431</v>
      </c>
      <c r="F1874" s="405">
        <v>462431</v>
      </c>
      <c r="G1874" s="405">
        <v>0</v>
      </c>
      <c r="H1874" t="s">
        <v>1702</v>
      </c>
      <c r="I1874" s="403" t="s">
        <v>131</v>
      </c>
      <c r="K1874" s="370"/>
      <c r="N1874" s="370"/>
    </row>
    <row r="1875" spans="1:14" s="347" customFormat="1" x14ac:dyDescent="0.25">
      <c r="A1875" s="369">
        <f>+A1874</f>
        <v>44314</v>
      </c>
      <c r="B1875" s="347">
        <f>+MONTH(A1875)</f>
        <v>4</v>
      </c>
      <c r="C1875" s="347">
        <v>1218</v>
      </c>
      <c r="D1875" s="340" t="str">
        <f>VLOOKUP(C1875,Plan!A:B,2,0)</f>
        <v>Otros Valores Tarjeta de Credito</v>
      </c>
      <c r="E1875" s="341">
        <f>+F1875-G1875</f>
        <v>-462431</v>
      </c>
      <c r="F1875" s="405">
        <v>0</v>
      </c>
      <c r="G1875" s="405">
        <f>+F1874</f>
        <v>462431</v>
      </c>
      <c r="H1875" t="str">
        <f>+H1874</f>
        <v>Abono Transbank 248 y 249 abril 2021</v>
      </c>
      <c r="I1875" s="403" t="s">
        <v>131</v>
      </c>
      <c r="K1875" s="370"/>
      <c r="N1875" s="370"/>
    </row>
    <row r="1876" spans="1:14" s="347" customFormat="1" x14ac:dyDescent="0.25">
      <c r="A1876" s="369"/>
      <c r="E1876" s="396"/>
      <c r="F1876" s="396"/>
      <c r="G1876" s="396"/>
      <c r="K1876" s="370"/>
      <c r="N1876" s="370"/>
    </row>
    <row r="1877" spans="1:14" s="347" customFormat="1" x14ac:dyDescent="0.25">
      <c r="A1877" s="369">
        <v>44315</v>
      </c>
      <c r="B1877" s="347">
        <f>+MONTH(A1877)</f>
        <v>4</v>
      </c>
      <c r="C1877" s="347">
        <v>115</v>
      </c>
      <c r="D1877" s="340" t="str">
        <f>VLOOKUP(C1877,Plan!A:B,2,0)</f>
        <v>Disponible Cali B.Chile</v>
      </c>
      <c r="E1877" s="341">
        <f>+F1877-G1877</f>
        <v>40000</v>
      </c>
      <c r="F1877" s="405">
        <v>40000</v>
      </c>
      <c r="G1877" s="405">
        <v>0</v>
      </c>
      <c r="H1877" t="s">
        <v>1051</v>
      </c>
      <c r="I1877" s="403" t="s">
        <v>131</v>
      </c>
      <c r="K1877" s="370"/>
      <c r="N1877" s="370"/>
    </row>
    <row r="1878" spans="1:14" s="347" customFormat="1" x14ac:dyDescent="0.25">
      <c r="A1878" s="369">
        <f>+A1877</f>
        <v>44315</v>
      </c>
      <c r="B1878" s="347">
        <f>+MONTH(A1878)</f>
        <v>4</v>
      </c>
      <c r="C1878" s="347">
        <v>3210</v>
      </c>
      <c r="D1878" s="340" t="str">
        <f>VLOOKUP(C1878,Plan!A:B,2,0)</f>
        <v>Donacion Construccion</v>
      </c>
      <c r="E1878" s="341">
        <f>+F1878-G1878</f>
        <v>-40000</v>
      </c>
      <c r="F1878" s="405">
        <v>0</v>
      </c>
      <c r="G1878" s="405">
        <f>+F1877</f>
        <v>40000</v>
      </c>
      <c r="H1878" t="str">
        <f>+H1877</f>
        <v>Pedro Vicuña Illanes / Azul</v>
      </c>
      <c r="I1878" s="403" t="s">
        <v>131</v>
      </c>
      <c r="K1878" s="370"/>
      <c r="N1878" s="370"/>
    </row>
    <row r="1879" spans="1:14" s="347" customFormat="1" x14ac:dyDescent="0.25">
      <c r="A1879" s="369"/>
      <c r="E1879" s="396"/>
      <c r="F1879" s="396"/>
      <c r="G1879" s="396"/>
      <c r="K1879" s="370"/>
      <c r="N1879" s="370"/>
    </row>
    <row r="1880" spans="1:14" s="347" customFormat="1" x14ac:dyDescent="0.25">
      <c r="A1880" s="369">
        <v>44315</v>
      </c>
      <c r="B1880" s="347">
        <f>+MONTH(A1880)</f>
        <v>4</v>
      </c>
      <c r="C1880" s="347">
        <v>115</v>
      </c>
      <c r="D1880" s="340" t="str">
        <f>VLOOKUP(C1880,Plan!A:B,2,0)</f>
        <v>Disponible Cali B.Chile</v>
      </c>
      <c r="E1880" s="341">
        <f>+F1880-G1880</f>
        <v>60000</v>
      </c>
      <c r="F1880" s="405">
        <v>60000</v>
      </c>
      <c r="G1880" s="405">
        <v>0</v>
      </c>
      <c r="H1880" t="s">
        <v>1047</v>
      </c>
      <c r="I1880" s="403" t="s">
        <v>131</v>
      </c>
      <c r="K1880" s="370"/>
      <c r="N1880" s="370"/>
    </row>
    <row r="1881" spans="1:14" s="347" customFormat="1" x14ac:dyDescent="0.25">
      <c r="A1881" s="369">
        <f>+A1880</f>
        <v>44315</v>
      </c>
      <c r="B1881" s="347">
        <f>+MONTH(A1881)</f>
        <v>4</v>
      </c>
      <c r="C1881" s="347">
        <v>1222</v>
      </c>
      <c r="D1881" s="340" t="str">
        <f>VLOOKUP(C1881,Plan!A:B,2,0)</f>
        <v>Otros Valores -Oficina y Transferencias (249)</v>
      </c>
      <c r="E1881" s="341">
        <f>+F1881-G1881</f>
        <v>-60000</v>
      </c>
      <c r="F1881" s="405">
        <v>0</v>
      </c>
      <c r="G1881" s="405">
        <f>+F1880</f>
        <v>60000</v>
      </c>
      <c r="H1881" t="str">
        <f>+H1880</f>
        <v>Carlos Lecaros Price / 249</v>
      </c>
      <c r="I1881" s="403" t="s">
        <v>131</v>
      </c>
      <c r="K1881" s="370"/>
      <c r="N1881" s="370"/>
    </row>
    <row r="1882" spans="1:14" s="347" customFormat="1" x14ac:dyDescent="0.25">
      <c r="A1882" s="369"/>
      <c r="E1882" s="396"/>
      <c r="F1882" s="396"/>
      <c r="G1882" s="396"/>
      <c r="K1882" s="370"/>
      <c r="N1882" s="370"/>
    </row>
    <row r="1883" spans="1:14" s="347" customFormat="1" x14ac:dyDescent="0.25">
      <c r="A1883" s="369">
        <v>44315</v>
      </c>
      <c r="B1883" s="347">
        <f>+MONTH(A1883)</f>
        <v>4</v>
      </c>
      <c r="C1883" s="347">
        <v>115</v>
      </c>
      <c r="D1883" s="340" t="str">
        <f>VLOOKUP(C1883,Plan!A:B,2,0)</f>
        <v>Disponible Cali B.Chile</v>
      </c>
      <c r="E1883" s="341">
        <f>+F1883-G1883</f>
        <v>22000</v>
      </c>
      <c r="F1883" s="405">
        <v>22000</v>
      </c>
      <c r="G1883" s="405">
        <v>0</v>
      </c>
      <c r="H1883" t="s">
        <v>1703</v>
      </c>
      <c r="I1883" s="403" t="s">
        <v>131</v>
      </c>
      <c r="K1883" s="370"/>
      <c r="N1883" s="370"/>
    </row>
    <row r="1884" spans="1:14" s="347" customFormat="1" x14ac:dyDescent="0.25">
      <c r="A1884" s="369">
        <f>+A1883</f>
        <v>44315</v>
      </c>
      <c r="B1884" s="347">
        <f>+MONTH(A1884)</f>
        <v>4</v>
      </c>
      <c r="C1884" s="347">
        <v>1222</v>
      </c>
      <c r="D1884" s="340" t="str">
        <f>VLOOKUP(C1884,Plan!A:B,2,0)</f>
        <v>Otros Valores -Oficina y Transferencias (249)</v>
      </c>
      <c r="E1884" s="341">
        <f>+F1884-G1884</f>
        <v>-22000</v>
      </c>
      <c r="F1884" s="405">
        <v>0</v>
      </c>
      <c r="G1884" s="405">
        <f>+F1883</f>
        <v>22000</v>
      </c>
      <c r="H1884" t="str">
        <f>+H1883</f>
        <v>Arantxa Ereche Tuzzini/249</v>
      </c>
      <c r="I1884" s="403" t="s">
        <v>131</v>
      </c>
      <c r="K1884" s="370"/>
      <c r="N1884" s="370"/>
    </row>
    <row r="1885" spans="1:14" s="347" customFormat="1" x14ac:dyDescent="0.25">
      <c r="A1885" s="369"/>
      <c r="E1885" s="396"/>
      <c r="F1885" s="396"/>
      <c r="G1885" s="396"/>
      <c r="K1885" s="370"/>
      <c r="N1885" s="370"/>
    </row>
    <row r="1886" spans="1:14" s="347" customFormat="1" x14ac:dyDescent="0.25">
      <c r="A1886" s="369">
        <v>44315</v>
      </c>
      <c r="B1886" s="347">
        <f>+MONTH(A1886)</f>
        <v>4</v>
      </c>
      <c r="C1886" s="347">
        <v>115</v>
      </c>
      <c r="D1886" s="340" t="str">
        <f>VLOOKUP(C1886,Plan!A:B,2,0)</f>
        <v>Disponible Cali B.Chile</v>
      </c>
      <c r="E1886" s="341">
        <f>+F1886-G1886</f>
        <v>50000</v>
      </c>
      <c r="F1886" s="405">
        <v>50000</v>
      </c>
      <c r="G1886" s="405">
        <v>0</v>
      </c>
      <c r="H1886" t="s">
        <v>1704</v>
      </c>
      <c r="I1886" s="403" t="s">
        <v>131</v>
      </c>
      <c r="K1886" s="370"/>
      <c r="N1886" s="370"/>
    </row>
    <row r="1887" spans="1:14" s="347" customFormat="1" x14ac:dyDescent="0.25">
      <c r="A1887" s="369">
        <f>+A1886</f>
        <v>44315</v>
      </c>
      <c r="B1887" s="347">
        <f>+MONTH(A1887)</f>
        <v>4</v>
      </c>
      <c r="C1887" s="347">
        <v>216</v>
      </c>
      <c r="D1887" s="340" t="str">
        <f>VLOOKUP(C1887,Plan!A:B,2,0)</f>
        <v>Cuenta por Pagar a Administración Colectas</v>
      </c>
      <c r="E1887" s="341">
        <f>+F1887-G1887</f>
        <v>-50000</v>
      </c>
      <c r="F1887" s="405">
        <v>0</v>
      </c>
      <c r="G1887" s="405">
        <f>+F1886</f>
        <v>50000</v>
      </c>
      <c r="H1887" t="str">
        <f>+H1886</f>
        <v>Colecta Gustavo Tocornal R-T</v>
      </c>
      <c r="I1887" s="403" t="s">
        <v>131</v>
      </c>
      <c r="K1887" s="370"/>
      <c r="N1887" s="370"/>
    </row>
    <row r="1888" spans="1:14" s="347" customFormat="1" x14ac:dyDescent="0.25">
      <c r="A1888" s="369"/>
      <c r="E1888" s="396"/>
      <c r="F1888" s="396"/>
      <c r="G1888" s="396"/>
      <c r="K1888" s="370"/>
      <c r="N1888" s="370"/>
    </row>
    <row r="1889" spans="1:14" s="347" customFormat="1" x14ac:dyDescent="0.25">
      <c r="A1889" s="369">
        <v>44316</v>
      </c>
      <c r="B1889" s="347">
        <f>+MONTH(A1889)</f>
        <v>4</v>
      </c>
      <c r="C1889" s="347">
        <v>115</v>
      </c>
      <c r="D1889" s="340" t="str">
        <f>VLOOKUP(C1889,Plan!A:B,2,0)</f>
        <v>Disponible Cali B.Chile</v>
      </c>
      <c r="E1889" s="341">
        <f>+F1889-G1889</f>
        <v>100000</v>
      </c>
      <c r="F1889" s="405">
        <v>100000</v>
      </c>
      <c r="G1889" s="405">
        <v>0</v>
      </c>
      <c r="H1889" t="s">
        <v>1021</v>
      </c>
      <c r="I1889" s="403" t="s">
        <v>131</v>
      </c>
      <c r="K1889" s="370"/>
      <c r="N1889" s="370"/>
    </row>
    <row r="1890" spans="1:14" s="347" customFormat="1" x14ac:dyDescent="0.25">
      <c r="A1890" s="369">
        <f>+A1889</f>
        <v>44316</v>
      </c>
      <c r="B1890" s="347">
        <f>+MONTH(A1890)</f>
        <v>4</v>
      </c>
      <c r="C1890" s="347">
        <v>3210</v>
      </c>
      <c r="D1890" s="340" t="str">
        <f>VLOOKUP(C1890,Plan!A:B,2,0)</f>
        <v>Donacion Construccion</v>
      </c>
      <c r="E1890" s="341">
        <f>+F1890-G1890</f>
        <v>-100000</v>
      </c>
      <c r="F1890" s="405">
        <v>0</v>
      </c>
      <c r="G1890" s="405">
        <f>+F1889</f>
        <v>100000</v>
      </c>
      <c r="H1890" t="str">
        <f>+H1889</f>
        <v>Italo Lubiano Tassara/Azul</v>
      </c>
      <c r="I1890" s="403" t="s">
        <v>131</v>
      </c>
      <c r="K1890" s="370"/>
      <c r="N1890" s="370"/>
    </row>
    <row r="1891" spans="1:14" s="347" customFormat="1" x14ac:dyDescent="0.25">
      <c r="A1891" s="369"/>
      <c r="E1891" s="396"/>
      <c r="F1891" s="396"/>
      <c r="G1891" s="396"/>
      <c r="K1891" s="370"/>
      <c r="N1891" s="370"/>
    </row>
    <row r="1892" spans="1:14" s="347" customFormat="1" x14ac:dyDescent="0.25">
      <c r="A1892" s="369">
        <v>44316</v>
      </c>
      <c r="B1892" s="347">
        <f>+MONTH(A1892)</f>
        <v>4</v>
      </c>
      <c r="C1892" s="347">
        <v>115</v>
      </c>
      <c r="D1892" s="340" t="str">
        <f>VLOOKUP(C1892,Plan!A:B,2,0)</f>
        <v>Disponible Cali B.Chile</v>
      </c>
      <c r="E1892" s="341">
        <f>+F1892-G1892</f>
        <v>50000</v>
      </c>
      <c r="F1892" s="405">
        <v>50000</v>
      </c>
      <c r="G1892" s="405">
        <v>0</v>
      </c>
      <c r="H1892" t="s">
        <v>966</v>
      </c>
      <c r="I1892" s="403" t="s">
        <v>131</v>
      </c>
      <c r="K1892" s="370"/>
      <c r="N1892" s="370"/>
    </row>
    <row r="1893" spans="1:14" s="347" customFormat="1" x14ac:dyDescent="0.25">
      <c r="A1893" s="369">
        <f>+A1892</f>
        <v>44316</v>
      </c>
      <c r="B1893" s="347">
        <f>+MONTH(A1893)</f>
        <v>4</v>
      </c>
      <c r="C1893" s="347">
        <v>3210</v>
      </c>
      <c r="D1893" s="340" t="str">
        <f>VLOOKUP(C1893,Plan!A:B,2,0)</f>
        <v>Donacion Construccion</v>
      </c>
      <c r="E1893" s="341">
        <f>+F1893-G1893</f>
        <v>-50000</v>
      </c>
      <c r="F1893" s="405">
        <v>0</v>
      </c>
      <c r="G1893" s="405">
        <f>+F1892</f>
        <v>50000</v>
      </c>
      <c r="H1893" t="str">
        <f>+H1892</f>
        <v xml:space="preserve">Ricardo Fernández Oyarzún / Azul </v>
      </c>
      <c r="I1893" s="403" t="s">
        <v>131</v>
      </c>
      <c r="K1893" s="370"/>
      <c r="N1893" s="370"/>
    </row>
    <row r="1894" spans="1:14" s="347" customFormat="1" x14ac:dyDescent="0.25">
      <c r="A1894" s="369"/>
      <c r="E1894" s="396"/>
      <c r="F1894" s="396"/>
      <c r="G1894" s="396"/>
      <c r="K1894" s="370"/>
      <c r="N1894" s="370"/>
    </row>
    <row r="1895" spans="1:14" s="347" customFormat="1" x14ac:dyDescent="0.25">
      <c r="A1895" s="369">
        <v>44316</v>
      </c>
      <c r="B1895" s="347">
        <f>+MONTH(A1895)</f>
        <v>4</v>
      </c>
      <c r="C1895" s="347">
        <v>115</v>
      </c>
      <c r="D1895" s="340" t="str">
        <f>VLOOKUP(C1895,Plan!A:B,2,0)</f>
        <v>Disponible Cali B.Chile</v>
      </c>
      <c r="E1895" s="341">
        <f>+F1895-G1895</f>
        <v>36000</v>
      </c>
      <c r="F1895" s="405">
        <v>36000</v>
      </c>
      <c r="G1895" s="405">
        <v>0</v>
      </c>
      <c r="H1895" t="s">
        <v>964</v>
      </c>
      <c r="I1895" s="403" t="s">
        <v>131</v>
      </c>
      <c r="K1895" s="370"/>
      <c r="N1895" s="370"/>
    </row>
    <row r="1896" spans="1:14" s="347" customFormat="1" x14ac:dyDescent="0.25">
      <c r="A1896" s="369">
        <f>+A1895</f>
        <v>44316</v>
      </c>
      <c r="B1896" s="347">
        <f>+MONTH(A1896)</f>
        <v>4</v>
      </c>
      <c r="C1896" s="347">
        <v>1222</v>
      </c>
      <c r="D1896" s="340" t="str">
        <f>VLOOKUP(C1896,Plan!A:B,2,0)</f>
        <v>Otros Valores -Oficina y Transferencias (249)</v>
      </c>
      <c r="E1896" s="341">
        <f>+F1896-G1896</f>
        <v>-36000</v>
      </c>
      <c r="F1896" s="405">
        <v>0</v>
      </c>
      <c r="G1896" s="405">
        <f>+F1895</f>
        <v>36000</v>
      </c>
      <c r="H1896" t="str">
        <f>+H1895</f>
        <v>Raimundo Barros / 249</v>
      </c>
      <c r="I1896" s="403" t="s">
        <v>131</v>
      </c>
      <c r="N1896" s="370"/>
    </row>
    <row r="1897" spans="1:14" s="347" customFormat="1" x14ac:dyDescent="0.25">
      <c r="A1897" s="369"/>
      <c r="E1897" s="396"/>
      <c r="F1897" s="396"/>
      <c r="G1897" s="396"/>
      <c r="N1897" s="370"/>
    </row>
    <row r="1898" spans="1:14" s="347" customFormat="1" x14ac:dyDescent="0.25">
      <c r="A1898" s="369">
        <v>44316</v>
      </c>
      <c r="B1898" s="347">
        <f>+MONTH(A1898)</f>
        <v>4</v>
      </c>
      <c r="C1898" s="347">
        <v>115</v>
      </c>
      <c r="D1898" s="340" t="str">
        <f>VLOOKUP(C1898,Plan!A:B,2,0)</f>
        <v>Disponible Cali B.Chile</v>
      </c>
      <c r="E1898" s="341">
        <f>+F1898-G1898</f>
        <v>100000</v>
      </c>
      <c r="F1898" s="405">
        <v>100000</v>
      </c>
      <c r="G1898" s="405">
        <v>0</v>
      </c>
      <c r="H1898" t="s">
        <v>965</v>
      </c>
      <c r="I1898" s="403" t="s">
        <v>131</v>
      </c>
      <c r="J1898" s="403" t="s">
        <v>588</v>
      </c>
      <c r="K1898" s="208" t="str">
        <f>IF(J1898&lt;&gt;"",VLOOKUP(J1898,'Libro De Compras 2021'!D:E,2,0),"")</f>
        <v>PROYECTOS Y CONSTRUCCIONES TASCO LIMITADA</v>
      </c>
      <c r="L1898" s="403">
        <v>2916</v>
      </c>
      <c r="N1898" s="370"/>
    </row>
    <row r="1899" spans="1:14" s="347" customFormat="1" x14ac:dyDescent="0.25">
      <c r="A1899" s="369">
        <f>+A1898</f>
        <v>44316</v>
      </c>
      <c r="B1899" s="347">
        <f>+MONTH(A1899)</f>
        <v>4</v>
      </c>
      <c r="C1899" s="347">
        <v>3210</v>
      </c>
      <c r="D1899" s="340" t="str">
        <f>VLOOKUP(C1899,Plan!A:B,2,0)</f>
        <v>Donacion Construccion</v>
      </c>
      <c r="E1899" s="341">
        <f>+F1899-G1899</f>
        <v>-100000</v>
      </c>
      <c r="F1899" s="405">
        <v>0</v>
      </c>
      <c r="G1899" s="405">
        <f>+F1898</f>
        <v>100000</v>
      </c>
      <c r="H1899" t="str">
        <f>+H1898</f>
        <v>Rafael Marín Jordán/azul</v>
      </c>
      <c r="I1899" s="403" t="s">
        <v>131</v>
      </c>
      <c r="J1899" s="403" t="s">
        <v>588</v>
      </c>
      <c r="K1899" s="208" t="str">
        <f>IF(J1899&lt;&gt;"",VLOOKUP(J1899,'Libro De Compras 2021'!D:E,2,0),"")</f>
        <v>PROYECTOS Y CONSTRUCCIONES TASCO LIMITADA</v>
      </c>
      <c r="L1899" s="403">
        <f>+L1898</f>
        <v>2916</v>
      </c>
      <c r="N1899" s="370"/>
    </row>
    <row r="1900" spans="1:14" s="347" customFormat="1" x14ac:dyDescent="0.25">
      <c r="A1900" s="369"/>
      <c r="E1900" s="396"/>
      <c r="F1900" s="396"/>
      <c r="G1900" s="396"/>
      <c r="J1900" s="403" t="s">
        <v>588</v>
      </c>
      <c r="K1900" s="208" t="str">
        <f>IF(J1900&lt;&gt;"",VLOOKUP(J1900,'Libro De Compras 2021'!D:E,2,0),"")</f>
        <v>PROYECTOS Y CONSTRUCCIONES TASCO LIMITADA</v>
      </c>
      <c r="L1900" s="403">
        <f>+L1899</f>
        <v>2916</v>
      </c>
      <c r="N1900" s="370"/>
    </row>
    <row r="1901" spans="1:14" s="347" customFormat="1" x14ac:dyDescent="0.25">
      <c r="A1901" s="369">
        <v>44316</v>
      </c>
      <c r="B1901" s="347">
        <f>+MONTH(A1901)</f>
        <v>4</v>
      </c>
      <c r="C1901" s="347">
        <v>115</v>
      </c>
      <c r="D1901" s="340" t="str">
        <f>VLOOKUP(C1901,Plan!A:B,2,0)</f>
        <v>Disponible Cali B.Chile</v>
      </c>
      <c r="E1901" s="341">
        <f>+F1901-G1901</f>
        <v>1857994</v>
      </c>
      <c r="F1901" s="405">
        <v>1857994</v>
      </c>
      <c r="G1901" s="405">
        <v>0</v>
      </c>
      <c r="H1901" t="s">
        <v>1705</v>
      </c>
      <c r="I1901" s="403" t="s">
        <v>131</v>
      </c>
      <c r="J1901" s="403" t="s">
        <v>588</v>
      </c>
      <c r="K1901" s="208" t="str">
        <f>IF(J1901&lt;&gt;"",VLOOKUP(J1901,'Libro De Compras 2021'!D:E,2,0),"")</f>
        <v>PROYECTOS Y CONSTRUCCIONES TASCO LIMITADA</v>
      </c>
      <c r="L1901" s="403">
        <f>+L1900</f>
        <v>2916</v>
      </c>
      <c r="N1901" s="370"/>
    </row>
    <row r="1902" spans="1:14" s="347" customFormat="1" x14ac:dyDescent="0.25">
      <c r="A1902" s="369">
        <f>+A1901</f>
        <v>44316</v>
      </c>
      <c r="B1902" s="347">
        <f>+MONTH(A1902)</f>
        <v>4</v>
      </c>
      <c r="C1902" s="347">
        <v>3210</v>
      </c>
      <c r="D1902" s="340" t="str">
        <f>VLOOKUP(C1902,Plan!A:B,2,0)</f>
        <v>Donacion Construccion</v>
      </c>
      <c r="E1902" s="341">
        <f>+F1902-G1902</f>
        <v>-1857994</v>
      </c>
      <c r="F1902" s="405">
        <v>0</v>
      </c>
      <c r="G1902" s="405">
        <f>+F1901</f>
        <v>1857994</v>
      </c>
      <c r="H1902" t="str">
        <f>+H1901</f>
        <v>T/C Azules Abril 2021</v>
      </c>
      <c r="I1902" s="403" t="s">
        <v>131</v>
      </c>
      <c r="K1902" s="370"/>
      <c r="N1902" s="370"/>
    </row>
    <row r="1903" spans="1:14" s="347" customFormat="1" x14ac:dyDescent="0.25">
      <c r="A1903" s="369"/>
      <c r="E1903" s="396"/>
      <c r="F1903" s="396"/>
      <c r="G1903" s="396"/>
      <c r="J1903" t="s">
        <v>588</v>
      </c>
      <c r="K1903" t="s">
        <v>589</v>
      </c>
      <c r="L1903">
        <v>2916</v>
      </c>
      <c r="N1903" s="370"/>
    </row>
    <row r="1904" spans="1:14" s="347" customFormat="1" x14ac:dyDescent="0.25">
      <c r="A1904" s="369">
        <v>44316</v>
      </c>
      <c r="B1904" s="347">
        <f>+MONTH(A1904)</f>
        <v>4</v>
      </c>
      <c r="C1904" s="347">
        <v>115</v>
      </c>
      <c r="D1904" s="340" t="str">
        <f>VLOOKUP(C1904,Plan!A:B,2,0)</f>
        <v>Disponible Cali B.Chile</v>
      </c>
      <c r="E1904" s="341">
        <f>+F1904-G1904</f>
        <v>10000</v>
      </c>
      <c r="F1904" s="405">
        <v>10000</v>
      </c>
      <c r="G1904" s="405">
        <v>0</v>
      </c>
      <c r="H1904" t="s">
        <v>1670</v>
      </c>
      <c r="I1904" s="403" t="s">
        <v>131</v>
      </c>
      <c r="J1904" s="347" t="str">
        <f>+J1903</f>
        <v>80965500-8</v>
      </c>
      <c r="K1904" s="370" t="str">
        <f>+K1903</f>
        <v>PROYECTOS Y CONSTRUCCIONES TASCO LIMITADA</v>
      </c>
      <c r="L1904" s="347">
        <f>+L1903</f>
        <v>2916</v>
      </c>
      <c r="N1904" s="370"/>
    </row>
    <row r="1905" spans="1:14" s="347" customFormat="1" x14ac:dyDescent="0.25">
      <c r="A1905" s="369">
        <f>+A1904</f>
        <v>44316</v>
      </c>
      <c r="B1905" s="347">
        <f>+MONTH(A1905)</f>
        <v>4</v>
      </c>
      <c r="C1905" s="347">
        <v>1222</v>
      </c>
      <c r="D1905" s="340" t="str">
        <f>VLOOKUP(C1905,Plan!A:B,2,0)</f>
        <v>Otros Valores -Oficina y Transferencias (249)</v>
      </c>
      <c r="E1905" s="341">
        <f>+F1905-G1905</f>
        <v>-10000</v>
      </c>
      <c r="F1905" s="405">
        <v>0</v>
      </c>
      <c r="G1905" s="405">
        <f>+F1904</f>
        <v>10000</v>
      </c>
      <c r="H1905" t="str">
        <f>+H1904</f>
        <v>María Virginia Fernández Oyarzún / 249</v>
      </c>
      <c r="I1905" s="403" t="s">
        <v>131</v>
      </c>
      <c r="K1905" s="370"/>
      <c r="N1905" s="370"/>
    </row>
    <row r="1906" spans="1:14" s="347" customFormat="1" x14ac:dyDescent="0.25">
      <c r="A1906" s="369"/>
      <c r="E1906" s="396"/>
      <c r="F1906" s="396"/>
      <c r="G1906" s="396"/>
      <c r="K1906" s="370"/>
      <c r="N1906" s="370"/>
    </row>
    <row r="1907" spans="1:14" s="347" customFormat="1" x14ac:dyDescent="0.25">
      <c r="A1907" s="369">
        <v>44293</v>
      </c>
      <c r="B1907" s="347">
        <f>+MONTH(A1907)</f>
        <v>4</v>
      </c>
      <c r="C1907" s="347">
        <v>4331</v>
      </c>
      <c r="D1907" s="340" t="str">
        <f>VLOOKUP(C1907,Plan!A:B,2,0)</f>
        <v>Cali</v>
      </c>
      <c r="E1907" s="341">
        <f>+F1907-G1907</f>
        <v>1058</v>
      </c>
      <c r="F1907" s="405">
        <v>1058</v>
      </c>
      <c r="G1907" s="405">
        <v>0</v>
      </c>
      <c r="H1907" t="s">
        <v>1706</v>
      </c>
      <c r="I1907" s="403" t="s">
        <v>131</v>
      </c>
      <c r="K1907" s="370"/>
      <c r="N1907" s="370"/>
    </row>
    <row r="1908" spans="1:14" s="347" customFormat="1" x14ac:dyDescent="0.25">
      <c r="A1908" s="369">
        <f>+A1907</f>
        <v>44293</v>
      </c>
      <c r="B1908" s="347">
        <f>+MONTH(A1908)</f>
        <v>4</v>
      </c>
      <c r="C1908" s="347">
        <v>116</v>
      </c>
      <c r="D1908" s="340" t="str">
        <f>VLOOKUP(C1908,Plan!A:B,2,0)</f>
        <v>Disponible CALI Security</v>
      </c>
      <c r="E1908" s="341">
        <f>+F1908-G1908</f>
        <v>-1058</v>
      </c>
      <c r="F1908" s="405">
        <v>0</v>
      </c>
      <c r="G1908" s="405">
        <f>+F1907</f>
        <v>1058</v>
      </c>
      <c r="H1908" t="str">
        <f>+H1907</f>
        <v>COMISION BANCARIA</v>
      </c>
      <c r="I1908" s="403" t="s">
        <v>131</v>
      </c>
      <c r="K1908" s="370"/>
      <c r="N1908" s="370"/>
    </row>
    <row r="1909" spans="1:14" s="347" customFormat="1" x14ac:dyDescent="0.25">
      <c r="A1909" s="369"/>
      <c r="E1909" s="396"/>
      <c r="F1909" s="396"/>
      <c r="G1909" s="396"/>
      <c r="K1909" s="370"/>
      <c r="N1909" s="370"/>
    </row>
    <row r="1910" spans="1:14" s="347" customFormat="1" x14ac:dyDescent="0.25">
      <c r="A1910" s="369">
        <v>44293</v>
      </c>
      <c r="B1910" s="347">
        <f>+MONTH(A1910)</f>
        <v>4</v>
      </c>
      <c r="C1910" s="347">
        <v>4331</v>
      </c>
      <c r="D1910" s="340" t="str">
        <f>VLOOKUP(C1910,Plan!A:B,2,0)</f>
        <v>Cali</v>
      </c>
      <c r="E1910" s="341">
        <f>+F1910-G1910</f>
        <v>201</v>
      </c>
      <c r="F1910" s="405">
        <v>201</v>
      </c>
      <c r="G1910" s="405">
        <v>0</v>
      </c>
      <c r="H1910" t="s">
        <v>1706</v>
      </c>
      <c r="I1910" s="403" t="s">
        <v>131</v>
      </c>
      <c r="K1910" s="370"/>
      <c r="N1910" s="370"/>
    </row>
    <row r="1911" spans="1:14" s="347" customFormat="1" x14ac:dyDescent="0.25">
      <c r="A1911" s="369">
        <f>+A1910</f>
        <v>44293</v>
      </c>
      <c r="B1911" s="347">
        <f>+MONTH(A1911)</f>
        <v>4</v>
      </c>
      <c r="C1911" s="347">
        <v>116</v>
      </c>
      <c r="D1911" s="340" t="str">
        <f>VLOOKUP(C1911,Plan!A:B,2,0)</f>
        <v>Disponible CALI Security</v>
      </c>
      <c r="E1911" s="341">
        <f>+F1911-G1911</f>
        <v>-201</v>
      </c>
      <c r="F1911" s="405">
        <v>0</v>
      </c>
      <c r="G1911" s="405">
        <f>+F1910</f>
        <v>201</v>
      </c>
      <c r="H1911" t="str">
        <f>+H1910</f>
        <v>COMISION BANCARIA</v>
      </c>
      <c r="I1911" s="403" t="s">
        <v>131</v>
      </c>
      <c r="K1911" s="370"/>
      <c r="N1911" s="370"/>
    </row>
    <row r="1912" spans="1:14" s="347" customFormat="1" x14ac:dyDescent="0.25">
      <c r="A1912" s="369"/>
      <c r="E1912" s="396"/>
      <c r="F1912" s="396"/>
      <c r="G1912" s="396"/>
      <c r="K1912" s="370"/>
      <c r="N1912" s="370"/>
    </row>
    <row r="1913" spans="1:14" s="347" customFormat="1" x14ac:dyDescent="0.25">
      <c r="A1913" s="369">
        <v>44300</v>
      </c>
      <c r="B1913" s="347">
        <f>+MONTH(A1913)</f>
        <v>4</v>
      </c>
      <c r="C1913" s="347">
        <v>116</v>
      </c>
      <c r="D1913" s="340" t="str">
        <f>VLOOKUP(C1913,Plan!A:B,2,0)</f>
        <v>Disponible CALI Security</v>
      </c>
      <c r="E1913" s="341">
        <f>+F1913-G1913</f>
        <v>150000000</v>
      </c>
      <c r="F1913" s="405">
        <v>150000000</v>
      </c>
      <c r="G1913" s="405">
        <v>0</v>
      </c>
      <c r="H1913" s="156" t="s">
        <v>1795</v>
      </c>
      <c r="I1913" s="403" t="s">
        <v>131</v>
      </c>
      <c r="K1913" s="370"/>
      <c r="N1913" s="370"/>
    </row>
    <row r="1914" spans="1:14" s="347" customFormat="1" x14ac:dyDescent="0.25">
      <c r="A1914" s="369">
        <f>+A1913</f>
        <v>44300</v>
      </c>
      <c r="B1914" s="347">
        <f>+MONTH(A1914)</f>
        <v>4</v>
      </c>
      <c r="C1914" s="347">
        <v>119</v>
      </c>
      <c r="D1914" s="340" t="str">
        <f>VLOOKUP(C1914,Plan!A:B,2,0)</f>
        <v>FM Cali Banco Security</v>
      </c>
      <c r="E1914" s="341">
        <f>+F1914-G1914</f>
        <v>-150000000</v>
      </c>
      <c r="F1914" s="405">
        <v>0</v>
      </c>
      <c r="G1914" s="405">
        <f>+F1913</f>
        <v>150000000</v>
      </c>
      <c r="H1914" t="str">
        <f>+H1913</f>
        <v>Rescate DAP</v>
      </c>
      <c r="I1914" s="403" t="s">
        <v>131</v>
      </c>
      <c r="K1914" s="370"/>
      <c r="N1914" s="370"/>
    </row>
    <row r="1915" spans="1:14" s="347" customFormat="1" x14ac:dyDescent="0.25">
      <c r="A1915" s="369"/>
      <c r="E1915" s="396"/>
      <c r="F1915" s="396"/>
      <c r="G1915" s="396"/>
      <c r="K1915" s="370"/>
      <c r="N1915" s="370"/>
    </row>
    <row r="1916" spans="1:14" s="347" customFormat="1" x14ac:dyDescent="0.25">
      <c r="A1916" s="402">
        <v>44302</v>
      </c>
      <c r="B1916" s="403">
        <f>+MONTH(A1916)</f>
        <v>4</v>
      </c>
      <c r="C1916" s="338">
        <v>137</v>
      </c>
      <c r="D1916" s="340" t="str">
        <f>VLOOKUP(C1916,Plan!A:B,2,0)</f>
        <v>Anticipo Construcción</v>
      </c>
      <c r="E1916" s="341">
        <f>+F1916-G1916</f>
        <v>-14567745</v>
      </c>
      <c r="F1916" s="465">
        <v>0</v>
      </c>
      <c r="G1916" s="465">
        <v>14567745</v>
      </c>
      <c r="H1916" s="429" t="s">
        <v>1707</v>
      </c>
      <c r="I1916" s="403" t="s">
        <v>131</v>
      </c>
      <c r="K1916" s="370"/>
      <c r="N1916" s="370"/>
    </row>
    <row r="1917" spans="1:14" s="347" customFormat="1" x14ac:dyDescent="0.25">
      <c r="A1917" s="402">
        <f t="shared" ref="A1917:B1919" si="28">+A1916</f>
        <v>44302</v>
      </c>
      <c r="B1917" s="403">
        <f t="shared" si="28"/>
        <v>4</v>
      </c>
      <c r="C1917" s="338">
        <v>136</v>
      </c>
      <c r="D1917" s="340" t="str">
        <f>VLOOKUP(C1917,Plan!A:B,2,0)</f>
        <v>Obras en Construcción</v>
      </c>
      <c r="E1917" s="341">
        <f>+F1917-G1917</f>
        <v>169203783</v>
      </c>
      <c r="F1917" s="465">
        <v>169203783</v>
      </c>
      <c r="G1917" s="465">
        <v>0</v>
      </c>
      <c r="H1917" s="429" t="s">
        <v>1708</v>
      </c>
      <c r="I1917" s="403" t="s">
        <v>131</v>
      </c>
      <c r="K1917" s="370"/>
      <c r="N1917" s="370"/>
    </row>
    <row r="1918" spans="1:14" s="347" customFormat="1" x14ac:dyDescent="0.25">
      <c r="A1918" s="402">
        <f t="shared" si="28"/>
        <v>44302</v>
      </c>
      <c r="B1918" s="403">
        <f t="shared" si="28"/>
        <v>4</v>
      </c>
      <c r="C1918" s="338">
        <v>210</v>
      </c>
      <c r="D1918" s="340" t="str">
        <f>VLOOKUP(C1918,Plan!A:B,2,0)</f>
        <v>Retenciones Construcción</v>
      </c>
      <c r="E1918" s="341">
        <f>+F1918-G1918</f>
        <v>-7283730</v>
      </c>
      <c r="F1918" s="465">
        <v>0</v>
      </c>
      <c r="G1918" s="465">
        <v>7283730</v>
      </c>
      <c r="H1918" s="429" t="s">
        <v>1709</v>
      </c>
      <c r="I1918" s="403" t="s">
        <v>131</v>
      </c>
      <c r="K1918" s="370"/>
      <c r="N1918" s="370"/>
    </row>
    <row r="1919" spans="1:14" s="347" customFormat="1" x14ac:dyDescent="0.25">
      <c r="A1919" s="402">
        <f t="shared" si="28"/>
        <v>44302</v>
      </c>
      <c r="B1919" s="403">
        <f t="shared" si="28"/>
        <v>4</v>
      </c>
      <c r="C1919" s="338">
        <v>228</v>
      </c>
      <c r="D1919" s="340" t="str">
        <f>VLOOKUP(C1919,Plan!A:B,2,0)</f>
        <v>Proveedores CALI</v>
      </c>
      <c r="E1919" s="341">
        <f>+F1919-G1919</f>
        <v>-147352308</v>
      </c>
      <c r="F1919" s="465">
        <v>0</v>
      </c>
      <c r="G1919" s="465">
        <v>147352308</v>
      </c>
      <c r="H1919" s="429" t="s">
        <v>589</v>
      </c>
      <c r="I1919" s="403" t="s">
        <v>131</v>
      </c>
      <c r="K1919" s="370"/>
      <c r="N1919" s="370"/>
    </row>
    <row r="1920" spans="1:14" s="347" customFormat="1" x14ac:dyDescent="0.25">
      <c r="A1920" s="369"/>
      <c r="E1920" s="396"/>
      <c r="F1920" s="396"/>
      <c r="G1920" s="396"/>
      <c r="K1920" s="370"/>
      <c r="N1920" s="370"/>
    </row>
    <row r="1921" spans="1:14" s="347" customFormat="1" x14ac:dyDescent="0.25">
      <c r="A1921" s="339">
        <v>44302</v>
      </c>
      <c r="B1921" s="403">
        <f>+MONTH(A1921)</f>
        <v>4</v>
      </c>
      <c r="C1921" s="338">
        <v>228</v>
      </c>
      <c r="D1921" s="340" t="str">
        <f>VLOOKUP(C1921,[2]Plan!A:B,2,0)</f>
        <v>Proveedores CALI</v>
      </c>
      <c r="E1921" s="341">
        <f>+F1921-G1921</f>
        <v>147352308</v>
      </c>
      <c r="F1921" s="289">
        <v>147352308</v>
      </c>
      <c r="G1921" s="346">
        <v>0</v>
      </c>
      <c r="H1921" s="404" t="s">
        <v>1710</v>
      </c>
      <c r="I1921" s="403" t="s">
        <v>131</v>
      </c>
      <c r="K1921" s="370"/>
      <c r="N1921" s="370"/>
    </row>
    <row r="1922" spans="1:14" s="347" customFormat="1" x14ac:dyDescent="0.25">
      <c r="A1922" s="152">
        <f>+A1921</f>
        <v>44302</v>
      </c>
      <c r="B1922" s="403">
        <f>+B1921</f>
        <v>4</v>
      </c>
      <c r="C1922" s="338">
        <v>116</v>
      </c>
      <c r="D1922" s="340" t="str">
        <f>VLOOKUP(C1922,[2]Plan!A:B,2,0)</f>
        <v>Disponible CALI Security</v>
      </c>
      <c r="E1922" s="341">
        <f>+F1922-G1922</f>
        <v>-147352308</v>
      </c>
      <c r="F1922" s="405">
        <v>0</v>
      </c>
      <c r="G1922" s="346">
        <f>+F1921</f>
        <v>147352308</v>
      </c>
      <c r="H1922" s="404" t="str">
        <f>+H1921</f>
        <v>F.2916 EE.PP. N°9 TASCO</v>
      </c>
      <c r="I1922" s="403" t="s">
        <v>131</v>
      </c>
      <c r="K1922" s="370"/>
      <c r="N1922" s="370"/>
    </row>
    <row r="1923" spans="1:14" s="347" customFormat="1" x14ac:dyDescent="0.25">
      <c r="A1923" s="369"/>
      <c r="E1923" s="396"/>
      <c r="F1923" s="396"/>
      <c r="G1923" s="396"/>
      <c r="K1923" s="370"/>
      <c r="N1923" s="370"/>
    </row>
    <row r="1924" spans="1:14" s="347" customFormat="1" x14ac:dyDescent="0.25">
      <c r="A1924" s="339">
        <v>44302</v>
      </c>
      <c r="B1924" s="403">
        <f>+MONTH(A1924)</f>
        <v>4</v>
      </c>
      <c r="C1924" s="347">
        <v>138</v>
      </c>
      <c r="D1924" s="340" t="str">
        <f>VLOOKUP(C1924,Plan!A:B,2,0)</f>
        <v>Proyectos Especialidades</v>
      </c>
      <c r="E1924" s="341">
        <f>+F1924-G1924</f>
        <v>4261968</v>
      </c>
      <c r="F1924" s="405">
        <v>4261968</v>
      </c>
      <c r="G1924" s="405">
        <v>0</v>
      </c>
      <c r="H1924" t="s">
        <v>1711</v>
      </c>
      <c r="I1924" s="403" t="s">
        <v>131</v>
      </c>
      <c r="K1924" s="370"/>
      <c r="N1924" s="370"/>
    </row>
    <row r="1925" spans="1:14" s="347" customFormat="1" x14ac:dyDescent="0.25">
      <c r="A1925" s="369">
        <f>+A1924</f>
        <v>44302</v>
      </c>
      <c r="B1925" s="403">
        <f>+B1924</f>
        <v>4</v>
      </c>
      <c r="C1925" s="347">
        <v>116</v>
      </c>
      <c r="D1925" s="340" t="str">
        <f>VLOOKUP(C1925,Plan!A:B,2,0)</f>
        <v>Disponible CALI Security</v>
      </c>
      <c r="E1925" s="341">
        <f>+F1925-G1925</f>
        <v>-4261968</v>
      </c>
      <c r="F1925" s="405">
        <v>0</v>
      </c>
      <c r="G1925" s="405">
        <f>+F1924</f>
        <v>4261968</v>
      </c>
      <c r="H1925" t="str">
        <f>+H1924</f>
        <v>Fact. 6016 ITO Mar/21</v>
      </c>
      <c r="I1925" s="403" t="s">
        <v>131</v>
      </c>
      <c r="K1925" s="370"/>
      <c r="N1925" s="370"/>
    </row>
    <row r="1926" spans="1:14" s="347" customFormat="1" x14ac:dyDescent="0.25">
      <c r="A1926" s="369"/>
      <c r="E1926" s="396"/>
      <c r="F1926" s="396"/>
      <c r="G1926" s="396"/>
      <c r="K1926" s="370"/>
      <c r="N1926" s="370"/>
    </row>
    <row r="1927" spans="1:14" s="347" customFormat="1" x14ac:dyDescent="0.25">
      <c r="A1927" s="339">
        <v>44302</v>
      </c>
      <c r="B1927" s="403">
        <f>+MONTH(A1927)</f>
        <v>4</v>
      </c>
      <c r="C1927" s="338">
        <v>138</v>
      </c>
      <c r="D1927" s="340" t="str">
        <f>VLOOKUP(C1927,Plan!A:B,2,0)</f>
        <v>Proyectos Especialidades</v>
      </c>
      <c r="E1927" s="341">
        <f>+F1927-G1927</f>
        <v>559037</v>
      </c>
      <c r="F1927" s="346">
        <v>559037</v>
      </c>
      <c r="G1927" s="346">
        <v>0</v>
      </c>
      <c r="H1927" s="343" t="s">
        <v>1712</v>
      </c>
      <c r="I1927" s="340" t="s">
        <v>131</v>
      </c>
      <c r="K1927" s="370"/>
      <c r="N1927" s="370"/>
    </row>
    <row r="1928" spans="1:14" s="347" customFormat="1" x14ac:dyDescent="0.25">
      <c r="A1928" s="339">
        <f>+A1927</f>
        <v>44302</v>
      </c>
      <c r="B1928" s="340">
        <f>+B1927</f>
        <v>4</v>
      </c>
      <c r="C1928" s="338">
        <v>204</v>
      </c>
      <c r="D1928" s="340" t="str">
        <f>VLOOKUP(C1928,Plan!A:B,2,0)</f>
        <v>Retención Honorarios Cali</v>
      </c>
      <c r="E1928" s="341">
        <f>+F1928-G1928</f>
        <v>-64289</v>
      </c>
      <c r="F1928" s="346">
        <v>0</v>
      </c>
      <c r="G1928" s="346">
        <v>64289</v>
      </c>
      <c r="H1928" s="338" t="str">
        <f>+H1927</f>
        <v>BE-63 Hardy Guillermo Alejandro Hipp - Proyecto Seguridad</v>
      </c>
      <c r="I1928" s="401" t="str">
        <f>+I1927</f>
        <v>Cali</v>
      </c>
      <c r="K1928" s="370"/>
      <c r="N1928" s="370"/>
    </row>
    <row r="1929" spans="1:14" s="347" customFormat="1" x14ac:dyDescent="0.25">
      <c r="A1929" s="339">
        <f>+A1927</f>
        <v>44302</v>
      </c>
      <c r="B1929" s="340">
        <f>+B1927</f>
        <v>4</v>
      </c>
      <c r="C1929" s="338">
        <v>116</v>
      </c>
      <c r="D1929" s="340" t="str">
        <f>VLOOKUP(C1929,Plan!A:B,2,0)</f>
        <v>Disponible CALI Security</v>
      </c>
      <c r="E1929" s="341">
        <f>+F1929-G1929</f>
        <v>-494748</v>
      </c>
      <c r="F1929" s="346">
        <v>0</v>
      </c>
      <c r="G1929" s="346">
        <v>494748</v>
      </c>
      <c r="H1929" s="338" t="str">
        <f>+H1928</f>
        <v>BE-63 Hardy Guillermo Alejandro Hipp - Proyecto Seguridad</v>
      </c>
      <c r="I1929" s="401" t="str">
        <f>+I1927</f>
        <v>Cali</v>
      </c>
      <c r="K1929" s="370"/>
      <c r="N1929" s="370"/>
    </row>
    <row r="1930" spans="1:14" s="347" customFormat="1" x14ac:dyDescent="0.25">
      <c r="A1930" s="369"/>
      <c r="E1930" s="396"/>
      <c r="F1930" s="396"/>
      <c r="G1930" s="396"/>
      <c r="K1930" s="370"/>
      <c r="N1930" s="370"/>
    </row>
    <row r="1931" spans="1:14" s="347" customFormat="1" x14ac:dyDescent="0.25">
      <c r="A1931" s="339">
        <v>44305</v>
      </c>
      <c r="B1931" s="340">
        <f>+MONTH(A1931)</f>
        <v>4</v>
      </c>
      <c r="C1931" s="338">
        <v>4170</v>
      </c>
      <c r="D1931" s="340" t="str">
        <f>VLOOKUP(C1931,Plan!A:B,2,0)</f>
        <v>Cali otros</v>
      </c>
      <c r="E1931" s="341">
        <f>+F1931-G1931</f>
        <v>730390</v>
      </c>
      <c r="F1931" s="346">
        <v>730390</v>
      </c>
      <c r="G1931" s="346">
        <v>0</v>
      </c>
      <c r="H1931" s="338" t="s">
        <v>1713</v>
      </c>
      <c r="I1931" s="401" t="str">
        <f>+I1928</f>
        <v>Cali</v>
      </c>
      <c r="K1931" s="370"/>
      <c r="N1931" s="370"/>
    </row>
    <row r="1932" spans="1:14" s="347" customFormat="1" x14ac:dyDescent="0.25">
      <c r="A1932" s="339">
        <f>+A1931</f>
        <v>44305</v>
      </c>
      <c r="B1932" s="340">
        <f>+MONTH(A1932)</f>
        <v>4</v>
      </c>
      <c r="C1932" s="338">
        <v>117</v>
      </c>
      <c r="D1932" s="340" t="str">
        <f>VLOOKUP(C1932,Plan!A:B,2,0)</f>
        <v>Disponible CALI Santander</v>
      </c>
      <c r="E1932" s="341">
        <f>+F1932-G1932</f>
        <v>-730390</v>
      </c>
      <c r="F1932" s="346">
        <v>0</v>
      </c>
      <c r="G1932" s="346">
        <f>+F1931</f>
        <v>730390</v>
      </c>
      <c r="H1932" s="338" t="str">
        <f>+H1931</f>
        <v>Cargo Tasacion PSAH</v>
      </c>
      <c r="I1932" s="401" t="str">
        <f>+I1929</f>
        <v>Cali</v>
      </c>
      <c r="K1932" s="370"/>
      <c r="N1932" s="370"/>
    </row>
    <row r="1933" spans="1:14" s="347" customFormat="1" x14ac:dyDescent="0.25">
      <c r="A1933" s="339"/>
      <c r="B1933" s="340"/>
      <c r="C1933" s="338"/>
      <c r="D1933" s="340"/>
      <c r="E1933" s="341"/>
      <c r="F1933" s="342"/>
      <c r="G1933" s="342"/>
      <c r="H1933" s="338"/>
      <c r="I1933" s="401"/>
      <c r="K1933" s="370"/>
      <c r="N1933" s="370"/>
    </row>
    <row r="1934" spans="1:14" s="347" customFormat="1" x14ac:dyDescent="0.25">
      <c r="A1934" s="339">
        <v>44316</v>
      </c>
      <c r="B1934" s="340">
        <v>4</v>
      </c>
      <c r="C1934" s="352">
        <v>3620</v>
      </c>
      <c r="D1934" s="340" t="str">
        <f>VLOOKUP(C1934,Plan!A:B,2,0)</f>
        <v>Cali Recaudadores</v>
      </c>
      <c r="E1934" s="341">
        <f t="shared" ref="E1934:E1960" si="29">+F1934-G1934</f>
        <v>-556000</v>
      </c>
      <c r="F1934" s="353">
        <v>0</v>
      </c>
      <c r="G1934" s="353">
        <v>556000</v>
      </c>
      <c r="H1934" s="354" t="s">
        <v>1796</v>
      </c>
      <c r="I1934" s="355" t="s">
        <v>131</v>
      </c>
      <c r="K1934" s="370"/>
      <c r="N1934" s="370"/>
    </row>
    <row r="1935" spans="1:14" s="347" customFormat="1" x14ac:dyDescent="0.25">
      <c r="A1935" s="350">
        <f>+A1934</f>
        <v>44316</v>
      </c>
      <c r="B1935" s="351">
        <f>+B1934</f>
        <v>4</v>
      </c>
      <c r="C1935" s="352">
        <v>3621</v>
      </c>
      <c r="D1935" s="340" t="str">
        <f>VLOOKUP(C1935,Plan!A:B,2,0)</f>
        <v>Cali Recaudadores (249)</v>
      </c>
      <c r="E1935" s="341">
        <f t="shared" si="29"/>
        <v>0</v>
      </c>
      <c r="F1935" s="353">
        <v>0</v>
      </c>
      <c r="G1935" s="353">
        <v>0</v>
      </c>
      <c r="H1935" s="354" t="str">
        <f t="shared" ref="H1935:H1942" si="30">+H1934</f>
        <v>Centralización Recaudación Abril</v>
      </c>
      <c r="I1935" s="355" t="s">
        <v>131</v>
      </c>
      <c r="K1935" s="370"/>
      <c r="N1935" s="370"/>
    </row>
    <row r="1936" spans="1:14" s="347" customFormat="1" x14ac:dyDescent="0.25">
      <c r="A1936" s="350">
        <f t="shared" ref="A1936:B1940" si="31">+A1934</f>
        <v>44316</v>
      </c>
      <c r="B1936" s="351">
        <f t="shared" si="31"/>
        <v>4</v>
      </c>
      <c r="C1936" s="352">
        <v>3630</v>
      </c>
      <c r="D1936" s="340" t="str">
        <f>VLOOKUP(C1936,Plan!A:B,2,0)</f>
        <v>Cali Oficina Parroquial</v>
      </c>
      <c r="E1936" s="341">
        <f t="shared" si="29"/>
        <v>-1556020</v>
      </c>
      <c r="F1936" s="353">
        <v>0</v>
      </c>
      <c r="G1936" s="353">
        <v>1556020</v>
      </c>
      <c r="H1936" s="354" t="str">
        <f t="shared" si="30"/>
        <v>Centralización Recaudación Abril</v>
      </c>
      <c r="I1936" s="355" t="s">
        <v>131</v>
      </c>
      <c r="K1936" s="370"/>
      <c r="N1936" s="370"/>
    </row>
    <row r="1937" spans="1:14" s="347" customFormat="1" x14ac:dyDescent="0.25">
      <c r="A1937" s="350">
        <f t="shared" si="31"/>
        <v>44316</v>
      </c>
      <c r="B1937" s="351">
        <f t="shared" si="31"/>
        <v>4</v>
      </c>
      <c r="C1937" s="352">
        <v>3631</v>
      </c>
      <c r="D1937" s="340" t="str">
        <f>VLOOKUP(C1937,Plan!A:B,2,0)</f>
        <v>Cali Oficina Parroquial (249)</v>
      </c>
      <c r="E1937" s="341">
        <f t="shared" si="29"/>
        <v>-2496000</v>
      </c>
      <c r="F1937" s="353">
        <v>0</v>
      </c>
      <c r="G1937" s="353">
        <v>2496000</v>
      </c>
      <c r="H1937" s="354" t="str">
        <f t="shared" si="30"/>
        <v>Centralización Recaudación Abril</v>
      </c>
      <c r="I1937" s="355" t="s">
        <v>131</v>
      </c>
      <c r="K1937" s="370"/>
      <c r="N1937" s="370"/>
    </row>
    <row r="1938" spans="1:14" s="347" customFormat="1" x14ac:dyDescent="0.25">
      <c r="A1938" s="350">
        <f t="shared" si="31"/>
        <v>44316</v>
      </c>
      <c r="B1938" s="351">
        <f t="shared" si="31"/>
        <v>4</v>
      </c>
      <c r="C1938" s="352">
        <v>3640</v>
      </c>
      <c r="D1938" s="340" t="str">
        <f>VLOOKUP(C1938,Plan!A:B,2,0)</f>
        <v>Cali Tarjetas de Creditos</v>
      </c>
      <c r="E1938" s="341">
        <f t="shared" si="29"/>
        <v>-4190600</v>
      </c>
      <c r="F1938" s="353">
        <v>0</v>
      </c>
      <c r="G1938" s="353">
        <v>4190600</v>
      </c>
      <c r="H1938" s="354" t="str">
        <f t="shared" si="30"/>
        <v>Centralización Recaudación Abril</v>
      </c>
      <c r="I1938" s="355" t="s">
        <v>131</v>
      </c>
      <c r="K1938" s="370"/>
      <c r="N1938" s="370"/>
    </row>
    <row r="1939" spans="1:14" s="347" customFormat="1" x14ac:dyDescent="0.25">
      <c r="A1939" s="350">
        <f t="shared" si="31"/>
        <v>44316</v>
      </c>
      <c r="B1939" s="351">
        <f t="shared" si="31"/>
        <v>4</v>
      </c>
      <c r="C1939" s="352">
        <v>3641</v>
      </c>
      <c r="D1939" s="340" t="str">
        <f>VLOOKUP(C1939,Plan!A:B,2,0)</f>
        <v>Cali Tarjetas de Creditos (249)</v>
      </c>
      <c r="E1939" s="341">
        <f t="shared" si="29"/>
        <v>-5882258</v>
      </c>
      <c r="F1939" s="353">
        <v>0</v>
      </c>
      <c r="G1939" s="353">
        <v>5882258</v>
      </c>
      <c r="H1939" s="354" t="str">
        <f t="shared" si="30"/>
        <v>Centralización Recaudación Abril</v>
      </c>
      <c r="I1939" s="355" t="s">
        <v>131</v>
      </c>
      <c r="K1939" s="370"/>
      <c r="N1939" s="370"/>
    </row>
    <row r="1940" spans="1:14" s="347" customFormat="1" x14ac:dyDescent="0.25">
      <c r="A1940" s="350">
        <f t="shared" si="31"/>
        <v>44316</v>
      </c>
      <c r="B1940" s="351">
        <f t="shared" si="31"/>
        <v>4</v>
      </c>
      <c r="C1940" s="352">
        <v>1216</v>
      </c>
      <c r="D1940" s="340" t="str">
        <f>VLOOKUP(C1940,Plan!A:B,2,0)</f>
        <v>Otros Valores Recaudadoras</v>
      </c>
      <c r="E1940" s="341">
        <f t="shared" si="29"/>
        <v>556000</v>
      </c>
      <c r="F1940" s="353">
        <f>+G1934+G1935</f>
        <v>556000</v>
      </c>
      <c r="G1940" s="353">
        <v>0</v>
      </c>
      <c r="H1940" s="354" t="str">
        <f t="shared" si="30"/>
        <v>Centralización Recaudación Abril</v>
      </c>
      <c r="I1940" s="355" t="s">
        <v>131</v>
      </c>
      <c r="K1940" s="370"/>
      <c r="N1940" s="370"/>
    </row>
    <row r="1941" spans="1:14" s="347" customFormat="1" x14ac:dyDescent="0.25">
      <c r="A1941" s="350">
        <f>+A1940</f>
        <v>44316</v>
      </c>
      <c r="B1941" s="351">
        <f>+B1940</f>
        <v>4</v>
      </c>
      <c r="C1941" s="352">
        <v>1217</v>
      </c>
      <c r="D1941" s="340" t="str">
        <f>VLOOKUP(C1941,Plan!A:B,2,0)</f>
        <v>Otros Valores -Oficina y Transferencias (248)</v>
      </c>
      <c r="E1941" s="341">
        <f t="shared" si="29"/>
        <v>1556020</v>
      </c>
      <c r="F1941" s="353">
        <f>+G1936</f>
        <v>1556020</v>
      </c>
      <c r="G1941" s="353">
        <v>0</v>
      </c>
      <c r="H1941" s="354" t="str">
        <f t="shared" si="30"/>
        <v>Centralización Recaudación Abril</v>
      </c>
      <c r="I1941" s="355" t="s">
        <v>131</v>
      </c>
      <c r="K1941" s="370"/>
      <c r="N1941" s="370"/>
    </row>
    <row r="1942" spans="1:14" s="347" customFormat="1" ht="17.5" customHeight="1" x14ac:dyDescent="0.25">
      <c r="A1942" s="350">
        <f>+A1941</f>
        <v>44316</v>
      </c>
      <c r="B1942" s="351">
        <f>+B1941</f>
        <v>4</v>
      </c>
      <c r="C1942" s="352">
        <v>1222</v>
      </c>
      <c r="D1942" s="340" t="str">
        <f>VLOOKUP(C1942,Plan!A:B,2,0)</f>
        <v>Otros Valores -Oficina y Transferencias (249)</v>
      </c>
      <c r="E1942" s="341">
        <f t="shared" si="29"/>
        <v>2496000</v>
      </c>
      <c r="F1942" s="353">
        <f>+G1937</f>
        <v>2496000</v>
      </c>
      <c r="G1942" s="353">
        <v>0</v>
      </c>
      <c r="H1942" s="354" t="str">
        <f t="shared" si="30"/>
        <v>Centralización Recaudación Abril</v>
      </c>
      <c r="I1942" s="355" t="s">
        <v>131</v>
      </c>
      <c r="K1942" s="370"/>
      <c r="N1942" s="370"/>
    </row>
    <row r="1943" spans="1:14" s="347" customFormat="1" ht="17.5" customHeight="1" x14ac:dyDescent="0.25">
      <c r="A1943" s="350">
        <f>+A1941</f>
        <v>44316</v>
      </c>
      <c r="B1943" s="351">
        <f>+B1941</f>
        <v>4</v>
      </c>
      <c r="C1943" s="352">
        <v>1218</v>
      </c>
      <c r="D1943" s="340" t="str">
        <f>VLOOKUP(C1943,Plan!A:B,2,0)</f>
        <v>Otros Valores Tarjeta de Credito</v>
      </c>
      <c r="E1943" s="341">
        <f t="shared" si="29"/>
        <v>10072858</v>
      </c>
      <c r="F1943" s="353">
        <f>+G1938+G1939</f>
        <v>10072858</v>
      </c>
      <c r="G1943" s="353">
        <v>0</v>
      </c>
      <c r="H1943" s="354" t="str">
        <f>+H1941</f>
        <v>Centralización Recaudación Abril</v>
      </c>
      <c r="I1943" s="355" t="s">
        <v>131</v>
      </c>
      <c r="K1943" s="370"/>
      <c r="N1943" s="370"/>
    </row>
    <row r="1944" spans="1:14" s="347" customFormat="1" ht="17.5" customHeight="1" x14ac:dyDescent="0.25">
      <c r="A1944" s="350">
        <f t="shared" ref="A1944:B1951" si="32">+A1943</f>
        <v>44316</v>
      </c>
      <c r="B1944" s="351">
        <f t="shared" si="32"/>
        <v>4</v>
      </c>
      <c r="C1944" s="352">
        <v>202</v>
      </c>
      <c r="D1944" s="340" t="str">
        <f>VLOOKUP(C1944,Plan!A:B,2,0)</f>
        <v>Arzobispado por pagar</v>
      </c>
      <c r="E1944" s="341">
        <f t="shared" si="29"/>
        <v>-3294506</v>
      </c>
      <c r="F1944" s="353">
        <v>0</v>
      </c>
      <c r="G1944" s="353">
        <f>+ROUND((((G1934+G1936+G1938)*0.99)*0.88)*0.6,0)</f>
        <v>3294506</v>
      </c>
      <c r="H1944" s="354" t="str">
        <f t="shared" ref="H1944:H1960" si="33">+H1943</f>
        <v>Centralización Recaudación Abril</v>
      </c>
      <c r="I1944" s="355" t="s">
        <v>131</v>
      </c>
      <c r="N1944" s="370"/>
    </row>
    <row r="1945" spans="1:14" s="347" customFormat="1" ht="17.5" customHeight="1" x14ac:dyDescent="0.25">
      <c r="A1945" s="350">
        <f t="shared" si="32"/>
        <v>44316</v>
      </c>
      <c r="B1945" s="351">
        <f t="shared" si="32"/>
        <v>4</v>
      </c>
      <c r="C1945" s="352">
        <v>4120</v>
      </c>
      <c r="D1945" s="340" t="str">
        <f>VLOOKUP(C1945,Plan!A:B,2,0)</f>
        <v>Aporte Arzobispado</v>
      </c>
      <c r="E1945" s="341">
        <f t="shared" si="29"/>
        <v>3294506</v>
      </c>
      <c r="F1945" s="353">
        <f>+G1944</f>
        <v>3294506</v>
      </c>
      <c r="G1945" s="353">
        <v>0</v>
      </c>
      <c r="H1945" s="354" t="str">
        <f t="shared" si="33"/>
        <v>Centralización Recaudación Abril</v>
      </c>
      <c r="I1945" s="355" t="s">
        <v>131</v>
      </c>
      <c r="N1945" s="370"/>
    </row>
    <row r="1946" spans="1:14" s="347" customFormat="1" ht="17.5" customHeight="1" x14ac:dyDescent="0.25">
      <c r="A1946" s="350">
        <f t="shared" si="32"/>
        <v>44316</v>
      </c>
      <c r="B1946" s="351">
        <f t="shared" si="32"/>
        <v>4</v>
      </c>
      <c r="C1946" s="352">
        <v>203</v>
      </c>
      <c r="D1946" s="340" t="str">
        <f>VLOOKUP(C1946,Plan!A:B,2,0)</f>
        <v>Recaudadoras por pagar</v>
      </c>
      <c r="E1946" s="341">
        <f t="shared" si="29"/>
        <v>-66720</v>
      </c>
      <c r="F1946" s="353">
        <v>0</v>
      </c>
      <c r="G1946" s="356">
        <f>+F1940*0.12</f>
        <v>66720</v>
      </c>
      <c r="H1946" s="354" t="str">
        <f t="shared" si="33"/>
        <v>Centralización Recaudación Abril</v>
      </c>
      <c r="I1946" s="355" t="s">
        <v>131</v>
      </c>
      <c r="N1946" s="370"/>
    </row>
    <row r="1947" spans="1:14" s="347" customFormat="1" ht="17.5" customHeight="1" x14ac:dyDescent="0.25">
      <c r="A1947" s="350">
        <f t="shared" si="32"/>
        <v>44316</v>
      </c>
      <c r="B1947" s="351">
        <f t="shared" si="32"/>
        <v>4</v>
      </c>
      <c r="C1947" s="352">
        <v>201</v>
      </c>
      <c r="D1947" s="340" t="str">
        <f>VLOOKUP(C1947,Plan!A:B,2,0)</f>
        <v>1% por pagar</v>
      </c>
      <c r="E1947" s="341">
        <f t="shared" si="29"/>
        <v>-146809</v>
      </c>
      <c r="F1947" s="353">
        <v>0</v>
      </c>
      <c r="G1947" s="356">
        <f>ROUND(SUM(G1934:G1939)*0.01,0)</f>
        <v>146809</v>
      </c>
      <c r="H1947" s="354" t="str">
        <f t="shared" si="33"/>
        <v>Centralización Recaudación Abril</v>
      </c>
      <c r="I1947" s="355" t="s">
        <v>131</v>
      </c>
      <c r="N1947" s="370"/>
    </row>
    <row r="1948" spans="1:14" s="347" customFormat="1" ht="17.5" customHeight="1" x14ac:dyDescent="0.25">
      <c r="A1948" s="350">
        <f t="shared" si="32"/>
        <v>44316</v>
      </c>
      <c r="B1948" s="351">
        <f t="shared" si="32"/>
        <v>4</v>
      </c>
      <c r="C1948" s="352">
        <v>4140</v>
      </c>
      <c r="D1948" s="340" t="str">
        <f>VLOOKUP(C1948,Plan!A:B,2,0)</f>
        <v>Comisiones Cali Recaudadores</v>
      </c>
      <c r="E1948" s="341">
        <f t="shared" si="29"/>
        <v>66720</v>
      </c>
      <c r="F1948" s="353">
        <f>+G1946</f>
        <v>66720</v>
      </c>
      <c r="G1948" s="353">
        <v>0</v>
      </c>
      <c r="H1948" s="354" t="str">
        <f t="shared" si="33"/>
        <v>Centralización Recaudación Abril</v>
      </c>
      <c r="I1948" s="355" t="s">
        <v>131</v>
      </c>
      <c r="N1948" s="370"/>
    </row>
    <row r="1949" spans="1:14" s="347" customFormat="1" ht="17.5" customHeight="1" x14ac:dyDescent="0.25">
      <c r="A1949" s="350">
        <f t="shared" si="32"/>
        <v>44316</v>
      </c>
      <c r="B1949" s="351">
        <f t="shared" si="32"/>
        <v>4</v>
      </c>
      <c r="C1949" s="352">
        <v>4110</v>
      </c>
      <c r="D1949" s="340" t="str">
        <f>VLOOKUP(C1949,Plan!A:B,2,0)</f>
        <v>Aporte Papal</v>
      </c>
      <c r="E1949" s="341">
        <f t="shared" si="29"/>
        <v>146809</v>
      </c>
      <c r="F1949" s="353">
        <f>+G1947</f>
        <v>146809</v>
      </c>
      <c r="G1949" s="353">
        <v>0</v>
      </c>
      <c r="H1949" s="354" t="str">
        <f t="shared" si="33"/>
        <v>Centralización Recaudación Abril</v>
      </c>
      <c r="I1949" s="355" t="s">
        <v>131</v>
      </c>
      <c r="N1949" s="370"/>
    </row>
    <row r="1950" spans="1:14" s="347" customFormat="1" ht="17.5" customHeight="1" x14ac:dyDescent="0.25">
      <c r="A1950" s="470">
        <f t="shared" si="32"/>
        <v>44316</v>
      </c>
      <c r="B1950" s="471">
        <f t="shared" si="32"/>
        <v>4</v>
      </c>
      <c r="C1950" s="471">
        <v>3610</v>
      </c>
      <c r="D1950" s="472" t="str">
        <f>VLOOKUP(C1950,Plan!A:B,2,0)</f>
        <v>Cali  Arzobispado</v>
      </c>
      <c r="E1950" s="341">
        <f t="shared" si="29"/>
        <v>-5991290</v>
      </c>
      <c r="F1950" s="473">
        <v>0</v>
      </c>
      <c r="G1950" s="473">
        <v>5991290</v>
      </c>
      <c r="H1950" s="474" t="str">
        <f t="shared" si="33"/>
        <v>Centralización Recaudación Abril</v>
      </c>
      <c r="I1950" s="474" t="s">
        <v>131</v>
      </c>
      <c r="N1950" s="370"/>
    </row>
    <row r="1951" spans="1:14" s="347" customFormat="1" ht="17.5" customHeight="1" x14ac:dyDescent="0.25">
      <c r="A1951" s="470">
        <f t="shared" si="32"/>
        <v>44316</v>
      </c>
      <c r="B1951" s="471">
        <f t="shared" si="32"/>
        <v>4</v>
      </c>
      <c r="C1951" s="471">
        <v>3611</v>
      </c>
      <c r="D1951" s="472" t="str">
        <f>VLOOKUP(C1951,Plan!A:B,2,0)</f>
        <v>Cali  Arzobispado (249)</v>
      </c>
      <c r="E1951" s="341">
        <f t="shared" si="29"/>
        <v>-2020500</v>
      </c>
      <c r="F1951" s="473">
        <v>0</v>
      </c>
      <c r="G1951" s="473">
        <v>2020500</v>
      </c>
      <c r="H1951" s="474" t="str">
        <f t="shared" si="33"/>
        <v>Centralización Recaudación Abril</v>
      </c>
      <c r="I1951" s="474" t="s">
        <v>131</v>
      </c>
      <c r="N1951" s="370"/>
    </row>
    <row r="1952" spans="1:14" s="347" customFormat="1" ht="17.5" customHeight="1" x14ac:dyDescent="0.25">
      <c r="A1952" s="470">
        <f t="shared" ref="A1952:B1954" si="34">+A1950</f>
        <v>44316</v>
      </c>
      <c r="B1952" s="471">
        <f t="shared" si="34"/>
        <v>4</v>
      </c>
      <c r="C1952" s="471">
        <v>4160</v>
      </c>
      <c r="D1952" s="472" t="str">
        <f>VLOOKUP(C1952,Plan!A:B,2,0)</f>
        <v>Comisiones Cali Arzobispado</v>
      </c>
      <c r="E1952" s="341">
        <f t="shared" si="29"/>
        <v>410830</v>
      </c>
      <c r="F1952" s="473">
        <v>410830</v>
      </c>
      <c r="G1952" s="473">
        <v>0</v>
      </c>
      <c r="H1952" s="474" t="str">
        <f t="shared" si="33"/>
        <v>Centralización Recaudación Abril</v>
      </c>
      <c r="I1952" s="474" t="s">
        <v>131</v>
      </c>
      <c r="N1952" s="370"/>
    </row>
    <row r="1953" spans="1:14" s="347" customFormat="1" ht="17.5" customHeight="1" x14ac:dyDescent="0.25">
      <c r="A1953" s="470">
        <f t="shared" si="34"/>
        <v>44316</v>
      </c>
      <c r="B1953" s="471">
        <f t="shared" si="34"/>
        <v>4</v>
      </c>
      <c r="C1953" s="471">
        <v>4160</v>
      </c>
      <c r="D1953" s="472" t="str">
        <f>VLOOKUP(C1953,Plan!A:B,2,0)</f>
        <v>Comisiones Cali Arzobispado</v>
      </c>
      <c r="E1953" s="341">
        <f t="shared" si="29"/>
        <v>50513</v>
      </c>
      <c r="F1953" s="473">
        <v>50513</v>
      </c>
      <c r="G1953" s="473">
        <v>0</v>
      </c>
      <c r="H1953" s="474" t="str">
        <f t="shared" si="33"/>
        <v>Centralización Recaudación Abril</v>
      </c>
      <c r="I1953" s="474" t="s">
        <v>131</v>
      </c>
      <c r="N1953" s="370"/>
    </row>
    <row r="1954" spans="1:14" s="347" customFormat="1" x14ac:dyDescent="0.25">
      <c r="A1954" s="350">
        <f t="shared" si="34"/>
        <v>44316</v>
      </c>
      <c r="B1954" s="351">
        <f t="shared" si="34"/>
        <v>4</v>
      </c>
      <c r="C1954" s="352">
        <v>4120</v>
      </c>
      <c r="D1954" s="340" t="str">
        <f>VLOOKUP(C1954,Plan!A:B,2,0)</f>
        <v>Aporte Arzobispado</v>
      </c>
      <c r="E1954" s="341">
        <f t="shared" si="29"/>
        <v>3312328</v>
      </c>
      <c r="F1954" s="353">
        <f>ROUND((+G1950-F1952-F1955)*0.6,0)</f>
        <v>3312328</v>
      </c>
      <c r="G1954" s="353">
        <v>0</v>
      </c>
      <c r="H1954" s="354" t="str">
        <f t="shared" si="33"/>
        <v>Centralización Recaudación Abril</v>
      </c>
      <c r="I1954" s="355" t="s">
        <v>131</v>
      </c>
      <c r="N1954" s="370"/>
    </row>
    <row r="1955" spans="1:14" s="347" customFormat="1" x14ac:dyDescent="0.25">
      <c r="A1955" s="350">
        <f>+A1954</f>
        <v>44316</v>
      </c>
      <c r="B1955" s="351">
        <f>+B1954</f>
        <v>4</v>
      </c>
      <c r="C1955" s="352">
        <v>4110</v>
      </c>
      <c r="D1955" s="340" t="str">
        <f>VLOOKUP(C1955,Plan!A:B,2,0)</f>
        <v>Aporte Papal</v>
      </c>
      <c r="E1955" s="341">
        <f t="shared" si="29"/>
        <v>59913</v>
      </c>
      <c r="F1955" s="353">
        <f>ROUND((+G1950)*0.01,0)</f>
        <v>59913</v>
      </c>
      <c r="G1955" s="353">
        <v>0</v>
      </c>
      <c r="H1955" s="354" t="str">
        <f t="shared" si="33"/>
        <v>Centralización Recaudación Abril</v>
      </c>
      <c r="I1955" s="355" t="s">
        <v>131</v>
      </c>
      <c r="N1955" s="370"/>
    </row>
    <row r="1956" spans="1:14" s="347" customFormat="1" ht="17.5" customHeight="1" x14ac:dyDescent="0.25">
      <c r="A1956" s="350">
        <f>+A1955</f>
        <v>44316</v>
      </c>
      <c r="B1956" s="351">
        <f>+B1955</f>
        <v>4</v>
      </c>
      <c r="C1956" s="352">
        <v>4110</v>
      </c>
      <c r="D1956" s="340" t="str">
        <f>VLOOKUP(C1956,Plan!A:B,2,0)</f>
        <v>Aporte Papal</v>
      </c>
      <c r="E1956" s="341">
        <f t="shared" si="29"/>
        <v>20205</v>
      </c>
      <c r="F1956" s="353">
        <f>(+G1951)*0.01</f>
        <v>20205</v>
      </c>
      <c r="G1956" s="353">
        <v>0</v>
      </c>
      <c r="H1956" s="354" t="str">
        <f t="shared" si="33"/>
        <v>Centralización Recaudación Abril</v>
      </c>
      <c r="I1956" s="355" t="s">
        <v>131</v>
      </c>
      <c r="N1956" s="370"/>
    </row>
    <row r="1957" spans="1:14" s="347" customFormat="1" ht="17.5" customHeight="1" x14ac:dyDescent="0.25">
      <c r="A1957" s="350">
        <f>+A1955</f>
        <v>44316</v>
      </c>
      <c r="B1957" s="351">
        <f>+B1955</f>
        <v>4</v>
      </c>
      <c r="C1957" s="352">
        <v>1219</v>
      </c>
      <c r="D1957" s="340" t="str">
        <f>VLOOKUP(C1957,Plan!A:B,2,0)</f>
        <v>Otros Valores Arzobispado (248)</v>
      </c>
      <c r="E1957" s="341">
        <f t="shared" si="29"/>
        <v>2208219</v>
      </c>
      <c r="F1957" s="353">
        <f>+G1950-F1952-F1954-F1955</f>
        <v>2208219</v>
      </c>
      <c r="G1957" s="353">
        <v>0</v>
      </c>
      <c r="H1957" s="354" t="str">
        <f t="shared" si="33"/>
        <v>Centralización Recaudación Abril</v>
      </c>
      <c r="I1957" s="355" t="s">
        <v>131</v>
      </c>
      <c r="N1957" s="370"/>
    </row>
    <row r="1958" spans="1:14" s="347" customFormat="1" ht="17.5" customHeight="1" x14ac:dyDescent="0.25">
      <c r="A1958" s="350">
        <f>+A1957</f>
        <v>44316</v>
      </c>
      <c r="B1958" s="351">
        <f>+B1957</f>
        <v>4</v>
      </c>
      <c r="C1958" s="352">
        <v>1220</v>
      </c>
      <c r="D1958" s="340" t="str">
        <f>VLOOKUP(C1958,Plan!A:B,2,0)</f>
        <v>Otros Valores Arzobispado (249)</v>
      </c>
      <c r="E1958" s="341">
        <f t="shared" si="29"/>
        <v>1949782</v>
      </c>
      <c r="F1958" s="353">
        <f>+G1951-F1953-F1956</f>
        <v>1949782</v>
      </c>
      <c r="G1958" s="353">
        <v>0</v>
      </c>
      <c r="H1958" s="354" t="str">
        <f t="shared" si="33"/>
        <v>Centralización Recaudación Abril</v>
      </c>
      <c r="I1958" s="355" t="s">
        <v>131</v>
      </c>
      <c r="N1958" s="370"/>
    </row>
    <row r="1959" spans="1:14" s="347" customFormat="1" ht="17.5" customHeight="1" x14ac:dyDescent="0.25">
      <c r="A1959" s="350">
        <f>+A1957</f>
        <v>44316</v>
      </c>
      <c r="B1959" s="351">
        <f>+B1957</f>
        <v>4</v>
      </c>
      <c r="C1959" s="352">
        <v>1218</v>
      </c>
      <c r="D1959" s="340" t="str">
        <f>VLOOKUP(C1959,Plan!A:B,2,0)</f>
        <v>Otros Valores Tarjeta de Credito</v>
      </c>
      <c r="E1959" s="341">
        <f t="shared" si="29"/>
        <v>-119867</v>
      </c>
      <c r="F1959" s="353">
        <f>+G1952+G1954</f>
        <v>0</v>
      </c>
      <c r="G1959" s="353">
        <f>+F1960</f>
        <v>119867</v>
      </c>
      <c r="H1959" s="354" t="str">
        <f t="shared" si="33"/>
        <v>Centralización Recaudación Abril</v>
      </c>
      <c r="I1959" s="355" t="s">
        <v>131</v>
      </c>
      <c r="N1959" s="370"/>
    </row>
    <row r="1960" spans="1:14" s="347" customFormat="1" ht="17.5" customHeight="1" x14ac:dyDescent="0.25">
      <c r="A1960" s="350">
        <f>+A1957</f>
        <v>44316</v>
      </c>
      <c r="B1960" s="351">
        <f>+B1957</f>
        <v>4</v>
      </c>
      <c r="C1960" s="352">
        <v>4150</v>
      </c>
      <c r="D1960" s="340" t="str">
        <f>VLOOKUP(C1960,Plan!A:B,2,0)</f>
        <v>Comisiones Cali Tarjetas de Creditos</v>
      </c>
      <c r="E1960" s="341">
        <f t="shared" si="29"/>
        <v>119867</v>
      </c>
      <c r="F1960" s="353">
        <f>ROUND(+(G1939+G1938)*(1-0.9881),0)*1</f>
        <v>119867</v>
      </c>
      <c r="G1960" s="353">
        <v>0</v>
      </c>
      <c r="H1960" s="354" t="str">
        <f t="shared" si="33"/>
        <v>Centralización Recaudación Abril</v>
      </c>
      <c r="I1960" s="355" t="s">
        <v>131</v>
      </c>
      <c r="N1960" s="370"/>
    </row>
    <row r="1961" spans="1:14" s="347" customFormat="1" ht="17.5" customHeight="1" x14ac:dyDescent="0.25">
      <c r="A1961" s="350"/>
      <c r="B1961" s="351"/>
      <c r="C1961" s="352"/>
      <c r="D1961" s="340"/>
      <c r="E1961" s="341"/>
      <c r="F1961" s="353"/>
      <c r="G1961" s="353"/>
      <c r="H1961" s="354"/>
      <c r="I1961" s="355"/>
      <c r="N1961" s="370"/>
    </row>
    <row r="1962" spans="1:14" s="347" customFormat="1" ht="17.5" customHeight="1" x14ac:dyDescent="0.25">
      <c r="A1962" s="350">
        <f>+A1959</f>
        <v>44316</v>
      </c>
      <c r="B1962" s="351">
        <f>+B1959</f>
        <v>4</v>
      </c>
      <c r="C1962" s="352">
        <v>141</v>
      </c>
      <c r="D1962" s="340" t="str">
        <f>VLOOKUP(C1962,Plan!A:B,2,0)</f>
        <v>Cuentas por Cobrar a Administración</v>
      </c>
      <c r="E1962" s="341">
        <f t="shared" ref="E1962:E1985" si="35">+F1962-G1962</f>
        <v>200000</v>
      </c>
      <c r="F1962" s="370">
        <v>200000</v>
      </c>
      <c r="G1962" s="353"/>
      <c r="H1962" s="347" t="s">
        <v>1335</v>
      </c>
      <c r="I1962" s="355" t="s">
        <v>131</v>
      </c>
      <c r="N1962" s="370"/>
    </row>
    <row r="1963" spans="1:14" s="347" customFormat="1" ht="17.5" customHeight="1" x14ac:dyDescent="0.25">
      <c r="A1963" s="350">
        <f>+A1960</f>
        <v>44316</v>
      </c>
      <c r="B1963" s="351">
        <f>+B1960</f>
        <v>4</v>
      </c>
      <c r="C1963" s="352">
        <v>141</v>
      </c>
      <c r="D1963" s="340" t="str">
        <f>VLOOKUP(C1963,Plan!A:B,2,0)</f>
        <v>Cuentas por Cobrar a Administración</v>
      </c>
      <c r="E1963" s="341">
        <f t="shared" si="35"/>
        <v>15000</v>
      </c>
      <c r="F1963" s="370">
        <v>15000</v>
      </c>
      <c r="G1963" s="353"/>
      <c r="H1963" s="347" t="s">
        <v>1810</v>
      </c>
      <c r="I1963" s="355" t="s">
        <v>131</v>
      </c>
      <c r="N1963" s="370"/>
    </row>
    <row r="1964" spans="1:14" s="347" customFormat="1" ht="17.5" customHeight="1" x14ac:dyDescent="0.25">
      <c r="A1964" s="350">
        <f>+A1963</f>
        <v>44316</v>
      </c>
      <c r="B1964" s="351">
        <f>+B1963</f>
        <v>4</v>
      </c>
      <c r="C1964" s="352">
        <v>141</v>
      </c>
      <c r="D1964" s="340" t="str">
        <f>VLOOKUP(C1964,Plan!A:B,2,0)</f>
        <v>Cuentas por Cobrar a Administración</v>
      </c>
      <c r="E1964" s="341">
        <f t="shared" si="35"/>
        <v>20000</v>
      </c>
      <c r="F1964" s="370">
        <v>20000</v>
      </c>
      <c r="G1964" s="353"/>
      <c r="H1964" s="347" t="s">
        <v>1316</v>
      </c>
      <c r="I1964" s="355" t="s">
        <v>131</v>
      </c>
      <c r="N1964" s="370"/>
    </row>
    <row r="1965" spans="1:14" s="347" customFormat="1" ht="17.5" customHeight="1" x14ac:dyDescent="0.25">
      <c r="A1965" s="350">
        <f t="shared" ref="A1965:B1967" si="36">+A1962</f>
        <v>44316</v>
      </c>
      <c r="B1965" s="351">
        <f t="shared" si="36"/>
        <v>4</v>
      </c>
      <c r="C1965" s="352">
        <v>141</v>
      </c>
      <c r="D1965" s="340" t="str">
        <f>VLOOKUP(C1965,Plan!A:B,2,0)</f>
        <v>Cuentas por Cobrar a Administración</v>
      </c>
      <c r="E1965" s="341">
        <f t="shared" si="35"/>
        <v>40000</v>
      </c>
      <c r="F1965" s="370">
        <v>40000</v>
      </c>
      <c r="G1965" s="353"/>
      <c r="H1965" s="347" t="s">
        <v>1409</v>
      </c>
      <c r="I1965" s="355" t="s">
        <v>131</v>
      </c>
      <c r="N1965" s="370"/>
    </row>
    <row r="1966" spans="1:14" s="347" customFormat="1" x14ac:dyDescent="0.25">
      <c r="A1966" s="350">
        <f t="shared" si="36"/>
        <v>44316</v>
      </c>
      <c r="B1966" s="351">
        <f t="shared" si="36"/>
        <v>4</v>
      </c>
      <c r="C1966" s="352">
        <v>141</v>
      </c>
      <c r="D1966" s="340" t="str">
        <f>VLOOKUP(C1966,Plan!A:B,2,0)</f>
        <v>Cuentas por Cobrar a Administración</v>
      </c>
      <c r="E1966" s="341">
        <f t="shared" si="35"/>
        <v>50000</v>
      </c>
      <c r="F1966" s="370">
        <v>50000</v>
      </c>
      <c r="G1966" s="353"/>
      <c r="H1966" s="347" t="s">
        <v>733</v>
      </c>
      <c r="I1966" s="355" t="s">
        <v>131</v>
      </c>
      <c r="N1966" s="370"/>
    </row>
    <row r="1967" spans="1:14" s="347" customFormat="1" x14ac:dyDescent="0.25">
      <c r="A1967" s="350">
        <f t="shared" si="36"/>
        <v>44316</v>
      </c>
      <c r="B1967" s="351">
        <f t="shared" si="36"/>
        <v>4</v>
      </c>
      <c r="C1967" s="352">
        <v>141</v>
      </c>
      <c r="D1967" s="340" t="str">
        <f>VLOOKUP(C1967,Plan!A:B,2,0)</f>
        <v>Cuentas por Cobrar a Administración</v>
      </c>
      <c r="E1967" s="341">
        <f t="shared" si="35"/>
        <v>100000</v>
      </c>
      <c r="F1967" s="370">
        <v>100000</v>
      </c>
      <c r="G1967" s="353"/>
      <c r="H1967" s="347" t="s">
        <v>743</v>
      </c>
      <c r="I1967" s="355" t="s">
        <v>131</v>
      </c>
      <c r="N1967" s="370"/>
    </row>
    <row r="1968" spans="1:14" s="347" customFormat="1" x14ac:dyDescent="0.25">
      <c r="A1968" s="350">
        <f>+A1966</f>
        <v>44316</v>
      </c>
      <c r="B1968" s="351">
        <f>+B1966</f>
        <v>4</v>
      </c>
      <c r="C1968" s="352">
        <v>141</v>
      </c>
      <c r="D1968" s="340" t="str">
        <f>VLOOKUP(C1968,Plan!A:B,2,0)</f>
        <v>Cuentas por Cobrar a Administración</v>
      </c>
      <c r="E1968" s="341">
        <f t="shared" si="35"/>
        <v>20000</v>
      </c>
      <c r="F1968" s="370">
        <v>20000</v>
      </c>
      <c r="G1968" s="353"/>
      <c r="H1968" s="347" t="s">
        <v>1383</v>
      </c>
      <c r="I1968" s="355" t="s">
        <v>131</v>
      </c>
      <c r="K1968" s="370"/>
      <c r="N1968" s="370"/>
    </row>
    <row r="1969" spans="1:14" s="347" customFormat="1" x14ac:dyDescent="0.25">
      <c r="A1969" s="350">
        <f>+A1967</f>
        <v>44316</v>
      </c>
      <c r="B1969" s="351">
        <f>+B1967</f>
        <v>4</v>
      </c>
      <c r="C1969" s="352">
        <v>141</v>
      </c>
      <c r="D1969" s="340" t="str">
        <f>VLOOKUP(C1969,Plan!A:B,2,0)</f>
        <v>Cuentas por Cobrar a Administración</v>
      </c>
      <c r="E1969" s="341">
        <f t="shared" si="35"/>
        <v>30000</v>
      </c>
      <c r="F1969" s="370">
        <v>30000</v>
      </c>
      <c r="G1969" s="353"/>
      <c r="H1969" s="347" t="s">
        <v>1319</v>
      </c>
      <c r="I1969" s="355" t="s">
        <v>131</v>
      </c>
      <c r="K1969" s="370"/>
      <c r="N1969" s="370"/>
    </row>
    <row r="1970" spans="1:14" s="347" customFormat="1" x14ac:dyDescent="0.25">
      <c r="A1970" s="350">
        <f>+A1969</f>
        <v>44316</v>
      </c>
      <c r="B1970" s="351">
        <f>+B1969</f>
        <v>4</v>
      </c>
      <c r="C1970" s="352">
        <v>141</v>
      </c>
      <c r="D1970" s="340" t="str">
        <f>VLOOKUP(C1970,Plan!A:B,2,0)</f>
        <v>Cuentas por Cobrar a Administración</v>
      </c>
      <c r="E1970" s="341">
        <f t="shared" si="35"/>
        <v>20000</v>
      </c>
      <c r="F1970" s="370">
        <v>20000</v>
      </c>
      <c r="G1970" s="353"/>
      <c r="H1970" s="347" t="s">
        <v>1352</v>
      </c>
      <c r="I1970" s="355" t="s">
        <v>131</v>
      </c>
      <c r="K1970" s="370"/>
      <c r="N1970" s="370"/>
    </row>
    <row r="1971" spans="1:14" s="347" customFormat="1" x14ac:dyDescent="0.25">
      <c r="A1971" s="350">
        <f>+A1968</f>
        <v>44316</v>
      </c>
      <c r="B1971" s="351">
        <f>+B1968</f>
        <v>4</v>
      </c>
      <c r="C1971" s="352">
        <v>141</v>
      </c>
      <c r="D1971" s="340" t="str">
        <f>VLOOKUP(C1971,Plan!A:B,2,0)</f>
        <v>Cuentas por Cobrar a Administración</v>
      </c>
      <c r="E1971" s="341">
        <f t="shared" si="35"/>
        <v>20020</v>
      </c>
      <c r="F1971" s="370">
        <v>20020</v>
      </c>
      <c r="G1971" s="353"/>
      <c r="H1971" s="347" t="s">
        <v>1413</v>
      </c>
      <c r="I1971" s="355" t="s">
        <v>131</v>
      </c>
      <c r="K1971" s="370"/>
      <c r="N1971" s="370"/>
    </row>
    <row r="1972" spans="1:14" s="347" customFormat="1" x14ac:dyDescent="0.25">
      <c r="A1972" s="350">
        <f>+A1969</f>
        <v>44316</v>
      </c>
      <c r="B1972" s="351">
        <f>+B1969</f>
        <v>4</v>
      </c>
      <c r="C1972" s="352">
        <v>141</v>
      </c>
      <c r="D1972" s="340" t="str">
        <f>VLOOKUP(C1972,Plan!A:B,2,0)</f>
        <v>Cuentas por Cobrar a Administración</v>
      </c>
      <c r="E1972" s="341">
        <f t="shared" si="35"/>
        <v>15000</v>
      </c>
      <c r="F1972" s="370">
        <v>15000</v>
      </c>
      <c r="G1972" s="353"/>
      <c r="H1972" s="347" t="s">
        <v>1404</v>
      </c>
      <c r="I1972" s="355" t="s">
        <v>131</v>
      </c>
      <c r="K1972" s="370"/>
      <c r="N1972" s="370"/>
    </row>
    <row r="1973" spans="1:14" s="347" customFormat="1" x14ac:dyDescent="0.25">
      <c r="A1973" s="350">
        <f>+A1971</f>
        <v>44316</v>
      </c>
      <c r="B1973" s="351">
        <f>+B1971</f>
        <v>4</v>
      </c>
      <c r="C1973" s="352">
        <v>141</v>
      </c>
      <c r="D1973" s="340" t="str">
        <f>VLOOKUP(C1973,Plan!A:B,2,0)</f>
        <v>Cuentas por Cobrar a Administración</v>
      </c>
      <c r="E1973" s="341">
        <f t="shared" si="35"/>
        <v>30000</v>
      </c>
      <c r="F1973" s="370">
        <v>30000</v>
      </c>
      <c r="G1973" s="353"/>
      <c r="H1973" t="s">
        <v>675</v>
      </c>
      <c r="I1973" s="355" t="s">
        <v>131</v>
      </c>
      <c r="K1973" s="370"/>
      <c r="N1973" s="370"/>
    </row>
    <row r="1974" spans="1:14" s="347" customFormat="1" x14ac:dyDescent="0.25">
      <c r="A1974" s="350">
        <f>+A1971</f>
        <v>44316</v>
      </c>
      <c r="B1974" s="351">
        <f>+B1971</f>
        <v>4</v>
      </c>
      <c r="C1974" s="352">
        <v>3210</v>
      </c>
      <c r="D1974" s="340" t="str">
        <f>VLOOKUP(C1974,Plan!A:B,2,0)</f>
        <v>Donacion Construccion</v>
      </c>
      <c r="E1974" s="341">
        <f t="shared" si="35"/>
        <v>-200000</v>
      </c>
      <c r="F1974" s="346">
        <v>0</v>
      </c>
      <c r="G1974" s="370">
        <v>200000</v>
      </c>
      <c r="H1974" s="347" t="s">
        <v>1335</v>
      </c>
      <c r="I1974" s="355" t="s">
        <v>131</v>
      </c>
      <c r="K1974" s="370"/>
      <c r="N1974" s="370"/>
    </row>
    <row r="1975" spans="1:14" s="347" customFormat="1" x14ac:dyDescent="0.25">
      <c r="A1975" s="350">
        <f>+A1972</f>
        <v>44316</v>
      </c>
      <c r="B1975" s="351">
        <f>+B1972</f>
        <v>4</v>
      </c>
      <c r="C1975" s="352">
        <v>1222</v>
      </c>
      <c r="D1975" s="340" t="str">
        <f>VLOOKUP(C1975,Plan!A:B,2,0)</f>
        <v>Otros Valores -Oficina y Transferencias (249)</v>
      </c>
      <c r="E1975" s="341">
        <f t="shared" si="35"/>
        <v>-15000</v>
      </c>
      <c r="F1975" s="346">
        <v>0</v>
      </c>
      <c r="G1975" s="370">
        <v>15000</v>
      </c>
      <c r="H1975" s="347" t="s">
        <v>1810</v>
      </c>
      <c r="I1975" s="355" t="s">
        <v>131</v>
      </c>
      <c r="K1975" s="370"/>
      <c r="N1975" s="370"/>
    </row>
    <row r="1976" spans="1:14" s="347" customFormat="1" x14ac:dyDescent="0.25">
      <c r="A1976" s="350">
        <f>+A1975</f>
        <v>44316</v>
      </c>
      <c r="B1976" s="351">
        <f>+B1975</f>
        <v>4</v>
      </c>
      <c r="C1976" s="352">
        <v>3210</v>
      </c>
      <c r="D1976" s="340" t="str">
        <f>VLOOKUP(C1976,Plan!A:B,2,0)</f>
        <v>Donacion Construccion</v>
      </c>
      <c r="E1976" s="341">
        <f t="shared" si="35"/>
        <v>-20000</v>
      </c>
      <c r="F1976" s="346">
        <v>0</v>
      </c>
      <c r="G1976" s="370">
        <v>20000</v>
      </c>
      <c r="H1976" s="347" t="s">
        <v>1316</v>
      </c>
      <c r="I1976" s="355" t="s">
        <v>131</v>
      </c>
      <c r="K1976" s="370"/>
      <c r="N1976" s="370"/>
    </row>
    <row r="1977" spans="1:14" s="347" customFormat="1" x14ac:dyDescent="0.25">
      <c r="A1977" s="350">
        <f t="shared" ref="A1977:B1979" si="37">+A1974</f>
        <v>44316</v>
      </c>
      <c r="B1977" s="351">
        <f t="shared" si="37"/>
        <v>4</v>
      </c>
      <c r="C1977" s="352">
        <v>1222</v>
      </c>
      <c r="D1977" s="340" t="str">
        <f>VLOOKUP(C1977,Plan!A:B,2,0)</f>
        <v>Otros Valores -Oficina y Transferencias (249)</v>
      </c>
      <c r="E1977" s="341">
        <f t="shared" si="35"/>
        <v>-40000</v>
      </c>
      <c r="F1977" s="346">
        <v>0</v>
      </c>
      <c r="G1977" s="370">
        <v>40000</v>
      </c>
      <c r="H1977" s="347" t="s">
        <v>1409</v>
      </c>
      <c r="I1977" s="355" t="s">
        <v>131</v>
      </c>
      <c r="K1977" s="370"/>
      <c r="N1977" s="370"/>
    </row>
    <row r="1978" spans="1:14" s="347" customFormat="1" x14ac:dyDescent="0.25">
      <c r="A1978" s="350">
        <f t="shared" si="37"/>
        <v>44316</v>
      </c>
      <c r="B1978" s="351">
        <f t="shared" si="37"/>
        <v>4</v>
      </c>
      <c r="C1978" s="352">
        <v>3210</v>
      </c>
      <c r="D1978" s="340" t="str">
        <f>VLOOKUP(C1978,Plan!A:B,2,0)</f>
        <v>Donacion Construccion</v>
      </c>
      <c r="E1978" s="341">
        <f t="shared" si="35"/>
        <v>-50000</v>
      </c>
      <c r="F1978" s="346">
        <v>0</v>
      </c>
      <c r="G1978" s="370">
        <v>50000</v>
      </c>
      <c r="H1978" s="347" t="s">
        <v>733</v>
      </c>
      <c r="I1978" s="355" t="s">
        <v>131</v>
      </c>
      <c r="K1978" s="370"/>
      <c r="N1978" s="370"/>
    </row>
    <row r="1979" spans="1:14" s="347" customFormat="1" x14ac:dyDescent="0.25">
      <c r="A1979" s="350">
        <f t="shared" si="37"/>
        <v>44316</v>
      </c>
      <c r="B1979" s="351">
        <f t="shared" si="37"/>
        <v>4</v>
      </c>
      <c r="C1979" s="352">
        <v>1222</v>
      </c>
      <c r="D1979" s="340" t="str">
        <f>VLOOKUP(C1979,Plan!A:B,2,0)</f>
        <v>Otros Valores -Oficina y Transferencias (249)</v>
      </c>
      <c r="E1979" s="341">
        <f t="shared" si="35"/>
        <v>-100000</v>
      </c>
      <c r="F1979" s="346">
        <v>0</v>
      </c>
      <c r="G1979" s="370">
        <v>100000</v>
      </c>
      <c r="H1979" s="347" t="s">
        <v>743</v>
      </c>
      <c r="I1979" s="355" t="s">
        <v>131</v>
      </c>
      <c r="K1979" s="370"/>
      <c r="N1979" s="370"/>
    </row>
    <row r="1980" spans="1:14" s="347" customFormat="1" x14ac:dyDescent="0.25">
      <c r="A1980" s="350">
        <f>+A1978</f>
        <v>44316</v>
      </c>
      <c r="B1980" s="351">
        <f>+B1978</f>
        <v>4</v>
      </c>
      <c r="C1980" s="352">
        <v>3210</v>
      </c>
      <c r="D1980" s="340" t="str">
        <f>VLOOKUP(C1980,Plan!A:B,2,0)</f>
        <v>Donacion Construccion</v>
      </c>
      <c r="E1980" s="341">
        <f t="shared" si="35"/>
        <v>-20000</v>
      </c>
      <c r="F1980" s="346">
        <v>0</v>
      </c>
      <c r="G1980" s="370">
        <v>20000</v>
      </c>
      <c r="H1980" s="347" t="s">
        <v>1383</v>
      </c>
      <c r="I1980" s="355" t="s">
        <v>131</v>
      </c>
      <c r="K1980" s="370"/>
      <c r="N1980" s="370"/>
    </row>
    <row r="1981" spans="1:14" s="347" customFormat="1" x14ac:dyDescent="0.25">
      <c r="A1981" s="350">
        <f>+A1979</f>
        <v>44316</v>
      </c>
      <c r="B1981" s="351">
        <f>+B1979</f>
        <v>4</v>
      </c>
      <c r="C1981" s="352">
        <v>1222</v>
      </c>
      <c r="D1981" s="340" t="str">
        <f>VLOOKUP(C1981,Plan!A:B,2,0)</f>
        <v>Otros Valores -Oficina y Transferencias (249)</v>
      </c>
      <c r="E1981" s="341">
        <f t="shared" si="35"/>
        <v>-30000</v>
      </c>
      <c r="F1981" s="346">
        <v>0</v>
      </c>
      <c r="G1981" s="370">
        <v>30000</v>
      </c>
      <c r="H1981" s="347" t="s">
        <v>1319</v>
      </c>
      <c r="I1981" s="355" t="s">
        <v>131</v>
      </c>
      <c r="K1981" s="370"/>
      <c r="N1981" s="370"/>
    </row>
    <row r="1982" spans="1:14" s="347" customFormat="1" x14ac:dyDescent="0.25">
      <c r="A1982" s="350">
        <f>+A1981</f>
        <v>44316</v>
      </c>
      <c r="B1982" s="351">
        <f>+B1981</f>
        <v>4</v>
      </c>
      <c r="C1982" s="352">
        <v>3210</v>
      </c>
      <c r="D1982" s="340" t="str">
        <f>VLOOKUP(C1982,Plan!A:B,2,0)</f>
        <v>Donacion Construccion</v>
      </c>
      <c r="E1982" s="341">
        <f t="shared" si="35"/>
        <v>-20000</v>
      </c>
      <c r="F1982" s="346">
        <v>0</v>
      </c>
      <c r="G1982" s="370">
        <v>20000</v>
      </c>
      <c r="H1982" s="347" t="s">
        <v>1352</v>
      </c>
      <c r="I1982" s="355" t="s">
        <v>131</v>
      </c>
      <c r="K1982" s="370"/>
      <c r="N1982" s="370"/>
    </row>
    <row r="1983" spans="1:14" s="347" customFormat="1" x14ac:dyDescent="0.25">
      <c r="A1983" s="350">
        <f>+A1980</f>
        <v>44316</v>
      </c>
      <c r="B1983" s="351">
        <f>+B1980</f>
        <v>4</v>
      </c>
      <c r="C1983" s="352">
        <v>1217</v>
      </c>
      <c r="D1983" s="340" t="str">
        <f>VLOOKUP(C1983,Plan!A:B,2,0)</f>
        <v>Otros Valores -Oficina y Transferencias (248)</v>
      </c>
      <c r="E1983" s="341">
        <f t="shared" si="35"/>
        <v>-20020</v>
      </c>
      <c r="F1983" s="346">
        <v>0</v>
      </c>
      <c r="G1983" s="370">
        <v>20020</v>
      </c>
      <c r="H1983" s="347" t="s">
        <v>1413</v>
      </c>
      <c r="I1983" s="355" t="s">
        <v>131</v>
      </c>
      <c r="K1983" s="370"/>
      <c r="N1983" s="370"/>
    </row>
    <row r="1984" spans="1:14" s="347" customFormat="1" x14ac:dyDescent="0.25">
      <c r="A1984" s="350">
        <f>+A1981</f>
        <v>44316</v>
      </c>
      <c r="B1984" s="351">
        <f>+B1981</f>
        <v>4</v>
      </c>
      <c r="C1984" s="352">
        <v>3210</v>
      </c>
      <c r="D1984" s="340" t="str">
        <f>VLOOKUP(C1984,Plan!A:B,2,0)</f>
        <v>Donacion Construccion</v>
      </c>
      <c r="E1984" s="341">
        <f t="shared" si="35"/>
        <v>-15000</v>
      </c>
      <c r="F1984" s="346">
        <v>0</v>
      </c>
      <c r="G1984" s="370">
        <v>15000</v>
      </c>
      <c r="H1984" s="347" t="s">
        <v>1404</v>
      </c>
      <c r="I1984" s="355" t="s">
        <v>131</v>
      </c>
      <c r="K1984" s="370"/>
      <c r="N1984" s="370"/>
    </row>
    <row r="1985" spans="1:14" s="347" customFormat="1" x14ac:dyDescent="0.25">
      <c r="A1985" s="350">
        <f>+A1983</f>
        <v>44316</v>
      </c>
      <c r="B1985" s="351">
        <f>+B1983</f>
        <v>4</v>
      </c>
      <c r="C1985" s="352">
        <v>1222</v>
      </c>
      <c r="D1985" s="340" t="str">
        <f>VLOOKUP(C1985,Plan!A:B,2,0)</f>
        <v>Otros Valores -Oficina y Transferencias (249)</v>
      </c>
      <c r="E1985" s="341">
        <f t="shared" si="35"/>
        <v>-30000</v>
      </c>
      <c r="F1985" s="346">
        <v>0</v>
      </c>
      <c r="G1985" s="370">
        <v>30000</v>
      </c>
      <c r="H1985" t="s">
        <v>675</v>
      </c>
      <c r="I1985" s="355" t="s">
        <v>131</v>
      </c>
      <c r="K1985" s="370"/>
      <c r="N1985" s="370"/>
    </row>
    <row r="1986" spans="1:14" s="347" customFormat="1" x14ac:dyDescent="0.25">
      <c r="A1986" s="350"/>
      <c r="B1986" s="351"/>
      <c r="C1986" s="352"/>
      <c r="D1986" s="340"/>
      <c r="E1986" s="341"/>
      <c r="F1986" s="370"/>
      <c r="G1986" s="370"/>
      <c r="H1986"/>
      <c r="I1986" s="355"/>
      <c r="K1986" s="370"/>
      <c r="N1986" s="370"/>
    </row>
    <row r="1987" spans="1:14" s="347" customFormat="1" x14ac:dyDescent="0.25">
      <c r="A1987" s="402">
        <f>+A1963</f>
        <v>44316</v>
      </c>
      <c r="B1987" s="403">
        <f>+B1963</f>
        <v>4</v>
      </c>
      <c r="C1987" s="338">
        <v>125</v>
      </c>
      <c r="D1987" s="340" t="str">
        <f>VLOOKUP(C1987,Plan!A:B,2,0)</f>
        <v>Depósito a plazo Cali</v>
      </c>
      <c r="E1987" s="341">
        <f>+F1987-G1987</f>
        <v>0</v>
      </c>
      <c r="F1987" s="346">
        <v>0</v>
      </c>
      <c r="G1987" s="346">
        <v>0</v>
      </c>
      <c r="H1987" s="343" t="s">
        <v>858</v>
      </c>
      <c r="I1987" s="340" t="s">
        <v>131</v>
      </c>
      <c r="K1987" s="370"/>
      <c r="N1987" s="370"/>
    </row>
    <row r="1988" spans="1:14" s="347" customFormat="1" x14ac:dyDescent="0.25">
      <c r="A1988" s="402">
        <f>+A1987</f>
        <v>44316</v>
      </c>
      <c r="B1988" s="403">
        <f>+B1987</f>
        <v>4</v>
      </c>
      <c r="C1988" s="338">
        <v>6002</v>
      </c>
      <c r="D1988" s="340" t="str">
        <f>VLOOKUP(C1988,Plan!A:B,2,0)</f>
        <v>Intereses Financieros Cali</v>
      </c>
      <c r="E1988" s="341">
        <f>+F1988-G1988</f>
        <v>0</v>
      </c>
      <c r="F1988" s="346">
        <v>0</v>
      </c>
      <c r="G1988" s="346">
        <f>+F1987</f>
        <v>0</v>
      </c>
      <c r="H1988" s="338" t="s">
        <v>858</v>
      </c>
      <c r="I1988" s="340" t="s">
        <v>131</v>
      </c>
      <c r="K1988" s="370"/>
      <c r="N1988" s="370"/>
    </row>
    <row r="1989" spans="1:14" s="347" customFormat="1" x14ac:dyDescent="0.25">
      <c r="A1989" s="339"/>
      <c r="B1989" s="340"/>
      <c r="C1989" s="338"/>
      <c r="D1989" s="340"/>
      <c r="E1989" s="396"/>
      <c r="F1989" s="396"/>
      <c r="G1989" s="396"/>
      <c r="H1989" s="338"/>
      <c r="I1989" s="340"/>
      <c r="K1989" s="370"/>
      <c r="N1989" s="370"/>
    </row>
    <row r="1990" spans="1:14" s="347" customFormat="1" x14ac:dyDescent="0.25">
      <c r="A1990" s="402">
        <f>+A1987</f>
        <v>44316</v>
      </c>
      <c r="B1990" s="403">
        <f>+B1987</f>
        <v>4</v>
      </c>
      <c r="C1990" s="338">
        <v>118</v>
      </c>
      <c r="D1990" s="340" t="str">
        <f>VLOOKUP(C1990,Plan!A:B,2,0)</f>
        <v>Depósito a plazo Cali Banco Security</v>
      </c>
      <c r="E1990" s="341">
        <f>+F1990-G1990</f>
        <v>520326</v>
      </c>
      <c r="F1990" s="346">
        <v>520326</v>
      </c>
      <c r="G1990" s="346">
        <v>0</v>
      </c>
      <c r="H1990" s="343" t="s">
        <v>859</v>
      </c>
      <c r="I1990" s="340" t="s">
        <v>131</v>
      </c>
      <c r="K1990" s="370"/>
      <c r="N1990" s="370"/>
    </row>
    <row r="1991" spans="1:14" s="347" customFormat="1" x14ac:dyDescent="0.25">
      <c r="A1991" s="402">
        <f>+A1990</f>
        <v>44316</v>
      </c>
      <c r="B1991" s="403">
        <f>+B1990</f>
        <v>4</v>
      </c>
      <c r="C1991" s="338">
        <v>6002</v>
      </c>
      <c r="D1991" s="340" t="str">
        <f>VLOOKUP(C1991,Plan!A:B,2,0)</f>
        <v>Intereses Financieros Cali</v>
      </c>
      <c r="E1991" s="341">
        <f>+F1991-G1991</f>
        <v>-520326</v>
      </c>
      <c r="F1991" s="346">
        <v>0</v>
      </c>
      <c r="G1991" s="346">
        <f>+F1990</f>
        <v>520326</v>
      </c>
      <c r="H1991" s="338" t="s">
        <v>859</v>
      </c>
      <c r="I1991" s="340" t="s">
        <v>131</v>
      </c>
      <c r="K1991" s="370"/>
      <c r="N1991" s="370"/>
    </row>
    <row r="1992" spans="1:14" s="347" customFormat="1" x14ac:dyDescent="0.25">
      <c r="A1992" s="339"/>
      <c r="B1992" s="340"/>
      <c r="C1992" s="338"/>
      <c r="D1992" s="340"/>
      <c r="E1992" s="396"/>
      <c r="F1992" s="396"/>
      <c r="G1992" s="396"/>
      <c r="H1992" s="338"/>
      <c r="I1992" s="340"/>
      <c r="K1992" s="370"/>
      <c r="N1992" s="370"/>
    </row>
    <row r="1993" spans="1:14" s="347" customFormat="1" x14ac:dyDescent="0.25">
      <c r="A1993" s="402">
        <f>+A1990</f>
        <v>44316</v>
      </c>
      <c r="B1993" s="403">
        <f>+B1990</f>
        <v>4</v>
      </c>
      <c r="C1993" s="338">
        <v>119</v>
      </c>
      <c r="D1993" s="340" t="str">
        <f>VLOOKUP(C1993,Plan!A:B,2,0)</f>
        <v>FM Cali Banco Security</v>
      </c>
      <c r="E1993" s="341">
        <f>+F1993-G1993</f>
        <v>3233</v>
      </c>
      <c r="F1993" s="346">
        <v>3233</v>
      </c>
      <c r="G1993" s="346">
        <v>0</v>
      </c>
      <c r="H1993" s="343" t="s">
        <v>554</v>
      </c>
      <c r="I1993" s="340" t="s">
        <v>131</v>
      </c>
      <c r="K1993" s="370"/>
      <c r="N1993" s="370"/>
    </row>
    <row r="1994" spans="1:14" s="347" customFormat="1" x14ac:dyDescent="0.25">
      <c r="A1994" s="402">
        <f>+A1993</f>
        <v>44316</v>
      </c>
      <c r="B1994" s="403">
        <f>+B1993</f>
        <v>4</v>
      </c>
      <c r="C1994" s="338">
        <v>6002</v>
      </c>
      <c r="D1994" s="340" t="str">
        <f>VLOOKUP(C1994,Plan!A:B,2,0)</f>
        <v>Intereses Financieros Cali</v>
      </c>
      <c r="E1994" s="341">
        <f>+F1994-G1994</f>
        <v>-3233</v>
      </c>
      <c r="F1994" s="346">
        <v>0</v>
      </c>
      <c r="G1994" s="346">
        <f>+F1993</f>
        <v>3233</v>
      </c>
      <c r="H1994" s="338" t="s">
        <v>554</v>
      </c>
      <c r="I1994" s="340" t="s">
        <v>131</v>
      </c>
      <c r="K1994" s="370"/>
      <c r="N1994" s="370"/>
    </row>
    <row r="1995" spans="1:14" s="347" customFormat="1" x14ac:dyDescent="0.25">
      <c r="A1995" s="369"/>
      <c r="E1995" s="396"/>
      <c r="F1995" s="396"/>
      <c r="G1995" s="396"/>
      <c r="K1995" s="370"/>
      <c r="N1995" s="370"/>
    </row>
    <row r="1996" spans="1:14" s="347" customFormat="1" x14ac:dyDescent="0.25">
      <c r="A1996" s="402">
        <f>+A1993</f>
        <v>44316</v>
      </c>
      <c r="B1996" s="403">
        <f>+B1993</f>
        <v>4</v>
      </c>
      <c r="C1996" s="338">
        <v>113</v>
      </c>
      <c r="D1996" s="340" t="str">
        <f>VLOOKUP(C1996,Plan!A:B,2,0)</f>
        <v>Depósito a plazo Cali Banco Santander</v>
      </c>
      <c r="E1996" s="341">
        <f>+F1996-G1996</f>
        <v>12000</v>
      </c>
      <c r="F1996" s="346">
        <v>12000</v>
      </c>
      <c r="G1996" s="346">
        <v>0</v>
      </c>
      <c r="H1996" s="343" t="s">
        <v>2122</v>
      </c>
      <c r="I1996" s="340" t="s">
        <v>131</v>
      </c>
      <c r="K1996" s="370"/>
      <c r="N1996" s="370"/>
    </row>
    <row r="1997" spans="1:14" s="347" customFormat="1" x14ac:dyDescent="0.25">
      <c r="A1997" s="402">
        <f>+A1996</f>
        <v>44316</v>
      </c>
      <c r="B1997" s="403">
        <f>+B1996</f>
        <v>4</v>
      </c>
      <c r="C1997" s="338">
        <v>6002</v>
      </c>
      <c r="D1997" s="340" t="str">
        <f>VLOOKUP(C1997,Plan!A:B,2,0)</f>
        <v>Intereses Financieros Cali</v>
      </c>
      <c r="E1997" s="341">
        <f>+F1997-G1997</f>
        <v>-12000</v>
      </c>
      <c r="F1997" s="346">
        <v>0</v>
      </c>
      <c r="G1997" s="346">
        <f>+F1996</f>
        <v>12000</v>
      </c>
      <c r="H1997" s="338" t="str">
        <f>+H1996</f>
        <v>Intereses Devengados DAP Santander</v>
      </c>
      <c r="I1997" s="340" t="s">
        <v>131</v>
      </c>
      <c r="K1997" s="370"/>
      <c r="N1997" s="370"/>
    </row>
    <row r="1998" spans="1:14" s="347" customFormat="1" x14ac:dyDescent="0.25">
      <c r="A1998" s="369"/>
      <c r="D1998" s="340"/>
      <c r="E1998" s="341"/>
      <c r="F1998" s="353"/>
      <c r="G1998" s="353"/>
      <c r="H1998"/>
      <c r="I1998" s="403"/>
      <c r="K1998" s="370"/>
      <c r="N1998" s="370"/>
    </row>
    <row r="1999" spans="1:14" s="347" customFormat="1" x14ac:dyDescent="0.25">
      <c r="A1999" s="369">
        <v>44319</v>
      </c>
      <c r="B1999" s="347">
        <f>+MONTH(A1999)</f>
        <v>5</v>
      </c>
      <c r="C1999" s="347">
        <v>115</v>
      </c>
      <c r="D1999" s="340" t="str">
        <f>VLOOKUP(C1999,Plan!A:B,2,0)</f>
        <v>Disponible Cali B.Chile</v>
      </c>
      <c r="E1999" s="341">
        <f>+F1999-G1999</f>
        <v>15000</v>
      </c>
      <c r="F1999" s="405">
        <v>15000</v>
      </c>
      <c r="G1999" s="405">
        <v>0</v>
      </c>
      <c r="H1999" t="s">
        <v>968</v>
      </c>
      <c r="I1999" s="403" t="s">
        <v>131</v>
      </c>
      <c r="K1999" s="370"/>
      <c r="N1999" s="370"/>
    </row>
    <row r="2000" spans="1:14" s="347" customFormat="1" x14ac:dyDescent="0.25">
      <c r="A2000" s="369">
        <f>+A1999</f>
        <v>44319</v>
      </c>
      <c r="B2000" s="347">
        <f>+MONTH(A2000)</f>
        <v>5</v>
      </c>
      <c r="C2000" s="347">
        <v>3210</v>
      </c>
      <c r="D2000" s="340" t="str">
        <f>VLOOKUP(C2000,Plan!A:B,2,0)</f>
        <v>Donacion Construccion</v>
      </c>
      <c r="E2000" s="341">
        <f>+F2000-G2000</f>
        <v>-15000</v>
      </c>
      <c r="F2000" s="405">
        <v>0</v>
      </c>
      <c r="G2000" s="405">
        <f>+F1999</f>
        <v>15000</v>
      </c>
      <c r="H2000" t="str">
        <f>+H1999</f>
        <v xml:space="preserve">María del Pilar Herrera/ azul </v>
      </c>
      <c r="I2000" s="403" t="s">
        <v>131</v>
      </c>
      <c r="K2000" s="370"/>
      <c r="N2000" s="370"/>
    </row>
    <row r="2001" spans="1:14" s="347" customFormat="1" x14ac:dyDescent="0.25">
      <c r="A2001" s="369"/>
      <c r="E2001" s="396"/>
      <c r="F2001" s="396"/>
      <c r="G2001" s="396"/>
      <c r="K2001" s="370"/>
      <c r="N2001" s="370"/>
    </row>
    <row r="2002" spans="1:14" s="347" customFormat="1" x14ac:dyDescent="0.25">
      <c r="A2002" s="369">
        <v>44319</v>
      </c>
      <c r="B2002" s="347">
        <f>+MONTH(A2002)</f>
        <v>5</v>
      </c>
      <c r="C2002" s="347">
        <v>115</v>
      </c>
      <c r="D2002" s="340" t="str">
        <f>VLOOKUP(C2002,Plan!A:B,2,0)</f>
        <v>Disponible Cali B.Chile</v>
      </c>
      <c r="E2002" s="341">
        <f>+F2002-G2002</f>
        <v>30000</v>
      </c>
      <c r="F2002" s="405">
        <v>30000</v>
      </c>
      <c r="G2002" s="405">
        <v>0</v>
      </c>
      <c r="H2002" t="s">
        <v>1714</v>
      </c>
      <c r="I2002" s="403" t="s">
        <v>131</v>
      </c>
      <c r="K2002" s="370"/>
      <c r="N2002" s="370"/>
    </row>
    <row r="2003" spans="1:14" s="347" customFormat="1" x14ac:dyDescent="0.25">
      <c r="A2003" s="369">
        <f>+A2002</f>
        <v>44319</v>
      </c>
      <c r="B2003" s="347">
        <f>+MONTH(A2003)</f>
        <v>5</v>
      </c>
      <c r="C2003" s="347">
        <v>1216</v>
      </c>
      <c r="D2003" s="340" t="str">
        <f>VLOOKUP(C2003,Plan!A:B,2,0)</f>
        <v>Otros Valores Recaudadoras</v>
      </c>
      <c r="E2003" s="341">
        <f>+F2003-G2003</f>
        <v>-30000</v>
      </c>
      <c r="F2003" s="405">
        <v>0</v>
      </c>
      <c r="G2003" s="405">
        <f>+F2002</f>
        <v>30000</v>
      </c>
      <c r="H2003" t="str">
        <f>+H2002</f>
        <v>Ana María Rabagliati Grunwald / 249</v>
      </c>
      <c r="I2003" s="403" t="s">
        <v>131</v>
      </c>
      <c r="K2003" s="370"/>
      <c r="N2003" s="370"/>
    </row>
    <row r="2004" spans="1:14" s="347" customFormat="1" x14ac:dyDescent="0.25">
      <c r="A2004" s="369"/>
      <c r="E2004" s="396"/>
      <c r="F2004" s="396"/>
      <c r="G2004" s="396"/>
      <c r="K2004" s="370"/>
      <c r="N2004" s="370"/>
    </row>
    <row r="2005" spans="1:14" s="347" customFormat="1" x14ac:dyDescent="0.25">
      <c r="A2005" s="369">
        <v>44319</v>
      </c>
      <c r="B2005" s="347">
        <f>+MONTH(A2005)</f>
        <v>5</v>
      </c>
      <c r="C2005" s="347">
        <v>115</v>
      </c>
      <c r="D2005" s="340" t="str">
        <f>VLOOKUP(C2005,Plan!A:B,2,0)</f>
        <v>Disponible Cali B.Chile</v>
      </c>
      <c r="E2005" s="341">
        <f>+F2005-G2005</f>
        <v>100000</v>
      </c>
      <c r="F2005" s="405">
        <v>100000</v>
      </c>
      <c r="G2005" s="405">
        <v>0</v>
      </c>
      <c r="H2005" t="s">
        <v>1715</v>
      </c>
      <c r="I2005" s="403" t="s">
        <v>131</v>
      </c>
      <c r="K2005" s="370"/>
      <c r="N2005" s="370"/>
    </row>
    <row r="2006" spans="1:14" s="347" customFormat="1" x14ac:dyDescent="0.25">
      <c r="A2006" s="369">
        <f>+A2005</f>
        <v>44319</v>
      </c>
      <c r="B2006" s="347">
        <f>+MONTH(A2006)</f>
        <v>5</v>
      </c>
      <c r="C2006" s="347">
        <v>1222</v>
      </c>
      <c r="D2006" s="340" t="str">
        <f>VLOOKUP(C2006,Plan!A:B,2,0)</f>
        <v>Otros Valores -Oficina y Transferencias (249)</v>
      </c>
      <c r="E2006" s="341">
        <f>+F2006-G2006</f>
        <v>-100000</v>
      </c>
      <c r="F2006" s="405">
        <v>0</v>
      </c>
      <c r="G2006" s="405">
        <f>+F2005</f>
        <v>100000</v>
      </c>
      <c r="H2006" t="str">
        <f>+H2005</f>
        <v>Santiago Ireneo Doña Vial / 249</v>
      </c>
      <c r="I2006" s="403" t="s">
        <v>131</v>
      </c>
      <c r="K2006" s="370"/>
      <c r="N2006" s="370"/>
    </row>
    <row r="2007" spans="1:14" s="347" customFormat="1" x14ac:dyDescent="0.25">
      <c r="A2007" s="369"/>
      <c r="E2007" s="396"/>
      <c r="F2007" s="396"/>
      <c r="G2007" s="396"/>
      <c r="K2007" s="370"/>
      <c r="N2007" s="370"/>
    </row>
    <row r="2008" spans="1:14" s="347" customFormat="1" x14ac:dyDescent="0.25">
      <c r="A2008" s="369">
        <v>44319</v>
      </c>
      <c r="B2008" s="347">
        <f>+MONTH(A2008)</f>
        <v>5</v>
      </c>
      <c r="C2008" s="347">
        <v>115</v>
      </c>
      <c r="D2008" s="340" t="str">
        <f>VLOOKUP(C2008,Plan!A:B,2,0)</f>
        <v>Disponible Cali B.Chile</v>
      </c>
      <c r="E2008" s="341">
        <f>+F2008-G2008</f>
        <v>20000</v>
      </c>
      <c r="F2008" s="405">
        <v>20000</v>
      </c>
      <c r="G2008" s="405">
        <v>0</v>
      </c>
      <c r="H2008" t="s">
        <v>963</v>
      </c>
      <c r="I2008" s="403" t="s">
        <v>131</v>
      </c>
      <c r="K2008" s="370"/>
      <c r="N2008" s="370"/>
    </row>
    <row r="2009" spans="1:14" s="347" customFormat="1" x14ac:dyDescent="0.25">
      <c r="A2009" s="369">
        <f>+A2008</f>
        <v>44319</v>
      </c>
      <c r="B2009" s="347">
        <f>+MONTH(A2009)</f>
        <v>5</v>
      </c>
      <c r="C2009" s="347">
        <v>1222</v>
      </c>
      <c r="D2009" s="340" t="str">
        <f>VLOOKUP(C2009,Plan!A:B,2,0)</f>
        <v>Otros Valores -Oficina y Transferencias (249)</v>
      </c>
      <c r="E2009" s="341">
        <f>+F2009-G2009</f>
        <v>-20000</v>
      </c>
      <c r="F2009" s="405">
        <v>0</v>
      </c>
      <c r="G2009" s="405">
        <f>+F2008</f>
        <v>20000</v>
      </c>
      <c r="H2009" t="str">
        <f>+H2008</f>
        <v>Benjamín Gutierrez Perlwitz / 249</v>
      </c>
      <c r="I2009" s="403" t="s">
        <v>131</v>
      </c>
      <c r="K2009" s="370"/>
      <c r="N2009" s="370"/>
    </row>
    <row r="2010" spans="1:14" s="347" customFormat="1" x14ac:dyDescent="0.25">
      <c r="A2010" s="369"/>
      <c r="E2010" s="396"/>
      <c r="F2010" s="396"/>
      <c r="G2010" s="396"/>
      <c r="K2010" s="370"/>
      <c r="N2010" s="370"/>
    </row>
    <row r="2011" spans="1:14" s="347" customFormat="1" x14ac:dyDescent="0.25">
      <c r="A2011" s="369">
        <v>44319</v>
      </c>
      <c r="B2011" s="347">
        <f>+MONTH(A2011)</f>
        <v>5</v>
      </c>
      <c r="C2011" s="347">
        <v>115</v>
      </c>
      <c r="D2011" s="340" t="str">
        <f>VLOOKUP(C2011,Plan!A:B,2,0)</f>
        <v>Disponible Cali B.Chile</v>
      </c>
      <c r="E2011" s="341">
        <f>+F2011-G2011</f>
        <v>48000</v>
      </c>
      <c r="F2011" s="405">
        <v>48000</v>
      </c>
      <c r="G2011" s="405">
        <v>0</v>
      </c>
      <c r="H2011" t="s">
        <v>975</v>
      </c>
      <c r="I2011" s="403" t="s">
        <v>131</v>
      </c>
      <c r="K2011" s="370"/>
      <c r="N2011" s="370"/>
    </row>
    <row r="2012" spans="1:14" s="347" customFormat="1" x14ac:dyDescent="0.25">
      <c r="A2012" s="369">
        <f>+A2011</f>
        <v>44319</v>
      </c>
      <c r="B2012" s="347">
        <f>+MONTH(A2012)</f>
        <v>5</v>
      </c>
      <c r="C2012" s="347">
        <v>1217</v>
      </c>
      <c r="D2012" s="340" t="str">
        <f>VLOOKUP(C2012,Plan!A:B,2,0)</f>
        <v>Otros Valores -Oficina y Transferencias (248)</v>
      </c>
      <c r="E2012" s="341">
        <f>+F2012-G2012</f>
        <v>-48000</v>
      </c>
      <c r="F2012" s="405">
        <v>0</v>
      </c>
      <c r="G2012" s="405">
        <f>+F2011</f>
        <v>48000</v>
      </c>
      <c r="H2012" t="str">
        <f>+H2011</f>
        <v>Enrique José Manuel Ferrer/248</v>
      </c>
      <c r="I2012" s="403" t="s">
        <v>131</v>
      </c>
      <c r="K2012" s="370"/>
      <c r="N2012" s="370"/>
    </row>
    <row r="2013" spans="1:14" s="347" customFormat="1" x14ac:dyDescent="0.25">
      <c r="K2013" s="370"/>
      <c r="N2013" s="370"/>
    </row>
    <row r="2014" spans="1:14" s="347" customFormat="1" x14ac:dyDescent="0.25">
      <c r="A2014" s="369">
        <v>44319</v>
      </c>
      <c r="B2014" s="347">
        <f>+MONTH(A2014)</f>
        <v>5</v>
      </c>
      <c r="C2014" s="347">
        <v>115</v>
      </c>
      <c r="D2014" s="340" t="str">
        <f>VLOOKUP(C2014,Plan!A:B,2,0)</f>
        <v>Disponible Cali B.Chile</v>
      </c>
      <c r="E2014" s="341">
        <f>+F2014-G2014</f>
        <v>40000</v>
      </c>
      <c r="F2014" s="405">
        <v>40000</v>
      </c>
      <c r="G2014" s="405">
        <v>0</v>
      </c>
      <c r="H2014" t="s">
        <v>976</v>
      </c>
      <c r="I2014" s="403" t="s">
        <v>131</v>
      </c>
      <c r="K2014" s="370"/>
      <c r="N2014" s="370"/>
    </row>
    <row r="2015" spans="1:14" s="347" customFormat="1" x14ac:dyDescent="0.25">
      <c r="A2015" s="369">
        <f>+A2014</f>
        <v>44319</v>
      </c>
      <c r="B2015" s="347">
        <f>+MONTH(A2015)</f>
        <v>5</v>
      </c>
      <c r="C2015" s="347">
        <v>1222</v>
      </c>
      <c r="D2015" s="340" t="str">
        <f>VLOOKUP(C2015,Plan!A:B,2,0)</f>
        <v>Otros Valores -Oficina y Transferencias (249)</v>
      </c>
      <c r="E2015" s="341">
        <f>+F2015-G2015</f>
        <v>-40000</v>
      </c>
      <c r="F2015" s="405">
        <v>0</v>
      </c>
      <c r="G2015" s="405">
        <f>+F2014</f>
        <v>40000</v>
      </c>
      <c r="H2015" t="str">
        <f>+H2014</f>
        <v>Ricardo Cañas Cambiaso / 249</v>
      </c>
      <c r="I2015" s="403" t="s">
        <v>131</v>
      </c>
      <c r="K2015" s="370"/>
      <c r="N2015" s="370"/>
    </row>
    <row r="2016" spans="1:14" s="347" customFormat="1" x14ac:dyDescent="0.25">
      <c r="A2016" s="369"/>
      <c r="E2016" s="396"/>
      <c r="F2016" s="396"/>
      <c r="G2016" s="396"/>
      <c r="K2016" s="370"/>
      <c r="N2016" s="370"/>
    </row>
    <row r="2017" spans="1:14" s="347" customFormat="1" x14ac:dyDescent="0.25">
      <c r="A2017" s="369">
        <v>44319</v>
      </c>
      <c r="B2017" s="347">
        <f>+MONTH(A2017)</f>
        <v>5</v>
      </c>
      <c r="C2017" s="347">
        <v>115</v>
      </c>
      <c r="D2017" s="340" t="str">
        <f>VLOOKUP(C2017,Plan!A:B,2,0)</f>
        <v>Disponible Cali B.Chile</v>
      </c>
      <c r="E2017" s="341">
        <f>+F2017-G2017</f>
        <v>20000</v>
      </c>
      <c r="F2017" s="405">
        <v>20000</v>
      </c>
      <c r="G2017" s="405">
        <v>0</v>
      </c>
      <c r="H2017" t="s">
        <v>548</v>
      </c>
      <c r="I2017" s="403" t="s">
        <v>131</v>
      </c>
      <c r="K2017" s="370"/>
      <c r="N2017" s="370"/>
    </row>
    <row r="2018" spans="1:14" s="347" customFormat="1" x14ac:dyDescent="0.25">
      <c r="A2018" s="369">
        <f>+A2017</f>
        <v>44319</v>
      </c>
      <c r="B2018" s="347">
        <f>+MONTH(A2018)</f>
        <v>5</v>
      </c>
      <c r="C2018" s="347">
        <v>1222</v>
      </c>
      <c r="D2018" s="340" t="str">
        <f>VLOOKUP(C2018,Plan!A:B,2,0)</f>
        <v>Otros Valores -Oficina y Transferencias (249)</v>
      </c>
      <c r="E2018" s="341">
        <f>+F2018-G2018</f>
        <v>-20000</v>
      </c>
      <c r="F2018" s="405">
        <v>0</v>
      </c>
      <c r="G2018" s="405">
        <f>+F2017</f>
        <v>20000</v>
      </c>
      <c r="H2018" t="str">
        <f>+H2017</f>
        <v>Josefina Claude / 249</v>
      </c>
      <c r="I2018" s="403" t="s">
        <v>131</v>
      </c>
      <c r="K2018" s="370"/>
      <c r="N2018" s="370"/>
    </row>
    <row r="2019" spans="1:14" s="347" customFormat="1" x14ac:dyDescent="0.25">
      <c r="A2019" s="369"/>
      <c r="E2019" s="396"/>
      <c r="F2019" s="396"/>
      <c r="G2019" s="396"/>
      <c r="K2019" s="370"/>
      <c r="N2019" s="370"/>
    </row>
    <row r="2020" spans="1:14" s="347" customFormat="1" x14ac:dyDescent="0.25">
      <c r="A2020" s="369">
        <v>44319</v>
      </c>
      <c r="B2020" s="347">
        <f>+MONTH(A2020)</f>
        <v>5</v>
      </c>
      <c r="C2020" s="347">
        <v>115</v>
      </c>
      <c r="D2020" s="340" t="str">
        <f>VLOOKUP(C2020,Plan!A:B,2,0)</f>
        <v>Disponible Cali B.Chile</v>
      </c>
      <c r="E2020" s="341">
        <f>+F2020-G2020</f>
        <v>50000</v>
      </c>
      <c r="F2020" s="405">
        <v>50000</v>
      </c>
      <c r="G2020" s="405">
        <v>0</v>
      </c>
      <c r="H2020" t="s">
        <v>547</v>
      </c>
      <c r="I2020" s="403" t="s">
        <v>131</v>
      </c>
      <c r="K2020" s="370"/>
      <c r="N2020" s="370"/>
    </row>
    <row r="2021" spans="1:14" s="347" customFormat="1" x14ac:dyDescent="0.25">
      <c r="A2021" s="369">
        <f>+A2020</f>
        <v>44319</v>
      </c>
      <c r="B2021" s="347">
        <f>+MONTH(A2021)</f>
        <v>5</v>
      </c>
      <c r="C2021" s="347">
        <v>1222</v>
      </c>
      <c r="D2021" s="340" t="str">
        <f>VLOOKUP(C2021,Plan!A:B,2,0)</f>
        <v>Otros Valores -Oficina y Transferencias (249)</v>
      </c>
      <c r="E2021" s="341">
        <f>+F2021-G2021</f>
        <v>-50000</v>
      </c>
      <c r="F2021" s="405">
        <v>0</v>
      </c>
      <c r="G2021" s="405">
        <f>+F2020</f>
        <v>50000</v>
      </c>
      <c r="H2021" t="str">
        <f>+H2020</f>
        <v>Jorge Claude / 249</v>
      </c>
      <c r="I2021" s="403" t="s">
        <v>131</v>
      </c>
      <c r="K2021" s="370"/>
      <c r="N2021" s="370"/>
    </row>
    <row r="2022" spans="1:14" s="347" customFormat="1" x14ac:dyDescent="0.25">
      <c r="A2022" s="369"/>
      <c r="E2022" s="396"/>
      <c r="F2022" s="396"/>
      <c r="G2022" s="396"/>
      <c r="K2022" s="370"/>
      <c r="N2022" s="370"/>
    </row>
    <row r="2023" spans="1:14" s="347" customFormat="1" x14ac:dyDescent="0.25">
      <c r="A2023" s="369">
        <v>44319</v>
      </c>
      <c r="B2023" s="347">
        <f>+MONTH(A2023)</f>
        <v>5</v>
      </c>
      <c r="C2023" s="347">
        <v>115</v>
      </c>
      <c r="D2023" s="340" t="str">
        <f>VLOOKUP(C2023,Plan!A:B,2,0)</f>
        <v>Disponible Cali B.Chile</v>
      </c>
      <c r="E2023" s="341">
        <f>+F2023-G2023</f>
        <v>15000</v>
      </c>
      <c r="F2023" s="405">
        <v>15000</v>
      </c>
      <c r="G2023" s="405">
        <v>0</v>
      </c>
      <c r="H2023" t="s">
        <v>1716</v>
      </c>
      <c r="I2023" s="403" t="s">
        <v>131</v>
      </c>
      <c r="K2023" s="370"/>
      <c r="N2023" s="370"/>
    </row>
    <row r="2024" spans="1:14" s="347" customFormat="1" x14ac:dyDescent="0.25">
      <c r="A2024" s="369">
        <f>+A2023</f>
        <v>44319</v>
      </c>
      <c r="B2024" s="347">
        <f>+MONTH(A2024)</f>
        <v>5</v>
      </c>
      <c r="C2024" s="347">
        <v>1222</v>
      </c>
      <c r="D2024" s="340" t="str">
        <f>VLOOKUP(C2024,Plan!A:B,2,0)</f>
        <v>Otros Valores -Oficina y Transferencias (249)</v>
      </c>
      <c r="E2024" s="341">
        <f>+F2024-G2024</f>
        <v>-15000</v>
      </c>
      <c r="F2024" s="405">
        <v>0</v>
      </c>
      <c r="G2024" s="405">
        <f>+F2023</f>
        <v>15000</v>
      </c>
      <c r="H2024" t="str">
        <f>+H2023</f>
        <v>María Carolina Marín Montes / 249</v>
      </c>
      <c r="I2024" s="403" t="s">
        <v>131</v>
      </c>
      <c r="K2024" s="370"/>
      <c r="N2024" s="370"/>
    </row>
    <row r="2025" spans="1:14" s="347" customFormat="1" x14ac:dyDescent="0.25">
      <c r="A2025" s="369"/>
      <c r="E2025" s="396"/>
      <c r="F2025" s="396"/>
      <c r="G2025" s="396"/>
      <c r="K2025" s="370"/>
      <c r="N2025" s="370"/>
    </row>
    <row r="2026" spans="1:14" s="347" customFormat="1" x14ac:dyDescent="0.25">
      <c r="A2026" s="369">
        <v>44319</v>
      </c>
      <c r="B2026" s="347">
        <f>+MONTH(A2026)</f>
        <v>5</v>
      </c>
      <c r="C2026" s="347">
        <v>115</v>
      </c>
      <c r="D2026" s="340" t="str">
        <f>VLOOKUP(C2026,Plan!A:B,2,0)</f>
        <v>Disponible Cali B.Chile</v>
      </c>
      <c r="E2026" s="341">
        <f>+F2026-G2026</f>
        <v>20000</v>
      </c>
      <c r="F2026" s="405">
        <v>20000</v>
      </c>
      <c r="G2026" s="405">
        <v>0</v>
      </c>
      <c r="H2026" t="s">
        <v>977</v>
      </c>
      <c r="I2026" s="403" t="s">
        <v>131</v>
      </c>
      <c r="K2026" s="370"/>
      <c r="N2026" s="370"/>
    </row>
    <row r="2027" spans="1:14" s="347" customFormat="1" x14ac:dyDescent="0.25">
      <c r="A2027" s="369">
        <f>+A2026</f>
        <v>44319</v>
      </c>
      <c r="B2027" s="347">
        <f>+MONTH(A2027)</f>
        <v>5</v>
      </c>
      <c r="C2027" s="347">
        <v>3210</v>
      </c>
      <c r="D2027" s="340" t="str">
        <f>VLOOKUP(C2027,Plan!A:B,2,0)</f>
        <v>Donacion Construccion</v>
      </c>
      <c r="E2027" s="341">
        <f>+F2027-G2027</f>
        <v>-20000</v>
      </c>
      <c r="F2027" s="405">
        <v>0</v>
      </c>
      <c r="G2027" s="405">
        <f>+F2026</f>
        <v>20000</v>
      </c>
      <c r="H2027" t="str">
        <f>+H2026</f>
        <v>Fco.Javier Campos González/Azul</v>
      </c>
      <c r="I2027" s="403" t="s">
        <v>131</v>
      </c>
      <c r="K2027" s="370"/>
      <c r="N2027" s="370"/>
    </row>
    <row r="2028" spans="1:14" s="347" customFormat="1" x14ac:dyDescent="0.25">
      <c r="A2028" s="369"/>
      <c r="E2028" s="396"/>
      <c r="F2028" s="396"/>
      <c r="G2028" s="396"/>
      <c r="K2028" s="370"/>
      <c r="N2028" s="370"/>
    </row>
    <row r="2029" spans="1:14" s="347" customFormat="1" x14ac:dyDescent="0.25">
      <c r="A2029" s="369">
        <v>44319</v>
      </c>
      <c r="B2029" s="347">
        <f>+MONTH(A2029)</f>
        <v>5</v>
      </c>
      <c r="C2029" s="347">
        <v>115</v>
      </c>
      <c r="D2029" s="340" t="str">
        <f>VLOOKUP(C2029,Plan!A:B,2,0)</f>
        <v>Disponible Cali B.Chile</v>
      </c>
      <c r="E2029" s="341">
        <f>+F2029-G2029</f>
        <v>30000</v>
      </c>
      <c r="F2029" s="405">
        <v>30000</v>
      </c>
      <c r="G2029" s="405">
        <v>0</v>
      </c>
      <c r="H2029" t="s">
        <v>978</v>
      </c>
      <c r="I2029" s="403" t="s">
        <v>131</v>
      </c>
      <c r="K2029" s="370"/>
      <c r="N2029" s="370"/>
    </row>
    <row r="2030" spans="1:14" s="347" customFormat="1" x14ac:dyDescent="0.25">
      <c r="A2030" s="369">
        <f>+A2029</f>
        <v>44319</v>
      </c>
      <c r="B2030" s="347">
        <f>+MONTH(A2030)</f>
        <v>5</v>
      </c>
      <c r="C2030" s="347">
        <v>3210</v>
      </c>
      <c r="D2030" s="340" t="str">
        <f>VLOOKUP(C2030,Plan!A:B,2,0)</f>
        <v>Donacion Construccion</v>
      </c>
      <c r="E2030" s="341">
        <f>+F2030-G2030</f>
        <v>-30000</v>
      </c>
      <c r="F2030" s="405">
        <v>0</v>
      </c>
      <c r="G2030" s="405">
        <f>+F2029</f>
        <v>30000</v>
      </c>
      <c r="H2030" t="str">
        <f>+H2029</f>
        <v>Sergio Rodríguez Oro / Azul</v>
      </c>
      <c r="I2030" s="403" t="s">
        <v>131</v>
      </c>
      <c r="K2030" s="370"/>
      <c r="N2030" s="370"/>
    </row>
    <row r="2031" spans="1:14" s="347" customFormat="1" x14ac:dyDescent="0.25">
      <c r="A2031" s="369"/>
      <c r="E2031" s="396"/>
      <c r="F2031" s="396"/>
      <c r="G2031" s="396"/>
      <c r="K2031" s="370"/>
      <c r="N2031" s="370"/>
    </row>
    <row r="2032" spans="1:14" s="347" customFormat="1" x14ac:dyDescent="0.25">
      <c r="A2032" s="369">
        <v>44319</v>
      </c>
      <c r="B2032" s="347">
        <f>+MONTH(A2032)</f>
        <v>5</v>
      </c>
      <c r="C2032" s="347">
        <v>115</v>
      </c>
      <c r="D2032" s="340" t="str">
        <f>VLOOKUP(C2032,Plan!A:B,2,0)</f>
        <v>Disponible Cali B.Chile</v>
      </c>
      <c r="E2032" s="341">
        <f>+F2032-G2032</f>
        <v>15000</v>
      </c>
      <c r="F2032" s="405">
        <v>15000</v>
      </c>
      <c r="G2032" s="405">
        <v>0</v>
      </c>
      <c r="H2032" t="s">
        <v>979</v>
      </c>
      <c r="I2032" s="403" t="s">
        <v>131</v>
      </c>
      <c r="K2032" s="370"/>
      <c r="N2032" s="370"/>
    </row>
    <row r="2033" spans="1:14" s="347" customFormat="1" x14ac:dyDescent="0.25">
      <c r="A2033" s="369">
        <f>+A2032</f>
        <v>44319</v>
      </c>
      <c r="B2033" s="347">
        <f>+MONTH(A2033)</f>
        <v>5</v>
      </c>
      <c r="C2033" s="347">
        <v>1222</v>
      </c>
      <c r="D2033" s="340" t="str">
        <f>VLOOKUP(C2033,Plan!A:B,2,0)</f>
        <v>Otros Valores -Oficina y Transferencias (249)</v>
      </c>
      <c r="E2033" s="341">
        <f>+F2033-G2033</f>
        <v>-15000</v>
      </c>
      <c r="F2033" s="405">
        <v>0</v>
      </c>
      <c r="G2033" s="405">
        <f>+F2032</f>
        <v>15000</v>
      </c>
      <c r="H2033" t="str">
        <f>+H2032</f>
        <v>María Paulina Grez / 249</v>
      </c>
      <c r="I2033" s="403" t="s">
        <v>131</v>
      </c>
      <c r="K2033" s="370"/>
      <c r="N2033" s="370"/>
    </row>
    <row r="2034" spans="1:14" s="347" customFormat="1" x14ac:dyDescent="0.25">
      <c r="A2034" s="369"/>
      <c r="E2034" s="396"/>
      <c r="F2034" s="396"/>
      <c r="G2034" s="396"/>
      <c r="K2034" s="370"/>
      <c r="N2034" s="370"/>
    </row>
    <row r="2035" spans="1:14" s="347" customFormat="1" x14ac:dyDescent="0.25">
      <c r="A2035" s="369">
        <v>44319</v>
      </c>
      <c r="B2035" s="347">
        <f>+MONTH(A2035)</f>
        <v>5</v>
      </c>
      <c r="C2035" s="347">
        <v>115</v>
      </c>
      <c r="D2035" s="340" t="str">
        <f>VLOOKUP(C2035,Plan!A:B,2,0)</f>
        <v>Disponible Cali B.Chile</v>
      </c>
      <c r="E2035" s="341">
        <f>+F2035-G2035</f>
        <v>25000</v>
      </c>
      <c r="F2035" s="405">
        <v>25000</v>
      </c>
      <c r="G2035" s="405">
        <v>0</v>
      </c>
      <c r="H2035" t="s">
        <v>981</v>
      </c>
      <c r="I2035" s="403" t="s">
        <v>131</v>
      </c>
      <c r="K2035" s="370"/>
      <c r="N2035" s="370"/>
    </row>
    <row r="2036" spans="1:14" s="347" customFormat="1" x14ac:dyDescent="0.25">
      <c r="A2036" s="369">
        <f>+A2035</f>
        <v>44319</v>
      </c>
      <c r="B2036" s="347">
        <f>+MONTH(A2036)</f>
        <v>5</v>
      </c>
      <c r="C2036" s="347">
        <v>1222</v>
      </c>
      <c r="D2036" s="340" t="str">
        <f>VLOOKUP(C2036,Plan!A:B,2,0)</f>
        <v>Otros Valores -Oficina y Transferencias (249)</v>
      </c>
      <c r="E2036" s="341">
        <f>+F2036-G2036</f>
        <v>-25000</v>
      </c>
      <c r="F2036" s="405">
        <v>0</v>
      </c>
      <c r="G2036" s="405">
        <f>+F2035</f>
        <v>25000</v>
      </c>
      <c r="H2036" t="s">
        <v>981</v>
      </c>
      <c r="I2036" s="403" t="s">
        <v>131</v>
      </c>
      <c r="K2036" s="370"/>
      <c r="N2036" s="370"/>
    </row>
    <row r="2037" spans="1:14" s="347" customFormat="1" x14ac:dyDescent="0.25">
      <c r="A2037" s="369"/>
      <c r="E2037" s="396"/>
      <c r="F2037" s="396"/>
      <c r="G2037" s="396"/>
      <c r="K2037" s="370"/>
      <c r="N2037" s="370"/>
    </row>
    <row r="2038" spans="1:14" s="347" customFormat="1" x14ac:dyDescent="0.25">
      <c r="A2038" s="369">
        <v>44319</v>
      </c>
      <c r="B2038" s="347">
        <f>+MONTH(A2038)</f>
        <v>5</v>
      </c>
      <c r="C2038" s="347">
        <v>115</v>
      </c>
      <c r="D2038" s="340" t="str">
        <f>VLOOKUP(C2038,Plan!A:B,2,0)</f>
        <v>Disponible Cali B.Chile</v>
      </c>
      <c r="E2038" s="341">
        <f>+F2038-G2038</f>
        <v>12000</v>
      </c>
      <c r="F2038" s="405">
        <v>12000</v>
      </c>
      <c r="G2038" s="405">
        <v>0</v>
      </c>
      <c r="H2038" t="s">
        <v>1049</v>
      </c>
      <c r="I2038" s="403" t="s">
        <v>131</v>
      </c>
      <c r="K2038" s="370"/>
      <c r="N2038" s="370"/>
    </row>
    <row r="2039" spans="1:14" s="347" customFormat="1" x14ac:dyDescent="0.25">
      <c r="A2039" s="369">
        <f>+A2038</f>
        <v>44319</v>
      </c>
      <c r="B2039" s="347">
        <f>+MONTH(A2039)</f>
        <v>5</v>
      </c>
      <c r="C2039" s="347">
        <v>216</v>
      </c>
      <c r="D2039" s="340" t="str">
        <f>VLOOKUP(C2039,Plan!A:B,2,0)</f>
        <v>Cuenta por Pagar a Administración Colectas</v>
      </c>
      <c r="E2039" s="341">
        <f>+F2039-G2039</f>
        <v>-12000</v>
      </c>
      <c r="F2039" s="405">
        <v>0</v>
      </c>
      <c r="G2039" s="405">
        <f>+F2038</f>
        <v>12000</v>
      </c>
      <c r="H2039" t="str">
        <f>+H2038</f>
        <v>Colecta Celis Celedon Maria Soledad</v>
      </c>
      <c r="I2039" s="403" t="s">
        <v>131</v>
      </c>
      <c r="K2039" s="370"/>
      <c r="N2039" s="370"/>
    </row>
    <row r="2040" spans="1:14" s="347" customFormat="1" x14ac:dyDescent="0.25">
      <c r="A2040" s="369"/>
      <c r="E2040" s="396"/>
      <c r="F2040" s="396"/>
      <c r="G2040" s="396"/>
      <c r="K2040" s="370"/>
      <c r="N2040" s="370"/>
    </row>
    <row r="2041" spans="1:14" s="347" customFormat="1" x14ac:dyDescent="0.25">
      <c r="A2041" s="369">
        <v>44319</v>
      </c>
      <c r="B2041" s="347">
        <f>+MONTH(A2041)</f>
        <v>5</v>
      </c>
      <c r="C2041" s="347">
        <v>115</v>
      </c>
      <c r="D2041" s="340" t="str">
        <f>VLOOKUP(C2041,Plan!A:B,2,0)</f>
        <v>Disponible Cali B.Chile</v>
      </c>
      <c r="E2041" s="341">
        <f>+F2041-G2041</f>
        <v>20000</v>
      </c>
      <c r="F2041" s="405">
        <v>20000</v>
      </c>
      <c r="G2041" s="405">
        <v>0</v>
      </c>
      <c r="H2041" t="s">
        <v>1717</v>
      </c>
      <c r="I2041" s="403" t="s">
        <v>131</v>
      </c>
      <c r="K2041" s="370"/>
      <c r="N2041" s="370"/>
    </row>
    <row r="2042" spans="1:14" s="347" customFormat="1" x14ac:dyDescent="0.25">
      <c r="A2042" s="369">
        <f>+A2041</f>
        <v>44319</v>
      </c>
      <c r="B2042" s="347">
        <f>+MONTH(A2042)</f>
        <v>5</v>
      </c>
      <c r="C2042" s="347">
        <v>217</v>
      </c>
      <c r="D2042" s="340" t="str">
        <f>VLOOKUP(C2042,Plan!A:B,2,0)</f>
        <v>Cuenta por Pagar a Administración Canastas</v>
      </c>
      <c r="E2042" s="341">
        <f>+F2042-G2042</f>
        <v>-20000</v>
      </c>
      <c r="F2042" s="405">
        <v>0</v>
      </c>
      <c r="G2042" s="405">
        <f>+F2041</f>
        <v>20000</v>
      </c>
      <c r="H2042" t="str">
        <f>+H2041</f>
        <v>Canastas M. Soledad Celis Celedon</v>
      </c>
      <c r="I2042" s="403" t="s">
        <v>131</v>
      </c>
      <c r="K2042" s="370"/>
      <c r="N2042" s="370"/>
    </row>
    <row r="2043" spans="1:14" s="347" customFormat="1" x14ac:dyDescent="0.25">
      <c r="A2043" s="369"/>
      <c r="E2043" s="396"/>
      <c r="F2043" s="396"/>
      <c r="G2043" s="396"/>
      <c r="K2043" s="370"/>
      <c r="N2043" s="370"/>
    </row>
    <row r="2044" spans="1:14" s="347" customFormat="1" x14ac:dyDescent="0.25">
      <c r="A2044" s="369">
        <v>44319</v>
      </c>
      <c r="B2044" s="347">
        <f>+MONTH(A2044)</f>
        <v>5</v>
      </c>
      <c r="C2044" s="347">
        <v>115</v>
      </c>
      <c r="D2044" s="340" t="str">
        <f>VLOOKUP(C2044,Plan!A:B,2,0)</f>
        <v>Disponible Cali B.Chile</v>
      </c>
      <c r="E2044" s="341">
        <f>+F2044-G2044</f>
        <v>10000</v>
      </c>
      <c r="F2044" s="405">
        <v>10000</v>
      </c>
      <c r="G2044" s="405">
        <v>0</v>
      </c>
      <c r="H2044" t="s">
        <v>999</v>
      </c>
      <c r="I2044" s="403" t="s">
        <v>131</v>
      </c>
      <c r="K2044" s="370"/>
      <c r="N2044" s="370"/>
    </row>
    <row r="2045" spans="1:14" s="347" customFormat="1" x14ac:dyDescent="0.25">
      <c r="A2045" s="369">
        <f>+A2044</f>
        <v>44319</v>
      </c>
      <c r="B2045" s="347">
        <f>+MONTH(A2045)</f>
        <v>5</v>
      </c>
      <c r="C2045" s="347">
        <v>1222</v>
      </c>
      <c r="D2045" s="340" t="str">
        <f>VLOOKUP(C2045,Plan!A:B,2,0)</f>
        <v>Otros Valores -Oficina y Transferencias (249)</v>
      </c>
      <c r="E2045" s="341">
        <f>+F2045-G2045</f>
        <v>-10000</v>
      </c>
      <c r="F2045" s="405">
        <v>0</v>
      </c>
      <c r="G2045" s="405">
        <f>+F2044</f>
        <v>10000</v>
      </c>
      <c r="H2045" t="str">
        <f>+H2044</f>
        <v>Carmen Mónica Barañao Rojas/249</v>
      </c>
      <c r="I2045" s="403" t="s">
        <v>131</v>
      </c>
      <c r="K2045" s="370"/>
      <c r="N2045" s="370"/>
    </row>
    <row r="2046" spans="1:14" s="347" customFormat="1" x14ac:dyDescent="0.25">
      <c r="A2046" s="369"/>
      <c r="E2046" s="396"/>
      <c r="F2046" s="396"/>
      <c r="G2046" s="396"/>
      <c r="K2046" s="370"/>
      <c r="N2046" s="370"/>
    </row>
    <row r="2047" spans="1:14" s="347" customFormat="1" x14ac:dyDescent="0.25">
      <c r="A2047" s="369">
        <v>44319</v>
      </c>
      <c r="B2047" s="347">
        <f>+MONTH(A2047)</f>
        <v>5</v>
      </c>
      <c r="C2047" s="347">
        <v>115</v>
      </c>
      <c r="D2047" s="340" t="str">
        <f>VLOOKUP(C2047,Plan!A:B,2,0)</f>
        <v>Disponible Cali B.Chile</v>
      </c>
      <c r="E2047" s="341">
        <f>+F2047-G2047</f>
        <v>10000</v>
      </c>
      <c r="F2047" s="405">
        <v>10000</v>
      </c>
      <c r="G2047" s="405">
        <v>0</v>
      </c>
      <c r="H2047" t="s">
        <v>1718</v>
      </c>
      <c r="I2047" s="403" t="s">
        <v>131</v>
      </c>
      <c r="K2047" s="370"/>
      <c r="N2047" s="370"/>
    </row>
    <row r="2048" spans="1:14" s="347" customFormat="1" x14ac:dyDescent="0.25">
      <c r="A2048" s="369">
        <f>+A2047</f>
        <v>44319</v>
      </c>
      <c r="B2048" s="347">
        <f>+MONTH(A2048)</f>
        <v>5</v>
      </c>
      <c r="C2048" s="347">
        <v>216</v>
      </c>
      <c r="D2048" s="340" t="str">
        <f>VLOOKUP(C2048,Plan!A:B,2,0)</f>
        <v>Cuenta por Pagar a Administración Colectas</v>
      </c>
      <c r="E2048" s="341">
        <f>+F2048-G2048</f>
        <v>-10000</v>
      </c>
      <c r="F2048" s="405">
        <v>0</v>
      </c>
      <c r="G2048" s="405">
        <f>+F2047</f>
        <v>10000</v>
      </c>
      <c r="H2048" t="str">
        <f>+H2047</f>
        <v>Colecta Carmen Monica Barañao Rojas</v>
      </c>
      <c r="I2048" s="403" t="s">
        <v>131</v>
      </c>
      <c r="K2048" s="370"/>
      <c r="N2048" s="370"/>
    </row>
    <row r="2049" spans="1:14" s="347" customFormat="1" x14ac:dyDescent="0.25">
      <c r="A2049" s="369"/>
      <c r="E2049" s="396"/>
      <c r="F2049" s="396"/>
      <c r="G2049" s="396"/>
      <c r="K2049" s="370"/>
      <c r="N2049" s="370"/>
    </row>
    <row r="2050" spans="1:14" s="347" customFormat="1" x14ac:dyDescent="0.25">
      <c r="A2050" s="369">
        <v>44319</v>
      </c>
      <c r="B2050" s="347">
        <f>+MONTH(A2050)</f>
        <v>5</v>
      </c>
      <c r="C2050" s="347">
        <v>115</v>
      </c>
      <c r="D2050" s="340" t="str">
        <f>VLOOKUP(C2050,Plan!A:B,2,0)</f>
        <v>Disponible Cali B.Chile</v>
      </c>
      <c r="E2050" s="341">
        <f>+F2050-G2050</f>
        <v>25000</v>
      </c>
      <c r="F2050" s="405">
        <v>25000</v>
      </c>
      <c r="G2050" s="405">
        <v>0</v>
      </c>
      <c r="H2050" t="s">
        <v>990</v>
      </c>
      <c r="I2050" s="403" t="s">
        <v>131</v>
      </c>
      <c r="K2050" s="370"/>
      <c r="N2050" s="370"/>
    </row>
    <row r="2051" spans="1:14" s="347" customFormat="1" x14ac:dyDescent="0.25">
      <c r="A2051" s="369">
        <f>+A2050</f>
        <v>44319</v>
      </c>
      <c r="B2051" s="347">
        <f>+MONTH(A2051)</f>
        <v>5</v>
      </c>
      <c r="C2051" s="347">
        <v>1222</v>
      </c>
      <c r="D2051" s="340" t="str">
        <f>VLOOKUP(C2051,Plan!A:B,2,0)</f>
        <v>Otros Valores -Oficina y Transferencias (249)</v>
      </c>
      <c r="E2051" s="341">
        <f>+F2051-G2051</f>
        <v>-25000</v>
      </c>
      <c r="F2051" s="405">
        <v>0</v>
      </c>
      <c r="G2051" s="405">
        <f>+F2050</f>
        <v>25000</v>
      </c>
      <c r="H2051" t="str">
        <f>+H2050</f>
        <v>María Dolores Rioseco Rodríguez/249</v>
      </c>
      <c r="I2051" s="403" t="s">
        <v>131</v>
      </c>
      <c r="K2051" s="370"/>
      <c r="N2051" s="370"/>
    </row>
    <row r="2052" spans="1:14" s="347" customFormat="1" x14ac:dyDescent="0.25">
      <c r="A2052" s="369"/>
      <c r="E2052" s="396"/>
      <c r="F2052" s="396"/>
      <c r="G2052" s="396"/>
      <c r="K2052" s="370"/>
      <c r="N2052" s="370"/>
    </row>
    <row r="2053" spans="1:14" s="347" customFormat="1" x14ac:dyDescent="0.25">
      <c r="A2053" s="369">
        <v>44319</v>
      </c>
      <c r="B2053" s="347">
        <f>+MONTH(A2053)</f>
        <v>5</v>
      </c>
      <c r="C2053" s="347">
        <v>115</v>
      </c>
      <c r="D2053" s="340" t="str">
        <f>VLOOKUP(C2053,Plan!A:B,2,0)</f>
        <v>Disponible Cali B.Chile</v>
      </c>
      <c r="E2053" s="341">
        <f>+F2053-G2053</f>
        <v>10000</v>
      </c>
      <c r="F2053" s="405">
        <v>10000</v>
      </c>
      <c r="G2053" s="405">
        <v>0</v>
      </c>
      <c r="H2053" t="s">
        <v>1028</v>
      </c>
      <c r="I2053" s="403" t="s">
        <v>131</v>
      </c>
      <c r="K2053" s="370"/>
      <c r="N2053" s="370"/>
    </row>
    <row r="2054" spans="1:14" s="347" customFormat="1" x14ac:dyDescent="0.25">
      <c r="A2054" s="369">
        <f>+A2053</f>
        <v>44319</v>
      </c>
      <c r="B2054" s="347">
        <f>+MONTH(A2054)</f>
        <v>5</v>
      </c>
      <c r="C2054" s="347">
        <v>1217</v>
      </c>
      <c r="D2054" s="340" t="str">
        <f>VLOOKUP(C2054,Plan!A:B,2,0)</f>
        <v>Otros Valores -Oficina y Transferencias (248)</v>
      </c>
      <c r="E2054" s="341">
        <f>+F2054-G2054</f>
        <v>-10000</v>
      </c>
      <c r="F2054" s="405">
        <v>0</v>
      </c>
      <c r="G2054" s="405">
        <f>+F2053</f>
        <v>10000</v>
      </c>
      <c r="H2054" t="str">
        <f>+H2053</f>
        <v>Carmen Gloria Rivas Varas / 248</v>
      </c>
      <c r="I2054" s="403" t="s">
        <v>131</v>
      </c>
      <c r="K2054" s="370"/>
      <c r="N2054" s="370"/>
    </row>
    <row r="2055" spans="1:14" s="347" customFormat="1" x14ac:dyDescent="0.25">
      <c r="A2055" s="369"/>
      <c r="E2055" s="396"/>
      <c r="F2055" s="396"/>
      <c r="G2055" s="396"/>
      <c r="K2055" s="370"/>
      <c r="N2055" s="370"/>
    </row>
    <row r="2056" spans="1:14" s="347" customFormat="1" x14ac:dyDescent="0.25">
      <c r="A2056" s="369">
        <v>44319</v>
      </c>
      <c r="B2056" s="347">
        <f>+MONTH(A2056)</f>
        <v>5</v>
      </c>
      <c r="C2056" s="347">
        <v>115</v>
      </c>
      <c r="D2056" s="340" t="str">
        <f>VLOOKUP(C2056,Plan!A:B,2,0)</f>
        <v>Disponible Cali B.Chile</v>
      </c>
      <c r="E2056" s="341">
        <f>+F2056-G2056</f>
        <v>2000</v>
      </c>
      <c r="F2056" s="405">
        <v>2000</v>
      </c>
      <c r="G2056" s="405">
        <v>0</v>
      </c>
      <c r="H2056" t="s">
        <v>1010</v>
      </c>
      <c r="I2056" s="403" t="s">
        <v>131</v>
      </c>
      <c r="K2056" s="370"/>
      <c r="N2056" s="370"/>
    </row>
    <row r="2057" spans="1:14" s="347" customFormat="1" x14ac:dyDescent="0.25">
      <c r="A2057" s="369">
        <f>+A2056</f>
        <v>44319</v>
      </c>
      <c r="B2057" s="347">
        <f>+MONTH(A2057)</f>
        <v>5</v>
      </c>
      <c r="C2057" s="347">
        <v>216</v>
      </c>
      <c r="D2057" s="340" t="str">
        <f>VLOOKUP(C2057,Plan!A:B,2,0)</f>
        <v>Cuenta por Pagar a Administración Colectas</v>
      </c>
      <c r="E2057" s="341">
        <f>+F2057-G2057</f>
        <v>-2000</v>
      </c>
      <c r="F2057" s="405">
        <v>0</v>
      </c>
      <c r="G2057" s="405">
        <f>+F2056</f>
        <v>2000</v>
      </c>
      <c r="H2057" t="str">
        <f>+H2056</f>
        <v>Colecta Raimundo Barros</v>
      </c>
      <c r="I2057" s="403" t="s">
        <v>131</v>
      </c>
      <c r="K2057" s="370"/>
      <c r="N2057" s="370"/>
    </row>
    <row r="2058" spans="1:14" s="347" customFormat="1" x14ac:dyDescent="0.25">
      <c r="A2058" s="369"/>
      <c r="E2058" s="396"/>
      <c r="F2058" s="396"/>
      <c r="G2058" s="396"/>
      <c r="K2058" s="370"/>
      <c r="N2058" s="370"/>
    </row>
    <row r="2059" spans="1:14" s="347" customFormat="1" x14ac:dyDescent="0.25">
      <c r="A2059" s="369">
        <v>44319</v>
      </c>
      <c r="B2059" s="347">
        <f>+MONTH(A2059)</f>
        <v>5</v>
      </c>
      <c r="C2059" s="347">
        <v>115</v>
      </c>
      <c r="D2059" s="340" t="str">
        <f>VLOOKUP(C2059,Plan!A:B,2,0)</f>
        <v>Disponible Cali B.Chile</v>
      </c>
      <c r="E2059" s="341">
        <f>+F2059-G2059</f>
        <v>5000</v>
      </c>
      <c r="F2059" s="405">
        <v>5000</v>
      </c>
      <c r="G2059" s="405">
        <v>0</v>
      </c>
      <c r="H2059" t="s">
        <v>1719</v>
      </c>
      <c r="I2059" s="403" t="s">
        <v>131</v>
      </c>
      <c r="K2059" s="370"/>
      <c r="N2059" s="370"/>
    </row>
    <row r="2060" spans="1:14" s="347" customFormat="1" x14ac:dyDescent="0.25">
      <c r="A2060" s="369">
        <f>+A2059</f>
        <v>44319</v>
      </c>
      <c r="B2060" s="347">
        <f>+MONTH(A2060)</f>
        <v>5</v>
      </c>
      <c r="C2060" s="347">
        <v>1222</v>
      </c>
      <c r="D2060" s="340" t="str">
        <f>VLOOKUP(C2060,Plan!A:B,2,0)</f>
        <v>Otros Valores -Oficina y Transferencias (249)</v>
      </c>
      <c r="E2060" s="341">
        <f>+F2060-G2060</f>
        <v>-5000</v>
      </c>
      <c r="F2060" s="405">
        <v>0</v>
      </c>
      <c r="G2060" s="405">
        <f>+F2059</f>
        <v>5000</v>
      </c>
      <c r="H2060" t="str">
        <f>+H2059</f>
        <v>María Angélica Pérez-Villamil /249</v>
      </c>
      <c r="I2060" s="403" t="s">
        <v>131</v>
      </c>
      <c r="K2060" s="370"/>
      <c r="N2060" s="370"/>
    </row>
    <row r="2061" spans="1:14" s="347" customFormat="1" x14ac:dyDescent="0.25">
      <c r="A2061" s="369"/>
      <c r="E2061" s="396"/>
      <c r="F2061" s="396"/>
      <c r="G2061" s="396"/>
      <c r="K2061" s="370"/>
      <c r="N2061" s="370"/>
    </row>
    <row r="2062" spans="1:14" s="347" customFormat="1" x14ac:dyDescent="0.25">
      <c r="A2062" s="369">
        <v>44319</v>
      </c>
      <c r="B2062" s="347">
        <f>+MONTH(A2062)</f>
        <v>5</v>
      </c>
      <c r="C2062" s="347">
        <v>115</v>
      </c>
      <c r="D2062" s="340" t="str">
        <f>VLOOKUP(C2062,Plan!A:B,2,0)</f>
        <v>Disponible Cali B.Chile</v>
      </c>
      <c r="E2062" s="341">
        <f>+F2062-G2062</f>
        <v>30000</v>
      </c>
      <c r="F2062" s="405">
        <v>30000</v>
      </c>
      <c r="G2062" s="405">
        <v>0</v>
      </c>
      <c r="H2062" t="s">
        <v>1683</v>
      </c>
      <c r="I2062" s="403" t="s">
        <v>131</v>
      </c>
      <c r="K2062" s="370"/>
      <c r="N2062" s="370"/>
    </row>
    <row r="2063" spans="1:14" s="347" customFormat="1" x14ac:dyDescent="0.25">
      <c r="A2063" s="369">
        <f>+A2062</f>
        <v>44319</v>
      </c>
      <c r="B2063" s="347">
        <f>+MONTH(A2063)</f>
        <v>5</v>
      </c>
      <c r="C2063" s="347">
        <v>216</v>
      </c>
      <c r="D2063" s="340" t="str">
        <f>VLOOKUP(C2063,Plan!A:B,2,0)</f>
        <v>Cuenta por Pagar a Administración Colectas</v>
      </c>
      <c r="E2063" s="341">
        <f>+F2063-G2063</f>
        <v>-30000</v>
      </c>
      <c r="F2063" s="405">
        <v>0</v>
      </c>
      <c r="G2063" s="405">
        <f>+F2062</f>
        <v>30000</v>
      </c>
      <c r="H2063" t="str">
        <f>+H2062</f>
        <v>Colecta Pedro Armando Alvarez Marin</v>
      </c>
      <c r="I2063" s="403" t="s">
        <v>131</v>
      </c>
      <c r="K2063" s="370"/>
      <c r="N2063" s="370"/>
    </row>
    <row r="2064" spans="1:14" s="347" customFormat="1" x14ac:dyDescent="0.25">
      <c r="A2064" s="369"/>
      <c r="E2064" s="396"/>
      <c r="F2064" s="396"/>
      <c r="G2064" s="396"/>
      <c r="K2064" s="370"/>
      <c r="N2064" s="370"/>
    </row>
    <row r="2065" spans="1:14" s="347" customFormat="1" x14ac:dyDescent="0.25">
      <c r="A2065" s="369">
        <v>44319</v>
      </c>
      <c r="B2065" s="347">
        <f>+MONTH(A2065)</f>
        <v>5</v>
      </c>
      <c r="C2065" s="347">
        <v>115</v>
      </c>
      <c r="D2065" s="340" t="str">
        <f>VLOOKUP(C2065,Plan!A:B,2,0)</f>
        <v>Disponible Cali B.Chile</v>
      </c>
      <c r="E2065" s="341">
        <f>+F2065-G2065</f>
        <v>60000</v>
      </c>
      <c r="F2065" s="405">
        <v>60000</v>
      </c>
      <c r="G2065" s="405">
        <v>0</v>
      </c>
      <c r="H2065" t="s">
        <v>992</v>
      </c>
      <c r="I2065" s="403" t="s">
        <v>131</v>
      </c>
      <c r="K2065" s="370"/>
      <c r="N2065" s="370"/>
    </row>
    <row r="2066" spans="1:14" s="347" customFormat="1" x14ac:dyDescent="0.25">
      <c r="A2066" s="369">
        <f>+A2065</f>
        <v>44319</v>
      </c>
      <c r="B2066" s="347">
        <f>+MONTH(A2066)</f>
        <v>5</v>
      </c>
      <c r="C2066" s="347">
        <v>1222</v>
      </c>
      <c r="D2066" s="340" t="str">
        <f>VLOOKUP(C2066,Plan!A:B,2,0)</f>
        <v>Otros Valores -Oficina y Transferencias (249)</v>
      </c>
      <c r="E2066" s="341">
        <f>+F2066-G2066</f>
        <v>-60000</v>
      </c>
      <c r="F2066" s="405">
        <v>0</v>
      </c>
      <c r="G2066" s="405">
        <f>+F2065</f>
        <v>60000</v>
      </c>
      <c r="H2066" t="str">
        <f>+H2065</f>
        <v>Enrique Brahm García / 249</v>
      </c>
      <c r="I2066" s="403" t="s">
        <v>131</v>
      </c>
      <c r="K2066" s="370"/>
      <c r="N2066" s="370"/>
    </row>
    <row r="2067" spans="1:14" s="347" customFormat="1" x14ac:dyDescent="0.25">
      <c r="A2067" s="369"/>
      <c r="E2067" s="396"/>
      <c r="F2067" s="396"/>
      <c r="G2067" s="396"/>
      <c r="K2067" s="370"/>
      <c r="N2067" s="370"/>
    </row>
    <row r="2068" spans="1:14" s="347" customFormat="1" x14ac:dyDescent="0.25">
      <c r="A2068" s="369">
        <v>44319</v>
      </c>
      <c r="B2068" s="347">
        <f>+MONTH(A2068)</f>
        <v>5</v>
      </c>
      <c r="C2068" s="347">
        <v>115</v>
      </c>
      <c r="D2068" s="340" t="str">
        <f>VLOOKUP(C2068,Plan!A:B,2,0)</f>
        <v>Disponible Cali B.Chile</v>
      </c>
      <c r="E2068" s="341">
        <f>+F2068-G2068</f>
        <v>10000</v>
      </c>
      <c r="F2068" s="405">
        <v>10000</v>
      </c>
      <c r="G2068" s="405">
        <v>0</v>
      </c>
      <c r="H2068" t="s">
        <v>1020</v>
      </c>
      <c r="I2068" s="403" t="s">
        <v>131</v>
      </c>
      <c r="K2068" s="370"/>
      <c r="N2068" s="370"/>
    </row>
    <row r="2069" spans="1:14" s="347" customFormat="1" x14ac:dyDescent="0.25">
      <c r="A2069" s="369">
        <f>+A2068</f>
        <v>44319</v>
      </c>
      <c r="B2069" s="347">
        <f>+MONTH(A2069)</f>
        <v>5</v>
      </c>
      <c r="C2069" s="347">
        <v>1217</v>
      </c>
      <c r="D2069" s="340" t="str">
        <f>VLOOKUP(C2069,Plan!A:B,2,0)</f>
        <v>Otros Valores -Oficina y Transferencias (248)</v>
      </c>
      <c r="E2069" s="341">
        <f>+F2069-G2069</f>
        <v>-10000</v>
      </c>
      <c r="F2069" s="405">
        <v>0</v>
      </c>
      <c r="G2069" s="405">
        <f>+F2068</f>
        <v>10000</v>
      </c>
      <c r="H2069" t="str">
        <f>+H2068</f>
        <v xml:space="preserve">M.Cristina Valenzuela L./248 </v>
      </c>
      <c r="I2069" s="403" t="s">
        <v>131</v>
      </c>
      <c r="K2069" s="370"/>
      <c r="N2069" s="370"/>
    </row>
    <row r="2070" spans="1:14" s="347" customFormat="1" x14ac:dyDescent="0.25">
      <c r="A2070" s="369"/>
      <c r="E2070" s="396"/>
      <c r="F2070" s="396"/>
      <c r="G2070" s="396"/>
      <c r="K2070" s="370"/>
      <c r="N2070" s="370"/>
    </row>
    <row r="2071" spans="1:14" s="347" customFormat="1" x14ac:dyDescent="0.25">
      <c r="A2071" s="369">
        <v>44319</v>
      </c>
      <c r="B2071" s="347">
        <f>+MONTH(A2071)</f>
        <v>5</v>
      </c>
      <c r="C2071" s="347">
        <v>115</v>
      </c>
      <c r="D2071" s="340" t="str">
        <f>VLOOKUP(C2071,Plan!A:B,2,0)</f>
        <v>Disponible Cali B.Chile</v>
      </c>
      <c r="E2071" s="341">
        <f>+F2071-G2071</f>
        <v>120000</v>
      </c>
      <c r="F2071" s="405">
        <v>120000</v>
      </c>
      <c r="G2071" s="405">
        <v>0</v>
      </c>
      <c r="H2071" t="s">
        <v>987</v>
      </c>
      <c r="I2071" s="403" t="s">
        <v>131</v>
      </c>
      <c r="K2071" s="370"/>
      <c r="N2071" s="370"/>
    </row>
    <row r="2072" spans="1:14" s="347" customFormat="1" x14ac:dyDescent="0.25">
      <c r="A2072" s="369">
        <f>+A2071</f>
        <v>44319</v>
      </c>
      <c r="B2072" s="347">
        <f>+MONTH(A2072)</f>
        <v>5</v>
      </c>
      <c r="C2072" s="347">
        <v>1217</v>
      </c>
      <c r="D2072" s="340" t="str">
        <f>VLOOKUP(C2072,Plan!A:B,2,0)</f>
        <v>Otros Valores -Oficina y Transferencias (248)</v>
      </c>
      <c r="E2072" s="341">
        <f>+F2072-G2072</f>
        <v>-120000</v>
      </c>
      <c r="F2072" s="405">
        <v>0</v>
      </c>
      <c r="G2072" s="405">
        <f>+F2071</f>
        <v>120000</v>
      </c>
      <c r="H2072" t="str">
        <f>+H2071</f>
        <v xml:space="preserve">I. Ureta / 248 </v>
      </c>
      <c r="I2072" s="403" t="s">
        <v>131</v>
      </c>
      <c r="K2072" s="370"/>
      <c r="N2072" s="370"/>
    </row>
    <row r="2073" spans="1:14" s="347" customFormat="1" x14ac:dyDescent="0.25">
      <c r="A2073" s="369"/>
      <c r="E2073" s="396"/>
      <c r="F2073" s="396"/>
      <c r="G2073" s="396"/>
      <c r="K2073" s="370"/>
      <c r="N2073" s="370"/>
    </row>
    <row r="2074" spans="1:14" s="347" customFormat="1" x14ac:dyDescent="0.25">
      <c r="A2074" s="369">
        <v>44319</v>
      </c>
      <c r="B2074" s="347">
        <f>+MONTH(A2074)</f>
        <v>5</v>
      </c>
      <c r="C2074" s="347">
        <v>115</v>
      </c>
      <c r="D2074" s="340" t="str">
        <f>VLOOKUP(C2074,Plan!A:B,2,0)</f>
        <v>Disponible Cali B.Chile</v>
      </c>
      <c r="E2074" s="341">
        <f>+F2074-G2074</f>
        <v>10000</v>
      </c>
      <c r="F2074" s="405">
        <v>10000</v>
      </c>
      <c r="G2074" s="405">
        <v>0</v>
      </c>
      <c r="H2074" t="s">
        <v>971</v>
      </c>
      <c r="I2074" s="403" t="s">
        <v>131</v>
      </c>
      <c r="K2074" s="370"/>
      <c r="N2074" s="370"/>
    </row>
    <row r="2075" spans="1:14" s="347" customFormat="1" x14ac:dyDescent="0.25">
      <c r="A2075" s="369">
        <f>+A2074</f>
        <v>44319</v>
      </c>
      <c r="B2075" s="347">
        <f>+MONTH(A2075)</f>
        <v>5</v>
      </c>
      <c r="C2075" s="347">
        <v>216</v>
      </c>
      <c r="D2075" s="340" t="str">
        <f>VLOOKUP(C2075,Plan!A:B,2,0)</f>
        <v>Cuenta por Pagar a Administración Colectas</v>
      </c>
      <c r="E2075" s="341">
        <f>+F2075-G2075</f>
        <v>-10000</v>
      </c>
      <c r="F2075" s="405">
        <v>0</v>
      </c>
      <c r="G2075" s="405">
        <f>+F2074</f>
        <v>10000</v>
      </c>
      <c r="H2075" t="str">
        <f>+H2074</f>
        <v>Colecta Pablo Irarrazaval Mena</v>
      </c>
      <c r="I2075" s="403" t="s">
        <v>131</v>
      </c>
      <c r="K2075" s="370"/>
      <c r="N2075" s="370"/>
    </row>
    <row r="2076" spans="1:14" s="347" customFormat="1" x14ac:dyDescent="0.25">
      <c r="A2076" s="369"/>
      <c r="E2076" s="396"/>
      <c r="F2076" s="396"/>
      <c r="G2076" s="396"/>
      <c r="K2076" s="370"/>
      <c r="N2076" s="370"/>
    </row>
    <row r="2077" spans="1:14" s="347" customFormat="1" x14ac:dyDescent="0.25">
      <c r="A2077" s="369">
        <v>44319</v>
      </c>
      <c r="B2077" s="347">
        <f>+MONTH(A2077)</f>
        <v>5</v>
      </c>
      <c r="C2077" s="347">
        <v>115</v>
      </c>
      <c r="D2077" s="340" t="str">
        <f>VLOOKUP(C2077,Plan!A:B,2,0)</f>
        <v>Disponible Cali B.Chile</v>
      </c>
      <c r="E2077" s="341">
        <f>+F2077-G2077</f>
        <v>50000</v>
      </c>
      <c r="F2077" s="405">
        <v>50000</v>
      </c>
      <c r="G2077" s="405">
        <v>0</v>
      </c>
      <c r="H2077" t="s">
        <v>995</v>
      </c>
      <c r="I2077" s="403" t="s">
        <v>131</v>
      </c>
      <c r="K2077" s="370"/>
      <c r="N2077" s="370"/>
    </row>
    <row r="2078" spans="1:14" s="347" customFormat="1" x14ac:dyDescent="0.25">
      <c r="A2078" s="369">
        <f>+A2077</f>
        <v>44319</v>
      </c>
      <c r="B2078" s="347">
        <f>+MONTH(A2078)</f>
        <v>5</v>
      </c>
      <c r="C2078" s="347">
        <v>1222</v>
      </c>
      <c r="D2078" s="340" t="str">
        <f>VLOOKUP(C2078,Plan!A:B,2,0)</f>
        <v>Otros Valores -Oficina y Transferencias (249)</v>
      </c>
      <c r="E2078" s="341">
        <f>+F2078-G2078</f>
        <v>-50000</v>
      </c>
      <c r="F2078" s="405">
        <v>0</v>
      </c>
      <c r="G2078" s="405">
        <f>+F2077</f>
        <v>50000</v>
      </c>
      <c r="H2078" t="str">
        <f>+H2077</f>
        <v>Francisco Salazar González / 249</v>
      </c>
      <c r="I2078" s="403" t="s">
        <v>131</v>
      </c>
      <c r="K2078" s="370"/>
      <c r="N2078" s="370"/>
    </row>
    <row r="2079" spans="1:14" s="347" customFormat="1" x14ac:dyDescent="0.25">
      <c r="A2079" s="369"/>
      <c r="E2079" s="396"/>
      <c r="F2079" s="396"/>
      <c r="G2079" s="396"/>
      <c r="K2079" s="370"/>
      <c r="N2079" s="370"/>
    </row>
    <row r="2080" spans="1:14" s="347" customFormat="1" x14ac:dyDescent="0.25">
      <c r="A2080" s="369">
        <v>44319</v>
      </c>
      <c r="B2080" s="347">
        <f>+MONTH(A2080)</f>
        <v>5</v>
      </c>
      <c r="C2080" s="347">
        <v>115</v>
      </c>
      <c r="D2080" s="340" t="str">
        <f>VLOOKUP(C2080,Plan!A:B,2,0)</f>
        <v>Disponible Cali B.Chile</v>
      </c>
      <c r="E2080" s="341">
        <f>+F2080-G2080</f>
        <v>45000</v>
      </c>
      <c r="F2080" s="405">
        <v>45000</v>
      </c>
      <c r="G2080" s="405">
        <v>0</v>
      </c>
      <c r="H2080" t="s">
        <v>993</v>
      </c>
      <c r="I2080" s="403" t="s">
        <v>131</v>
      </c>
      <c r="K2080" s="370"/>
      <c r="N2080" s="370"/>
    </row>
    <row r="2081" spans="1:14" s="347" customFormat="1" x14ac:dyDescent="0.25">
      <c r="A2081" s="369">
        <f>+A2080</f>
        <v>44319</v>
      </c>
      <c r="B2081" s="347">
        <f>+MONTH(A2081)</f>
        <v>5</v>
      </c>
      <c r="C2081" s="347">
        <v>3210</v>
      </c>
      <c r="D2081" s="340" t="str">
        <f>VLOOKUP(C2081,Plan!A:B,2,0)</f>
        <v>Donacion Construccion</v>
      </c>
      <c r="E2081" s="341">
        <f>+F2081-G2081</f>
        <v>-45000</v>
      </c>
      <c r="F2081" s="405">
        <v>0</v>
      </c>
      <c r="G2081" s="405">
        <f>+F2080</f>
        <v>45000</v>
      </c>
      <c r="H2081" t="str">
        <f>+H2080</f>
        <v>Patricia Romero Navarro / Azul</v>
      </c>
      <c r="I2081" s="403" t="s">
        <v>131</v>
      </c>
      <c r="K2081" s="370"/>
      <c r="N2081" s="370"/>
    </row>
    <row r="2082" spans="1:14" s="347" customFormat="1" x14ac:dyDescent="0.25">
      <c r="A2082" s="369"/>
      <c r="E2082" s="396"/>
      <c r="F2082" s="396"/>
      <c r="G2082" s="396"/>
      <c r="K2082" s="370"/>
      <c r="N2082" s="370"/>
    </row>
    <row r="2083" spans="1:14" s="347" customFormat="1" x14ac:dyDescent="0.25">
      <c r="A2083" s="369">
        <v>44319</v>
      </c>
      <c r="B2083" s="347">
        <f>+MONTH(A2083)</f>
        <v>5</v>
      </c>
      <c r="C2083" s="347">
        <v>115</v>
      </c>
      <c r="D2083" s="340" t="str">
        <f>VLOOKUP(C2083,Plan!A:B,2,0)</f>
        <v>Disponible Cali B.Chile</v>
      </c>
      <c r="E2083" s="341">
        <f>+F2083-G2083</f>
        <v>10000</v>
      </c>
      <c r="F2083" s="405">
        <v>10000</v>
      </c>
      <c r="G2083" s="405">
        <v>0</v>
      </c>
      <c r="H2083" t="s">
        <v>973</v>
      </c>
      <c r="I2083" s="403" t="s">
        <v>131</v>
      </c>
      <c r="K2083" s="370"/>
      <c r="N2083" s="370"/>
    </row>
    <row r="2084" spans="1:14" s="347" customFormat="1" x14ac:dyDescent="0.25">
      <c r="A2084" s="369">
        <f>+A2083</f>
        <v>44319</v>
      </c>
      <c r="B2084" s="347">
        <f>+MONTH(A2084)</f>
        <v>5</v>
      </c>
      <c r="C2084" s="347">
        <v>1222</v>
      </c>
      <c r="D2084" s="340" t="str">
        <f>VLOOKUP(C2084,Plan!A:B,2,0)</f>
        <v>Otros Valores -Oficina y Transferencias (249)</v>
      </c>
      <c r="E2084" s="341">
        <f>+F2084-G2084</f>
        <v>-10000</v>
      </c>
      <c r="F2084" s="405">
        <v>0</v>
      </c>
      <c r="G2084" s="405">
        <f>+F2083</f>
        <v>10000</v>
      </c>
      <c r="H2084" t="str">
        <f>+H2083</f>
        <v>Ana María Ugarte / 249</v>
      </c>
      <c r="I2084" s="403" t="s">
        <v>131</v>
      </c>
      <c r="K2084" s="370"/>
      <c r="N2084" s="370"/>
    </row>
    <row r="2085" spans="1:14" s="347" customFormat="1" x14ac:dyDescent="0.25">
      <c r="A2085" s="369"/>
      <c r="E2085" s="396"/>
      <c r="F2085" s="396"/>
      <c r="G2085" s="396"/>
      <c r="K2085" s="370"/>
      <c r="N2085" s="370"/>
    </row>
    <row r="2086" spans="1:14" s="347" customFormat="1" x14ac:dyDescent="0.25">
      <c r="A2086" s="369">
        <v>44319</v>
      </c>
      <c r="B2086" s="347">
        <f>+MONTH(A2086)</f>
        <v>5</v>
      </c>
      <c r="C2086" s="347">
        <v>115</v>
      </c>
      <c r="D2086" s="340" t="str">
        <f>VLOOKUP(C2086,Plan!A:B,2,0)</f>
        <v>Disponible Cali B.Chile</v>
      </c>
      <c r="E2086" s="341">
        <f>+F2086-G2086</f>
        <v>50000</v>
      </c>
      <c r="F2086" s="405">
        <v>50000</v>
      </c>
      <c r="G2086" s="405">
        <v>0</v>
      </c>
      <c r="H2086" t="s">
        <v>974</v>
      </c>
      <c r="I2086" s="403" t="s">
        <v>131</v>
      </c>
      <c r="K2086" s="370"/>
      <c r="N2086" s="370"/>
    </row>
    <row r="2087" spans="1:14" s="347" customFormat="1" x14ac:dyDescent="0.25">
      <c r="A2087" s="369">
        <f>+A2086</f>
        <v>44319</v>
      </c>
      <c r="B2087" s="347">
        <f>+MONTH(A2087)</f>
        <v>5</v>
      </c>
      <c r="C2087" s="347">
        <v>1222</v>
      </c>
      <c r="D2087" s="340" t="str">
        <f>VLOOKUP(C2087,Plan!A:B,2,0)</f>
        <v>Otros Valores -Oficina y Transferencias (249)</v>
      </c>
      <c r="E2087" s="341">
        <f>+F2087-G2087</f>
        <v>-50000</v>
      </c>
      <c r="F2087" s="405">
        <v>0</v>
      </c>
      <c r="G2087" s="405">
        <f>+F2086</f>
        <v>50000</v>
      </c>
      <c r="H2087" t="str">
        <f>+H2086</f>
        <v>Matías Rafael Ubilla Silva / 249</v>
      </c>
      <c r="I2087" s="403" t="s">
        <v>131</v>
      </c>
      <c r="K2087" s="370"/>
      <c r="N2087" s="370"/>
    </row>
    <row r="2088" spans="1:14" s="347" customFormat="1" x14ac:dyDescent="0.25">
      <c r="A2088" s="369"/>
      <c r="E2088" s="396"/>
      <c r="F2088" s="396"/>
      <c r="G2088" s="396"/>
      <c r="K2088" s="370"/>
      <c r="N2088" s="370"/>
    </row>
    <row r="2089" spans="1:14" s="347" customFormat="1" x14ac:dyDescent="0.25">
      <c r="A2089" s="369">
        <v>44319</v>
      </c>
      <c r="B2089" s="347">
        <f>+MONTH(A2089)</f>
        <v>5</v>
      </c>
      <c r="C2089" s="347">
        <v>115</v>
      </c>
      <c r="D2089" s="340" t="str">
        <f>VLOOKUP(C2089,Plan!A:B,2,0)</f>
        <v>Disponible Cali B.Chile</v>
      </c>
      <c r="E2089" s="341">
        <f>+F2089-G2089</f>
        <v>14000</v>
      </c>
      <c r="F2089" s="405">
        <v>14000</v>
      </c>
      <c r="G2089" s="405">
        <v>0</v>
      </c>
      <c r="H2089" t="s">
        <v>1104</v>
      </c>
      <c r="I2089" s="403" t="s">
        <v>131</v>
      </c>
      <c r="K2089" s="370"/>
      <c r="N2089" s="370"/>
    </row>
    <row r="2090" spans="1:14" s="347" customFormat="1" x14ac:dyDescent="0.25">
      <c r="A2090" s="369">
        <f>+A2089</f>
        <v>44319</v>
      </c>
      <c r="B2090" s="347">
        <f>+MONTH(A2090)</f>
        <v>5</v>
      </c>
      <c r="C2090" s="347">
        <v>3210</v>
      </c>
      <c r="D2090" s="340" t="str">
        <f>VLOOKUP(C2090,Plan!A:B,2,0)</f>
        <v>Donacion Construccion</v>
      </c>
      <c r="E2090" s="341">
        <f>+F2090-G2090</f>
        <v>-14000</v>
      </c>
      <c r="F2090" s="405">
        <v>0</v>
      </c>
      <c r="G2090" s="405">
        <f>+F2089</f>
        <v>14000</v>
      </c>
      <c r="H2090" t="str">
        <f>+H2089</f>
        <v>María Luisa Ilharreborde Illanes / Azul</v>
      </c>
      <c r="I2090" s="403" t="s">
        <v>131</v>
      </c>
      <c r="K2090" s="370"/>
      <c r="N2090" s="370"/>
    </row>
    <row r="2091" spans="1:14" s="347" customFormat="1" x14ac:dyDescent="0.25">
      <c r="A2091" s="369"/>
      <c r="E2091" s="396"/>
      <c r="F2091" s="396"/>
      <c r="G2091" s="396"/>
      <c r="K2091" s="370"/>
      <c r="N2091" s="370"/>
    </row>
    <row r="2092" spans="1:14" s="347" customFormat="1" x14ac:dyDescent="0.25">
      <c r="A2092" s="369">
        <v>44319</v>
      </c>
      <c r="B2092" s="347">
        <f>+MONTH(A2092)</f>
        <v>5</v>
      </c>
      <c r="C2092" s="347">
        <v>115</v>
      </c>
      <c r="D2092" s="340" t="str">
        <f>VLOOKUP(C2092,Plan!A:B,2,0)</f>
        <v>Disponible Cali B.Chile</v>
      </c>
      <c r="E2092" s="341">
        <f>+F2092-G2092</f>
        <v>12000</v>
      </c>
      <c r="F2092" s="405">
        <v>12000</v>
      </c>
      <c r="G2092" s="405">
        <v>0</v>
      </c>
      <c r="H2092" t="s">
        <v>1673</v>
      </c>
      <c r="I2092" s="403" t="s">
        <v>131</v>
      </c>
      <c r="K2092" s="370"/>
      <c r="N2092" s="370"/>
    </row>
    <row r="2093" spans="1:14" s="347" customFormat="1" x14ac:dyDescent="0.25">
      <c r="A2093" s="369">
        <f>+A2092</f>
        <v>44319</v>
      </c>
      <c r="B2093" s="347">
        <f>+MONTH(A2093)</f>
        <v>5</v>
      </c>
      <c r="C2093" s="347">
        <v>1222</v>
      </c>
      <c r="D2093" s="340" t="str">
        <f>VLOOKUP(C2093,Plan!A:B,2,0)</f>
        <v>Otros Valores -Oficina y Transferencias (249)</v>
      </c>
      <c r="E2093" s="341">
        <f>+F2093-G2093</f>
        <v>-12000</v>
      </c>
      <c r="F2093" s="405">
        <v>0</v>
      </c>
      <c r="G2093" s="405">
        <f>+F2092</f>
        <v>12000</v>
      </c>
      <c r="H2093" t="str">
        <f>+H2092</f>
        <v xml:space="preserve">Martín Fuenzalida Izquierdo / 249 </v>
      </c>
      <c r="I2093" s="403" t="s">
        <v>131</v>
      </c>
      <c r="K2093" s="370"/>
      <c r="N2093" s="370"/>
    </row>
    <row r="2094" spans="1:14" s="347" customFormat="1" x14ac:dyDescent="0.25">
      <c r="A2094" s="369"/>
      <c r="E2094" s="396"/>
      <c r="F2094" s="396"/>
      <c r="G2094" s="396"/>
      <c r="K2094" s="370"/>
      <c r="N2094" s="370"/>
    </row>
    <row r="2095" spans="1:14" s="347" customFormat="1" x14ac:dyDescent="0.25">
      <c r="A2095" s="369">
        <v>44319</v>
      </c>
      <c r="B2095" s="347">
        <f>+MONTH(A2095)</f>
        <v>5</v>
      </c>
      <c r="C2095" s="347">
        <v>115</v>
      </c>
      <c r="D2095" s="340" t="str">
        <f>VLOOKUP(C2095,Plan!A:B,2,0)</f>
        <v>Disponible Cali B.Chile</v>
      </c>
      <c r="E2095" s="341">
        <f>+F2095-G2095</f>
        <v>30000</v>
      </c>
      <c r="F2095" s="405">
        <v>30000</v>
      </c>
      <c r="G2095" s="405">
        <v>0</v>
      </c>
      <c r="H2095" t="s">
        <v>996</v>
      </c>
      <c r="I2095" s="403" t="s">
        <v>131</v>
      </c>
      <c r="K2095" s="370"/>
      <c r="N2095" s="370"/>
    </row>
    <row r="2096" spans="1:14" s="347" customFormat="1" x14ac:dyDescent="0.25">
      <c r="A2096" s="369">
        <f>+A2095</f>
        <v>44319</v>
      </c>
      <c r="B2096" s="347">
        <f>+MONTH(A2096)</f>
        <v>5</v>
      </c>
      <c r="C2096" s="347">
        <v>3210</v>
      </c>
      <c r="D2096" s="340" t="str">
        <f>VLOOKUP(C2096,Plan!A:B,2,0)</f>
        <v>Donacion Construccion</v>
      </c>
      <c r="E2096" s="341">
        <f>+F2096-G2096</f>
        <v>-30000</v>
      </c>
      <c r="F2096" s="405">
        <v>0</v>
      </c>
      <c r="G2096" s="405">
        <f>+F2095</f>
        <v>30000</v>
      </c>
      <c r="H2096" t="str">
        <f>+H2095</f>
        <v>Patrick Reginald Horn Garcia / Azul</v>
      </c>
      <c r="I2096" s="403" t="s">
        <v>131</v>
      </c>
      <c r="K2096" s="370"/>
      <c r="N2096" s="370"/>
    </row>
    <row r="2097" spans="1:14" s="347" customFormat="1" x14ac:dyDescent="0.25">
      <c r="A2097" s="369"/>
      <c r="E2097" s="396"/>
      <c r="F2097" s="396"/>
      <c r="G2097" s="396"/>
      <c r="K2097" s="370"/>
      <c r="N2097" s="370"/>
    </row>
    <row r="2098" spans="1:14" s="347" customFormat="1" x14ac:dyDescent="0.25">
      <c r="A2098" s="369">
        <v>44319</v>
      </c>
      <c r="B2098" s="347">
        <f>+MONTH(A2098)</f>
        <v>5</v>
      </c>
      <c r="C2098" s="347">
        <v>115</v>
      </c>
      <c r="D2098" s="340" t="str">
        <f>VLOOKUP(C2098,Plan!A:B,2,0)</f>
        <v>Disponible Cali B.Chile</v>
      </c>
      <c r="E2098" s="341">
        <f>+F2098-G2098</f>
        <v>15000</v>
      </c>
      <c r="F2098" s="405">
        <v>15000</v>
      </c>
      <c r="G2098" s="405">
        <v>0</v>
      </c>
      <c r="H2098" t="s">
        <v>1099</v>
      </c>
      <c r="I2098" s="403" t="s">
        <v>131</v>
      </c>
      <c r="K2098" s="370"/>
      <c r="N2098" s="370"/>
    </row>
    <row r="2099" spans="1:14" s="347" customFormat="1" x14ac:dyDescent="0.25">
      <c r="A2099" s="369">
        <f>+A2098</f>
        <v>44319</v>
      </c>
      <c r="B2099" s="347">
        <f>+MONTH(A2099)</f>
        <v>5</v>
      </c>
      <c r="C2099" s="347">
        <v>1222</v>
      </c>
      <c r="D2099" s="340" t="str">
        <f>VLOOKUP(C2099,Plan!A:B,2,0)</f>
        <v>Otros Valores -Oficina y Transferencias (249)</v>
      </c>
      <c r="E2099" s="341">
        <f>+F2099-G2099</f>
        <v>-15000</v>
      </c>
      <c r="F2099" s="405">
        <v>0</v>
      </c>
      <c r="G2099" s="405">
        <f>+F2098</f>
        <v>15000</v>
      </c>
      <c r="H2099" t="str">
        <f>+H2098</f>
        <v>María Consuelo Fuenzalida Walker/249</v>
      </c>
      <c r="I2099" s="403" t="s">
        <v>131</v>
      </c>
      <c r="K2099" s="370"/>
      <c r="N2099" s="370"/>
    </row>
    <row r="2100" spans="1:14" s="347" customFormat="1" x14ac:dyDescent="0.25">
      <c r="A2100" s="369"/>
      <c r="E2100" s="396"/>
      <c r="F2100" s="396"/>
      <c r="G2100" s="396"/>
      <c r="K2100" s="370"/>
      <c r="N2100" s="370"/>
    </row>
    <row r="2101" spans="1:14" s="347" customFormat="1" x14ac:dyDescent="0.25">
      <c r="A2101" s="369">
        <v>44319</v>
      </c>
      <c r="B2101" s="347">
        <f>+MONTH(A2101)</f>
        <v>5</v>
      </c>
      <c r="C2101" s="347">
        <v>115</v>
      </c>
      <c r="D2101" s="340" t="str">
        <f>VLOOKUP(C2101,Plan!A:B,2,0)</f>
        <v>Disponible Cali B.Chile</v>
      </c>
      <c r="E2101" s="341">
        <f>+F2101-G2101</f>
        <v>80000</v>
      </c>
      <c r="F2101" s="405">
        <v>80000</v>
      </c>
      <c r="G2101" s="405">
        <v>0</v>
      </c>
      <c r="H2101" t="s">
        <v>797</v>
      </c>
      <c r="I2101" s="403" t="s">
        <v>131</v>
      </c>
      <c r="K2101" s="370"/>
      <c r="N2101" s="370"/>
    </row>
    <row r="2102" spans="1:14" s="347" customFormat="1" x14ac:dyDescent="0.25">
      <c r="A2102" s="369">
        <f>+A2101</f>
        <v>44319</v>
      </c>
      <c r="B2102" s="347">
        <f>+MONTH(A2102)</f>
        <v>5</v>
      </c>
      <c r="C2102" s="347">
        <v>1217</v>
      </c>
      <c r="D2102" s="340" t="str">
        <f>VLOOKUP(C2102,Plan!A:B,2,0)</f>
        <v>Otros Valores -Oficina y Transferencias (248)</v>
      </c>
      <c r="E2102" s="341">
        <f>+F2102-G2102</f>
        <v>-80000</v>
      </c>
      <c r="F2102" s="405">
        <v>0</v>
      </c>
      <c r="G2102" s="405">
        <f>+F2101</f>
        <v>80000</v>
      </c>
      <c r="H2102" t="str">
        <f>+H2101</f>
        <v>R. Casas del Valle / 248</v>
      </c>
      <c r="I2102" s="403" t="s">
        <v>131</v>
      </c>
      <c r="K2102" s="370"/>
      <c r="N2102" s="370"/>
    </row>
    <row r="2103" spans="1:14" s="347" customFormat="1" x14ac:dyDescent="0.25">
      <c r="A2103" s="369"/>
      <c r="E2103" s="396"/>
      <c r="F2103" s="396"/>
      <c r="G2103" s="396"/>
      <c r="K2103" s="370"/>
      <c r="N2103" s="370"/>
    </row>
    <row r="2104" spans="1:14" s="347" customFormat="1" x14ac:dyDescent="0.25">
      <c r="A2104" s="369">
        <v>44319</v>
      </c>
      <c r="B2104" s="347">
        <f>+MONTH(A2104)</f>
        <v>5</v>
      </c>
      <c r="C2104" s="347">
        <v>115</v>
      </c>
      <c r="D2104" s="340" t="str">
        <f>VLOOKUP(C2104,Plan!A:B,2,0)</f>
        <v>Disponible Cali B.Chile</v>
      </c>
      <c r="E2104" s="341">
        <f>+F2104-G2104</f>
        <v>20000</v>
      </c>
      <c r="F2104" s="405">
        <v>20000</v>
      </c>
      <c r="G2104" s="405">
        <v>0</v>
      </c>
      <c r="H2104" t="s">
        <v>983</v>
      </c>
      <c r="I2104" s="403" t="s">
        <v>131</v>
      </c>
      <c r="K2104" s="370"/>
      <c r="N2104" s="370"/>
    </row>
    <row r="2105" spans="1:14" s="347" customFormat="1" x14ac:dyDescent="0.25">
      <c r="A2105" s="369">
        <f>+A2104</f>
        <v>44319</v>
      </c>
      <c r="B2105" s="347">
        <f>+MONTH(A2105)</f>
        <v>5</v>
      </c>
      <c r="C2105" s="347">
        <v>1222</v>
      </c>
      <c r="D2105" s="340" t="str">
        <f>VLOOKUP(C2105,Plan!A:B,2,0)</f>
        <v>Otros Valores -Oficina y Transferencias (249)</v>
      </c>
      <c r="E2105" s="341">
        <f>+F2105-G2105</f>
        <v>-20000</v>
      </c>
      <c r="F2105" s="405">
        <v>0</v>
      </c>
      <c r="G2105" s="405">
        <f>+F2104</f>
        <v>20000</v>
      </c>
      <c r="H2105" t="str">
        <f>+H2104</f>
        <v>Macarena Gálvez Roa / 249</v>
      </c>
      <c r="I2105" s="403" t="s">
        <v>131</v>
      </c>
      <c r="K2105" s="370"/>
      <c r="N2105" s="370"/>
    </row>
    <row r="2106" spans="1:14" s="347" customFormat="1" x14ac:dyDescent="0.25">
      <c r="A2106" s="369"/>
      <c r="E2106" s="396"/>
      <c r="F2106" s="396"/>
      <c r="G2106" s="396"/>
      <c r="K2106" s="370"/>
      <c r="N2106" s="370"/>
    </row>
    <row r="2107" spans="1:14" s="347" customFormat="1" x14ac:dyDescent="0.25">
      <c r="A2107" s="369">
        <v>44319</v>
      </c>
      <c r="B2107" s="347">
        <f>+MONTH(A2107)</f>
        <v>5</v>
      </c>
      <c r="C2107" s="347">
        <v>115</v>
      </c>
      <c r="D2107" s="340" t="str">
        <f>VLOOKUP(C2107,Plan!A:B,2,0)</f>
        <v>Disponible Cali B.Chile</v>
      </c>
      <c r="E2107" s="341">
        <f>+F2107-G2107</f>
        <v>2421330</v>
      </c>
      <c r="F2107" s="405">
        <v>2421330</v>
      </c>
      <c r="G2107" s="405">
        <v>0</v>
      </c>
      <c r="H2107" t="s">
        <v>1720</v>
      </c>
      <c r="I2107" s="403" t="s">
        <v>131</v>
      </c>
      <c r="K2107" s="370"/>
      <c r="N2107" s="370"/>
    </row>
    <row r="2108" spans="1:14" s="347" customFormat="1" x14ac:dyDescent="0.25">
      <c r="A2108" s="369">
        <f>+A2107</f>
        <v>44319</v>
      </c>
      <c r="B2108" s="347">
        <f>+MONTH(A2108)</f>
        <v>5</v>
      </c>
      <c r="C2108" s="347">
        <v>1217</v>
      </c>
      <c r="D2108" s="340" t="str">
        <f>VLOOKUP(C2108,Plan!A:B,2,0)</f>
        <v>Otros Valores -Oficina y Transferencias (248)</v>
      </c>
      <c r="E2108" s="341">
        <f>+F2108-G2108</f>
        <v>-2421330</v>
      </c>
      <c r="F2108" s="405">
        <v>0</v>
      </c>
      <c r="G2108" s="405">
        <f>+F2107</f>
        <v>2421330</v>
      </c>
      <c r="H2108" t="str">
        <f>+H2107</f>
        <v>Antonio Tuset Jorrat / 248</v>
      </c>
      <c r="I2108" s="403" t="s">
        <v>131</v>
      </c>
      <c r="K2108" s="370"/>
      <c r="N2108" s="370"/>
    </row>
    <row r="2109" spans="1:14" s="347" customFormat="1" x14ac:dyDescent="0.25">
      <c r="A2109" s="369"/>
      <c r="E2109" s="396"/>
      <c r="F2109" s="396"/>
      <c r="G2109" s="396"/>
      <c r="K2109" s="370"/>
      <c r="N2109" s="370"/>
    </row>
    <row r="2110" spans="1:14" s="347" customFormat="1" x14ac:dyDescent="0.25">
      <c r="A2110" s="369">
        <v>44319</v>
      </c>
      <c r="B2110" s="347">
        <f>+MONTH(A2110)</f>
        <v>5</v>
      </c>
      <c r="C2110" s="347">
        <v>115</v>
      </c>
      <c r="D2110" s="340" t="str">
        <f>VLOOKUP(C2110,Plan!A:B,2,0)</f>
        <v>Disponible Cali B.Chile</v>
      </c>
      <c r="E2110" s="341">
        <f>+F2110-G2110</f>
        <v>30000</v>
      </c>
      <c r="F2110" s="405">
        <v>30000</v>
      </c>
      <c r="G2110" s="405">
        <v>0</v>
      </c>
      <c r="H2110" t="s">
        <v>1669</v>
      </c>
      <c r="I2110" s="403" t="s">
        <v>131</v>
      </c>
      <c r="K2110" s="370"/>
      <c r="N2110" s="370"/>
    </row>
    <row r="2111" spans="1:14" s="347" customFormat="1" x14ac:dyDescent="0.25">
      <c r="A2111" s="369">
        <f>+A2110</f>
        <v>44319</v>
      </c>
      <c r="B2111" s="347">
        <f>+MONTH(A2111)</f>
        <v>5</v>
      </c>
      <c r="C2111" s="347">
        <v>1222</v>
      </c>
      <c r="D2111" s="340" t="str">
        <f>VLOOKUP(C2111,Plan!A:B,2,0)</f>
        <v>Otros Valores -Oficina y Transferencias (249)</v>
      </c>
      <c r="E2111" s="341">
        <f>+F2111-G2111</f>
        <v>-30000</v>
      </c>
      <c r="F2111" s="405">
        <v>0</v>
      </c>
      <c r="G2111" s="405">
        <f>+F2110</f>
        <v>30000</v>
      </c>
      <c r="H2111" t="str">
        <f>+H2110</f>
        <v>Carlos Enrique Blanco Plummer / 249</v>
      </c>
      <c r="I2111" s="403" t="s">
        <v>131</v>
      </c>
      <c r="K2111" s="370"/>
      <c r="N2111" s="370"/>
    </row>
    <row r="2112" spans="1:14" s="347" customFormat="1" x14ac:dyDescent="0.25">
      <c r="A2112" s="369"/>
      <c r="E2112" s="396"/>
      <c r="F2112" s="396"/>
      <c r="G2112" s="396"/>
      <c r="K2112" s="370"/>
      <c r="N2112" s="370"/>
    </row>
    <row r="2113" spans="1:14" s="347" customFormat="1" x14ac:dyDescent="0.25">
      <c r="A2113" s="369">
        <v>44319</v>
      </c>
      <c r="B2113" s="347">
        <f>+MONTH(A2113)</f>
        <v>5</v>
      </c>
      <c r="C2113" s="347">
        <v>115</v>
      </c>
      <c r="D2113" s="340" t="str">
        <f>VLOOKUP(C2113,Plan!A:B,2,0)</f>
        <v>Disponible Cali B.Chile</v>
      </c>
      <c r="E2113" s="341">
        <f>+F2113-G2113</f>
        <v>40000</v>
      </c>
      <c r="F2113" s="405">
        <v>40000</v>
      </c>
      <c r="G2113" s="405">
        <v>0</v>
      </c>
      <c r="H2113" t="s">
        <v>989</v>
      </c>
      <c r="I2113" s="403" t="s">
        <v>131</v>
      </c>
      <c r="K2113" s="370"/>
      <c r="N2113" s="370"/>
    </row>
    <row r="2114" spans="1:14" s="347" customFormat="1" x14ac:dyDescent="0.25">
      <c r="A2114" s="369">
        <f>+A2113</f>
        <v>44319</v>
      </c>
      <c r="B2114" s="347">
        <f>+MONTH(A2114)</f>
        <v>5</v>
      </c>
      <c r="C2114" s="347">
        <v>1217</v>
      </c>
      <c r="D2114" s="340" t="str">
        <f>VLOOKUP(C2114,Plan!A:B,2,0)</f>
        <v>Otros Valores -Oficina y Transferencias (248)</v>
      </c>
      <c r="E2114" s="341">
        <f>+F2114-G2114</f>
        <v>-40000</v>
      </c>
      <c r="F2114" s="405">
        <v>0</v>
      </c>
      <c r="G2114" s="405">
        <f>+F2113</f>
        <v>40000</v>
      </c>
      <c r="H2114" t="str">
        <f>+H2113</f>
        <v>M. Domínguez / 248</v>
      </c>
      <c r="I2114" s="403" t="s">
        <v>131</v>
      </c>
      <c r="K2114" s="370"/>
      <c r="N2114" s="370"/>
    </row>
    <row r="2115" spans="1:14" s="347" customFormat="1" x14ac:dyDescent="0.25">
      <c r="A2115" s="369"/>
      <c r="E2115" s="396"/>
      <c r="F2115" s="396"/>
      <c r="G2115" s="396"/>
      <c r="K2115" s="370"/>
      <c r="N2115" s="370"/>
    </row>
    <row r="2116" spans="1:14" s="347" customFormat="1" x14ac:dyDescent="0.25">
      <c r="A2116" s="369">
        <v>44320</v>
      </c>
      <c r="B2116" s="347">
        <f>+MONTH(A2116)</f>
        <v>5</v>
      </c>
      <c r="C2116" s="347">
        <v>115</v>
      </c>
      <c r="D2116" s="340" t="str">
        <f>VLOOKUP(C2116,Plan!A:B,2,0)</f>
        <v>Disponible Cali B.Chile</v>
      </c>
      <c r="E2116" s="341">
        <f>+F2116-G2116</f>
        <v>200000</v>
      </c>
      <c r="F2116" s="405">
        <v>200000</v>
      </c>
      <c r="G2116" s="405">
        <v>0</v>
      </c>
      <c r="H2116" t="s">
        <v>1052</v>
      </c>
      <c r="I2116" s="403" t="s">
        <v>131</v>
      </c>
      <c r="K2116" s="370"/>
      <c r="N2116" s="370"/>
    </row>
    <row r="2117" spans="1:14" s="347" customFormat="1" x14ac:dyDescent="0.25">
      <c r="A2117" s="369">
        <f>+A2116</f>
        <v>44320</v>
      </c>
      <c r="B2117" s="347">
        <f>+MONTH(A2117)</f>
        <v>5</v>
      </c>
      <c r="C2117" s="347">
        <v>3210</v>
      </c>
      <c r="D2117" s="340" t="str">
        <f>VLOOKUP(C2117,Plan!A:B,2,0)</f>
        <v>Donacion Construccion</v>
      </c>
      <c r="E2117" s="341">
        <f>+F2117-G2117</f>
        <v>-200000</v>
      </c>
      <c r="F2117" s="405">
        <v>0</v>
      </c>
      <c r="G2117" s="405">
        <f>+F2116</f>
        <v>200000</v>
      </c>
      <c r="H2117" t="str">
        <f>+H2116</f>
        <v>Jorge Hernán Rodríguez Wilson/Azul</v>
      </c>
      <c r="I2117" s="403" t="s">
        <v>131</v>
      </c>
      <c r="K2117" s="370"/>
      <c r="N2117" s="370"/>
    </row>
    <row r="2118" spans="1:14" s="347" customFormat="1" x14ac:dyDescent="0.25">
      <c r="A2118" s="369"/>
      <c r="E2118" s="396"/>
      <c r="F2118" s="396"/>
      <c r="G2118" s="396"/>
      <c r="K2118" s="370"/>
      <c r="N2118" s="370"/>
    </row>
    <row r="2119" spans="1:14" s="347" customFormat="1" x14ac:dyDescent="0.25">
      <c r="A2119" s="369">
        <v>44320</v>
      </c>
      <c r="B2119" s="347">
        <f>+MONTH(A2119)</f>
        <v>5</v>
      </c>
      <c r="C2119" s="347">
        <v>115</v>
      </c>
      <c r="D2119" s="340" t="str">
        <f>VLOOKUP(C2119,Plan!A:B,2,0)</f>
        <v>Disponible Cali B.Chile</v>
      </c>
      <c r="E2119" s="341">
        <f>+F2119-G2119</f>
        <v>60000</v>
      </c>
      <c r="F2119" s="405">
        <v>60000</v>
      </c>
      <c r="G2119" s="405">
        <v>0</v>
      </c>
      <c r="H2119" t="s">
        <v>1721</v>
      </c>
      <c r="I2119" s="403" t="s">
        <v>131</v>
      </c>
      <c r="K2119" s="370"/>
      <c r="N2119" s="370"/>
    </row>
    <row r="2120" spans="1:14" s="347" customFormat="1" x14ac:dyDescent="0.25">
      <c r="A2120" s="369">
        <f>+A2119</f>
        <v>44320</v>
      </c>
      <c r="B2120" s="347">
        <f>+MONTH(A2120)</f>
        <v>5</v>
      </c>
      <c r="C2120" s="347">
        <v>3210</v>
      </c>
      <c r="D2120" s="340" t="str">
        <f>VLOOKUP(C2120,Plan!A:B,2,0)</f>
        <v>Donacion Construccion</v>
      </c>
      <c r="E2120" s="341">
        <f>+F2120-G2120</f>
        <v>-60000</v>
      </c>
      <c r="F2120" s="405">
        <v>0</v>
      </c>
      <c r="G2120" s="405">
        <f>+F2119</f>
        <v>60000</v>
      </c>
      <c r="H2120" t="str">
        <f>+H2119</f>
        <v>José Antonio Vicuña Errázuriz / Azul</v>
      </c>
      <c r="I2120" s="403" t="s">
        <v>131</v>
      </c>
      <c r="K2120" s="370"/>
      <c r="N2120" s="370"/>
    </row>
    <row r="2121" spans="1:14" s="347" customFormat="1" x14ac:dyDescent="0.25">
      <c r="A2121" s="369"/>
      <c r="E2121" s="396"/>
      <c r="F2121" s="396"/>
      <c r="G2121" s="396"/>
      <c r="K2121" s="370"/>
      <c r="N2121" s="370"/>
    </row>
    <row r="2122" spans="1:14" s="347" customFormat="1" x14ac:dyDescent="0.25">
      <c r="A2122" s="369">
        <v>44320</v>
      </c>
      <c r="B2122" s="347">
        <f>+MONTH(A2122)</f>
        <v>5</v>
      </c>
      <c r="C2122" s="347">
        <v>115</v>
      </c>
      <c r="D2122" s="340" t="str">
        <f>VLOOKUP(C2122,Plan!A:B,2,0)</f>
        <v>Disponible Cali B.Chile</v>
      </c>
      <c r="E2122" s="341">
        <f>+F2122-G2122</f>
        <v>40000</v>
      </c>
      <c r="F2122" s="405">
        <v>40000</v>
      </c>
      <c r="G2122" s="405">
        <v>0</v>
      </c>
      <c r="H2122" t="s">
        <v>1722</v>
      </c>
      <c r="I2122" s="403" t="s">
        <v>131</v>
      </c>
      <c r="K2122" s="370"/>
      <c r="N2122" s="370"/>
    </row>
    <row r="2123" spans="1:14" s="347" customFormat="1" x14ac:dyDescent="0.25">
      <c r="A2123" s="369">
        <f>+A2122</f>
        <v>44320</v>
      </c>
      <c r="B2123" s="347">
        <f>+MONTH(A2123)</f>
        <v>5</v>
      </c>
      <c r="C2123" s="347">
        <v>1222</v>
      </c>
      <c r="D2123" s="340" t="str">
        <f>VLOOKUP(C2123,Plan!A:B,2,0)</f>
        <v>Otros Valores -Oficina y Transferencias (249)</v>
      </c>
      <c r="E2123" s="341">
        <f>+F2123-G2123</f>
        <v>-40000</v>
      </c>
      <c r="F2123" s="405">
        <v>0</v>
      </c>
      <c r="G2123" s="405">
        <f>+F2122</f>
        <v>40000</v>
      </c>
      <c r="H2123" t="str">
        <f>+H2122</f>
        <v>Raúl Strappa Varas / 249 (abr y may)</v>
      </c>
      <c r="I2123" s="403" t="s">
        <v>131</v>
      </c>
      <c r="K2123" s="370"/>
      <c r="N2123" s="370"/>
    </row>
    <row r="2124" spans="1:14" s="347" customFormat="1" x14ac:dyDescent="0.25">
      <c r="A2124" s="369"/>
      <c r="E2124" s="396"/>
      <c r="F2124" s="396"/>
      <c r="G2124" s="396"/>
      <c r="K2124" s="370"/>
      <c r="N2124" s="370"/>
    </row>
    <row r="2125" spans="1:14" s="347" customFormat="1" x14ac:dyDescent="0.25">
      <c r="A2125" s="369">
        <v>44320</v>
      </c>
      <c r="B2125" s="347">
        <f>+MONTH(A2125)</f>
        <v>5</v>
      </c>
      <c r="C2125" s="347">
        <v>115</v>
      </c>
      <c r="D2125" s="340" t="str">
        <f>VLOOKUP(C2125,Plan!A:B,2,0)</f>
        <v>Disponible Cali B.Chile</v>
      </c>
      <c r="E2125" s="341">
        <f>+F2125-G2125</f>
        <v>150000</v>
      </c>
      <c r="F2125" s="405">
        <v>150000</v>
      </c>
      <c r="G2125" s="405">
        <v>0</v>
      </c>
      <c r="H2125" t="s">
        <v>1002</v>
      </c>
      <c r="I2125" s="403" t="s">
        <v>131</v>
      </c>
      <c r="K2125" s="370"/>
      <c r="N2125" s="370"/>
    </row>
    <row r="2126" spans="1:14" s="347" customFormat="1" x14ac:dyDescent="0.25">
      <c r="A2126" s="369">
        <f>+A2125</f>
        <v>44320</v>
      </c>
      <c r="B2126" s="347">
        <f>+MONTH(A2126)</f>
        <v>5</v>
      </c>
      <c r="C2126" s="347">
        <v>1222</v>
      </c>
      <c r="D2126" s="340" t="str">
        <f>VLOOKUP(C2126,Plan!A:B,2,0)</f>
        <v>Otros Valores -Oficina y Transferencias (249)</v>
      </c>
      <c r="E2126" s="341">
        <f>+F2126-G2126</f>
        <v>-150000</v>
      </c>
      <c r="F2126" s="405">
        <v>0</v>
      </c>
      <c r="G2126" s="405">
        <f>+F2125</f>
        <v>150000</v>
      </c>
      <c r="H2126" t="str">
        <f>+H2125</f>
        <v>José Miguel Ureta Cardoen / 249</v>
      </c>
      <c r="I2126" s="403" t="s">
        <v>131</v>
      </c>
      <c r="K2126" s="370"/>
      <c r="N2126" s="370"/>
    </row>
    <row r="2127" spans="1:14" s="347" customFormat="1" x14ac:dyDescent="0.25">
      <c r="A2127" s="369"/>
      <c r="E2127" s="396"/>
      <c r="F2127" s="396"/>
      <c r="G2127" s="396"/>
      <c r="K2127" s="370"/>
      <c r="N2127" s="370"/>
    </row>
    <row r="2128" spans="1:14" s="347" customFormat="1" x14ac:dyDescent="0.25">
      <c r="A2128" s="369">
        <v>44320</v>
      </c>
      <c r="B2128" s="347">
        <f>+MONTH(A2128)</f>
        <v>5</v>
      </c>
      <c r="C2128" s="347">
        <v>115</v>
      </c>
      <c r="D2128" s="340" t="str">
        <f>VLOOKUP(C2128,Plan!A:B,2,0)</f>
        <v>Disponible Cali B.Chile</v>
      </c>
      <c r="E2128" s="341">
        <f>+F2128-G2128</f>
        <v>9806</v>
      </c>
      <c r="F2128" s="405">
        <v>9806</v>
      </c>
      <c r="G2128" s="405">
        <v>0</v>
      </c>
      <c r="H2128" t="s">
        <v>1723</v>
      </c>
      <c r="I2128" s="403" t="s">
        <v>131</v>
      </c>
      <c r="K2128" s="370"/>
      <c r="N2128" s="370"/>
    </row>
    <row r="2129" spans="1:14" s="347" customFormat="1" x14ac:dyDescent="0.25">
      <c r="A2129" s="369">
        <v>44320</v>
      </c>
      <c r="B2129" s="347">
        <f>+MONTH(A2129)</f>
        <v>5</v>
      </c>
      <c r="C2129" s="347">
        <v>4331</v>
      </c>
      <c r="D2129" s="340" t="str">
        <f>VLOOKUP(C2129,Plan!A:B,2,0)</f>
        <v>Cali</v>
      </c>
      <c r="E2129" s="341">
        <f>+F2129-G2129</f>
        <v>194</v>
      </c>
      <c r="F2129" s="405">
        <f>+G2130-F2128</f>
        <v>194</v>
      </c>
      <c r="G2129" s="405">
        <v>0</v>
      </c>
      <c r="H2129" t="s">
        <v>1723</v>
      </c>
      <c r="I2129" s="403" t="s">
        <v>131</v>
      </c>
      <c r="K2129" s="370"/>
      <c r="N2129" s="370"/>
    </row>
    <row r="2130" spans="1:14" s="347" customFormat="1" x14ac:dyDescent="0.25">
      <c r="A2130" s="369">
        <f>+A2128</f>
        <v>44320</v>
      </c>
      <c r="B2130" s="347">
        <f>+MONTH(A2130)</f>
        <v>5</v>
      </c>
      <c r="C2130" s="347">
        <v>1222</v>
      </c>
      <c r="D2130" s="340" t="str">
        <f>VLOOKUP(C2130,Plan!A:B,2,0)</f>
        <v>Otros Valores -Oficina y Transferencias (249)</v>
      </c>
      <c r="E2130" s="341">
        <f>+F2130-G2130</f>
        <v>-10000</v>
      </c>
      <c r="F2130" s="405">
        <v>0</v>
      </c>
      <c r="G2130" s="405">
        <v>10000</v>
      </c>
      <c r="H2130" t="str">
        <f>+H2128</f>
        <v>DCT (M.JoseGuridi M$10)</v>
      </c>
      <c r="I2130" s="403" t="s">
        <v>131</v>
      </c>
      <c r="K2130" s="370"/>
      <c r="N2130" s="370"/>
    </row>
    <row r="2131" spans="1:14" s="347" customFormat="1" x14ac:dyDescent="0.25">
      <c r="A2131" s="369"/>
      <c r="E2131" s="396"/>
      <c r="F2131" s="396"/>
      <c r="G2131" s="396"/>
      <c r="K2131" s="370"/>
      <c r="N2131" s="370"/>
    </row>
    <row r="2132" spans="1:14" s="347" customFormat="1" x14ac:dyDescent="0.25">
      <c r="A2132" s="369">
        <v>44320</v>
      </c>
      <c r="B2132" s="347">
        <f>+MONTH(A2132)</f>
        <v>5</v>
      </c>
      <c r="C2132" s="347">
        <v>115</v>
      </c>
      <c r="D2132" s="340" t="str">
        <f>VLOOKUP(C2132,Plan!A:B,2,0)</f>
        <v>Disponible Cali B.Chile</v>
      </c>
      <c r="E2132" s="341">
        <f>+F2132-G2132</f>
        <v>70000</v>
      </c>
      <c r="F2132" s="405">
        <v>70000</v>
      </c>
      <c r="G2132" s="405">
        <v>0</v>
      </c>
      <c r="H2132" t="s">
        <v>997</v>
      </c>
      <c r="I2132" s="403" t="s">
        <v>131</v>
      </c>
      <c r="K2132" s="370"/>
      <c r="N2132" s="370"/>
    </row>
    <row r="2133" spans="1:14" s="347" customFormat="1" x14ac:dyDescent="0.25">
      <c r="A2133" s="369">
        <f>+A2132</f>
        <v>44320</v>
      </c>
      <c r="B2133" s="347">
        <f>+MONTH(A2133)</f>
        <v>5</v>
      </c>
      <c r="C2133" s="347">
        <v>1222</v>
      </c>
      <c r="D2133" s="340" t="str">
        <f>VLOOKUP(C2133,Plan!A:B,2,0)</f>
        <v>Otros Valores -Oficina y Transferencias (249)</v>
      </c>
      <c r="E2133" s="341">
        <f>+F2133-G2133</f>
        <v>-70000</v>
      </c>
      <c r="F2133" s="405">
        <v>0</v>
      </c>
      <c r="G2133" s="405">
        <f>+F2132</f>
        <v>70000</v>
      </c>
      <c r="H2133" t="str">
        <f>+H2132</f>
        <v>Alberto Altermatt C. / 249</v>
      </c>
      <c r="I2133" s="403" t="s">
        <v>131</v>
      </c>
      <c r="K2133" s="370"/>
      <c r="N2133" s="370"/>
    </row>
    <row r="2134" spans="1:14" s="347" customFormat="1" x14ac:dyDescent="0.25">
      <c r="A2134" s="369"/>
      <c r="E2134" s="396"/>
      <c r="F2134" s="396"/>
      <c r="G2134" s="396"/>
      <c r="K2134" s="370"/>
      <c r="N2134" s="370"/>
    </row>
    <row r="2135" spans="1:14" s="347" customFormat="1" x14ac:dyDescent="0.25">
      <c r="A2135" s="369">
        <v>44320</v>
      </c>
      <c r="B2135" s="347">
        <f>+MONTH(A2135)</f>
        <v>5</v>
      </c>
      <c r="C2135" s="347">
        <v>115</v>
      </c>
      <c r="D2135" s="340" t="str">
        <f>VLOOKUP(C2135,Plan!A:B,2,0)</f>
        <v>Disponible Cali B.Chile</v>
      </c>
      <c r="E2135" s="341">
        <f>+F2135-G2135</f>
        <v>500000</v>
      </c>
      <c r="F2135" s="405">
        <v>500000</v>
      </c>
      <c r="G2135" s="405">
        <v>0</v>
      </c>
      <c r="H2135" t="s">
        <v>1103</v>
      </c>
      <c r="I2135" s="403" t="s">
        <v>131</v>
      </c>
      <c r="K2135" s="370"/>
      <c r="N2135" s="370"/>
    </row>
    <row r="2136" spans="1:14" s="347" customFormat="1" x14ac:dyDescent="0.25">
      <c r="A2136" s="369">
        <f>+A2135</f>
        <v>44320</v>
      </c>
      <c r="B2136" s="347">
        <f>+MONTH(A2136)</f>
        <v>5</v>
      </c>
      <c r="C2136" s="347">
        <v>3210</v>
      </c>
      <c r="D2136" s="340" t="str">
        <f>VLOOKUP(C2136,Plan!A:B,2,0)</f>
        <v>Donacion Construccion</v>
      </c>
      <c r="E2136" s="341">
        <f>+F2136-G2136</f>
        <v>-500000</v>
      </c>
      <c r="F2136" s="405">
        <v>0</v>
      </c>
      <c r="G2136" s="405">
        <f>+F2135</f>
        <v>500000</v>
      </c>
      <c r="H2136" t="str">
        <f>+H2135</f>
        <v>Francisco Larraín Cruzat/azul</v>
      </c>
      <c r="I2136" s="403" t="s">
        <v>131</v>
      </c>
      <c r="K2136" s="370"/>
      <c r="N2136" s="370"/>
    </row>
    <row r="2137" spans="1:14" s="347" customFormat="1" x14ac:dyDescent="0.25">
      <c r="A2137" s="369"/>
      <c r="E2137" s="396"/>
      <c r="F2137" s="396"/>
      <c r="G2137" s="396"/>
      <c r="K2137" s="370"/>
      <c r="N2137" s="370"/>
    </row>
    <row r="2138" spans="1:14" s="347" customFormat="1" x14ac:dyDescent="0.25">
      <c r="A2138" s="369">
        <v>44321</v>
      </c>
      <c r="B2138" s="347">
        <f>+MONTH(A2138)</f>
        <v>5</v>
      </c>
      <c r="C2138" s="347">
        <v>115</v>
      </c>
      <c r="D2138" s="340" t="str">
        <f>VLOOKUP(C2138,Plan!A:B,2,0)</f>
        <v>Disponible Cali B.Chile</v>
      </c>
      <c r="E2138" s="341">
        <f>+F2138-G2138</f>
        <v>20000</v>
      </c>
      <c r="F2138" s="405">
        <v>20000</v>
      </c>
      <c r="G2138" s="405">
        <v>0</v>
      </c>
      <c r="H2138" t="s">
        <v>998</v>
      </c>
      <c r="I2138" s="403" t="s">
        <v>131</v>
      </c>
      <c r="K2138" s="370"/>
      <c r="N2138" s="370"/>
    </row>
    <row r="2139" spans="1:14" s="347" customFormat="1" x14ac:dyDescent="0.25">
      <c r="A2139" s="369">
        <f>+A2138</f>
        <v>44321</v>
      </c>
      <c r="B2139" s="347">
        <f>+MONTH(A2139)</f>
        <v>5</v>
      </c>
      <c r="C2139" s="347">
        <v>1222</v>
      </c>
      <c r="D2139" s="340" t="str">
        <f>VLOOKUP(C2139,Plan!A:B,2,0)</f>
        <v>Otros Valores -Oficina y Transferencias (249)</v>
      </c>
      <c r="E2139" s="341">
        <f>+F2139-G2139</f>
        <v>-20000</v>
      </c>
      <c r="F2139" s="405">
        <v>0</v>
      </c>
      <c r="G2139" s="405">
        <f>+F2138</f>
        <v>20000</v>
      </c>
      <c r="H2139" t="str">
        <f>+H2138</f>
        <v>Fca. Orrego/249</v>
      </c>
      <c r="I2139" s="403" t="s">
        <v>131</v>
      </c>
      <c r="K2139" s="370"/>
      <c r="N2139" s="370"/>
    </row>
    <row r="2140" spans="1:14" s="347" customFormat="1" x14ac:dyDescent="0.25">
      <c r="A2140" s="369"/>
      <c r="E2140" s="396"/>
      <c r="F2140" s="396"/>
      <c r="G2140" s="396"/>
      <c r="K2140" s="370"/>
      <c r="N2140" s="370"/>
    </row>
    <row r="2141" spans="1:14" s="347" customFormat="1" x14ac:dyDescent="0.25">
      <c r="A2141" s="369">
        <v>44321</v>
      </c>
      <c r="B2141" s="347">
        <f>+MONTH(A2141)</f>
        <v>5</v>
      </c>
      <c r="C2141" s="347">
        <v>115</v>
      </c>
      <c r="D2141" s="340" t="str">
        <f>VLOOKUP(C2141,Plan!A:B,2,0)</f>
        <v>Disponible Cali B.Chile</v>
      </c>
      <c r="E2141" s="341">
        <f>+F2141-G2141</f>
        <v>75000</v>
      </c>
      <c r="F2141" s="405">
        <v>75000</v>
      </c>
      <c r="G2141" s="405">
        <v>0</v>
      </c>
      <c r="H2141" t="s">
        <v>1679</v>
      </c>
      <c r="I2141" s="403" t="s">
        <v>131</v>
      </c>
      <c r="K2141" s="370"/>
      <c r="N2141" s="370"/>
    </row>
    <row r="2142" spans="1:14" s="347" customFormat="1" x14ac:dyDescent="0.25">
      <c r="A2142" s="369">
        <f>+A2141</f>
        <v>44321</v>
      </c>
      <c r="B2142" s="347">
        <f>+MONTH(A2142)</f>
        <v>5</v>
      </c>
      <c r="C2142" s="347">
        <v>1222</v>
      </c>
      <c r="D2142" s="340" t="str">
        <f>VLOOKUP(C2142,Plan!A:B,2,0)</f>
        <v>Otros Valores -Oficina y Transferencias (249)</v>
      </c>
      <c r="E2142" s="341">
        <f>+F2142-G2142</f>
        <v>-75000</v>
      </c>
      <c r="F2142" s="405">
        <v>0</v>
      </c>
      <c r="G2142" s="405">
        <f>+F2141</f>
        <v>75000</v>
      </c>
      <c r="H2142" t="str">
        <f>+H2141</f>
        <v>María Teresa Ibañez Vial / 249</v>
      </c>
      <c r="I2142" s="403" t="s">
        <v>131</v>
      </c>
      <c r="K2142" s="370"/>
      <c r="N2142" s="370"/>
    </row>
    <row r="2143" spans="1:14" s="347" customFormat="1" x14ac:dyDescent="0.25">
      <c r="A2143" s="369"/>
      <c r="E2143" s="396"/>
      <c r="F2143" s="396"/>
      <c r="G2143" s="396"/>
      <c r="K2143" s="370"/>
      <c r="N2143" s="370"/>
    </row>
    <row r="2144" spans="1:14" s="347" customFormat="1" x14ac:dyDescent="0.25">
      <c r="A2144" s="369">
        <v>44321</v>
      </c>
      <c r="B2144" s="347">
        <f>+MONTH(A2144)</f>
        <v>5</v>
      </c>
      <c r="C2144" s="347">
        <v>115</v>
      </c>
      <c r="D2144" s="340" t="str">
        <f>VLOOKUP(C2144,Plan!A:B,2,0)</f>
        <v>Disponible Cali B.Chile</v>
      </c>
      <c r="E2144" s="341">
        <f>+F2144-G2144</f>
        <v>60000</v>
      </c>
      <c r="F2144" s="405">
        <v>60000</v>
      </c>
      <c r="G2144" s="405">
        <v>0</v>
      </c>
      <c r="H2144" t="s">
        <v>1724</v>
      </c>
      <c r="I2144" s="403" t="s">
        <v>131</v>
      </c>
      <c r="K2144" s="370"/>
      <c r="N2144" s="370"/>
    </row>
    <row r="2145" spans="1:14" s="347" customFormat="1" x14ac:dyDescent="0.25">
      <c r="A2145" s="369">
        <f>+A2144</f>
        <v>44321</v>
      </c>
      <c r="B2145" s="347">
        <f>+MONTH(A2145)</f>
        <v>5</v>
      </c>
      <c r="C2145" s="347">
        <v>1222</v>
      </c>
      <c r="D2145" s="340" t="str">
        <f>VLOOKUP(C2145,Plan!A:B,2,0)</f>
        <v>Otros Valores -Oficina y Transferencias (249)</v>
      </c>
      <c r="E2145" s="341">
        <f>+F2145-G2145</f>
        <v>-60000</v>
      </c>
      <c r="F2145" s="405">
        <v>0</v>
      </c>
      <c r="G2145" s="405">
        <f>+F2144</f>
        <v>60000</v>
      </c>
      <c r="H2145" t="str">
        <f>+H2144</f>
        <v>Patricio Oelckers Álvarez / 249</v>
      </c>
      <c r="I2145" s="403" t="s">
        <v>131</v>
      </c>
      <c r="K2145" s="370"/>
      <c r="N2145" s="370"/>
    </row>
    <row r="2146" spans="1:14" s="347" customFormat="1" x14ac:dyDescent="0.25">
      <c r="A2146" s="369"/>
      <c r="E2146" s="396"/>
      <c r="F2146" s="396"/>
      <c r="G2146" s="396"/>
      <c r="K2146" s="370"/>
      <c r="N2146" s="370"/>
    </row>
    <row r="2147" spans="1:14" s="347" customFormat="1" x14ac:dyDescent="0.25">
      <c r="A2147" s="369">
        <v>44321</v>
      </c>
      <c r="B2147" s="347">
        <f>+MONTH(A2147)</f>
        <v>5</v>
      </c>
      <c r="C2147" s="347">
        <v>115</v>
      </c>
      <c r="D2147" s="340" t="str">
        <f>VLOOKUP(C2147,Plan!A:B,2,0)</f>
        <v>Disponible Cali B.Chile</v>
      </c>
      <c r="E2147" s="341">
        <f>+F2147-G2147</f>
        <v>50000</v>
      </c>
      <c r="F2147" s="405">
        <v>50000</v>
      </c>
      <c r="G2147" s="405">
        <v>0</v>
      </c>
      <c r="H2147" t="s">
        <v>1006</v>
      </c>
      <c r="I2147" s="403" t="s">
        <v>131</v>
      </c>
      <c r="K2147" s="370"/>
      <c r="N2147" s="370"/>
    </row>
    <row r="2148" spans="1:14" s="347" customFormat="1" x14ac:dyDescent="0.25">
      <c r="A2148" s="369">
        <f>+A2147</f>
        <v>44321</v>
      </c>
      <c r="B2148" s="347">
        <f>+MONTH(A2148)</f>
        <v>5</v>
      </c>
      <c r="C2148" s="347">
        <v>3210</v>
      </c>
      <c r="D2148" s="340" t="str">
        <f>VLOOKUP(C2148,Plan!A:B,2,0)</f>
        <v>Donacion Construccion</v>
      </c>
      <c r="E2148" s="341">
        <f>+F2148-G2148</f>
        <v>-50000</v>
      </c>
      <c r="F2148" s="405">
        <v>0</v>
      </c>
      <c r="G2148" s="405">
        <f>+F2147</f>
        <v>50000</v>
      </c>
      <c r="H2148" t="str">
        <f>+H2147</f>
        <v>José Antonio Vicuña Illanes / Azul</v>
      </c>
      <c r="I2148" s="403" t="s">
        <v>131</v>
      </c>
      <c r="K2148" s="370"/>
      <c r="N2148" s="370"/>
    </row>
    <row r="2149" spans="1:14" s="347" customFormat="1" x14ac:dyDescent="0.25">
      <c r="A2149" s="369"/>
      <c r="E2149" s="396"/>
      <c r="F2149" s="396"/>
      <c r="G2149" s="396"/>
      <c r="K2149" s="370"/>
      <c r="N2149" s="370"/>
    </row>
    <row r="2150" spans="1:14" s="347" customFormat="1" x14ac:dyDescent="0.25">
      <c r="A2150" s="369">
        <v>44321</v>
      </c>
      <c r="B2150" s="347">
        <f>+MONTH(A2150)</f>
        <v>5</v>
      </c>
      <c r="C2150" s="347">
        <v>115</v>
      </c>
      <c r="D2150" s="340" t="str">
        <f>VLOOKUP(C2150,Plan!A:B,2,0)</f>
        <v>Disponible Cali B.Chile</v>
      </c>
      <c r="E2150" s="341">
        <f>+F2150-G2150</f>
        <v>40000</v>
      </c>
      <c r="F2150" s="405">
        <v>40000</v>
      </c>
      <c r="G2150" s="405">
        <v>0</v>
      </c>
      <c r="H2150" t="s">
        <v>1011</v>
      </c>
      <c r="I2150" s="403" t="s">
        <v>131</v>
      </c>
      <c r="K2150" s="370"/>
      <c r="N2150" s="370"/>
    </row>
    <row r="2151" spans="1:14" s="347" customFormat="1" x14ac:dyDescent="0.25">
      <c r="A2151" s="369">
        <f>+A2150</f>
        <v>44321</v>
      </c>
      <c r="B2151" s="347">
        <f>+MONTH(A2151)</f>
        <v>5</v>
      </c>
      <c r="C2151" s="347">
        <v>1222</v>
      </c>
      <c r="D2151" s="340" t="str">
        <f>VLOOKUP(C2151,Plan!A:B,2,0)</f>
        <v>Otros Valores -Oficina y Transferencias (249)</v>
      </c>
      <c r="E2151" s="341">
        <f>+F2151-G2151</f>
        <v>-40000</v>
      </c>
      <c r="F2151" s="405">
        <v>0</v>
      </c>
      <c r="G2151" s="405">
        <f>+F2150</f>
        <v>40000</v>
      </c>
      <c r="H2151" t="str">
        <f>+H2150</f>
        <v>Mauricio Hargous Larraín / 249</v>
      </c>
      <c r="I2151" s="403" t="s">
        <v>131</v>
      </c>
      <c r="K2151" s="370"/>
      <c r="N2151" s="370"/>
    </row>
    <row r="2152" spans="1:14" s="347" customFormat="1" x14ac:dyDescent="0.25">
      <c r="A2152" s="369"/>
      <c r="E2152" s="396"/>
      <c r="F2152" s="396"/>
      <c r="G2152" s="396"/>
      <c r="K2152" s="370"/>
      <c r="N2152" s="370"/>
    </row>
    <row r="2153" spans="1:14" s="347" customFormat="1" x14ac:dyDescent="0.25">
      <c r="A2153" s="369">
        <v>44321</v>
      </c>
      <c r="B2153" s="347">
        <f>+MONTH(A2153)</f>
        <v>5</v>
      </c>
      <c r="C2153" s="347">
        <v>115</v>
      </c>
      <c r="D2153" s="340" t="str">
        <f>VLOOKUP(C2153,Plan!A:B,2,0)</f>
        <v>Disponible Cali B.Chile</v>
      </c>
      <c r="E2153" s="341">
        <f>+F2153-G2153</f>
        <v>1000000</v>
      </c>
      <c r="F2153" s="405">
        <v>1000000</v>
      </c>
      <c r="G2153" s="405">
        <v>0</v>
      </c>
      <c r="H2153" t="s">
        <v>1063</v>
      </c>
      <c r="I2153" s="403" t="s">
        <v>131</v>
      </c>
      <c r="K2153" s="370"/>
      <c r="N2153" s="370"/>
    </row>
    <row r="2154" spans="1:14" s="347" customFormat="1" x14ac:dyDescent="0.25">
      <c r="A2154" s="369">
        <f>+A2153</f>
        <v>44321</v>
      </c>
      <c r="B2154" s="347">
        <f>+MONTH(A2154)</f>
        <v>5</v>
      </c>
      <c r="C2154" s="347">
        <v>3210</v>
      </c>
      <c r="D2154" s="340" t="str">
        <f>VLOOKUP(C2154,Plan!A:B,2,0)</f>
        <v>Donacion Construccion</v>
      </c>
      <c r="E2154" s="341">
        <f>+F2154-G2154</f>
        <v>-1000000</v>
      </c>
      <c r="F2154" s="405">
        <v>0</v>
      </c>
      <c r="G2154" s="405">
        <f>+F2153</f>
        <v>1000000</v>
      </c>
      <c r="H2154" t="str">
        <f>+H2153</f>
        <v>Jorge Awad M. / Azul</v>
      </c>
      <c r="I2154" s="403" t="s">
        <v>131</v>
      </c>
      <c r="K2154" s="370"/>
      <c r="N2154" s="370"/>
    </row>
    <row r="2155" spans="1:14" s="347" customFormat="1" x14ac:dyDescent="0.25">
      <c r="A2155" s="369"/>
      <c r="E2155" s="396"/>
      <c r="F2155" s="396"/>
      <c r="G2155" s="396"/>
      <c r="K2155" s="370"/>
      <c r="N2155" s="370"/>
    </row>
    <row r="2156" spans="1:14" s="347" customFormat="1" x14ac:dyDescent="0.25">
      <c r="A2156" s="369">
        <v>44321</v>
      </c>
      <c r="B2156" s="347">
        <f>+MONTH(A2156)</f>
        <v>5</v>
      </c>
      <c r="C2156" s="347">
        <v>115</v>
      </c>
      <c r="D2156" s="340" t="str">
        <f>VLOOKUP(C2156,Plan!A:B,2,0)</f>
        <v>Disponible Cali B.Chile</v>
      </c>
      <c r="E2156" s="341">
        <f>+F2156-G2156</f>
        <v>5000000</v>
      </c>
      <c r="F2156" s="405">
        <v>5000000</v>
      </c>
      <c r="G2156" s="405">
        <v>0</v>
      </c>
      <c r="H2156" t="s">
        <v>1725</v>
      </c>
      <c r="I2156" s="403" t="s">
        <v>131</v>
      </c>
      <c r="K2156" s="370"/>
      <c r="N2156" s="370"/>
    </row>
    <row r="2157" spans="1:14" s="347" customFormat="1" x14ac:dyDescent="0.25">
      <c r="A2157" s="369">
        <f>+A2156</f>
        <v>44321</v>
      </c>
      <c r="B2157" s="347">
        <f>+MONTH(A2157)</f>
        <v>5</v>
      </c>
      <c r="C2157" s="347">
        <v>3210</v>
      </c>
      <c r="D2157" s="340" t="str">
        <f>VLOOKUP(C2157,Plan!A:B,2,0)</f>
        <v>Donacion Construccion</v>
      </c>
      <c r="E2157" s="341">
        <f>+F2157-G2157</f>
        <v>-5000000</v>
      </c>
      <c r="F2157" s="405">
        <v>0</v>
      </c>
      <c r="G2157" s="405">
        <f>+F2156</f>
        <v>5000000</v>
      </c>
      <c r="H2157" t="str">
        <f>+H2156</f>
        <v>Jorge Schmidt Girotti / Azul</v>
      </c>
      <c r="I2157" s="403" t="s">
        <v>131</v>
      </c>
      <c r="K2157" s="370"/>
      <c r="N2157" s="370"/>
    </row>
    <row r="2158" spans="1:14" s="347" customFormat="1" x14ac:dyDescent="0.25">
      <c r="A2158" s="369"/>
      <c r="E2158" s="396"/>
      <c r="F2158" s="396"/>
      <c r="G2158" s="396"/>
      <c r="K2158" s="370"/>
      <c r="N2158" s="370"/>
    </row>
    <row r="2159" spans="1:14" s="347" customFormat="1" x14ac:dyDescent="0.25">
      <c r="A2159" s="369">
        <v>44322</v>
      </c>
      <c r="B2159" s="347">
        <f>+MONTH(A2159)</f>
        <v>5</v>
      </c>
      <c r="C2159" s="347">
        <v>115</v>
      </c>
      <c r="D2159" s="340" t="str">
        <f>VLOOKUP(C2159,Plan!A:B,2,0)</f>
        <v>Disponible Cali B.Chile</v>
      </c>
      <c r="E2159" s="341">
        <f>+F2159-G2159</f>
        <v>100000</v>
      </c>
      <c r="F2159" s="405">
        <v>100000</v>
      </c>
      <c r="G2159" s="405">
        <v>0</v>
      </c>
      <c r="H2159" t="s">
        <v>1726</v>
      </c>
      <c r="I2159" s="403" t="s">
        <v>131</v>
      </c>
      <c r="K2159" s="370"/>
      <c r="N2159" s="370"/>
    </row>
    <row r="2160" spans="1:14" s="347" customFormat="1" x14ac:dyDescent="0.25">
      <c r="A2160" s="369">
        <f>+A2159</f>
        <v>44322</v>
      </c>
      <c r="B2160" s="347">
        <f>+MONTH(A2160)</f>
        <v>5</v>
      </c>
      <c r="C2160" s="347">
        <v>3210</v>
      </c>
      <c r="D2160" s="340" t="str">
        <f>VLOOKUP(C2160,Plan!A:B,2,0)</f>
        <v>Donacion Construccion</v>
      </c>
      <c r="E2160" s="341">
        <f>+F2160-G2160</f>
        <v>-100000</v>
      </c>
      <c r="F2160" s="405">
        <v>0</v>
      </c>
      <c r="G2160" s="405">
        <f>+F2159</f>
        <v>100000</v>
      </c>
      <c r="H2160" t="str">
        <f>+H2159</f>
        <v>Juan Carlos Latorre Díaz / Azul</v>
      </c>
      <c r="I2160" s="403" t="s">
        <v>131</v>
      </c>
      <c r="K2160" s="370"/>
      <c r="N2160" s="370"/>
    </row>
    <row r="2161" spans="1:14" s="347" customFormat="1" x14ac:dyDescent="0.25">
      <c r="A2161" s="369"/>
      <c r="E2161" s="396"/>
      <c r="F2161" s="396"/>
      <c r="G2161" s="396"/>
      <c r="K2161" s="370"/>
      <c r="N2161" s="370"/>
    </row>
    <row r="2162" spans="1:14" s="347" customFormat="1" x14ac:dyDescent="0.25">
      <c r="A2162" s="369">
        <v>44322</v>
      </c>
      <c r="B2162" s="347">
        <f>+MONTH(A2162)</f>
        <v>5</v>
      </c>
      <c r="C2162" s="347">
        <v>115</v>
      </c>
      <c r="D2162" s="340" t="str">
        <f>VLOOKUP(C2162,Plan!A:B,2,0)</f>
        <v>Disponible Cali B.Chile</v>
      </c>
      <c r="E2162" s="341">
        <f>+F2162-G2162</f>
        <v>150000</v>
      </c>
      <c r="F2162" s="405">
        <v>150000</v>
      </c>
      <c r="G2162" s="405">
        <v>0</v>
      </c>
      <c r="H2162" t="s">
        <v>1061</v>
      </c>
      <c r="I2162" s="403" t="s">
        <v>131</v>
      </c>
      <c r="K2162" s="370"/>
      <c r="N2162" s="370"/>
    </row>
    <row r="2163" spans="1:14" s="347" customFormat="1" x14ac:dyDescent="0.25">
      <c r="A2163" s="369">
        <f>+A2162</f>
        <v>44322</v>
      </c>
      <c r="B2163" s="347">
        <f>+MONTH(A2163)</f>
        <v>5</v>
      </c>
      <c r="C2163" s="347">
        <v>1217</v>
      </c>
      <c r="D2163" s="340" t="str">
        <f>VLOOKUP(C2163,Plan!A:B,2,0)</f>
        <v>Otros Valores -Oficina y Transferencias (248)</v>
      </c>
      <c r="E2163" s="341">
        <f>+F2163-G2163</f>
        <v>-150000</v>
      </c>
      <c r="F2163" s="405">
        <v>0</v>
      </c>
      <c r="G2163" s="405">
        <f>+F2162</f>
        <v>150000</v>
      </c>
      <c r="H2163" t="str">
        <f>+H2162</f>
        <v>Patricio Abalos /248</v>
      </c>
      <c r="I2163" s="403" t="s">
        <v>131</v>
      </c>
      <c r="K2163" s="370"/>
      <c r="N2163" s="370"/>
    </row>
    <row r="2164" spans="1:14" s="347" customFormat="1" x14ac:dyDescent="0.25">
      <c r="A2164" s="369"/>
      <c r="E2164" s="396"/>
      <c r="F2164" s="396"/>
      <c r="G2164" s="396"/>
      <c r="K2164" s="370"/>
      <c r="N2164" s="370"/>
    </row>
    <row r="2165" spans="1:14" s="347" customFormat="1" x14ac:dyDescent="0.25">
      <c r="A2165" s="369">
        <v>44322</v>
      </c>
      <c r="B2165" s="347">
        <f>+MONTH(A2165)</f>
        <v>5</v>
      </c>
      <c r="C2165" s="347">
        <v>115</v>
      </c>
      <c r="D2165" s="340" t="str">
        <f>VLOOKUP(C2165,Plan!A:B,2,0)</f>
        <v>Disponible Cali B.Chile</v>
      </c>
      <c r="E2165" s="341">
        <f>+F2165-G2165</f>
        <v>40000</v>
      </c>
      <c r="F2165" s="405">
        <v>40000</v>
      </c>
      <c r="G2165" s="405">
        <v>0</v>
      </c>
      <c r="H2165" t="s">
        <v>1009</v>
      </c>
      <c r="I2165" s="403" t="s">
        <v>131</v>
      </c>
      <c r="K2165" s="370"/>
      <c r="N2165" s="370"/>
    </row>
    <row r="2166" spans="1:14" s="347" customFormat="1" x14ac:dyDescent="0.25">
      <c r="A2166" s="369">
        <f>+A2165</f>
        <v>44322</v>
      </c>
      <c r="B2166" s="347">
        <f>+MONTH(A2166)</f>
        <v>5</v>
      </c>
      <c r="C2166" s="347">
        <v>1222</v>
      </c>
      <c r="D2166" s="340" t="str">
        <f>VLOOKUP(C2166,Plan!A:B,2,0)</f>
        <v>Otros Valores -Oficina y Transferencias (249)</v>
      </c>
      <c r="E2166" s="341">
        <f>+F2166-G2166</f>
        <v>-40000</v>
      </c>
      <c r="F2166" s="405">
        <v>0</v>
      </c>
      <c r="G2166" s="405">
        <f>+F2165</f>
        <v>40000</v>
      </c>
      <c r="H2166" t="str">
        <f>+H2165</f>
        <v>Juan Rafael Arnaiz Johnson / 249</v>
      </c>
      <c r="I2166" s="403" t="s">
        <v>131</v>
      </c>
      <c r="K2166" s="370"/>
      <c r="N2166" s="370"/>
    </row>
    <row r="2167" spans="1:14" s="347" customFormat="1" x14ac:dyDescent="0.25">
      <c r="A2167" s="369"/>
      <c r="E2167" s="396"/>
      <c r="F2167" s="396"/>
      <c r="G2167" s="396"/>
      <c r="K2167" s="370"/>
      <c r="N2167" s="370"/>
    </row>
    <row r="2168" spans="1:14" s="347" customFormat="1" x14ac:dyDescent="0.25">
      <c r="A2168" s="369">
        <v>44322</v>
      </c>
      <c r="B2168" s="347">
        <f>+MONTH(A2168)</f>
        <v>5</v>
      </c>
      <c r="C2168" s="347">
        <v>115</v>
      </c>
      <c r="D2168" s="340" t="str">
        <f>VLOOKUP(C2168,Plan!A:B,2,0)</f>
        <v>Disponible Cali B.Chile</v>
      </c>
      <c r="E2168" s="341">
        <f>+F2168-G2168</f>
        <v>15000</v>
      </c>
      <c r="F2168" s="405">
        <v>15000</v>
      </c>
      <c r="G2168" s="405">
        <v>0</v>
      </c>
      <c r="H2168" t="s">
        <v>1062</v>
      </c>
      <c r="I2168" s="403" t="s">
        <v>131</v>
      </c>
      <c r="K2168" s="370"/>
      <c r="N2168" s="370"/>
    </row>
    <row r="2169" spans="1:14" s="347" customFormat="1" x14ac:dyDescent="0.25">
      <c r="A2169" s="369">
        <f>+A2168</f>
        <v>44322</v>
      </c>
      <c r="B2169" s="347">
        <f>+MONTH(A2169)</f>
        <v>5</v>
      </c>
      <c r="C2169" s="347">
        <v>3210</v>
      </c>
      <c r="D2169" s="340" t="str">
        <f>VLOOKUP(C2169,Plan!A:B,2,0)</f>
        <v>Donacion Construccion</v>
      </c>
      <c r="E2169" s="341">
        <f>+F2169-G2169</f>
        <v>-15000</v>
      </c>
      <c r="F2169" s="405">
        <v>0</v>
      </c>
      <c r="G2169" s="405">
        <f>+F2168</f>
        <v>15000</v>
      </c>
      <c r="H2169" t="str">
        <f>+H2168</f>
        <v>José Ignacio Wielandt Vergara/ Azul</v>
      </c>
      <c r="I2169" s="403" t="s">
        <v>131</v>
      </c>
      <c r="K2169" s="370"/>
      <c r="N2169" s="370"/>
    </row>
    <row r="2170" spans="1:14" s="347" customFormat="1" x14ac:dyDescent="0.25">
      <c r="A2170" s="369"/>
      <c r="E2170" s="396"/>
      <c r="F2170" s="396"/>
      <c r="G2170" s="396"/>
      <c r="K2170" s="370"/>
      <c r="N2170" s="370"/>
    </row>
    <row r="2171" spans="1:14" s="347" customFormat="1" x14ac:dyDescent="0.25">
      <c r="A2171" s="369">
        <v>44322</v>
      </c>
      <c r="B2171" s="347">
        <f>+MONTH(A2171)</f>
        <v>5</v>
      </c>
      <c r="C2171" s="347">
        <v>115</v>
      </c>
      <c r="D2171" s="340" t="str">
        <f>VLOOKUP(C2171,Plan!A:B,2,0)</f>
        <v>Disponible Cali B.Chile</v>
      </c>
      <c r="E2171" s="341">
        <f>+F2171-G2171</f>
        <v>64000</v>
      </c>
      <c r="F2171" s="405">
        <v>64000</v>
      </c>
      <c r="G2171" s="405">
        <v>0</v>
      </c>
      <c r="H2171" t="s">
        <v>550</v>
      </c>
      <c r="I2171" s="403" t="s">
        <v>131</v>
      </c>
      <c r="K2171" s="370"/>
      <c r="N2171" s="370"/>
    </row>
    <row r="2172" spans="1:14" s="347" customFormat="1" x14ac:dyDescent="0.25">
      <c r="A2172" s="369">
        <f>+A2171</f>
        <v>44322</v>
      </c>
      <c r="B2172" s="347">
        <f>+MONTH(A2172)</f>
        <v>5</v>
      </c>
      <c r="C2172" s="347">
        <v>1217</v>
      </c>
      <c r="D2172" s="340" t="str">
        <f>VLOOKUP(C2172,Plan!A:B,2,0)</f>
        <v>Otros Valores -Oficina y Transferencias (248)</v>
      </c>
      <c r="E2172" s="341">
        <f>+F2172-G2172</f>
        <v>-64000</v>
      </c>
      <c r="F2172" s="405">
        <v>0</v>
      </c>
      <c r="G2172" s="405">
        <f>+F2171</f>
        <v>64000</v>
      </c>
      <c r="H2172" t="str">
        <f>+H2171</f>
        <v>Leonardo Robles / 248</v>
      </c>
      <c r="I2172" s="403" t="s">
        <v>131</v>
      </c>
      <c r="K2172" s="370"/>
      <c r="N2172" s="370"/>
    </row>
    <row r="2173" spans="1:14" s="347" customFormat="1" x14ac:dyDescent="0.25">
      <c r="A2173" s="369"/>
      <c r="E2173" s="396"/>
      <c r="F2173" s="396"/>
      <c r="G2173" s="396"/>
      <c r="K2173" s="370"/>
      <c r="N2173" s="370"/>
    </row>
    <row r="2174" spans="1:14" s="347" customFormat="1" x14ac:dyDescent="0.25">
      <c r="A2174" s="369">
        <v>44323</v>
      </c>
      <c r="B2174" s="347">
        <f>+MONTH(A2174)</f>
        <v>5</v>
      </c>
      <c r="C2174" s="347">
        <v>115</v>
      </c>
      <c r="D2174" s="340" t="str">
        <f>VLOOKUP(C2174,Plan!A:B,2,0)</f>
        <v>Disponible Cali B.Chile</v>
      </c>
      <c r="E2174" s="341">
        <f>+F2174-G2174</f>
        <v>30000</v>
      </c>
      <c r="F2174" s="405">
        <v>30000</v>
      </c>
      <c r="G2174" s="405">
        <v>0</v>
      </c>
      <c r="H2174" t="s">
        <v>1012</v>
      </c>
      <c r="I2174" s="403" t="s">
        <v>131</v>
      </c>
      <c r="K2174" s="370"/>
      <c r="N2174" s="370"/>
    </row>
    <row r="2175" spans="1:14" s="347" customFormat="1" x14ac:dyDescent="0.25">
      <c r="A2175" s="369">
        <f>+A2174</f>
        <v>44323</v>
      </c>
      <c r="B2175" s="347">
        <f>+MONTH(A2175)</f>
        <v>5</v>
      </c>
      <c r="C2175" s="347">
        <v>1222</v>
      </c>
      <c r="D2175" s="340" t="str">
        <f>VLOOKUP(C2175,Plan!A:B,2,0)</f>
        <v>Otros Valores -Oficina y Transferencias (249)</v>
      </c>
      <c r="E2175" s="341">
        <f>+F2175-G2175</f>
        <v>-30000</v>
      </c>
      <c r="F2175" s="405">
        <v>0</v>
      </c>
      <c r="G2175" s="405">
        <f>+F2174</f>
        <v>30000</v>
      </c>
      <c r="H2175" t="str">
        <f>+H2174</f>
        <v>María Luz Parodi Gil / 249</v>
      </c>
      <c r="I2175" s="403" t="s">
        <v>131</v>
      </c>
      <c r="K2175" s="370"/>
      <c r="N2175" s="370"/>
    </row>
    <row r="2176" spans="1:14" s="347" customFormat="1" x14ac:dyDescent="0.25">
      <c r="A2176" s="369"/>
      <c r="E2176" s="396"/>
      <c r="F2176" s="396"/>
      <c r="G2176" s="396"/>
      <c r="K2176" s="370"/>
      <c r="N2176" s="370"/>
    </row>
    <row r="2177" spans="1:14" s="347" customFormat="1" x14ac:dyDescent="0.25">
      <c r="A2177" s="369">
        <v>44323</v>
      </c>
      <c r="B2177" s="347">
        <f>+MONTH(A2177)</f>
        <v>5</v>
      </c>
      <c r="C2177" s="347">
        <v>115</v>
      </c>
      <c r="D2177" s="340" t="str">
        <f>VLOOKUP(C2177,Plan!A:B,2,0)</f>
        <v>Disponible Cali B.Chile</v>
      </c>
      <c r="E2177" s="341">
        <f>+F2177-G2177</f>
        <v>15000</v>
      </c>
      <c r="F2177" s="405">
        <v>15000</v>
      </c>
      <c r="G2177" s="405">
        <v>0</v>
      </c>
      <c r="H2177" t="s">
        <v>824</v>
      </c>
      <c r="I2177" s="403" t="s">
        <v>131</v>
      </c>
      <c r="K2177" s="370"/>
      <c r="N2177" s="370"/>
    </row>
    <row r="2178" spans="1:14" s="347" customFormat="1" x14ac:dyDescent="0.25">
      <c r="A2178" s="369">
        <f>+A2177</f>
        <v>44323</v>
      </c>
      <c r="B2178" s="347">
        <f>+MONTH(A2178)</f>
        <v>5</v>
      </c>
      <c r="C2178" s="347">
        <v>1217</v>
      </c>
      <c r="D2178" s="340" t="str">
        <f>VLOOKUP(C2178,Plan!A:B,2,0)</f>
        <v>Otros Valores -Oficina y Transferencias (248)</v>
      </c>
      <c r="E2178" s="341">
        <f>+F2178-G2178</f>
        <v>-15000</v>
      </c>
      <c r="F2178" s="405">
        <v>0</v>
      </c>
      <c r="G2178" s="405">
        <f>+F2177</f>
        <v>15000</v>
      </c>
      <c r="H2178" t="str">
        <f>+H2177</f>
        <v>Maria Elisa Cruzat Silva / 248</v>
      </c>
      <c r="I2178" s="403" t="s">
        <v>131</v>
      </c>
      <c r="K2178" s="370"/>
      <c r="N2178" s="370"/>
    </row>
    <row r="2179" spans="1:14" s="347" customFormat="1" x14ac:dyDescent="0.25">
      <c r="A2179" s="369"/>
      <c r="E2179" s="396"/>
      <c r="F2179" s="396"/>
      <c r="G2179" s="396"/>
      <c r="K2179" s="370"/>
      <c r="N2179" s="370"/>
    </row>
    <row r="2180" spans="1:14" s="347" customFormat="1" x14ac:dyDescent="0.25">
      <c r="A2180" s="369">
        <v>44323</v>
      </c>
      <c r="B2180" s="347">
        <f>+MONTH(A2180)</f>
        <v>5</v>
      </c>
      <c r="C2180" s="347">
        <v>115</v>
      </c>
      <c r="D2180" s="340" t="str">
        <f>VLOOKUP(C2180,Plan!A:B,2,0)</f>
        <v>Disponible Cali B.Chile</v>
      </c>
      <c r="E2180" s="341">
        <f>+F2180-G2180</f>
        <v>60000</v>
      </c>
      <c r="F2180" s="405">
        <v>60000</v>
      </c>
      <c r="G2180" s="405">
        <v>0</v>
      </c>
      <c r="H2180" t="s">
        <v>1031</v>
      </c>
      <c r="I2180" s="403" t="s">
        <v>131</v>
      </c>
      <c r="K2180" s="370"/>
      <c r="N2180" s="370"/>
    </row>
    <row r="2181" spans="1:14" s="347" customFormat="1" x14ac:dyDescent="0.25">
      <c r="A2181" s="369">
        <f>+A2180</f>
        <v>44323</v>
      </c>
      <c r="B2181" s="347">
        <f>+MONTH(A2181)</f>
        <v>5</v>
      </c>
      <c r="C2181" s="347">
        <v>1217</v>
      </c>
      <c r="D2181" s="340" t="str">
        <f>VLOOKUP(C2181,Plan!A:B,2,0)</f>
        <v>Otros Valores -Oficina y Transferencias (248)</v>
      </c>
      <c r="E2181" s="341">
        <f>+F2181-G2181</f>
        <v>-60000</v>
      </c>
      <c r="F2181" s="405">
        <v>0</v>
      </c>
      <c r="G2181" s="405">
        <f>+F2180</f>
        <v>60000</v>
      </c>
      <c r="H2181" t="str">
        <f>+H2180</f>
        <v xml:space="preserve">D. Vassiliu /248 </v>
      </c>
      <c r="I2181" s="403" t="s">
        <v>131</v>
      </c>
      <c r="K2181" s="370"/>
      <c r="N2181" s="370"/>
    </row>
    <row r="2182" spans="1:14" s="347" customFormat="1" x14ac:dyDescent="0.25">
      <c r="A2182" s="369"/>
      <c r="E2182" s="396"/>
      <c r="F2182" s="396"/>
      <c r="G2182" s="396"/>
      <c r="K2182" s="370"/>
      <c r="N2182" s="370"/>
    </row>
    <row r="2183" spans="1:14" s="347" customFormat="1" x14ac:dyDescent="0.25">
      <c r="A2183" s="369">
        <v>44323</v>
      </c>
      <c r="B2183" s="347">
        <f>+MONTH(A2183)</f>
        <v>5</v>
      </c>
      <c r="C2183" s="347">
        <v>115</v>
      </c>
      <c r="D2183" s="340" t="str">
        <f>VLOOKUP(C2183,Plan!A:B,2,0)</f>
        <v>Disponible Cali B.Chile</v>
      </c>
      <c r="E2183" s="341">
        <f>+F2183-G2183</f>
        <v>25000</v>
      </c>
      <c r="F2183" s="405">
        <v>25000</v>
      </c>
      <c r="G2183" s="405">
        <v>0</v>
      </c>
      <c r="H2183" t="s">
        <v>980</v>
      </c>
      <c r="I2183" s="403" t="s">
        <v>131</v>
      </c>
      <c r="K2183" s="370"/>
      <c r="N2183" s="370"/>
    </row>
    <row r="2184" spans="1:14" s="347" customFormat="1" x14ac:dyDescent="0.25">
      <c r="A2184" s="369">
        <f>+A2183</f>
        <v>44323</v>
      </c>
      <c r="B2184" s="347">
        <f>+MONTH(A2184)</f>
        <v>5</v>
      </c>
      <c r="C2184" s="347">
        <v>1217</v>
      </c>
      <c r="D2184" s="340" t="str">
        <f>VLOOKUP(C2184,Plan!A:B,2,0)</f>
        <v>Otros Valores -Oficina y Transferencias (248)</v>
      </c>
      <c r="E2184" s="341">
        <f>+F2184-G2184</f>
        <v>-25000</v>
      </c>
      <c r="F2184" s="405">
        <v>0</v>
      </c>
      <c r="G2184" s="405">
        <f>+F2183</f>
        <v>25000</v>
      </c>
      <c r="H2184" t="str">
        <f>+H2183</f>
        <v xml:space="preserve">Florencia García /248 </v>
      </c>
      <c r="I2184" s="403" t="s">
        <v>131</v>
      </c>
      <c r="K2184" s="370"/>
      <c r="N2184" s="370"/>
    </row>
    <row r="2185" spans="1:14" s="347" customFormat="1" x14ac:dyDescent="0.25">
      <c r="A2185" s="369"/>
      <c r="E2185" s="396"/>
      <c r="F2185" s="396"/>
      <c r="G2185" s="396"/>
      <c r="K2185" s="370"/>
      <c r="N2185" s="370"/>
    </row>
    <row r="2186" spans="1:14" s="347" customFormat="1" x14ac:dyDescent="0.25">
      <c r="A2186" s="369">
        <v>44326</v>
      </c>
      <c r="B2186" s="347">
        <f>+MONTH(A2186)</f>
        <v>5</v>
      </c>
      <c r="C2186" s="347">
        <v>115</v>
      </c>
      <c r="D2186" s="340" t="str">
        <f>VLOOKUP(C2186,Plan!A:B,2,0)</f>
        <v>Disponible Cali B.Chile</v>
      </c>
      <c r="E2186" s="341">
        <f>+F2186-G2186</f>
        <v>4000</v>
      </c>
      <c r="F2186" s="405">
        <v>4000</v>
      </c>
      <c r="G2186" s="405">
        <v>0</v>
      </c>
      <c r="H2186" t="s">
        <v>1010</v>
      </c>
      <c r="I2186" s="403" t="s">
        <v>131</v>
      </c>
      <c r="K2186" s="370"/>
      <c r="N2186" s="370"/>
    </row>
    <row r="2187" spans="1:14" s="347" customFormat="1" x14ac:dyDescent="0.25">
      <c r="A2187" s="369">
        <f>+A2186</f>
        <v>44326</v>
      </c>
      <c r="B2187" s="347">
        <f>+MONTH(A2187)</f>
        <v>5</v>
      </c>
      <c r="C2187" s="347">
        <v>216</v>
      </c>
      <c r="D2187" s="340" t="str">
        <f>VLOOKUP(C2187,Plan!A:B,2,0)</f>
        <v>Cuenta por Pagar a Administración Colectas</v>
      </c>
      <c r="E2187" s="341">
        <f>+F2187-G2187</f>
        <v>-4000</v>
      </c>
      <c r="F2187" s="405">
        <v>0</v>
      </c>
      <c r="G2187" s="405">
        <f>+F2186</f>
        <v>4000</v>
      </c>
      <c r="H2187" t="str">
        <f>+H2186</f>
        <v>Colecta Raimundo Barros</v>
      </c>
      <c r="I2187" s="403" t="s">
        <v>131</v>
      </c>
      <c r="K2187" s="370"/>
      <c r="N2187" s="370"/>
    </row>
    <row r="2188" spans="1:14" s="347" customFormat="1" x14ac:dyDescent="0.25">
      <c r="A2188" s="369"/>
      <c r="E2188" s="396"/>
      <c r="F2188" s="396"/>
      <c r="G2188" s="396"/>
      <c r="K2188" s="370"/>
      <c r="N2188" s="370"/>
    </row>
    <row r="2189" spans="1:14" s="347" customFormat="1" x14ac:dyDescent="0.25">
      <c r="A2189" s="369">
        <v>44326</v>
      </c>
      <c r="B2189" s="347">
        <f>+MONTH(A2189)</f>
        <v>5</v>
      </c>
      <c r="C2189" s="347">
        <v>115</v>
      </c>
      <c r="D2189" s="340" t="str">
        <f>VLOOKUP(C2189,Plan!A:B,2,0)</f>
        <v>Disponible Cali B.Chile</v>
      </c>
      <c r="E2189" s="341">
        <f>+F2189-G2189</f>
        <v>15000</v>
      </c>
      <c r="F2189" s="405">
        <v>15000</v>
      </c>
      <c r="G2189" s="405">
        <v>0</v>
      </c>
      <c r="H2189" t="s">
        <v>1727</v>
      </c>
      <c r="I2189" s="403" t="s">
        <v>131</v>
      </c>
      <c r="K2189" s="370"/>
      <c r="N2189" s="370"/>
    </row>
    <row r="2190" spans="1:14" s="347" customFormat="1" x14ac:dyDescent="0.25">
      <c r="A2190" s="369">
        <f>+A2189</f>
        <v>44326</v>
      </c>
      <c r="B2190" s="347">
        <f>+MONTH(A2190)</f>
        <v>5</v>
      </c>
      <c r="C2190" s="347">
        <v>216</v>
      </c>
      <c r="D2190" s="340" t="str">
        <f>VLOOKUP(C2190,Plan!A:B,2,0)</f>
        <v>Cuenta por Pagar a Administración Colectas</v>
      </c>
      <c r="E2190" s="341">
        <f>+F2190-G2190</f>
        <v>-15000</v>
      </c>
      <c r="F2190" s="405">
        <v>0</v>
      </c>
      <c r="G2190" s="405">
        <f>+F2189</f>
        <v>15000</v>
      </c>
      <c r="H2190" t="str">
        <f>+H2189</f>
        <v>Colecta Cecilia Larrain</v>
      </c>
      <c r="I2190" s="403" t="s">
        <v>131</v>
      </c>
      <c r="K2190" s="370"/>
      <c r="N2190" s="370"/>
    </row>
    <row r="2191" spans="1:14" s="347" customFormat="1" x14ac:dyDescent="0.25">
      <c r="A2191" s="369"/>
      <c r="E2191" s="396"/>
      <c r="F2191" s="396"/>
      <c r="G2191" s="396"/>
      <c r="K2191" s="370"/>
      <c r="N2191" s="370"/>
    </row>
    <row r="2192" spans="1:14" s="347" customFormat="1" x14ac:dyDescent="0.25">
      <c r="A2192" s="369">
        <v>44326</v>
      </c>
      <c r="B2192" s="347">
        <f>+MONTH(A2192)</f>
        <v>5</v>
      </c>
      <c r="C2192" s="347">
        <v>115</v>
      </c>
      <c r="D2192" s="340" t="str">
        <f>VLOOKUP(C2192,Plan!A:B,2,0)</f>
        <v>Disponible Cali B.Chile</v>
      </c>
      <c r="E2192" s="341">
        <f>+F2192-G2192</f>
        <v>1</v>
      </c>
      <c r="F2192" s="405">
        <v>1</v>
      </c>
      <c r="G2192" s="405">
        <v>0</v>
      </c>
      <c r="H2192" t="s">
        <v>1728</v>
      </c>
      <c r="I2192" s="403" t="s">
        <v>131</v>
      </c>
      <c r="K2192" s="370"/>
      <c r="N2192" s="370"/>
    </row>
    <row r="2193" spans="1:14" s="347" customFormat="1" x14ac:dyDescent="0.25">
      <c r="A2193" s="369">
        <f>+A2192</f>
        <v>44326</v>
      </c>
      <c r="B2193" s="347">
        <f>+MONTH(A2193)</f>
        <v>5</v>
      </c>
      <c r="C2193" s="347">
        <v>216</v>
      </c>
      <c r="D2193" s="340" t="str">
        <f>VLOOKUP(C2193,Plan!A:B,2,0)</f>
        <v>Cuenta por Pagar a Administración Colectas</v>
      </c>
      <c r="E2193" s="341">
        <f>+F2193-G2193</f>
        <v>-1</v>
      </c>
      <c r="F2193" s="405">
        <v>0</v>
      </c>
      <c r="G2193" s="405">
        <f>+F2192</f>
        <v>1</v>
      </c>
      <c r="H2193" t="str">
        <f>+H2192</f>
        <v>Colecta Marcelo Galvez</v>
      </c>
      <c r="I2193" s="403" t="s">
        <v>131</v>
      </c>
      <c r="K2193" s="370"/>
      <c r="N2193" s="370"/>
    </row>
    <row r="2194" spans="1:14" s="347" customFormat="1" x14ac:dyDescent="0.25">
      <c r="A2194" s="369"/>
      <c r="E2194" s="396"/>
      <c r="F2194" s="396"/>
      <c r="G2194" s="396"/>
      <c r="K2194" s="370"/>
      <c r="N2194" s="370"/>
    </row>
    <row r="2195" spans="1:14" s="347" customFormat="1" x14ac:dyDescent="0.25">
      <c r="A2195" s="369">
        <v>44326</v>
      </c>
      <c r="B2195" s="347">
        <f>+MONTH(A2195)</f>
        <v>5</v>
      </c>
      <c r="C2195" s="347">
        <v>115</v>
      </c>
      <c r="D2195" s="340" t="str">
        <f>VLOOKUP(C2195,Plan!A:B,2,0)</f>
        <v>Disponible Cali B.Chile</v>
      </c>
      <c r="E2195" s="341">
        <f>+F2195-G2195</f>
        <v>8000</v>
      </c>
      <c r="F2195" s="405">
        <v>8000</v>
      </c>
      <c r="G2195" s="405">
        <v>0</v>
      </c>
      <c r="H2195" t="s">
        <v>971</v>
      </c>
      <c r="I2195" s="403" t="s">
        <v>131</v>
      </c>
      <c r="K2195" s="370"/>
      <c r="N2195" s="370"/>
    </row>
    <row r="2196" spans="1:14" s="347" customFormat="1" x14ac:dyDescent="0.25">
      <c r="A2196" s="369">
        <f>+A2195</f>
        <v>44326</v>
      </c>
      <c r="B2196" s="347">
        <f>+MONTH(A2196)</f>
        <v>5</v>
      </c>
      <c r="C2196" s="347">
        <v>216</v>
      </c>
      <c r="D2196" s="340" t="str">
        <f>VLOOKUP(C2196,Plan!A:B,2,0)</f>
        <v>Cuenta por Pagar a Administración Colectas</v>
      </c>
      <c r="E2196" s="341">
        <f>+F2196-G2196</f>
        <v>-8000</v>
      </c>
      <c r="F2196" s="405">
        <v>0</v>
      </c>
      <c r="G2196" s="405">
        <f>+F2195</f>
        <v>8000</v>
      </c>
      <c r="H2196" t="str">
        <f>+H2195</f>
        <v>Colecta Pablo Irarrazaval Mena</v>
      </c>
      <c r="I2196" s="403" t="s">
        <v>131</v>
      </c>
      <c r="K2196" s="370"/>
      <c r="N2196" s="370"/>
    </row>
    <row r="2197" spans="1:14" s="347" customFormat="1" x14ac:dyDescent="0.25">
      <c r="A2197" s="369"/>
      <c r="E2197" s="396"/>
      <c r="F2197" s="396"/>
      <c r="G2197" s="396"/>
      <c r="K2197" s="370"/>
      <c r="N2197" s="370"/>
    </row>
    <row r="2198" spans="1:14" s="347" customFormat="1" x14ac:dyDescent="0.25">
      <c r="A2198" s="369">
        <v>44326</v>
      </c>
      <c r="B2198" s="347">
        <f>+MONTH(A2198)</f>
        <v>5</v>
      </c>
      <c r="C2198" s="347">
        <v>115</v>
      </c>
      <c r="D2198" s="340" t="str">
        <f>VLOOKUP(C2198,Plan!A:B,2,0)</f>
        <v>Disponible Cali B.Chile</v>
      </c>
      <c r="E2198" s="341">
        <f>+F2198-G2198</f>
        <v>40000</v>
      </c>
      <c r="F2198" s="405">
        <v>40000</v>
      </c>
      <c r="G2198" s="405">
        <v>0</v>
      </c>
      <c r="H2198" t="s">
        <v>1683</v>
      </c>
      <c r="I2198" s="403" t="s">
        <v>131</v>
      </c>
      <c r="K2198" s="370"/>
      <c r="N2198" s="370"/>
    </row>
    <row r="2199" spans="1:14" s="347" customFormat="1" x14ac:dyDescent="0.25">
      <c r="A2199" s="369">
        <f>+A2198</f>
        <v>44326</v>
      </c>
      <c r="B2199" s="347">
        <f>+MONTH(A2199)</f>
        <v>5</v>
      </c>
      <c r="C2199" s="347">
        <v>216</v>
      </c>
      <c r="D2199" s="340" t="str">
        <f>VLOOKUP(C2199,Plan!A:B,2,0)</f>
        <v>Cuenta por Pagar a Administración Colectas</v>
      </c>
      <c r="E2199" s="341">
        <f>+F2199-G2199</f>
        <v>-40000</v>
      </c>
      <c r="F2199" s="405">
        <v>0</v>
      </c>
      <c r="G2199" s="405">
        <f>+F2198</f>
        <v>40000</v>
      </c>
      <c r="H2199" t="str">
        <f>+H2198</f>
        <v>Colecta Pedro Armando Alvarez Marin</v>
      </c>
      <c r="I2199" s="403" t="s">
        <v>131</v>
      </c>
      <c r="K2199" s="370"/>
      <c r="N2199" s="370"/>
    </row>
    <row r="2200" spans="1:14" s="347" customFormat="1" x14ac:dyDescent="0.25">
      <c r="A2200" s="369"/>
      <c r="E2200" s="396"/>
      <c r="F2200" s="396"/>
      <c r="G2200" s="396"/>
      <c r="K2200" s="370"/>
      <c r="N2200" s="370"/>
    </row>
    <row r="2201" spans="1:14" s="347" customFormat="1" x14ac:dyDescent="0.25">
      <c r="A2201" s="369">
        <v>44326</v>
      </c>
      <c r="B2201" s="347">
        <f>+MONTH(A2201)</f>
        <v>5</v>
      </c>
      <c r="C2201" s="347">
        <v>115</v>
      </c>
      <c r="D2201" s="340" t="str">
        <f>VLOOKUP(C2201,Plan!A:B,2,0)</f>
        <v>Disponible Cali B.Chile</v>
      </c>
      <c r="E2201" s="341">
        <f>+F2201-G2201</f>
        <v>30000</v>
      </c>
      <c r="F2201" s="405">
        <v>30000</v>
      </c>
      <c r="G2201" s="405">
        <v>0</v>
      </c>
      <c r="H2201" t="s">
        <v>1015</v>
      </c>
      <c r="I2201" s="403" t="s">
        <v>131</v>
      </c>
      <c r="K2201" s="370"/>
      <c r="N2201" s="370"/>
    </row>
    <row r="2202" spans="1:14" s="347" customFormat="1" x14ac:dyDescent="0.25">
      <c r="A2202" s="369">
        <f>+A2201</f>
        <v>44326</v>
      </c>
      <c r="B2202" s="347">
        <f>+MONTH(A2202)</f>
        <v>5</v>
      </c>
      <c r="C2202" s="347">
        <v>1222</v>
      </c>
      <c r="D2202" s="340" t="str">
        <f>VLOOKUP(C2202,Plan!A:B,2,0)</f>
        <v>Otros Valores -Oficina y Transferencias (249)</v>
      </c>
      <c r="E2202" s="341">
        <f>+F2202-G2202</f>
        <v>-30000</v>
      </c>
      <c r="F2202" s="405">
        <v>0</v>
      </c>
      <c r="G2202" s="405">
        <f>+F2201</f>
        <v>30000</v>
      </c>
      <c r="H2202" t="str">
        <f>+H2201</f>
        <v>Enrique Hurtado Ruiz-Tagle / 249</v>
      </c>
      <c r="I2202" s="403" t="s">
        <v>131</v>
      </c>
      <c r="K2202" s="370"/>
      <c r="N2202" s="370"/>
    </row>
    <row r="2203" spans="1:14" s="347" customFormat="1" x14ac:dyDescent="0.25">
      <c r="A2203" s="369"/>
      <c r="E2203" s="396"/>
      <c r="F2203" s="396"/>
      <c r="G2203" s="396"/>
      <c r="K2203" s="370"/>
      <c r="N2203" s="370"/>
    </row>
    <row r="2204" spans="1:14" s="347" customFormat="1" x14ac:dyDescent="0.25">
      <c r="A2204" s="369">
        <v>44326</v>
      </c>
      <c r="B2204" s="347">
        <f>+MONTH(A2204)</f>
        <v>5</v>
      </c>
      <c r="C2204" s="347">
        <v>115</v>
      </c>
      <c r="D2204" s="340" t="str">
        <f>VLOOKUP(C2204,Plan!A:B,2,0)</f>
        <v>Disponible Cali B.Chile</v>
      </c>
      <c r="E2204" s="341">
        <f>+F2204-G2204</f>
        <v>17000</v>
      </c>
      <c r="F2204" s="405">
        <v>17000</v>
      </c>
      <c r="G2204" s="405">
        <v>0</v>
      </c>
      <c r="H2204" t="s">
        <v>1016</v>
      </c>
      <c r="I2204" s="403" t="s">
        <v>131</v>
      </c>
      <c r="K2204" s="370"/>
      <c r="N2204" s="370"/>
    </row>
    <row r="2205" spans="1:14" s="347" customFormat="1" x14ac:dyDescent="0.25">
      <c r="A2205" s="369">
        <f>+A2204</f>
        <v>44326</v>
      </c>
      <c r="B2205" s="347">
        <f>+MONTH(A2205)</f>
        <v>5</v>
      </c>
      <c r="C2205" s="347">
        <v>1222</v>
      </c>
      <c r="D2205" s="340" t="str">
        <f>VLOOKUP(C2205,Plan!A:B,2,0)</f>
        <v>Otros Valores -Oficina y Transferencias (249)</v>
      </c>
      <c r="E2205" s="341">
        <f>+F2205-G2205</f>
        <v>-17000</v>
      </c>
      <c r="F2205" s="405">
        <v>0</v>
      </c>
      <c r="G2205" s="405">
        <f>+F2204</f>
        <v>17000</v>
      </c>
      <c r="H2205" t="str">
        <f>+H2204</f>
        <v>Alejandra Pérez Fabres / 249</v>
      </c>
      <c r="I2205" s="403" t="s">
        <v>131</v>
      </c>
      <c r="K2205" s="370"/>
      <c r="N2205" s="370"/>
    </row>
    <row r="2206" spans="1:14" s="347" customFormat="1" x14ac:dyDescent="0.25">
      <c r="A2206" s="369"/>
      <c r="E2206" s="396"/>
      <c r="F2206" s="396"/>
      <c r="G2206" s="396"/>
      <c r="K2206" s="370"/>
      <c r="N2206" s="370"/>
    </row>
    <row r="2207" spans="1:14" s="347" customFormat="1" x14ac:dyDescent="0.25">
      <c r="A2207" s="369">
        <v>44326</v>
      </c>
      <c r="B2207" s="347">
        <f>+MONTH(A2207)</f>
        <v>5</v>
      </c>
      <c r="C2207" s="347">
        <v>4331</v>
      </c>
      <c r="D2207" s="340" t="str">
        <f>VLOOKUP(C2207,Plan!A:B,2,0)</f>
        <v>Cali</v>
      </c>
      <c r="E2207" s="341">
        <f>+F2207-G2207</f>
        <v>1404</v>
      </c>
      <c r="F2207" s="405">
        <v>1404</v>
      </c>
      <c r="G2207" s="405">
        <v>0</v>
      </c>
      <c r="H2207" t="s">
        <v>1005</v>
      </c>
      <c r="I2207" s="403" t="s">
        <v>131</v>
      </c>
      <c r="K2207" s="370"/>
      <c r="N2207" s="370"/>
    </row>
    <row r="2208" spans="1:14" s="347" customFormat="1" x14ac:dyDescent="0.25">
      <c r="A2208" s="369">
        <f>+A2207</f>
        <v>44326</v>
      </c>
      <c r="B2208" s="347">
        <f>+MONTH(A2208)</f>
        <v>5</v>
      </c>
      <c r="C2208" s="347">
        <v>115</v>
      </c>
      <c r="D2208" s="340" t="str">
        <f>VLOOKUP(C2208,Plan!A:B,2,0)</f>
        <v>Disponible Cali B.Chile</v>
      </c>
      <c r="E2208" s="341">
        <f>+F2208-G2208</f>
        <v>-1404</v>
      </c>
      <c r="F2208" s="405">
        <v>0</v>
      </c>
      <c r="G2208" s="405">
        <f>+F2207</f>
        <v>1404</v>
      </c>
      <c r="H2208" t="str">
        <f>+H2207</f>
        <v>Com.Bco.Chile</v>
      </c>
      <c r="I2208" s="403" t="s">
        <v>131</v>
      </c>
      <c r="K2208" s="370"/>
      <c r="N2208" s="370"/>
    </row>
    <row r="2209" spans="1:14" s="347" customFormat="1" x14ac:dyDescent="0.25">
      <c r="A2209" s="369"/>
      <c r="E2209" s="396"/>
      <c r="F2209" s="396"/>
      <c r="G2209" s="396"/>
      <c r="K2209" s="370"/>
      <c r="N2209" s="370"/>
    </row>
    <row r="2210" spans="1:14" s="347" customFormat="1" x14ac:dyDescent="0.25">
      <c r="A2210" s="369">
        <v>44328</v>
      </c>
      <c r="B2210" s="347">
        <f>+MONTH(A2210)</f>
        <v>5</v>
      </c>
      <c r="C2210" s="347">
        <v>115</v>
      </c>
      <c r="D2210" s="340" t="str">
        <f>VLOOKUP(C2210,Plan!A:B,2,0)</f>
        <v>Disponible Cali B.Chile</v>
      </c>
      <c r="E2210" s="341">
        <f>+F2210-G2210</f>
        <v>49405</v>
      </c>
      <c r="F2210" s="405">
        <v>49405</v>
      </c>
      <c r="G2210" s="405">
        <v>0</v>
      </c>
      <c r="H2210" t="s">
        <v>1729</v>
      </c>
      <c r="I2210" s="403" t="s">
        <v>131</v>
      </c>
      <c r="K2210" s="370"/>
      <c r="N2210" s="370"/>
    </row>
    <row r="2211" spans="1:14" s="347" customFormat="1" x14ac:dyDescent="0.25">
      <c r="A2211" s="369">
        <v>44328</v>
      </c>
      <c r="B2211" s="347">
        <f>+MONTH(A2211)</f>
        <v>5</v>
      </c>
      <c r="C2211" s="347">
        <v>4331</v>
      </c>
      <c r="D2211" s="340" t="str">
        <f>VLOOKUP(C2211,Plan!A:B,2,0)</f>
        <v>Cali</v>
      </c>
      <c r="E2211" s="341">
        <f>+F2211-G2211</f>
        <v>595</v>
      </c>
      <c r="F2211" s="405">
        <f>50000-F2210</f>
        <v>595</v>
      </c>
      <c r="G2211" s="405">
        <v>0</v>
      </c>
      <c r="H2211" t="s">
        <v>1729</v>
      </c>
      <c r="I2211" s="403" t="s">
        <v>131</v>
      </c>
      <c r="K2211" s="370"/>
      <c r="N2211" s="370"/>
    </row>
    <row r="2212" spans="1:14" s="347" customFormat="1" x14ac:dyDescent="0.25">
      <c r="A2212" s="369">
        <f>+A2210</f>
        <v>44328</v>
      </c>
      <c r="B2212" s="347">
        <f>+MONTH(A2212)</f>
        <v>5</v>
      </c>
      <c r="C2212" s="347">
        <v>1222</v>
      </c>
      <c r="D2212" s="340" t="str">
        <f>VLOOKUP(C2212,Plan!A:B,2,0)</f>
        <v>Otros Valores -Oficina y Transferencias (249)</v>
      </c>
      <c r="E2212" s="341">
        <f>+F2212-G2212</f>
        <v>-50000</v>
      </c>
      <c r="F2212" s="405">
        <v>0</v>
      </c>
      <c r="G2212" s="405">
        <v>50000</v>
      </c>
      <c r="H2212" t="str">
        <f>+H2210</f>
        <v>Horacio Figueroa Diesel/249 (M$50 DCT)</v>
      </c>
      <c r="I2212" s="403" t="s">
        <v>131</v>
      </c>
      <c r="K2212" s="370"/>
      <c r="N2212" s="370"/>
    </row>
    <row r="2213" spans="1:14" s="347" customFormat="1" x14ac:dyDescent="0.25">
      <c r="A2213" s="369"/>
      <c r="E2213" s="396"/>
      <c r="F2213" s="396"/>
      <c r="G2213" s="396"/>
      <c r="K2213" s="370"/>
      <c r="N2213" s="370"/>
    </row>
    <row r="2214" spans="1:14" s="347" customFormat="1" x14ac:dyDescent="0.25">
      <c r="A2214" s="369">
        <v>44328</v>
      </c>
      <c r="B2214" s="347">
        <f>+MONTH(A2214)</f>
        <v>5</v>
      </c>
      <c r="C2214" s="347">
        <v>115</v>
      </c>
      <c r="D2214" s="340" t="str">
        <f>VLOOKUP(C2214,Plan!A:B,2,0)</f>
        <v>Disponible Cali B.Chile</v>
      </c>
      <c r="E2214" s="341">
        <f>+F2214-G2214</f>
        <v>1800000</v>
      </c>
      <c r="F2214" s="405">
        <v>1800000</v>
      </c>
      <c r="G2214" s="405">
        <v>0</v>
      </c>
      <c r="H2214" t="s">
        <v>1730</v>
      </c>
      <c r="I2214" s="403" t="s">
        <v>131</v>
      </c>
      <c r="K2214" s="370"/>
      <c r="N2214" s="370"/>
    </row>
    <row r="2215" spans="1:14" s="347" customFormat="1" x14ac:dyDescent="0.25">
      <c r="A2215" s="369">
        <f>+A2214</f>
        <v>44328</v>
      </c>
      <c r="B2215" s="347">
        <f>+MONTH(A2215)</f>
        <v>5</v>
      </c>
      <c r="C2215" s="347">
        <v>3210</v>
      </c>
      <c r="D2215" s="340" t="str">
        <f>VLOOKUP(C2215,Plan!A:B,2,0)</f>
        <v>Donacion Construccion</v>
      </c>
      <c r="E2215" s="341">
        <f>+F2215-G2215</f>
        <v>-1800000</v>
      </c>
      <c r="F2215" s="405">
        <v>0</v>
      </c>
      <c r="G2215" s="405">
        <f>+F2214</f>
        <v>1800000</v>
      </c>
      <c r="H2215" t="str">
        <f>+H2214</f>
        <v>Marcelo Osvaldo Gálvez Moya / Azul</v>
      </c>
      <c r="I2215" s="403" t="s">
        <v>131</v>
      </c>
      <c r="K2215" s="370"/>
      <c r="N2215" s="370"/>
    </row>
    <row r="2216" spans="1:14" s="347" customFormat="1" x14ac:dyDescent="0.25">
      <c r="A2216" s="369"/>
      <c r="E2216" s="396"/>
      <c r="F2216" s="396"/>
      <c r="G2216" s="396"/>
      <c r="K2216" s="370"/>
      <c r="N2216" s="370"/>
    </row>
    <row r="2217" spans="1:14" s="347" customFormat="1" x14ac:dyDescent="0.25">
      <c r="A2217" s="369">
        <v>44328</v>
      </c>
      <c r="B2217" s="347">
        <f>+MONTH(A2217)</f>
        <v>5</v>
      </c>
      <c r="C2217" s="347">
        <v>4171</v>
      </c>
      <c r="D2217" s="340" t="str">
        <f>VLOOKUP(C2217,Plan!A:B,2,0)</f>
        <v xml:space="preserve">        Campaña 1%</v>
      </c>
      <c r="E2217" s="341">
        <f>+F2217-G2217</f>
        <v>100000</v>
      </c>
      <c r="F2217" s="405">
        <v>100000</v>
      </c>
      <c r="G2217" s="405">
        <v>0</v>
      </c>
      <c r="H2217" t="s">
        <v>1731</v>
      </c>
      <c r="I2217" s="403" t="s">
        <v>131</v>
      </c>
      <c r="K2217" s="370"/>
      <c r="N2217" s="370"/>
    </row>
    <row r="2218" spans="1:14" s="347" customFormat="1" x14ac:dyDescent="0.25">
      <c r="A2218" s="369">
        <f>+A2217</f>
        <v>44328</v>
      </c>
      <c r="B2218" s="347">
        <f>+MONTH(A2218)</f>
        <v>5</v>
      </c>
      <c r="C2218" s="347">
        <v>115</v>
      </c>
      <c r="D2218" s="340" t="str">
        <f>VLOOKUP(C2218,Plan!A:B,2,0)</f>
        <v>Disponible Cali B.Chile</v>
      </c>
      <c r="E2218" s="341">
        <f>+F2218-G2218</f>
        <v>-100000</v>
      </c>
      <c r="F2218" s="405">
        <v>0</v>
      </c>
      <c r="G2218" s="405">
        <f>+F2217</f>
        <v>100000</v>
      </c>
      <c r="H2218" t="str">
        <f>+H2217</f>
        <v>2 Gift Card a Rest. Le Due Torri CALI Marzo</v>
      </c>
      <c r="I2218" s="403" t="s">
        <v>131</v>
      </c>
      <c r="K2218" s="370"/>
      <c r="N2218" s="370"/>
    </row>
    <row r="2219" spans="1:14" s="347" customFormat="1" x14ac:dyDescent="0.25">
      <c r="A2219" s="369"/>
      <c r="E2219" s="396"/>
      <c r="F2219" s="396"/>
      <c r="G2219" s="396"/>
      <c r="K2219" s="370"/>
      <c r="N2219" s="370"/>
    </row>
    <row r="2220" spans="1:14" s="347" customFormat="1" x14ac:dyDescent="0.25">
      <c r="A2220" s="369">
        <v>44328</v>
      </c>
      <c r="B2220" s="347">
        <f>+MONTH(A2220)</f>
        <v>5</v>
      </c>
      <c r="C2220" s="347">
        <v>115</v>
      </c>
      <c r="D2220" s="340" t="str">
        <f>VLOOKUP(C2220,Plan!A:B,2,0)</f>
        <v>Disponible Cali B.Chile</v>
      </c>
      <c r="E2220" s="341">
        <f>+F2220-G2220</f>
        <v>138000</v>
      </c>
      <c r="F2220" s="405">
        <v>138000</v>
      </c>
      <c r="G2220" s="405">
        <v>0</v>
      </c>
      <c r="H2220" s="338" t="s">
        <v>1687</v>
      </c>
      <c r="I2220" s="403" t="s">
        <v>131</v>
      </c>
      <c r="K2220" s="370"/>
      <c r="N2220" s="370"/>
    </row>
    <row r="2221" spans="1:14" s="347" customFormat="1" x14ac:dyDescent="0.25">
      <c r="A2221" s="369">
        <f>+A2220</f>
        <v>44328</v>
      </c>
      <c r="B2221" s="347">
        <f>+MONTH(A2221)</f>
        <v>5</v>
      </c>
      <c r="C2221" s="347">
        <v>1216</v>
      </c>
      <c r="D2221" s="340" t="str">
        <f>VLOOKUP(C2221,Plan!A:B,2,0)</f>
        <v>Otros Valores Recaudadoras</v>
      </c>
      <c r="E2221" s="341">
        <f>+F2221-G2221</f>
        <v>-138000</v>
      </c>
      <c r="F2221" s="405">
        <v>0</v>
      </c>
      <c r="G2221" s="405">
        <f>+F2220</f>
        <v>138000</v>
      </c>
      <c r="H2221" s="338" t="s">
        <v>1687</v>
      </c>
      <c r="I2221" s="403" t="s">
        <v>131</v>
      </c>
      <c r="K2221" s="370"/>
      <c r="N2221" s="370"/>
    </row>
    <row r="2222" spans="1:14" s="347" customFormat="1" x14ac:dyDescent="0.25">
      <c r="A2222" s="369"/>
      <c r="E2222" s="396"/>
      <c r="F2222" s="396"/>
      <c r="G2222" s="396"/>
      <c r="K2222" s="370"/>
      <c r="N2222" s="370"/>
    </row>
    <row r="2223" spans="1:14" s="347" customFormat="1" x14ac:dyDescent="0.25">
      <c r="A2223" s="369">
        <v>44328</v>
      </c>
      <c r="B2223" s="347">
        <f>+MONTH(A2223)</f>
        <v>5</v>
      </c>
      <c r="C2223" s="347">
        <v>115</v>
      </c>
      <c r="D2223" s="340" t="str">
        <f>VLOOKUP(C2223,Plan!A:B,2,0)</f>
        <v>Disponible Cali B.Chile</v>
      </c>
      <c r="E2223" s="341">
        <f>+F2223-G2223</f>
        <v>65000</v>
      </c>
      <c r="F2223" s="405">
        <v>65000</v>
      </c>
      <c r="G2223" s="405">
        <v>0</v>
      </c>
      <c r="H2223" s="338" t="s">
        <v>1687</v>
      </c>
      <c r="I2223" s="403" t="s">
        <v>131</v>
      </c>
      <c r="K2223" s="370"/>
      <c r="N2223" s="370"/>
    </row>
    <row r="2224" spans="1:14" s="347" customFormat="1" x14ac:dyDescent="0.25">
      <c r="A2224" s="369">
        <f>+A2223</f>
        <v>44328</v>
      </c>
      <c r="B2224" s="347">
        <f>+MONTH(A2224)</f>
        <v>5</v>
      </c>
      <c r="C2224" s="347">
        <v>1216</v>
      </c>
      <c r="D2224" s="340" t="str">
        <f>VLOOKUP(C2224,Plan!A:B,2,0)</f>
        <v>Otros Valores Recaudadoras</v>
      </c>
      <c r="E2224" s="341">
        <f>+F2224-G2224</f>
        <v>-65000</v>
      </c>
      <c r="F2224" s="405">
        <v>0</v>
      </c>
      <c r="G2224" s="405">
        <f>+F2223</f>
        <v>65000</v>
      </c>
      <c r="H2224" s="338" t="s">
        <v>1687</v>
      </c>
      <c r="I2224" s="403" t="s">
        <v>131</v>
      </c>
      <c r="K2224" s="370"/>
      <c r="N2224" s="370"/>
    </row>
    <row r="2225" spans="1:14" s="347" customFormat="1" x14ac:dyDescent="0.25">
      <c r="A2225" s="369"/>
      <c r="E2225" s="396"/>
      <c r="F2225" s="396"/>
      <c r="G2225" s="396"/>
      <c r="K2225" s="370"/>
      <c r="N2225" s="370"/>
    </row>
    <row r="2226" spans="1:14" s="347" customFormat="1" x14ac:dyDescent="0.25">
      <c r="A2226" s="369">
        <v>44328</v>
      </c>
      <c r="B2226" s="347">
        <f>+MONTH(A2226)</f>
        <v>5</v>
      </c>
      <c r="C2226" s="347">
        <v>115</v>
      </c>
      <c r="D2226" s="340" t="str">
        <f>VLOOKUP(C2226,Plan!A:B,2,0)</f>
        <v>Disponible Cali B.Chile</v>
      </c>
      <c r="E2226" s="341">
        <f>+F2226-G2226</f>
        <v>115000</v>
      </c>
      <c r="F2226" s="405">
        <v>115000</v>
      </c>
      <c r="G2226" s="405">
        <v>0</v>
      </c>
      <c r="H2226" s="338" t="s">
        <v>1687</v>
      </c>
      <c r="I2226" s="403" t="s">
        <v>131</v>
      </c>
      <c r="K2226" s="370"/>
      <c r="N2226" s="370"/>
    </row>
    <row r="2227" spans="1:14" s="347" customFormat="1" x14ac:dyDescent="0.25">
      <c r="A2227" s="369">
        <f>+A2226</f>
        <v>44328</v>
      </c>
      <c r="B2227" s="347">
        <f>+MONTH(A2227)</f>
        <v>5</v>
      </c>
      <c r="C2227" s="347">
        <v>1216</v>
      </c>
      <c r="D2227" s="340" t="str">
        <f>VLOOKUP(C2227,Plan!A:B,2,0)</f>
        <v>Otros Valores Recaudadoras</v>
      </c>
      <c r="E2227" s="341">
        <f>+F2227-G2227</f>
        <v>-115000</v>
      </c>
      <c r="F2227" s="405">
        <v>0</v>
      </c>
      <c r="G2227" s="405">
        <f>+F2226</f>
        <v>115000</v>
      </c>
      <c r="H2227" s="338" t="s">
        <v>1687</v>
      </c>
      <c r="I2227" s="403" t="s">
        <v>131</v>
      </c>
      <c r="K2227" s="370"/>
      <c r="N2227" s="370"/>
    </row>
    <row r="2228" spans="1:14" s="347" customFormat="1" x14ac:dyDescent="0.25">
      <c r="A2228" s="369"/>
      <c r="E2228" s="396"/>
      <c r="F2228" s="396"/>
      <c r="G2228" s="396"/>
      <c r="K2228" s="370"/>
      <c r="N2228" s="370"/>
    </row>
    <row r="2229" spans="1:14" s="347" customFormat="1" x14ac:dyDescent="0.25">
      <c r="A2229" s="369">
        <v>44329</v>
      </c>
      <c r="B2229" s="347">
        <f>+MONTH(A2229)</f>
        <v>5</v>
      </c>
      <c r="C2229" s="347">
        <v>115</v>
      </c>
      <c r="D2229" s="340" t="str">
        <f>VLOOKUP(C2229,Plan!A:B,2,0)</f>
        <v>Disponible Cali B.Chile</v>
      </c>
      <c r="E2229" s="341">
        <f>+F2229-G2229</f>
        <v>30000</v>
      </c>
      <c r="F2229" s="405">
        <v>30000</v>
      </c>
      <c r="G2229" s="405">
        <v>0</v>
      </c>
      <c r="H2229" t="s">
        <v>1003</v>
      </c>
      <c r="I2229" s="403" t="s">
        <v>131</v>
      </c>
      <c r="K2229" s="370"/>
      <c r="N2229" s="370"/>
    </row>
    <row r="2230" spans="1:14" s="347" customFormat="1" x14ac:dyDescent="0.25">
      <c r="A2230" s="369">
        <f>+A2229</f>
        <v>44329</v>
      </c>
      <c r="B2230" s="347">
        <f>+MONTH(A2230)</f>
        <v>5</v>
      </c>
      <c r="C2230" s="347">
        <v>3210</v>
      </c>
      <c r="D2230" s="340" t="str">
        <f>VLOOKUP(C2230,Plan!A:B,2,0)</f>
        <v>Donacion Construccion</v>
      </c>
      <c r="E2230" s="341">
        <f>+F2230-G2230</f>
        <v>-30000</v>
      </c>
      <c r="F2230" s="405">
        <v>0</v>
      </c>
      <c r="G2230" s="405">
        <f>+F2229</f>
        <v>30000</v>
      </c>
      <c r="H2230" t="str">
        <f>+H2229</f>
        <v>Marcela Rebeca Pinto Zepeda / Azul</v>
      </c>
      <c r="I2230" s="403" t="s">
        <v>131</v>
      </c>
      <c r="K2230" s="370"/>
      <c r="N2230" s="370"/>
    </row>
    <row r="2231" spans="1:14" s="347" customFormat="1" x14ac:dyDescent="0.25">
      <c r="A2231" s="369"/>
      <c r="E2231" s="396"/>
      <c r="F2231" s="396"/>
      <c r="G2231" s="396"/>
      <c r="K2231" s="370"/>
      <c r="N2231" s="370"/>
    </row>
    <row r="2232" spans="1:14" s="347" customFormat="1" x14ac:dyDescent="0.25">
      <c r="A2232" s="369">
        <v>44329</v>
      </c>
      <c r="B2232" s="347">
        <f>+MONTH(A2232)</f>
        <v>5</v>
      </c>
      <c r="C2232" s="347">
        <v>115</v>
      </c>
      <c r="D2232" s="340" t="str">
        <f>VLOOKUP(C2232,Plan!A:B,2,0)</f>
        <v>Disponible Cali B.Chile</v>
      </c>
      <c r="E2232" s="341">
        <f>+F2232-G2232</f>
        <v>20000</v>
      </c>
      <c r="F2232" s="405">
        <v>20000</v>
      </c>
      <c r="G2232" s="405">
        <v>0</v>
      </c>
      <c r="H2232" t="s">
        <v>1022</v>
      </c>
      <c r="I2232" s="403" t="s">
        <v>131</v>
      </c>
      <c r="K2232" s="370"/>
      <c r="N2232" s="370"/>
    </row>
    <row r="2233" spans="1:14" s="347" customFormat="1" x14ac:dyDescent="0.25">
      <c r="A2233" s="369">
        <f>+A2232</f>
        <v>44329</v>
      </c>
      <c r="B2233" s="347">
        <f>+MONTH(A2233)</f>
        <v>5</v>
      </c>
      <c r="C2233" s="347">
        <v>3210</v>
      </c>
      <c r="D2233" s="340" t="str">
        <f>VLOOKUP(C2233,Plan!A:B,2,0)</f>
        <v>Donacion Construccion</v>
      </c>
      <c r="E2233" s="341">
        <f>+F2233-G2233</f>
        <v>-20000</v>
      </c>
      <c r="F2233" s="405">
        <v>0</v>
      </c>
      <c r="G2233" s="405">
        <f>+F2232</f>
        <v>20000</v>
      </c>
      <c r="H2233" t="str">
        <f>+H2232</f>
        <v>M.Graciela Garrido C. / Azul</v>
      </c>
      <c r="I2233" s="403" t="s">
        <v>131</v>
      </c>
      <c r="K2233" s="370"/>
      <c r="N2233" s="370"/>
    </row>
    <row r="2234" spans="1:14" s="347" customFormat="1" x14ac:dyDescent="0.25">
      <c r="A2234" s="369"/>
      <c r="E2234" s="396"/>
      <c r="F2234" s="396"/>
      <c r="G2234" s="396"/>
      <c r="K2234" s="370"/>
      <c r="N2234" s="370"/>
    </row>
    <row r="2235" spans="1:14" s="347" customFormat="1" x14ac:dyDescent="0.25">
      <c r="A2235" s="369">
        <v>44329</v>
      </c>
      <c r="B2235" s="347">
        <f>+MONTH(A2235)</f>
        <v>5</v>
      </c>
      <c r="C2235" s="347">
        <v>115</v>
      </c>
      <c r="D2235" s="340" t="str">
        <f>VLOOKUP(C2235,Plan!A:B,2,0)</f>
        <v>Disponible Cali B.Chile</v>
      </c>
      <c r="E2235" s="341">
        <f>+F2235-G2235</f>
        <v>25000</v>
      </c>
      <c r="F2235" s="405">
        <v>25000</v>
      </c>
      <c r="G2235" s="405">
        <v>0</v>
      </c>
      <c r="H2235" t="s">
        <v>1023</v>
      </c>
      <c r="I2235" s="403" t="s">
        <v>131</v>
      </c>
      <c r="K2235" s="370"/>
      <c r="N2235" s="370"/>
    </row>
    <row r="2236" spans="1:14" s="347" customFormat="1" x14ac:dyDescent="0.25">
      <c r="A2236" s="369">
        <f>+A2235</f>
        <v>44329</v>
      </c>
      <c r="B2236" s="347">
        <f>+MONTH(A2236)</f>
        <v>5</v>
      </c>
      <c r="C2236" s="347">
        <v>1222</v>
      </c>
      <c r="D2236" s="340" t="str">
        <f>VLOOKUP(C2236,Plan!A:B,2,0)</f>
        <v>Otros Valores -Oficina y Transferencias (249)</v>
      </c>
      <c r="E2236" s="341">
        <f>+F2236-G2236</f>
        <v>-25000</v>
      </c>
      <c r="F2236" s="405">
        <v>0</v>
      </c>
      <c r="G2236" s="405">
        <f>+F2235</f>
        <v>25000</v>
      </c>
      <c r="H2236" t="str">
        <f>+H2235</f>
        <v>M.Graciela Garrido C. / 249</v>
      </c>
      <c r="I2236" s="403" t="s">
        <v>131</v>
      </c>
      <c r="K2236" s="370"/>
      <c r="N2236" s="370"/>
    </row>
    <row r="2237" spans="1:14" s="347" customFormat="1" x14ac:dyDescent="0.25">
      <c r="A2237" s="369"/>
      <c r="E2237" s="396"/>
      <c r="F2237" s="396"/>
      <c r="G2237" s="396"/>
      <c r="K2237" s="370"/>
      <c r="N2237" s="370"/>
    </row>
    <row r="2238" spans="1:14" s="347" customFormat="1" x14ac:dyDescent="0.25">
      <c r="A2238" s="369">
        <v>44329</v>
      </c>
      <c r="B2238" s="347">
        <f>+MONTH(A2238)</f>
        <v>5</v>
      </c>
      <c r="C2238" s="347">
        <v>115</v>
      </c>
      <c r="D2238" s="340" t="str">
        <f>VLOOKUP(C2238,Plan!A:B,2,0)</f>
        <v>Disponible Cali B.Chile</v>
      </c>
      <c r="E2238" s="341">
        <f>+F2238-G2238</f>
        <v>7000</v>
      </c>
      <c r="F2238" s="405">
        <v>7000</v>
      </c>
      <c r="G2238" s="405">
        <v>0</v>
      </c>
      <c r="H2238" t="s">
        <v>1078</v>
      </c>
      <c r="I2238" s="403" t="s">
        <v>131</v>
      </c>
      <c r="K2238" s="370"/>
      <c r="N2238" s="370"/>
    </row>
    <row r="2239" spans="1:14" s="347" customFormat="1" x14ac:dyDescent="0.25">
      <c r="A2239" s="369">
        <f>+A2238</f>
        <v>44329</v>
      </c>
      <c r="B2239" s="347">
        <f>+MONTH(A2239)</f>
        <v>5</v>
      </c>
      <c r="C2239" s="347">
        <v>1222</v>
      </c>
      <c r="D2239" s="340" t="str">
        <f>VLOOKUP(C2239,Plan!A:B,2,0)</f>
        <v>Otros Valores -Oficina y Transferencias (249)</v>
      </c>
      <c r="E2239" s="341">
        <f>+F2239-G2239</f>
        <v>-7000</v>
      </c>
      <c r="F2239" s="405">
        <v>0</v>
      </c>
      <c r="G2239" s="405">
        <f>+F2238</f>
        <v>7000</v>
      </c>
      <c r="H2239" t="str">
        <f>+H2238</f>
        <v>Isabel Margarita Cortés Testart/249</v>
      </c>
      <c r="I2239" s="403" t="s">
        <v>131</v>
      </c>
      <c r="K2239" s="370"/>
      <c r="N2239" s="370"/>
    </row>
    <row r="2240" spans="1:14" s="347" customFormat="1" x14ac:dyDescent="0.25">
      <c r="A2240" s="369"/>
      <c r="E2240" s="396"/>
      <c r="F2240" s="396"/>
      <c r="G2240" s="396"/>
      <c r="K2240" s="370"/>
      <c r="N2240" s="370"/>
    </row>
    <row r="2241" spans="1:14" s="347" customFormat="1" x14ac:dyDescent="0.25">
      <c r="A2241" s="369">
        <v>44330</v>
      </c>
      <c r="B2241" s="347">
        <f>+MONTH(A2241)</f>
        <v>5</v>
      </c>
      <c r="C2241" s="347">
        <v>202</v>
      </c>
      <c r="D2241" s="340" t="str">
        <f>VLOOKUP(C2241,Plan!A:B,2,0)</f>
        <v>Arzobispado por pagar</v>
      </c>
      <c r="E2241" s="341">
        <f>+F2241-G2241</f>
        <v>3294505</v>
      </c>
      <c r="F2241" s="264">
        <v>3294505</v>
      </c>
      <c r="G2241" s="405">
        <v>0</v>
      </c>
      <c r="H2241" t="s">
        <v>1732</v>
      </c>
      <c r="I2241" s="403" t="s">
        <v>131</v>
      </c>
      <c r="K2241" s="370"/>
      <c r="N2241" s="370"/>
    </row>
    <row r="2242" spans="1:14" s="347" customFormat="1" x14ac:dyDescent="0.25">
      <c r="A2242" s="369">
        <v>44330</v>
      </c>
      <c r="B2242" s="347">
        <f>+MONTH(A2242)</f>
        <v>5</v>
      </c>
      <c r="C2242" s="347">
        <v>201</v>
      </c>
      <c r="D2242" s="340" t="str">
        <f>VLOOKUP(C2242,Plan!A:B,2,0)</f>
        <v>1% por pagar</v>
      </c>
      <c r="E2242" s="341">
        <f>+F2242-G2242</f>
        <v>146809</v>
      </c>
      <c r="F2242" s="264">
        <v>146809</v>
      </c>
      <c r="G2242" s="405">
        <v>0</v>
      </c>
      <c r="H2242" t="s">
        <v>1732</v>
      </c>
      <c r="I2242" s="403" t="s">
        <v>131</v>
      </c>
      <c r="K2242" s="370"/>
      <c r="N2242" s="370"/>
    </row>
    <row r="2243" spans="1:14" s="347" customFormat="1" x14ac:dyDescent="0.25">
      <c r="A2243" s="369">
        <f>+A2242</f>
        <v>44330</v>
      </c>
      <c r="B2243" s="347">
        <f>+MONTH(A2243)</f>
        <v>5</v>
      </c>
      <c r="C2243" s="347">
        <v>115</v>
      </c>
      <c r="D2243" s="340" t="str">
        <f>VLOOKUP(C2243,Plan!A:B,2,0)</f>
        <v>Disponible Cali B.Chile</v>
      </c>
      <c r="E2243" s="341">
        <f>+F2243-G2243</f>
        <v>-3441314</v>
      </c>
      <c r="F2243" s="405">
        <v>0</v>
      </c>
      <c r="G2243" s="405">
        <v>3441314</v>
      </c>
      <c r="H2243" t="str">
        <f>+H2242</f>
        <v>Rendición CALI Arzobispado de Santiago Marzo 2021</v>
      </c>
      <c r="I2243" s="403" t="s">
        <v>131</v>
      </c>
      <c r="K2243" s="370"/>
      <c r="N2243" s="370"/>
    </row>
    <row r="2244" spans="1:14" s="347" customFormat="1" x14ac:dyDescent="0.25">
      <c r="A2244" s="369"/>
      <c r="E2244" s="396"/>
      <c r="F2244" s="396"/>
      <c r="G2244" s="396"/>
      <c r="K2244" s="370"/>
      <c r="N2244" s="370"/>
    </row>
    <row r="2245" spans="1:14" s="347" customFormat="1" x14ac:dyDescent="0.25">
      <c r="A2245" s="369">
        <v>44330</v>
      </c>
      <c r="B2245" s="347">
        <f>+MONTH(A2245)</f>
        <v>5</v>
      </c>
      <c r="C2245" s="347">
        <v>4171</v>
      </c>
      <c r="D2245" s="340" t="str">
        <f>VLOOKUP(C2245,Plan!A:B,2,0)</f>
        <v xml:space="preserve">        Campaña 1%</v>
      </c>
      <c r="E2245" s="341">
        <f>+F2245-G2245</f>
        <v>315350</v>
      </c>
      <c r="F2245" s="405">
        <v>315350</v>
      </c>
      <c r="G2245" s="405">
        <v>0</v>
      </c>
      <c r="H2245" t="s">
        <v>1733</v>
      </c>
      <c r="I2245" s="403" t="s">
        <v>131</v>
      </c>
      <c r="K2245" s="370"/>
      <c r="N2245" s="370"/>
    </row>
    <row r="2246" spans="1:14" s="347" customFormat="1" x14ac:dyDescent="0.25">
      <c r="A2246" s="369">
        <f>+A2245</f>
        <v>44330</v>
      </c>
      <c r="B2246" s="347">
        <f>+MONTH(A2246)</f>
        <v>5</v>
      </c>
      <c r="C2246" s="347">
        <v>115</v>
      </c>
      <c r="D2246" s="340" t="str">
        <f>VLOOKUP(C2246,Plan!A:B,2,0)</f>
        <v>Disponible Cali B.Chile</v>
      </c>
      <c r="E2246" s="341">
        <f>+F2246-G2246</f>
        <v>-315350</v>
      </c>
      <c r="F2246" s="405">
        <v>0</v>
      </c>
      <c r="G2246" s="405">
        <f>+F2245</f>
        <v>315350</v>
      </c>
      <c r="H2246" t="str">
        <f>+H2245</f>
        <v>F.489 Sobres y Carta Campaña Hazte Parte</v>
      </c>
      <c r="I2246" s="403" t="s">
        <v>131</v>
      </c>
      <c r="K2246" s="370"/>
      <c r="N2246" s="370"/>
    </row>
    <row r="2247" spans="1:14" s="347" customFormat="1" x14ac:dyDescent="0.25">
      <c r="A2247" s="369"/>
      <c r="E2247" s="396"/>
      <c r="F2247" s="396"/>
      <c r="G2247" s="396"/>
      <c r="K2247" s="370"/>
      <c r="N2247" s="370"/>
    </row>
    <row r="2248" spans="1:14" s="347" customFormat="1" x14ac:dyDescent="0.25">
      <c r="A2248" s="369">
        <v>44330</v>
      </c>
      <c r="B2248" s="347">
        <f>+MONTH(A2248)</f>
        <v>5</v>
      </c>
      <c r="C2248" s="347">
        <v>203</v>
      </c>
      <c r="D2248" s="340" t="str">
        <f>VLOOKUP(C2248,Plan!A:B,2,0)</f>
        <v>Recaudadoras por pagar</v>
      </c>
      <c r="E2248" s="341">
        <f>+F2248-G2248</f>
        <v>66720</v>
      </c>
      <c r="F2248" s="405">
        <f>+G2249+G2250</f>
        <v>66720</v>
      </c>
      <c r="G2248" s="405">
        <v>0</v>
      </c>
      <c r="H2248" t="s">
        <v>1734</v>
      </c>
      <c r="I2248" s="403" t="s">
        <v>131</v>
      </c>
      <c r="K2248" s="370"/>
      <c r="N2248" s="370"/>
    </row>
    <row r="2249" spans="1:14" s="347" customFormat="1" x14ac:dyDescent="0.25">
      <c r="A2249" s="369">
        <f>+A2248</f>
        <v>44330</v>
      </c>
      <c r="B2249" s="347">
        <f>+MONTH(A2249)</f>
        <v>5</v>
      </c>
      <c r="C2249" s="347">
        <v>204</v>
      </c>
      <c r="D2249" s="340" t="str">
        <f>VLOOKUP(C2249,Plan!A:B,2,0)</f>
        <v>Retención Honorarios Cali</v>
      </c>
      <c r="E2249" s="341">
        <f>+F2249-G2249</f>
        <v>-7673</v>
      </c>
      <c r="F2249" s="405">
        <v>0</v>
      </c>
      <c r="G2249" s="405">
        <v>7673</v>
      </c>
      <c r="H2249" t="str">
        <f>+H2248</f>
        <v>BE-481 MARIA ANGELICA SEPULVEDA TORO  </v>
      </c>
      <c r="I2249" s="403" t="s">
        <v>131</v>
      </c>
      <c r="K2249" s="370"/>
      <c r="N2249" s="370"/>
    </row>
    <row r="2250" spans="1:14" s="347" customFormat="1" x14ac:dyDescent="0.25">
      <c r="A2250" s="369">
        <f>+A2249</f>
        <v>44330</v>
      </c>
      <c r="B2250" s="347">
        <f>+B2249</f>
        <v>5</v>
      </c>
      <c r="C2250" s="347">
        <v>115</v>
      </c>
      <c r="D2250" s="340" t="str">
        <f>VLOOKUP(C2250,Plan!A:B,2,0)</f>
        <v>Disponible Cali B.Chile</v>
      </c>
      <c r="E2250" s="341">
        <f>+F2250-G2250</f>
        <v>-59047</v>
      </c>
      <c r="F2250" s="405">
        <v>0</v>
      </c>
      <c r="G2250" s="405">
        <v>59047</v>
      </c>
      <c r="H2250" t="str">
        <f>+H2249</f>
        <v>BE-481 MARIA ANGELICA SEPULVEDA TORO  </v>
      </c>
      <c r="I2250" s="403" t="s">
        <v>131</v>
      </c>
      <c r="K2250" s="370"/>
      <c r="N2250" s="370"/>
    </row>
    <row r="2251" spans="1:14" s="347" customFormat="1" x14ac:dyDescent="0.25">
      <c r="A2251" s="369"/>
      <c r="E2251" s="396"/>
      <c r="F2251" s="396"/>
      <c r="G2251" s="396"/>
      <c r="K2251" s="370"/>
      <c r="N2251" s="370"/>
    </row>
    <row r="2252" spans="1:14" s="347" customFormat="1" x14ac:dyDescent="0.25">
      <c r="A2252" s="369">
        <v>44330</v>
      </c>
      <c r="B2252" s="347">
        <f>+MONTH(A2252)</f>
        <v>5</v>
      </c>
      <c r="C2252" s="347">
        <v>116</v>
      </c>
      <c r="D2252" s="340" t="str">
        <f>VLOOKUP(C2252,Plan!A:B,2,0)</f>
        <v>Disponible CALI Security</v>
      </c>
      <c r="E2252" s="341">
        <f>+F2252-G2252</f>
        <v>25000000</v>
      </c>
      <c r="F2252" s="405">
        <v>25000000</v>
      </c>
      <c r="G2252" s="405">
        <v>0</v>
      </c>
      <c r="H2252" t="s">
        <v>1735</v>
      </c>
      <c r="I2252" s="403" t="s">
        <v>131</v>
      </c>
      <c r="K2252" s="370"/>
      <c r="N2252" s="370"/>
    </row>
    <row r="2253" spans="1:14" s="347" customFormat="1" x14ac:dyDescent="0.25">
      <c r="A2253" s="369">
        <f>+A2252</f>
        <v>44330</v>
      </c>
      <c r="B2253" s="347">
        <f>+MONTH(A2253)</f>
        <v>5</v>
      </c>
      <c r="C2253" s="347">
        <v>115</v>
      </c>
      <c r="D2253" s="340" t="str">
        <f>VLOOKUP(C2253,Plan!A:B,2,0)</f>
        <v>Disponible Cali B.Chile</v>
      </c>
      <c r="E2253" s="341">
        <f>+F2253-G2253</f>
        <v>-25000000</v>
      </c>
      <c r="F2253" s="405">
        <v>0</v>
      </c>
      <c r="G2253" s="405">
        <f>+F2252</f>
        <v>25000000</v>
      </c>
      <c r="H2253" t="str">
        <f>+H2252</f>
        <v>P/FF.MM. en B.Security</v>
      </c>
      <c r="I2253" s="403" t="s">
        <v>131</v>
      </c>
      <c r="K2253" s="370"/>
      <c r="N2253" s="370"/>
    </row>
    <row r="2254" spans="1:14" s="347" customFormat="1" x14ac:dyDescent="0.25">
      <c r="A2254" s="369"/>
      <c r="E2254" s="396"/>
      <c r="F2254" s="396"/>
      <c r="G2254" s="396"/>
      <c r="K2254" s="370"/>
      <c r="N2254" s="370"/>
    </row>
    <row r="2255" spans="1:14" s="347" customFormat="1" x14ac:dyDescent="0.25">
      <c r="A2255" s="369">
        <v>44333</v>
      </c>
      <c r="B2255" s="347">
        <f>+MONTH(A2255)</f>
        <v>5</v>
      </c>
      <c r="C2255" s="347">
        <v>115</v>
      </c>
      <c r="D2255" s="340" t="str">
        <f>VLOOKUP(C2255,Plan!A:B,2,0)</f>
        <v>Disponible Cali B.Chile</v>
      </c>
      <c r="E2255" s="341">
        <f>+F2255-G2255</f>
        <v>50000</v>
      </c>
      <c r="F2255" s="405">
        <v>50000</v>
      </c>
      <c r="G2255" s="405">
        <v>0</v>
      </c>
      <c r="H2255" t="s">
        <v>1024</v>
      </c>
      <c r="I2255" s="403" t="s">
        <v>131</v>
      </c>
      <c r="K2255" s="370"/>
      <c r="N2255" s="370"/>
    </row>
    <row r="2256" spans="1:14" s="347" customFormat="1" x14ac:dyDescent="0.25">
      <c r="A2256" s="369">
        <f>+A2255</f>
        <v>44333</v>
      </c>
      <c r="B2256" s="347">
        <f>+MONTH(A2256)</f>
        <v>5</v>
      </c>
      <c r="C2256" s="347">
        <v>1222</v>
      </c>
      <c r="D2256" s="340" t="str">
        <f>VLOOKUP(C2256,Plan!A:B,2,0)</f>
        <v>Otros Valores -Oficina y Transferencias (249)</v>
      </c>
      <c r="E2256" s="341">
        <f>+F2256-G2256</f>
        <v>-50000</v>
      </c>
      <c r="F2256" s="405">
        <v>0</v>
      </c>
      <c r="G2256" s="405">
        <f>+F2255</f>
        <v>50000</v>
      </c>
      <c r="H2256" t="str">
        <f>+H2255</f>
        <v>Bernardita Mujica Gutierrez  / 249</v>
      </c>
      <c r="I2256" s="403" t="s">
        <v>131</v>
      </c>
      <c r="K2256" s="370"/>
      <c r="N2256" s="370"/>
    </row>
    <row r="2257" spans="1:14" s="347" customFormat="1" x14ac:dyDescent="0.25">
      <c r="A2257" s="369"/>
      <c r="E2257" s="396"/>
      <c r="F2257" s="396"/>
      <c r="G2257" s="396"/>
      <c r="K2257" s="370"/>
      <c r="N2257" s="370"/>
    </row>
    <row r="2258" spans="1:14" s="347" customFormat="1" x14ac:dyDescent="0.25">
      <c r="A2258" s="369">
        <v>44333</v>
      </c>
      <c r="B2258" s="347">
        <f>+MONTH(A2258)</f>
        <v>5</v>
      </c>
      <c r="C2258" s="347">
        <v>115</v>
      </c>
      <c r="D2258" s="340" t="str">
        <f>VLOOKUP(C2258,Plan!A:B,2,0)</f>
        <v>Disponible Cali B.Chile</v>
      </c>
      <c r="E2258" s="341">
        <f>+F2258-G2258</f>
        <v>5000</v>
      </c>
      <c r="F2258" s="405">
        <v>5000</v>
      </c>
      <c r="G2258" s="405">
        <v>0</v>
      </c>
      <c r="H2258" t="s">
        <v>1736</v>
      </c>
      <c r="I2258" s="403" t="s">
        <v>131</v>
      </c>
      <c r="K2258" s="370"/>
      <c r="N2258" s="370"/>
    </row>
    <row r="2259" spans="1:14" s="347" customFormat="1" x14ac:dyDescent="0.25">
      <c r="A2259" s="369">
        <f>+A2258</f>
        <v>44333</v>
      </c>
      <c r="B2259" s="347">
        <f>+MONTH(A2259)</f>
        <v>5</v>
      </c>
      <c r="C2259" s="347">
        <v>216</v>
      </c>
      <c r="D2259" s="340" t="str">
        <f>VLOOKUP(C2259,Plan!A:B,2,0)</f>
        <v>Cuenta por Pagar a Administración Colectas</v>
      </c>
      <c r="E2259" s="341">
        <f>+F2259-G2259</f>
        <v>-5000</v>
      </c>
      <c r="F2259" s="405">
        <v>0</v>
      </c>
      <c r="G2259" s="405">
        <f>+F2258</f>
        <v>5000</v>
      </c>
      <c r="H2259" t="str">
        <f>+H2258</f>
        <v>Colecta M. del Pilar Bustamante Solar</v>
      </c>
      <c r="I2259" s="403" t="s">
        <v>131</v>
      </c>
      <c r="K2259" s="370"/>
      <c r="N2259" s="370"/>
    </row>
    <row r="2260" spans="1:14" s="347" customFormat="1" x14ac:dyDescent="0.25">
      <c r="A2260" s="369"/>
      <c r="E2260" s="396"/>
      <c r="F2260" s="396"/>
      <c r="G2260" s="396"/>
      <c r="K2260" s="370"/>
      <c r="N2260" s="370"/>
    </row>
    <row r="2261" spans="1:14" s="347" customFormat="1" x14ac:dyDescent="0.25">
      <c r="A2261" s="369">
        <v>44333</v>
      </c>
      <c r="B2261" s="347">
        <f>+MONTH(A2261)</f>
        <v>5</v>
      </c>
      <c r="C2261" s="347">
        <v>115</v>
      </c>
      <c r="D2261" s="340" t="str">
        <f>VLOOKUP(C2261,Plan!A:B,2,0)</f>
        <v>Disponible Cali B.Chile</v>
      </c>
      <c r="E2261" s="341">
        <f>+F2261-G2261</f>
        <v>20000</v>
      </c>
      <c r="F2261" s="405">
        <v>20000</v>
      </c>
      <c r="G2261" s="405">
        <v>0</v>
      </c>
      <c r="H2261" t="s">
        <v>1025</v>
      </c>
      <c r="I2261" s="403" t="s">
        <v>131</v>
      </c>
      <c r="K2261" s="370"/>
      <c r="N2261" s="370"/>
    </row>
    <row r="2262" spans="1:14" s="347" customFormat="1" x14ac:dyDescent="0.25">
      <c r="A2262" s="369">
        <f>+A2261</f>
        <v>44333</v>
      </c>
      <c r="B2262" s="347">
        <f>+MONTH(A2262)</f>
        <v>5</v>
      </c>
      <c r="C2262" s="347">
        <v>1222</v>
      </c>
      <c r="D2262" s="340" t="str">
        <f>VLOOKUP(C2262,Plan!A:B,2,0)</f>
        <v>Otros Valores -Oficina y Transferencias (249)</v>
      </c>
      <c r="E2262" s="341">
        <f>+F2262-G2262</f>
        <v>-20000</v>
      </c>
      <c r="F2262" s="405">
        <v>0</v>
      </c>
      <c r="G2262" s="405">
        <f>+F2261</f>
        <v>20000</v>
      </c>
      <c r="H2262" t="str">
        <f>+H2261</f>
        <v>Bernardita Egaña Baraona  / 249</v>
      </c>
      <c r="I2262" s="403" t="s">
        <v>131</v>
      </c>
      <c r="K2262" s="370"/>
      <c r="N2262" s="370"/>
    </row>
    <row r="2263" spans="1:14" s="347" customFormat="1" x14ac:dyDescent="0.25">
      <c r="A2263" s="369"/>
      <c r="E2263" s="396"/>
      <c r="F2263" s="396"/>
      <c r="G2263" s="396"/>
      <c r="K2263" s="370"/>
      <c r="N2263" s="370"/>
    </row>
    <row r="2264" spans="1:14" s="347" customFormat="1" x14ac:dyDescent="0.25">
      <c r="A2264" s="369">
        <v>44333</v>
      </c>
      <c r="B2264" s="347">
        <f>+MONTH(A2264)</f>
        <v>5</v>
      </c>
      <c r="C2264" s="347">
        <v>115</v>
      </c>
      <c r="D2264" s="340" t="str">
        <f>VLOOKUP(C2264,Plan!A:B,2,0)</f>
        <v>Disponible Cali B.Chile</v>
      </c>
      <c r="E2264" s="341">
        <f>+F2264-G2264</f>
        <v>50000</v>
      </c>
      <c r="F2264" s="405">
        <v>50000</v>
      </c>
      <c r="G2264" s="405">
        <v>0</v>
      </c>
      <c r="H2264" t="s">
        <v>1737</v>
      </c>
      <c r="I2264" s="403" t="s">
        <v>131</v>
      </c>
      <c r="K2264" s="370"/>
      <c r="N2264" s="370"/>
    </row>
    <row r="2265" spans="1:14" s="347" customFormat="1" x14ac:dyDescent="0.25">
      <c r="A2265" s="369">
        <f>+A2264</f>
        <v>44333</v>
      </c>
      <c r="B2265" s="347">
        <f>+MONTH(A2265)</f>
        <v>5</v>
      </c>
      <c r="C2265" s="347">
        <v>217</v>
      </c>
      <c r="D2265" s="340" t="str">
        <f>VLOOKUP(C2265,Plan!A:B,2,0)</f>
        <v>Cuenta por Pagar a Administración Canastas</v>
      </c>
      <c r="E2265" s="341">
        <f>+F2265-G2265</f>
        <v>-50000</v>
      </c>
      <c r="F2265" s="405">
        <v>0</v>
      </c>
      <c r="G2265" s="405">
        <f>+F2264</f>
        <v>50000</v>
      </c>
      <c r="H2265" t="str">
        <f>+H2264</f>
        <v>Canastas Carmen Mónica Barañao Rojas</v>
      </c>
      <c r="I2265" s="403" t="s">
        <v>131</v>
      </c>
      <c r="K2265" s="370"/>
      <c r="N2265" s="370"/>
    </row>
    <row r="2266" spans="1:14" s="347" customFormat="1" x14ac:dyDescent="0.25">
      <c r="A2266" s="369"/>
      <c r="E2266" s="396"/>
      <c r="F2266" s="396"/>
      <c r="G2266" s="396"/>
      <c r="K2266" s="370"/>
      <c r="N2266" s="370"/>
    </row>
    <row r="2267" spans="1:14" s="347" customFormat="1" x14ac:dyDescent="0.25">
      <c r="A2267" s="369">
        <v>44333</v>
      </c>
      <c r="B2267" s="347">
        <f>+MONTH(A2267)</f>
        <v>5</v>
      </c>
      <c r="C2267" s="347">
        <v>115</v>
      </c>
      <c r="D2267" s="340" t="str">
        <f>VLOOKUP(C2267,Plan!A:B,2,0)</f>
        <v>Disponible Cali B.Chile</v>
      </c>
      <c r="E2267" s="341">
        <f>+F2267-G2267</f>
        <v>50000</v>
      </c>
      <c r="F2267" s="405">
        <v>50000</v>
      </c>
      <c r="G2267" s="405">
        <v>0</v>
      </c>
      <c r="H2267" t="s">
        <v>1738</v>
      </c>
      <c r="I2267" s="403" t="s">
        <v>131</v>
      </c>
      <c r="K2267" s="370"/>
      <c r="N2267" s="370"/>
    </row>
    <row r="2268" spans="1:14" s="347" customFormat="1" x14ac:dyDescent="0.25">
      <c r="A2268" s="369">
        <f>+A2267</f>
        <v>44333</v>
      </c>
      <c r="B2268" s="347">
        <f>+MONTH(A2268)</f>
        <v>5</v>
      </c>
      <c r="C2268" s="347">
        <v>1217</v>
      </c>
      <c r="D2268" s="340" t="str">
        <f>VLOOKUP(C2268,Plan!A:B,2,0)</f>
        <v>Otros Valores -Oficina y Transferencias (248)</v>
      </c>
      <c r="E2268" s="341">
        <f>+F2268-G2268</f>
        <v>-50000</v>
      </c>
      <c r="F2268" s="405">
        <v>0</v>
      </c>
      <c r="G2268" s="405">
        <f>+F2267</f>
        <v>50000</v>
      </c>
      <c r="H2268" t="str">
        <f>+H2267</f>
        <v>Pedro Irarrázaval/M.Mercedes Calvo Montt/248</v>
      </c>
      <c r="I2268" s="403" t="s">
        <v>131</v>
      </c>
      <c r="K2268" s="370"/>
      <c r="N2268" s="370"/>
    </row>
    <row r="2269" spans="1:14" s="347" customFormat="1" x14ac:dyDescent="0.25">
      <c r="A2269" s="369"/>
      <c r="E2269" s="396"/>
      <c r="F2269" s="396"/>
      <c r="G2269" s="396"/>
      <c r="K2269" s="370"/>
      <c r="N2269" s="370"/>
    </row>
    <row r="2270" spans="1:14" s="347" customFormat="1" x14ac:dyDescent="0.25">
      <c r="A2270" s="369">
        <v>44333</v>
      </c>
      <c r="B2270" s="347">
        <f>+MONTH(A2270)</f>
        <v>5</v>
      </c>
      <c r="C2270" s="347">
        <v>115</v>
      </c>
      <c r="D2270" s="340" t="str">
        <f>VLOOKUP(C2270,Plan!A:B,2,0)</f>
        <v>Disponible Cali B.Chile</v>
      </c>
      <c r="E2270" s="341">
        <f>+F2270-G2270</f>
        <v>10000</v>
      </c>
      <c r="F2270" s="405">
        <v>10000</v>
      </c>
      <c r="G2270" s="405">
        <v>0</v>
      </c>
      <c r="H2270" t="s">
        <v>971</v>
      </c>
      <c r="I2270" s="403" t="s">
        <v>131</v>
      </c>
      <c r="K2270" s="370"/>
      <c r="N2270" s="370"/>
    </row>
    <row r="2271" spans="1:14" s="347" customFormat="1" x14ac:dyDescent="0.25">
      <c r="A2271" s="369">
        <f>+A2270</f>
        <v>44333</v>
      </c>
      <c r="B2271" s="347">
        <f>+MONTH(A2271)</f>
        <v>5</v>
      </c>
      <c r="C2271" s="347">
        <v>216</v>
      </c>
      <c r="D2271" s="340" t="str">
        <f>VLOOKUP(C2271,Plan!A:B,2,0)</f>
        <v>Cuenta por Pagar a Administración Colectas</v>
      </c>
      <c r="E2271" s="341">
        <f>+F2271-G2271</f>
        <v>-10000</v>
      </c>
      <c r="F2271" s="405">
        <v>0</v>
      </c>
      <c r="G2271" s="405">
        <f>+F2270</f>
        <v>10000</v>
      </c>
      <c r="H2271" t="str">
        <f>+H2270</f>
        <v>Colecta Pablo Irarrazaval Mena</v>
      </c>
      <c r="I2271" s="403" t="s">
        <v>131</v>
      </c>
      <c r="K2271" s="370"/>
      <c r="N2271" s="370"/>
    </row>
    <row r="2272" spans="1:14" s="347" customFormat="1" x14ac:dyDescent="0.25">
      <c r="A2272" s="369"/>
      <c r="E2272" s="396"/>
      <c r="F2272" s="396"/>
      <c r="G2272" s="396"/>
      <c r="K2272" s="370"/>
      <c r="N2272" s="370"/>
    </row>
    <row r="2273" spans="1:14" s="347" customFormat="1" x14ac:dyDescent="0.25">
      <c r="A2273" s="369">
        <v>44333</v>
      </c>
      <c r="B2273" s="347">
        <f>+MONTH(A2273)</f>
        <v>5</v>
      </c>
      <c r="C2273" s="347">
        <v>115</v>
      </c>
      <c r="D2273" s="340" t="str">
        <f>VLOOKUP(C2273,Plan!A:B,2,0)</f>
        <v>Disponible Cali B.Chile</v>
      </c>
      <c r="E2273" s="341">
        <f>+F2273-G2273</f>
        <v>21</v>
      </c>
      <c r="F2273" s="405">
        <v>21</v>
      </c>
      <c r="G2273" s="405">
        <v>0</v>
      </c>
      <c r="H2273" t="s">
        <v>1217</v>
      </c>
      <c r="I2273" s="403" t="s">
        <v>131</v>
      </c>
      <c r="K2273" s="370"/>
      <c r="N2273" s="370"/>
    </row>
    <row r="2274" spans="1:14" s="347" customFormat="1" x14ac:dyDescent="0.25">
      <c r="A2274" s="369">
        <f>+A2273</f>
        <v>44333</v>
      </c>
      <c r="B2274" s="347">
        <f>+MONTH(A2274)</f>
        <v>5</v>
      </c>
      <c r="C2274" s="347">
        <v>216</v>
      </c>
      <c r="D2274" s="340" t="str">
        <f>VLOOKUP(C2274,Plan!A:B,2,0)</f>
        <v>Cuenta por Pagar a Administración Colectas</v>
      </c>
      <c r="E2274" s="341">
        <f>+F2274-G2274</f>
        <v>-21</v>
      </c>
      <c r="F2274" s="405">
        <v>0</v>
      </c>
      <c r="G2274" s="405">
        <f>+F2273</f>
        <v>21</v>
      </c>
      <c r="H2274" t="str">
        <f>+H2273</f>
        <v>Colecta NN</v>
      </c>
      <c r="I2274" s="403" t="s">
        <v>131</v>
      </c>
      <c r="K2274" s="370"/>
      <c r="N2274" s="370"/>
    </row>
    <row r="2275" spans="1:14" s="347" customFormat="1" x14ac:dyDescent="0.25">
      <c r="A2275" s="369"/>
      <c r="E2275" s="396"/>
      <c r="F2275" s="396"/>
      <c r="G2275" s="396"/>
      <c r="K2275" s="370"/>
      <c r="N2275" s="370"/>
    </row>
    <row r="2276" spans="1:14" s="347" customFormat="1" x14ac:dyDescent="0.25">
      <c r="A2276" s="369">
        <v>44333</v>
      </c>
      <c r="B2276" s="347">
        <f>+MONTH(A2276)</f>
        <v>5</v>
      </c>
      <c r="C2276" s="347">
        <v>115</v>
      </c>
      <c r="D2276" s="340" t="str">
        <f>VLOOKUP(C2276,Plan!A:B,2,0)</f>
        <v>Disponible Cali B.Chile</v>
      </c>
      <c r="E2276" s="341">
        <f>+F2276-G2276</f>
        <v>30000</v>
      </c>
      <c r="F2276" s="405">
        <v>30000</v>
      </c>
      <c r="G2276" s="405">
        <v>0</v>
      </c>
      <c r="H2276" t="s">
        <v>970</v>
      </c>
      <c r="I2276" s="403" t="s">
        <v>131</v>
      </c>
      <c r="K2276" s="370"/>
      <c r="N2276" s="370"/>
    </row>
    <row r="2277" spans="1:14" s="347" customFormat="1" x14ac:dyDescent="0.25">
      <c r="A2277" s="369">
        <f>+A2276</f>
        <v>44333</v>
      </c>
      <c r="B2277" s="347">
        <f>+MONTH(A2277)</f>
        <v>5</v>
      </c>
      <c r="C2277" s="347">
        <v>1222</v>
      </c>
      <c r="D2277" s="340" t="str">
        <f>VLOOKUP(C2277,Plan!A:B,2,0)</f>
        <v>Otros Valores -Oficina y Transferencias (249)</v>
      </c>
      <c r="E2277" s="341">
        <f>+F2277-G2277</f>
        <v>-30000</v>
      </c>
      <c r="F2277" s="405">
        <v>0</v>
      </c>
      <c r="G2277" s="405">
        <f>+F2276</f>
        <v>30000</v>
      </c>
      <c r="H2277" t="str">
        <f>+H2276</f>
        <v>Horacio Cartagena Fagerstrom/249</v>
      </c>
      <c r="I2277" s="403" t="s">
        <v>131</v>
      </c>
      <c r="K2277" s="370"/>
      <c r="N2277" s="370"/>
    </row>
    <row r="2278" spans="1:14" s="347" customFormat="1" x14ac:dyDescent="0.25">
      <c r="A2278" s="369"/>
      <c r="E2278" s="396"/>
      <c r="F2278" s="396"/>
      <c r="G2278" s="396"/>
      <c r="K2278" s="370"/>
      <c r="N2278" s="370"/>
    </row>
    <row r="2279" spans="1:14" s="347" customFormat="1" x14ac:dyDescent="0.25">
      <c r="A2279" s="369">
        <v>44333</v>
      </c>
      <c r="B2279" s="347">
        <f>+MONTH(A2279)</f>
        <v>5</v>
      </c>
      <c r="C2279" s="347">
        <v>115</v>
      </c>
      <c r="D2279" s="340" t="str">
        <f>VLOOKUP(C2279,Plan!A:B,2,0)</f>
        <v>Disponible Cali B.Chile</v>
      </c>
      <c r="E2279" s="341">
        <f>+F2279-G2279</f>
        <v>20000</v>
      </c>
      <c r="F2279" s="405">
        <v>20000</v>
      </c>
      <c r="G2279" s="405">
        <v>0</v>
      </c>
      <c r="H2279" t="s">
        <v>1030</v>
      </c>
      <c r="I2279" s="403" t="s">
        <v>131</v>
      </c>
      <c r="K2279" s="370"/>
      <c r="N2279" s="370"/>
    </row>
    <row r="2280" spans="1:14" s="347" customFormat="1" x14ac:dyDescent="0.25">
      <c r="A2280" s="369">
        <f>+A2279</f>
        <v>44333</v>
      </c>
      <c r="B2280" s="347">
        <f>+MONTH(A2280)</f>
        <v>5</v>
      </c>
      <c r="C2280" s="347">
        <v>1222</v>
      </c>
      <c r="D2280" s="340" t="str">
        <f>VLOOKUP(C2280,Plan!A:B,2,0)</f>
        <v>Otros Valores -Oficina y Transferencias (249)</v>
      </c>
      <c r="E2280" s="341">
        <f>+F2280-G2280</f>
        <v>-20000</v>
      </c>
      <c r="F2280" s="405">
        <v>0</v>
      </c>
      <c r="G2280" s="405">
        <f>+F2279</f>
        <v>20000</v>
      </c>
      <c r="H2280" t="str">
        <f>+H2279</f>
        <v>S. Villegas / 249</v>
      </c>
      <c r="I2280" s="403" t="s">
        <v>131</v>
      </c>
      <c r="K2280" s="370"/>
      <c r="N2280" s="370"/>
    </row>
    <row r="2281" spans="1:14" s="347" customFormat="1" x14ac:dyDescent="0.25">
      <c r="A2281" s="369"/>
      <c r="E2281" s="396"/>
      <c r="F2281" s="396"/>
      <c r="G2281" s="396"/>
      <c r="K2281" s="370"/>
      <c r="N2281" s="370"/>
    </row>
    <row r="2282" spans="1:14" s="347" customFormat="1" x14ac:dyDescent="0.25">
      <c r="A2282" s="369">
        <v>44335</v>
      </c>
      <c r="B2282" s="347">
        <f>+MONTH(A2282)</f>
        <v>5</v>
      </c>
      <c r="C2282" s="347">
        <v>4171</v>
      </c>
      <c r="D2282" s="340" t="str">
        <f>VLOOKUP(C2282,Plan!A:B,2,0)</f>
        <v xml:space="preserve">        Campaña 1%</v>
      </c>
      <c r="E2282" s="341">
        <f>+F2282-G2282</f>
        <v>150000</v>
      </c>
      <c r="F2282" s="405">
        <v>150000</v>
      </c>
      <c r="G2282" s="405">
        <v>0</v>
      </c>
      <c r="H2282" t="s">
        <v>1739</v>
      </c>
      <c r="I2282" s="403" t="s">
        <v>131</v>
      </c>
      <c r="K2282" s="370"/>
      <c r="N2282" s="370"/>
    </row>
    <row r="2283" spans="1:14" s="347" customFormat="1" x14ac:dyDescent="0.25">
      <c r="A2283" s="369">
        <f>+A2282</f>
        <v>44335</v>
      </c>
      <c r="B2283" s="347">
        <f>+MONTH(A2283)</f>
        <v>5</v>
      </c>
      <c r="C2283" s="347">
        <v>115</v>
      </c>
      <c r="D2283" s="340" t="str">
        <f>VLOOKUP(C2283,Plan!A:B,2,0)</f>
        <v>Disponible Cali B.Chile</v>
      </c>
      <c r="E2283" s="341">
        <f>+F2283-G2283</f>
        <v>-150000</v>
      </c>
      <c r="F2283" s="405">
        <v>0</v>
      </c>
      <c r="G2283" s="405">
        <f>+F2282</f>
        <v>150000</v>
      </c>
      <c r="H2283" t="str">
        <f>+H2282</f>
        <v>3 Gift Card a Rest. Majestic Kenndy</v>
      </c>
      <c r="I2283" s="403" t="s">
        <v>131</v>
      </c>
      <c r="K2283" s="370"/>
      <c r="N2283" s="370"/>
    </row>
    <row r="2284" spans="1:14" s="347" customFormat="1" x14ac:dyDescent="0.25">
      <c r="A2284" s="369"/>
      <c r="E2284" s="396"/>
      <c r="F2284" s="396"/>
      <c r="G2284" s="396"/>
      <c r="K2284" s="370"/>
      <c r="N2284" s="370"/>
    </row>
    <row r="2285" spans="1:14" s="347" customFormat="1" x14ac:dyDescent="0.25">
      <c r="A2285" s="369">
        <v>44335</v>
      </c>
      <c r="B2285" s="347">
        <f>+MONTH(A2285)</f>
        <v>5</v>
      </c>
      <c r="C2285" s="347">
        <v>115</v>
      </c>
      <c r="D2285" s="340" t="str">
        <f>VLOOKUP(C2285,Plan!A:B,2,0)</f>
        <v>Disponible Cali B.Chile</v>
      </c>
      <c r="E2285" s="341">
        <f>+F2285-G2285</f>
        <v>40000</v>
      </c>
      <c r="F2285" s="405">
        <v>40000</v>
      </c>
      <c r="G2285" s="405">
        <v>0</v>
      </c>
      <c r="H2285" t="s">
        <v>1696</v>
      </c>
      <c r="I2285" s="403" t="s">
        <v>131</v>
      </c>
      <c r="K2285" s="370"/>
      <c r="N2285" s="370"/>
    </row>
    <row r="2286" spans="1:14" s="347" customFormat="1" x14ac:dyDescent="0.25">
      <c r="A2286" s="369">
        <f>+A2285</f>
        <v>44335</v>
      </c>
      <c r="B2286" s="347">
        <f>+MONTH(A2286)</f>
        <v>5</v>
      </c>
      <c r="C2286" s="347">
        <v>1222</v>
      </c>
      <c r="D2286" s="340" t="str">
        <f>VLOOKUP(C2286,Plan!A:B,2,0)</f>
        <v>Otros Valores -Oficina y Transferencias (249)</v>
      </c>
      <c r="E2286" s="341">
        <f>+F2286-G2286</f>
        <v>-40000</v>
      </c>
      <c r="F2286" s="405">
        <v>0</v>
      </c>
      <c r="G2286" s="405">
        <f>+F2285</f>
        <v>40000</v>
      </c>
      <c r="H2286" t="str">
        <f>+H2285</f>
        <v>Antonio Jorge Gana de Landa / 249</v>
      </c>
      <c r="I2286" s="403" t="s">
        <v>131</v>
      </c>
      <c r="K2286" s="370"/>
      <c r="N2286" s="370"/>
    </row>
    <row r="2287" spans="1:14" s="347" customFormat="1" x14ac:dyDescent="0.25">
      <c r="A2287" s="369"/>
      <c r="E2287" s="396"/>
      <c r="F2287" s="396"/>
      <c r="G2287" s="396"/>
      <c r="K2287" s="370"/>
      <c r="N2287" s="370"/>
    </row>
    <row r="2288" spans="1:14" s="347" customFormat="1" x14ac:dyDescent="0.25">
      <c r="A2288" s="369">
        <v>44335</v>
      </c>
      <c r="B2288" s="347">
        <f>+MONTH(A2288)</f>
        <v>5</v>
      </c>
      <c r="C2288" s="347">
        <v>115</v>
      </c>
      <c r="D2288" s="340" t="str">
        <f>VLOOKUP(C2288,Plan!A:B,2,0)</f>
        <v>Disponible Cali B.Chile</v>
      </c>
      <c r="E2288" s="341">
        <f>+F2288-G2288</f>
        <v>117174</v>
      </c>
      <c r="F2288" s="405">
        <v>117174</v>
      </c>
      <c r="G2288" s="405">
        <v>0</v>
      </c>
      <c r="H2288" t="s">
        <v>1740</v>
      </c>
      <c r="I2288" s="403" t="s">
        <v>131</v>
      </c>
      <c r="K2288" s="370"/>
      <c r="N2288" s="370"/>
    </row>
    <row r="2289" spans="1:14" s="347" customFormat="1" x14ac:dyDescent="0.25">
      <c r="A2289" s="369">
        <f>+A2288</f>
        <v>44335</v>
      </c>
      <c r="B2289" s="347">
        <f>+MONTH(A2289)</f>
        <v>5</v>
      </c>
      <c r="C2289" s="347">
        <v>1217</v>
      </c>
      <c r="D2289" s="340" t="str">
        <f>VLOOKUP(C2289,Plan!A:B,2,0)</f>
        <v>Otros Valores -Oficina y Transferencias (248)</v>
      </c>
      <c r="E2289" s="341">
        <f>+F2289-G2289</f>
        <v>-117174</v>
      </c>
      <c r="F2289" s="405">
        <v>0</v>
      </c>
      <c r="G2289" s="405">
        <f>+F2288</f>
        <v>117174</v>
      </c>
      <c r="H2289" t="str">
        <f>+H2288</f>
        <v>José Eugenio Figueroa Basaure/248</v>
      </c>
      <c r="I2289" s="403" t="s">
        <v>131</v>
      </c>
      <c r="K2289" s="370"/>
      <c r="N2289" s="370"/>
    </row>
    <row r="2290" spans="1:14" s="347" customFormat="1" x14ac:dyDescent="0.25">
      <c r="A2290" s="369"/>
      <c r="E2290" s="396"/>
      <c r="F2290" s="396"/>
      <c r="G2290" s="396"/>
      <c r="K2290" s="370"/>
      <c r="N2290" s="370"/>
    </row>
    <row r="2291" spans="1:14" s="347" customFormat="1" x14ac:dyDescent="0.25">
      <c r="A2291" s="369">
        <v>44336</v>
      </c>
      <c r="B2291" s="347">
        <f>+MONTH(A2291)</f>
        <v>5</v>
      </c>
      <c r="C2291" s="347">
        <v>115</v>
      </c>
      <c r="D2291" s="340" t="str">
        <f>VLOOKUP(C2291,Plan!A:B,2,0)</f>
        <v>Disponible Cali B.Chile</v>
      </c>
      <c r="E2291" s="341">
        <f>+F2291-G2291</f>
        <v>100000</v>
      </c>
      <c r="F2291" s="405">
        <v>100000</v>
      </c>
      <c r="G2291" s="405">
        <v>0</v>
      </c>
      <c r="H2291" s="338" t="s">
        <v>1687</v>
      </c>
      <c r="I2291" s="403" t="s">
        <v>131</v>
      </c>
      <c r="K2291" s="370"/>
      <c r="N2291" s="370"/>
    </row>
    <row r="2292" spans="1:14" s="347" customFormat="1" x14ac:dyDescent="0.25">
      <c r="A2292" s="369">
        <f>+A2291</f>
        <v>44336</v>
      </c>
      <c r="B2292" s="347">
        <f>+MONTH(A2292)</f>
        <v>5</v>
      </c>
      <c r="C2292" s="347">
        <v>1216</v>
      </c>
      <c r="D2292" s="340" t="str">
        <f>VLOOKUP(C2292,Plan!A:B,2,0)</f>
        <v>Otros Valores Recaudadoras</v>
      </c>
      <c r="E2292" s="341">
        <f>+F2292-G2292</f>
        <v>-100000</v>
      </c>
      <c r="F2292" s="405">
        <v>0</v>
      </c>
      <c r="G2292" s="405">
        <f>+F2291</f>
        <v>100000</v>
      </c>
      <c r="H2292" s="338" t="s">
        <v>1687</v>
      </c>
      <c r="I2292" s="403" t="s">
        <v>131</v>
      </c>
      <c r="K2292" s="370"/>
      <c r="N2292" s="370"/>
    </row>
    <row r="2293" spans="1:14" s="347" customFormat="1" x14ac:dyDescent="0.25">
      <c r="A2293" s="369"/>
      <c r="E2293" s="396"/>
      <c r="F2293" s="396"/>
      <c r="G2293" s="396"/>
      <c r="K2293" s="370"/>
      <c r="N2293" s="370"/>
    </row>
    <row r="2294" spans="1:14" s="347" customFormat="1" x14ac:dyDescent="0.25">
      <c r="A2294" s="369">
        <v>44340</v>
      </c>
      <c r="B2294" s="347">
        <f>+MONTH(A2294)</f>
        <v>5</v>
      </c>
      <c r="C2294" s="347">
        <v>115</v>
      </c>
      <c r="D2294" s="340" t="str">
        <f>VLOOKUP(C2294,Plan!A:B,2,0)</f>
        <v>Disponible Cali B.Chile</v>
      </c>
      <c r="E2294" s="341">
        <f>+F2294-G2294</f>
        <v>30000</v>
      </c>
      <c r="F2294" s="405">
        <v>30000</v>
      </c>
      <c r="G2294" s="405">
        <v>0</v>
      </c>
      <c r="H2294" t="s">
        <v>1017</v>
      </c>
      <c r="I2294" s="403" t="s">
        <v>131</v>
      </c>
      <c r="K2294" s="370"/>
      <c r="N2294" s="370"/>
    </row>
    <row r="2295" spans="1:14" s="347" customFormat="1" x14ac:dyDescent="0.25">
      <c r="A2295" s="369">
        <f>+A2294</f>
        <v>44340</v>
      </c>
      <c r="B2295" s="347">
        <f>+MONTH(A2295)</f>
        <v>5</v>
      </c>
      <c r="C2295" s="347">
        <v>1216</v>
      </c>
      <c r="D2295" s="340" t="str">
        <f>VLOOKUP(C2295,Plan!A:B,2,0)</f>
        <v>Otros Valores Recaudadoras</v>
      </c>
      <c r="E2295" s="341">
        <f>+F2295-G2295</f>
        <v>-30000</v>
      </c>
      <c r="F2295" s="405">
        <v>0</v>
      </c>
      <c r="G2295" s="405">
        <f>+F2294</f>
        <v>30000</v>
      </c>
      <c r="H2295" t="str">
        <f>+H2294</f>
        <v>María Pía Laura Parodi Gil / 249</v>
      </c>
      <c r="I2295" s="403" t="s">
        <v>131</v>
      </c>
      <c r="K2295" s="370"/>
      <c r="N2295" s="370"/>
    </row>
    <row r="2296" spans="1:14" s="347" customFormat="1" x14ac:dyDescent="0.25">
      <c r="A2296" s="369"/>
      <c r="E2296" s="396"/>
      <c r="F2296" s="396"/>
      <c r="G2296" s="396"/>
      <c r="K2296" s="370"/>
      <c r="N2296" s="370"/>
    </row>
    <row r="2297" spans="1:14" s="347" customFormat="1" x14ac:dyDescent="0.25">
      <c r="A2297" s="369">
        <v>44340</v>
      </c>
      <c r="B2297" s="347">
        <f>+MONTH(A2297)</f>
        <v>5</v>
      </c>
      <c r="C2297" s="347">
        <v>115</v>
      </c>
      <c r="D2297" s="340" t="str">
        <f>VLOOKUP(C2297,Plan!A:B,2,0)</f>
        <v>Disponible Cali B.Chile</v>
      </c>
      <c r="E2297" s="341">
        <f>+F2297-G2297</f>
        <v>8000</v>
      </c>
      <c r="F2297" s="405">
        <v>8000</v>
      </c>
      <c r="G2297" s="405">
        <v>0</v>
      </c>
      <c r="H2297" t="s">
        <v>971</v>
      </c>
      <c r="I2297" s="403" t="s">
        <v>131</v>
      </c>
      <c r="K2297" s="370"/>
      <c r="N2297" s="370"/>
    </row>
    <row r="2298" spans="1:14" s="347" customFormat="1" x14ac:dyDescent="0.25">
      <c r="A2298" s="369">
        <f>+A2297</f>
        <v>44340</v>
      </c>
      <c r="B2298" s="347">
        <f>+MONTH(A2298)</f>
        <v>5</v>
      </c>
      <c r="C2298" s="347">
        <v>216</v>
      </c>
      <c r="D2298" s="340" t="str">
        <f>VLOOKUP(C2298,Plan!A:B,2,0)</f>
        <v>Cuenta por Pagar a Administración Colectas</v>
      </c>
      <c r="E2298" s="341">
        <f>+F2298-G2298</f>
        <v>-8000</v>
      </c>
      <c r="F2298" s="405">
        <v>0</v>
      </c>
      <c r="G2298" s="405">
        <f>+F2297</f>
        <v>8000</v>
      </c>
      <c r="H2298" t="str">
        <f>+H2297</f>
        <v>Colecta Pablo Irarrazaval Mena</v>
      </c>
      <c r="I2298" s="403" t="s">
        <v>131</v>
      </c>
      <c r="K2298" s="370"/>
      <c r="N2298" s="370"/>
    </row>
    <row r="2299" spans="1:14" s="347" customFormat="1" x14ac:dyDescent="0.25">
      <c r="A2299" s="369"/>
      <c r="E2299" s="396"/>
      <c r="F2299" s="396"/>
      <c r="G2299" s="396"/>
      <c r="K2299" s="370"/>
      <c r="N2299" s="370"/>
    </row>
    <row r="2300" spans="1:14" s="347" customFormat="1" x14ac:dyDescent="0.25">
      <c r="A2300" s="369">
        <v>44340</v>
      </c>
      <c r="B2300" s="347">
        <f>+MONTH(A2300)</f>
        <v>5</v>
      </c>
      <c r="C2300" s="347">
        <v>115</v>
      </c>
      <c r="D2300" s="340" t="str">
        <f>VLOOKUP(C2300,Plan!A:B,2,0)</f>
        <v>Disponible Cali B.Chile</v>
      </c>
      <c r="E2300" s="341">
        <f>+F2300-G2300</f>
        <v>30000</v>
      </c>
      <c r="F2300" s="405">
        <v>30000</v>
      </c>
      <c r="G2300" s="405">
        <v>0</v>
      </c>
      <c r="H2300" t="s">
        <v>1032</v>
      </c>
      <c r="I2300" s="403" t="s">
        <v>131</v>
      </c>
      <c r="K2300" s="370"/>
      <c r="N2300" s="370"/>
    </row>
    <row r="2301" spans="1:14" s="347" customFormat="1" x14ac:dyDescent="0.25">
      <c r="A2301" s="369">
        <f>+A2300</f>
        <v>44340</v>
      </c>
      <c r="B2301" s="347">
        <f>+MONTH(A2301)</f>
        <v>5</v>
      </c>
      <c r="C2301" s="347">
        <v>1217</v>
      </c>
      <c r="D2301" s="340" t="str">
        <f>VLOOKUP(C2301,Plan!A:B,2,0)</f>
        <v>Otros Valores -Oficina y Transferencias (248)</v>
      </c>
      <c r="E2301" s="341">
        <f>+F2301-G2301</f>
        <v>-30000</v>
      </c>
      <c r="F2301" s="405">
        <v>0</v>
      </c>
      <c r="G2301" s="405">
        <f>+F2300</f>
        <v>30000</v>
      </c>
      <c r="H2301" t="str">
        <f>+H2300</f>
        <v>Luis  E. Domínguez / 248</v>
      </c>
      <c r="I2301" s="403" t="s">
        <v>131</v>
      </c>
      <c r="K2301" s="370"/>
      <c r="N2301" s="370"/>
    </row>
    <row r="2302" spans="1:14" s="347" customFormat="1" x14ac:dyDescent="0.25">
      <c r="A2302" s="369"/>
      <c r="E2302" s="396"/>
      <c r="F2302" s="396"/>
      <c r="G2302" s="396"/>
      <c r="K2302" s="370"/>
      <c r="N2302" s="370"/>
    </row>
    <row r="2303" spans="1:14" s="347" customFormat="1" x14ac:dyDescent="0.25">
      <c r="A2303" s="369">
        <v>44340</v>
      </c>
      <c r="B2303" s="347">
        <f>+MONTH(A2303)</f>
        <v>5</v>
      </c>
      <c r="C2303" s="347">
        <v>115</v>
      </c>
      <c r="D2303" s="340" t="str">
        <f>VLOOKUP(C2303,Plan!A:B,2,0)</f>
        <v>Disponible Cali B.Chile</v>
      </c>
      <c r="E2303" s="341">
        <f>+F2303-G2303</f>
        <v>100000</v>
      </c>
      <c r="F2303" s="405">
        <v>100000</v>
      </c>
      <c r="G2303" s="405">
        <v>0</v>
      </c>
      <c r="H2303" t="s">
        <v>1695</v>
      </c>
      <c r="I2303" s="403" t="s">
        <v>131</v>
      </c>
      <c r="K2303" s="370"/>
      <c r="N2303" s="370"/>
    </row>
    <row r="2304" spans="1:14" s="347" customFormat="1" x14ac:dyDescent="0.25">
      <c r="A2304" s="369">
        <f>+A2303</f>
        <v>44340</v>
      </c>
      <c r="B2304" s="347">
        <f>+MONTH(A2304)</f>
        <v>5</v>
      </c>
      <c r="C2304" s="347">
        <v>3210</v>
      </c>
      <c r="D2304" s="340" t="str">
        <f>VLOOKUP(C2304,Plan!A:B,2,0)</f>
        <v>Donacion Construccion</v>
      </c>
      <c r="E2304" s="341">
        <f>+F2304-G2304</f>
        <v>-100000</v>
      </c>
      <c r="F2304" s="405">
        <v>0</v>
      </c>
      <c r="G2304" s="405">
        <f>+F2303</f>
        <v>100000</v>
      </c>
      <c r="H2304" t="str">
        <f>+H2303</f>
        <v>Ricardo Cruzat Ochagavia / Azul</v>
      </c>
      <c r="I2304" s="403" t="s">
        <v>131</v>
      </c>
      <c r="K2304" s="370"/>
      <c r="N2304" s="370"/>
    </row>
    <row r="2305" spans="1:14" s="347" customFormat="1" x14ac:dyDescent="0.25">
      <c r="A2305" s="369"/>
      <c r="E2305" s="396"/>
      <c r="F2305" s="396"/>
      <c r="G2305" s="396"/>
      <c r="K2305" s="370"/>
      <c r="N2305" s="370"/>
    </row>
    <row r="2306" spans="1:14" s="347" customFormat="1" x14ac:dyDescent="0.25">
      <c r="A2306" s="369">
        <v>44340</v>
      </c>
      <c r="B2306" s="347">
        <f>+MONTH(A2306)</f>
        <v>5</v>
      </c>
      <c r="C2306" s="347">
        <v>115</v>
      </c>
      <c r="D2306" s="340" t="str">
        <f>VLOOKUP(C2306,Plan!A:B,2,0)</f>
        <v>Disponible Cali B.Chile</v>
      </c>
      <c r="E2306" s="341">
        <f>+F2306-G2306</f>
        <v>20000</v>
      </c>
      <c r="F2306" s="405">
        <v>20000</v>
      </c>
      <c r="G2306" s="405">
        <v>0</v>
      </c>
      <c r="H2306" t="s">
        <v>1033</v>
      </c>
      <c r="I2306" s="403" t="s">
        <v>131</v>
      </c>
      <c r="K2306" s="370"/>
      <c r="N2306" s="370"/>
    </row>
    <row r="2307" spans="1:14" s="347" customFormat="1" x14ac:dyDescent="0.25">
      <c r="A2307" s="369">
        <f>+A2306</f>
        <v>44340</v>
      </c>
      <c r="B2307" s="347">
        <f>+MONTH(A2307)</f>
        <v>5</v>
      </c>
      <c r="C2307" s="347">
        <v>1222</v>
      </c>
      <c r="D2307" s="340" t="str">
        <f>VLOOKUP(C2307,Plan!A:B,2,0)</f>
        <v>Otros Valores -Oficina y Transferencias (249)</v>
      </c>
      <c r="E2307" s="341">
        <f>+F2307-G2307</f>
        <v>-20000</v>
      </c>
      <c r="F2307" s="405">
        <v>0</v>
      </c>
      <c r="G2307" s="405">
        <f>+F2306</f>
        <v>20000</v>
      </c>
      <c r="H2307" t="str">
        <f>+H2306</f>
        <v>Verónica Sapag Puelma / 249</v>
      </c>
      <c r="I2307" s="403" t="s">
        <v>131</v>
      </c>
      <c r="K2307" s="370"/>
      <c r="N2307" s="370"/>
    </row>
    <row r="2308" spans="1:14" s="347" customFormat="1" x14ac:dyDescent="0.25">
      <c r="A2308" s="369"/>
      <c r="E2308" s="396"/>
      <c r="F2308" s="396"/>
      <c r="G2308" s="396"/>
      <c r="K2308" s="370"/>
      <c r="N2308" s="370"/>
    </row>
    <row r="2309" spans="1:14" s="347" customFormat="1" x14ac:dyDescent="0.25">
      <c r="A2309" s="369">
        <v>44340</v>
      </c>
      <c r="B2309" s="347">
        <f>+MONTH(A2309)</f>
        <v>5</v>
      </c>
      <c r="C2309" s="347">
        <v>115</v>
      </c>
      <c r="D2309" s="340" t="str">
        <f>VLOOKUP(C2309,Plan!A:B,2,0)</f>
        <v>Disponible Cali B.Chile</v>
      </c>
      <c r="E2309" s="341">
        <f>+F2309-G2309</f>
        <v>20000</v>
      </c>
      <c r="F2309" s="405">
        <v>20000</v>
      </c>
      <c r="G2309" s="405">
        <v>0</v>
      </c>
      <c r="H2309" t="s">
        <v>1007</v>
      </c>
      <c r="I2309" s="403" t="s">
        <v>131</v>
      </c>
      <c r="K2309" s="370"/>
      <c r="N2309" s="370"/>
    </row>
    <row r="2310" spans="1:14" s="347" customFormat="1" x14ac:dyDescent="0.25">
      <c r="A2310" s="369">
        <f>+A2309</f>
        <v>44340</v>
      </c>
      <c r="B2310" s="347">
        <f>+MONTH(A2310)</f>
        <v>5</v>
      </c>
      <c r="C2310" s="347">
        <v>1222</v>
      </c>
      <c r="D2310" s="340" t="str">
        <f>VLOOKUP(C2310,Plan!A:B,2,0)</f>
        <v>Otros Valores -Oficina y Transferencias (249)</v>
      </c>
      <c r="E2310" s="341">
        <f>+F2310-G2310</f>
        <v>-20000</v>
      </c>
      <c r="F2310" s="405">
        <v>0</v>
      </c>
      <c r="G2310" s="405">
        <f>+F2309</f>
        <v>20000</v>
      </c>
      <c r="H2310" t="str">
        <f>+H2309</f>
        <v>Oscar Guarda Barros / 249</v>
      </c>
      <c r="I2310" s="403" t="s">
        <v>131</v>
      </c>
      <c r="K2310" s="370"/>
      <c r="N2310" s="370"/>
    </row>
    <row r="2311" spans="1:14" s="347" customFormat="1" x14ac:dyDescent="0.25">
      <c r="A2311" s="369"/>
      <c r="E2311" s="396"/>
      <c r="F2311" s="396"/>
      <c r="G2311" s="396"/>
      <c r="K2311" s="370"/>
      <c r="N2311" s="370"/>
    </row>
    <row r="2312" spans="1:14" s="347" customFormat="1" x14ac:dyDescent="0.25">
      <c r="A2312" s="369">
        <v>44340</v>
      </c>
      <c r="B2312" s="347">
        <f>+MONTH(A2312)</f>
        <v>5</v>
      </c>
      <c r="C2312" s="347">
        <v>115</v>
      </c>
      <c r="D2312" s="340" t="str">
        <f>VLOOKUP(C2312,Plan!A:B,2,0)</f>
        <v>Disponible Cali B.Chile</v>
      </c>
      <c r="E2312" s="341">
        <f>+F2312-G2312</f>
        <v>1500</v>
      </c>
      <c r="F2312" s="405">
        <v>1500</v>
      </c>
      <c r="G2312" s="405">
        <v>0</v>
      </c>
      <c r="H2312" t="s">
        <v>1010</v>
      </c>
      <c r="I2312" s="403" t="s">
        <v>131</v>
      </c>
      <c r="K2312" s="370"/>
      <c r="N2312" s="370"/>
    </row>
    <row r="2313" spans="1:14" s="347" customFormat="1" x14ac:dyDescent="0.25">
      <c r="A2313" s="369">
        <f>+A2312</f>
        <v>44340</v>
      </c>
      <c r="B2313" s="347">
        <f>+MONTH(A2313)</f>
        <v>5</v>
      </c>
      <c r="C2313" s="347">
        <v>216</v>
      </c>
      <c r="D2313" s="340" t="str">
        <f>VLOOKUP(C2313,Plan!A:B,2,0)</f>
        <v>Cuenta por Pagar a Administración Colectas</v>
      </c>
      <c r="E2313" s="341">
        <f>+F2313-G2313</f>
        <v>-1500</v>
      </c>
      <c r="F2313" s="405">
        <v>0</v>
      </c>
      <c r="G2313" s="405">
        <f>+F2312</f>
        <v>1500</v>
      </c>
      <c r="H2313" t="str">
        <f>+H2312</f>
        <v>Colecta Raimundo Barros</v>
      </c>
      <c r="I2313" s="403" t="s">
        <v>131</v>
      </c>
      <c r="K2313" s="370"/>
      <c r="N2313" s="370"/>
    </row>
    <row r="2314" spans="1:14" s="347" customFormat="1" x14ac:dyDescent="0.25">
      <c r="A2314" s="369"/>
      <c r="E2314" s="396"/>
      <c r="F2314" s="396"/>
      <c r="G2314" s="396"/>
      <c r="K2314" s="370"/>
      <c r="N2314" s="370"/>
    </row>
    <row r="2315" spans="1:14" s="347" customFormat="1" x14ac:dyDescent="0.25">
      <c r="A2315" s="369">
        <v>44340</v>
      </c>
      <c r="B2315" s="347">
        <f>+MONTH(A2315)</f>
        <v>5</v>
      </c>
      <c r="C2315" s="347">
        <v>115</v>
      </c>
      <c r="D2315" s="340" t="str">
        <f>VLOOKUP(C2315,Plan!A:B,2,0)</f>
        <v>Disponible Cali B.Chile</v>
      </c>
      <c r="E2315" s="341">
        <f>+F2315-G2315</f>
        <v>200000</v>
      </c>
      <c r="F2315" s="405">
        <v>200000</v>
      </c>
      <c r="G2315" s="405">
        <v>0</v>
      </c>
      <c r="H2315" t="s">
        <v>1021</v>
      </c>
      <c r="I2315" s="403" t="s">
        <v>131</v>
      </c>
      <c r="K2315" s="370"/>
      <c r="N2315" s="370"/>
    </row>
    <row r="2316" spans="1:14" s="347" customFormat="1" x14ac:dyDescent="0.25">
      <c r="A2316" s="369">
        <f>+A2315</f>
        <v>44340</v>
      </c>
      <c r="B2316" s="347">
        <f>+MONTH(A2316)</f>
        <v>5</v>
      </c>
      <c r="C2316" s="347">
        <v>3210</v>
      </c>
      <c r="D2316" s="340" t="str">
        <f>VLOOKUP(C2316,Plan!A:B,2,0)</f>
        <v>Donacion Construccion</v>
      </c>
      <c r="E2316" s="341">
        <f>+F2316-G2316</f>
        <v>-200000</v>
      </c>
      <c r="F2316" s="405">
        <v>0</v>
      </c>
      <c r="G2316" s="405">
        <f>+F2315</f>
        <v>200000</v>
      </c>
      <c r="H2316" t="str">
        <f>+H2315</f>
        <v>Italo Lubiano Tassara/Azul</v>
      </c>
      <c r="I2316" s="403" t="s">
        <v>131</v>
      </c>
      <c r="K2316" s="370"/>
      <c r="N2316" s="370"/>
    </row>
    <row r="2317" spans="1:14" s="347" customFormat="1" x14ac:dyDescent="0.25">
      <c r="A2317" s="369"/>
      <c r="E2317" s="396"/>
      <c r="F2317" s="396"/>
      <c r="G2317" s="396"/>
      <c r="K2317" s="370"/>
      <c r="N2317" s="370"/>
    </row>
    <row r="2318" spans="1:14" s="347" customFormat="1" x14ac:dyDescent="0.25">
      <c r="A2318" s="369">
        <v>44340</v>
      </c>
      <c r="B2318" s="347">
        <f>+MONTH(A2318)</f>
        <v>5</v>
      </c>
      <c r="C2318" s="347">
        <v>115</v>
      </c>
      <c r="D2318" s="340" t="str">
        <f>VLOOKUP(C2318,Plan!A:B,2,0)</f>
        <v>Disponible Cali B.Chile</v>
      </c>
      <c r="E2318" s="341">
        <f>+F2318-G2318</f>
        <v>10730580</v>
      </c>
      <c r="F2318" s="405">
        <v>10730580</v>
      </c>
      <c r="G2318" s="405">
        <v>0</v>
      </c>
      <c r="H2318" s="155" t="s">
        <v>1741</v>
      </c>
      <c r="I2318" s="403" t="s">
        <v>131</v>
      </c>
      <c r="K2318" s="370"/>
      <c r="N2318" s="370"/>
    </row>
    <row r="2319" spans="1:14" s="347" customFormat="1" x14ac:dyDescent="0.25">
      <c r="A2319" s="369">
        <f>+A2318</f>
        <v>44340</v>
      </c>
      <c r="B2319" s="347">
        <f>+MONTH(A2319)</f>
        <v>5</v>
      </c>
      <c r="C2319" s="347">
        <v>1218</v>
      </c>
      <c r="D2319" s="340" t="str">
        <f>VLOOKUP(C2319,Plan!A:B,2,0)</f>
        <v>Otros Valores Tarjeta de Credito</v>
      </c>
      <c r="E2319" s="341">
        <f>+F2319-G2319</f>
        <v>-10730580</v>
      </c>
      <c r="F2319" s="405">
        <v>0</v>
      </c>
      <c r="G2319" s="405">
        <f>+F2318</f>
        <v>10730580</v>
      </c>
      <c r="H2319" t="str">
        <f>+H2318</f>
        <v>248 y 249 mayo 2021</v>
      </c>
      <c r="I2319" s="403" t="s">
        <v>131</v>
      </c>
      <c r="K2319" s="370"/>
      <c r="N2319" s="370"/>
    </row>
    <row r="2320" spans="1:14" s="347" customFormat="1" x14ac:dyDescent="0.25">
      <c r="A2320" s="369"/>
      <c r="E2320" s="396"/>
      <c r="F2320" s="396"/>
      <c r="G2320" s="396"/>
      <c r="K2320" s="370"/>
      <c r="N2320" s="370"/>
    </row>
    <row r="2321" spans="1:14" s="347" customFormat="1" x14ac:dyDescent="0.25">
      <c r="A2321" s="369">
        <v>44340</v>
      </c>
      <c r="B2321" s="347">
        <f>+MONTH(A2321)</f>
        <v>5</v>
      </c>
      <c r="C2321" s="347">
        <v>115</v>
      </c>
      <c r="D2321" s="340" t="str">
        <f>VLOOKUP(C2321,Plan!A:B,2,0)</f>
        <v>Disponible Cali B.Chile</v>
      </c>
      <c r="E2321" s="341">
        <f>+F2321-G2321</f>
        <v>5000</v>
      </c>
      <c r="F2321" s="405">
        <v>5000</v>
      </c>
      <c r="G2321" s="405">
        <v>0</v>
      </c>
      <c r="H2321" t="s">
        <v>1719</v>
      </c>
      <c r="I2321" s="403" t="s">
        <v>131</v>
      </c>
      <c r="K2321" s="370"/>
      <c r="N2321" s="370"/>
    </row>
    <row r="2322" spans="1:14" s="347" customFormat="1" x14ac:dyDescent="0.25">
      <c r="A2322" s="369">
        <f>+A2321</f>
        <v>44340</v>
      </c>
      <c r="B2322" s="347">
        <f>+MONTH(A2322)</f>
        <v>5</v>
      </c>
      <c r="C2322" s="347">
        <v>1222</v>
      </c>
      <c r="D2322" s="340" t="str">
        <f>VLOOKUP(C2322,Plan!A:B,2,0)</f>
        <v>Otros Valores -Oficina y Transferencias (249)</v>
      </c>
      <c r="E2322" s="341">
        <f>+F2322-G2322</f>
        <v>-5000</v>
      </c>
      <c r="F2322" s="405">
        <v>0</v>
      </c>
      <c r="G2322" s="405">
        <f>+F2321</f>
        <v>5000</v>
      </c>
      <c r="H2322" t="str">
        <f>+H2321</f>
        <v>María Angélica Pérez-Villamil /249</v>
      </c>
      <c r="I2322" s="403" t="s">
        <v>131</v>
      </c>
      <c r="K2322" s="370"/>
      <c r="N2322" s="370"/>
    </row>
    <row r="2323" spans="1:14" s="347" customFormat="1" x14ac:dyDescent="0.25">
      <c r="A2323" s="369"/>
      <c r="E2323" s="396"/>
      <c r="F2323" s="396"/>
      <c r="G2323" s="396"/>
      <c r="K2323" s="370"/>
      <c r="N2323" s="370"/>
    </row>
    <row r="2324" spans="1:14" s="347" customFormat="1" x14ac:dyDescent="0.25">
      <c r="A2324" s="369">
        <v>44341</v>
      </c>
      <c r="B2324" s="347">
        <f>+MONTH(A2324)</f>
        <v>5</v>
      </c>
      <c r="C2324" s="347">
        <v>115</v>
      </c>
      <c r="D2324" s="340" t="str">
        <f>VLOOKUP(C2324,Plan!A:B,2,0)</f>
        <v>Disponible Cali B.Chile</v>
      </c>
      <c r="E2324" s="341">
        <f>+F2324-G2324</f>
        <v>10000</v>
      </c>
      <c r="F2324" s="405">
        <v>10000</v>
      </c>
      <c r="G2324" s="405">
        <v>0</v>
      </c>
      <c r="H2324" t="s">
        <v>1036</v>
      </c>
      <c r="I2324" s="403" t="s">
        <v>131</v>
      </c>
      <c r="K2324" s="370"/>
      <c r="N2324" s="370"/>
    </row>
    <row r="2325" spans="1:14" s="347" customFormat="1" x14ac:dyDescent="0.25">
      <c r="A2325" s="369">
        <f>+A2324</f>
        <v>44341</v>
      </c>
      <c r="B2325" s="347">
        <f>+MONTH(A2325)</f>
        <v>5</v>
      </c>
      <c r="C2325" s="347">
        <v>3210</v>
      </c>
      <c r="D2325" s="340" t="str">
        <f>VLOOKUP(C2325,Plan!A:B,2,0)</f>
        <v>Donacion Construccion</v>
      </c>
      <c r="E2325" s="341">
        <f>+F2325-G2325</f>
        <v>-10000</v>
      </c>
      <c r="F2325" s="405">
        <v>0</v>
      </c>
      <c r="G2325" s="405">
        <f>+F2324</f>
        <v>10000</v>
      </c>
      <c r="H2325" t="str">
        <f>+H2324</f>
        <v>Francisco Sanhueza /Azul</v>
      </c>
      <c r="I2325" s="403" t="s">
        <v>131</v>
      </c>
      <c r="K2325" s="370"/>
      <c r="N2325" s="370"/>
    </row>
    <row r="2326" spans="1:14" s="347" customFormat="1" x14ac:dyDescent="0.25">
      <c r="A2326" s="369"/>
      <c r="E2326" s="396"/>
      <c r="F2326" s="396"/>
      <c r="G2326" s="396"/>
      <c r="K2326" s="370"/>
      <c r="N2326" s="370"/>
    </row>
    <row r="2327" spans="1:14" s="347" customFormat="1" x14ac:dyDescent="0.25">
      <c r="A2327" s="369">
        <v>44341</v>
      </c>
      <c r="B2327" s="347">
        <f>+MONTH(A2327)</f>
        <v>5</v>
      </c>
      <c r="C2327" s="347">
        <v>115</v>
      </c>
      <c r="D2327" s="340" t="str">
        <f>VLOOKUP(C2327,Plan!A:B,2,0)</f>
        <v>Disponible Cali B.Chile</v>
      </c>
      <c r="E2327" s="341">
        <f>+F2327-G2327</f>
        <v>10000</v>
      </c>
      <c r="F2327" s="405">
        <v>10000</v>
      </c>
      <c r="G2327" s="405">
        <v>0</v>
      </c>
      <c r="H2327" t="s">
        <v>1093</v>
      </c>
      <c r="I2327" s="403" t="s">
        <v>131</v>
      </c>
      <c r="K2327" s="370"/>
      <c r="N2327" s="370"/>
    </row>
    <row r="2328" spans="1:14" s="347" customFormat="1" x14ac:dyDescent="0.25">
      <c r="A2328" s="369">
        <f>+A2327</f>
        <v>44341</v>
      </c>
      <c r="B2328" s="347">
        <f>+MONTH(A2328)</f>
        <v>5</v>
      </c>
      <c r="C2328" s="347">
        <v>1222</v>
      </c>
      <c r="D2328" s="340" t="str">
        <f>VLOOKUP(C2328,Plan!A:B,2,0)</f>
        <v>Otros Valores -Oficina y Transferencias (249)</v>
      </c>
      <c r="E2328" s="341">
        <f>+F2328-G2328</f>
        <v>-10000</v>
      </c>
      <c r="F2328" s="405">
        <v>0</v>
      </c>
      <c r="G2328" s="405">
        <f>+F2327</f>
        <v>10000</v>
      </c>
      <c r="H2328" t="str">
        <f>+H2327</f>
        <v>José Miguel Pérez de Castro Z./249</v>
      </c>
      <c r="I2328" s="403" t="s">
        <v>131</v>
      </c>
      <c r="K2328" s="370"/>
      <c r="N2328" s="370"/>
    </row>
    <row r="2329" spans="1:14" s="347" customFormat="1" x14ac:dyDescent="0.25">
      <c r="A2329" s="369"/>
      <c r="E2329" s="396"/>
      <c r="F2329" s="396"/>
      <c r="G2329" s="396"/>
      <c r="K2329" s="370"/>
      <c r="N2329" s="370"/>
    </row>
    <row r="2330" spans="1:14" s="347" customFormat="1" x14ac:dyDescent="0.25">
      <c r="A2330" s="369">
        <v>44341</v>
      </c>
      <c r="B2330" s="347">
        <f>+MONTH(A2330)</f>
        <v>5</v>
      </c>
      <c r="C2330" s="347">
        <v>115</v>
      </c>
      <c r="D2330" s="340" t="str">
        <f>VLOOKUP(C2330,Plan!A:B,2,0)</f>
        <v>Disponible Cali B.Chile</v>
      </c>
      <c r="E2330" s="341">
        <f>+F2330-G2330</f>
        <v>24000</v>
      </c>
      <c r="F2330" s="405">
        <v>24000</v>
      </c>
      <c r="G2330" s="405">
        <v>0</v>
      </c>
      <c r="H2330" t="s">
        <v>1053</v>
      </c>
      <c r="I2330" s="403" t="s">
        <v>131</v>
      </c>
      <c r="K2330" s="370"/>
      <c r="N2330" s="370"/>
    </row>
    <row r="2331" spans="1:14" s="347" customFormat="1" x14ac:dyDescent="0.25">
      <c r="A2331" s="369">
        <f>+A2330</f>
        <v>44341</v>
      </c>
      <c r="B2331" s="347">
        <f>+MONTH(A2331)</f>
        <v>5</v>
      </c>
      <c r="C2331" s="347">
        <v>1130</v>
      </c>
      <c r="D2331" s="340" t="str">
        <f>VLOOKUP(C2331,Plan!A:B,2,0)</f>
        <v>Disponible Ch. Fecha</v>
      </c>
      <c r="E2331" s="341">
        <f>+F2331-G2331</f>
        <v>-24000</v>
      </c>
      <c r="F2331" s="405">
        <v>0</v>
      </c>
      <c r="G2331" s="405">
        <f>+F2330</f>
        <v>24000</v>
      </c>
      <c r="H2331" t="str">
        <f>+H2330</f>
        <v>Rec.A.Sepulveda</v>
      </c>
      <c r="I2331" s="403" t="s">
        <v>131</v>
      </c>
      <c r="K2331" s="370"/>
      <c r="N2331" s="370"/>
    </row>
    <row r="2332" spans="1:14" s="347" customFormat="1" x14ac:dyDescent="0.25">
      <c r="A2332" s="369"/>
      <c r="E2332" s="396"/>
      <c r="F2332" s="396"/>
      <c r="G2332" s="396"/>
      <c r="K2332" s="370"/>
      <c r="N2332" s="370"/>
    </row>
    <row r="2333" spans="1:14" s="347" customFormat="1" x14ac:dyDescent="0.25">
      <c r="A2333" s="369">
        <v>44342</v>
      </c>
      <c r="B2333" s="347">
        <f>+MONTH(A2333)</f>
        <v>5</v>
      </c>
      <c r="C2333" s="347">
        <v>115</v>
      </c>
      <c r="D2333" s="340" t="str">
        <f>VLOOKUP(C2333,Plan!A:B,2,0)</f>
        <v>Disponible Cali B.Chile</v>
      </c>
      <c r="E2333" s="341">
        <f>+F2333-G2333</f>
        <v>400000</v>
      </c>
      <c r="F2333" s="405">
        <v>400000</v>
      </c>
      <c r="G2333" s="405">
        <v>0</v>
      </c>
      <c r="H2333" t="s">
        <v>1041</v>
      </c>
      <c r="I2333" s="403" t="s">
        <v>131</v>
      </c>
      <c r="K2333" s="370"/>
      <c r="N2333" s="370"/>
    </row>
    <row r="2334" spans="1:14" s="347" customFormat="1" x14ac:dyDescent="0.25">
      <c r="A2334" s="369">
        <f>+A2333</f>
        <v>44342</v>
      </c>
      <c r="B2334" s="347">
        <f>+MONTH(A2334)</f>
        <v>5</v>
      </c>
      <c r="C2334" s="347">
        <v>3210</v>
      </c>
      <c r="D2334" s="340" t="str">
        <f>VLOOKUP(C2334,Plan!A:B,2,0)</f>
        <v>Donacion Construccion</v>
      </c>
      <c r="E2334" s="341">
        <f>+F2334-G2334</f>
        <v>-400000</v>
      </c>
      <c r="F2334" s="405">
        <v>0</v>
      </c>
      <c r="G2334" s="405">
        <f>+F2333</f>
        <v>400000</v>
      </c>
      <c r="H2334" t="str">
        <f>+H2333</f>
        <v>Joaquín Izcue Elgart / Azul</v>
      </c>
      <c r="I2334" s="403" t="s">
        <v>131</v>
      </c>
      <c r="K2334" s="370"/>
      <c r="N2334" s="370"/>
    </row>
    <row r="2335" spans="1:14" s="347" customFormat="1" x14ac:dyDescent="0.25">
      <c r="A2335" s="369"/>
      <c r="E2335" s="396"/>
      <c r="F2335" s="396"/>
      <c r="G2335" s="396"/>
      <c r="K2335" s="370"/>
      <c r="N2335" s="370"/>
    </row>
    <row r="2336" spans="1:14" s="347" customFormat="1" x14ac:dyDescent="0.25">
      <c r="A2336" s="369">
        <v>44342</v>
      </c>
      <c r="B2336" s="347">
        <f>+MONTH(A2336)</f>
        <v>5</v>
      </c>
      <c r="C2336" s="347">
        <v>115</v>
      </c>
      <c r="D2336" s="340" t="str">
        <f>VLOOKUP(C2336,Plan!A:B,2,0)</f>
        <v>Disponible Cali B.Chile</v>
      </c>
      <c r="E2336" s="341">
        <f>+F2336-G2336</f>
        <v>30000</v>
      </c>
      <c r="F2336" s="405">
        <v>30000</v>
      </c>
      <c r="G2336" s="405">
        <v>0</v>
      </c>
      <c r="H2336" t="s">
        <v>1082</v>
      </c>
      <c r="I2336" s="403" t="s">
        <v>131</v>
      </c>
      <c r="K2336" s="370"/>
      <c r="N2336" s="370"/>
    </row>
    <row r="2337" spans="1:14" s="347" customFormat="1" x14ac:dyDescent="0.25">
      <c r="A2337" s="369">
        <f>+A2336</f>
        <v>44342</v>
      </c>
      <c r="B2337" s="347">
        <f>+MONTH(A2337)</f>
        <v>5</v>
      </c>
      <c r="C2337" s="347">
        <v>1222</v>
      </c>
      <c r="D2337" s="340" t="str">
        <f>VLOOKUP(C2337,Plan!A:B,2,0)</f>
        <v>Otros Valores -Oficina y Transferencias (249)</v>
      </c>
      <c r="E2337" s="341">
        <f>+F2337-G2337</f>
        <v>-30000</v>
      </c>
      <c r="F2337" s="405">
        <v>0</v>
      </c>
      <c r="G2337" s="405">
        <f>+F2336</f>
        <v>30000</v>
      </c>
      <c r="H2337" t="str">
        <f>+H2336</f>
        <v>Carmen Gloria Ovalle de la Cuadra/ 249</v>
      </c>
      <c r="I2337" s="403" t="s">
        <v>131</v>
      </c>
      <c r="K2337" s="370"/>
      <c r="N2337" s="370"/>
    </row>
    <row r="2338" spans="1:14" s="347" customFormat="1" x14ac:dyDescent="0.25">
      <c r="A2338" s="369"/>
      <c r="E2338" s="396"/>
      <c r="F2338" s="396"/>
      <c r="G2338" s="396"/>
      <c r="K2338" s="370"/>
      <c r="N2338" s="370"/>
    </row>
    <row r="2339" spans="1:14" s="347" customFormat="1" x14ac:dyDescent="0.25">
      <c r="A2339" s="369">
        <v>44343</v>
      </c>
      <c r="B2339" s="347">
        <f>+MONTH(A2339)</f>
        <v>5</v>
      </c>
      <c r="C2339" s="347">
        <v>115</v>
      </c>
      <c r="D2339" s="340" t="str">
        <f>VLOOKUP(C2339,Plan!A:B,2,0)</f>
        <v>Disponible Cali B.Chile</v>
      </c>
      <c r="E2339" s="341">
        <f>+F2339-G2339</f>
        <v>2212959</v>
      </c>
      <c r="F2339" s="405">
        <v>2212959</v>
      </c>
      <c r="G2339" s="405">
        <v>0</v>
      </c>
      <c r="H2339" s="469" t="s">
        <v>1742</v>
      </c>
      <c r="I2339" s="403" t="s">
        <v>131</v>
      </c>
      <c r="K2339" s="370"/>
      <c r="N2339" s="370"/>
    </row>
    <row r="2340" spans="1:14" s="347" customFormat="1" x14ac:dyDescent="0.25">
      <c r="A2340" s="369">
        <f>+A2339</f>
        <v>44343</v>
      </c>
      <c r="B2340" s="347">
        <f>+MONTH(A2340)</f>
        <v>5</v>
      </c>
      <c r="C2340" s="347">
        <v>1219</v>
      </c>
      <c r="D2340" s="340" t="str">
        <f>VLOOKUP(C2340,Plan!A:B,2,0)</f>
        <v>Otros Valores Arzobispado (248)</v>
      </c>
      <c r="E2340" s="341">
        <f>+F2340-G2340</f>
        <v>-2212959</v>
      </c>
      <c r="F2340" s="405">
        <v>0</v>
      </c>
      <c r="G2340" s="405">
        <f>+F2339</f>
        <v>2212959</v>
      </c>
      <c r="H2340" t="str">
        <f>+H2339</f>
        <v>Arzobispado de Stgo Abril / 248</v>
      </c>
      <c r="I2340" s="403" t="s">
        <v>131</v>
      </c>
      <c r="K2340" s="370"/>
      <c r="N2340" s="370"/>
    </row>
    <row r="2341" spans="1:14" s="347" customFormat="1" x14ac:dyDescent="0.25">
      <c r="A2341" s="369"/>
      <c r="E2341" s="396"/>
      <c r="F2341" s="396"/>
      <c r="G2341" s="396"/>
      <c r="K2341" s="370"/>
      <c r="N2341" s="370"/>
    </row>
    <row r="2342" spans="1:14" s="347" customFormat="1" x14ac:dyDescent="0.25">
      <c r="A2342" s="369">
        <v>44343</v>
      </c>
      <c r="B2342" s="347">
        <f>+MONTH(A2342)</f>
        <v>5</v>
      </c>
      <c r="C2342" s="347">
        <v>115</v>
      </c>
      <c r="D2342" s="340" t="str">
        <f>VLOOKUP(C2342,Plan!A:B,2,0)</f>
        <v>Disponible Cali B.Chile</v>
      </c>
      <c r="E2342" s="341">
        <f>+F2342-G2342</f>
        <v>1940133</v>
      </c>
      <c r="F2342" s="405">
        <v>1940133</v>
      </c>
      <c r="G2342" s="405">
        <v>0</v>
      </c>
      <c r="H2342" s="469" t="s">
        <v>1743</v>
      </c>
      <c r="I2342" s="403" t="s">
        <v>131</v>
      </c>
      <c r="K2342" s="370"/>
      <c r="N2342" s="370"/>
    </row>
    <row r="2343" spans="1:14" s="347" customFormat="1" x14ac:dyDescent="0.25">
      <c r="A2343" s="369">
        <f>+A2342</f>
        <v>44343</v>
      </c>
      <c r="B2343" s="347">
        <f>+MONTH(A2343)</f>
        <v>5</v>
      </c>
      <c r="C2343" s="347">
        <v>1220</v>
      </c>
      <c r="D2343" s="340" t="str">
        <f>VLOOKUP(C2343,Plan!A:B,2,0)</f>
        <v>Otros Valores Arzobispado (249)</v>
      </c>
      <c r="E2343" s="341">
        <f>+F2343-G2343</f>
        <v>-1940133</v>
      </c>
      <c r="F2343" s="405">
        <v>0</v>
      </c>
      <c r="G2343" s="405">
        <f>+F2342</f>
        <v>1940133</v>
      </c>
      <c r="H2343" t="str">
        <f>+H2342</f>
        <v>Arzobispado de Stgo Abril / 249</v>
      </c>
      <c r="I2343" s="403" t="s">
        <v>131</v>
      </c>
      <c r="K2343" s="370"/>
      <c r="N2343" s="370"/>
    </row>
    <row r="2344" spans="1:14" s="347" customFormat="1" x14ac:dyDescent="0.25">
      <c r="A2344" s="369"/>
      <c r="E2344" s="396"/>
      <c r="F2344" s="396"/>
      <c r="G2344" s="396"/>
      <c r="K2344" s="370"/>
      <c r="N2344" s="370"/>
    </row>
    <row r="2345" spans="1:14" s="347" customFormat="1" x14ac:dyDescent="0.25">
      <c r="A2345" s="339">
        <v>44344</v>
      </c>
      <c r="B2345" s="347">
        <f>+MONTH(A2345)</f>
        <v>5</v>
      </c>
      <c r="C2345" s="338">
        <v>4170</v>
      </c>
      <c r="D2345" s="340" t="str">
        <f>VLOOKUP(C2345,[2]Plan!A$1:B$65541,2,0)</f>
        <v>Cali otros</v>
      </c>
      <c r="E2345" s="341">
        <f>+F2345-G2345</f>
        <v>169492</v>
      </c>
      <c r="F2345" s="346">
        <v>169492</v>
      </c>
      <c r="G2345" s="346">
        <v>0</v>
      </c>
      <c r="H2345" s="343" t="s">
        <v>1807</v>
      </c>
      <c r="I2345" s="340" t="s">
        <v>131</v>
      </c>
      <c r="K2345" s="370"/>
      <c r="N2345" s="370"/>
    </row>
    <row r="2346" spans="1:14" s="347" customFormat="1" x14ac:dyDescent="0.25">
      <c r="A2346" s="339">
        <f>+A2345</f>
        <v>44344</v>
      </c>
      <c r="B2346" s="340">
        <f>+B2345</f>
        <v>5</v>
      </c>
      <c r="C2346" s="338">
        <v>204</v>
      </c>
      <c r="D2346" s="340" t="str">
        <f>VLOOKUP(C2346,[2]Plan!A$1:B$65541,2,0)</f>
        <v>Retención Honorarios Cali</v>
      </c>
      <c r="E2346" s="341">
        <f>+F2346-G2346</f>
        <v>-19492</v>
      </c>
      <c r="F2346" s="346">
        <v>0</v>
      </c>
      <c r="G2346" s="346">
        <v>19492</v>
      </c>
      <c r="H2346" s="338" t="str">
        <f>+H2345</f>
        <v>BE-315 G. de la Vega Abril</v>
      </c>
      <c r="I2346" s="401" t="str">
        <f>+I2345</f>
        <v>Cali</v>
      </c>
      <c r="K2346" s="370"/>
      <c r="N2346" s="370"/>
    </row>
    <row r="2347" spans="1:14" s="347" customFormat="1" x14ac:dyDescent="0.25">
      <c r="A2347" s="339">
        <f>+A2345</f>
        <v>44344</v>
      </c>
      <c r="B2347" s="340">
        <f>+B2345</f>
        <v>5</v>
      </c>
      <c r="C2347" s="338">
        <v>115</v>
      </c>
      <c r="D2347" s="340" t="str">
        <f>VLOOKUP(C2347,[2]Plan!A$1:B$65541,2,0)</f>
        <v>Disponible Cali</v>
      </c>
      <c r="E2347" s="341">
        <f>+F2347-G2347</f>
        <v>-150000</v>
      </c>
      <c r="F2347" s="346">
        <v>0</v>
      </c>
      <c r="G2347" s="346">
        <v>150000</v>
      </c>
      <c r="H2347" s="338" t="str">
        <f>+H2345</f>
        <v>BE-315 G. de la Vega Abril</v>
      </c>
      <c r="I2347" s="401" t="str">
        <f>+I2345</f>
        <v>Cali</v>
      </c>
      <c r="K2347" s="370"/>
      <c r="N2347" s="370"/>
    </row>
    <row r="2348" spans="1:14" s="347" customFormat="1" x14ac:dyDescent="0.25">
      <c r="A2348" s="369"/>
      <c r="E2348" s="396"/>
      <c r="F2348" s="396"/>
      <c r="G2348" s="396"/>
      <c r="K2348" s="370"/>
      <c r="N2348" s="370"/>
    </row>
    <row r="2349" spans="1:14" s="347" customFormat="1" x14ac:dyDescent="0.25">
      <c r="A2349" s="369">
        <v>44344</v>
      </c>
      <c r="B2349" s="347">
        <f>+MONTH(A2349)</f>
        <v>5</v>
      </c>
      <c r="C2349" s="347">
        <v>4171</v>
      </c>
      <c r="D2349" s="340" t="str">
        <f>VLOOKUP(C2349,Plan!A:B,2,0)</f>
        <v xml:space="preserve">        Campaña 1%</v>
      </c>
      <c r="E2349" s="341">
        <f>+F2349-G2349</f>
        <v>297500</v>
      </c>
      <c r="F2349" s="405">
        <v>297500</v>
      </c>
      <c r="G2349" s="405">
        <v>0</v>
      </c>
      <c r="H2349" t="s">
        <v>1744</v>
      </c>
      <c r="I2349" s="403" t="s">
        <v>131</v>
      </c>
      <c r="K2349" s="370"/>
      <c r="N2349" s="370"/>
    </row>
    <row r="2350" spans="1:14" s="347" customFormat="1" x14ac:dyDescent="0.25">
      <c r="A2350" s="369">
        <f>+A2349</f>
        <v>44344</v>
      </c>
      <c r="B2350" s="347">
        <f>+MONTH(A2350)</f>
        <v>5</v>
      </c>
      <c r="C2350" s="347">
        <v>115</v>
      </c>
      <c r="D2350" s="340" t="str">
        <f>VLOOKUP(C2350,Plan!A:B,2,0)</f>
        <v>Disponible Cali B.Chile</v>
      </c>
      <c r="E2350" s="341">
        <f>+F2350-G2350</f>
        <v>-297500</v>
      </c>
      <c r="F2350" s="405">
        <v>0</v>
      </c>
      <c r="G2350" s="405">
        <f>+F2349</f>
        <v>297500</v>
      </c>
      <c r="H2350" t="str">
        <f>+H2349</f>
        <v>F.315 Mandatos Rojos (2000)</v>
      </c>
      <c r="I2350" s="403" t="s">
        <v>131</v>
      </c>
      <c r="K2350" s="370"/>
      <c r="N2350" s="370"/>
    </row>
    <row r="2351" spans="1:14" s="347" customFormat="1" x14ac:dyDescent="0.25">
      <c r="A2351" s="369"/>
      <c r="E2351" s="396"/>
      <c r="F2351" s="396"/>
      <c r="G2351" s="396"/>
      <c r="K2351" s="370"/>
      <c r="N2351" s="370"/>
    </row>
    <row r="2352" spans="1:14" s="347" customFormat="1" x14ac:dyDescent="0.25">
      <c r="A2352" s="369">
        <v>44344</v>
      </c>
      <c r="B2352" s="347">
        <f>+MONTH(A2352)</f>
        <v>5</v>
      </c>
      <c r="C2352" s="347">
        <v>115</v>
      </c>
      <c r="D2352" s="340" t="str">
        <f>VLOOKUP(C2352,Plan!A:B,2,0)</f>
        <v>Disponible Cali B.Chile</v>
      </c>
      <c r="E2352" s="341">
        <f>+F2352-G2352</f>
        <v>73000</v>
      </c>
      <c r="F2352" s="405">
        <v>73000</v>
      </c>
      <c r="G2352" s="405">
        <v>0</v>
      </c>
      <c r="H2352" t="s">
        <v>1050</v>
      </c>
      <c r="I2352" s="403" t="s">
        <v>131</v>
      </c>
      <c r="K2352" s="370"/>
      <c r="N2352" s="370"/>
    </row>
    <row r="2353" spans="1:14" s="347" customFormat="1" x14ac:dyDescent="0.25">
      <c r="A2353" s="369">
        <f>+A2352</f>
        <v>44344</v>
      </c>
      <c r="B2353" s="347">
        <f>+MONTH(A2353)</f>
        <v>5</v>
      </c>
      <c r="C2353" s="347">
        <v>3210</v>
      </c>
      <c r="D2353" s="340" t="str">
        <f>VLOOKUP(C2353,Plan!A:B,2,0)</f>
        <v>Donacion Construccion</v>
      </c>
      <c r="E2353" s="341">
        <f>+F2353-G2353</f>
        <v>-73000</v>
      </c>
      <c r="F2353" s="405">
        <v>0</v>
      </c>
      <c r="G2353" s="405">
        <f>+F2352</f>
        <v>73000</v>
      </c>
      <c r="H2353" t="str">
        <f>+H2352</f>
        <v>Matías Silva Olmos / Azul</v>
      </c>
      <c r="I2353" s="403" t="s">
        <v>131</v>
      </c>
      <c r="K2353" s="370"/>
      <c r="N2353" s="370"/>
    </row>
    <row r="2354" spans="1:14" s="347" customFormat="1" x14ac:dyDescent="0.25">
      <c r="A2354" s="369"/>
      <c r="E2354" s="396"/>
      <c r="F2354" s="396"/>
      <c r="G2354" s="396"/>
      <c r="K2354" s="370"/>
      <c r="N2354" s="370"/>
    </row>
    <row r="2355" spans="1:14" s="347" customFormat="1" x14ac:dyDescent="0.25">
      <c r="A2355" s="369">
        <v>44344</v>
      </c>
      <c r="B2355" s="347">
        <f>+MONTH(A2355)</f>
        <v>5</v>
      </c>
      <c r="C2355" s="347">
        <v>115</v>
      </c>
      <c r="D2355" s="340" t="str">
        <f>VLOOKUP(C2355,Plan!A:B,2,0)</f>
        <v>Disponible Cali B.Chile</v>
      </c>
      <c r="E2355" s="341">
        <f>+F2355-G2355</f>
        <v>10000</v>
      </c>
      <c r="F2355" s="405">
        <v>10000</v>
      </c>
      <c r="G2355" s="405">
        <v>0</v>
      </c>
      <c r="H2355" t="s">
        <v>1045</v>
      </c>
      <c r="I2355" s="403" t="s">
        <v>131</v>
      </c>
      <c r="K2355" s="370"/>
      <c r="N2355" s="370"/>
    </row>
    <row r="2356" spans="1:14" s="347" customFormat="1" x14ac:dyDescent="0.25">
      <c r="A2356" s="369">
        <f>+A2355</f>
        <v>44344</v>
      </c>
      <c r="B2356" s="347">
        <f>+MONTH(A2356)</f>
        <v>5</v>
      </c>
      <c r="C2356" s="347">
        <v>1222</v>
      </c>
      <c r="D2356" s="340" t="str">
        <f>VLOOKUP(C2356,Plan!A:B,2,0)</f>
        <v>Otros Valores -Oficina y Transferencias (249)</v>
      </c>
      <c r="E2356" s="341">
        <f>+F2356-G2356</f>
        <v>-10000</v>
      </c>
      <c r="F2356" s="405">
        <v>0</v>
      </c>
      <c r="G2356" s="405">
        <f>+F2355</f>
        <v>10000</v>
      </c>
      <c r="H2356" t="str">
        <f>+H2355</f>
        <v>Isabel Margarita Guarda Larrañaga/249</v>
      </c>
      <c r="I2356" s="403" t="s">
        <v>131</v>
      </c>
      <c r="K2356" s="370"/>
      <c r="N2356" s="370"/>
    </row>
    <row r="2357" spans="1:14" s="347" customFormat="1" x14ac:dyDescent="0.25">
      <c r="A2357" s="369"/>
      <c r="E2357" s="396"/>
      <c r="F2357" s="396"/>
      <c r="G2357" s="396"/>
      <c r="K2357" s="370"/>
      <c r="N2357" s="370"/>
    </row>
    <row r="2358" spans="1:14" s="347" customFormat="1" x14ac:dyDescent="0.25">
      <c r="A2358" s="369">
        <v>44344</v>
      </c>
      <c r="B2358" s="347">
        <f>+MONTH(A2358)</f>
        <v>5</v>
      </c>
      <c r="C2358" s="347">
        <v>115</v>
      </c>
      <c r="D2358" s="340" t="str">
        <f>VLOOKUP(C2358,Plan!A:B,2,0)</f>
        <v>Disponible Cali B.Chile</v>
      </c>
      <c r="E2358" s="341">
        <f>+F2358-G2358</f>
        <v>20000</v>
      </c>
      <c r="F2358" s="405">
        <v>20000</v>
      </c>
      <c r="G2358" s="405">
        <v>0</v>
      </c>
      <c r="H2358" t="s">
        <v>1046</v>
      </c>
      <c r="I2358" s="403" t="s">
        <v>131</v>
      </c>
      <c r="K2358" s="370"/>
      <c r="N2358" s="370"/>
    </row>
    <row r="2359" spans="1:14" s="347" customFormat="1" x14ac:dyDescent="0.25">
      <c r="A2359" s="369">
        <f>+A2358</f>
        <v>44344</v>
      </c>
      <c r="B2359" s="347">
        <f>+MONTH(A2359)</f>
        <v>5</v>
      </c>
      <c r="C2359" s="347">
        <v>216</v>
      </c>
      <c r="D2359" s="340" t="str">
        <f>VLOOKUP(C2359,Plan!A:B,2,0)</f>
        <v>Cuenta por Pagar a Administración Colectas</v>
      </c>
      <c r="E2359" s="341">
        <f>+F2359-G2359</f>
        <v>-20000</v>
      </c>
      <c r="F2359" s="405">
        <v>0</v>
      </c>
      <c r="G2359" s="405">
        <f>+F2358</f>
        <v>20000</v>
      </c>
      <c r="H2359" t="str">
        <f>+H2358</f>
        <v>Colecta Jorge Claude</v>
      </c>
      <c r="I2359" s="403" t="s">
        <v>131</v>
      </c>
      <c r="K2359" s="370"/>
      <c r="N2359" s="370"/>
    </row>
    <row r="2360" spans="1:14" s="347" customFormat="1" x14ac:dyDescent="0.25">
      <c r="A2360" s="369"/>
      <c r="E2360" s="396"/>
      <c r="F2360" s="396"/>
      <c r="G2360" s="396"/>
      <c r="K2360" s="370"/>
      <c r="N2360" s="370"/>
    </row>
    <row r="2361" spans="1:14" s="347" customFormat="1" x14ac:dyDescent="0.25">
      <c r="A2361" s="369">
        <v>44344</v>
      </c>
      <c r="B2361" s="347">
        <f>+MONTH(A2361)</f>
        <v>5</v>
      </c>
      <c r="C2361" s="347">
        <v>115</v>
      </c>
      <c r="D2361" s="340" t="str">
        <f>VLOOKUP(C2361,Plan!A:B,2,0)</f>
        <v>Disponible Cali B.Chile</v>
      </c>
      <c r="E2361" s="341">
        <f>+F2361-G2361</f>
        <v>125000</v>
      </c>
      <c r="F2361" s="405">
        <v>125000</v>
      </c>
      <c r="G2361" s="405">
        <v>0</v>
      </c>
      <c r="H2361" t="s">
        <v>967</v>
      </c>
      <c r="I2361" s="403" t="s">
        <v>131</v>
      </c>
      <c r="K2361" s="370"/>
      <c r="N2361" s="370"/>
    </row>
    <row r="2362" spans="1:14" s="347" customFormat="1" x14ac:dyDescent="0.25">
      <c r="A2362" s="369">
        <f>+A2361</f>
        <v>44344</v>
      </c>
      <c r="B2362" s="347">
        <f>+MONTH(A2362)</f>
        <v>5</v>
      </c>
      <c r="C2362" s="347">
        <v>3210</v>
      </c>
      <c r="D2362" s="340" t="str">
        <f>VLOOKUP(C2362,Plan!A:B,2,0)</f>
        <v>Donacion Construccion</v>
      </c>
      <c r="E2362" s="341">
        <f>+F2362-G2362</f>
        <v>-125000</v>
      </c>
      <c r="F2362" s="405">
        <v>0</v>
      </c>
      <c r="G2362" s="405">
        <f>+F2361</f>
        <v>125000</v>
      </c>
      <c r="H2362" t="str">
        <f>+H2361</f>
        <v>Henry Comber Sigall / Azul</v>
      </c>
      <c r="I2362" s="403" t="s">
        <v>131</v>
      </c>
      <c r="K2362" s="370"/>
      <c r="N2362" s="370"/>
    </row>
    <row r="2363" spans="1:14" s="347" customFormat="1" x14ac:dyDescent="0.25">
      <c r="A2363" s="369"/>
      <c r="E2363" s="396"/>
      <c r="F2363" s="396"/>
      <c r="G2363" s="396"/>
      <c r="K2363" s="370"/>
      <c r="N2363" s="370"/>
    </row>
    <row r="2364" spans="1:14" s="347" customFormat="1" x14ac:dyDescent="0.25">
      <c r="A2364" s="369">
        <v>44344</v>
      </c>
      <c r="B2364" s="347">
        <f>+MONTH(A2364)</f>
        <v>5</v>
      </c>
      <c r="C2364" s="347">
        <v>115</v>
      </c>
      <c r="D2364" s="340" t="str">
        <f>VLOOKUP(C2364,Plan!A:B,2,0)</f>
        <v>Disponible Cali B.Chile</v>
      </c>
      <c r="E2364" s="341">
        <f>+F2364-G2364</f>
        <v>25000</v>
      </c>
      <c r="F2364" s="405">
        <v>25000</v>
      </c>
      <c r="G2364" s="405">
        <v>0</v>
      </c>
      <c r="H2364" t="s">
        <v>969</v>
      </c>
      <c r="I2364" s="403" t="s">
        <v>131</v>
      </c>
      <c r="K2364" s="370"/>
      <c r="N2364" s="370"/>
    </row>
    <row r="2365" spans="1:14" s="347" customFormat="1" x14ac:dyDescent="0.25">
      <c r="A2365" s="369">
        <f>+A2364</f>
        <v>44344</v>
      </c>
      <c r="B2365" s="347">
        <f>+MONTH(A2365)</f>
        <v>5</v>
      </c>
      <c r="C2365" s="347">
        <v>1217</v>
      </c>
      <c r="D2365" s="340" t="str">
        <f>VLOOKUP(C2365,Plan!A:B,2,0)</f>
        <v>Otros Valores -Oficina y Transferencias (248)</v>
      </c>
      <c r="E2365" s="341">
        <f>+F2365-G2365</f>
        <v>-25000</v>
      </c>
      <c r="F2365" s="405">
        <v>0</v>
      </c>
      <c r="G2365" s="405">
        <f>+F2364</f>
        <v>25000</v>
      </c>
      <c r="H2365" t="str">
        <f>+H2364</f>
        <v>José L. Barros / 248</v>
      </c>
      <c r="I2365" s="403" t="s">
        <v>131</v>
      </c>
      <c r="K2365" s="370"/>
      <c r="N2365" s="370"/>
    </row>
    <row r="2366" spans="1:14" s="347" customFormat="1" x14ac:dyDescent="0.25">
      <c r="K2366" s="370"/>
      <c r="N2366" s="370"/>
    </row>
    <row r="2367" spans="1:14" s="347" customFormat="1" x14ac:dyDescent="0.25">
      <c r="A2367" s="369">
        <v>44347</v>
      </c>
      <c r="B2367" s="347">
        <f>+MONTH(A2367)</f>
        <v>5</v>
      </c>
      <c r="C2367" s="347">
        <v>115</v>
      </c>
      <c r="D2367" s="340" t="str">
        <f>VLOOKUP(C2367,Plan!A:B,2,0)</f>
        <v>Disponible Cali B.Chile</v>
      </c>
      <c r="E2367" s="341">
        <f>+F2367-G2367</f>
        <v>60000</v>
      </c>
      <c r="F2367" s="405">
        <v>60000</v>
      </c>
      <c r="G2367" s="405">
        <v>0</v>
      </c>
      <c r="H2367" t="s">
        <v>1047</v>
      </c>
      <c r="I2367" s="403" t="s">
        <v>131</v>
      </c>
      <c r="K2367" s="370"/>
      <c r="N2367" s="370"/>
    </row>
    <row r="2368" spans="1:14" s="347" customFormat="1" x14ac:dyDescent="0.25">
      <c r="A2368" s="369">
        <f>+A2367</f>
        <v>44347</v>
      </c>
      <c r="B2368" s="347">
        <f>+MONTH(A2368)</f>
        <v>5</v>
      </c>
      <c r="C2368" s="347">
        <v>1222</v>
      </c>
      <c r="D2368" s="340" t="str">
        <f>VLOOKUP(C2368,Plan!A:B,2,0)</f>
        <v>Otros Valores -Oficina y Transferencias (249)</v>
      </c>
      <c r="E2368" s="341">
        <f>+F2368-G2368</f>
        <v>-60000</v>
      </c>
      <c r="F2368" s="405">
        <v>0</v>
      </c>
      <c r="G2368" s="405">
        <f>+F2367</f>
        <v>60000</v>
      </c>
      <c r="H2368" t="str">
        <f>+H2367</f>
        <v>Carlos Lecaros Price / 249</v>
      </c>
      <c r="I2368" s="403" t="s">
        <v>131</v>
      </c>
      <c r="K2368" s="370"/>
      <c r="N2368" s="370"/>
    </row>
    <row r="2369" spans="1:14" s="347" customFormat="1" x14ac:dyDescent="0.25">
      <c r="A2369" s="369"/>
      <c r="E2369" s="396"/>
      <c r="F2369" s="396"/>
      <c r="G2369" s="396"/>
      <c r="K2369" s="370"/>
      <c r="N2369" s="370"/>
    </row>
    <row r="2370" spans="1:14" s="347" customFormat="1" x14ac:dyDescent="0.25">
      <c r="A2370" s="369">
        <v>44347</v>
      </c>
      <c r="B2370" s="347">
        <f>+MONTH(A2370)</f>
        <v>5</v>
      </c>
      <c r="C2370" s="347">
        <v>115</v>
      </c>
      <c r="D2370" s="340" t="str">
        <f>VLOOKUP(C2370,Plan!A:B,2,0)</f>
        <v>Disponible Cali B.Chile</v>
      </c>
      <c r="E2370" s="341">
        <f>+F2370-G2370</f>
        <v>10000</v>
      </c>
      <c r="F2370" s="405">
        <v>10000</v>
      </c>
      <c r="G2370" s="405">
        <v>0</v>
      </c>
      <c r="H2370" t="s">
        <v>1027</v>
      </c>
      <c r="I2370" s="403" t="s">
        <v>131</v>
      </c>
      <c r="K2370" s="370"/>
      <c r="N2370" s="370"/>
    </row>
    <row r="2371" spans="1:14" s="347" customFormat="1" x14ac:dyDescent="0.25">
      <c r="A2371" s="369">
        <f>+A2370</f>
        <v>44347</v>
      </c>
      <c r="B2371" s="347">
        <f>+MONTH(A2371)</f>
        <v>5</v>
      </c>
      <c r="C2371" s="347">
        <v>1217</v>
      </c>
      <c r="D2371" s="340" t="str">
        <f>VLOOKUP(C2371,Plan!A:B,2,0)</f>
        <v>Otros Valores -Oficina y Transferencias (248)</v>
      </c>
      <c r="E2371" s="341">
        <f>+F2371-G2371</f>
        <v>-10000</v>
      </c>
      <c r="F2371" s="405">
        <v>0</v>
      </c>
      <c r="G2371" s="405">
        <f>+F2370</f>
        <v>10000</v>
      </c>
      <c r="H2371" t="str">
        <f>+H2370</f>
        <v>GODOY CAMUS CARLOS IGNACIO/248</v>
      </c>
      <c r="I2371" s="403" t="s">
        <v>131</v>
      </c>
      <c r="K2371" s="370"/>
      <c r="N2371" s="370"/>
    </row>
    <row r="2372" spans="1:14" s="347" customFormat="1" x14ac:dyDescent="0.25">
      <c r="A2372" s="369"/>
      <c r="E2372" s="396"/>
      <c r="F2372" s="396"/>
      <c r="G2372" s="396"/>
      <c r="K2372" s="370"/>
      <c r="N2372" s="370"/>
    </row>
    <row r="2373" spans="1:14" s="347" customFormat="1" x14ac:dyDescent="0.25">
      <c r="A2373" s="369">
        <v>44347</v>
      </c>
      <c r="B2373" s="347">
        <f>+MONTH(A2373)</f>
        <v>5</v>
      </c>
      <c r="C2373" s="347">
        <v>115</v>
      </c>
      <c r="D2373" s="340" t="str">
        <f>VLOOKUP(C2373,Plan!A:B,2,0)</f>
        <v>Disponible Cali B.Chile</v>
      </c>
      <c r="E2373" s="341">
        <f>+F2373-G2373</f>
        <v>8000</v>
      </c>
      <c r="F2373" s="405">
        <v>8000</v>
      </c>
      <c r="G2373" s="405">
        <v>0</v>
      </c>
      <c r="H2373" t="s">
        <v>971</v>
      </c>
      <c r="I2373" s="403" t="s">
        <v>131</v>
      </c>
      <c r="K2373" s="370"/>
      <c r="N2373" s="370"/>
    </row>
    <row r="2374" spans="1:14" s="347" customFormat="1" x14ac:dyDescent="0.25">
      <c r="A2374" s="369">
        <f>+A2373</f>
        <v>44347</v>
      </c>
      <c r="B2374" s="347">
        <f>+MONTH(A2374)</f>
        <v>5</v>
      </c>
      <c r="C2374" s="347">
        <v>216</v>
      </c>
      <c r="D2374" s="340" t="str">
        <f>VLOOKUP(C2374,Plan!A:B,2,0)</f>
        <v>Cuenta por Pagar a Administración Colectas</v>
      </c>
      <c r="E2374" s="341">
        <f>+F2374-G2374</f>
        <v>-8000</v>
      </c>
      <c r="F2374" s="405">
        <v>0</v>
      </c>
      <c r="G2374" s="405">
        <f>+F2373</f>
        <v>8000</v>
      </c>
      <c r="H2374" t="str">
        <f>+H2373</f>
        <v>Colecta Pablo Irarrazaval Mena</v>
      </c>
      <c r="I2374" s="403" t="s">
        <v>131</v>
      </c>
      <c r="K2374" s="370"/>
      <c r="N2374" s="370"/>
    </row>
    <row r="2375" spans="1:14" s="347" customFormat="1" x14ac:dyDescent="0.25">
      <c r="A2375" s="369"/>
      <c r="E2375" s="396"/>
      <c r="F2375" s="396"/>
      <c r="G2375" s="396"/>
      <c r="K2375" s="370"/>
      <c r="N2375" s="370"/>
    </row>
    <row r="2376" spans="1:14" s="347" customFormat="1" x14ac:dyDescent="0.25">
      <c r="A2376" s="369">
        <v>44347</v>
      </c>
      <c r="B2376" s="347">
        <f>+MONTH(A2376)</f>
        <v>5</v>
      </c>
      <c r="C2376" s="347">
        <v>115</v>
      </c>
      <c r="D2376" s="340" t="str">
        <f>VLOOKUP(C2376,Plan!A:B,2,0)</f>
        <v>Disponible Cali B.Chile</v>
      </c>
      <c r="E2376" s="341">
        <f>+F2376-G2376</f>
        <v>100000</v>
      </c>
      <c r="F2376" s="405">
        <v>100000</v>
      </c>
      <c r="G2376" s="405">
        <v>0</v>
      </c>
      <c r="H2376" t="s">
        <v>965</v>
      </c>
      <c r="I2376" s="403" t="s">
        <v>131</v>
      </c>
      <c r="K2376" s="370"/>
      <c r="N2376" s="370"/>
    </row>
    <row r="2377" spans="1:14" s="347" customFormat="1" x14ac:dyDescent="0.25">
      <c r="A2377" s="369">
        <f>+A2376</f>
        <v>44347</v>
      </c>
      <c r="B2377" s="347">
        <f>+MONTH(A2377)</f>
        <v>5</v>
      </c>
      <c r="C2377" s="347">
        <v>3210</v>
      </c>
      <c r="D2377" s="340" t="str">
        <f>VLOOKUP(C2377,Plan!A:B,2,0)</f>
        <v>Donacion Construccion</v>
      </c>
      <c r="E2377" s="341">
        <f>+F2377-G2377</f>
        <v>-100000</v>
      </c>
      <c r="F2377" s="405">
        <v>0</v>
      </c>
      <c r="G2377" s="405">
        <f>+F2376</f>
        <v>100000</v>
      </c>
      <c r="H2377" t="str">
        <f>+H2376</f>
        <v>Rafael Marín Jordán/azul</v>
      </c>
      <c r="I2377" s="403" t="s">
        <v>131</v>
      </c>
      <c r="K2377" s="370"/>
      <c r="N2377" s="370"/>
    </row>
    <row r="2378" spans="1:14" s="347" customFormat="1" x14ac:dyDescent="0.25">
      <c r="A2378" s="369"/>
      <c r="E2378" s="396"/>
      <c r="F2378" s="396"/>
      <c r="G2378" s="396"/>
      <c r="K2378" s="370"/>
      <c r="N2378" s="370"/>
    </row>
    <row r="2379" spans="1:14" s="347" customFormat="1" x14ac:dyDescent="0.25">
      <c r="A2379" s="369">
        <v>44347</v>
      </c>
      <c r="B2379" s="347">
        <f>+MONTH(A2379)</f>
        <v>5</v>
      </c>
      <c r="C2379" s="347">
        <v>115</v>
      </c>
      <c r="D2379" s="340" t="str">
        <f>VLOOKUP(C2379,Plan!A:B,2,0)</f>
        <v>Disponible Cali B.Chile</v>
      </c>
      <c r="E2379" s="341">
        <f>+F2379-G2379</f>
        <v>36000</v>
      </c>
      <c r="F2379" s="405">
        <v>36000</v>
      </c>
      <c r="G2379" s="405">
        <v>0</v>
      </c>
      <c r="H2379" t="s">
        <v>964</v>
      </c>
      <c r="I2379" s="403" t="s">
        <v>131</v>
      </c>
      <c r="K2379" s="370"/>
      <c r="N2379" s="370"/>
    </row>
    <row r="2380" spans="1:14" s="347" customFormat="1" x14ac:dyDescent="0.25">
      <c r="A2380" s="369">
        <f>+A2379</f>
        <v>44347</v>
      </c>
      <c r="B2380" s="347">
        <f>+MONTH(A2380)</f>
        <v>5</v>
      </c>
      <c r="C2380" s="347">
        <v>1222</v>
      </c>
      <c r="D2380" s="340" t="str">
        <f>VLOOKUP(C2380,Plan!A:B,2,0)</f>
        <v>Otros Valores -Oficina y Transferencias (249)</v>
      </c>
      <c r="E2380" s="341">
        <f>+F2380-G2380</f>
        <v>-36000</v>
      </c>
      <c r="F2380" s="405">
        <v>0</v>
      </c>
      <c r="G2380" s="405">
        <f>+F2379</f>
        <v>36000</v>
      </c>
      <c r="H2380" t="str">
        <f>+H2379</f>
        <v>Raimundo Barros / 249</v>
      </c>
      <c r="I2380" s="403" t="s">
        <v>131</v>
      </c>
      <c r="K2380" s="370"/>
      <c r="N2380" s="370"/>
    </row>
    <row r="2381" spans="1:14" s="347" customFormat="1" x14ac:dyDescent="0.25">
      <c r="A2381" s="369"/>
      <c r="E2381" s="396"/>
      <c r="F2381" s="396"/>
      <c r="G2381" s="396"/>
      <c r="K2381" s="370"/>
      <c r="N2381" s="370"/>
    </row>
    <row r="2382" spans="1:14" s="347" customFormat="1" x14ac:dyDescent="0.25">
      <c r="A2382" s="369">
        <v>44347</v>
      </c>
      <c r="B2382" s="347">
        <f>+MONTH(A2382)</f>
        <v>5</v>
      </c>
      <c r="C2382" s="347">
        <v>115</v>
      </c>
      <c r="D2382" s="340" t="str">
        <f>VLOOKUP(C2382,Plan!A:B,2,0)</f>
        <v>Disponible Cali B.Chile</v>
      </c>
      <c r="E2382" s="341">
        <f>+F2382-G2382</f>
        <v>50000</v>
      </c>
      <c r="F2382" s="405">
        <v>50000</v>
      </c>
      <c r="G2382" s="405">
        <v>0</v>
      </c>
      <c r="H2382" t="s">
        <v>966</v>
      </c>
      <c r="I2382" s="403" t="s">
        <v>131</v>
      </c>
      <c r="K2382" s="370"/>
      <c r="N2382" s="370"/>
    </row>
    <row r="2383" spans="1:14" s="347" customFormat="1" x14ac:dyDescent="0.25">
      <c r="A2383" s="369">
        <f>+A2382</f>
        <v>44347</v>
      </c>
      <c r="B2383" s="347">
        <f>+MONTH(A2383)</f>
        <v>5</v>
      </c>
      <c r="C2383" s="347">
        <v>3210</v>
      </c>
      <c r="D2383" s="340" t="str">
        <f>VLOOKUP(C2383,Plan!A:B,2,0)</f>
        <v>Donacion Construccion</v>
      </c>
      <c r="E2383" s="341">
        <f>+F2383-G2383</f>
        <v>-50000</v>
      </c>
      <c r="F2383" s="405">
        <v>0</v>
      </c>
      <c r="G2383" s="405">
        <f>+F2382</f>
        <v>50000</v>
      </c>
      <c r="H2383" t="str">
        <f>+H2382</f>
        <v xml:space="preserve">Ricardo Fernández Oyarzún / Azul </v>
      </c>
      <c r="I2383" s="403" t="s">
        <v>131</v>
      </c>
      <c r="K2383" s="370"/>
      <c r="N2383" s="370"/>
    </row>
    <row r="2384" spans="1:14" s="347" customFormat="1" x14ac:dyDescent="0.25">
      <c r="A2384" s="369"/>
      <c r="E2384" s="396"/>
      <c r="F2384" s="396"/>
      <c r="G2384" s="396"/>
      <c r="K2384" s="370"/>
      <c r="N2384" s="370"/>
    </row>
    <row r="2385" spans="1:14" s="347" customFormat="1" x14ac:dyDescent="0.25">
      <c r="A2385" s="369">
        <v>44347</v>
      </c>
      <c r="B2385" s="347">
        <f>+MONTH(A2385)</f>
        <v>5</v>
      </c>
      <c r="C2385" s="347">
        <v>115</v>
      </c>
      <c r="D2385" s="340" t="str">
        <f>VLOOKUP(C2385,Plan!A:B,2,0)</f>
        <v>Disponible Cali B.Chile</v>
      </c>
      <c r="E2385" s="341">
        <f>+F2385-G2385</f>
        <v>30000</v>
      </c>
      <c r="F2385" s="405">
        <v>30000</v>
      </c>
      <c r="G2385" s="405">
        <v>0</v>
      </c>
      <c r="H2385" t="s">
        <v>1683</v>
      </c>
      <c r="I2385" s="403" t="s">
        <v>131</v>
      </c>
      <c r="K2385" s="370"/>
      <c r="N2385" s="370"/>
    </row>
    <row r="2386" spans="1:14" s="347" customFormat="1" x14ac:dyDescent="0.25">
      <c r="A2386" s="369">
        <f>+A2385</f>
        <v>44347</v>
      </c>
      <c r="B2386" s="347">
        <f>+MONTH(A2386)</f>
        <v>5</v>
      </c>
      <c r="C2386" s="347">
        <v>216</v>
      </c>
      <c r="D2386" s="340" t="str">
        <f>VLOOKUP(C2386,Plan!A:B,2,0)</f>
        <v>Cuenta por Pagar a Administración Colectas</v>
      </c>
      <c r="E2386" s="341">
        <f>+F2386-G2386</f>
        <v>-30000</v>
      </c>
      <c r="F2386" s="405">
        <v>0</v>
      </c>
      <c r="G2386" s="405">
        <f>+F2385</f>
        <v>30000</v>
      </c>
      <c r="H2386" t="str">
        <f>+H2385</f>
        <v>Colecta Pedro Armando Alvarez Marin</v>
      </c>
      <c r="I2386" s="403" t="s">
        <v>131</v>
      </c>
      <c r="K2386" s="370"/>
      <c r="N2386" s="370"/>
    </row>
    <row r="2387" spans="1:14" s="347" customFormat="1" x14ac:dyDescent="0.25">
      <c r="A2387" s="369"/>
      <c r="E2387" s="396"/>
      <c r="F2387" s="396"/>
      <c r="G2387" s="396"/>
      <c r="K2387" s="370"/>
      <c r="N2387" s="370"/>
    </row>
    <row r="2388" spans="1:14" s="347" customFormat="1" x14ac:dyDescent="0.25">
      <c r="A2388" s="369">
        <v>44347</v>
      </c>
      <c r="B2388" s="347">
        <f>+MONTH(A2388)</f>
        <v>5</v>
      </c>
      <c r="C2388" s="347">
        <v>115</v>
      </c>
      <c r="D2388" s="340" t="str">
        <f>VLOOKUP(C2388,Plan!A:B,2,0)</f>
        <v>Disponible Cali B.Chile</v>
      </c>
      <c r="E2388" s="341">
        <f>+F2388-G2388</f>
        <v>20000</v>
      </c>
      <c r="F2388" s="405">
        <v>20000</v>
      </c>
      <c r="G2388" s="405">
        <v>0</v>
      </c>
      <c r="H2388" t="s">
        <v>983</v>
      </c>
      <c r="I2388" s="403" t="s">
        <v>131</v>
      </c>
      <c r="K2388" s="370"/>
      <c r="N2388" s="370"/>
    </row>
    <row r="2389" spans="1:14" s="347" customFormat="1" x14ac:dyDescent="0.25">
      <c r="A2389" s="369">
        <f>+A2388</f>
        <v>44347</v>
      </c>
      <c r="B2389" s="347">
        <f>+MONTH(A2389)</f>
        <v>5</v>
      </c>
      <c r="C2389" s="347">
        <v>1222</v>
      </c>
      <c r="D2389" s="340" t="str">
        <f>VLOOKUP(C2389,Plan!A:B,2,0)</f>
        <v>Otros Valores -Oficina y Transferencias (249)</v>
      </c>
      <c r="E2389" s="341">
        <f>+F2389-G2389</f>
        <v>-20000</v>
      </c>
      <c r="F2389" s="405">
        <v>0</v>
      </c>
      <c r="G2389" s="405">
        <f>+F2388</f>
        <v>20000</v>
      </c>
      <c r="H2389" t="str">
        <f>+H2388</f>
        <v>Macarena Gálvez Roa / 249</v>
      </c>
      <c r="I2389" s="403" t="s">
        <v>131</v>
      </c>
      <c r="K2389" s="370"/>
      <c r="N2389" s="370"/>
    </row>
    <row r="2390" spans="1:14" s="347" customFormat="1" x14ac:dyDescent="0.25">
      <c r="A2390" s="369"/>
      <c r="E2390" s="396"/>
      <c r="F2390" s="396"/>
      <c r="G2390" s="396"/>
      <c r="N2390" s="370"/>
    </row>
    <row r="2391" spans="1:14" s="347" customFormat="1" x14ac:dyDescent="0.25">
      <c r="A2391" s="369">
        <v>44347</v>
      </c>
      <c r="B2391" s="347">
        <f>+MONTH(A2391)</f>
        <v>5</v>
      </c>
      <c r="C2391" s="347">
        <v>115</v>
      </c>
      <c r="D2391" s="340" t="str">
        <f>VLOOKUP(C2391,Plan!A:B,2,0)</f>
        <v>Disponible Cali B.Chile</v>
      </c>
      <c r="E2391" s="341">
        <f>+F2391-G2391</f>
        <v>40000</v>
      </c>
      <c r="F2391" s="405">
        <v>40000</v>
      </c>
      <c r="G2391" s="405">
        <v>0</v>
      </c>
      <c r="H2391" t="s">
        <v>1051</v>
      </c>
      <c r="I2391" s="403" t="s">
        <v>131</v>
      </c>
      <c r="N2391" s="370"/>
    </row>
    <row r="2392" spans="1:14" s="347" customFormat="1" x14ac:dyDescent="0.25">
      <c r="A2392" s="369">
        <f>+A2391</f>
        <v>44347</v>
      </c>
      <c r="B2392" s="347">
        <f>+MONTH(A2392)</f>
        <v>5</v>
      </c>
      <c r="C2392" s="347">
        <v>3210</v>
      </c>
      <c r="D2392" s="340" t="str">
        <f>VLOOKUP(C2392,Plan!A:B,2,0)</f>
        <v>Donacion Construccion</v>
      </c>
      <c r="E2392" s="341">
        <f>+F2392-G2392</f>
        <v>-40000</v>
      </c>
      <c r="F2392" s="405">
        <v>0</v>
      </c>
      <c r="G2392" s="405">
        <f>+F2391</f>
        <v>40000</v>
      </c>
      <c r="H2392" t="str">
        <f>+H2391</f>
        <v>Pedro Vicuña Illanes / Azul</v>
      </c>
      <c r="I2392" s="403" t="s">
        <v>131</v>
      </c>
      <c r="N2392" s="370"/>
    </row>
    <row r="2393" spans="1:14" s="347" customFormat="1" x14ac:dyDescent="0.25">
      <c r="A2393" s="369"/>
      <c r="E2393" s="396"/>
      <c r="F2393" s="396"/>
      <c r="G2393" s="396"/>
      <c r="N2393" s="370"/>
    </row>
    <row r="2394" spans="1:14" s="347" customFormat="1" x14ac:dyDescent="0.25">
      <c r="A2394" s="369">
        <v>44347</v>
      </c>
      <c r="B2394" s="347">
        <f>+MONTH(A2394)</f>
        <v>5</v>
      </c>
      <c r="C2394" s="347">
        <v>115</v>
      </c>
      <c r="D2394" s="340" t="str">
        <f>VLOOKUP(C2394,Plan!A:B,2,0)</f>
        <v>Disponible Cali B.Chile</v>
      </c>
      <c r="E2394" s="341">
        <f>+F2394-G2394</f>
        <v>14000</v>
      </c>
      <c r="F2394" s="405">
        <v>14000</v>
      </c>
      <c r="G2394" s="405">
        <v>0</v>
      </c>
      <c r="H2394" t="s">
        <v>1104</v>
      </c>
      <c r="I2394" s="403" t="s">
        <v>131</v>
      </c>
      <c r="N2394" s="370"/>
    </row>
    <row r="2395" spans="1:14" s="347" customFormat="1" x14ac:dyDescent="0.25">
      <c r="A2395" s="369">
        <f>+A2394</f>
        <v>44347</v>
      </c>
      <c r="B2395" s="347">
        <f>+MONTH(A2395)</f>
        <v>5</v>
      </c>
      <c r="C2395" s="347">
        <v>3210</v>
      </c>
      <c r="D2395" s="340" t="str">
        <f>VLOOKUP(C2395,Plan!A:B,2,0)</f>
        <v>Donacion Construccion</v>
      </c>
      <c r="E2395" s="341">
        <f>+F2395-G2395</f>
        <v>-14000</v>
      </c>
      <c r="F2395" s="405">
        <v>0</v>
      </c>
      <c r="G2395" s="405">
        <f>+F2394</f>
        <v>14000</v>
      </c>
      <c r="H2395" t="str">
        <f>+H2394</f>
        <v>María Luisa Ilharreborde Illanes / Azul</v>
      </c>
      <c r="I2395" s="403" t="s">
        <v>131</v>
      </c>
      <c r="N2395" s="370"/>
    </row>
    <row r="2396" spans="1:14" s="347" customFormat="1" x14ac:dyDescent="0.25">
      <c r="A2396" s="369"/>
      <c r="E2396" s="396"/>
      <c r="F2396" s="396"/>
      <c r="G2396" s="396"/>
      <c r="N2396" s="370"/>
    </row>
    <row r="2397" spans="1:14" s="347" customFormat="1" x14ac:dyDescent="0.25">
      <c r="A2397" s="369">
        <v>44347</v>
      </c>
      <c r="B2397" s="347">
        <f>+MONTH(A2397)</f>
        <v>5</v>
      </c>
      <c r="C2397" s="347">
        <v>115</v>
      </c>
      <c r="D2397" s="340" t="str">
        <f>VLOOKUP(C2397,Plan!A:B,2,0)</f>
        <v>Disponible Cali B.Chile</v>
      </c>
      <c r="E2397" s="341">
        <f>+F2397-G2397</f>
        <v>20000</v>
      </c>
      <c r="F2397" s="405">
        <v>20000</v>
      </c>
      <c r="G2397" s="405">
        <v>0</v>
      </c>
      <c r="H2397" t="s">
        <v>1745</v>
      </c>
      <c r="I2397" s="403" t="s">
        <v>131</v>
      </c>
      <c r="N2397" s="370"/>
    </row>
    <row r="2398" spans="1:14" s="347" customFormat="1" x14ac:dyDescent="0.25">
      <c r="A2398" s="369">
        <f>+A2397</f>
        <v>44347</v>
      </c>
      <c r="B2398" s="347">
        <f>+MONTH(A2398)</f>
        <v>5</v>
      </c>
      <c r="C2398" s="347">
        <v>216</v>
      </c>
      <c r="D2398" s="340" t="str">
        <f>VLOOKUP(C2398,Plan!A:B,2,0)</f>
        <v>Cuenta por Pagar a Administración Colectas</v>
      </c>
      <c r="E2398" s="341">
        <f>+F2398-G2398</f>
        <v>-20000</v>
      </c>
      <c r="F2398" s="405">
        <v>0</v>
      </c>
      <c r="G2398" s="405">
        <f>+F2397</f>
        <v>20000</v>
      </c>
      <c r="H2398" t="str">
        <f>+H2397</f>
        <v>Colecta Godoy Camus Carlos Ignacio</v>
      </c>
      <c r="I2398" s="403" t="s">
        <v>131</v>
      </c>
      <c r="N2398" s="370"/>
    </row>
    <row r="2399" spans="1:14" s="347" customFormat="1" x14ac:dyDescent="0.25">
      <c r="A2399" s="369"/>
      <c r="E2399" s="396"/>
      <c r="F2399" s="396"/>
      <c r="G2399" s="396"/>
    </row>
    <row r="2400" spans="1:14" s="347" customFormat="1" x14ac:dyDescent="0.25">
      <c r="A2400" s="369">
        <v>44347</v>
      </c>
      <c r="B2400" s="347">
        <f>+MONTH(A2400)</f>
        <v>5</v>
      </c>
      <c r="C2400" s="347">
        <v>115</v>
      </c>
      <c r="D2400" s="340" t="str">
        <f>VLOOKUP(C2400,Plan!A:B,2,0)</f>
        <v>Disponible Cali B.Chile</v>
      </c>
      <c r="E2400" s="341">
        <f>+F2400-G2400</f>
        <v>1454550</v>
      </c>
      <c r="F2400" s="405">
        <v>1454550</v>
      </c>
      <c r="G2400" s="405">
        <v>0</v>
      </c>
      <c r="H2400" t="s">
        <v>1746</v>
      </c>
      <c r="I2400" s="403" t="s">
        <v>131</v>
      </c>
    </row>
    <row r="2401" spans="1:14" s="347" customFormat="1" x14ac:dyDescent="0.25">
      <c r="A2401" s="369">
        <f>+A2400</f>
        <v>44347</v>
      </c>
      <c r="B2401" s="347">
        <f>+MONTH(A2401)</f>
        <v>5</v>
      </c>
      <c r="C2401" s="347">
        <v>3210</v>
      </c>
      <c r="D2401" s="340" t="str">
        <f>VLOOKUP(C2401,Plan!A:B,2,0)</f>
        <v>Donacion Construccion</v>
      </c>
      <c r="E2401" s="341">
        <f>+F2401-G2401</f>
        <v>-1454550</v>
      </c>
      <c r="F2401" s="405">
        <v>0</v>
      </c>
      <c r="G2401" s="405">
        <f>+F2400</f>
        <v>1454550</v>
      </c>
      <c r="H2401" t="str">
        <f>+H2400</f>
        <v>T/C Azules Mayo 2021</v>
      </c>
      <c r="I2401" s="403" t="s">
        <v>131</v>
      </c>
      <c r="N2401" s="370"/>
    </row>
    <row r="2402" spans="1:14" s="347" customFormat="1" x14ac:dyDescent="0.25">
      <c r="A2402" s="369"/>
      <c r="E2402" s="396"/>
      <c r="F2402" s="396"/>
      <c r="G2402" s="396"/>
    </row>
    <row r="2403" spans="1:14" s="347" customFormat="1" x14ac:dyDescent="0.25">
      <c r="A2403" s="369">
        <v>44347</v>
      </c>
      <c r="B2403" s="347">
        <f>+MONTH(A2403)</f>
        <v>5</v>
      </c>
      <c r="C2403" s="347">
        <v>115</v>
      </c>
      <c r="D2403" s="340" t="str">
        <f>VLOOKUP(C2403,Plan!A:B,2,0)</f>
        <v>Disponible Cali B.Chile</v>
      </c>
      <c r="E2403" s="341">
        <f>+F2403-G2403</f>
        <v>20000</v>
      </c>
      <c r="F2403" s="405">
        <v>20000</v>
      </c>
      <c r="G2403" s="405">
        <v>0</v>
      </c>
      <c r="H2403" t="s">
        <v>963</v>
      </c>
      <c r="I2403" s="403" t="s">
        <v>131</v>
      </c>
    </row>
    <row r="2404" spans="1:14" s="347" customFormat="1" x14ac:dyDescent="0.25">
      <c r="A2404" s="369">
        <f>+A2403</f>
        <v>44347</v>
      </c>
      <c r="B2404" s="347">
        <f>+MONTH(A2404)</f>
        <v>5</v>
      </c>
      <c r="C2404" s="347">
        <v>1222</v>
      </c>
      <c r="D2404" s="340" t="str">
        <f>VLOOKUP(C2404,Plan!A:B,2,0)</f>
        <v>Otros Valores -Oficina y Transferencias (249)</v>
      </c>
      <c r="E2404" s="341">
        <f>+F2404-G2404</f>
        <v>-20000</v>
      </c>
      <c r="F2404" s="405">
        <v>0</v>
      </c>
      <c r="G2404" s="405">
        <f>+F2403</f>
        <v>20000</v>
      </c>
      <c r="H2404" t="str">
        <f>+H2403</f>
        <v>Benjamín Gutierrez Perlwitz / 249</v>
      </c>
      <c r="I2404" s="403" t="s">
        <v>131</v>
      </c>
      <c r="J2404" s="403" t="s">
        <v>588</v>
      </c>
      <c r="K2404" s="208" t="str">
        <f>IF(J2404&lt;&gt;"",VLOOKUP(J2404,'Libro De Compras 2021'!D:E,2,0),"")</f>
        <v>PROYECTOS Y CONSTRUCCIONES TASCO LIMITADA</v>
      </c>
      <c r="L2404">
        <v>2930</v>
      </c>
      <c r="N2404" s="370"/>
    </row>
    <row r="2405" spans="1:14" s="347" customFormat="1" x14ac:dyDescent="0.25">
      <c r="A2405" s="369"/>
      <c r="E2405" s="396"/>
      <c r="F2405" s="396"/>
      <c r="G2405" s="396"/>
      <c r="J2405" s="403" t="s">
        <v>588</v>
      </c>
      <c r="K2405" s="208" t="str">
        <f>IF(J2405&lt;&gt;"",VLOOKUP(J2405,'Libro De Compras 2021'!D:E,2,0),"")</f>
        <v>PROYECTOS Y CONSTRUCCIONES TASCO LIMITADA</v>
      </c>
      <c r="L2405" s="403">
        <f>+L2404</f>
        <v>2930</v>
      </c>
      <c r="N2405" s="370"/>
    </row>
    <row r="2406" spans="1:14" s="347" customFormat="1" x14ac:dyDescent="0.25">
      <c r="A2406" s="369">
        <v>44347</v>
      </c>
      <c r="B2406" s="347">
        <f>+MONTH(A2406)</f>
        <v>5</v>
      </c>
      <c r="C2406" s="347">
        <v>115</v>
      </c>
      <c r="D2406" s="340" t="str">
        <f>VLOOKUP(C2406,Plan!A:B,2,0)</f>
        <v>Disponible Cali B.Chile</v>
      </c>
      <c r="E2406" s="341">
        <f>+F2406-G2406</f>
        <v>200000</v>
      </c>
      <c r="F2406" s="405">
        <v>200000</v>
      </c>
      <c r="G2406" s="405">
        <v>0</v>
      </c>
      <c r="H2406" t="s">
        <v>1052</v>
      </c>
      <c r="I2406" s="403" t="s">
        <v>131</v>
      </c>
      <c r="J2406" s="403" t="s">
        <v>588</v>
      </c>
      <c r="K2406" s="208" t="str">
        <f>IF(J2406&lt;&gt;"",VLOOKUP(J2406,'Libro De Compras 2021'!D:E,2,0),"")</f>
        <v>PROYECTOS Y CONSTRUCCIONES TASCO LIMITADA</v>
      </c>
      <c r="L2406" s="403">
        <f>+L2405</f>
        <v>2930</v>
      </c>
      <c r="N2406" s="370"/>
    </row>
    <row r="2407" spans="1:14" s="347" customFormat="1" x14ac:dyDescent="0.25">
      <c r="A2407" s="369">
        <f>+A2406</f>
        <v>44347</v>
      </c>
      <c r="B2407" s="347">
        <f>+MONTH(A2407)</f>
        <v>5</v>
      </c>
      <c r="C2407" s="347">
        <v>3210</v>
      </c>
      <c r="D2407" s="340" t="str">
        <f>VLOOKUP(C2407,Plan!A:B,2,0)</f>
        <v>Donacion Construccion</v>
      </c>
      <c r="E2407" s="341">
        <f>+F2407-G2407</f>
        <v>-200000</v>
      </c>
      <c r="F2407" s="405">
        <v>0</v>
      </c>
      <c r="G2407" s="405">
        <f>+F2406</f>
        <v>200000</v>
      </c>
      <c r="H2407" t="str">
        <f>+H2406</f>
        <v>Jorge Hernán Rodríguez Wilson/Azul</v>
      </c>
      <c r="I2407" s="403" t="s">
        <v>131</v>
      </c>
      <c r="J2407" s="403" t="s">
        <v>588</v>
      </c>
      <c r="K2407" s="208" t="str">
        <f>IF(J2407&lt;&gt;"",VLOOKUP(J2407,'Libro De Compras 2021'!D:E,2,0),"")</f>
        <v>PROYECTOS Y CONSTRUCCIONES TASCO LIMITADA</v>
      </c>
      <c r="L2407" s="403">
        <f>+L2406</f>
        <v>2930</v>
      </c>
      <c r="N2407" s="370"/>
    </row>
    <row r="2408" spans="1:14" s="347" customFormat="1" x14ac:dyDescent="0.25">
      <c r="A2408" s="369"/>
      <c r="E2408" s="396"/>
      <c r="F2408" s="396"/>
      <c r="G2408" s="396"/>
      <c r="K2408" s="370"/>
      <c r="N2408" s="370"/>
    </row>
    <row r="2409" spans="1:14" s="347" customFormat="1" x14ac:dyDescent="0.25">
      <c r="A2409" s="369">
        <v>44347</v>
      </c>
      <c r="B2409" s="347">
        <f>+MONTH(A2409)</f>
        <v>5</v>
      </c>
      <c r="C2409" s="347">
        <v>115</v>
      </c>
      <c r="D2409" s="340" t="str">
        <f>VLOOKUP(C2409,Plan!A:B,2,0)</f>
        <v>Disponible Cali B.Chile</v>
      </c>
      <c r="E2409" s="341">
        <f>+F2409-G2409</f>
        <v>2000000</v>
      </c>
      <c r="F2409" s="405">
        <v>2000000</v>
      </c>
      <c r="G2409" s="405">
        <v>0</v>
      </c>
      <c r="H2409" t="s">
        <v>1747</v>
      </c>
      <c r="I2409" s="403" t="s">
        <v>131</v>
      </c>
      <c r="J2409" t="s">
        <v>588</v>
      </c>
      <c r="K2409" t="s">
        <v>589</v>
      </c>
      <c r="L2409">
        <v>2930</v>
      </c>
      <c r="N2409" s="370"/>
    </row>
    <row r="2410" spans="1:14" s="347" customFormat="1" x14ac:dyDescent="0.25">
      <c r="A2410" s="369">
        <f>+A2409</f>
        <v>44347</v>
      </c>
      <c r="B2410" s="347">
        <f>+MONTH(A2410)</f>
        <v>5</v>
      </c>
      <c r="C2410" s="347">
        <v>3210</v>
      </c>
      <c r="D2410" s="340" t="str">
        <f>VLOOKUP(C2410,Plan!A:B,2,0)</f>
        <v>Donacion Construccion</v>
      </c>
      <c r="E2410" s="341">
        <f>+F2410-G2410</f>
        <v>-2000000</v>
      </c>
      <c r="F2410" s="405">
        <v>0</v>
      </c>
      <c r="G2410" s="405">
        <f>+F2409</f>
        <v>2000000</v>
      </c>
      <c r="H2410" t="str">
        <f>+H2409</f>
        <v>José Antonio Alliende Wielandt/ Azul</v>
      </c>
      <c r="I2410" s="403" t="s">
        <v>131</v>
      </c>
      <c r="J2410" s="347" t="str">
        <f>+J2409</f>
        <v>80965500-8</v>
      </c>
      <c r="K2410" s="370" t="str">
        <f>+K2409</f>
        <v>PROYECTOS Y CONSTRUCCIONES TASCO LIMITADA</v>
      </c>
      <c r="L2410" s="347">
        <f>+L2409</f>
        <v>2930</v>
      </c>
      <c r="N2410" s="370"/>
    </row>
    <row r="2411" spans="1:14" s="347" customFormat="1" x14ac:dyDescent="0.25">
      <c r="A2411" s="369"/>
      <c r="E2411" s="396"/>
      <c r="F2411" s="396"/>
      <c r="G2411" s="396"/>
      <c r="K2411" s="370"/>
      <c r="N2411" s="370"/>
    </row>
    <row r="2412" spans="1:14" s="347" customFormat="1" x14ac:dyDescent="0.25">
      <c r="A2412" s="369">
        <v>44323</v>
      </c>
      <c r="B2412" s="347">
        <f>+MONTH(A2412)</f>
        <v>5</v>
      </c>
      <c r="C2412" s="347">
        <v>4331</v>
      </c>
      <c r="D2412" s="340" t="str">
        <f>VLOOKUP(C2412,Plan!A:B,2,0)</f>
        <v>Cali</v>
      </c>
      <c r="E2412" s="341">
        <f>+F2412-G2412</f>
        <v>1947</v>
      </c>
      <c r="F2412" s="405">
        <v>1947</v>
      </c>
      <c r="G2412" s="405">
        <v>0</v>
      </c>
      <c r="H2412" t="s">
        <v>1706</v>
      </c>
      <c r="I2412" s="403" t="s">
        <v>131</v>
      </c>
      <c r="J2412" t="s">
        <v>605</v>
      </c>
      <c r="K2412" t="s">
        <v>606</v>
      </c>
      <c r="L2412" s="347">
        <v>6113</v>
      </c>
      <c r="M2412" s="343" t="s">
        <v>614</v>
      </c>
      <c r="N2412" t="str">
        <f>IF(M2412&lt;&gt;"",VLOOKUP(M2412,[1]Plan!F$1:G$65536,2,0),"")</f>
        <v>ITO</v>
      </c>
    </row>
    <row r="2413" spans="1:14" s="347" customFormat="1" x14ac:dyDescent="0.25">
      <c r="A2413" s="369">
        <f>+A2412</f>
        <v>44323</v>
      </c>
      <c r="B2413" s="347">
        <f>+MONTH(A2413)</f>
        <v>5</v>
      </c>
      <c r="C2413" s="347">
        <v>116</v>
      </c>
      <c r="D2413" s="340" t="str">
        <f>VLOOKUP(C2413,Plan!A:B,2,0)</f>
        <v>Disponible CALI Security</v>
      </c>
      <c r="E2413" s="341">
        <f>+F2413-G2413</f>
        <v>-1947</v>
      </c>
      <c r="F2413" s="405">
        <v>0</v>
      </c>
      <c r="G2413" s="405">
        <f>+F2412</f>
        <v>1947</v>
      </c>
      <c r="H2413" t="str">
        <f>+H2412</f>
        <v>COMISION BANCARIA</v>
      </c>
      <c r="I2413" s="403" t="s">
        <v>131</v>
      </c>
      <c r="J2413" t="s">
        <v>605</v>
      </c>
      <c r="K2413" t="s">
        <v>606</v>
      </c>
      <c r="L2413" s="347">
        <v>6113</v>
      </c>
      <c r="N2413" s="370"/>
    </row>
    <row r="2414" spans="1:14" s="347" customFormat="1" x14ac:dyDescent="0.25">
      <c r="A2414" s="369"/>
      <c r="E2414" s="396"/>
      <c r="F2414" s="396"/>
      <c r="G2414" s="396"/>
      <c r="N2414" s="370"/>
    </row>
    <row r="2415" spans="1:14" s="347" customFormat="1" x14ac:dyDescent="0.25">
      <c r="A2415" s="369">
        <v>44323</v>
      </c>
      <c r="B2415" s="347">
        <f>+MONTH(A2415)</f>
        <v>5</v>
      </c>
      <c r="C2415" s="347">
        <v>4331</v>
      </c>
      <c r="D2415" s="340" t="str">
        <f>VLOOKUP(C2415,Plan!A:B,2,0)</f>
        <v>Cali</v>
      </c>
      <c r="E2415" s="341">
        <f>+F2415-G2415</f>
        <v>370</v>
      </c>
      <c r="F2415" s="405">
        <v>370</v>
      </c>
      <c r="G2415" s="405">
        <v>0</v>
      </c>
      <c r="H2415" t="s">
        <v>1706</v>
      </c>
      <c r="I2415" s="403" t="s">
        <v>131</v>
      </c>
      <c r="J2415" t="s">
        <v>605</v>
      </c>
      <c r="K2415" t="s">
        <v>606</v>
      </c>
      <c r="L2415" s="347">
        <v>6113</v>
      </c>
      <c r="N2415" s="370"/>
    </row>
    <row r="2416" spans="1:14" s="347" customFormat="1" x14ac:dyDescent="0.25">
      <c r="A2416" s="369">
        <f>+A2415</f>
        <v>44323</v>
      </c>
      <c r="B2416" s="347">
        <f>+MONTH(A2416)</f>
        <v>5</v>
      </c>
      <c r="C2416" s="347">
        <v>116</v>
      </c>
      <c r="D2416" s="340" t="str">
        <f>VLOOKUP(C2416,Plan!A:B,2,0)</f>
        <v>Disponible CALI Security</v>
      </c>
      <c r="E2416" s="341">
        <f>+F2416-G2416</f>
        <v>-370</v>
      </c>
      <c r="F2416" s="405">
        <v>0</v>
      </c>
      <c r="G2416" s="405">
        <f>+F2415</f>
        <v>370</v>
      </c>
      <c r="H2416" t="str">
        <f>+H2415</f>
        <v>COMISION BANCARIA</v>
      </c>
      <c r="I2416" s="403" t="s">
        <v>131</v>
      </c>
      <c r="K2416" s="370"/>
      <c r="N2416" s="370"/>
    </row>
    <row r="2417" spans="1:14" s="347" customFormat="1" x14ac:dyDescent="0.25">
      <c r="A2417" s="369"/>
      <c r="E2417" s="396"/>
      <c r="F2417" s="396"/>
      <c r="G2417" s="396"/>
      <c r="K2417" s="370"/>
      <c r="N2417" s="370"/>
    </row>
    <row r="2418" spans="1:14" s="347" customFormat="1" x14ac:dyDescent="0.25">
      <c r="A2418" s="369">
        <v>44330</v>
      </c>
      <c r="B2418" s="347">
        <f>+MONTH(A2418)</f>
        <v>5</v>
      </c>
      <c r="C2418" s="347">
        <v>116</v>
      </c>
      <c r="D2418" s="340" t="str">
        <f>VLOOKUP(C2418,Plan!A:B,2,0)</f>
        <v>Disponible CALI Security</v>
      </c>
      <c r="E2418" s="341">
        <f>+F2418-G2418</f>
        <v>517961570</v>
      </c>
      <c r="F2418" s="405">
        <v>517961570</v>
      </c>
      <c r="G2418" s="405">
        <v>0</v>
      </c>
      <c r="H2418" s="156" t="s">
        <v>1795</v>
      </c>
      <c r="I2418" s="403" t="s">
        <v>131</v>
      </c>
      <c r="K2418" s="370"/>
      <c r="N2418" s="370"/>
    </row>
    <row r="2419" spans="1:14" s="347" customFormat="1" x14ac:dyDescent="0.25">
      <c r="A2419" s="369">
        <f>+A2418</f>
        <v>44330</v>
      </c>
      <c r="B2419" s="347">
        <f>+MONTH(A2419)</f>
        <v>5</v>
      </c>
      <c r="C2419" s="347">
        <v>118</v>
      </c>
      <c r="D2419" s="340" t="str">
        <f>VLOOKUP(C2419,Plan!A:B,2,0)</f>
        <v>Depósito a plazo Cali Banco Security</v>
      </c>
      <c r="E2419" s="341">
        <f>+F2419-G2419</f>
        <v>-517961570</v>
      </c>
      <c r="F2419" s="405">
        <v>0</v>
      </c>
      <c r="G2419" s="405">
        <f>+F2418</f>
        <v>517961570</v>
      </c>
      <c r="H2419" t="str">
        <f>+H2418</f>
        <v>Rescate DAP</v>
      </c>
      <c r="I2419" s="403" t="s">
        <v>131</v>
      </c>
      <c r="K2419" s="370"/>
      <c r="N2419" s="370"/>
    </row>
    <row r="2420" spans="1:14" s="347" customFormat="1" x14ac:dyDescent="0.25">
      <c r="A2420" s="369"/>
      <c r="E2420" s="396"/>
      <c r="F2420" s="396"/>
      <c r="G2420" s="396"/>
      <c r="K2420" s="370"/>
      <c r="N2420" s="370"/>
    </row>
    <row r="2421" spans="1:14" s="347" customFormat="1" x14ac:dyDescent="0.25">
      <c r="A2421" s="369">
        <v>44333</v>
      </c>
      <c r="B2421" s="347">
        <f>+MONTH(A2421)</f>
        <v>5</v>
      </c>
      <c r="C2421" s="347">
        <v>116</v>
      </c>
      <c r="D2421" s="340" t="str">
        <f>VLOOKUP(C2421,Plan!A:B,2,0)</f>
        <v>Disponible CALI Security</v>
      </c>
      <c r="E2421" s="341">
        <f>+F2421-G2421</f>
        <v>37122427</v>
      </c>
      <c r="F2421" s="405">
        <v>37122427</v>
      </c>
      <c r="G2421" s="405">
        <v>0</v>
      </c>
      <c r="H2421" s="156" t="s">
        <v>2120</v>
      </c>
      <c r="I2421" s="403" t="s">
        <v>131</v>
      </c>
      <c r="K2421" s="370"/>
      <c r="N2421" s="370"/>
    </row>
    <row r="2422" spans="1:14" s="347" customFormat="1" x14ac:dyDescent="0.25">
      <c r="A2422" s="369">
        <f>+A2421</f>
        <v>44333</v>
      </c>
      <c r="B2422" s="347">
        <f>+MONTH(A2422)</f>
        <v>5</v>
      </c>
      <c r="C2422" s="347">
        <v>119</v>
      </c>
      <c r="D2422" s="340" t="str">
        <f>VLOOKUP(C2422,Plan!A:B,2,0)</f>
        <v>FM Cali Banco Security</v>
      </c>
      <c r="E2422" s="341">
        <f>+F2422-G2422</f>
        <v>-37122427</v>
      </c>
      <c r="F2422" s="405">
        <v>0</v>
      </c>
      <c r="G2422" s="405">
        <f>+F2421</f>
        <v>37122427</v>
      </c>
      <c r="H2422" t="str">
        <f>+H2421</f>
        <v>Rescate FM</v>
      </c>
      <c r="I2422" s="403" t="s">
        <v>131</v>
      </c>
      <c r="K2422" s="370"/>
      <c r="N2422" s="370"/>
    </row>
    <row r="2423" spans="1:14" s="347" customFormat="1" x14ac:dyDescent="0.25">
      <c r="A2423" s="369"/>
      <c r="D2423" s="340"/>
      <c r="E2423" s="341"/>
      <c r="F2423" s="405"/>
      <c r="G2423" s="405"/>
      <c r="H2423"/>
      <c r="I2423" s="403"/>
      <c r="K2423" s="370"/>
      <c r="N2423" s="370"/>
    </row>
    <row r="2424" spans="1:14" s="347" customFormat="1" x14ac:dyDescent="0.25">
      <c r="A2424" s="369">
        <v>44333</v>
      </c>
      <c r="B2424" s="347">
        <f>+MONTH(A2424)</f>
        <v>5</v>
      </c>
      <c r="C2424" s="347">
        <v>117</v>
      </c>
      <c r="D2424" s="340" t="str">
        <f>VLOOKUP(C2424,Plan!A:B,2,0)</f>
        <v>Disponible CALI Santander</v>
      </c>
      <c r="E2424" s="341">
        <f>+F2424-G2424</f>
        <v>430000000</v>
      </c>
      <c r="F2424" s="405">
        <v>430000000</v>
      </c>
      <c r="G2424" s="405">
        <v>0</v>
      </c>
      <c r="H2424" s="156" t="s">
        <v>1791</v>
      </c>
      <c r="I2424" s="403" t="s">
        <v>131</v>
      </c>
      <c r="K2424" s="370"/>
      <c r="N2424" s="370"/>
    </row>
    <row r="2425" spans="1:14" s="347" customFormat="1" x14ac:dyDescent="0.25">
      <c r="A2425" s="369">
        <f>+A2424</f>
        <v>44333</v>
      </c>
      <c r="B2425" s="347">
        <f>+MONTH(A2425)</f>
        <v>5</v>
      </c>
      <c r="C2425" s="347">
        <v>116</v>
      </c>
      <c r="D2425" s="340" t="str">
        <f>VLOOKUP(C2425,Plan!A:B,2,0)</f>
        <v>Disponible CALI Security</v>
      </c>
      <c r="E2425" s="341">
        <f>+F2425-G2425</f>
        <v>-430000000</v>
      </c>
      <c r="F2425" s="405">
        <v>0</v>
      </c>
      <c r="G2425" s="405">
        <f>+F2424</f>
        <v>430000000</v>
      </c>
      <c r="H2425" t="str">
        <f>+H2424</f>
        <v>Traspaso a Santander</v>
      </c>
      <c r="I2425" s="403" t="s">
        <v>131</v>
      </c>
      <c r="K2425" s="370"/>
      <c r="N2425" s="370"/>
    </row>
    <row r="2426" spans="1:14" s="347" customFormat="1" x14ac:dyDescent="0.25">
      <c r="A2426" s="369"/>
      <c r="E2426" s="396"/>
      <c r="F2426" s="396"/>
      <c r="G2426" s="396"/>
      <c r="K2426" s="370"/>
      <c r="N2426" s="370"/>
    </row>
    <row r="2427" spans="1:14" s="347" customFormat="1" x14ac:dyDescent="0.25">
      <c r="A2427" s="369">
        <v>44333</v>
      </c>
      <c r="B2427" s="347">
        <f>+MONTH(A2427)</f>
        <v>5</v>
      </c>
      <c r="C2427" s="347">
        <v>113</v>
      </c>
      <c r="D2427" s="340" t="str">
        <f>VLOOKUP(C2427,Plan!A:B,2,0)</f>
        <v>Depósito a plazo Cali Banco Santander</v>
      </c>
      <c r="E2427" s="341">
        <f>+F2427-G2427</f>
        <v>430000000</v>
      </c>
      <c r="F2427" s="405">
        <v>430000000</v>
      </c>
      <c r="G2427" s="405">
        <v>0</v>
      </c>
      <c r="H2427" s="156" t="s">
        <v>1792</v>
      </c>
      <c r="I2427" s="403" t="s">
        <v>131</v>
      </c>
      <c r="K2427" s="370"/>
      <c r="N2427" s="370"/>
    </row>
    <row r="2428" spans="1:14" s="347" customFormat="1" x14ac:dyDescent="0.25">
      <c r="A2428" s="369">
        <f>+A2427</f>
        <v>44333</v>
      </c>
      <c r="B2428" s="347">
        <f>+MONTH(A2428)</f>
        <v>5</v>
      </c>
      <c r="C2428" s="347">
        <v>117</v>
      </c>
      <c r="D2428" s="340" t="str">
        <f>VLOOKUP(C2428,Plan!A:B,2,0)</f>
        <v>Disponible CALI Santander</v>
      </c>
      <c r="E2428" s="341">
        <f>+F2428-G2428</f>
        <v>-430000000</v>
      </c>
      <c r="F2428" s="405">
        <v>0</v>
      </c>
      <c r="G2428" s="405">
        <f>+F2427</f>
        <v>430000000</v>
      </c>
      <c r="H2428" t="str">
        <f>+H2427</f>
        <v>Tóma DAP Santander</v>
      </c>
      <c r="I2428" s="403" t="s">
        <v>131</v>
      </c>
      <c r="K2428" s="370"/>
      <c r="N2428" s="370"/>
    </row>
    <row r="2429" spans="1:14" s="347" customFormat="1" x14ac:dyDescent="0.25">
      <c r="A2429" s="369"/>
      <c r="E2429" s="396"/>
      <c r="F2429" s="396"/>
      <c r="G2429" s="396"/>
      <c r="K2429" s="370"/>
      <c r="N2429" s="370"/>
    </row>
    <row r="2430" spans="1:14" s="347" customFormat="1" x14ac:dyDescent="0.25">
      <c r="A2430" s="402">
        <v>44333</v>
      </c>
      <c r="B2430" s="403">
        <f>+MONTH(A2430)</f>
        <v>5</v>
      </c>
      <c r="C2430" s="338">
        <v>137</v>
      </c>
      <c r="D2430" s="340" t="str">
        <f>VLOOKUP(C2430,Plan!A:B,2,0)</f>
        <v>Anticipo Construcción</v>
      </c>
      <c r="E2430" s="341">
        <f>+F2430-G2430</f>
        <v>-25066747</v>
      </c>
      <c r="F2430" s="465">
        <v>0</v>
      </c>
      <c r="G2430" s="465">
        <v>25066747</v>
      </c>
      <c r="H2430" s="429" t="s">
        <v>1748</v>
      </c>
      <c r="I2430" s="403" t="s">
        <v>131</v>
      </c>
      <c r="K2430" s="370"/>
      <c r="N2430" s="370"/>
    </row>
    <row r="2431" spans="1:14" s="347" customFormat="1" x14ac:dyDescent="0.25">
      <c r="A2431" s="402">
        <f t="shared" ref="A2431:B2433" si="38">+A2430</f>
        <v>44333</v>
      </c>
      <c r="B2431" s="403">
        <f t="shared" si="38"/>
        <v>5</v>
      </c>
      <c r="C2431" s="338">
        <v>136</v>
      </c>
      <c r="D2431" s="340" t="str">
        <f>VLOOKUP(C2431,Plan!A:B,2,0)</f>
        <v>Obras en Construcción</v>
      </c>
      <c r="E2431" s="341">
        <f>+F2431-G2431</f>
        <v>213140814</v>
      </c>
      <c r="F2431" s="465">
        <v>213140814</v>
      </c>
      <c r="G2431" s="465">
        <v>0</v>
      </c>
      <c r="H2431" s="429" t="s">
        <v>1749</v>
      </c>
      <c r="I2431" s="403" t="s">
        <v>131</v>
      </c>
      <c r="K2431" s="370"/>
      <c r="N2431" s="370"/>
    </row>
    <row r="2432" spans="1:14" s="347" customFormat="1" x14ac:dyDescent="0.25">
      <c r="A2432" s="402">
        <f t="shared" si="38"/>
        <v>44333</v>
      </c>
      <c r="B2432" s="403">
        <f t="shared" si="38"/>
        <v>5</v>
      </c>
      <c r="C2432" s="338">
        <v>210</v>
      </c>
      <c r="D2432" s="340" t="str">
        <f>VLOOKUP(C2432,Plan!A:B,2,0)</f>
        <v>Retenciones Construcción</v>
      </c>
      <c r="E2432" s="341">
        <f>+F2432-G2432</f>
        <v>-9229303</v>
      </c>
      <c r="F2432" s="465">
        <v>0</v>
      </c>
      <c r="G2432" s="465">
        <v>9229303</v>
      </c>
      <c r="H2432" s="429" t="s">
        <v>1750</v>
      </c>
      <c r="I2432" s="403" t="s">
        <v>131</v>
      </c>
      <c r="K2432" s="370"/>
      <c r="N2432" s="370"/>
    </row>
    <row r="2433" spans="1:14" s="347" customFormat="1" x14ac:dyDescent="0.25">
      <c r="A2433" s="402">
        <f t="shared" si="38"/>
        <v>44333</v>
      </c>
      <c r="B2433" s="403">
        <f t="shared" si="38"/>
        <v>5</v>
      </c>
      <c r="C2433" s="338">
        <v>228</v>
      </c>
      <c r="D2433" s="340" t="str">
        <f>VLOOKUP(C2433,Plan!A:B,2,0)</f>
        <v>Proveedores CALI</v>
      </c>
      <c r="E2433" s="341">
        <f>+F2433-G2433</f>
        <v>-178844764</v>
      </c>
      <c r="F2433" s="465">
        <v>0</v>
      </c>
      <c r="G2433" s="465">
        <v>178844764</v>
      </c>
      <c r="H2433" s="429" t="s">
        <v>589</v>
      </c>
      <c r="I2433" s="403" t="s">
        <v>131</v>
      </c>
      <c r="K2433" s="370"/>
      <c r="N2433" s="370"/>
    </row>
    <row r="2434" spans="1:14" s="347" customFormat="1" x14ac:dyDescent="0.25">
      <c r="A2434" s="369"/>
      <c r="E2434" s="396"/>
      <c r="F2434" s="396"/>
      <c r="G2434" s="396"/>
      <c r="K2434" s="370"/>
      <c r="N2434" s="370"/>
    </row>
    <row r="2435" spans="1:14" s="347" customFormat="1" x14ac:dyDescent="0.25">
      <c r="A2435" s="339">
        <v>44333</v>
      </c>
      <c r="B2435" s="403">
        <f>+MONTH(A2435)</f>
        <v>5</v>
      </c>
      <c r="C2435" s="338">
        <v>228</v>
      </c>
      <c r="D2435" s="340" t="str">
        <f>VLOOKUP(C2435,[2]Plan!A:B,2,0)</f>
        <v>Proveedores CALI</v>
      </c>
      <c r="E2435" s="341">
        <f>+F2435-G2435</f>
        <v>178844764</v>
      </c>
      <c r="F2435" s="289">
        <v>178844764</v>
      </c>
      <c r="G2435" s="346">
        <v>0</v>
      </c>
      <c r="H2435" s="404" t="s">
        <v>1751</v>
      </c>
      <c r="I2435" s="403" t="s">
        <v>131</v>
      </c>
      <c r="K2435" s="370"/>
      <c r="N2435" s="370"/>
    </row>
    <row r="2436" spans="1:14" s="347" customFormat="1" x14ac:dyDescent="0.25">
      <c r="A2436" s="152">
        <f>+A2435</f>
        <v>44333</v>
      </c>
      <c r="B2436" s="403">
        <f>+B2435</f>
        <v>5</v>
      </c>
      <c r="C2436" s="338">
        <v>116</v>
      </c>
      <c r="D2436" s="340" t="str">
        <f>VLOOKUP(C2436,[2]Plan!A:B,2,0)</f>
        <v>Disponible CALI Security</v>
      </c>
      <c r="E2436" s="341">
        <f>+F2436-G2436</f>
        <v>-178844764</v>
      </c>
      <c r="F2436" s="405">
        <v>0</v>
      </c>
      <c r="G2436" s="346">
        <f>+F2435</f>
        <v>178844764</v>
      </c>
      <c r="H2436" s="404" t="str">
        <f>+H2435</f>
        <v>F.2930 EE.PP. N°10 TASCO</v>
      </c>
      <c r="I2436" s="403" t="s">
        <v>131</v>
      </c>
      <c r="K2436" s="370"/>
      <c r="N2436" s="370"/>
    </row>
    <row r="2437" spans="1:14" s="347" customFormat="1" x14ac:dyDescent="0.25">
      <c r="A2437" s="369"/>
      <c r="E2437" s="396"/>
      <c r="F2437" s="396"/>
      <c r="G2437" s="396"/>
      <c r="K2437" s="370"/>
      <c r="N2437" s="370"/>
    </row>
    <row r="2438" spans="1:14" s="347" customFormat="1" x14ac:dyDescent="0.25">
      <c r="A2438" s="339">
        <v>44333</v>
      </c>
      <c r="B2438" s="403">
        <f>+MONTH(A2438)</f>
        <v>5</v>
      </c>
      <c r="C2438" s="347">
        <v>138</v>
      </c>
      <c r="D2438" s="340" t="str">
        <f>VLOOKUP(C2438,Plan!A:B,2,0)</f>
        <v>Proyectos Especialidades</v>
      </c>
      <c r="E2438" s="341">
        <f>+F2438-G2438</f>
        <v>4276080</v>
      </c>
      <c r="F2438" s="405">
        <v>4276080</v>
      </c>
      <c r="G2438" s="405">
        <v>0</v>
      </c>
      <c r="H2438" t="s">
        <v>1752</v>
      </c>
      <c r="I2438" s="403" t="s">
        <v>131</v>
      </c>
      <c r="K2438" s="370"/>
      <c r="N2438" s="370"/>
    </row>
    <row r="2439" spans="1:14" s="347" customFormat="1" x14ac:dyDescent="0.25">
      <c r="A2439" s="369">
        <f>+A2438</f>
        <v>44333</v>
      </c>
      <c r="B2439" s="403">
        <f>+B2438</f>
        <v>5</v>
      </c>
      <c r="C2439" s="347">
        <v>228</v>
      </c>
      <c r="D2439" s="340" t="str">
        <f>VLOOKUP(C2439,Plan!A:B,2,0)</f>
        <v>Proveedores CALI</v>
      </c>
      <c r="E2439" s="341">
        <f>+F2439-G2439</f>
        <v>-4276080</v>
      </c>
      <c r="F2439" s="405">
        <v>0</v>
      </c>
      <c r="G2439" s="405">
        <f>+F2438</f>
        <v>4276080</v>
      </c>
      <c r="H2439" t="str">
        <f>+H2438</f>
        <v>Fact. 6113 ITO Abr/21</v>
      </c>
      <c r="I2439" s="403" t="s">
        <v>131</v>
      </c>
      <c r="K2439" s="370"/>
      <c r="N2439" s="370"/>
    </row>
    <row r="2440" spans="1:14" s="347" customFormat="1" x14ac:dyDescent="0.25">
      <c r="A2440" s="369"/>
      <c r="E2440" s="396"/>
      <c r="F2440" s="396"/>
      <c r="G2440" s="396"/>
      <c r="K2440" s="370"/>
      <c r="N2440" s="370"/>
    </row>
    <row r="2441" spans="1:14" s="347" customFormat="1" x14ac:dyDescent="0.25">
      <c r="A2441" s="339">
        <v>44333</v>
      </c>
      <c r="B2441" s="403">
        <f>+MONTH(A2441)</f>
        <v>5</v>
      </c>
      <c r="C2441" s="347">
        <v>228</v>
      </c>
      <c r="D2441" s="340" t="str">
        <f>VLOOKUP(C2441,Plan!A:B,2,0)</f>
        <v>Proveedores CALI</v>
      </c>
      <c r="E2441" s="341">
        <f>+F2441-G2441</f>
        <v>4276080</v>
      </c>
      <c r="F2441" s="405">
        <v>4276080</v>
      </c>
      <c r="G2441" s="405">
        <v>0</v>
      </c>
      <c r="H2441" t="s">
        <v>1752</v>
      </c>
      <c r="I2441" s="403" t="s">
        <v>131</v>
      </c>
      <c r="K2441" s="370"/>
      <c r="N2441" s="370"/>
    </row>
    <row r="2442" spans="1:14" s="347" customFormat="1" x14ac:dyDescent="0.25">
      <c r="A2442" s="369">
        <f>+A2441</f>
        <v>44333</v>
      </c>
      <c r="B2442" s="403">
        <f>+B2441</f>
        <v>5</v>
      </c>
      <c r="C2442" s="347">
        <v>116</v>
      </c>
      <c r="D2442" s="340" t="str">
        <f>VLOOKUP(C2442,Plan!A:B,2,0)</f>
        <v>Disponible CALI Security</v>
      </c>
      <c r="E2442" s="341">
        <f>+F2442-G2442</f>
        <v>-4276080</v>
      </c>
      <c r="F2442" s="405">
        <v>0</v>
      </c>
      <c r="G2442" s="405">
        <f>+F2441</f>
        <v>4276080</v>
      </c>
      <c r="H2442" t="str">
        <f>+H2441</f>
        <v>Fact. 6113 ITO Abr/21</v>
      </c>
      <c r="I2442" s="403" t="s">
        <v>131</v>
      </c>
      <c r="K2442" s="370"/>
      <c r="N2442" s="370"/>
    </row>
    <row r="2443" spans="1:14" s="347" customFormat="1" x14ac:dyDescent="0.25">
      <c r="A2443" s="369"/>
      <c r="E2443" s="396"/>
      <c r="F2443" s="396"/>
      <c r="G2443" s="396"/>
      <c r="K2443" s="370"/>
      <c r="N2443" s="370"/>
    </row>
    <row r="2444" spans="1:14" s="347" customFormat="1" x14ac:dyDescent="0.25">
      <c r="A2444" s="339">
        <v>44347</v>
      </c>
      <c r="B2444" s="340">
        <v>5</v>
      </c>
      <c r="C2444" s="352">
        <v>3620</v>
      </c>
      <c r="D2444" s="340" t="str">
        <f>VLOOKUP(C2444,Plan!A:B,2,0)</f>
        <v>Cali Recaudadores</v>
      </c>
      <c r="E2444" s="341">
        <f t="shared" ref="E2444:E2470" si="39">+F2444-G2444</f>
        <v>-478000</v>
      </c>
      <c r="F2444" s="353">
        <v>0</v>
      </c>
      <c r="G2444" s="353">
        <v>478000</v>
      </c>
      <c r="H2444" s="354" t="s">
        <v>1797</v>
      </c>
      <c r="I2444" s="355" t="s">
        <v>131</v>
      </c>
      <c r="N2444" s="370"/>
    </row>
    <row r="2445" spans="1:14" s="347" customFormat="1" x14ac:dyDescent="0.25">
      <c r="A2445" s="350">
        <f>+A2444</f>
        <v>44347</v>
      </c>
      <c r="B2445" s="351">
        <f>+B2444</f>
        <v>5</v>
      </c>
      <c r="C2445" s="352">
        <v>3621</v>
      </c>
      <c r="D2445" s="340" t="str">
        <f>VLOOKUP(C2445,Plan!A:B,2,0)</f>
        <v>Cali Recaudadores (249)</v>
      </c>
      <c r="E2445" s="341">
        <f t="shared" si="39"/>
        <v>0</v>
      </c>
      <c r="F2445" s="353">
        <v>0</v>
      </c>
      <c r="G2445" s="353">
        <v>0</v>
      </c>
      <c r="H2445" s="354" t="str">
        <f t="shared" ref="H2445:H2452" si="40">+H2444</f>
        <v>Centralización Recaudación Mayo</v>
      </c>
      <c r="I2445" s="355" t="s">
        <v>131</v>
      </c>
      <c r="N2445" s="370"/>
    </row>
    <row r="2446" spans="1:14" s="347" customFormat="1" x14ac:dyDescent="0.25">
      <c r="A2446" s="350">
        <f t="shared" ref="A2446:B2450" si="41">+A2444</f>
        <v>44347</v>
      </c>
      <c r="B2446" s="351">
        <f t="shared" si="41"/>
        <v>5</v>
      </c>
      <c r="C2446" s="352">
        <v>3630</v>
      </c>
      <c r="D2446" s="340" t="str">
        <f>VLOOKUP(C2446,Plan!A:B,2,0)</f>
        <v>Cali Oficina Parroquial</v>
      </c>
      <c r="E2446" s="341">
        <f t="shared" si="39"/>
        <v>-3445504</v>
      </c>
      <c r="F2446" s="353">
        <v>0</v>
      </c>
      <c r="G2446" s="353">
        <v>3445504</v>
      </c>
      <c r="H2446" s="354" t="str">
        <f t="shared" si="40"/>
        <v>Centralización Recaudación Mayo</v>
      </c>
      <c r="I2446" s="355" t="s">
        <v>131</v>
      </c>
      <c r="N2446" s="370"/>
    </row>
    <row r="2447" spans="1:14" s="347" customFormat="1" x14ac:dyDescent="0.25">
      <c r="A2447" s="350">
        <f t="shared" si="41"/>
        <v>44347</v>
      </c>
      <c r="B2447" s="351">
        <f t="shared" si="41"/>
        <v>5</v>
      </c>
      <c r="C2447" s="352">
        <v>3631</v>
      </c>
      <c r="D2447" s="340" t="str">
        <f>VLOOKUP(C2447,Plan!A:B,2,0)</f>
        <v>Cali Oficina Parroquial (249)</v>
      </c>
      <c r="E2447" s="341">
        <f t="shared" si="39"/>
        <v>-2175000</v>
      </c>
      <c r="F2447" s="353">
        <v>0</v>
      </c>
      <c r="G2447" s="353">
        <v>2175000</v>
      </c>
      <c r="H2447" s="354" t="str">
        <f t="shared" si="40"/>
        <v>Centralización Recaudación Mayo</v>
      </c>
      <c r="I2447" s="355" t="s">
        <v>131</v>
      </c>
      <c r="N2447" s="370"/>
    </row>
    <row r="2448" spans="1:14" s="347" customFormat="1" x14ac:dyDescent="0.25">
      <c r="A2448" s="350">
        <f t="shared" si="41"/>
        <v>44347</v>
      </c>
      <c r="B2448" s="351">
        <f t="shared" si="41"/>
        <v>5</v>
      </c>
      <c r="C2448" s="352">
        <v>3640</v>
      </c>
      <c r="D2448" s="340" t="str">
        <f>VLOOKUP(C2448,Plan!A:B,2,0)</f>
        <v>Cali Tarjetas de Creditos</v>
      </c>
      <c r="E2448" s="341">
        <f t="shared" si="39"/>
        <v>-4190600</v>
      </c>
      <c r="F2448" s="353">
        <v>0</v>
      </c>
      <c r="G2448" s="353">
        <v>4190600</v>
      </c>
      <c r="H2448" s="354" t="str">
        <f t="shared" si="40"/>
        <v>Centralización Recaudación Mayo</v>
      </c>
      <c r="I2448" s="355" t="s">
        <v>131</v>
      </c>
      <c r="N2448" s="370"/>
    </row>
    <row r="2449" spans="1:14" s="347" customFormat="1" x14ac:dyDescent="0.25">
      <c r="A2449" s="350">
        <f t="shared" si="41"/>
        <v>44347</v>
      </c>
      <c r="B2449" s="351">
        <f t="shared" si="41"/>
        <v>5</v>
      </c>
      <c r="C2449" s="352">
        <v>3641</v>
      </c>
      <c r="D2449" s="340" t="str">
        <f>VLOOKUP(C2449,Plan!A:B,2,0)</f>
        <v>Cali Tarjetas de Creditos (249)</v>
      </c>
      <c r="E2449" s="341">
        <f t="shared" si="39"/>
        <v>-6669213</v>
      </c>
      <c r="F2449" s="353">
        <v>0</v>
      </c>
      <c r="G2449" s="353">
        <v>6669213</v>
      </c>
      <c r="H2449" s="354" t="str">
        <f t="shared" si="40"/>
        <v>Centralización Recaudación Mayo</v>
      </c>
      <c r="I2449" s="355" t="s">
        <v>131</v>
      </c>
      <c r="N2449" s="370"/>
    </row>
    <row r="2450" spans="1:14" s="347" customFormat="1" x14ac:dyDescent="0.25">
      <c r="A2450" s="350">
        <f t="shared" si="41"/>
        <v>44347</v>
      </c>
      <c r="B2450" s="351">
        <f t="shared" si="41"/>
        <v>5</v>
      </c>
      <c r="C2450" s="352">
        <v>1216</v>
      </c>
      <c r="D2450" s="340" t="str">
        <f>VLOOKUP(C2450,Plan!A:B,2,0)</f>
        <v>Otros Valores Recaudadoras</v>
      </c>
      <c r="E2450" s="341">
        <f t="shared" si="39"/>
        <v>478000</v>
      </c>
      <c r="F2450" s="353">
        <f>+G2444+G2445</f>
        <v>478000</v>
      </c>
      <c r="G2450" s="353">
        <v>0</v>
      </c>
      <c r="H2450" s="354" t="str">
        <f t="shared" si="40"/>
        <v>Centralización Recaudación Mayo</v>
      </c>
      <c r="I2450" s="355" t="s">
        <v>131</v>
      </c>
      <c r="N2450" s="370"/>
    </row>
    <row r="2451" spans="1:14" s="347" customFormat="1" x14ac:dyDescent="0.25">
      <c r="A2451" s="350">
        <f>+A2450</f>
        <v>44347</v>
      </c>
      <c r="B2451" s="351">
        <f>+B2450</f>
        <v>5</v>
      </c>
      <c r="C2451" s="352">
        <v>1217</v>
      </c>
      <c r="D2451" s="340" t="str">
        <f>VLOOKUP(C2451,Plan!A:B,2,0)</f>
        <v>Otros Valores -Oficina y Transferencias (248)</v>
      </c>
      <c r="E2451" s="341">
        <f t="shared" si="39"/>
        <v>3445504</v>
      </c>
      <c r="F2451" s="353">
        <f>+G2446</f>
        <v>3445504</v>
      </c>
      <c r="G2451" s="353">
        <v>0</v>
      </c>
      <c r="H2451" s="354" t="str">
        <f t="shared" si="40"/>
        <v>Centralización Recaudación Mayo</v>
      </c>
      <c r="I2451" s="355" t="s">
        <v>131</v>
      </c>
      <c r="N2451" s="370"/>
    </row>
    <row r="2452" spans="1:14" s="347" customFormat="1" x14ac:dyDescent="0.25">
      <c r="A2452" s="350">
        <f>+A2451</f>
        <v>44347</v>
      </c>
      <c r="B2452" s="351">
        <f>+B2451</f>
        <v>5</v>
      </c>
      <c r="C2452" s="352">
        <v>1222</v>
      </c>
      <c r="D2452" s="340" t="str">
        <f>VLOOKUP(C2452,Plan!A:B,2,0)</f>
        <v>Otros Valores -Oficina y Transferencias (249)</v>
      </c>
      <c r="E2452" s="341">
        <f t="shared" si="39"/>
        <v>2175000</v>
      </c>
      <c r="F2452" s="353">
        <f>+G2447</f>
        <v>2175000</v>
      </c>
      <c r="G2452" s="353">
        <v>0</v>
      </c>
      <c r="H2452" s="354" t="str">
        <f t="shared" si="40"/>
        <v>Centralización Recaudación Mayo</v>
      </c>
      <c r="I2452" s="355" t="s">
        <v>131</v>
      </c>
      <c r="N2452" s="370"/>
    </row>
    <row r="2453" spans="1:14" s="347" customFormat="1" x14ac:dyDescent="0.25">
      <c r="A2453" s="350">
        <f>+A2451</f>
        <v>44347</v>
      </c>
      <c r="B2453" s="351">
        <f>+B2451</f>
        <v>5</v>
      </c>
      <c r="C2453" s="352">
        <v>1218</v>
      </c>
      <c r="D2453" s="340" t="str">
        <f>VLOOKUP(C2453,Plan!A:B,2,0)</f>
        <v>Otros Valores Tarjeta de Credito</v>
      </c>
      <c r="E2453" s="341">
        <f t="shared" si="39"/>
        <v>10859813</v>
      </c>
      <c r="F2453" s="353">
        <f>+G2448+G2449</f>
        <v>10859813</v>
      </c>
      <c r="G2453" s="353">
        <v>0</v>
      </c>
      <c r="H2453" s="354" t="str">
        <f>+H2451</f>
        <v>Centralización Recaudación Mayo</v>
      </c>
      <c r="I2453" s="355" t="s">
        <v>131</v>
      </c>
      <c r="N2453" s="370"/>
    </row>
    <row r="2454" spans="1:14" s="347" customFormat="1" x14ac:dyDescent="0.25">
      <c r="A2454" s="350">
        <f t="shared" ref="A2454:B2461" si="42">+A2453</f>
        <v>44347</v>
      </c>
      <c r="B2454" s="351">
        <f t="shared" si="42"/>
        <v>5</v>
      </c>
      <c r="C2454" s="352">
        <v>202</v>
      </c>
      <c r="D2454" s="340" t="str">
        <f>VLOOKUP(C2454,Plan!A:B,2,0)</f>
        <v>Arzobispado por pagar</v>
      </c>
      <c r="E2454" s="341">
        <f t="shared" si="39"/>
        <v>-4241404</v>
      </c>
      <c r="F2454" s="353">
        <v>0</v>
      </c>
      <c r="G2454" s="353">
        <f>+ROUND((((G2444+G2446+G2448)*0.99)*0.88)*0.6,0)</f>
        <v>4241404</v>
      </c>
      <c r="H2454" s="354" t="str">
        <f t="shared" ref="H2454:H2470" si="43">+H2453</f>
        <v>Centralización Recaudación Mayo</v>
      </c>
      <c r="I2454" s="355" t="s">
        <v>131</v>
      </c>
      <c r="N2454" s="370"/>
    </row>
    <row r="2455" spans="1:14" s="347" customFormat="1" x14ac:dyDescent="0.25">
      <c r="A2455" s="350">
        <f t="shared" si="42"/>
        <v>44347</v>
      </c>
      <c r="B2455" s="351">
        <f t="shared" si="42"/>
        <v>5</v>
      </c>
      <c r="C2455" s="352">
        <v>4120</v>
      </c>
      <c r="D2455" s="340" t="str">
        <f>VLOOKUP(C2455,Plan!A:B,2,0)</f>
        <v>Aporte Arzobispado</v>
      </c>
      <c r="E2455" s="341">
        <f t="shared" si="39"/>
        <v>4241404</v>
      </c>
      <c r="F2455" s="353">
        <f>+G2454</f>
        <v>4241404</v>
      </c>
      <c r="G2455" s="353">
        <v>0</v>
      </c>
      <c r="H2455" s="354" t="str">
        <f t="shared" si="43"/>
        <v>Centralización Recaudación Mayo</v>
      </c>
      <c r="I2455" s="355" t="s">
        <v>131</v>
      </c>
      <c r="N2455" s="370"/>
    </row>
    <row r="2456" spans="1:14" s="347" customFormat="1" x14ac:dyDescent="0.25">
      <c r="A2456" s="350">
        <f t="shared" si="42"/>
        <v>44347</v>
      </c>
      <c r="B2456" s="351">
        <f t="shared" si="42"/>
        <v>5</v>
      </c>
      <c r="C2456" s="352">
        <v>203</v>
      </c>
      <c r="D2456" s="340" t="str">
        <f>VLOOKUP(C2456,Plan!A:B,2,0)</f>
        <v>Recaudadoras por pagar</v>
      </c>
      <c r="E2456" s="341">
        <f t="shared" si="39"/>
        <v>-57360</v>
      </c>
      <c r="F2456" s="353">
        <v>0</v>
      </c>
      <c r="G2456" s="356">
        <f>+F2450*0.12</f>
        <v>57360</v>
      </c>
      <c r="H2456" s="354" t="str">
        <f t="shared" si="43"/>
        <v>Centralización Recaudación Mayo</v>
      </c>
      <c r="I2456" s="355" t="s">
        <v>131</v>
      </c>
      <c r="N2456" s="370"/>
    </row>
    <row r="2457" spans="1:14" s="347" customFormat="1" x14ac:dyDescent="0.25">
      <c r="A2457" s="350">
        <f t="shared" si="42"/>
        <v>44347</v>
      </c>
      <c r="B2457" s="351">
        <f t="shared" si="42"/>
        <v>5</v>
      </c>
      <c r="C2457" s="352">
        <v>201</v>
      </c>
      <c r="D2457" s="340" t="str">
        <f>VLOOKUP(C2457,Plan!A:B,2,0)</f>
        <v>1% por pagar</v>
      </c>
      <c r="E2457" s="341">
        <f t="shared" si="39"/>
        <v>-169583</v>
      </c>
      <c r="F2457" s="353">
        <v>0</v>
      </c>
      <c r="G2457" s="356">
        <f>ROUND(SUM(G2444:G2449)*0.01,0)</f>
        <v>169583</v>
      </c>
      <c r="H2457" s="354" t="str">
        <f t="shared" si="43"/>
        <v>Centralización Recaudación Mayo</v>
      </c>
      <c r="I2457" s="355" t="s">
        <v>131</v>
      </c>
      <c r="N2457" s="370"/>
    </row>
    <row r="2458" spans="1:14" s="347" customFormat="1" x14ac:dyDescent="0.25">
      <c r="A2458" s="350">
        <f t="shared" si="42"/>
        <v>44347</v>
      </c>
      <c r="B2458" s="351">
        <f t="shared" si="42"/>
        <v>5</v>
      </c>
      <c r="C2458" s="352">
        <v>4140</v>
      </c>
      <c r="D2458" s="340" t="str">
        <f>VLOOKUP(C2458,Plan!A:B,2,0)</f>
        <v>Comisiones Cali Recaudadores</v>
      </c>
      <c r="E2458" s="341">
        <f t="shared" si="39"/>
        <v>57360</v>
      </c>
      <c r="F2458" s="353">
        <f>+G2456</f>
        <v>57360</v>
      </c>
      <c r="G2458" s="353">
        <v>0</v>
      </c>
      <c r="H2458" s="354" t="str">
        <f t="shared" si="43"/>
        <v>Centralización Recaudación Mayo</v>
      </c>
      <c r="I2458" s="355" t="s">
        <v>131</v>
      </c>
      <c r="N2458" s="370"/>
    </row>
    <row r="2459" spans="1:14" s="347" customFormat="1" x14ac:dyDescent="0.25">
      <c r="A2459" s="350">
        <f t="shared" si="42"/>
        <v>44347</v>
      </c>
      <c r="B2459" s="351">
        <f t="shared" si="42"/>
        <v>5</v>
      </c>
      <c r="C2459" s="352">
        <v>4110</v>
      </c>
      <c r="D2459" s="340" t="str">
        <f>VLOOKUP(C2459,Plan!A:B,2,0)</f>
        <v>Aporte Papal</v>
      </c>
      <c r="E2459" s="341">
        <f t="shared" si="39"/>
        <v>169583</v>
      </c>
      <c r="F2459" s="353">
        <f>+G2457</f>
        <v>169583</v>
      </c>
      <c r="G2459" s="353">
        <v>0</v>
      </c>
      <c r="H2459" s="354" t="str">
        <f t="shared" si="43"/>
        <v>Centralización Recaudación Mayo</v>
      </c>
      <c r="I2459" s="355" t="s">
        <v>131</v>
      </c>
      <c r="N2459" s="370"/>
    </row>
    <row r="2460" spans="1:14" s="347" customFormat="1" x14ac:dyDescent="0.25">
      <c r="A2460" s="470">
        <f t="shared" si="42"/>
        <v>44347</v>
      </c>
      <c r="B2460" s="471">
        <f t="shared" si="42"/>
        <v>5</v>
      </c>
      <c r="C2460" s="471">
        <v>3610</v>
      </c>
      <c r="D2460" s="472" t="str">
        <f>VLOOKUP(C2460,Plan!A:B,2,0)</f>
        <v>Cali  Arzobispado</v>
      </c>
      <c r="E2460" s="341">
        <f t="shared" si="39"/>
        <v>-6088671</v>
      </c>
      <c r="F2460" s="473">
        <v>0</v>
      </c>
      <c r="G2460" s="473">
        <v>6088671</v>
      </c>
      <c r="H2460" s="474" t="str">
        <f t="shared" si="43"/>
        <v>Centralización Recaudación Mayo</v>
      </c>
      <c r="I2460" s="474" t="s">
        <v>131</v>
      </c>
      <c r="N2460" s="370"/>
    </row>
    <row r="2461" spans="1:14" s="347" customFormat="1" x14ac:dyDescent="0.25">
      <c r="A2461" s="470">
        <f t="shared" si="42"/>
        <v>44347</v>
      </c>
      <c r="B2461" s="471">
        <f t="shared" si="42"/>
        <v>5</v>
      </c>
      <c r="C2461" s="471">
        <v>3611</v>
      </c>
      <c r="D2461" s="472" t="str">
        <f>VLOOKUP(C2461,Plan!A:B,2,0)</f>
        <v>Cali  Arzobispado (249)</v>
      </c>
      <c r="E2461" s="341">
        <f t="shared" si="39"/>
        <v>-2010500</v>
      </c>
      <c r="F2461" s="473">
        <v>0</v>
      </c>
      <c r="G2461" s="473">
        <v>2010500</v>
      </c>
      <c r="H2461" s="474" t="str">
        <f t="shared" si="43"/>
        <v>Centralización Recaudación Mayo</v>
      </c>
      <c r="I2461" s="474" t="s">
        <v>131</v>
      </c>
      <c r="N2461" s="370"/>
    </row>
    <row r="2462" spans="1:14" s="347" customFormat="1" x14ac:dyDescent="0.25">
      <c r="A2462" s="470">
        <f t="shared" ref="A2462:B2464" si="44">+A2460</f>
        <v>44347</v>
      </c>
      <c r="B2462" s="471">
        <f t="shared" si="44"/>
        <v>5</v>
      </c>
      <c r="C2462" s="471">
        <v>4160</v>
      </c>
      <c r="D2462" s="472" t="str">
        <f>VLOOKUP(C2462,Plan!A:B,2,0)</f>
        <v>Comisiones Cali Arzobispado</v>
      </c>
      <c r="E2462" s="341">
        <f t="shared" si="39"/>
        <v>416188</v>
      </c>
      <c r="F2462" s="473">
        <v>416188</v>
      </c>
      <c r="G2462" s="473">
        <v>0</v>
      </c>
      <c r="H2462" s="474" t="str">
        <f t="shared" si="43"/>
        <v>Centralización Recaudación Mayo</v>
      </c>
      <c r="I2462" s="474" t="s">
        <v>131</v>
      </c>
      <c r="N2462" s="370"/>
    </row>
    <row r="2463" spans="1:14" s="347" customFormat="1" x14ac:dyDescent="0.25">
      <c r="A2463" s="470">
        <f t="shared" si="44"/>
        <v>44347</v>
      </c>
      <c r="B2463" s="471">
        <f t="shared" si="44"/>
        <v>5</v>
      </c>
      <c r="C2463" s="471">
        <v>4160</v>
      </c>
      <c r="D2463" s="472" t="str">
        <f>VLOOKUP(C2463,Plan!A:B,2,0)</f>
        <v>Comisiones Cali Arzobispado</v>
      </c>
      <c r="E2463" s="341">
        <f t="shared" si="39"/>
        <v>50263</v>
      </c>
      <c r="F2463" s="473">
        <v>50263</v>
      </c>
      <c r="G2463" s="473">
        <v>0</v>
      </c>
      <c r="H2463" s="474" t="str">
        <f t="shared" si="43"/>
        <v>Centralización Recaudación Mayo</v>
      </c>
      <c r="I2463" s="474" t="s">
        <v>131</v>
      </c>
      <c r="N2463" s="370"/>
    </row>
    <row r="2464" spans="1:14" s="347" customFormat="1" x14ac:dyDescent="0.25">
      <c r="A2464" s="350">
        <f t="shared" si="44"/>
        <v>44347</v>
      </c>
      <c r="B2464" s="351">
        <f t="shared" si="44"/>
        <v>5</v>
      </c>
      <c r="C2464" s="352">
        <v>4120</v>
      </c>
      <c r="D2464" s="340" t="str">
        <f>VLOOKUP(C2464,Plan!A:B,2,0)</f>
        <v>Aporte Arzobispado</v>
      </c>
      <c r="E2464" s="341">
        <f t="shared" si="39"/>
        <v>3398637</v>
      </c>
      <c r="F2464" s="353">
        <f>ROUND((+G2460-F2462-F2465)*0.6,0)+31679</f>
        <v>3398637</v>
      </c>
      <c r="G2464" s="353">
        <v>0</v>
      </c>
      <c r="H2464" s="354" t="str">
        <f t="shared" si="43"/>
        <v>Centralización Recaudación Mayo</v>
      </c>
      <c r="I2464" s="355" t="s">
        <v>131</v>
      </c>
      <c r="N2464" s="370"/>
    </row>
    <row r="2465" spans="1:14" s="347" customFormat="1" x14ac:dyDescent="0.25">
      <c r="A2465" s="350">
        <f>+A2464</f>
        <v>44347</v>
      </c>
      <c r="B2465" s="351">
        <f>+B2464</f>
        <v>5</v>
      </c>
      <c r="C2465" s="352">
        <v>4110</v>
      </c>
      <c r="D2465" s="340" t="str">
        <f>VLOOKUP(C2465,Plan!A:B,2,0)</f>
        <v>Aporte Papal</v>
      </c>
      <c r="E2465" s="341">
        <f t="shared" si="39"/>
        <v>60887</v>
      </c>
      <c r="F2465" s="353">
        <f>ROUND((+G2460)*0.01,0)</f>
        <v>60887</v>
      </c>
      <c r="G2465" s="353">
        <v>0</v>
      </c>
      <c r="H2465" s="354" t="str">
        <f t="shared" si="43"/>
        <v>Centralización Recaudación Mayo</v>
      </c>
      <c r="I2465" s="355" t="s">
        <v>131</v>
      </c>
      <c r="N2465" s="370"/>
    </row>
    <row r="2466" spans="1:14" s="347" customFormat="1" x14ac:dyDescent="0.25">
      <c r="A2466" s="350">
        <f>+A2465</f>
        <v>44347</v>
      </c>
      <c r="B2466" s="351">
        <f>+B2465</f>
        <v>5</v>
      </c>
      <c r="C2466" s="352">
        <v>4110</v>
      </c>
      <c r="D2466" s="340" t="str">
        <f>VLOOKUP(C2466,Plan!A:B,2,0)</f>
        <v>Aporte Papal</v>
      </c>
      <c r="E2466" s="341">
        <f t="shared" si="39"/>
        <v>20105</v>
      </c>
      <c r="F2466" s="353">
        <f>(+G2461)*0.01</f>
        <v>20105</v>
      </c>
      <c r="G2466" s="353">
        <v>0</v>
      </c>
      <c r="H2466" s="354" t="str">
        <f t="shared" si="43"/>
        <v>Centralización Recaudación Mayo</v>
      </c>
      <c r="I2466" s="355" t="s">
        <v>131</v>
      </c>
      <c r="N2466" s="370"/>
    </row>
    <row r="2467" spans="1:14" s="347" customFormat="1" x14ac:dyDescent="0.25">
      <c r="A2467" s="350">
        <f>+A2465</f>
        <v>44347</v>
      </c>
      <c r="B2467" s="351">
        <f>+B2465</f>
        <v>5</v>
      </c>
      <c r="C2467" s="352">
        <v>1219</v>
      </c>
      <c r="D2467" s="340" t="str">
        <f>VLOOKUP(C2467,Plan!A:B,2,0)</f>
        <v>Otros Valores Arzobispado (248)</v>
      </c>
      <c r="E2467" s="341">
        <f t="shared" si="39"/>
        <v>2212959</v>
      </c>
      <c r="F2467" s="353">
        <f>+G2460-F2462-F2464-F2465</f>
        <v>2212959</v>
      </c>
      <c r="G2467" s="353">
        <v>0</v>
      </c>
      <c r="H2467" s="354" t="str">
        <f t="shared" si="43"/>
        <v>Centralización Recaudación Mayo</v>
      </c>
      <c r="I2467" s="355" t="s">
        <v>131</v>
      </c>
      <c r="N2467" s="370"/>
    </row>
    <row r="2468" spans="1:14" s="347" customFormat="1" x14ac:dyDescent="0.25">
      <c r="A2468" s="350">
        <f>+A2467</f>
        <v>44347</v>
      </c>
      <c r="B2468" s="351">
        <f>+B2467</f>
        <v>5</v>
      </c>
      <c r="C2468" s="352">
        <v>1220</v>
      </c>
      <c r="D2468" s="340" t="str">
        <f>VLOOKUP(C2468,Plan!A:B,2,0)</f>
        <v>Otros Valores Arzobispado (249)</v>
      </c>
      <c r="E2468" s="341">
        <f t="shared" si="39"/>
        <v>1940132</v>
      </c>
      <c r="F2468" s="353">
        <f>+G2461-F2463-F2466</f>
        <v>1940132</v>
      </c>
      <c r="G2468" s="353">
        <v>0</v>
      </c>
      <c r="H2468" s="354" t="str">
        <f t="shared" si="43"/>
        <v>Centralización Recaudación Mayo</v>
      </c>
      <c r="I2468" s="355" t="s">
        <v>131</v>
      </c>
      <c r="N2468" s="370"/>
    </row>
    <row r="2469" spans="1:14" s="347" customFormat="1" x14ac:dyDescent="0.25">
      <c r="A2469" s="350">
        <f>+A2467</f>
        <v>44347</v>
      </c>
      <c r="B2469" s="351">
        <f>+B2467</f>
        <v>5</v>
      </c>
      <c r="C2469" s="352">
        <v>1218</v>
      </c>
      <c r="D2469" s="340" t="str">
        <f>VLOOKUP(C2469,Plan!A:B,2,0)</f>
        <v>Otros Valores Tarjeta de Credito</v>
      </c>
      <c r="E2469" s="341">
        <f t="shared" si="39"/>
        <v>-129232</v>
      </c>
      <c r="F2469" s="353">
        <f>+G2462+G2464</f>
        <v>0</v>
      </c>
      <c r="G2469" s="353">
        <f>+F2470</f>
        <v>129232</v>
      </c>
      <c r="H2469" s="354" t="str">
        <f t="shared" si="43"/>
        <v>Centralización Recaudación Mayo</v>
      </c>
      <c r="I2469" s="355" t="s">
        <v>131</v>
      </c>
      <c r="N2469" s="370"/>
    </row>
    <row r="2470" spans="1:14" s="347" customFormat="1" x14ac:dyDescent="0.25">
      <c r="A2470" s="350">
        <f>+A2467</f>
        <v>44347</v>
      </c>
      <c r="B2470" s="351">
        <f>+B2467</f>
        <v>5</v>
      </c>
      <c r="C2470" s="352">
        <v>4150</v>
      </c>
      <c r="D2470" s="340" t="str">
        <f>VLOOKUP(C2470,Plan!A:B,2,0)</f>
        <v>Comisiones Cali Tarjetas de Creditos</v>
      </c>
      <c r="E2470" s="341">
        <f t="shared" si="39"/>
        <v>129232</v>
      </c>
      <c r="F2470" s="353">
        <f>ROUND(+(G2449+G2448)*(1-0.9881),0)*1</f>
        <v>129232</v>
      </c>
      <c r="G2470" s="353">
        <v>0</v>
      </c>
      <c r="H2470" s="354" t="str">
        <f t="shared" si="43"/>
        <v>Centralización Recaudación Mayo</v>
      </c>
      <c r="I2470" s="355" t="s">
        <v>131</v>
      </c>
      <c r="N2470" s="370"/>
    </row>
    <row r="2471" spans="1:14" s="347" customFormat="1" x14ac:dyDescent="0.25">
      <c r="A2471" s="350"/>
      <c r="B2471" s="351"/>
      <c r="C2471" s="352"/>
      <c r="D2471" s="340"/>
      <c r="E2471" s="341"/>
      <c r="F2471" s="353"/>
      <c r="G2471" s="353"/>
      <c r="H2471" s="354"/>
      <c r="I2471" s="355"/>
      <c r="N2471" s="370"/>
    </row>
    <row r="2472" spans="1:14" s="347" customFormat="1" x14ac:dyDescent="0.25">
      <c r="A2472" s="350">
        <v>44347</v>
      </c>
      <c r="B2472" s="351">
        <f t="shared" ref="B2472:B2503" si="45">+MONTH(A2472)</f>
        <v>5</v>
      </c>
      <c r="C2472" s="352">
        <v>141</v>
      </c>
      <c r="D2472" s="340" t="str">
        <f>VLOOKUP(C2472,Plan!A:B,2,0)</f>
        <v>Cuentas por Cobrar a Administración</v>
      </c>
      <c r="E2472" s="341">
        <f t="shared" ref="E2472:E2503" si="46">+F2472-G2472</f>
        <v>30000</v>
      </c>
      <c r="F2472" s="370">
        <v>30000</v>
      </c>
      <c r="G2472" s="353">
        <v>0</v>
      </c>
      <c r="H2472" s="347" t="s">
        <v>747</v>
      </c>
      <c r="I2472" s="355"/>
      <c r="N2472" s="370"/>
    </row>
    <row r="2473" spans="1:14" s="347" customFormat="1" x14ac:dyDescent="0.25">
      <c r="A2473" s="350">
        <v>44347</v>
      </c>
      <c r="B2473" s="351">
        <f t="shared" si="45"/>
        <v>5</v>
      </c>
      <c r="C2473" s="352">
        <v>141</v>
      </c>
      <c r="D2473" s="340" t="str">
        <f>VLOOKUP(C2473,Plan!A:B,2,0)</f>
        <v>Cuentas por Cobrar a Administración</v>
      </c>
      <c r="E2473" s="341">
        <f t="shared" si="46"/>
        <v>20000</v>
      </c>
      <c r="F2473" s="370">
        <v>20000</v>
      </c>
      <c r="G2473" s="353">
        <v>0</v>
      </c>
      <c r="H2473" s="347" t="s">
        <v>1236</v>
      </c>
      <c r="I2473" s="355"/>
      <c r="N2473" s="370"/>
    </row>
    <row r="2474" spans="1:14" s="347" customFormat="1" x14ac:dyDescent="0.25">
      <c r="A2474" s="350">
        <v>44347</v>
      </c>
      <c r="B2474" s="351">
        <f t="shared" si="45"/>
        <v>5</v>
      </c>
      <c r="C2474" s="352">
        <v>141</v>
      </c>
      <c r="D2474" s="340" t="str">
        <f>VLOOKUP(C2474,Plan!A:B,2,0)</f>
        <v>Cuentas por Cobrar a Administración</v>
      </c>
      <c r="E2474" s="341">
        <f t="shared" si="46"/>
        <v>40000</v>
      </c>
      <c r="F2474" s="370">
        <v>40000</v>
      </c>
      <c r="G2474" s="353">
        <v>0</v>
      </c>
      <c r="H2474" s="347" t="s">
        <v>1409</v>
      </c>
      <c r="I2474" s="355"/>
      <c r="K2474" s="370"/>
      <c r="N2474" s="370"/>
    </row>
    <row r="2475" spans="1:14" s="347" customFormat="1" x14ac:dyDescent="0.25">
      <c r="A2475" s="350">
        <v>44347</v>
      </c>
      <c r="B2475" s="351">
        <f t="shared" si="45"/>
        <v>5</v>
      </c>
      <c r="C2475" s="352">
        <v>141</v>
      </c>
      <c r="D2475" s="340" t="str">
        <f>VLOOKUP(C2475,Plan!A:B,2,0)</f>
        <v>Cuentas por Cobrar a Administración</v>
      </c>
      <c r="E2475" s="341">
        <f t="shared" si="46"/>
        <v>50000</v>
      </c>
      <c r="F2475" s="370">
        <v>50000</v>
      </c>
      <c r="G2475" s="353">
        <v>0</v>
      </c>
      <c r="H2475" s="347" t="s">
        <v>733</v>
      </c>
      <c r="I2475" s="355"/>
      <c r="K2475" s="370"/>
      <c r="N2475" s="370"/>
    </row>
    <row r="2476" spans="1:14" s="347" customFormat="1" x14ac:dyDescent="0.25">
      <c r="A2476" s="350">
        <v>44347</v>
      </c>
      <c r="B2476" s="351">
        <f t="shared" si="45"/>
        <v>5</v>
      </c>
      <c r="C2476" s="352">
        <v>141</v>
      </c>
      <c r="D2476" s="340" t="str">
        <f>VLOOKUP(C2476,Plan!A:B,2,0)</f>
        <v>Cuentas por Cobrar a Administración</v>
      </c>
      <c r="E2476" s="341">
        <f t="shared" si="46"/>
        <v>100000</v>
      </c>
      <c r="F2476" s="370">
        <v>100000</v>
      </c>
      <c r="G2476" s="353">
        <v>0</v>
      </c>
      <c r="H2476" s="347" t="s">
        <v>743</v>
      </c>
      <c r="I2476" s="355"/>
      <c r="K2476" s="370"/>
      <c r="N2476" s="370"/>
    </row>
    <row r="2477" spans="1:14" s="347" customFormat="1" x14ac:dyDescent="0.25">
      <c r="A2477" s="350">
        <v>44347</v>
      </c>
      <c r="B2477" s="351">
        <f t="shared" si="45"/>
        <v>5</v>
      </c>
      <c r="C2477" s="352">
        <v>141</v>
      </c>
      <c r="D2477" s="340" t="str">
        <f>VLOOKUP(C2477,Plan!A:B,2,0)</f>
        <v>Cuentas por Cobrar a Administración</v>
      </c>
      <c r="E2477" s="341">
        <f t="shared" si="46"/>
        <v>53000</v>
      </c>
      <c r="F2477" s="370">
        <v>53000</v>
      </c>
      <c r="G2477" s="353">
        <v>0</v>
      </c>
      <c r="H2477" s="347" t="s">
        <v>737</v>
      </c>
      <c r="I2477" s="355"/>
      <c r="K2477" s="370"/>
      <c r="N2477" s="370"/>
    </row>
    <row r="2478" spans="1:14" s="347" customFormat="1" x14ac:dyDescent="0.25">
      <c r="A2478" s="350">
        <v>44347</v>
      </c>
      <c r="B2478" s="351">
        <f t="shared" si="45"/>
        <v>5</v>
      </c>
      <c r="C2478" s="352">
        <v>141</v>
      </c>
      <c r="D2478" s="340" t="str">
        <f>VLOOKUP(C2478,Plan!A:B,2,0)</f>
        <v>Cuentas por Cobrar a Administración</v>
      </c>
      <c r="E2478" s="341">
        <f t="shared" si="46"/>
        <v>15000</v>
      </c>
      <c r="F2478" s="370">
        <v>15000</v>
      </c>
      <c r="G2478" s="353">
        <v>0</v>
      </c>
      <c r="H2478" s="347" t="s">
        <v>688</v>
      </c>
      <c r="I2478" s="355"/>
      <c r="K2478" s="370"/>
      <c r="N2478" s="370"/>
    </row>
    <row r="2479" spans="1:14" s="347" customFormat="1" x14ac:dyDescent="0.25">
      <c r="A2479" s="350">
        <v>44347</v>
      </c>
      <c r="B2479" s="351">
        <f t="shared" si="45"/>
        <v>5</v>
      </c>
      <c r="C2479" s="352">
        <v>141</v>
      </c>
      <c r="D2479" s="340" t="str">
        <f>VLOOKUP(C2479,Plan!A:B,2,0)</f>
        <v>Cuentas por Cobrar a Administración</v>
      </c>
      <c r="E2479" s="341">
        <f t="shared" si="46"/>
        <v>30000</v>
      </c>
      <c r="F2479" s="370">
        <v>30000</v>
      </c>
      <c r="G2479" s="353">
        <v>0</v>
      </c>
      <c r="H2479" s="347" t="s">
        <v>1352</v>
      </c>
      <c r="I2479" s="355"/>
      <c r="K2479" s="370"/>
      <c r="N2479" s="370"/>
    </row>
    <row r="2480" spans="1:14" s="347" customFormat="1" x14ac:dyDescent="0.25">
      <c r="A2480" s="350">
        <v>44347</v>
      </c>
      <c r="B2480" s="351">
        <f t="shared" si="45"/>
        <v>5</v>
      </c>
      <c r="C2480" s="352">
        <v>141</v>
      </c>
      <c r="D2480" s="340" t="str">
        <f>VLOOKUP(C2480,Plan!A:B,2,0)</f>
        <v>Cuentas por Cobrar a Administración</v>
      </c>
      <c r="E2480" s="341">
        <f t="shared" si="46"/>
        <v>250000</v>
      </c>
      <c r="F2480" s="370">
        <v>250000</v>
      </c>
      <c r="G2480" s="353">
        <v>0</v>
      </c>
      <c r="H2480" s="347" t="s">
        <v>1210</v>
      </c>
      <c r="I2480" s="355"/>
      <c r="K2480" s="370"/>
      <c r="N2480" s="370"/>
    </row>
    <row r="2481" spans="1:14" s="347" customFormat="1" x14ac:dyDescent="0.25">
      <c r="A2481" s="350">
        <v>44347</v>
      </c>
      <c r="B2481" s="351">
        <f t="shared" si="45"/>
        <v>5</v>
      </c>
      <c r="C2481" s="352">
        <v>141</v>
      </c>
      <c r="D2481" s="340" t="str">
        <f>VLOOKUP(C2481,Plan!A:B,2,0)</f>
        <v>Cuentas por Cobrar a Administración</v>
      </c>
      <c r="E2481" s="341">
        <f t="shared" si="46"/>
        <v>30000</v>
      </c>
      <c r="F2481" s="370">
        <v>30000</v>
      </c>
      <c r="G2481" s="353">
        <v>0</v>
      </c>
      <c r="H2481" t="s">
        <v>675</v>
      </c>
      <c r="I2481" s="355"/>
      <c r="K2481" s="370"/>
      <c r="N2481" s="370"/>
    </row>
    <row r="2482" spans="1:14" s="347" customFormat="1" x14ac:dyDescent="0.25">
      <c r="A2482" s="350">
        <v>44347</v>
      </c>
      <c r="B2482" s="351">
        <f t="shared" si="45"/>
        <v>5</v>
      </c>
      <c r="C2482" s="352">
        <v>141</v>
      </c>
      <c r="D2482" s="340" t="str">
        <f>VLOOKUP(C2482,Plan!A:B,2,0)</f>
        <v>Cuentas por Cobrar a Administración</v>
      </c>
      <c r="E2482" s="341">
        <f t="shared" si="46"/>
        <v>20000</v>
      </c>
      <c r="F2482" s="370">
        <v>20000</v>
      </c>
      <c r="G2482" s="353">
        <v>0</v>
      </c>
      <c r="H2482" s="347" t="s">
        <v>1440</v>
      </c>
      <c r="I2482" s="355"/>
      <c r="K2482" s="370"/>
      <c r="N2482" s="370"/>
    </row>
    <row r="2483" spans="1:14" s="347" customFormat="1" x14ac:dyDescent="0.25">
      <c r="A2483" s="350">
        <v>44347</v>
      </c>
      <c r="B2483" s="351">
        <f t="shared" si="45"/>
        <v>5</v>
      </c>
      <c r="C2483" s="352">
        <v>141</v>
      </c>
      <c r="D2483" s="340" t="str">
        <f>VLOOKUP(C2483,Plan!A:B,2,0)</f>
        <v>Cuentas por Cobrar a Administración</v>
      </c>
      <c r="E2483" s="341">
        <f t="shared" si="46"/>
        <v>50000</v>
      </c>
      <c r="F2483" s="370">
        <v>50000</v>
      </c>
      <c r="G2483" s="353">
        <v>0</v>
      </c>
      <c r="H2483" s="347" t="s">
        <v>1459</v>
      </c>
      <c r="I2483" s="355"/>
      <c r="K2483" s="370"/>
      <c r="N2483" s="370"/>
    </row>
    <row r="2484" spans="1:14" s="347" customFormat="1" x14ac:dyDescent="0.25">
      <c r="A2484" s="350">
        <v>44347</v>
      </c>
      <c r="B2484" s="351">
        <f t="shared" si="45"/>
        <v>5</v>
      </c>
      <c r="C2484" s="352">
        <v>141</v>
      </c>
      <c r="D2484" s="340" t="str">
        <f>VLOOKUP(C2484,Plan!A:B,2,0)</f>
        <v>Cuentas por Cobrar a Administración</v>
      </c>
      <c r="E2484" s="341">
        <f t="shared" si="46"/>
        <v>200000</v>
      </c>
      <c r="F2484" s="370">
        <v>200000</v>
      </c>
      <c r="G2484" s="353">
        <v>0</v>
      </c>
      <c r="H2484" s="347" t="s">
        <v>1501</v>
      </c>
      <c r="I2484" s="355"/>
      <c r="K2484" s="370"/>
      <c r="N2484" s="370"/>
    </row>
    <row r="2485" spans="1:14" s="347" customFormat="1" x14ac:dyDescent="0.25">
      <c r="A2485" s="350">
        <v>44347</v>
      </c>
      <c r="B2485" s="351">
        <f t="shared" si="45"/>
        <v>5</v>
      </c>
      <c r="C2485" s="352">
        <v>141</v>
      </c>
      <c r="D2485" s="340" t="str">
        <f>VLOOKUP(C2485,Plan!A:B,2,0)</f>
        <v>Cuentas por Cobrar a Administración</v>
      </c>
      <c r="E2485" s="341">
        <f t="shared" si="46"/>
        <v>10000</v>
      </c>
      <c r="F2485" s="370">
        <v>10000</v>
      </c>
      <c r="G2485" s="353">
        <v>0</v>
      </c>
      <c r="H2485" s="347" t="s">
        <v>1517</v>
      </c>
      <c r="I2485" s="355"/>
      <c r="K2485" s="370"/>
      <c r="N2485" s="370"/>
    </row>
    <row r="2486" spans="1:14" s="347" customFormat="1" x14ac:dyDescent="0.25">
      <c r="A2486" s="350">
        <v>44347</v>
      </c>
      <c r="B2486" s="351">
        <f t="shared" si="45"/>
        <v>5</v>
      </c>
      <c r="C2486" s="352">
        <v>141</v>
      </c>
      <c r="D2486" s="340" t="str">
        <f>VLOOKUP(C2486,Plan!A:B,2,0)</f>
        <v>Cuentas por Cobrar a Administración</v>
      </c>
      <c r="E2486" s="341">
        <f t="shared" si="46"/>
        <v>250000</v>
      </c>
      <c r="F2486" s="370">
        <v>250000</v>
      </c>
      <c r="G2486" s="353">
        <v>0</v>
      </c>
      <c r="H2486" s="347" t="s">
        <v>1544</v>
      </c>
      <c r="I2486" s="355"/>
      <c r="K2486" s="370"/>
      <c r="N2486" s="370"/>
    </row>
    <row r="2487" spans="1:14" s="347" customFormat="1" x14ac:dyDescent="0.25">
      <c r="A2487" s="350">
        <v>44347</v>
      </c>
      <c r="B2487" s="351">
        <f t="shared" si="45"/>
        <v>5</v>
      </c>
      <c r="C2487" s="352">
        <v>141</v>
      </c>
      <c r="D2487" s="340" t="str">
        <f>VLOOKUP(C2487,Plan!A:B,2,0)</f>
        <v>Cuentas por Cobrar a Administración</v>
      </c>
      <c r="E2487" s="341">
        <f t="shared" si="46"/>
        <v>20000</v>
      </c>
      <c r="F2487" s="370">
        <v>20000</v>
      </c>
      <c r="G2487" s="353">
        <v>0</v>
      </c>
      <c r="H2487" s="347" t="s">
        <v>1547</v>
      </c>
      <c r="I2487" s="355"/>
      <c r="K2487" s="370"/>
      <c r="N2487" s="370"/>
    </row>
    <row r="2488" spans="1:14" s="347" customFormat="1" x14ac:dyDescent="0.25">
      <c r="A2488" s="350">
        <v>44347</v>
      </c>
      <c r="B2488" s="351">
        <f t="shared" si="45"/>
        <v>5</v>
      </c>
      <c r="C2488" s="352">
        <v>3210</v>
      </c>
      <c r="D2488" s="340" t="str">
        <f>VLOOKUP(C2488,Plan!A:B,2,0)</f>
        <v>Donacion Construccion</v>
      </c>
      <c r="E2488" s="341">
        <f t="shared" si="46"/>
        <v>-30000</v>
      </c>
      <c r="F2488" s="347">
        <v>0</v>
      </c>
      <c r="G2488" s="370">
        <v>30000</v>
      </c>
      <c r="H2488" s="347" t="s">
        <v>747</v>
      </c>
      <c r="I2488" s="355"/>
      <c r="K2488" s="370"/>
      <c r="N2488" s="370"/>
    </row>
    <row r="2489" spans="1:14" s="347" customFormat="1" x14ac:dyDescent="0.25">
      <c r="A2489" s="350">
        <v>44347</v>
      </c>
      <c r="B2489" s="351">
        <f t="shared" si="45"/>
        <v>5</v>
      </c>
      <c r="C2489" s="352">
        <v>3210</v>
      </c>
      <c r="D2489" s="340" t="str">
        <f>VLOOKUP(C2489,Plan!A:B,2,0)</f>
        <v>Donacion Construccion</v>
      </c>
      <c r="E2489" s="341">
        <f t="shared" si="46"/>
        <v>-20000</v>
      </c>
      <c r="F2489" s="347">
        <v>0</v>
      </c>
      <c r="G2489" s="370">
        <v>20000</v>
      </c>
      <c r="H2489" s="347" t="s">
        <v>1236</v>
      </c>
      <c r="I2489" s="355"/>
      <c r="K2489" s="370"/>
      <c r="N2489" s="370"/>
    </row>
    <row r="2490" spans="1:14" s="347" customFormat="1" x14ac:dyDescent="0.25">
      <c r="A2490" s="350">
        <v>44347</v>
      </c>
      <c r="B2490" s="351">
        <f t="shared" si="45"/>
        <v>5</v>
      </c>
      <c r="C2490" s="352">
        <v>1222</v>
      </c>
      <c r="D2490" s="340" t="str">
        <f>VLOOKUP(C2490,Plan!A:B,2,0)</f>
        <v>Otros Valores -Oficina y Transferencias (249)</v>
      </c>
      <c r="E2490" s="341">
        <f t="shared" si="46"/>
        <v>-40000</v>
      </c>
      <c r="F2490" s="347">
        <v>0</v>
      </c>
      <c r="G2490" s="370">
        <v>40000</v>
      </c>
      <c r="H2490" s="347" t="s">
        <v>1409</v>
      </c>
      <c r="I2490" s="355"/>
      <c r="K2490" s="370"/>
      <c r="N2490" s="370"/>
    </row>
    <row r="2491" spans="1:14" s="347" customFormat="1" x14ac:dyDescent="0.25">
      <c r="A2491" s="350">
        <v>44347</v>
      </c>
      <c r="B2491" s="351">
        <f t="shared" si="45"/>
        <v>5</v>
      </c>
      <c r="C2491" s="352">
        <v>3210</v>
      </c>
      <c r="D2491" s="340" t="str">
        <f>VLOOKUP(C2491,Plan!A:B,2,0)</f>
        <v>Donacion Construccion</v>
      </c>
      <c r="E2491" s="341">
        <f t="shared" si="46"/>
        <v>-50000</v>
      </c>
      <c r="F2491" s="347">
        <v>0</v>
      </c>
      <c r="G2491" s="370">
        <v>50000</v>
      </c>
      <c r="H2491" s="347" t="s">
        <v>733</v>
      </c>
      <c r="I2491" s="355"/>
      <c r="K2491" s="370"/>
      <c r="N2491" s="370"/>
    </row>
    <row r="2492" spans="1:14" s="347" customFormat="1" x14ac:dyDescent="0.25">
      <c r="A2492" s="350">
        <v>44347</v>
      </c>
      <c r="B2492" s="351">
        <f t="shared" si="45"/>
        <v>5</v>
      </c>
      <c r="C2492" s="352">
        <v>1222</v>
      </c>
      <c r="D2492" s="340" t="str">
        <f>VLOOKUP(C2492,Plan!A:B,2,0)</f>
        <v>Otros Valores -Oficina y Transferencias (249)</v>
      </c>
      <c r="E2492" s="341">
        <f t="shared" si="46"/>
        <v>-100000</v>
      </c>
      <c r="F2492" s="347">
        <v>0</v>
      </c>
      <c r="G2492" s="370">
        <v>100000</v>
      </c>
      <c r="H2492" s="347" t="s">
        <v>743</v>
      </c>
      <c r="I2492" s="355"/>
      <c r="K2492" s="370"/>
      <c r="N2492" s="370"/>
    </row>
    <row r="2493" spans="1:14" s="347" customFormat="1" x14ac:dyDescent="0.25">
      <c r="A2493" s="350">
        <v>44347</v>
      </c>
      <c r="B2493" s="351">
        <f t="shared" si="45"/>
        <v>5</v>
      </c>
      <c r="C2493" s="352">
        <v>1222</v>
      </c>
      <c r="D2493" s="340" t="str">
        <f>VLOOKUP(C2493,Plan!A:B,2,0)</f>
        <v>Otros Valores -Oficina y Transferencias (249)</v>
      </c>
      <c r="E2493" s="341">
        <f t="shared" si="46"/>
        <v>-53000</v>
      </c>
      <c r="F2493" s="347">
        <v>0</v>
      </c>
      <c r="G2493" s="370">
        <v>53000</v>
      </c>
      <c r="H2493" s="347" t="s">
        <v>737</v>
      </c>
      <c r="I2493" s="355"/>
      <c r="K2493" s="370"/>
      <c r="N2493" s="370"/>
    </row>
    <row r="2494" spans="1:14" s="347" customFormat="1" x14ac:dyDescent="0.25">
      <c r="A2494" s="350">
        <v>44347</v>
      </c>
      <c r="B2494" s="351">
        <f t="shared" si="45"/>
        <v>5</v>
      </c>
      <c r="C2494" s="352">
        <v>1222</v>
      </c>
      <c r="D2494" s="340" t="str">
        <f>VLOOKUP(C2494,Plan!A:B,2,0)</f>
        <v>Otros Valores -Oficina y Transferencias (249)</v>
      </c>
      <c r="E2494" s="341">
        <f t="shared" si="46"/>
        <v>-15000</v>
      </c>
      <c r="F2494" s="347">
        <v>0</v>
      </c>
      <c r="G2494" s="370">
        <v>15000</v>
      </c>
      <c r="H2494" s="347" t="s">
        <v>688</v>
      </c>
      <c r="I2494" s="355"/>
      <c r="K2494" s="370"/>
      <c r="N2494" s="370"/>
    </row>
    <row r="2495" spans="1:14" s="347" customFormat="1" x14ac:dyDescent="0.25">
      <c r="A2495" s="350">
        <v>44347</v>
      </c>
      <c r="B2495" s="351">
        <f t="shared" si="45"/>
        <v>5</v>
      </c>
      <c r="C2495" s="352">
        <v>3210</v>
      </c>
      <c r="D2495" s="340" t="str">
        <f>VLOOKUP(C2495,Plan!A:B,2,0)</f>
        <v>Donacion Construccion</v>
      </c>
      <c r="E2495" s="341">
        <f t="shared" si="46"/>
        <v>-30000</v>
      </c>
      <c r="F2495" s="347">
        <v>0</v>
      </c>
      <c r="G2495" s="370">
        <v>30000</v>
      </c>
      <c r="H2495" s="347" t="s">
        <v>1352</v>
      </c>
      <c r="I2495" s="355"/>
      <c r="K2495" s="370"/>
      <c r="N2495" s="370"/>
    </row>
    <row r="2496" spans="1:14" s="347" customFormat="1" x14ac:dyDescent="0.25">
      <c r="A2496" s="350">
        <v>44347</v>
      </c>
      <c r="B2496" s="351">
        <f t="shared" si="45"/>
        <v>5</v>
      </c>
      <c r="C2496" s="352">
        <v>3210</v>
      </c>
      <c r="D2496" s="340" t="str">
        <f>VLOOKUP(C2496,Plan!A:B,2,0)</f>
        <v>Donacion Construccion</v>
      </c>
      <c r="E2496" s="341">
        <f t="shared" si="46"/>
        <v>-250000</v>
      </c>
      <c r="F2496" s="347">
        <v>0</v>
      </c>
      <c r="G2496" s="370">
        <v>250000</v>
      </c>
      <c r="H2496" s="347" t="s">
        <v>1210</v>
      </c>
      <c r="I2496" s="355"/>
      <c r="K2496" s="370"/>
      <c r="N2496" s="370"/>
    </row>
    <row r="2497" spans="1:14" s="347" customFormat="1" x14ac:dyDescent="0.25">
      <c r="A2497" s="350">
        <v>44347</v>
      </c>
      <c r="B2497" s="351">
        <f t="shared" si="45"/>
        <v>5</v>
      </c>
      <c r="C2497" s="352">
        <v>1222</v>
      </c>
      <c r="D2497" s="340" t="str">
        <f>VLOOKUP(C2497,Plan!A:B,2,0)</f>
        <v>Otros Valores -Oficina y Transferencias (249)</v>
      </c>
      <c r="E2497" s="341">
        <f t="shared" si="46"/>
        <v>-30000</v>
      </c>
      <c r="F2497" s="347">
        <v>0</v>
      </c>
      <c r="G2497" s="370">
        <v>30000</v>
      </c>
      <c r="H2497" t="s">
        <v>675</v>
      </c>
      <c r="I2497" s="355"/>
      <c r="K2497" s="370"/>
      <c r="N2497" s="370"/>
    </row>
    <row r="2498" spans="1:14" s="347" customFormat="1" x14ac:dyDescent="0.25">
      <c r="A2498" s="350">
        <v>44347</v>
      </c>
      <c r="B2498" s="351">
        <f t="shared" si="45"/>
        <v>5</v>
      </c>
      <c r="C2498" s="352">
        <v>3210</v>
      </c>
      <c r="D2498" s="340" t="str">
        <f>VLOOKUP(C2498,Plan!A:B,2,0)</f>
        <v>Donacion Construccion</v>
      </c>
      <c r="E2498" s="341">
        <f t="shared" si="46"/>
        <v>-20000</v>
      </c>
      <c r="F2498" s="347">
        <v>0</v>
      </c>
      <c r="G2498" s="370">
        <v>20000</v>
      </c>
      <c r="H2498" s="347" t="s">
        <v>1440</v>
      </c>
      <c r="I2498" s="355"/>
      <c r="K2498" s="370"/>
      <c r="N2498" s="370"/>
    </row>
    <row r="2499" spans="1:14" s="347" customFormat="1" x14ac:dyDescent="0.25">
      <c r="A2499" s="350">
        <v>44347</v>
      </c>
      <c r="B2499" s="351">
        <f t="shared" si="45"/>
        <v>5</v>
      </c>
      <c r="C2499" s="352">
        <v>1222</v>
      </c>
      <c r="D2499" s="340" t="str">
        <f>VLOOKUP(C2499,Plan!A:B,2,0)</f>
        <v>Otros Valores -Oficina y Transferencias (249)</v>
      </c>
      <c r="E2499" s="341">
        <f t="shared" si="46"/>
        <v>-50000</v>
      </c>
      <c r="F2499" s="347">
        <v>0</v>
      </c>
      <c r="G2499" s="370">
        <v>50000</v>
      </c>
      <c r="H2499" s="347" t="s">
        <v>1459</v>
      </c>
      <c r="I2499" s="355"/>
      <c r="K2499" s="370"/>
      <c r="N2499" s="370"/>
    </row>
    <row r="2500" spans="1:14" s="347" customFormat="1" x14ac:dyDescent="0.25">
      <c r="A2500" s="350">
        <v>44347</v>
      </c>
      <c r="B2500" s="351">
        <f t="shared" si="45"/>
        <v>5</v>
      </c>
      <c r="C2500" s="352">
        <v>1217</v>
      </c>
      <c r="D2500" s="340" t="str">
        <f>VLOOKUP(C2500,Plan!A:B,2,0)</f>
        <v>Otros Valores -Oficina y Transferencias (248)</v>
      </c>
      <c r="E2500" s="341">
        <f t="shared" si="46"/>
        <v>-200000</v>
      </c>
      <c r="F2500" s="347">
        <v>0</v>
      </c>
      <c r="G2500" s="370">
        <v>200000</v>
      </c>
      <c r="H2500" s="347" t="s">
        <v>1501</v>
      </c>
      <c r="I2500" s="355"/>
      <c r="K2500" s="370"/>
      <c r="N2500" s="370"/>
    </row>
    <row r="2501" spans="1:14" s="347" customFormat="1" x14ac:dyDescent="0.25">
      <c r="A2501" s="350">
        <v>44347</v>
      </c>
      <c r="B2501" s="351">
        <f t="shared" si="45"/>
        <v>5</v>
      </c>
      <c r="C2501" s="352">
        <v>1222</v>
      </c>
      <c r="D2501" s="340" t="str">
        <f>VLOOKUP(C2501,Plan!A:B,2,0)</f>
        <v>Otros Valores -Oficina y Transferencias (249)</v>
      </c>
      <c r="E2501" s="341">
        <f t="shared" si="46"/>
        <v>-10000</v>
      </c>
      <c r="F2501" s="347">
        <v>0</v>
      </c>
      <c r="G2501" s="370">
        <v>10000</v>
      </c>
      <c r="H2501" s="347" t="s">
        <v>1517</v>
      </c>
      <c r="I2501" s="355"/>
      <c r="K2501" s="370"/>
      <c r="N2501" s="370"/>
    </row>
    <row r="2502" spans="1:14" s="347" customFormat="1" x14ac:dyDescent="0.25">
      <c r="A2502" s="350">
        <v>44347</v>
      </c>
      <c r="B2502" s="351">
        <f t="shared" si="45"/>
        <v>5</v>
      </c>
      <c r="C2502" s="352">
        <v>1222</v>
      </c>
      <c r="D2502" s="340" t="str">
        <f>VLOOKUP(C2502,Plan!A:B,2,0)</f>
        <v>Otros Valores -Oficina y Transferencias (249)</v>
      </c>
      <c r="E2502" s="341">
        <f t="shared" si="46"/>
        <v>-250000</v>
      </c>
      <c r="F2502" s="347">
        <v>0</v>
      </c>
      <c r="G2502" s="370">
        <v>250000</v>
      </c>
      <c r="H2502" s="347" t="s">
        <v>1544</v>
      </c>
      <c r="I2502" s="355"/>
      <c r="K2502" s="370"/>
      <c r="N2502" s="370"/>
    </row>
    <row r="2503" spans="1:14" s="347" customFormat="1" x14ac:dyDescent="0.25">
      <c r="A2503" s="350">
        <v>44347</v>
      </c>
      <c r="B2503" s="351">
        <f t="shared" si="45"/>
        <v>5</v>
      </c>
      <c r="C2503" s="352">
        <v>1217</v>
      </c>
      <c r="D2503" s="340" t="str">
        <f>VLOOKUP(C2503,Plan!A:B,2,0)</f>
        <v>Otros Valores -Oficina y Transferencias (248)</v>
      </c>
      <c r="E2503" s="341">
        <f t="shared" si="46"/>
        <v>-20000</v>
      </c>
      <c r="F2503" s="347">
        <v>0</v>
      </c>
      <c r="G2503" s="370">
        <v>20000</v>
      </c>
      <c r="H2503" s="347" t="s">
        <v>1547</v>
      </c>
      <c r="I2503" s="355"/>
      <c r="K2503" s="370"/>
      <c r="N2503" s="370"/>
    </row>
    <row r="2504" spans="1:14" s="347" customFormat="1" x14ac:dyDescent="0.25">
      <c r="A2504" s="350"/>
      <c r="B2504" s="351"/>
      <c r="C2504" s="352"/>
      <c r="D2504" s="340"/>
      <c r="E2504" s="341"/>
      <c r="F2504" s="353"/>
      <c r="G2504" s="353"/>
      <c r="H2504" s="354"/>
      <c r="I2504" s="355"/>
      <c r="K2504" s="370"/>
      <c r="N2504" s="370"/>
    </row>
    <row r="2505" spans="1:14" s="347" customFormat="1" x14ac:dyDescent="0.25">
      <c r="A2505" s="402">
        <f>+A2481</f>
        <v>44347</v>
      </c>
      <c r="B2505" s="403">
        <f>+B2481</f>
        <v>5</v>
      </c>
      <c r="C2505" s="338">
        <v>125</v>
      </c>
      <c r="D2505" s="340" t="str">
        <f>VLOOKUP(C2505,Plan!A:B,2,0)</f>
        <v>Depósito a plazo Cali</v>
      </c>
      <c r="E2505" s="341">
        <f>+F2505-G2505</f>
        <v>0</v>
      </c>
      <c r="F2505" s="346">
        <v>0</v>
      </c>
      <c r="G2505" s="346">
        <v>0</v>
      </c>
      <c r="H2505" s="343" t="s">
        <v>858</v>
      </c>
      <c r="I2505" s="340" t="s">
        <v>131</v>
      </c>
      <c r="K2505" s="370"/>
      <c r="N2505" s="370"/>
    </row>
    <row r="2506" spans="1:14" s="347" customFormat="1" x14ac:dyDescent="0.25">
      <c r="A2506" s="402">
        <f>+A2505</f>
        <v>44347</v>
      </c>
      <c r="B2506" s="403">
        <f>+B2505</f>
        <v>5</v>
      </c>
      <c r="C2506" s="338">
        <v>6002</v>
      </c>
      <c r="D2506" s="340" t="str">
        <f>VLOOKUP(C2506,Plan!A:B,2,0)</f>
        <v>Intereses Financieros Cali</v>
      </c>
      <c r="E2506" s="341">
        <f>+F2506-G2506</f>
        <v>0</v>
      </c>
      <c r="F2506" s="346">
        <v>0</v>
      </c>
      <c r="G2506" s="346">
        <f>+F2505</f>
        <v>0</v>
      </c>
      <c r="H2506" s="338" t="s">
        <v>858</v>
      </c>
      <c r="I2506" s="340" t="s">
        <v>131</v>
      </c>
      <c r="K2506" s="370"/>
      <c r="N2506" s="370"/>
    </row>
    <row r="2507" spans="1:14" s="347" customFormat="1" x14ac:dyDescent="0.25">
      <c r="A2507" s="339"/>
      <c r="B2507" s="340"/>
      <c r="C2507" s="338"/>
      <c r="D2507" s="340"/>
      <c r="E2507" s="396"/>
      <c r="F2507" s="396"/>
      <c r="G2507" s="396"/>
      <c r="H2507" s="338"/>
      <c r="I2507" s="340"/>
      <c r="K2507" s="370"/>
      <c r="N2507" s="370"/>
    </row>
    <row r="2508" spans="1:14" s="347" customFormat="1" x14ac:dyDescent="0.25">
      <c r="A2508" s="402">
        <f>+A2505</f>
        <v>44347</v>
      </c>
      <c r="B2508" s="403">
        <f>+B2505</f>
        <v>5</v>
      </c>
      <c r="C2508" s="338">
        <v>118</v>
      </c>
      <c r="D2508" s="340" t="str">
        <f>VLOOKUP(C2508,Plan!A:B,2,0)</f>
        <v>Depósito a plazo Cali Banco Security</v>
      </c>
      <c r="E2508" s="341">
        <f>+F2508-G2508</f>
        <v>520586</v>
      </c>
      <c r="F2508" s="346">
        <v>520586</v>
      </c>
      <c r="G2508" s="346">
        <v>0</v>
      </c>
      <c r="H2508" s="343" t="s">
        <v>859</v>
      </c>
      <c r="I2508" s="340" t="s">
        <v>131</v>
      </c>
      <c r="K2508" s="370"/>
      <c r="N2508" s="370"/>
    </row>
    <row r="2509" spans="1:14" s="347" customFormat="1" x14ac:dyDescent="0.25">
      <c r="A2509" s="402">
        <f>+A2508</f>
        <v>44347</v>
      </c>
      <c r="B2509" s="403">
        <f>+B2508</f>
        <v>5</v>
      </c>
      <c r="C2509" s="338">
        <v>6002</v>
      </c>
      <c r="D2509" s="340" t="str">
        <f>VLOOKUP(C2509,Plan!A:B,2,0)</f>
        <v>Intereses Financieros Cali</v>
      </c>
      <c r="E2509" s="341">
        <f>+F2509-G2509</f>
        <v>-520586</v>
      </c>
      <c r="F2509" s="346">
        <v>0</v>
      </c>
      <c r="G2509" s="346">
        <f>+F2508</f>
        <v>520586</v>
      </c>
      <c r="H2509" s="338" t="s">
        <v>859</v>
      </c>
      <c r="I2509" s="340" t="s">
        <v>131</v>
      </c>
      <c r="K2509" s="370"/>
      <c r="N2509" s="370"/>
    </row>
    <row r="2510" spans="1:14" s="347" customFormat="1" x14ac:dyDescent="0.25">
      <c r="A2510" s="339"/>
      <c r="B2510" s="340"/>
      <c r="C2510" s="338"/>
      <c r="D2510" s="340"/>
      <c r="E2510" s="396"/>
      <c r="F2510" s="396"/>
      <c r="G2510" s="396"/>
      <c r="H2510" s="338"/>
      <c r="I2510" s="340"/>
      <c r="K2510" s="370"/>
      <c r="N2510" s="370"/>
    </row>
    <row r="2511" spans="1:14" s="347" customFormat="1" x14ac:dyDescent="0.25">
      <c r="A2511" s="402">
        <f>+A2508</f>
        <v>44347</v>
      </c>
      <c r="B2511" s="403">
        <f>+B2508</f>
        <v>5</v>
      </c>
      <c r="C2511" s="338">
        <v>119</v>
      </c>
      <c r="D2511" s="340" t="str">
        <f>VLOOKUP(C2511,Plan!A:B,2,0)</f>
        <v>FM Cali Banco Security</v>
      </c>
      <c r="E2511" s="341">
        <f>+F2511-G2511</f>
        <v>555</v>
      </c>
      <c r="F2511" s="346">
        <v>555</v>
      </c>
      <c r="G2511" s="346">
        <v>0</v>
      </c>
      <c r="H2511" s="343" t="s">
        <v>554</v>
      </c>
      <c r="I2511" s="340" t="s">
        <v>131</v>
      </c>
      <c r="K2511" s="370"/>
      <c r="N2511" s="370"/>
    </row>
    <row r="2512" spans="1:14" s="347" customFormat="1" x14ac:dyDescent="0.25">
      <c r="A2512" s="402">
        <f>+A2511</f>
        <v>44347</v>
      </c>
      <c r="B2512" s="403">
        <f>+B2511</f>
        <v>5</v>
      </c>
      <c r="C2512" s="338">
        <v>6002</v>
      </c>
      <c r="D2512" s="340" t="str">
        <f>VLOOKUP(C2512,Plan!A:B,2,0)</f>
        <v>Intereses Financieros Cali</v>
      </c>
      <c r="E2512" s="341">
        <f>+F2512-G2512</f>
        <v>-555</v>
      </c>
      <c r="F2512" s="346">
        <v>0</v>
      </c>
      <c r="G2512" s="346">
        <f>+F2511</f>
        <v>555</v>
      </c>
      <c r="H2512" s="338" t="s">
        <v>554</v>
      </c>
      <c r="I2512" s="340" t="s">
        <v>131</v>
      </c>
      <c r="K2512" s="370"/>
      <c r="N2512" s="370"/>
    </row>
    <row r="2513" spans="1:14" s="347" customFormat="1" x14ac:dyDescent="0.25">
      <c r="A2513" s="369"/>
      <c r="E2513" s="396"/>
      <c r="F2513" s="396"/>
      <c r="G2513" s="396"/>
      <c r="K2513" s="370"/>
      <c r="N2513" s="370"/>
    </row>
    <row r="2514" spans="1:14" s="347" customFormat="1" x14ac:dyDescent="0.25">
      <c r="A2514" s="402">
        <f>+A2511</f>
        <v>44347</v>
      </c>
      <c r="B2514" s="403">
        <f>+B2511</f>
        <v>5</v>
      </c>
      <c r="C2514" s="338">
        <v>113</v>
      </c>
      <c r="D2514" s="340" t="str">
        <f>VLOOKUP(C2514,Plan!A:B,2,0)</f>
        <v>Depósito a plazo Cali Banco Santander</v>
      </c>
      <c r="E2514" s="341">
        <f>+F2514-G2514</f>
        <v>12005</v>
      </c>
      <c r="F2514" s="346">
        <v>12005</v>
      </c>
      <c r="G2514" s="346">
        <v>0</v>
      </c>
      <c r="H2514" s="343" t="s">
        <v>2122</v>
      </c>
      <c r="I2514" s="340" t="s">
        <v>131</v>
      </c>
      <c r="K2514" s="370"/>
      <c r="N2514" s="370"/>
    </row>
    <row r="2515" spans="1:14" s="347" customFormat="1" x14ac:dyDescent="0.25">
      <c r="A2515" s="402">
        <f>+A2514</f>
        <v>44347</v>
      </c>
      <c r="B2515" s="403">
        <f>+B2514</f>
        <v>5</v>
      </c>
      <c r="C2515" s="338">
        <v>6002</v>
      </c>
      <c r="D2515" s="340" t="str">
        <f>VLOOKUP(C2515,Plan!A:B,2,0)</f>
        <v>Intereses Financieros Cali</v>
      </c>
      <c r="E2515" s="341">
        <f>+F2515-G2515</f>
        <v>-12005</v>
      </c>
      <c r="F2515" s="346">
        <v>0</v>
      </c>
      <c r="G2515" s="346">
        <f>+F2514</f>
        <v>12005</v>
      </c>
      <c r="H2515" s="338" t="str">
        <f>+H2514</f>
        <v>Intereses Devengados DAP Santander</v>
      </c>
      <c r="I2515" s="340" t="s">
        <v>131</v>
      </c>
      <c r="K2515" s="370"/>
      <c r="N2515" s="370"/>
    </row>
    <row r="2516" spans="1:14" s="347" customFormat="1" x14ac:dyDescent="0.25">
      <c r="A2516" s="350"/>
      <c r="B2516" s="351"/>
      <c r="C2516" s="352"/>
      <c r="D2516" s="340"/>
      <c r="E2516" s="341"/>
      <c r="F2516" s="353"/>
      <c r="G2516" s="353"/>
      <c r="H2516" s="354"/>
      <c r="I2516" s="355"/>
      <c r="K2516" s="370"/>
      <c r="N2516" s="370"/>
    </row>
    <row r="2517" spans="1:14" s="347" customFormat="1" x14ac:dyDescent="0.25">
      <c r="A2517" s="350"/>
      <c r="B2517" s="351"/>
      <c r="C2517" s="352"/>
      <c r="D2517" s="340"/>
      <c r="E2517" s="341"/>
      <c r="F2517" s="353"/>
      <c r="G2517" s="353"/>
      <c r="H2517" s="354"/>
      <c r="I2517" s="355"/>
      <c r="K2517" s="370"/>
      <c r="N2517" s="370"/>
    </row>
    <row r="2518" spans="1:14" s="347" customFormat="1" x14ac:dyDescent="0.25">
      <c r="A2518" s="350"/>
      <c r="B2518" s="351"/>
      <c r="C2518" s="352"/>
      <c r="D2518" s="340"/>
      <c r="E2518" s="341"/>
      <c r="F2518" s="353"/>
      <c r="G2518" s="353"/>
      <c r="H2518" s="354"/>
      <c r="I2518" s="355"/>
      <c r="K2518" s="370"/>
      <c r="N2518" s="370"/>
    </row>
    <row r="2519" spans="1:14" s="347" customFormat="1" x14ac:dyDescent="0.25">
      <c r="A2519" s="350"/>
      <c r="B2519" s="351"/>
      <c r="C2519" s="352"/>
      <c r="D2519" s="340"/>
      <c r="E2519" s="341"/>
      <c r="F2519" s="353"/>
      <c r="G2519" s="353"/>
      <c r="H2519" s="354"/>
      <c r="I2519" s="355"/>
      <c r="K2519" s="370"/>
      <c r="N2519" s="370"/>
    </row>
    <row r="2520" spans="1:14" s="347" customFormat="1" x14ac:dyDescent="0.25">
      <c r="A2520" s="369"/>
      <c r="E2520" s="396"/>
      <c r="F2520" s="396"/>
      <c r="G2520" s="396"/>
      <c r="K2520" s="370"/>
      <c r="N2520" s="370"/>
    </row>
    <row r="2521" spans="1:14" s="347" customFormat="1" x14ac:dyDescent="0.25">
      <c r="A2521" s="369">
        <v>44348</v>
      </c>
      <c r="B2521" s="347">
        <f>+MONTH(A2521)</f>
        <v>6</v>
      </c>
      <c r="C2521" s="347">
        <v>115</v>
      </c>
      <c r="D2521" s="340" t="str">
        <f>VLOOKUP(C2521,Plan!A:B,2,0)</f>
        <v>Disponible Cali B.Chile</v>
      </c>
      <c r="E2521" s="341">
        <f>+F2521-G2521</f>
        <v>60000</v>
      </c>
      <c r="F2521" s="405">
        <v>60000</v>
      </c>
      <c r="G2521" s="405">
        <v>0</v>
      </c>
      <c r="H2521" t="s">
        <v>992</v>
      </c>
      <c r="I2521" s="403" t="s">
        <v>131</v>
      </c>
      <c r="K2521" s="370"/>
      <c r="N2521" s="370"/>
    </row>
    <row r="2522" spans="1:14" s="347" customFormat="1" x14ac:dyDescent="0.25">
      <c r="A2522" s="369">
        <f>+A2521</f>
        <v>44348</v>
      </c>
      <c r="B2522" s="347">
        <f>+MONTH(A2522)</f>
        <v>6</v>
      </c>
      <c r="C2522" s="347">
        <v>1222</v>
      </c>
      <c r="D2522" s="340" t="str">
        <f>VLOOKUP(C2522,Plan!A:B,2,0)</f>
        <v>Otros Valores -Oficina y Transferencias (249)</v>
      </c>
      <c r="E2522" s="341">
        <f>+F2522-G2522</f>
        <v>-60000</v>
      </c>
      <c r="F2522" s="405">
        <v>0</v>
      </c>
      <c r="G2522" s="405">
        <f>+F2521</f>
        <v>60000</v>
      </c>
      <c r="H2522" t="str">
        <f>+H2521</f>
        <v>Enrique Brahm García / 249</v>
      </c>
      <c r="I2522" s="403" t="s">
        <v>131</v>
      </c>
      <c r="K2522" s="370"/>
      <c r="N2522" s="370"/>
    </row>
    <row r="2523" spans="1:14" s="347" customFormat="1" x14ac:dyDescent="0.25">
      <c r="A2523" s="369"/>
      <c r="E2523" s="396"/>
      <c r="F2523" s="396"/>
      <c r="G2523" s="396"/>
      <c r="K2523" s="370"/>
      <c r="N2523" s="370"/>
    </row>
    <row r="2524" spans="1:14" s="347" customFormat="1" x14ac:dyDescent="0.25">
      <c r="A2524" s="369">
        <v>44348</v>
      </c>
      <c r="B2524" s="347">
        <f>+MONTH(A2524)</f>
        <v>6</v>
      </c>
      <c r="C2524" s="347">
        <v>115</v>
      </c>
      <c r="D2524" s="340" t="str">
        <f>VLOOKUP(C2524,Plan!A:B,2,0)</f>
        <v>Disponible Cali B.Chile</v>
      </c>
      <c r="E2524" s="341">
        <f>+F2524-G2524</f>
        <v>15000</v>
      </c>
      <c r="F2524" s="405">
        <v>15000</v>
      </c>
      <c r="G2524" s="405">
        <v>0</v>
      </c>
      <c r="H2524" t="s">
        <v>968</v>
      </c>
      <c r="I2524" s="403" t="s">
        <v>131</v>
      </c>
      <c r="K2524" s="370"/>
      <c r="N2524" s="370"/>
    </row>
    <row r="2525" spans="1:14" s="347" customFormat="1" x14ac:dyDescent="0.25">
      <c r="A2525" s="369">
        <f>+A2524</f>
        <v>44348</v>
      </c>
      <c r="B2525" s="347">
        <f>+MONTH(A2525)</f>
        <v>6</v>
      </c>
      <c r="C2525" s="347">
        <v>3210</v>
      </c>
      <c r="D2525" s="340" t="str">
        <f>VLOOKUP(C2525,Plan!A:B,2,0)</f>
        <v>Donacion Construccion</v>
      </c>
      <c r="E2525" s="341">
        <f>+F2525-G2525</f>
        <v>-15000</v>
      </c>
      <c r="F2525" s="405">
        <v>0</v>
      </c>
      <c r="G2525" s="405">
        <f>+F2524</f>
        <v>15000</v>
      </c>
      <c r="H2525" t="str">
        <f>+H2524</f>
        <v xml:space="preserve">María del Pilar Herrera/ azul </v>
      </c>
      <c r="I2525" s="403" t="s">
        <v>131</v>
      </c>
      <c r="K2525" s="370"/>
      <c r="N2525" s="370"/>
    </row>
    <row r="2526" spans="1:14" s="347" customFormat="1" x14ac:dyDescent="0.25">
      <c r="A2526" s="369"/>
      <c r="E2526" s="396"/>
      <c r="F2526" s="396"/>
      <c r="G2526" s="396"/>
      <c r="K2526" s="370"/>
      <c r="N2526" s="370"/>
    </row>
    <row r="2527" spans="1:14" s="347" customFormat="1" x14ac:dyDescent="0.25">
      <c r="A2527" s="369">
        <v>44348</v>
      </c>
      <c r="B2527" s="347">
        <f>+MONTH(A2527)</f>
        <v>6</v>
      </c>
      <c r="C2527" s="347">
        <v>115</v>
      </c>
      <c r="D2527" s="340" t="str">
        <f>VLOOKUP(C2527,Plan!A:B,2,0)</f>
        <v>Disponible Cali B.Chile</v>
      </c>
      <c r="E2527" s="341">
        <f>+F2527-G2527</f>
        <v>10000</v>
      </c>
      <c r="F2527" s="405">
        <v>10000</v>
      </c>
      <c r="G2527" s="405">
        <v>0</v>
      </c>
      <c r="H2527" t="s">
        <v>973</v>
      </c>
      <c r="I2527" s="403" t="s">
        <v>131</v>
      </c>
      <c r="K2527" s="370"/>
      <c r="N2527" s="370"/>
    </row>
    <row r="2528" spans="1:14" s="347" customFormat="1" x14ac:dyDescent="0.25">
      <c r="A2528" s="369">
        <f>+A2527</f>
        <v>44348</v>
      </c>
      <c r="B2528" s="347">
        <f>+MONTH(A2528)</f>
        <v>6</v>
      </c>
      <c r="C2528" s="347">
        <v>1222</v>
      </c>
      <c r="D2528" s="340" t="str">
        <f>VLOOKUP(C2528,Plan!A:B,2,0)</f>
        <v>Otros Valores -Oficina y Transferencias (249)</v>
      </c>
      <c r="E2528" s="341">
        <f>+F2528-G2528</f>
        <v>-10000</v>
      </c>
      <c r="F2528" s="405">
        <v>0</v>
      </c>
      <c r="G2528" s="405">
        <f>+F2527</f>
        <v>10000</v>
      </c>
      <c r="H2528" t="str">
        <f>+H2527</f>
        <v>Ana María Ugarte / 249</v>
      </c>
      <c r="I2528" s="403" t="s">
        <v>131</v>
      </c>
      <c r="K2528" s="370"/>
      <c r="N2528" s="370"/>
    </row>
    <row r="2529" spans="1:14" s="347" customFormat="1" x14ac:dyDescent="0.25">
      <c r="A2529" s="369"/>
      <c r="E2529" s="396"/>
      <c r="F2529" s="396"/>
      <c r="G2529" s="396"/>
      <c r="K2529" s="370"/>
      <c r="N2529" s="370"/>
    </row>
    <row r="2530" spans="1:14" s="347" customFormat="1" x14ac:dyDescent="0.25">
      <c r="A2530" s="369">
        <v>44348</v>
      </c>
      <c r="B2530" s="347">
        <f>+MONTH(A2530)</f>
        <v>6</v>
      </c>
      <c r="C2530" s="347">
        <v>115</v>
      </c>
      <c r="D2530" s="340" t="str">
        <f>VLOOKUP(C2530,Plan!A:B,2,0)</f>
        <v>Disponible Cali B.Chile</v>
      </c>
      <c r="E2530" s="341">
        <f>+F2530-G2530</f>
        <v>50000</v>
      </c>
      <c r="F2530" s="405">
        <v>50000</v>
      </c>
      <c r="G2530" s="405">
        <v>0</v>
      </c>
      <c r="H2530" t="s">
        <v>974</v>
      </c>
      <c r="I2530" s="403" t="s">
        <v>131</v>
      </c>
      <c r="K2530" s="370"/>
      <c r="N2530" s="370"/>
    </row>
    <row r="2531" spans="1:14" s="347" customFormat="1" x14ac:dyDescent="0.25">
      <c r="A2531" s="369">
        <f>+A2530</f>
        <v>44348</v>
      </c>
      <c r="B2531" s="347">
        <f>+MONTH(A2531)</f>
        <v>6</v>
      </c>
      <c r="C2531" s="347">
        <v>1222</v>
      </c>
      <c r="D2531" s="340" t="str">
        <f>VLOOKUP(C2531,Plan!A:B,2,0)</f>
        <v>Otros Valores -Oficina y Transferencias (249)</v>
      </c>
      <c r="E2531" s="341">
        <f>+F2531-G2531</f>
        <v>-50000</v>
      </c>
      <c r="F2531" s="405">
        <v>0</v>
      </c>
      <c r="G2531" s="405">
        <f>+F2530</f>
        <v>50000</v>
      </c>
      <c r="H2531" t="str">
        <f>+H2530</f>
        <v>Matías Rafael Ubilla Silva / 249</v>
      </c>
      <c r="I2531" s="403" t="s">
        <v>131</v>
      </c>
      <c r="K2531" s="370"/>
      <c r="N2531" s="370"/>
    </row>
    <row r="2532" spans="1:14" s="347" customFormat="1" x14ac:dyDescent="0.25">
      <c r="A2532" s="369"/>
      <c r="E2532" s="396"/>
      <c r="F2532" s="396"/>
      <c r="G2532" s="396"/>
      <c r="K2532" s="370"/>
      <c r="N2532" s="370"/>
    </row>
    <row r="2533" spans="1:14" s="347" customFormat="1" x14ac:dyDescent="0.25">
      <c r="A2533" s="369">
        <v>44348</v>
      </c>
      <c r="B2533" s="347">
        <f>+MONTH(A2533)</f>
        <v>6</v>
      </c>
      <c r="C2533" s="347">
        <v>115</v>
      </c>
      <c r="D2533" s="340" t="str">
        <f>VLOOKUP(C2533,Plan!A:B,2,0)</f>
        <v>Disponible Cali B.Chile</v>
      </c>
      <c r="E2533" s="341">
        <f>+F2533-G2533</f>
        <v>48000</v>
      </c>
      <c r="F2533" s="405">
        <v>48000</v>
      </c>
      <c r="G2533" s="405">
        <v>0</v>
      </c>
      <c r="H2533" t="s">
        <v>975</v>
      </c>
      <c r="I2533" s="403" t="s">
        <v>131</v>
      </c>
      <c r="K2533" s="370"/>
      <c r="N2533" s="370"/>
    </row>
    <row r="2534" spans="1:14" s="347" customFormat="1" x14ac:dyDescent="0.25">
      <c r="A2534" s="369">
        <f>+A2533</f>
        <v>44348</v>
      </c>
      <c r="B2534" s="347">
        <f>+MONTH(A2534)</f>
        <v>6</v>
      </c>
      <c r="C2534" s="347">
        <v>1217</v>
      </c>
      <c r="D2534" s="340" t="str">
        <f>VLOOKUP(C2534,Plan!A:B,2,0)</f>
        <v>Otros Valores -Oficina y Transferencias (248)</v>
      </c>
      <c r="E2534" s="341">
        <f>+F2534-G2534</f>
        <v>-48000</v>
      </c>
      <c r="F2534" s="405">
        <v>0</v>
      </c>
      <c r="G2534" s="405">
        <f>+F2533</f>
        <v>48000</v>
      </c>
      <c r="H2534" t="str">
        <f>+H2533</f>
        <v>Enrique José Manuel Ferrer/248</v>
      </c>
      <c r="I2534" s="403" t="s">
        <v>131</v>
      </c>
      <c r="K2534" s="370"/>
      <c r="N2534" s="370"/>
    </row>
    <row r="2535" spans="1:14" s="347" customFormat="1" x14ac:dyDescent="0.25">
      <c r="A2535" s="369"/>
      <c r="E2535" s="396"/>
      <c r="F2535" s="396"/>
      <c r="G2535" s="396"/>
      <c r="K2535" s="370"/>
      <c r="N2535" s="370"/>
    </row>
    <row r="2536" spans="1:14" s="347" customFormat="1" x14ac:dyDescent="0.25">
      <c r="A2536" s="369">
        <v>44348</v>
      </c>
      <c r="B2536" s="347">
        <f>+MONTH(A2536)</f>
        <v>6</v>
      </c>
      <c r="C2536" s="347">
        <v>115</v>
      </c>
      <c r="D2536" s="340" t="str">
        <f>VLOOKUP(C2536,Plan!A:B,2,0)</f>
        <v>Disponible Cali B.Chile</v>
      </c>
      <c r="E2536" s="341">
        <f>+F2536-G2536</f>
        <v>40000</v>
      </c>
      <c r="F2536" s="405">
        <v>40000</v>
      </c>
      <c r="G2536" s="405">
        <v>0</v>
      </c>
      <c r="H2536" t="s">
        <v>976</v>
      </c>
      <c r="I2536" s="403" t="s">
        <v>131</v>
      </c>
      <c r="K2536" s="370"/>
      <c r="N2536" s="370"/>
    </row>
    <row r="2537" spans="1:14" s="347" customFormat="1" x14ac:dyDescent="0.25">
      <c r="A2537" s="369">
        <f>+A2536</f>
        <v>44348</v>
      </c>
      <c r="B2537" s="347">
        <f>+MONTH(A2537)</f>
        <v>6</v>
      </c>
      <c r="C2537" s="347">
        <v>1222</v>
      </c>
      <c r="D2537" s="340" t="str">
        <f>VLOOKUP(C2537,Plan!A:B,2,0)</f>
        <v>Otros Valores -Oficina y Transferencias (249)</v>
      </c>
      <c r="E2537" s="341">
        <f>+F2537-G2537</f>
        <v>-40000</v>
      </c>
      <c r="F2537" s="405">
        <v>0</v>
      </c>
      <c r="G2537" s="405">
        <f>+F2536</f>
        <v>40000</v>
      </c>
      <c r="H2537" t="str">
        <f>+H2536</f>
        <v>Ricardo Cañas Cambiaso / 249</v>
      </c>
      <c r="I2537" s="403" t="s">
        <v>131</v>
      </c>
      <c r="K2537" s="370"/>
      <c r="N2537" s="370"/>
    </row>
    <row r="2538" spans="1:14" s="347" customFormat="1" x14ac:dyDescent="0.25">
      <c r="A2538" s="369"/>
      <c r="E2538" s="396"/>
      <c r="F2538" s="396"/>
      <c r="G2538" s="396"/>
      <c r="K2538" s="370"/>
      <c r="N2538" s="370"/>
    </row>
    <row r="2539" spans="1:14" s="347" customFormat="1" x14ac:dyDescent="0.25">
      <c r="A2539" s="369">
        <v>44348</v>
      </c>
      <c r="B2539" s="347">
        <f>+MONTH(A2539)</f>
        <v>6</v>
      </c>
      <c r="C2539" s="347">
        <v>115</v>
      </c>
      <c r="D2539" s="340" t="str">
        <f>VLOOKUP(C2539,Plan!A:B,2,0)</f>
        <v>Disponible Cali B.Chile</v>
      </c>
      <c r="E2539" s="341">
        <f>+F2539-G2539</f>
        <v>30000</v>
      </c>
      <c r="F2539" s="405">
        <v>30000</v>
      </c>
      <c r="G2539" s="405">
        <v>0</v>
      </c>
      <c r="H2539" t="s">
        <v>978</v>
      </c>
      <c r="I2539" s="403" t="s">
        <v>131</v>
      </c>
      <c r="K2539" s="370"/>
      <c r="N2539" s="370"/>
    </row>
    <row r="2540" spans="1:14" s="347" customFormat="1" x14ac:dyDescent="0.25">
      <c r="A2540" s="369">
        <f>+A2539</f>
        <v>44348</v>
      </c>
      <c r="B2540" s="347">
        <f>+MONTH(A2540)</f>
        <v>6</v>
      </c>
      <c r="C2540" s="347">
        <v>3210</v>
      </c>
      <c r="D2540" s="340" t="str">
        <f>VLOOKUP(C2540,Plan!A:B,2,0)</f>
        <v>Donacion Construccion</v>
      </c>
      <c r="E2540" s="341">
        <f>+F2540-G2540</f>
        <v>-30000</v>
      </c>
      <c r="F2540" s="405">
        <v>0</v>
      </c>
      <c r="G2540" s="405">
        <f>+F2539</f>
        <v>30000</v>
      </c>
      <c r="H2540" t="str">
        <f>+H2539</f>
        <v>Sergio Rodríguez Oro / Azul</v>
      </c>
      <c r="I2540" s="403" t="s">
        <v>131</v>
      </c>
      <c r="K2540" s="370"/>
      <c r="N2540" s="370"/>
    </row>
    <row r="2541" spans="1:14" s="347" customFormat="1" x14ac:dyDescent="0.25">
      <c r="A2541" s="369"/>
      <c r="E2541" s="396"/>
      <c r="F2541" s="396"/>
      <c r="G2541" s="396"/>
      <c r="K2541" s="370"/>
      <c r="N2541" s="370"/>
    </row>
    <row r="2542" spans="1:14" s="347" customFormat="1" x14ac:dyDescent="0.25">
      <c r="A2542" s="369">
        <v>44348</v>
      </c>
      <c r="B2542" s="347">
        <f>+MONTH(A2542)</f>
        <v>6</v>
      </c>
      <c r="C2542" s="347">
        <v>115</v>
      </c>
      <c r="D2542" s="340" t="str">
        <f>VLOOKUP(C2542,Plan!A:B,2,0)</f>
        <v>Disponible Cali B.Chile</v>
      </c>
      <c r="E2542" s="341">
        <f>+F2542-G2542</f>
        <v>20000</v>
      </c>
      <c r="F2542" s="405">
        <v>20000</v>
      </c>
      <c r="G2542" s="405">
        <v>0</v>
      </c>
      <c r="H2542" t="s">
        <v>977</v>
      </c>
      <c r="I2542" s="403" t="s">
        <v>131</v>
      </c>
      <c r="K2542" s="370"/>
      <c r="N2542" s="370"/>
    </row>
    <row r="2543" spans="1:14" s="347" customFormat="1" x14ac:dyDescent="0.25">
      <c r="A2543" s="369">
        <f>+A2542</f>
        <v>44348</v>
      </c>
      <c r="B2543" s="347">
        <f>+MONTH(A2543)</f>
        <v>6</v>
      </c>
      <c r="C2543" s="347">
        <v>3210</v>
      </c>
      <c r="D2543" s="340" t="str">
        <f>VLOOKUP(C2543,Plan!A:B,2,0)</f>
        <v>Donacion Construccion</v>
      </c>
      <c r="E2543" s="341">
        <f>+F2543-G2543</f>
        <v>-20000</v>
      </c>
      <c r="F2543" s="405">
        <v>0</v>
      </c>
      <c r="G2543" s="405">
        <f>+F2542</f>
        <v>20000</v>
      </c>
      <c r="H2543" t="str">
        <f>+H2542</f>
        <v>Fco.Javier Campos González/Azul</v>
      </c>
      <c r="I2543" s="403" t="s">
        <v>131</v>
      </c>
      <c r="K2543" s="370"/>
      <c r="N2543" s="370"/>
    </row>
    <row r="2544" spans="1:14" s="347" customFormat="1" x14ac:dyDescent="0.25">
      <c r="A2544" s="369"/>
      <c r="E2544" s="396"/>
      <c r="F2544" s="396"/>
      <c r="G2544" s="396"/>
      <c r="K2544" s="370"/>
      <c r="N2544" s="370"/>
    </row>
    <row r="2545" spans="1:14" s="347" customFormat="1" x14ac:dyDescent="0.25">
      <c r="A2545" s="369">
        <v>44348</v>
      </c>
      <c r="B2545" s="347">
        <f>+MONTH(A2545)</f>
        <v>6</v>
      </c>
      <c r="C2545" s="347">
        <v>115</v>
      </c>
      <c r="D2545" s="340" t="str">
        <f>VLOOKUP(C2545,Plan!A:B,2,0)</f>
        <v>Disponible Cali B.Chile</v>
      </c>
      <c r="E2545" s="341">
        <f>+F2545-G2545</f>
        <v>50000</v>
      </c>
      <c r="F2545" s="405">
        <v>50000</v>
      </c>
      <c r="G2545" s="405">
        <v>0</v>
      </c>
      <c r="H2545" t="s">
        <v>547</v>
      </c>
      <c r="I2545" s="403" t="s">
        <v>131</v>
      </c>
      <c r="K2545" s="370"/>
      <c r="N2545" s="370"/>
    </row>
    <row r="2546" spans="1:14" s="347" customFormat="1" x14ac:dyDescent="0.25">
      <c r="A2546" s="369">
        <f>+A2545</f>
        <v>44348</v>
      </c>
      <c r="B2546" s="347">
        <f>+MONTH(A2546)</f>
        <v>6</v>
      </c>
      <c r="C2546" s="347">
        <v>1222</v>
      </c>
      <c r="D2546" s="340" t="str">
        <f>VLOOKUP(C2546,Plan!A:B,2,0)</f>
        <v>Otros Valores -Oficina y Transferencias (249)</v>
      </c>
      <c r="E2546" s="341">
        <f>+F2546-G2546</f>
        <v>-50000</v>
      </c>
      <c r="F2546" s="405">
        <v>0</v>
      </c>
      <c r="G2546" s="405">
        <f>+F2545</f>
        <v>50000</v>
      </c>
      <c r="H2546" t="str">
        <f>+H2545</f>
        <v>Jorge Claude / 249</v>
      </c>
      <c r="I2546" s="403" t="s">
        <v>131</v>
      </c>
      <c r="K2546" s="370"/>
      <c r="N2546" s="370"/>
    </row>
    <row r="2547" spans="1:14" s="347" customFormat="1" x14ac:dyDescent="0.25">
      <c r="A2547" s="369"/>
      <c r="E2547" s="396"/>
      <c r="F2547" s="396"/>
      <c r="G2547" s="396"/>
      <c r="K2547" s="370"/>
      <c r="N2547" s="370"/>
    </row>
    <row r="2548" spans="1:14" s="347" customFormat="1" x14ac:dyDescent="0.25">
      <c r="A2548" s="369">
        <v>44348</v>
      </c>
      <c r="B2548" s="347">
        <f>+MONTH(A2548)</f>
        <v>6</v>
      </c>
      <c r="C2548" s="347">
        <v>115</v>
      </c>
      <c r="D2548" s="340" t="str">
        <f>VLOOKUP(C2548,Plan!A:B,2,0)</f>
        <v>Disponible Cali B.Chile</v>
      </c>
      <c r="E2548" s="341">
        <f>+F2548-G2548</f>
        <v>40000</v>
      </c>
      <c r="F2548" s="405">
        <v>40000</v>
      </c>
      <c r="G2548" s="405">
        <v>0</v>
      </c>
      <c r="H2548" t="s">
        <v>1001</v>
      </c>
      <c r="I2548" s="403" t="s">
        <v>131</v>
      </c>
      <c r="K2548" s="370"/>
      <c r="N2548" s="370"/>
    </row>
    <row r="2549" spans="1:14" s="347" customFormat="1" x14ac:dyDescent="0.25">
      <c r="A2549" s="369">
        <f>+A2548</f>
        <v>44348</v>
      </c>
      <c r="B2549" s="347">
        <f>+MONTH(A2549)</f>
        <v>6</v>
      </c>
      <c r="C2549" s="347">
        <v>3210</v>
      </c>
      <c r="D2549" s="340" t="str">
        <f>VLOOKUP(C2549,Plan!A:B,2,0)</f>
        <v>Donacion Construccion</v>
      </c>
      <c r="E2549" s="341">
        <f>+F2549-G2549</f>
        <v>-40000</v>
      </c>
      <c r="F2549" s="405">
        <v>0</v>
      </c>
      <c r="G2549" s="405">
        <f>+F2548</f>
        <v>40000</v>
      </c>
      <c r="H2549" t="str">
        <f>+H2548</f>
        <v>Karina Rabino de Alonso /Azul</v>
      </c>
      <c r="I2549" s="403" t="s">
        <v>131</v>
      </c>
      <c r="K2549" s="370"/>
      <c r="N2549" s="370"/>
    </row>
    <row r="2550" spans="1:14" s="347" customFormat="1" x14ac:dyDescent="0.25">
      <c r="A2550" s="369"/>
      <c r="E2550" s="396"/>
      <c r="F2550" s="396"/>
      <c r="G2550" s="396"/>
      <c r="K2550" s="370"/>
      <c r="N2550" s="370"/>
    </row>
    <row r="2551" spans="1:14" s="347" customFormat="1" x14ac:dyDescent="0.25">
      <c r="A2551" s="369">
        <v>44348</v>
      </c>
      <c r="B2551" s="347">
        <f>+MONTH(A2551)</f>
        <v>6</v>
      </c>
      <c r="C2551" s="347">
        <v>115</v>
      </c>
      <c r="D2551" s="340" t="str">
        <f>VLOOKUP(C2551,Plan!A:B,2,0)</f>
        <v>Disponible Cali B.Chile</v>
      </c>
      <c r="E2551" s="341">
        <f>+F2551-G2551</f>
        <v>15000</v>
      </c>
      <c r="F2551" s="405">
        <v>15000</v>
      </c>
      <c r="G2551" s="405">
        <v>0</v>
      </c>
      <c r="H2551" t="s">
        <v>1716</v>
      </c>
      <c r="I2551" s="403" t="s">
        <v>131</v>
      </c>
      <c r="K2551" s="370"/>
      <c r="N2551" s="370"/>
    </row>
    <row r="2552" spans="1:14" s="347" customFormat="1" x14ac:dyDescent="0.25">
      <c r="A2552" s="369">
        <f>+A2551</f>
        <v>44348</v>
      </c>
      <c r="B2552" s="347">
        <f>+MONTH(A2552)</f>
        <v>6</v>
      </c>
      <c r="C2552" s="347">
        <v>1222</v>
      </c>
      <c r="D2552" s="340" t="str">
        <f>VLOOKUP(C2552,Plan!A:B,2,0)</f>
        <v>Otros Valores -Oficina y Transferencias (249)</v>
      </c>
      <c r="E2552" s="341">
        <f>+F2552-G2552</f>
        <v>-15000</v>
      </c>
      <c r="F2552" s="405">
        <v>0</v>
      </c>
      <c r="G2552" s="405">
        <f>+F2551</f>
        <v>15000</v>
      </c>
      <c r="H2552" t="str">
        <f>+H2551</f>
        <v>María Carolina Marín Montes / 249</v>
      </c>
      <c r="I2552" s="403" t="s">
        <v>131</v>
      </c>
      <c r="K2552" s="370"/>
      <c r="N2552" s="370"/>
    </row>
    <row r="2553" spans="1:14" s="347" customFormat="1" x14ac:dyDescent="0.25">
      <c r="A2553" s="369"/>
      <c r="E2553" s="396"/>
      <c r="F2553" s="396"/>
      <c r="G2553" s="396"/>
      <c r="K2553" s="370"/>
      <c r="N2553" s="370"/>
    </row>
    <row r="2554" spans="1:14" s="347" customFormat="1" x14ac:dyDescent="0.25">
      <c r="A2554" s="369">
        <v>44348</v>
      </c>
      <c r="B2554" s="347">
        <f>+MONTH(A2554)</f>
        <v>6</v>
      </c>
      <c r="C2554" s="347">
        <v>115</v>
      </c>
      <c r="D2554" s="340" t="str">
        <f>VLOOKUP(C2554,Plan!A:B,2,0)</f>
        <v>Disponible Cali B.Chile</v>
      </c>
      <c r="E2554" s="341">
        <f>+F2554-G2554</f>
        <v>20000</v>
      </c>
      <c r="F2554" s="405">
        <v>20000</v>
      </c>
      <c r="G2554" s="405">
        <v>0</v>
      </c>
      <c r="H2554" t="s">
        <v>548</v>
      </c>
      <c r="I2554" s="403" t="s">
        <v>131</v>
      </c>
      <c r="K2554" s="370"/>
      <c r="N2554" s="370"/>
    </row>
    <row r="2555" spans="1:14" s="347" customFormat="1" x14ac:dyDescent="0.25">
      <c r="A2555" s="369">
        <f>+A2554</f>
        <v>44348</v>
      </c>
      <c r="B2555" s="347">
        <f>+MONTH(A2555)</f>
        <v>6</v>
      </c>
      <c r="C2555" s="347">
        <v>1222</v>
      </c>
      <c r="D2555" s="340" t="str">
        <f>VLOOKUP(C2555,Plan!A:B,2,0)</f>
        <v>Otros Valores -Oficina y Transferencias (249)</v>
      </c>
      <c r="E2555" s="341">
        <f>+F2555-G2555</f>
        <v>-20000</v>
      </c>
      <c r="F2555" s="405">
        <v>0</v>
      </c>
      <c r="G2555" s="405">
        <f>+F2554</f>
        <v>20000</v>
      </c>
      <c r="H2555" t="str">
        <f>+H2554</f>
        <v>Josefina Claude / 249</v>
      </c>
      <c r="I2555" s="403" t="s">
        <v>131</v>
      </c>
      <c r="K2555" s="370"/>
      <c r="N2555" s="370"/>
    </row>
    <row r="2556" spans="1:14" s="347" customFormat="1" x14ac:dyDescent="0.25">
      <c r="A2556" s="369"/>
      <c r="E2556" s="396"/>
      <c r="F2556" s="396"/>
      <c r="G2556" s="396"/>
      <c r="K2556" s="370"/>
      <c r="N2556" s="370"/>
    </row>
    <row r="2557" spans="1:14" s="347" customFormat="1" x14ac:dyDescent="0.25">
      <c r="A2557" s="369">
        <v>44348</v>
      </c>
      <c r="B2557" s="347">
        <f>+MONTH(A2557)</f>
        <v>6</v>
      </c>
      <c r="C2557" s="347">
        <v>115</v>
      </c>
      <c r="D2557" s="340" t="str">
        <f>VLOOKUP(C2557,Plan!A:B,2,0)</f>
        <v>Disponible Cali B.Chile</v>
      </c>
      <c r="E2557" s="341">
        <f>+F2557-G2557</f>
        <v>15000</v>
      </c>
      <c r="F2557" s="405">
        <v>15000</v>
      </c>
      <c r="G2557" s="405">
        <v>0</v>
      </c>
      <c r="H2557" t="s">
        <v>979</v>
      </c>
      <c r="I2557" s="403" t="s">
        <v>131</v>
      </c>
      <c r="K2557" s="370"/>
      <c r="N2557" s="370"/>
    </row>
    <row r="2558" spans="1:14" s="347" customFormat="1" x14ac:dyDescent="0.25">
      <c r="A2558" s="369">
        <f>+A2557</f>
        <v>44348</v>
      </c>
      <c r="B2558" s="347">
        <f>+MONTH(A2558)</f>
        <v>6</v>
      </c>
      <c r="C2558" s="347">
        <v>1222</v>
      </c>
      <c r="D2558" s="340" t="str">
        <f>VLOOKUP(C2558,Plan!A:B,2,0)</f>
        <v>Otros Valores -Oficina y Transferencias (249)</v>
      </c>
      <c r="E2558" s="341">
        <f>+F2558-G2558</f>
        <v>-15000</v>
      </c>
      <c r="F2558" s="405">
        <v>0</v>
      </c>
      <c r="G2558" s="405">
        <f>+F2557</f>
        <v>15000</v>
      </c>
      <c r="H2558" t="str">
        <f>+H2557</f>
        <v>María Paulina Grez / 249</v>
      </c>
      <c r="I2558" s="403" t="s">
        <v>131</v>
      </c>
      <c r="K2558" s="370"/>
      <c r="N2558" s="370"/>
    </row>
    <row r="2559" spans="1:14" s="347" customFormat="1" x14ac:dyDescent="0.25">
      <c r="A2559" s="369"/>
      <c r="E2559" s="396"/>
      <c r="F2559" s="396"/>
      <c r="G2559" s="396"/>
      <c r="K2559" s="370"/>
      <c r="N2559" s="370"/>
    </row>
    <row r="2560" spans="1:14" s="347" customFormat="1" x14ac:dyDescent="0.25">
      <c r="A2560" s="369">
        <v>44348</v>
      </c>
      <c r="B2560" s="347">
        <f>+MONTH(A2560)</f>
        <v>6</v>
      </c>
      <c r="C2560" s="347">
        <v>115</v>
      </c>
      <c r="D2560" s="340" t="str">
        <f>VLOOKUP(C2560,Plan!A:B,2,0)</f>
        <v>Disponible Cali B.Chile</v>
      </c>
      <c r="E2560" s="341">
        <f>+F2560-G2560</f>
        <v>30000</v>
      </c>
      <c r="F2560" s="405">
        <v>30000</v>
      </c>
      <c r="G2560" s="405">
        <v>0</v>
      </c>
      <c r="H2560" t="s">
        <v>1048</v>
      </c>
      <c r="I2560" s="403" t="s">
        <v>131</v>
      </c>
      <c r="K2560" s="370"/>
      <c r="N2560" s="370"/>
    </row>
    <row r="2561" spans="1:14" s="347" customFormat="1" x14ac:dyDescent="0.25">
      <c r="A2561" s="369">
        <f>+A2560</f>
        <v>44348</v>
      </c>
      <c r="B2561" s="347">
        <f>+MONTH(A2561)</f>
        <v>6</v>
      </c>
      <c r="C2561" s="347">
        <v>1217</v>
      </c>
      <c r="D2561" s="340" t="str">
        <f>VLOOKUP(C2561,Plan!A:B,2,0)</f>
        <v>Otros Valores -Oficina y Transferencias (248)</v>
      </c>
      <c r="E2561" s="341">
        <f>+F2561-G2561</f>
        <v>-30000</v>
      </c>
      <c r="F2561" s="405">
        <v>0</v>
      </c>
      <c r="G2561" s="405">
        <f>+F2560</f>
        <v>30000</v>
      </c>
      <c r="H2561" t="str">
        <f>+H2560</f>
        <v>José Miguel Guzmán Morandé/248</v>
      </c>
      <c r="I2561" s="403" t="s">
        <v>131</v>
      </c>
      <c r="K2561" s="370"/>
      <c r="N2561" s="370"/>
    </row>
    <row r="2562" spans="1:14" s="347" customFormat="1" x14ac:dyDescent="0.25">
      <c r="A2562" s="369"/>
      <c r="E2562" s="396"/>
      <c r="F2562" s="396"/>
      <c r="G2562" s="396"/>
      <c r="K2562" s="370"/>
      <c r="N2562" s="370"/>
    </row>
    <row r="2563" spans="1:14" s="347" customFormat="1" x14ac:dyDescent="0.25">
      <c r="A2563" s="369">
        <v>44348</v>
      </c>
      <c r="B2563" s="347">
        <f>+MONTH(A2563)</f>
        <v>6</v>
      </c>
      <c r="C2563" s="347">
        <v>115</v>
      </c>
      <c r="D2563" s="340" t="str">
        <f>VLOOKUP(C2563,Plan!A:B,2,0)</f>
        <v>Disponible Cali B.Chile</v>
      </c>
      <c r="E2563" s="341">
        <f>+F2563-G2563</f>
        <v>80000</v>
      </c>
      <c r="F2563" s="405">
        <v>80000</v>
      </c>
      <c r="G2563" s="405">
        <v>0</v>
      </c>
      <c r="H2563" t="s">
        <v>797</v>
      </c>
      <c r="I2563" s="403" t="s">
        <v>131</v>
      </c>
      <c r="K2563" s="370"/>
      <c r="N2563" s="370"/>
    </row>
    <row r="2564" spans="1:14" s="347" customFormat="1" x14ac:dyDescent="0.25">
      <c r="A2564" s="369">
        <f>+A2563</f>
        <v>44348</v>
      </c>
      <c r="B2564" s="347">
        <f>+MONTH(A2564)</f>
        <v>6</v>
      </c>
      <c r="C2564" s="347">
        <v>1217</v>
      </c>
      <c r="D2564" s="340" t="str">
        <f>VLOOKUP(C2564,Plan!A:B,2,0)</f>
        <v>Otros Valores -Oficina y Transferencias (248)</v>
      </c>
      <c r="E2564" s="341">
        <f>+F2564-G2564</f>
        <v>-80000</v>
      </c>
      <c r="F2564" s="405">
        <v>0</v>
      </c>
      <c r="G2564" s="405">
        <f>+F2563</f>
        <v>80000</v>
      </c>
      <c r="H2564" t="str">
        <f>+H2563</f>
        <v>R. Casas del Valle / 248</v>
      </c>
      <c r="I2564" s="403" t="s">
        <v>131</v>
      </c>
      <c r="K2564" s="370"/>
      <c r="N2564" s="370"/>
    </row>
    <row r="2565" spans="1:14" s="347" customFormat="1" x14ac:dyDescent="0.25">
      <c r="A2565" s="369"/>
      <c r="E2565" s="396"/>
      <c r="F2565" s="396"/>
      <c r="G2565" s="396"/>
      <c r="K2565" s="370"/>
      <c r="N2565" s="370"/>
    </row>
    <row r="2566" spans="1:14" s="347" customFormat="1" x14ac:dyDescent="0.25">
      <c r="A2566" s="369">
        <v>44348</v>
      </c>
      <c r="B2566" s="347">
        <f>+MONTH(A2566)</f>
        <v>6</v>
      </c>
      <c r="C2566" s="347">
        <v>115</v>
      </c>
      <c r="D2566" s="340" t="str">
        <f>VLOOKUP(C2566,Plan!A:B,2,0)</f>
        <v>Disponible Cali B.Chile</v>
      </c>
      <c r="E2566" s="341">
        <f>+F2566-G2566</f>
        <v>30000</v>
      </c>
      <c r="F2566" s="405">
        <v>30000</v>
      </c>
      <c r="G2566" s="405">
        <v>0</v>
      </c>
      <c r="H2566" t="s">
        <v>1669</v>
      </c>
      <c r="I2566" s="403" t="s">
        <v>131</v>
      </c>
      <c r="K2566" s="370"/>
      <c r="N2566" s="370"/>
    </row>
    <row r="2567" spans="1:14" s="347" customFormat="1" x14ac:dyDescent="0.25">
      <c r="A2567" s="369">
        <f>+A2566</f>
        <v>44348</v>
      </c>
      <c r="B2567" s="347">
        <f>+MONTH(A2567)</f>
        <v>6</v>
      </c>
      <c r="C2567" s="347">
        <v>1222</v>
      </c>
      <c r="D2567" s="340" t="str">
        <f>VLOOKUP(C2567,Plan!A:B,2,0)</f>
        <v>Otros Valores -Oficina y Transferencias (249)</v>
      </c>
      <c r="E2567" s="341">
        <f>+F2567-G2567</f>
        <v>-30000</v>
      </c>
      <c r="F2567" s="405">
        <v>0</v>
      </c>
      <c r="G2567" s="405">
        <f>+F2566</f>
        <v>30000</v>
      </c>
      <c r="H2567" t="str">
        <f>+H2566</f>
        <v>Carlos Enrique Blanco Plummer / 249</v>
      </c>
      <c r="I2567" s="403" t="s">
        <v>131</v>
      </c>
      <c r="K2567" s="370"/>
      <c r="N2567" s="370"/>
    </row>
    <row r="2568" spans="1:14" s="347" customFormat="1" x14ac:dyDescent="0.25">
      <c r="A2568" s="369"/>
      <c r="E2568" s="396"/>
      <c r="F2568" s="396"/>
      <c r="G2568" s="396"/>
      <c r="K2568" s="370"/>
      <c r="N2568" s="370"/>
    </row>
    <row r="2569" spans="1:14" s="347" customFormat="1" x14ac:dyDescent="0.25">
      <c r="A2569" s="369">
        <v>44349</v>
      </c>
      <c r="B2569" s="347">
        <f>+MONTH(A2569)</f>
        <v>6</v>
      </c>
      <c r="C2569" s="347">
        <v>115</v>
      </c>
      <c r="D2569" s="340" t="str">
        <f>VLOOKUP(C2569,Plan!A:B,2,0)</f>
        <v>Disponible Cali B.Chile</v>
      </c>
      <c r="E2569" s="341">
        <f>+F2569-G2569</f>
        <v>60000</v>
      </c>
      <c r="F2569" s="405">
        <v>60000</v>
      </c>
      <c r="G2569" s="405">
        <v>0</v>
      </c>
      <c r="H2569" t="s">
        <v>1042</v>
      </c>
      <c r="I2569" s="403" t="s">
        <v>131</v>
      </c>
      <c r="K2569" s="370"/>
      <c r="N2569" s="370"/>
    </row>
    <row r="2570" spans="1:14" s="347" customFormat="1" x14ac:dyDescent="0.25">
      <c r="A2570" s="369">
        <f>+A2569</f>
        <v>44349</v>
      </c>
      <c r="B2570" s="347">
        <f>+MONTH(A2570)</f>
        <v>6</v>
      </c>
      <c r="C2570" s="347">
        <v>1216</v>
      </c>
      <c r="D2570" s="340" t="str">
        <f>VLOOKUP(C2570,Plan!A:B,2,0)</f>
        <v>Otros Valores Recaudadoras</v>
      </c>
      <c r="E2570" s="341">
        <f>+F2570-G2570</f>
        <v>-60000</v>
      </c>
      <c r="F2570" s="405">
        <v>0</v>
      </c>
      <c r="G2570" s="405">
        <f>+F2569</f>
        <v>60000</v>
      </c>
      <c r="H2570" t="str">
        <f>+H2569</f>
        <v>José Tomás Poblete Jara / 248</v>
      </c>
      <c r="I2570" s="403" t="s">
        <v>131</v>
      </c>
      <c r="K2570" s="370"/>
      <c r="N2570" s="370"/>
    </row>
    <row r="2571" spans="1:14" s="347" customFormat="1" x14ac:dyDescent="0.25">
      <c r="A2571" s="369"/>
      <c r="E2571" s="396"/>
      <c r="F2571" s="396"/>
      <c r="G2571" s="396"/>
      <c r="K2571" s="370"/>
      <c r="N2571" s="370"/>
    </row>
    <row r="2572" spans="1:14" s="347" customFormat="1" x14ac:dyDescent="0.25">
      <c r="A2572" s="369">
        <v>44349</v>
      </c>
      <c r="B2572" s="347">
        <f>+MONTH(A2572)</f>
        <v>6</v>
      </c>
      <c r="C2572" s="347">
        <v>115</v>
      </c>
      <c r="D2572" s="340" t="str">
        <f>VLOOKUP(C2572,Plan!A:B,2,0)</f>
        <v>Disponible Cali B.Chile</v>
      </c>
      <c r="E2572" s="341">
        <f>+F2572-G2572</f>
        <v>10000</v>
      </c>
      <c r="F2572" s="405">
        <v>10000</v>
      </c>
      <c r="G2572" s="405">
        <v>0</v>
      </c>
      <c r="H2572" t="s">
        <v>1028</v>
      </c>
      <c r="I2572" s="403" t="s">
        <v>131</v>
      </c>
      <c r="K2572" s="370"/>
      <c r="N2572" s="370"/>
    </row>
    <row r="2573" spans="1:14" s="347" customFormat="1" x14ac:dyDescent="0.25">
      <c r="A2573" s="369">
        <f>+A2572</f>
        <v>44349</v>
      </c>
      <c r="B2573" s="347">
        <f>+MONTH(A2573)</f>
        <v>6</v>
      </c>
      <c r="C2573" s="347">
        <v>1217</v>
      </c>
      <c r="D2573" s="340" t="str">
        <f>VLOOKUP(C2573,Plan!A:B,2,0)</f>
        <v>Otros Valores -Oficina y Transferencias (248)</v>
      </c>
      <c r="E2573" s="341">
        <f>+F2573-G2573</f>
        <v>-10000</v>
      </c>
      <c r="F2573" s="405">
        <v>0</v>
      </c>
      <c r="G2573" s="405">
        <f>+F2572</f>
        <v>10000</v>
      </c>
      <c r="H2573" t="str">
        <f>+H2572</f>
        <v>Carmen Gloria Rivas Varas / 248</v>
      </c>
      <c r="I2573" s="403" t="s">
        <v>131</v>
      </c>
      <c r="K2573" s="370"/>
      <c r="N2573" s="370"/>
    </row>
    <row r="2574" spans="1:14" s="347" customFormat="1" x14ac:dyDescent="0.25">
      <c r="A2574" s="369"/>
      <c r="E2574" s="396"/>
      <c r="F2574" s="396"/>
      <c r="G2574" s="396"/>
      <c r="K2574" s="370"/>
      <c r="N2574" s="370"/>
    </row>
    <row r="2575" spans="1:14" s="347" customFormat="1" x14ac:dyDescent="0.25">
      <c r="A2575" s="369">
        <v>44349</v>
      </c>
      <c r="B2575" s="347">
        <f>+MONTH(A2575)</f>
        <v>6</v>
      </c>
      <c r="C2575" s="347">
        <v>115</v>
      </c>
      <c r="D2575" s="340" t="str">
        <f>VLOOKUP(C2575,Plan!A:B,2,0)</f>
        <v>Disponible Cali B.Chile</v>
      </c>
      <c r="E2575" s="341">
        <f>+F2575-G2575</f>
        <v>20000</v>
      </c>
      <c r="F2575" s="405">
        <v>20000</v>
      </c>
      <c r="G2575" s="405">
        <v>0</v>
      </c>
      <c r="H2575" t="s">
        <v>998</v>
      </c>
      <c r="I2575" s="403" t="s">
        <v>131</v>
      </c>
      <c r="K2575" s="370"/>
      <c r="N2575" s="370"/>
    </row>
    <row r="2576" spans="1:14" s="347" customFormat="1" x14ac:dyDescent="0.25">
      <c r="A2576" s="369">
        <f>+A2575</f>
        <v>44349</v>
      </c>
      <c r="B2576" s="347">
        <f>+MONTH(A2576)</f>
        <v>6</v>
      </c>
      <c r="C2576" s="347">
        <v>1222</v>
      </c>
      <c r="D2576" s="340" t="str">
        <f>VLOOKUP(C2576,Plan!A:B,2,0)</f>
        <v>Otros Valores -Oficina y Transferencias (249)</v>
      </c>
      <c r="E2576" s="341">
        <f>+F2576-G2576</f>
        <v>-20000</v>
      </c>
      <c r="F2576" s="405">
        <v>0</v>
      </c>
      <c r="G2576" s="405">
        <f>+F2575</f>
        <v>20000</v>
      </c>
      <c r="H2576" t="str">
        <f>+H2575</f>
        <v>Fca. Orrego/249</v>
      </c>
      <c r="I2576" s="403" t="s">
        <v>131</v>
      </c>
      <c r="K2576" s="370"/>
      <c r="N2576" s="370"/>
    </row>
    <row r="2577" spans="1:14" s="347" customFormat="1" x14ac:dyDescent="0.25">
      <c r="A2577" s="369"/>
      <c r="E2577" s="396"/>
      <c r="F2577" s="396"/>
      <c r="G2577" s="396"/>
      <c r="K2577" s="370"/>
      <c r="N2577" s="370"/>
    </row>
    <row r="2578" spans="1:14" s="347" customFormat="1" x14ac:dyDescent="0.25">
      <c r="A2578" s="369">
        <v>44349</v>
      </c>
      <c r="B2578" s="347">
        <f>+MONTH(A2578)</f>
        <v>6</v>
      </c>
      <c r="C2578" s="347">
        <v>115</v>
      </c>
      <c r="D2578" s="340" t="str">
        <f>VLOOKUP(C2578,Plan!A:B,2,0)</f>
        <v>Disponible Cali B.Chile</v>
      </c>
      <c r="E2578" s="341">
        <f>+F2578-G2578</f>
        <v>20000</v>
      </c>
      <c r="F2578" s="405">
        <v>20000</v>
      </c>
      <c r="G2578" s="405">
        <v>0</v>
      </c>
      <c r="H2578" t="s">
        <v>1007</v>
      </c>
      <c r="I2578" s="403" t="s">
        <v>131</v>
      </c>
      <c r="K2578" s="370"/>
      <c r="N2578" s="370"/>
    </row>
    <row r="2579" spans="1:14" s="347" customFormat="1" x14ac:dyDescent="0.25">
      <c r="A2579" s="369">
        <f>+A2578</f>
        <v>44349</v>
      </c>
      <c r="B2579" s="347">
        <f>+MONTH(A2579)</f>
        <v>6</v>
      </c>
      <c r="C2579" s="347">
        <v>1222</v>
      </c>
      <c r="D2579" s="340" t="str">
        <f>VLOOKUP(C2579,Plan!A:B,2,0)</f>
        <v>Otros Valores -Oficina y Transferencias (249)</v>
      </c>
      <c r="E2579" s="341">
        <f>+F2579-G2579</f>
        <v>-20000</v>
      </c>
      <c r="F2579" s="405">
        <v>0</v>
      </c>
      <c r="G2579" s="405">
        <f>+F2578</f>
        <v>20000</v>
      </c>
      <c r="H2579" t="str">
        <f>+H2578</f>
        <v>Oscar Guarda Barros / 249</v>
      </c>
      <c r="I2579" s="403" t="s">
        <v>131</v>
      </c>
      <c r="K2579" s="370"/>
      <c r="N2579" s="370"/>
    </row>
    <row r="2580" spans="1:14" s="347" customFormat="1" x14ac:dyDescent="0.25">
      <c r="A2580" s="369"/>
      <c r="E2580" s="396"/>
      <c r="F2580" s="396"/>
      <c r="G2580" s="396"/>
      <c r="K2580" s="370"/>
      <c r="N2580" s="370"/>
    </row>
    <row r="2581" spans="1:14" s="347" customFormat="1" x14ac:dyDescent="0.25">
      <c r="A2581" s="369">
        <v>44349</v>
      </c>
      <c r="B2581" s="347">
        <f>+MONTH(A2581)</f>
        <v>6</v>
      </c>
      <c r="C2581" s="347">
        <v>115</v>
      </c>
      <c r="D2581" s="340" t="str">
        <f>VLOOKUP(C2581,Plan!A:B,2,0)</f>
        <v>Disponible Cali B.Chile</v>
      </c>
      <c r="E2581" s="341">
        <f>+F2581-G2581</f>
        <v>10000</v>
      </c>
      <c r="F2581" s="405">
        <v>10000</v>
      </c>
      <c r="G2581" s="405">
        <v>0</v>
      </c>
      <c r="H2581" t="s">
        <v>1670</v>
      </c>
      <c r="I2581" s="403" t="s">
        <v>131</v>
      </c>
      <c r="K2581" s="370"/>
      <c r="N2581" s="370"/>
    </row>
    <row r="2582" spans="1:14" s="347" customFormat="1" x14ac:dyDescent="0.25">
      <c r="A2582" s="369">
        <f>+A2581</f>
        <v>44349</v>
      </c>
      <c r="B2582" s="347">
        <f>+MONTH(A2582)</f>
        <v>6</v>
      </c>
      <c r="C2582" s="347">
        <v>1222</v>
      </c>
      <c r="D2582" s="340" t="str">
        <f>VLOOKUP(C2582,Plan!A:B,2,0)</f>
        <v>Otros Valores -Oficina y Transferencias (249)</v>
      </c>
      <c r="E2582" s="341">
        <f>+F2582-G2582</f>
        <v>-10000</v>
      </c>
      <c r="F2582" s="405">
        <v>0</v>
      </c>
      <c r="G2582" s="405">
        <f>+F2581</f>
        <v>10000</v>
      </c>
      <c r="H2582" t="str">
        <f>+H2581</f>
        <v>María Virginia Fernández Oyarzún / 249</v>
      </c>
      <c r="I2582" s="403" t="s">
        <v>131</v>
      </c>
      <c r="K2582" s="370"/>
      <c r="N2582" s="370"/>
    </row>
    <row r="2583" spans="1:14" s="347" customFormat="1" x14ac:dyDescent="0.25">
      <c r="A2583" s="369"/>
      <c r="E2583" s="396"/>
      <c r="F2583" s="396"/>
      <c r="G2583" s="396"/>
      <c r="K2583" s="370"/>
      <c r="N2583" s="370"/>
    </row>
    <row r="2584" spans="1:14" s="347" customFormat="1" x14ac:dyDescent="0.25">
      <c r="A2584" s="369">
        <v>44349</v>
      </c>
      <c r="B2584" s="347">
        <f>+MONTH(A2584)</f>
        <v>6</v>
      </c>
      <c r="C2584" s="347">
        <v>115</v>
      </c>
      <c r="D2584" s="340" t="str">
        <f>VLOOKUP(C2584,Plan!A:B,2,0)</f>
        <v>Disponible Cali B.Chile</v>
      </c>
      <c r="E2584" s="341">
        <f>+F2584-G2584</f>
        <v>40000</v>
      </c>
      <c r="F2584" s="405">
        <v>40000</v>
      </c>
      <c r="G2584" s="405">
        <v>0</v>
      </c>
      <c r="H2584" t="s">
        <v>989</v>
      </c>
      <c r="I2584" s="403" t="s">
        <v>131</v>
      </c>
      <c r="K2584" s="370"/>
      <c r="N2584" s="370"/>
    </row>
    <row r="2585" spans="1:14" s="347" customFormat="1" x14ac:dyDescent="0.25">
      <c r="A2585" s="369">
        <f>+A2584</f>
        <v>44349</v>
      </c>
      <c r="B2585" s="347">
        <f>+MONTH(A2585)</f>
        <v>6</v>
      </c>
      <c r="C2585" s="347">
        <v>1217</v>
      </c>
      <c r="D2585" s="340" t="str">
        <f>VLOOKUP(C2585,Plan!A:B,2,0)</f>
        <v>Otros Valores -Oficina y Transferencias (248)</v>
      </c>
      <c r="E2585" s="341">
        <f>+F2585-G2585</f>
        <v>-40000</v>
      </c>
      <c r="F2585" s="405">
        <v>0</v>
      </c>
      <c r="G2585" s="405">
        <f>+F2584</f>
        <v>40000</v>
      </c>
      <c r="H2585" t="str">
        <f>+H2584</f>
        <v>M. Domínguez / 248</v>
      </c>
      <c r="I2585" s="403" t="s">
        <v>131</v>
      </c>
      <c r="K2585" s="370"/>
      <c r="N2585" s="370"/>
    </row>
    <row r="2586" spans="1:14" s="347" customFormat="1" x14ac:dyDescent="0.25">
      <c r="A2586" s="369"/>
      <c r="E2586" s="396"/>
      <c r="F2586" s="396"/>
      <c r="G2586" s="396"/>
      <c r="K2586" s="370"/>
      <c r="N2586" s="370"/>
    </row>
    <row r="2587" spans="1:14" s="347" customFormat="1" x14ac:dyDescent="0.25">
      <c r="A2587" s="369">
        <v>44349</v>
      </c>
      <c r="B2587" s="347">
        <f>+MONTH(A2587)</f>
        <v>6</v>
      </c>
      <c r="C2587" s="347">
        <v>115</v>
      </c>
      <c r="D2587" s="340" t="str">
        <f>VLOOKUP(C2587,Plan!A:B,2,0)</f>
        <v>Disponible Cali B.Chile</v>
      </c>
      <c r="E2587" s="341">
        <f>+F2587-G2587</f>
        <v>10000</v>
      </c>
      <c r="F2587" s="405">
        <v>10000</v>
      </c>
      <c r="G2587" s="405">
        <v>0</v>
      </c>
      <c r="H2587" t="s">
        <v>1753</v>
      </c>
      <c r="I2587" s="403" t="s">
        <v>131</v>
      </c>
      <c r="K2587" s="370"/>
      <c r="N2587" s="370"/>
    </row>
    <row r="2588" spans="1:14" s="347" customFormat="1" x14ac:dyDescent="0.25">
      <c r="A2588" s="369">
        <f>+A2587</f>
        <v>44349</v>
      </c>
      <c r="B2588" s="347">
        <f>+MONTH(A2588)</f>
        <v>6</v>
      </c>
      <c r="C2588" s="347">
        <v>1222</v>
      </c>
      <c r="D2588" s="340" t="str">
        <f>VLOOKUP(C2588,Plan!A:B,2,0)</f>
        <v>Otros Valores -Oficina y Transferencias (249)</v>
      </c>
      <c r="E2588" s="341">
        <f>+F2588-G2588</f>
        <v>-10000</v>
      </c>
      <c r="F2588" s="405">
        <v>0</v>
      </c>
      <c r="G2588" s="405">
        <f>+F2587</f>
        <v>10000</v>
      </c>
      <c r="H2588" t="str">
        <f>+H2587</f>
        <v>Manuel Achondo Reñasco / 249</v>
      </c>
      <c r="I2588" s="403" t="s">
        <v>131</v>
      </c>
      <c r="K2588" s="370"/>
      <c r="N2588" s="370"/>
    </row>
    <row r="2589" spans="1:14" s="347" customFormat="1" x14ac:dyDescent="0.25">
      <c r="A2589" s="369"/>
      <c r="D2589" s="340"/>
      <c r="E2589" s="341"/>
      <c r="F2589" s="405"/>
      <c r="G2589" s="405"/>
      <c r="H2589"/>
      <c r="I2589" s="403"/>
      <c r="K2589" s="370"/>
      <c r="N2589" s="370"/>
    </row>
    <row r="2590" spans="1:14" s="347" customFormat="1" x14ac:dyDescent="0.25">
      <c r="A2590" s="369">
        <v>44349</v>
      </c>
      <c r="B2590" s="347">
        <f>+MONTH(A2590)</f>
        <v>6</v>
      </c>
      <c r="C2590" s="347">
        <v>115</v>
      </c>
      <c r="D2590" s="340" t="str">
        <f>VLOOKUP(C2590,Plan!A:B,2,0)</f>
        <v>Disponible Cali B.Chile</v>
      </c>
      <c r="E2590" s="341">
        <f>+F2590-G2590</f>
        <v>100000</v>
      </c>
      <c r="F2590" s="405">
        <v>100000</v>
      </c>
      <c r="G2590" s="405">
        <v>0</v>
      </c>
      <c r="H2590" t="s">
        <v>1089</v>
      </c>
      <c r="I2590" s="403" t="s">
        <v>131</v>
      </c>
      <c r="K2590" s="370"/>
      <c r="N2590" s="370"/>
    </row>
    <row r="2591" spans="1:14" s="347" customFormat="1" x14ac:dyDescent="0.25">
      <c r="A2591" s="369">
        <f>+A2590</f>
        <v>44349</v>
      </c>
      <c r="B2591" s="347">
        <f>+MONTH(A2591)</f>
        <v>6</v>
      </c>
      <c r="C2591" s="347">
        <v>3210</v>
      </c>
      <c r="D2591" s="340" t="str">
        <f>VLOOKUP(C2591,Plan!A:B,2,0)</f>
        <v>Donacion Construccion</v>
      </c>
      <c r="E2591" s="341">
        <f>+F2591-G2591</f>
        <v>-100000</v>
      </c>
      <c r="F2591" s="405">
        <v>0</v>
      </c>
      <c r="G2591" s="405">
        <f>+F2590</f>
        <v>100000</v>
      </c>
      <c r="H2591" t="str">
        <f>+H2590</f>
        <v>Marcela Errázuriz León / Azul</v>
      </c>
      <c r="I2591" s="403" t="s">
        <v>131</v>
      </c>
      <c r="K2591" s="370"/>
      <c r="N2591" s="370"/>
    </row>
    <row r="2592" spans="1:14" s="347" customFormat="1" x14ac:dyDescent="0.25">
      <c r="A2592" s="369"/>
      <c r="E2592" s="396"/>
      <c r="F2592" s="396"/>
      <c r="G2592" s="396"/>
      <c r="K2592" s="370"/>
      <c r="N2592" s="370"/>
    </row>
    <row r="2593" spans="1:14" s="347" customFormat="1" x14ac:dyDescent="0.25">
      <c r="A2593" s="369">
        <v>44349</v>
      </c>
      <c r="B2593" s="347">
        <f>+MONTH(A2593)</f>
        <v>6</v>
      </c>
      <c r="C2593" s="347">
        <v>115</v>
      </c>
      <c r="D2593" s="340" t="str">
        <f>VLOOKUP(C2593,Plan!A:B,2,0)</f>
        <v>Disponible Cali B.Chile</v>
      </c>
      <c r="E2593" s="341">
        <f>+F2593-G2593</f>
        <v>45000</v>
      </c>
      <c r="F2593" s="405">
        <v>45000</v>
      </c>
      <c r="G2593" s="405">
        <v>0</v>
      </c>
      <c r="H2593" t="s">
        <v>993</v>
      </c>
      <c r="I2593" s="403" t="s">
        <v>131</v>
      </c>
      <c r="K2593" s="370"/>
      <c r="N2593" s="370"/>
    </row>
    <row r="2594" spans="1:14" s="347" customFormat="1" x14ac:dyDescent="0.25">
      <c r="A2594" s="369">
        <f>+A2593</f>
        <v>44349</v>
      </c>
      <c r="B2594" s="347">
        <f>+MONTH(A2594)</f>
        <v>6</v>
      </c>
      <c r="C2594" s="347">
        <v>3210</v>
      </c>
      <c r="D2594" s="340" t="str">
        <f>VLOOKUP(C2594,Plan!A:B,2,0)</f>
        <v>Donacion Construccion</v>
      </c>
      <c r="E2594" s="341">
        <f>+F2594-G2594</f>
        <v>-45000</v>
      </c>
      <c r="F2594" s="405">
        <v>0</v>
      </c>
      <c r="G2594" s="405">
        <f>+F2593</f>
        <v>45000</v>
      </c>
      <c r="H2594" t="str">
        <f>+H2593</f>
        <v>Patricia Romero Navarro / Azul</v>
      </c>
      <c r="I2594" s="403" t="s">
        <v>131</v>
      </c>
      <c r="K2594" s="370"/>
      <c r="N2594" s="370"/>
    </row>
    <row r="2595" spans="1:14" s="347" customFormat="1" x14ac:dyDescent="0.25">
      <c r="A2595" s="369"/>
      <c r="E2595" s="396"/>
      <c r="F2595" s="396"/>
      <c r="G2595" s="396"/>
      <c r="K2595" s="370"/>
      <c r="N2595" s="370"/>
    </row>
    <row r="2596" spans="1:14" s="347" customFormat="1" x14ac:dyDescent="0.25">
      <c r="A2596" s="369">
        <v>44349</v>
      </c>
      <c r="B2596" s="347">
        <f>+MONTH(A2596)</f>
        <v>6</v>
      </c>
      <c r="C2596" s="347">
        <v>115</v>
      </c>
      <c r="D2596" s="340" t="str">
        <f>VLOOKUP(C2596,Plan!A:B,2,0)</f>
        <v>Disponible Cali B.Chile</v>
      </c>
      <c r="E2596" s="341">
        <f>+F2596-G2596</f>
        <v>25000</v>
      </c>
      <c r="F2596" s="405">
        <v>25000</v>
      </c>
      <c r="G2596" s="405">
        <v>0</v>
      </c>
      <c r="H2596" t="s">
        <v>990</v>
      </c>
      <c r="I2596" s="403" t="s">
        <v>131</v>
      </c>
      <c r="K2596" s="370"/>
      <c r="N2596" s="370"/>
    </row>
    <row r="2597" spans="1:14" s="347" customFormat="1" x14ac:dyDescent="0.25">
      <c r="A2597" s="369">
        <f>+A2596</f>
        <v>44349</v>
      </c>
      <c r="B2597" s="347">
        <f>+MONTH(A2597)</f>
        <v>6</v>
      </c>
      <c r="C2597" s="347">
        <v>1222</v>
      </c>
      <c r="D2597" s="340" t="str">
        <f>VLOOKUP(C2597,Plan!A:B,2,0)</f>
        <v>Otros Valores -Oficina y Transferencias (249)</v>
      </c>
      <c r="E2597" s="341">
        <f>+F2597-G2597</f>
        <v>-25000</v>
      </c>
      <c r="F2597" s="405">
        <v>0</v>
      </c>
      <c r="G2597" s="405">
        <f>+F2596</f>
        <v>25000</v>
      </c>
      <c r="H2597" t="str">
        <f>+H2596</f>
        <v>María Dolores Rioseco Rodríguez/249</v>
      </c>
      <c r="I2597" s="403" t="s">
        <v>131</v>
      </c>
      <c r="K2597" s="370"/>
      <c r="N2597" s="370"/>
    </row>
    <row r="2598" spans="1:14" s="347" customFormat="1" x14ac:dyDescent="0.25">
      <c r="A2598" s="369"/>
      <c r="E2598" s="396"/>
      <c r="F2598" s="396"/>
      <c r="G2598" s="396"/>
      <c r="K2598" s="370"/>
      <c r="N2598" s="370"/>
    </row>
    <row r="2599" spans="1:14" s="347" customFormat="1" x14ac:dyDescent="0.25">
      <c r="A2599" s="369">
        <v>44349</v>
      </c>
      <c r="B2599" s="347">
        <f>+MONTH(A2599)</f>
        <v>6</v>
      </c>
      <c r="C2599" s="347">
        <v>115</v>
      </c>
      <c r="D2599" s="340" t="str">
        <f>VLOOKUP(C2599,Plan!A:B,2,0)</f>
        <v>Disponible Cali B.Chile</v>
      </c>
      <c r="E2599" s="341">
        <f>+F2599-G2599</f>
        <v>20000</v>
      </c>
      <c r="F2599" s="405">
        <v>20000</v>
      </c>
      <c r="G2599" s="405">
        <v>0</v>
      </c>
      <c r="H2599" t="s">
        <v>1056</v>
      </c>
      <c r="I2599" s="403" t="s">
        <v>131</v>
      </c>
      <c r="K2599" s="370"/>
      <c r="N2599" s="370"/>
    </row>
    <row r="2600" spans="1:14" s="347" customFormat="1" x14ac:dyDescent="0.25">
      <c r="A2600" s="369">
        <f>+A2599</f>
        <v>44349</v>
      </c>
      <c r="B2600" s="347">
        <f>+MONTH(A2600)</f>
        <v>6</v>
      </c>
      <c r="C2600" s="347">
        <v>1222</v>
      </c>
      <c r="D2600" s="340" t="str">
        <f>VLOOKUP(C2600,Plan!A:B,2,0)</f>
        <v>Otros Valores -Oficina y Transferencias (249)</v>
      </c>
      <c r="E2600" s="341">
        <f>+F2600-G2600</f>
        <v>-20000</v>
      </c>
      <c r="F2600" s="405">
        <v>0</v>
      </c>
      <c r="G2600" s="405">
        <f>+F2599</f>
        <v>20000</v>
      </c>
      <c r="H2600" t="str">
        <f>+H2599</f>
        <v>María José Muñoz Reinoso / 249</v>
      </c>
      <c r="I2600" s="403" t="s">
        <v>131</v>
      </c>
      <c r="K2600" s="370"/>
      <c r="N2600" s="370"/>
    </row>
    <row r="2601" spans="1:14" s="347" customFormat="1" x14ac:dyDescent="0.25">
      <c r="A2601" s="369"/>
      <c r="E2601" s="396"/>
      <c r="F2601" s="396"/>
      <c r="G2601" s="396"/>
      <c r="K2601" s="370"/>
      <c r="N2601" s="370"/>
    </row>
    <row r="2602" spans="1:14" s="347" customFormat="1" x14ac:dyDescent="0.25">
      <c r="A2602" s="369">
        <v>44349</v>
      </c>
      <c r="B2602" s="347">
        <f>+MONTH(A2602)</f>
        <v>6</v>
      </c>
      <c r="C2602" s="347">
        <v>115</v>
      </c>
      <c r="D2602" s="340" t="str">
        <f>VLOOKUP(C2602,Plan!A:B,2,0)</f>
        <v>Disponible Cali B.Chile</v>
      </c>
      <c r="E2602" s="341">
        <f>+F2602-G2602</f>
        <v>100000</v>
      </c>
      <c r="F2602" s="405">
        <v>100000</v>
      </c>
      <c r="G2602" s="405">
        <v>0</v>
      </c>
      <c r="H2602" t="s">
        <v>1067</v>
      </c>
      <c r="I2602" s="403" t="s">
        <v>131</v>
      </c>
      <c r="K2602" s="370"/>
      <c r="N2602" s="370"/>
    </row>
    <row r="2603" spans="1:14" s="347" customFormat="1" x14ac:dyDescent="0.25">
      <c r="A2603" s="369">
        <f>+A2602</f>
        <v>44349</v>
      </c>
      <c r="B2603" s="347">
        <f>+MONTH(A2603)</f>
        <v>6</v>
      </c>
      <c r="C2603" s="347">
        <v>3210</v>
      </c>
      <c r="D2603" s="340" t="str">
        <f>VLOOKUP(C2603,Plan!A:B,2,0)</f>
        <v>Donacion Construccion</v>
      </c>
      <c r="E2603" s="341">
        <f>+F2603-G2603</f>
        <v>-100000</v>
      </c>
      <c r="F2603" s="405">
        <v>0</v>
      </c>
      <c r="G2603" s="405">
        <f>+F2602</f>
        <v>100000</v>
      </c>
      <c r="H2603" t="str">
        <f>+H2602</f>
        <v>Juan Sebastian Dávila Montaner/Azul</v>
      </c>
      <c r="I2603" s="403" t="s">
        <v>131</v>
      </c>
      <c r="K2603" s="370"/>
      <c r="N2603" s="370"/>
    </row>
    <row r="2604" spans="1:14" s="347" customFormat="1" x14ac:dyDescent="0.25">
      <c r="A2604" s="369"/>
      <c r="E2604" s="396"/>
      <c r="F2604" s="396"/>
      <c r="G2604" s="396"/>
      <c r="K2604" s="370"/>
      <c r="N2604" s="370"/>
    </row>
    <row r="2605" spans="1:14" s="347" customFormat="1" x14ac:dyDescent="0.25">
      <c r="A2605" s="369">
        <v>44349</v>
      </c>
      <c r="B2605" s="347">
        <f>+MONTH(A2605)</f>
        <v>6</v>
      </c>
      <c r="C2605" s="347">
        <v>115</v>
      </c>
      <c r="D2605" s="340" t="str">
        <f>VLOOKUP(C2605,Plan!A:B,2,0)</f>
        <v>Disponible Cali B.Chile</v>
      </c>
      <c r="E2605" s="341">
        <f>+F2605-G2605</f>
        <v>10000</v>
      </c>
      <c r="F2605" s="405">
        <v>10000</v>
      </c>
      <c r="G2605" s="405">
        <v>0</v>
      </c>
      <c r="H2605" t="s">
        <v>999</v>
      </c>
      <c r="I2605" s="403" t="s">
        <v>131</v>
      </c>
      <c r="K2605" s="370"/>
      <c r="N2605" s="370"/>
    </row>
    <row r="2606" spans="1:14" s="347" customFormat="1" x14ac:dyDescent="0.25">
      <c r="A2606" s="369">
        <f>+A2605</f>
        <v>44349</v>
      </c>
      <c r="B2606" s="347">
        <f>+MONTH(A2606)</f>
        <v>6</v>
      </c>
      <c r="C2606" s="347">
        <v>1222</v>
      </c>
      <c r="D2606" s="340" t="str">
        <f>VLOOKUP(C2606,Plan!A:B,2,0)</f>
        <v>Otros Valores -Oficina y Transferencias (249)</v>
      </c>
      <c r="E2606" s="341">
        <f>+F2606-G2606</f>
        <v>-10000</v>
      </c>
      <c r="F2606" s="405">
        <v>0</v>
      </c>
      <c r="G2606" s="405">
        <f>+F2605</f>
        <v>10000</v>
      </c>
      <c r="H2606" t="str">
        <f>+H2605</f>
        <v>Carmen Mónica Barañao Rojas/249</v>
      </c>
      <c r="I2606" s="403" t="s">
        <v>131</v>
      </c>
      <c r="K2606" s="370"/>
      <c r="N2606" s="370"/>
    </row>
    <row r="2607" spans="1:14" s="347" customFormat="1" x14ac:dyDescent="0.25">
      <c r="A2607" s="369"/>
      <c r="E2607" s="396"/>
      <c r="F2607" s="396"/>
      <c r="G2607" s="396"/>
      <c r="K2607" s="370"/>
      <c r="N2607" s="370"/>
    </row>
    <row r="2608" spans="1:14" s="347" customFormat="1" x14ac:dyDescent="0.25">
      <c r="A2608" s="369">
        <v>44350</v>
      </c>
      <c r="B2608" s="347">
        <f>+MONTH(A2608)</f>
        <v>6</v>
      </c>
      <c r="C2608" s="347">
        <v>115</v>
      </c>
      <c r="D2608" s="340" t="str">
        <f>VLOOKUP(C2608,Plan!A:B,2,0)</f>
        <v>Disponible Cali B.Chile</v>
      </c>
      <c r="E2608" s="341">
        <f>+F2608-G2608</f>
        <v>100000</v>
      </c>
      <c r="F2608" s="405">
        <v>100000</v>
      </c>
      <c r="G2608" s="405">
        <v>0</v>
      </c>
      <c r="H2608" t="s">
        <v>1726</v>
      </c>
      <c r="I2608" s="403" t="s">
        <v>131</v>
      </c>
      <c r="K2608" s="370"/>
      <c r="N2608" s="370"/>
    </row>
    <row r="2609" spans="1:14" s="347" customFormat="1" x14ac:dyDescent="0.25">
      <c r="A2609" s="369">
        <f>+A2608</f>
        <v>44350</v>
      </c>
      <c r="B2609" s="347">
        <f>+MONTH(A2609)</f>
        <v>6</v>
      </c>
      <c r="C2609" s="347">
        <v>3210</v>
      </c>
      <c r="D2609" s="340" t="str">
        <f>VLOOKUP(C2609,Plan!A:B,2,0)</f>
        <v>Donacion Construccion</v>
      </c>
      <c r="E2609" s="341">
        <f>+F2609-G2609</f>
        <v>-100000</v>
      </c>
      <c r="F2609" s="405">
        <v>0</v>
      </c>
      <c r="G2609" s="405">
        <f>+F2608</f>
        <v>100000</v>
      </c>
      <c r="H2609" t="str">
        <f>+H2608</f>
        <v>Juan Carlos Latorre Díaz / Azul</v>
      </c>
      <c r="I2609" s="403" t="s">
        <v>131</v>
      </c>
      <c r="K2609" s="370"/>
      <c r="N2609" s="370"/>
    </row>
    <row r="2610" spans="1:14" s="347" customFormat="1" x14ac:dyDescent="0.25">
      <c r="A2610" s="369"/>
      <c r="E2610" s="396"/>
      <c r="F2610" s="396"/>
      <c r="G2610" s="396"/>
      <c r="K2610" s="370"/>
      <c r="N2610" s="370"/>
    </row>
    <row r="2611" spans="1:14" s="347" customFormat="1" x14ac:dyDescent="0.25">
      <c r="A2611" s="369">
        <v>44350</v>
      </c>
      <c r="B2611" s="347">
        <f>+MONTH(A2611)</f>
        <v>6</v>
      </c>
      <c r="C2611" s="347">
        <v>115</v>
      </c>
      <c r="D2611" s="340" t="str">
        <f>VLOOKUP(C2611,Plan!A:B,2,0)</f>
        <v>Disponible Cali B.Chile</v>
      </c>
      <c r="E2611" s="341">
        <f>+F2611-G2611</f>
        <v>3000000</v>
      </c>
      <c r="F2611" s="405">
        <v>3000000</v>
      </c>
      <c r="G2611" s="405">
        <v>0</v>
      </c>
      <c r="H2611" t="s">
        <v>1754</v>
      </c>
      <c r="I2611" s="403" t="s">
        <v>131</v>
      </c>
      <c r="K2611" s="370"/>
      <c r="N2611" s="370"/>
    </row>
    <row r="2612" spans="1:14" s="347" customFormat="1" x14ac:dyDescent="0.25">
      <c r="A2612" s="369">
        <f>+A2611</f>
        <v>44350</v>
      </c>
      <c r="B2612" s="347">
        <f>+MONTH(A2612)</f>
        <v>6</v>
      </c>
      <c r="C2612" s="347">
        <v>133</v>
      </c>
      <c r="D2612" s="340" t="str">
        <f>VLOOKUP(C2612,Plan!A:B,2,0)</f>
        <v>Préstamos  Fundación Cali</v>
      </c>
      <c r="E2612" s="341">
        <f>+F2612-G2612</f>
        <v>-3000000</v>
      </c>
      <c r="F2612" s="405">
        <v>0</v>
      </c>
      <c r="G2612" s="405">
        <f>+F2611</f>
        <v>3000000</v>
      </c>
      <c r="H2612" t="str">
        <f>+H2611</f>
        <v>Paga Prestamo Fund.SanCarlos de Apoquindo</v>
      </c>
      <c r="I2612" s="403" t="s">
        <v>131</v>
      </c>
      <c r="K2612" s="370"/>
      <c r="N2612" s="370"/>
    </row>
    <row r="2613" spans="1:14" s="347" customFormat="1" x14ac:dyDescent="0.25">
      <c r="A2613" s="369"/>
      <c r="E2613" s="396"/>
      <c r="F2613" s="396"/>
      <c r="G2613" s="396"/>
      <c r="K2613" s="370"/>
      <c r="N2613" s="370"/>
    </row>
    <row r="2614" spans="1:14" s="347" customFormat="1" x14ac:dyDescent="0.25">
      <c r="A2614" s="369">
        <v>44350</v>
      </c>
      <c r="B2614" s="347">
        <f>+MONTH(A2614)</f>
        <v>6</v>
      </c>
      <c r="C2614" s="347">
        <v>115</v>
      </c>
      <c r="D2614" s="340" t="str">
        <f>VLOOKUP(C2614,Plan!A:B,2,0)</f>
        <v>Disponible Cali B.Chile</v>
      </c>
      <c r="E2614" s="341">
        <f>+F2614-G2614</f>
        <v>12000</v>
      </c>
      <c r="F2614" s="405">
        <v>12000</v>
      </c>
      <c r="G2614" s="405">
        <v>0</v>
      </c>
      <c r="H2614" t="s">
        <v>1008</v>
      </c>
      <c r="I2614" s="403" t="s">
        <v>131</v>
      </c>
      <c r="K2614" s="370"/>
      <c r="N2614" s="370"/>
    </row>
    <row r="2615" spans="1:14" s="347" customFormat="1" x14ac:dyDescent="0.25">
      <c r="A2615" s="369">
        <f>+A2614</f>
        <v>44350</v>
      </c>
      <c r="B2615" s="347">
        <f>+MONTH(A2615)</f>
        <v>6</v>
      </c>
      <c r="C2615" s="347">
        <v>1222</v>
      </c>
      <c r="D2615" s="340" t="str">
        <f>VLOOKUP(C2615,Plan!A:B,2,0)</f>
        <v>Otros Valores -Oficina y Transferencias (249)</v>
      </c>
      <c r="E2615" s="341">
        <f>+F2615-G2615</f>
        <v>-12000</v>
      </c>
      <c r="F2615" s="405">
        <v>0</v>
      </c>
      <c r="G2615" s="405">
        <f>+F2614</f>
        <v>12000</v>
      </c>
      <c r="H2615" t="str">
        <f>+H2614</f>
        <v>M.Alejandra de la Lastra J./249</v>
      </c>
      <c r="I2615" s="403" t="s">
        <v>131</v>
      </c>
      <c r="K2615" s="370"/>
      <c r="N2615" s="370"/>
    </row>
    <row r="2616" spans="1:14" s="347" customFormat="1" x14ac:dyDescent="0.25">
      <c r="A2616" s="369"/>
      <c r="E2616" s="396"/>
      <c r="F2616" s="396"/>
      <c r="G2616" s="396"/>
      <c r="K2616" s="370"/>
      <c r="N2616" s="370"/>
    </row>
    <row r="2617" spans="1:14" s="347" customFormat="1" x14ac:dyDescent="0.25">
      <c r="A2617" s="369">
        <v>44350</v>
      </c>
      <c r="B2617" s="347">
        <f>+MONTH(A2617)</f>
        <v>6</v>
      </c>
      <c r="C2617" s="347">
        <v>115</v>
      </c>
      <c r="D2617" s="340" t="str">
        <f>VLOOKUP(C2617,Plan!A:B,2,0)</f>
        <v>Disponible Cali B.Chile</v>
      </c>
      <c r="E2617" s="341">
        <f>+F2617-G2617</f>
        <v>60000</v>
      </c>
      <c r="F2617" s="405">
        <v>60000</v>
      </c>
      <c r="G2617" s="405">
        <v>0</v>
      </c>
      <c r="H2617" t="s">
        <v>1724</v>
      </c>
      <c r="I2617" s="403" t="s">
        <v>131</v>
      </c>
      <c r="K2617" s="370"/>
      <c r="N2617" s="370"/>
    </row>
    <row r="2618" spans="1:14" s="347" customFormat="1" x14ac:dyDescent="0.25">
      <c r="A2618" s="369">
        <f>+A2617</f>
        <v>44350</v>
      </c>
      <c r="B2618" s="347">
        <f>+MONTH(A2618)</f>
        <v>6</v>
      </c>
      <c r="C2618" s="347">
        <v>1222</v>
      </c>
      <c r="D2618" s="340" t="str">
        <f>VLOOKUP(C2618,Plan!A:B,2,0)</f>
        <v>Otros Valores -Oficina y Transferencias (249)</v>
      </c>
      <c r="E2618" s="341">
        <f>+F2618-G2618</f>
        <v>-60000</v>
      </c>
      <c r="F2618" s="405">
        <v>0</v>
      </c>
      <c r="G2618" s="405">
        <f>+F2617</f>
        <v>60000</v>
      </c>
      <c r="H2618" t="str">
        <f>+H2617</f>
        <v>Patricio Oelckers Álvarez / 249</v>
      </c>
      <c r="I2618" s="403" t="s">
        <v>131</v>
      </c>
      <c r="K2618" s="370"/>
      <c r="N2618" s="370"/>
    </row>
    <row r="2619" spans="1:14" s="347" customFormat="1" x14ac:dyDescent="0.25">
      <c r="A2619" s="369"/>
      <c r="E2619" s="396"/>
      <c r="F2619" s="396"/>
      <c r="G2619" s="396"/>
      <c r="K2619" s="370"/>
      <c r="N2619" s="370"/>
    </row>
    <row r="2620" spans="1:14" s="347" customFormat="1" x14ac:dyDescent="0.25">
      <c r="A2620" s="369">
        <v>44350</v>
      </c>
      <c r="B2620" s="347">
        <f>+MONTH(A2620)</f>
        <v>6</v>
      </c>
      <c r="C2620" s="347">
        <v>115</v>
      </c>
      <c r="D2620" s="340" t="str">
        <f>VLOOKUP(C2620,Plan!A:B,2,0)</f>
        <v>Disponible Cali B.Chile</v>
      </c>
      <c r="E2620" s="341">
        <f>+F2620-G2620</f>
        <v>12000</v>
      </c>
      <c r="F2620" s="405">
        <v>12000</v>
      </c>
      <c r="G2620" s="405">
        <v>0</v>
      </c>
      <c r="H2620" t="s">
        <v>1673</v>
      </c>
      <c r="I2620" s="403" t="s">
        <v>131</v>
      </c>
      <c r="K2620" s="370"/>
      <c r="N2620" s="370"/>
    </row>
    <row r="2621" spans="1:14" s="347" customFormat="1" x14ac:dyDescent="0.25">
      <c r="A2621" s="369">
        <f>+A2620</f>
        <v>44350</v>
      </c>
      <c r="B2621" s="347">
        <f>+MONTH(A2621)</f>
        <v>6</v>
      </c>
      <c r="C2621" s="347">
        <v>1222</v>
      </c>
      <c r="D2621" s="340" t="str">
        <f>VLOOKUP(C2621,Plan!A:B,2,0)</f>
        <v>Otros Valores -Oficina y Transferencias (249)</v>
      </c>
      <c r="E2621" s="341">
        <f>+F2621-G2621</f>
        <v>-12000</v>
      </c>
      <c r="F2621" s="405">
        <v>0</v>
      </c>
      <c r="G2621" s="405">
        <f>+F2620</f>
        <v>12000</v>
      </c>
      <c r="H2621" t="str">
        <f>+H2620</f>
        <v xml:space="preserve">Martín Fuenzalida Izquierdo / 249 </v>
      </c>
      <c r="I2621" s="403" t="s">
        <v>131</v>
      </c>
      <c r="K2621" s="370"/>
      <c r="N2621" s="370"/>
    </row>
    <row r="2622" spans="1:14" s="347" customFormat="1" x14ac:dyDescent="0.25">
      <c r="A2622" s="369"/>
      <c r="E2622" s="396"/>
      <c r="F2622" s="396"/>
      <c r="G2622" s="396"/>
      <c r="K2622" s="370"/>
      <c r="N2622" s="370"/>
    </row>
    <row r="2623" spans="1:14" s="347" customFormat="1" x14ac:dyDescent="0.25">
      <c r="A2623" s="369">
        <v>44350</v>
      </c>
      <c r="B2623" s="347">
        <f>+MONTH(A2623)</f>
        <v>6</v>
      </c>
      <c r="C2623" s="347">
        <v>115</v>
      </c>
      <c r="D2623" s="340" t="str">
        <f>VLOOKUP(C2623,Plan!A:B,2,0)</f>
        <v>Disponible Cali B.Chile</v>
      </c>
      <c r="E2623" s="341">
        <f>+F2623-G2623</f>
        <v>30000</v>
      </c>
      <c r="F2623" s="405">
        <v>30000</v>
      </c>
      <c r="G2623" s="405">
        <v>0</v>
      </c>
      <c r="H2623" t="s">
        <v>996</v>
      </c>
      <c r="I2623" s="403" t="s">
        <v>131</v>
      </c>
      <c r="K2623" s="370"/>
      <c r="N2623" s="370"/>
    </row>
    <row r="2624" spans="1:14" s="347" customFormat="1" x14ac:dyDescent="0.25">
      <c r="A2624" s="369">
        <f>+A2623</f>
        <v>44350</v>
      </c>
      <c r="B2624" s="347">
        <f>+MONTH(A2624)</f>
        <v>6</v>
      </c>
      <c r="C2624" s="347">
        <v>3210</v>
      </c>
      <c r="D2624" s="340" t="str">
        <f>VLOOKUP(C2624,Plan!A:B,2,0)</f>
        <v>Donacion Construccion</v>
      </c>
      <c r="E2624" s="341">
        <f>+F2624-G2624</f>
        <v>-30000</v>
      </c>
      <c r="F2624" s="405">
        <v>0</v>
      </c>
      <c r="G2624" s="405">
        <f>+F2623</f>
        <v>30000</v>
      </c>
      <c r="H2624" t="str">
        <f>+H2623</f>
        <v>Patrick Reginald Horn Garcia / Azul</v>
      </c>
      <c r="I2624" s="403" t="s">
        <v>131</v>
      </c>
      <c r="K2624" s="370"/>
      <c r="N2624" s="370"/>
    </row>
    <row r="2625" spans="1:14" s="347" customFormat="1" x14ac:dyDescent="0.25">
      <c r="A2625" s="369"/>
      <c r="E2625" s="396"/>
      <c r="F2625" s="396"/>
      <c r="G2625" s="396"/>
      <c r="K2625" s="370"/>
      <c r="N2625" s="370"/>
    </row>
    <row r="2626" spans="1:14" s="347" customFormat="1" x14ac:dyDescent="0.25">
      <c r="A2626" s="369">
        <v>44350</v>
      </c>
      <c r="B2626" s="347">
        <f>+MONTH(A2626)</f>
        <v>6</v>
      </c>
      <c r="C2626" s="347">
        <v>115</v>
      </c>
      <c r="D2626" s="340" t="str">
        <f>VLOOKUP(C2626,Plan!A:B,2,0)</f>
        <v>Disponible Cali B.Chile</v>
      </c>
      <c r="E2626" s="341">
        <f>+F2626-G2626</f>
        <v>39229</v>
      </c>
      <c r="F2626" s="405">
        <v>39229</v>
      </c>
      <c r="G2626" s="405">
        <v>0</v>
      </c>
      <c r="H2626" t="s">
        <v>1755</v>
      </c>
      <c r="I2626" s="403" t="s">
        <v>131</v>
      </c>
      <c r="K2626" s="370"/>
      <c r="N2626" s="370"/>
    </row>
    <row r="2627" spans="1:14" s="347" customFormat="1" x14ac:dyDescent="0.25">
      <c r="A2627" s="369">
        <v>44350</v>
      </c>
      <c r="B2627" s="347">
        <f>+MONTH(A2627)</f>
        <v>6</v>
      </c>
      <c r="C2627" s="347">
        <v>4331</v>
      </c>
      <c r="D2627" s="340" t="str">
        <f>VLOOKUP(C2627,Plan!A:B,2,0)</f>
        <v>Cali</v>
      </c>
      <c r="E2627" s="341">
        <f>+F2627-G2627</f>
        <v>771</v>
      </c>
      <c r="F2627" s="405">
        <f>+G2628-F2626</f>
        <v>771</v>
      </c>
      <c r="G2627" s="405">
        <v>0</v>
      </c>
      <c r="H2627" t="s">
        <v>1755</v>
      </c>
      <c r="I2627" s="403" t="s">
        <v>131</v>
      </c>
      <c r="K2627" s="370"/>
      <c r="N2627" s="370"/>
    </row>
    <row r="2628" spans="1:14" s="347" customFormat="1" x14ac:dyDescent="0.25">
      <c r="A2628" s="369">
        <f>+A2626</f>
        <v>44350</v>
      </c>
      <c r="B2628" s="347">
        <f>+MONTH(A2628)</f>
        <v>6</v>
      </c>
      <c r="C2628" s="347">
        <v>1222</v>
      </c>
      <c r="D2628" s="340" t="str">
        <f>VLOOKUP(C2628,Plan!A:B,2,0)</f>
        <v>Otros Valores -Oficina y Transferencias (249)</v>
      </c>
      <c r="E2628" s="341">
        <f>+F2628-G2628</f>
        <v>-40000</v>
      </c>
      <c r="F2628" s="405">
        <v>0</v>
      </c>
      <c r="G2628" s="405">
        <v>40000</v>
      </c>
      <c r="H2628" t="str">
        <f>+H2626</f>
        <v>Sofía Guerrero V. / 249 D.C.T.($40.000)</v>
      </c>
      <c r="I2628" s="403" t="s">
        <v>131</v>
      </c>
      <c r="K2628" s="370"/>
      <c r="N2628" s="370"/>
    </row>
    <row r="2629" spans="1:14" s="347" customFormat="1" x14ac:dyDescent="0.25">
      <c r="A2629" s="369"/>
      <c r="E2629" s="396"/>
      <c r="F2629" s="396"/>
      <c r="G2629" s="396"/>
      <c r="K2629" s="370"/>
      <c r="N2629" s="370"/>
    </row>
    <row r="2630" spans="1:14" s="347" customFormat="1" x14ac:dyDescent="0.25">
      <c r="A2630" s="369">
        <v>44350</v>
      </c>
      <c r="B2630" s="347">
        <f>+MONTH(A2630)</f>
        <v>6</v>
      </c>
      <c r="C2630" s="347">
        <v>115</v>
      </c>
      <c r="D2630" s="340" t="str">
        <f>VLOOKUP(C2630,Plan!A:B,2,0)</f>
        <v>Disponible Cali B.Chile</v>
      </c>
      <c r="E2630" s="341">
        <f>+F2630-G2630</f>
        <v>70000</v>
      </c>
      <c r="F2630" s="405">
        <v>70000</v>
      </c>
      <c r="G2630" s="405">
        <v>0</v>
      </c>
      <c r="H2630" t="s">
        <v>997</v>
      </c>
      <c r="I2630" s="403" t="s">
        <v>131</v>
      </c>
      <c r="K2630" s="370"/>
      <c r="N2630" s="370"/>
    </row>
    <row r="2631" spans="1:14" s="347" customFormat="1" x14ac:dyDescent="0.25">
      <c r="A2631" s="369">
        <f>+A2630</f>
        <v>44350</v>
      </c>
      <c r="B2631" s="347">
        <f>+MONTH(A2631)</f>
        <v>6</v>
      </c>
      <c r="C2631" s="347">
        <v>1222</v>
      </c>
      <c r="D2631" s="340" t="str">
        <f>VLOOKUP(C2631,Plan!A:B,2,0)</f>
        <v>Otros Valores -Oficina y Transferencias (249)</v>
      </c>
      <c r="E2631" s="341">
        <f>+F2631-G2631</f>
        <v>-70000</v>
      </c>
      <c r="F2631" s="405">
        <v>0</v>
      </c>
      <c r="G2631" s="405">
        <f>+F2630</f>
        <v>70000</v>
      </c>
      <c r="H2631" t="str">
        <f>+H2630</f>
        <v>Alberto Altermatt C. / 249</v>
      </c>
      <c r="I2631" s="403" t="s">
        <v>131</v>
      </c>
      <c r="K2631" s="370"/>
      <c r="N2631" s="370"/>
    </row>
    <row r="2632" spans="1:14" s="347" customFormat="1" x14ac:dyDescent="0.25">
      <c r="A2632" s="369"/>
      <c r="E2632" s="396"/>
      <c r="F2632" s="396"/>
      <c r="G2632" s="396"/>
      <c r="K2632" s="370"/>
      <c r="N2632" s="370"/>
    </row>
    <row r="2633" spans="1:14" s="347" customFormat="1" x14ac:dyDescent="0.25">
      <c r="A2633" s="369">
        <v>44351</v>
      </c>
      <c r="B2633" s="347">
        <f>+MONTH(A2633)</f>
        <v>6</v>
      </c>
      <c r="C2633" s="347">
        <v>115</v>
      </c>
      <c r="D2633" s="340" t="str">
        <f>VLOOKUP(C2633,Plan!A:B,2,0)</f>
        <v>Disponible Cali B.Chile</v>
      </c>
      <c r="E2633" s="341">
        <f>+F2633-G2633</f>
        <v>50000</v>
      </c>
      <c r="F2633" s="405">
        <v>50000</v>
      </c>
      <c r="G2633" s="405">
        <v>0</v>
      </c>
      <c r="H2633" t="s">
        <v>995</v>
      </c>
      <c r="I2633" s="403" t="s">
        <v>131</v>
      </c>
      <c r="K2633" s="370"/>
      <c r="N2633" s="370"/>
    </row>
    <row r="2634" spans="1:14" s="347" customFormat="1" x14ac:dyDescent="0.25">
      <c r="A2634" s="369">
        <f>+A2633</f>
        <v>44351</v>
      </c>
      <c r="B2634" s="347">
        <f>+MONTH(A2634)</f>
        <v>6</v>
      </c>
      <c r="C2634" s="347">
        <v>1222</v>
      </c>
      <c r="D2634" s="340" t="str">
        <f>VLOOKUP(C2634,Plan!A:B,2,0)</f>
        <v>Otros Valores -Oficina y Transferencias (249)</v>
      </c>
      <c r="E2634" s="341">
        <f>+F2634-G2634</f>
        <v>-50000</v>
      </c>
      <c r="F2634" s="405">
        <v>0</v>
      </c>
      <c r="G2634" s="405">
        <f>+F2633</f>
        <v>50000</v>
      </c>
      <c r="H2634" t="str">
        <f>+H2633</f>
        <v>Francisco Salazar González / 249</v>
      </c>
      <c r="I2634" s="403" t="s">
        <v>131</v>
      </c>
      <c r="K2634" s="370"/>
      <c r="N2634" s="370"/>
    </row>
    <row r="2635" spans="1:14" s="347" customFormat="1" x14ac:dyDescent="0.25">
      <c r="A2635" s="369"/>
      <c r="E2635" s="396"/>
      <c r="F2635" s="396"/>
      <c r="G2635" s="396"/>
      <c r="K2635" s="370"/>
      <c r="N2635" s="370"/>
    </row>
    <row r="2636" spans="1:14" s="347" customFormat="1" x14ac:dyDescent="0.25">
      <c r="A2636" s="369">
        <v>44351</v>
      </c>
      <c r="B2636" s="347">
        <f>+MONTH(A2636)</f>
        <v>6</v>
      </c>
      <c r="C2636" s="347">
        <v>115</v>
      </c>
      <c r="D2636" s="340" t="str">
        <f>VLOOKUP(C2636,Plan!A:B,2,0)</f>
        <v>Disponible Cali B.Chile</v>
      </c>
      <c r="E2636" s="341">
        <f>+F2636-G2636</f>
        <v>15000</v>
      </c>
      <c r="F2636" s="405">
        <v>15000</v>
      </c>
      <c r="G2636" s="405">
        <v>0</v>
      </c>
      <c r="H2636" t="s">
        <v>1756</v>
      </c>
      <c r="I2636" s="403" t="s">
        <v>131</v>
      </c>
      <c r="K2636" s="370"/>
      <c r="N2636" s="370"/>
    </row>
    <row r="2637" spans="1:14" s="347" customFormat="1" x14ac:dyDescent="0.25">
      <c r="A2637" s="369">
        <f>+A2636</f>
        <v>44351</v>
      </c>
      <c r="B2637" s="347">
        <f>+MONTH(A2637)</f>
        <v>6</v>
      </c>
      <c r="C2637" s="347">
        <v>1222</v>
      </c>
      <c r="D2637" s="340" t="str">
        <f>VLOOKUP(C2637,Plan!A:B,2,0)</f>
        <v>Otros Valores -Oficina y Transferencias (249)</v>
      </c>
      <c r="E2637" s="341">
        <f>+F2637-G2637</f>
        <v>-15000</v>
      </c>
      <c r="F2637" s="405">
        <v>0</v>
      </c>
      <c r="G2637" s="405">
        <f>+F2636</f>
        <v>15000</v>
      </c>
      <c r="H2637" t="str">
        <f>+H2636</f>
        <v>María José Valdés Valdés / 249</v>
      </c>
      <c r="I2637" s="403" t="s">
        <v>131</v>
      </c>
      <c r="K2637" s="370"/>
      <c r="N2637" s="370"/>
    </row>
    <row r="2638" spans="1:14" s="347" customFormat="1" x14ac:dyDescent="0.25">
      <c r="A2638" s="369"/>
      <c r="E2638" s="396"/>
      <c r="F2638" s="396"/>
      <c r="G2638" s="396"/>
      <c r="K2638" s="370"/>
      <c r="N2638" s="370"/>
    </row>
    <row r="2639" spans="1:14" s="347" customFormat="1" x14ac:dyDescent="0.25">
      <c r="A2639" s="369">
        <v>44351</v>
      </c>
      <c r="B2639" s="347">
        <f>+MONTH(A2639)</f>
        <v>6</v>
      </c>
      <c r="C2639" s="347">
        <v>115</v>
      </c>
      <c r="D2639" s="340" t="str">
        <f>VLOOKUP(C2639,Plan!A:B,2,0)</f>
        <v>Disponible Cali B.Chile</v>
      </c>
      <c r="E2639" s="341">
        <f>+F2639-G2639</f>
        <v>120000</v>
      </c>
      <c r="F2639" s="405">
        <v>120000</v>
      </c>
      <c r="G2639" s="405">
        <v>0</v>
      </c>
      <c r="H2639" t="s">
        <v>987</v>
      </c>
      <c r="I2639" s="403" t="s">
        <v>131</v>
      </c>
      <c r="K2639" s="370"/>
      <c r="N2639" s="370"/>
    </row>
    <row r="2640" spans="1:14" s="347" customFormat="1" x14ac:dyDescent="0.25">
      <c r="A2640" s="369">
        <f>+A2639</f>
        <v>44351</v>
      </c>
      <c r="B2640" s="347">
        <f>+MONTH(A2640)</f>
        <v>6</v>
      </c>
      <c r="C2640" s="347">
        <v>1217</v>
      </c>
      <c r="D2640" s="340" t="str">
        <f>VLOOKUP(C2640,Plan!A:B,2,0)</f>
        <v>Otros Valores -Oficina y Transferencias (248)</v>
      </c>
      <c r="E2640" s="341">
        <f>+F2640-G2640</f>
        <v>-120000</v>
      </c>
      <c r="F2640" s="405">
        <v>0</v>
      </c>
      <c r="G2640" s="405">
        <f>+F2639</f>
        <v>120000</v>
      </c>
      <c r="H2640" t="str">
        <f>+H2639</f>
        <v xml:space="preserve">I. Ureta / 248 </v>
      </c>
      <c r="I2640" s="403" t="s">
        <v>131</v>
      </c>
      <c r="K2640" s="370"/>
      <c r="N2640" s="370"/>
    </row>
    <row r="2641" spans="1:14" s="347" customFormat="1" x14ac:dyDescent="0.25">
      <c r="A2641" s="369"/>
      <c r="E2641" s="396"/>
      <c r="F2641" s="396"/>
      <c r="G2641" s="396"/>
      <c r="K2641" s="370"/>
      <c r="N2641" s="370"/>
    </row>
    <row r="2642" spans="1:14" s="347" customFormat="1" x14ac:dyDescent="0.25">
      <c r="A2642" s="369">
        <v>44351</v>
      </c>
      <c r="B2642" s="347">
        <f>+MONTH(A2642)</f>
        <v>6</v>
      </c>
      <c r="C2642" s="347">
        <v>115</v>
      </c>
      <c r="D2642" s="340" t="str">
        <f>VLOOKUP(C2642,Plan!A:B,2,0)</f>
        <v>Disponible Cali B.Chile</v>
      </c>
      <c r="E2642" s="341">
        <f>+F2642-G2642</f>
        <v>150000</v>
      </c>
      <c r="F2642" s="405">
        <v>150000</v>
      </c>
      <c r="G2642" s="405">
        <v>0</v>
      </c>
      <c r="H2642" t="s">
        <v>1002</v>
      </c>
      <c r="I2642" s="403" t="s">
        <v>131</v>
      </c>
      <c r="K2642" s="370"/>
      <c r="N2642" s="370"/>
    </row>
    <row r="2643" spans="1:14" s="347" customFormat="1" x14ac:dyDescent="0.25">
      <c r="A2643" s="369">
        <f>+A2642</f>
        <v>44351</v>
      </c>
      <c r="B2643" s="347">
        <f>+MONTH(A2643)</f>
        <v>6</v>
      </c>
      <c r="C2643" s="347">
        <v>1222</v>
      </c>
      <c r="D2643" s="340" t="str">
        <f>VLOOKUP(C2643,Plan!A:B,2,0)</f>
        <v>Otros Valores -Oficina y Transferencias (249)</v>
      </c>
      <c r="E2643" s="341">
        <f>+F2643-G2643</f>
        <v>-150000</v>
      </c>
      <c r="F2643" s="405">
        <v>0</v>
      </c>
      <c r="G2643" s="405">
        <f>+F2642</f>
        <v>150000</v>
      </c>
      <c r="H2643" t="str">
        <f>+H2642</f>
        <v>José Miguel Ureta Cardoen / 249</v>
      </c>
      <c r="I2643" s="403" t="s">
        <v>131</v>
      </c>
      <c r="K2643" s="370"/>
      <c r="N2643" s="370"/>
    </row>
    <row r="2644" spans="1:14" s="347" customFormat="1" x14ac:dyDescent="0.25">
      <c r="A2644" s="369"/>
      <c r="E2644" s="396"/>
      <c r="F2644" s="396"/>
      <c r="G2644" s="396"/>
      <c r="K2644" s="370"/>
      <c r="N2644" s="370"/>
    </row>
    <row r="2645" spans="1:14" s="347" customFormat="1" x14ac:dyDescent="0.25">
      <c r="A2645" s="369">
        <v>44351</v>
      </c>
      <c r="B2645" s="347">
        <f>+MONTH(A2645)</f>
        <v>6</v>
      </c>
      <c r="C2645" s="347">
        <v>115</v>
      </c>
      <c r="D2645" s="340" t="str">
        <f>VLOOKUP(C2645,Plan!A:B,2,0)</f>
        <v>Disponible Cali B.Chile</v>
      </c>
      <c r="E2645" s="341">
        <f>+F2645-G2645</f>
        <v>150000</v>
      </c>
      <c r="F2645" s="405">
        <v>150000</v>
      </c>
      <c r="G2645" s="405">
        <v>0</v>
      </c>
      <c r="H2645" t="s">
        <v>1099</v>
      </c>
      <c r="I2645" s="403" t="s">
        <v>131</v>
      </c>
      <c r="K2645" s="370"/>
      <c r="N2645" s="370"/>
    </row>
    <row r="2646" spans="1:14" s="347" customFormat="1" x14ac:dyDescent="0.25">
      <c r="A2646" s="369">
        <f>+A2645</f>
        <v>44351</v>
      </c>
      <c r="B2646" s="347">
        <f>+MONTH(A2646)</f>
        <v>6</v>
      </c>
      <c r="C2646" s="347">
        <v>1222</v>
      </c>
      <c r="D2646" s="340" t="str">
        <f>VLOOKUP(C2646,Plan!A:B,2,0)</f>
        <v>Otros Valores -Oficina y Transferencias (249)</v>
      </c>
      <c r="E2646" s="341">
        <f>+F2646-G2646</f>
        <v>-150000</v>
      </c>
      <c r="F2646" s="405">
        <v>0</v>
      </c>
      <c r="G2646" s="405">
        <f>+F2645</f>
        <v>150000</v>
      </c>
      <c r="H2646" t="str">
        <f>+H2645</f>
        <v>María Consuelo Fuenzalida Walker/249</v>
      </c>
      <c r="I2646" s="403" t="s">
        <v>131</v>
      </c>
      <c r="K2646" s="370"/>
      <c r="N2646" s="370"/>
    </row>
    <row r="2647" spans="1:14" s="347" customFormat="1" x14ac:dyDescent="0.25">
      <c r="A2647" s="369"/>
      <c r="E2647" s="396"/>
      <c r="F2647" s="396"/>
      <c r="G2647" s="396"/>
      <c r="K2647" s="370"/>
      <c r="N2647" s="370"/>
    </row>
    <row r="2648" spans="1:14" s="347" customFormat="1" x14ac:dyDescent="0.25">
      <c r="A2648" s="369">
        <v>44351</v>
      </c>
      <c r="B2648" s="347">
        <f>+MONTH(A2648)</f>
        <v>6</v>
      </c>
      <c r="C2648" s="347">
        <v>1222</v>
      </c>
      <c r="D2648" s="340" t="str">
        <f>VLOOKUP(C2648,Plan!A:B,2,0)</f>
        <v>Otros Valores -Oficina y Transferencias (249)</v>
      </c>
      <c r="E2648" s="341">
        <f>+F2648-G2648</f>
        <v>135000</v>
      </c>
      <c r="F2648" s="405">
        <v>135000</v>
      </c>
      <c r="G2648" s="405">
        <v>0</v>
      </c>
      <c r="H2648" t="s">
        <v>1099</v>
      </c>
      <c r="I2648" s="403" t="s">
        <v>131</v>
      </c>
      <c r="K2648" s="370"/>
      <c r="N2648" s="370"/>
    </row>
    <row r="2649" spans="1:14" s="347" customFormat="1" x14ac:dyDescent="0.25">
      <c r="A2649" s="369">
        <f>+A2648</f>
        <v>44351</v>
      </c>
      <c r="B2649" s="347">
        <f>+MONTH(A2649)</f>
        <v>6</v>
      </c>
      <c r="C2649" s="347">
        <v>115</v>
      </c>
      <c r="D2649" s="340" t="str">
        <f>VLOOKUP(C2649,Plan!A:B,2,0)</f>
        <v>Disponible Cali B.Chile</v>
      </c>
      <c r="E2649" s="341">
        <f>+F2649-G2649</f>
        <v>-135000</v>
      </c>
      <c r="F2649" s="405">
        <v>0</v>
      </c>
      <c r="G2649" s="405">
        <f>+F2648</f>
        <v>135000</v>
      </c>
      <c r="H2649" t="str">
        <f>+H2648</f>
        <v>María Consuelo Fuenzalida Walker/249</v>
      </c>
      <c r="I2649" s="403" t="s">
        <v>131</v>
      </c>
      <c r="K2649" s="370"/>
      <c r="N2649" s="370"/>
    </row>
    <row r="2650" spans="1:14" s="347" customFormat="1" x14ac:dyDescent="0.25">
      <c r="A2650" s="369"/>
      <c r="E2650" s="396"/>
      <c r="F2650" s="396"/>
      <c r="G2650" s="396"/>
      <c r="K2650" s="370"/>
      <c r="N2650" s="370"/>
    </row>
    <row r="2651" spans="1:14" s="347" customFormat="1" x14ac:dyDescent="0.25">
      <c r="A2651" s="369">
        <v>44351</v>
      </c>
      <c r="B2651" s="347">
        <f>+MONTH(A2651)</f>
        <v>6</v>
      </c>
      <c r="C2651" s="347">
        <v>115</v>
      </c>
      <c r="D2651" s="340" t="str">
        <f>VLOOKUP(C2651,Plan!A:B,2,0)</f>
        <v>Disponible Cali B.Chile</v>
      </c>
      <c r="E2651" s="341">
        <f>+F2651-G2651</f>
        <v>350000</v>
      </c>
      <c r="F2651" s="405">
        <v>350000</v>
      </c>
      <c r="G2651" s="405">
        <v>0</v>
      </c>
      <c r="H2651" t="s">
        <v>1757</v>
      </c>
      <c r="I2651" s="403" t="s">
        <v>131</v>
      </c>
      <c r="K2651" s="370"/>
      <c r="N2651" s="370"/>
    </row>
    <row r="2652" spans="1:14" s="347" customFormat="1" x14ac:dyDescent="0.25">
      <c r="A2652" s="369">
        <f>+A2651</f>
        <v>44351</v>
      </c>
      <c r="B2652" s="347">
        <f>+MONTH(A2652)</f>
        <v>6</v>
      </c>
      <c r="C2652" s="347">
        <v>3210</v>
      </c>
      <c r="D2652" s="340" t="str">
        <f>VLOOKUP(C2652,Plan!A:B,2,0)</f>
        <v>Donacion Construccion</v>
      </c>
      <c r="E2652" s="341">
        <f>+F2652-G2652</f>
        <v>-350000</v>
      </c>
      <c r="F2652" s="405">
        <v>0</v>
      </c>
      <c r="G2652" s="405">
        <f>+F2651</f>
        <v>350000</v>
      </c>
      <c r="H2652" t="str">
        <f>+H2651</f>
        <v>María Loreto Naranjo de Lucca/ Azul</v>
      </c>
      <c r="I2652" s="403" t="s">
        <v>131</v>
      </c>
      <c r="K2652" s="370"/>
      <c r="N2652" s="370"/>
    </row>
    <row r="2653" spans="1:14" s="347" customFormat="1" x14ac:dyDescent="0.25">
      <c r="A2653" s="369"/>
      <c r="E2653" s="396"/>
      <c r="F2653" s="396"/>
      <c r="G2653" s="396"/>
      <c r="K2653" s="370"/>
      <c r="N2653" s="370"/>
    </row>
    <row r="2654" spans="1:14" s="347" customFormat="1" x14ac:dyDescent="0.25">
      <c r="A2654" s="369">
        <v>44351</v>
      </c>
      <c r="B2654" s="347">
        <f>+MONTH(A2654)</f>
        <v>6</v>
      </c>
      <c r="C2654" s="347">
        <v>4331</v>
      </c>
      <c r="D2654" s="340" t="str">
        <f>VLOOKUP(C2654,Plan!A:B,2,0)</f>
        <v>Cali</v>
      </c>
      <c r="E2654" s="341">
        <f>+F2654-G2654</f>
        <v>1762</v>
      </c>
      <c r="F2654" s="405">
        <v>1762</v>
      </c>
      <c r="G2654" s="405">
        <v>0</v>
      </c>
      <c r="H2654" t="s">
        <v>1005</v>
      </c>
      <c r="I2654" s="403" t="s">
        <v>131</v>
      </c>
      <c r="K2654" s="370"/>
      <c r="N2654" s="370"/>
    </row>
    <row r="2655" spans="1:14" s="347" customFormat="1" x14ac:dyDescent="0.25">
      <c r="A2655" s="369">
        <f>+A2654</f>
        <v>44351</v>
      </c>
      <c r="B2655" s="347">
        <f>+MONTH(A2655)</f>
        <v>6</v>
      </c>
      <c r="C2655" s="347">
        <v>115</v>
      </c>
      <c r="D2655" s="340" t="str">
        <f>VLOOKUP(C2655,Plan!A:B,2,0)</f>
        <v>Disponible Cali B.Chile</v>
      </c>
      <c r="E2655" s="341">
        <f>+F2655-G2655</f>
        <v>-1762</v>
      </c>
      <c r="F2655" s="405">
        <v>0</v>
      </c>
      <c r="G2655" s="405">
        <f>+F2654</f>
        <v>1762</v>
      </c>
      <c r="H2655" t="str">
        <f>+H2654</f>
        <v>Com.Bco.Chile</v>
      </c>
      <c r="I2655" s="403" t="s">
        <v>131</v>
      </c>
      <c r="K2655" s="370"/>
      <c r="N2655" s="370"/>
    </row>
    <row r="2656" spans="1:14" s="347" customFormat="1" x14ac:dyDescent="0.25">
      <c r="A2656" s="369"/>
      <c r="E2656" s="396"/>
      <c r="F2656" s="396"/>
      <c r="G2656" s="396"/>
      <c r="K2656" s="370"/>
      <c r="N2656" s="370"/>
    </row>
    <row r="2657" spans="1:14" s="347" customFormat="1" x14ac:dyDescent="0.25">
      <c r="A2657" s="369">
        <v>44354</v>
      </c>
      <c r="B2657" s="347">
        <f>+MONTH(A2657)</f>
        <v>6</v>
      </c>
      <c r="C2657" s="347">
        <v>115</v>
      </c>
      <c r="D2657" s="340" t="str">
        <f>VLOOKUP(C2657,Plan!A:B,2,0)</f>
        <v>Disponible Cali B.Chile</v>
      </c>
      <c r="E2657" s="341">
        <f>+F2657-G2657</f>
        <v>650000</v>
      </c>
      <c r="F2657" s="405">
        <v>650000</v>
      </c>
      <c r="G2657" s="405">
        <v>0</v>
      </c>
      <c r="H2657" t="s">
        <v>1757</v>
      </c>
      <c r="I2657" s="403" t="s">
        <v>131</v>
      </c>
      <c r="K2657" s="370"/>
      <c r="N2657" s="370"/>
    </row>
    <row r="2658" spans="1:14" s="347" customFormat="1" x14ac:dyDescent="0.25">
      <c r="A2658" s="369">
        <f>+A2657</f>
        <v>44354</v>
      </c>
      <c r="B2658" s="347">
        <f>+MONTH(A2658)</f>
        <v>6</v>
      </c>
      <c r="C2658" s="347">
        <v>3210</v>
      </c>
      <c r="D2658" s="340" t="str">
        <f>VLOOKUP(C2658,Plan!A:B,2,0)</f>
        <v>Donacion Construccion</v>
      </c>
      <c r="E2658" s="341">
        <f>+F2658-G2658</f>
        <v>-650000</v>
      </c>
      <c r="F2658" s="405">
        <v>0</v>
      </c>
      <c r="G2658" s="405">
        <f>+F2657</f>
        <v>650000</v>
      </c>
      <c r="H2658" t="str">
        <f>+H2657</f>
        <v>María Loreto Naranjo de Lucca/ Azul</v>
      </c>
      <c r="I2658" s="403" t="s">
        <v>131</v>
      </c>
      <c r="K2658" s="370"/>
      <c r="N2658" s="370"/>
    </row>
    <row r="2659" spans="1:14" s="347" customFormat="1" x14ac:dyDescent="0.25">
      <c r="A2659" s="369"/>
      <c r="E2659" s="396"/>
      <c r="F2659" s="396"/>
      <c r="G2659" s="396"/>
      <c r="K2659" s="370"/>
      <c r="N2659" s="370"/>
    </row>
    <row r="2660" spans="1:14" s="347" customFormat="1" x14ac:dyDescent="0.25">
      <c r="A2660" s="369">
        <v>44354</v>
      </c>
      <c r="B2660" s="347">
        <f>+MONTH(A2660)</f>
        <v>6</v>
      </c>
      <c r="C2660" s="347">
        <v>115</v>
      </c>
      <c r="D2660" s="340" t="str">
        <f>VLOOKUP(C2660,Plan!A:B,2,0)</f>
        <v>Disponible Cali B.Chile</v>
      </c>
      <c r="E2660" s="341">
        <f>+F2660-G2660</f>
        <v>50000</v>
      </c>
      <c r="F2660" s="405">
        <v>50000</v>
      </c>
      <c r="G2660" s="405">
        <v>0</v>
      </c>
      <c r="H2660" t="s">
        <v>1006</v>
      </c>
      <c r="I2660" s="403" t="s">
        <v>131</v>
      </c>
      <c r="K2660" s="370"/>
      <c r="N2660" s="370"/>
    </row>
    <row r="2661" spans="1:14" s="347" customFormat="1" x14ac:dyDescent="0.25">
      <c r="A2661" s="369">
        <f>+A2660</f>
        <v>44354</v>
      </c>
      <c r="B2661" s="347">
        <f>+MONTH(A2661)</f>
        <v>6</v>
      </c>
      <c r="C2661" s="347">
        <v>3210</v>
      </c>
      <c r="D2661" s="340" t="str">
        <f>VLOOKUP(C2661,Plan!A:B,2,0)</f>
        <v>Donacion Construccion</v>
      </c>
      <c r="E2661" s="341">
        <f>+F2661-G2661</f>
        <v>-50000</v>
      </c>
      <c r="F2661" s="405">
        <v>0</v>
      </c>
      <c r="G2661" s="405">
        <f>+F2660</f>
        <v>50000</v>
      </c>
      <c r="H2661" t="str">
        <f>+H2660</f>
        <v>José Antonio Vicuña Illanes / Azul</v>
      </c>
      <c r="I2661" s="403" t="s">
        <v>131</v>
      </c>
      <c r="K2661" s="370"/>
      <c r="N2661" s="370"/>
    </row>
    <row r="2662" spans="1:14" s="347" customFormat="1" x14ac:dyDescent="0.25">
      <c r="A2662" s="369"/>
      <c r="E2662" s="396"/>
      <c r="F2662" s="396"/>
      <c r="G2662" s="396"/>
      <c r="K2662" s="370"/>
      <c r="N2662" s="370"/>
    </row>
    <row r="2663" spans="1:14" s="347" customFormat="1" x14ac:dyDescent="0.25">
      <c r="A2663" s="369">
        <v>44354</v>
      </c>
      <c r="B2663" s="347">
        <f>+MONTH(A2663)</f>
        <v>6</v>
      </c>
      <c r="C2663" s="347">
        <v>115</v>
      </c>
      <c r="D2663" s="340" t="str">
        <f>VLOOKUP(C2663,Plan!A:B,2,0)</f>
        <v>Disponible Cali B.Chile</v>
      </c>
      <c r="E2663" s="341">
        <f>+F2663-G2663</f>
        <v>2000</v>
      </c>
      <c r="F2663" s="405">
        <v>2000</v>
      </c>
      <c r="G2663" s="405">
        <v>0</v>
      </c>
      <c r="H2663" t="s">
        <v>1010</v>
      </c>
      <c r="I2663" s="403" t="s">
        <v>131</v>
      </c>
      <c r="K2663" s="370"/>
      <c r="N2663" s="370"/>
    </row>
    <row r="2664" spans="1:14" s="347" customFormat="1" x14ac:dyDescent="0.25">
      <c r="A2664" s="369">
        <f>+A2663</f>
        <v>44354</v>
      </c>
      <c r="B2664" s="347">
        <f>+MONTH(A2664)</f>
        <v>6</v>
      </c>
      <c r="C2664" s="347">
        <v>216</v>
      </c>
      <c r="D2664" s="340" t="str">
        <f>VLOOKUP(C2664,Plan!A:B,2,0)</f>
        <v>Cuenta por Pagar a Administración Colectas</v>
      </c>
      <c r="E2664" s="341">
        <f>+F2664-G2664</f>
        <v>-2000</v>
      </c>
      <c r="F2664" s="405">
        <v>0</v>
      </c>
      <c r="G2664" s="405">
        <f>+F2663</f>
        <v>2000</v>
      </c>
      <c r="H2664" t="str">
        <f>+H2663</f>
        <v>Colecta Raimundo Barros</v>
      </c>
      <c r="I2664" s="403" t="s">
        <v>131</v>
      </c>
      <c r="K2664" s="370"/>
      <c r="N2664" s="370"/>
    </row>
    <row r="2665" spans="1:14" s="347" customFormat="1" x14ac:dyDescent="0.25">
      <c r="A2665" s="369"/>
      <c r="E2665" s="396"/>
      <c r="F2665" s="396"/>
      <c r="G2665" s="396"/>
      <c r="K2665" s="370"/>
      <c r="N2665" s="370"/>
    </row>
    <row r="2666" spans="1:14" s="347" customFormat="1" x14ac:dyDescent="0.25">
      <c r="A2666" s="369">
        <v>44354</v>
      </c>
      <c r="B2666" s="347">
        <f>+MONTH(A2666)</f>
        <v>6</v>
      </c>
      <c r="C2666" s="347">
        <v>115</v>
      </c>
      <c r="D2666" s="340" t="str">
        <f>VLOOKUP(C2666,Plan!A:B,2,0)</f>
        <v>Disponible Cali B.Chile</v>
      </c>
      <c r="E2666" s="341">
        <f>+F2666-G2666</f>
        <v>40000</v>
      </c>
      <c r="F2666" s="405">
        <v>40000</v>
      </c>
      <c r="G2666" s="405">
        <v>0</v>
      </c>
      <c r="H2666" t="s">
        <v>1009</v>
      </c>
      <c r="I2666" s="403" t="s">
        <v>131</v>
      </c>
      <c r="K2666" s="370"/>
      <c r="N2666" s="370"/>
    </row>
    <row r="2667" spans="1:14" s="347" customFormat="1" x14ac:dyDescent="0.25">
      <c r="A2667" s="369">
        <f>+A2666</f>
        <v>44354</v>
      </c>
      <c r="B2667" s="347">
        <f>+MONTH(A2667)</f>
        <v>6</v>
      </c>
      <c r="C2667" s="347">
        <v>1222</v>
      </c>
      <c r="D2667" s="340" t="str">
        <f>VLOOKUP(C2667,Plan!A:B,2,0)</f>
        <v>Otros Valores -Oficina y Transferencias (249)</v>
      </c>
      <c r="E2667" s="341">
        <f>+F2667-G2667</f>
        <v>-40000</v>
      </c>
      <c r="F2667" s="405">
        <v>0</v>
      </c>
      <c r="G2667" s="405">
        <f>+F2666</f>
        <v>40000</v>
      </c>
      <c r="H2667" t="str">
        <f>+H2666</f>
        <v>Juan Rafael Arnaiz Johnson / 249</v>
      </c>
      <c r="I2667" s="403" t="s">
        <v>131</v>
      </c>
      <c r="K2667" s="370"/>
      <c r="N2667" s="370"/>
    </row>
    <row r="2668" spans="1:14" s="347" customFormat="1" x14ac:dyDescent="0.25">
      <c r="A2668" s="369"/>
      <c r="E2668" s="396"/>
      <c r="F2668" s="396"/>
      <c r="G2668" s="396"/>
      <c r="K2668" s="370"/>
      <c r="N2668" s="370"/>
    </row>
    <row r="2669" spans="1:14" s="347" customFormat="1" x14ac:dyDescent="0.25">
      <c r="A2669" s="369">
        <v>44354</v>
      </c>
      <c r="B2669" s="347">
        <f>+MONTH(A2669)</f>
        <v>6</v>
      </c>
      <c r="C2669" s="347">
        <v>115</v>
      </c>
      <c r="D2669" s="340" t="str">
        <f>VLOOKUP(C2669,Plan!A:B,2,0)</f>
        <v>Disponible Cali B.Chile</v>
      </c>
      <c r="E2669" s="341">
        <f>+F2669-G2669</f>
        <v>25000</v>
      </c>
      <c r="F2669" s="405">
        <v>25000</v>
      </c>
      <c r="G2669" s="405">
        <v>0</v>
      </c>
      <c r="H2669" t="s">
        <v>981</v>
      </c>
      <c r="I2669" s="403" t="s">
        <v>131</v>
      </c>
      <c r="K2669" s="370"/>
      <c r="N2669" s="370"/>
    </row>
    <row r="2670" spans="1:14" s="347" customFormat="1" x14ac:dyDescent="0.25">
      <c r="A2670" s="369">
        <f>+A2669</f>
        <v>44354</v>
      </c>
      <c r="B2670" s="347">
        <f>+MONTH(A2670)</f>
        <v>6</v>
      </c>
      <c r="C2670" s="347">
        <v>1222</v>
      </c>
      <c r="D2670" s="340" t="str">
        <f>VLOOKUP(C2670,Plan!A:B,2,0)</f>
        <v>Otros Valores -Oficina y Transferencias (249)</v>
      </c>
      <c r="E2670" s="341">
        <f>+F2670-G2670</f>
        <v>-25000</v>
      </c>
      <c r="F2670" s="405">
        <v>0</v>
      </c>
      <c r="G2670" s="405">
        <f>+F2669</f>
        <v>25000</v>
      </c>
      <c r="H2670" t="s">
        <v>981</v>
      </c>
      <c r="I2670" s="403" t="s">
        <v>131</v>
      </c>
      <c r="K2670" s="370"/>
      <c r="N2670" s="370"/>
    </row>
    <row r="2671" spans="1:14" s="347" customFormat="1" x14ac:dyDescent="0.25">
      <c r="A2671" s="369"/>
      <c r="E2671" s="396"/>
      <c r="F2671" s="396"/>
      <c r="G2671" s="396"/>
      <c r="K2671" s="370"/>
      <c r="N2671" s="370"/>
    </row>
    <row r="2672" spans="1:14" s="347" customFormat="1" x14ac:dyDescent="0.25">
      <c r="A2672" s="369">
        <v>44354</v>
      </c>
      <c r="B2672" s="347">
        <f>+MONTH(A2672)</f>
        <v>6</v>
      </c>
      <c r="C2672" s="347">
        <v>115</v>
      </c>
      <c r="D2672" s="340" t="str">
        <f>VLOOKUP(C2672,Plan!A:B,2,0)</f>
        <v>Disponible Cali B.Chile</v>
      </c>
      <c r="E2672" s="341">
        <f>+F2672-G2672</f>
        <v>12000</v>
      </c>
      <c r="F2672" s="405">
        <v>12000</v>
      </c>
      <c r="G2672" s="405">
        <v>0</v>
      </c>
      <c r="H2672" t="s">
        <v>982</v>
      </c>
      <c r="I2672" s="403" t="s">
        <v>131</v>
      </c>
      <c r="K2672" s="370"/>
      <c r="N2672" s="370"/>
    </row>
    <row r="2673" spans="1:14" s="347" customFormat="1" x14ac:dyDescent="0.25">
      <c r="A2673" s="369">
        <f>+A2672</f>
        <v>44354</v>
      </c>
      <c r="B2673" s="347">
        <f>+MONTH(A2673)</f>
        <v>6</v>
      </c>
      <c r="C2673" s="347">
        <v>216</v>
      </c>
      <c r="D2673" s="340" t="str">
        <f>VLOOKUP(C2673,Plan!A:B,2,0)</f>
        <v>Cuenta por Pagar a Administración Colectas</v>
      </c>
      <c r="E2673" s="341">
        <f>+F2673-G2673</f>
        <v>-12000</v>
      </c>
      <c r="F2673" s="405">
        <v>0</v>
      </c>
      <c r="G2673" s="405">
        <f>+F2672</f>
        <v>12000</v>
      </c>
      <c r="H2673" t="str">
        <f>+H2672</f>
        <v>Colecta CELIS CELEDON MARIA SOLEDAD</v>
      </c>
      <c r="I2673" s="403" t="s">
        <v>131</v>
      </c>
      <c r="K2673" s="370"/>
      <c r="N2673" s="370"/>
    </row>
    <row r="2674" spans="1:14" s="347" customFormat="1" x14ac:dyDescent="0.25">
      <c r="A2674" s="369"/>
      <c r="E2674" s="396"/>
      <c r="F2674" s="396"/>
      <c r="G2674" s="396"/>
      <c r="K2674" s="370"/>
      <c r="N2674" s="370"/>
    </row>
    <row r="2675" spans="1:14" s="347" customFormat="1" x14ac:dyDescent="0.25">
      <c r="A2675" s="369">
        <v>44354</v>
      </c>
      <c r="B2675" s="347">
        <f>+MONTH(A2675)</f>
        <v>6</v>
      </c>
      <c r="C2675" s="347">
        <v>115</v>
      </c>
      <c r="D2675" s="340" t="str">
        <f>VLOOKUP(C2675,Plan!A:B,2,0)</f>
        <v>Disponible Cali B.Chile</v>
      </c>
      <c r="E2675" s="341">
        <f>+F2675-G2675</f>
        <v>20000</v>
      </c>
      <c r="F2675" s="405">
        <v>20000</v>
      </c>
      <c r="G2675" s="405">
        <v>0</v>
      </c>
      <c r="H2675" t="s">
        <v>1686</v>
      </c>
      <c r="I2675" s="403" t="s">
        <v>131</v>
      </c>
      <c r="K2675" s="370"/>
      <c r="N2675" s="370"/>
    </row>
    <row r="2676" spans="1:14" s="347" customFormat="1" x14ac:dyDescent="0.25">
      <c r="A2676" s="369">
        <f>+A2675</f>
        <v>44354</v>
      </c>
      <c r="B2676" s="347">
        <f>+MONTH(A2676)</f>
        <v>6</v>
      </c>
      <c r="C2676" s="347">
        <v>217</v>
      </c>
      <c r="D2676" s="340" t="str">
        <f>VLOOKUP(C2676,Plan!A:B,2,0)</f>
        <v>Cuenta por Pagar a Administración Canastas</v>
      </c>
      <c r="E2676" s="341">
        <f>+F2676-G2676</f>
        <v>-20000</v>
      </c>
      <c r="F2676" s="405">
        <v>0</v>
      </c>
      <c r="G2676" s="405">
        <f>+F2675</f>
        <v>20000</v>
      </c>
      <c r="H2676" t="str">
        <f>+H2675</f>
        <v>Canasta M.Soledad Celis Celedón</v>
      </c>
      <c r="I2676" s="403" t="s">
        <v>131</v>
      </c>
      <c r="K2676" s="370"/>
      <c r="N2676" s="370"/>
    </row>
    <row r="2677" spans="1:14" s="347" customFormat="1" x14ac:dyDescent="0.25">
      <c r="A2677" s="369"/>
      <c r="E2677" s="396"/>
      <c r="F2677" s="396"/>
      <c r="G2677" s="396"/>
      <c r="K2677" s="370"/>
      <c r="N2677" s="370"/>
    </row>
    <row r="2678" spans="1:14" s="347" customFormat="1" x14ac:dyDescent="0.25">
      <c r="A2678" s="369">
        <v>44354</v>
      </c>
      <c r="B2678" s="347">
        <f>+MONTH(A2678)</f>
        <v>6</v>
      </c>
      <c r="C2678" s="347">
        <v>115</v>
      </c>
      <c r="D2678" s="340" t="str">
        <f>VLOOKUP(C2678,Plan!A:B,2,0)</f>
        <v>Disponible Cali B.Chile</v>
      </c>
      <c r="E2678" s="341">
        <f>+F2678-G2678</f>
        <v>36000</v>
      </c>
      <c r="F2678" s="405">
        <v>36000</v>
      </c>
      <c r="G2678" s="405">
        <v>0</v>
      </c>
      <c r="H2678" t="s">
        <v>1758</v>
      </c>
      <c r="I2678" s="403" t="s">
        <v>131</v>
      </c>
      <c r="K2678" s="370"/>
      <c r="N2678" s="370"/>
    </row>
    <row r="2679" spans="1:14" s="347" customFormat="1" x14ac:dyDescent="0.25">
      <c r="A2679" s="369">
        <f>+A2678</f>
        <v>44354</v>
      </c>
      <c r="B2679" s="347">
        <f>+MONTH(A2679)</f>
        <v>6</v>
      </c>
      <c r="C2679" s="347">
        <v>1217</v>
      </c>
      <c r="D2679" s="340" t="str">
        <f>VLOOKUP(C2679,Plan!A:B,2,0)</f>
        <v>Otros Valores -Oficina y Transferencias (248)</v>
      </c>
      <c r="E2679" s="341">
        <f>+F2679-G2679</f>
        <v>-36000</v>
      </c>
      <c r="F2679" s="405">
        <v>0</v>
      </c>
      <c r="G2679" s="405">
        <f>+F2678</f>
        <v>36000</v>
      </c>
      <c r="H2679" t="str">
        <f>+H2678</f>
        <v>Pablo Eyzaguirre Chadwick/248 (A-M-J)</v>
      </c>
      <c r="I2679" s="403" t="s">
        <v>131</v>
      </c>
      <c r="K2679" s="370"/>
      <c r="N2679" s="370"/>
    </row>
    <row r="2680" spans="1:14" s="347" customFormat="1" x14ac:dyDescent="0.25">
      <c r="A2680" s="369"/>
      <c r="E2680" s="396"/>
      <c r="F2680" s="396"/>
      <c r="G2680" s="396"/>
      <c r="K2680" s="370"/>
      <c r="N2680" s="370"/>
    </row>
    <row r="2681" spans="1:14" s="347" customFormat="1" x14ac:dyDescent="0.25">
      <c r="A2681" s="369">
        <v>44354</v>
      </c>
      <c r="B2681" s="347">
        <f>+MONTH(A2681)</f>
        <v>6</v>
      </c>
      <c r="C2681" s="347">
        <v>115</v>
      </c>
      <c r="D2681" s="340" t="str">
        <f>VLOOKUP(C2681,Plan!A:B,2,0)</f>
        <v>Disponible Cali B.Chile</v>
      </c>
      <c r="E2681" s="341">
        <f>+F2681-G2681</f>
        <v>11000</v>
      </c>
      <c r="F2681" s="405">
        <v>11000</v>
      </c>
      <c r="G2681" s="405">
        <v>0</v>
      </c>
      <c r="H2681" t="s">
        <v>1020</v>
      </c>
      <c r="I2681" s="403" t="s">
        <v>131</v>
      </c>
      <c r="K2681" s="370"/>
      <c r="N2681" s="370"/>
    </row>
    <row r="2682" spans="1:14" s="347" customFormat="1" x14ac:dyDescent="0.25">
      <c r="A2682" s="369">
        <f>+A2681</f>
        <v>44354</v>
      </c>
      <c r="B2682" s="347">
        <f>+MONTH(A2682)</f>
        <v>6</v>
      </c>
      <c r="C2682" s="347">
        <v>1217</v>
      </c>
      <c r="D2682" s="340" t="str">
        <f>VLOOKUP(C2682,Plan!A:B,2,0)</f>
        <v>Otros Valores -Oficina y Transferencias (248)</v>
      </c>
      <c r="E2682" s="341">
        <f>+F2682-G2682</f>
        <v>-11000</v>
      </c>
      <c r="F2682" s="405">
        <v>0</v>
      </c>
      <c r="G2682" s="405">
        <f>+F2681</f>
        <v>11000</v>
      </c>
      <c r="H2682" t="str">
        <f>+H2681</f>
        <v xml:space="preserve">M.Cristina Valenzuela L./248 </v>
      </c>
      <c r="I2682" s="403" t="s">
        <v>131</v>
      </c>
      <c r="K2682" s="370"/>
      <c r="N2682" s="370"/>
    </row>
    <row r="2683" spans="1:14" s="347" customFormat="1" x14ac:dyDescent="0.25">
      <c r="A2683" s="369"/>
      <c r="E2683" s="396"/>
      <c r="F2683" s="396"/>
      <c r="G2683" s="396"/>
      <c r="K2683" s="370"/>
      <c r="N2683" s="370"/>
    </row>
    <row r="2684" spans="1:14" s="347" customFormat="1" x14ac:dyDescent="0.25">
      <c r="A2684" s="369">
        <v>44355</v>
      </c>
      <c r="B2684" s="347">
        <f>+MONTH(A2684)</f>
        <v>6</v>
      </c>
      <c r="C2684" s="347">
        <v>115</v>
      </c>
      <c r="D2684" s="340" t="str">
        <f>VLOOKUP(C2684,Plan!A:B,2,0)</f>
        <v>Disponible Cali B.Chile</v>
      </c>
      <c r="E2684" s="341">
        <f>+F2684-G2684</f>
        <v>75000</v>
      </c>
      <c r="F2684" s="405">
        <v>75000</v>
      </c>
      <c r="G2684" s="405">
        <v>0</v>
      </c>
      <c r="H2684" t="s">
        <v>1679</v>
      </c>
      <c r="I2684" s="403" t="s">
        <v>131</v>
      </c>
      <c r="K2684" s="370"/>
      <c r="N2684" s="370"/>
    </row>
    <row r="2685" spans="1:14" s="347" customFormat="1" x14ac:dyDescent="0.25">
      <c r="A2685" s="369">
        <f>+A2684</f>
        <v>44355</v>
      </c>
      <c r="B2685" s="347">
        <f>+MONTH(A2685)</f>
        <v>6</v>
      </c>
      <c r="C2685" s="347">
        <v>1222</v>
      </c>
      <c r="D2685" s="340" t="str">
        <f>VLOOKUP(C2685,Plan!A:B,2,0)</f>
        <v>Otros Valores -Oficina y Transferencias (249)</v>
      </c>
      <c r="E2685" s="341">
        <f>+F2685-G2685</f>
        <v>-75000</v>
      </c>
      <c r="F2685" s="405">
        <v>0</v>
      </c>
      <c r="G2685" s="405">
        <f>+F2684</f>
        <v>75000</v>
      </c>
      <c r="H2685" t="str">
        <f>+H2684</f>
        <v>María Teresa Ibañez Vial / 249</v>
      </c>
      <c r="I2685" s="403" t="s">
        <v>131</v>
      </c>
      <c r="K2685" s="370"/>
      <c r="N2685" s="370"/>
    </row>
    <row r="2686" spans="1:14" s="347" customFormat="1" x14ac:dyDescent="0.25">
      <c r="A2686" s="369"/>
      <c r="E2686" s="396"/>
      <c r="F2686" s="396"/>
      <c r="G2686" s="396"/>
      <c r="K2686" s="370"/>
      <c r="N2686" s="370"/>
    </row>
    <row r="2687" spans="1:14" s="347" customFormat="1" x14ac:dyDescent="0.25">
      <c r="A2687" s="369">
        <v>44355</v>
      </c>
      <c r="B2687" s="347">
        <f>+MONTH(A2687)</f>
        <v>6</v>
      </c>
      <c r="C2687" s="347">
        <v>115</v>
      </c>
      <c r="D2687" s="340" t="str">
        <f>VLOOKUP(C2687,Plan!A:B,2,0)</f>
        <v>Disponible Cali B.Chile</v>
      </c>
      <c r="E2687" s="341">
        <f>+F2687-G2687</f>
        <v>24518</v>
      </c>
      <c r="F2687" s="405">
        <v>24518</v>
      </c>
      <c r="G2687" s="405">
        <v>0</v>
      </c>
      <c r="H2687" t="s">
        <v>1759</v>
      </c>
      <c r="I2687" s="403" t="s">
        <v>131</v>
      </c>
      <c r="K2687" s="370"/>
      <c r="N2687" s="370"/>
    </row>
    <row r="2688" spans="1:14" s="347" customFormat="1" x14ac:dyDescent="0.25">
      <c r="A2688" s="369">
        <f>+A2687</f>
        <v>44355</v>
      </c>
      <c r="B2688" s="347">
        <f>+MONTH(A2688)</f>
        <v>6</v>
      </c>
      <c r="C2688" s="347">
        <v>3210</v>
      </c>
      <c r="D2688" s="340" t="str">
        <f>VLOOKUP(C2688,Plan!A:B,2,0)</f>
        <v>Donacion Construccion</v>
      </c>
      <c r="E2688" s="341">
        <f>+F2688-G2688</f>
        <v>-24518</v>
      </c>
      <c r="F2688" s="405">
        <v>0</v>
      </c>
      <c r="G2688" s="405">
        <f>+F2687</f>
        <v>24518</v>
      </c>
      <c r="H2688" t="str">
        <f>+H2687</f>
        <v>Pamela Daniels Sánchez /Azul (M$25)</v>
      </c>
      <c r="I2688" s="403" t="s">
        <v>131</v>
      </c>
      <c r="K2688" s="370"/>
      <c r="N2688" s="370"/>
    </row>
    <row r="2689" spans="1:14" s="347" customFormat="1" x14ac:dyDescent="0.25">
      <c r="A2689" s="369"/>
      <c r="E2689" s="396"/>
      <c r="F2689" s="396"/>
      <c r="G2689" s="396"/>
      <c r="K2689" s="370"/>
      <c r="N2689" s="370"/>
    </row>
    <row r="2690" spans="1:14" s="347" customFormat="1" x14ac:dyDescent="0.25">
      <c r="A2690" s="369">
        <v>44355</v>
      </c>
      <c r="B2690" s="347">
        <f>+MONTH(A2690)</f>
        <v>6</v>
      </c>
      <c r="C2690" s="347">
        <v>115</v>
      </c>
      <c r="D2690" s="340" t="str">
        <f>VLOOKUP(C2690,Plan!A:B,2,0)</f>
        <v>Disponible Cali B.Chile</v>
      </c>
      <c r="E2690" s="341">
        <f>+F2690-G2690</f>
        <v>33500</v>
      </c>
      <c r="F2690" s="405">
        <v>33500</v>
      </c>
      <c r="G2690" s="405">
        <v>0</v>
      </c>
      <c r="H2690" t="s">
        <v>1760</v>
      </c>
      <c r="I2690" s="403" t="s">
        <v>131</v>
      </c>
      <c r="K2690" s="370"/>
      <c r="N2690" s="370"/>
    </row>
    <row r="2691" spans="1:14" s="347" customFormat="1" x14ac:dyDescent="0.25">
      <c r="A2691" s="369">
        <f>+A2690</f>
        <v>44355</v>
      </c>
      <c r="B2691" s="347">
        <f>+MONTH(A2691)</f>
        <v>6</v>
      </c>
      <c r="C2691" s="347">
        <v>1217</v>
      </c>
      <c r="D2691" s="340" t="str">
        <f>VLOOKUP(C2691,Plan!A:B,2,0)</f>
        <v>Otros Valores -Oficina y Transferencias (248)</v>
      </c>
      <c r="E2691" s="341">
        <f>+F2691-G2691</f>
        <v>-33500</v>
      </c>
      <c r="F2691" s="405">
        <v>0</v>
      </c>
      <c r="G2691" s="405">
        <f>+F2690</f>
        <v>33500</v>
      </c>
      <c r="H2691" t="str">
        <f>+H2690</f>
        <v>Carlos Barriga Apparcel /248</v>
      </c>
      <c r="I2691" s="403" t="s">
        <v>131</v>
      </c>
      <c r="K2691" s="370"/>
      <c r="N2691" s="370"/>
    </row>
    <row r="2692" spans="1:14" s="347" customFormat="1" x14ac:dyDescent="0.25">
      <c r="A2692" s="369"/>
      <c r="E2692" s="396"/>
      <c r="F2692" s="396"/>
      <c r="G2692" s="396"/>
      <c r="K2692" s="370"/>
      <c r="N2692" s="370"/>
    </row>
    <row r="2693" spans="1:14" s="347" customFormat="1" x14ac:dyDescent="0.25">
      <c r="A2693" s="369">
        <v>44355</v>
      </c>
      <c r="B2693" s="347">
        <f>+MONTH(A2693)</f>
        <v>6</v>
      </c>
      <c r="C2693" s="347">
        <v>115</v>
      </c>
      <c r="D2693" s="340" t="str">
        <f>VLOOKUP(C2693,Plan!A:B,2,0)</f>
        <v>Disponible Cali B.Chile</v>
      </c>
      <c r="E2693" s="341">
        <f>+F2693-G2693</f>
        <v>30000</v>
      </c>
      <c r="F2693" s="405">
        <v>30000</v>
      </c>
      <c r="G2693" s="405">
        <v>0</v>
      </c>
      <c r="H2693" t="s">
        <v>1017</v>
      </c>
      <c r="I2693" s="403" t="s">
        <v>131</v>
      </c>
      <c r="K2693" s="370"/>
      <c r="N2693" s="370"/>
    </row>
    <row r="2694" spans="1:14" s="347" customFormat="1" x14ac:dyDescent="0.25">
      <c r="A2694" s="369">
        <f>+A2693</f>
        <v>44355</v>
      </c>
      <c r="B2694" s="347">
        <f>+MONTH(A2694)</f>
        <v>6</v>
      </c>
      <c r="C2694" s="347">
        <v>1216</v>
      </c>
      <c r="D2694" s="340" t="str">
        <f>VLOOKUP(C2694,Plan!A:B,2,0)</f>
        <v>Otros Valores Recaudadoras</v>
      </c>
      <c r="E2694" s="341">
        <f>+F2694-G2694</f>
        <v>-30000</v>
      </c>
      <c r="F2694" s="405">
        <v>0</v>
      </c>
      <c r="G2694" s="405">
        <f>+F2693</f>
        <v>30000</v>
      </c>
      <c r="H2694" t="str">
        <f>+H2693</f>
        <v>María Pía Laura Parodi Gil / 249</v>
      </c>
      <c r="I2694" s="403" t="s">
        <v>131</v>
      </c>
      <c r="K2694" s="370"/>
      <c r="N2694" s="370"/>
    </row>
    <row r="2695" spans="1:14" s="347" customFormat="1" x14ac:dyDescent="0.25">
      <c r="A2695" s="369"/>
      <c r="E2695" s="396"/>
      <c r="F2695" s="396"/>
      <c r="G2695" s="396"/>
      <c r="K2695" s="370"/>
      <c r="N2695" s="370"/>
    </row>
    <row r="2696" spans="1:14" s="347" customFormat="1" x14ac:dyDescent="0.25">
      <c r="A2696" s="369">
        <v>44355</v>
      </c>
      <c r="B2696" s="347">
        <f>+MONTH(A2696)</f>
        <v>6</v>
      </c>
      <c r="C2696" s="347">
        <v>115</v>
      </c>
      <c r="D2696" s="340" t="str">
        <f>VLOOKUP(C2696,Plan!A:B,2,0)</f>
        <v>Disponible Cali B.Chile</v>
      </c>
      <c r="E2696" s="341">
        <f>+F2696-G2696</f>
        <v>110000</v>
      </c>
      <c r="F2696" s="405">
        <v>110000</v>
      </c>
      <c r="G2696" s="405">
        <v>0</v>
      </c>
      <c r="H2696" t="s">
        <v>1031</v>
      </c>
      <c r="I2696" s="403" t="s">
        <v>131</v>
      </c>
      <c r="K2696" s="370"/>
      <c r="N2696" s="370"/>
    </row>
    <row r="2697" spans="1:14" s="347" customFormat="1" x14ac:dyDescent="0.25">
      <c r="A2697" s="369">
        <f>+A2696</f>
        <v>44355</v>
      </c>
      <c r="B2697" s="347">
        <f>+MONTH(A2697)</f>
        <v>6</v>
      </c>
      <c r="C2697" s="347">
        <v>1217</v>
      </c>
      <c r="D2697" s="340" t="str">
        <f>VLOOKUP(C2697,Plan!A:B,2,0)</f>
        <v>Otros Valores -Oficina y Transferencias (248)</v>
      </c>
      <c r="E2697" s="341">
        <f>+F2697-G2697</f>
        <v>-110000</v>
      </c>
      <c r="F2697" s="405">
        <v>0</v>
      </c>
      <c r="G2697" s="405">
        <f>+F2696</f>
        <v>110000</v>
      </c>
      <c r="H2697" t="str">
        <f>+H2696</f>
        <v xml:space="preserve">D. Vassiliu /248 </v>
      </c>
      <c r="I2697" s="403" t="s">
        <v>131</v>
      </c>
      <c r="K2697" s="370"/>
      <c r="N2697" s="370"/>
    </row>
    <row r="2698" spans="1:14" s="347" customFormat="1" x14ac:dyDescent="0.25">
      <c r="A2698" s="369"/>
      <c r="E2698" s="396"/>
      <c r="F2698" s="396"/>
      <c r="G2698" s="396"/>
      <c r="K2698" s="370"/>
      <c r="N2698" s="370"/>
    </row>
    <row r="2699" spans="1:14" s="347" customFormat="1" x14ac:dyDescent="0.25">
      <c r="A2699" s="369">
        <v>44356</v>
      </c>
      <c r="B2699" s="347">
        <f>+MONTH(A2699)</f>
        <v>6</v>
      </c>
      <c r="C2699" s="347">
        <v>115</v>
      </c>
      <c r="D2699" s="340" t="str">
        <f>VLOOKUP(C2699,Plan!A:B,2,0)</f>
        <v>Disponible Cali B.Chile</v>
      </c>
      <c r="E2699" s="341">
        <f>+F2699-G2699</f>
        <v>15000</v>
      </c>
      <c r="F2699" s="405">
        <v>15000</v>
      </c>
      <c r="G2699" s="405">
        <v>0</v>
      </c>
      <c r="H2699" t="s">
        <v>1761</v>
      </c>
      <c r="I2699" s="403" t="s">
        <v>131</v>
      </c>
      <c r="K2699" s="370"/>
      <c r="N2699" s="370"/>
    </row>
    <row r="2700" spans="1:14" s="347" customFormat="1" x14ac:dyDescent="0.25">
      <c r="A2700" s="369">
        <f>+A2699</f>
        <v>44356</v>
      </c>
      <c r="B2700" s="347">
        <f>+MONTH(A2700)</f>
        <v>6</v>
      </c>
      <c r="C2700" s="347">
        <v>3210</v>
      </c>
      <c r="D2700" s="340" t="str">
        <f>VLOOKUP(C2700,Plan!A:B,2,0)</f>
        <v>Donacion Construccion</v>
      </c>
      <c r="E2700" s="341">
        <f>+F2700-G2700</f>
        <v>-15000</v>
      </c>
      <c r="F2700" s="405">
        <v>0</v>
      </c>
      <c r="G2700" s="405">
        <f>+F2699</f>
        <v>15000</v>
      </c>
      <c r="H2700" t="str">
        <f>+H2699</f>
        <v>Carlos Alberto Fonck Limann / Azul</v>
      </c>
      <c r="I2700" s="403" t="s">
        <v>131</v>
      </c>
      <c r="K2700" s="370"/>
      <c r="N2700" s="370"/>
    </row>
    <row r="2701" spans="1:14" s="347" customFormat="1" x14ac:dyDescent="0.25">
      <c r="A2701" s="369"/>
      <c r="E2701" s="396"/>
      <c r="F2701" s="396"/>
      <c r="G2701" s="396"/>
      <c r="K2701" s="370"/>
      <c r="N2701" s="370"/>
    </row>
    <row r="2702" spans="1:14" s="347" customFormat="1" x14ac:dyDescent="0.25">
      <c r="A2702" s="369">
        <v>44356</v>
      </c>
      <c r="B2702" s="347">
        <f>+MONTH(A2702)</f>
        <v>6</v>
      </c>
      <c r="C2702" s="347">
        <v>115</v>
      </c>
      <c r="D2702" s="340" t="str">
        <f>VLOOKUP(C2702,Plan!A:B,2,0)</f>
        <v>Disponible Cali B.Chile</v>
      </c>
      <c r="E2702" s="341">
        <f>+F2702-G2702</f>
        <v>40000</v>
      </c>
      <c r="F2702" s="405">
        <v>40000</v>
      </c>
      <c r="G2702" s="405">
        <v>0</v>
      </c>
      <c r="H2702" t="s">
        <v>787</v>
      </c>
      <c r="I2702" s="403" t="s">
        <v>131</v>
      </c>
      <c r="K2702" s="370"/>
      <c r="N2702" s="370"/>
    </row>
    <row r="2703" spans="1:14" s="347" customFormat="1" x14ac:dyDescent="0.25">
      <c r="A2703" s="369">
        <f>+A2702</f>
        <v>44356</v>
      </c>
      <c r="B2703" s="347">
        <f>+MONTH(A2703)</f>
        <v>6</v>
      </c>
      <c r="C2703" s="347">
        <v>1222</v>
      </c>
      <c r="D2703" s="340" t="str">
        <f>VLOOKUP(C2703,Plan!A:B,2,0)</f>
        <v>Otros Valores -Oficina y Transferencias (249)</v>
      </c>
      <c r="E2703" s="341">
        <f>+F2703-G2703</f>
        <v>-40000</v>
      </c>
      <c r="F2703" s="405">
        <v>0</v>
      </c>
      <c r="G2703" s="405">
        <f>+F2702</f>
        <v>40000</v>
      </c>
      <c r="H2703" t="str">
        <f>+H2702</f>
        <v>Juan Pablo Ríos Ross / 249</v>
      </c>
      <c r="I2703" s="403" t="s">
        <v>131</v>
      </c>
      <c r="K2703" s="370"/>
      <c r="N2703" s="370"/>
    </row>
    <row r="2704" spans="1:14" s="347" customFormat="1" x14ac:dyDescent="0.25">
      <c r="A2704" s="369"/>
      <c r="E2704" s="396"/>
      <c r="F2704" s="396"/>
      <c r="G2704" s="396"/>
      <c r="K2704" s="370"/>
      <c r="N2704" s="370"/>
    </row>
    <row r="2705" spans="1:14" s="347" customFormat="1" x14ac:dyDescent="0.25">
      <c r="A2705" s="369">
        <v>44356</v>
      </c>
      <c r="B2705" s="347">
        <f>+MONTH(A2705)</f>
        <v>6</v>
      </c>
      <c r="C2705" s="347">
        <v>115</v>
      </c>
      <c r="D2705" s="340" t="str">
        <f>VLOOKUP(C2705,Plan!A:B,2,0)</f>
        <v>Disponible Cali B.Chile</v>
      </c>
      <c r="E2705" s="341">
        <f>+F2705-G2705</f>
        <v>1184000</v>
      </c>
      <c r="F2705" s="405">
        <v>1184000</v>
      </c>
      <c r="G2705" s="405">
        <v>0</v>
      </c>
      <c r="H2705" t="s">
        <v>1762</v>
      </c>
      <c r="I2705" s="403" t="s">
        <v>131</v>
      </c>
      <c r="K2705" s="370"/>
      <c r="N2705" s="370"/>
    </row>
    <row r="2706" spans="1:14" s="347" customFormat="1" x14ac:dyDescent="0.25">
      <c r="A2706" s="369">
        <f>+A2705</f>
        <v>44356</v>
      </c>
      <c r="B2706" s="347">
        <f>+MONTH(A2706)</f>
        <v>6</v>
      </c>
      <c r="C2706" s="347">
        <v>1217</v>
      </c>
      <c r="D2706" s="340" t="str">
        <f>VLOOKUP(C2706,Plan!A:B,2,0)</f>
        <v>Otros Valores -Oficina y Transferencias (248)</v>
      </c>
      <c r="E2706" s="341">
        <f>+F2706-G2706</f>
        <v>-1184000</v>
      </c>
      <c r="F2706" s="405">
        <v>0</v>
      </c>
      <c r="G2706" s="405">
        <f>+F2705</f>
        <v>1184000</v>
      </c>
      <c r="H2706" t="str">
        <f>+H2705</f>
        <v>Luis Alberto Cruz Guzmán  / 248</v>
      </c>
      <c r="I2706" s="403" t="s">
        <v>131</v>
      </c>
      <c r="K2706" s="370"/>
      <c r="N2706" s="370"/>
    </row>
    <row r="2707" spans="1:14" s="347" customFormat="1" x14ac:dyDescent="0.25">
      <c r="A2707" s="369"/>
      <c r="E2707" s="396"/>
      <c r="F2707" s="396"/>
      <c r="G2707" s="396"/>
      <c r="K2707" s="370"/>
      <c r="N2707" s="370"/>
    </row>
    <row r="2708" spans="1:14" s="347" customFormat="1" x14ac:dyDescent="0.25">
      <c r="A2708" s="369">
        <v>44357</v>
      </c>
      <c r="B2708" s="347">
        <f>+MONTH(A2708)</f>
        <v>6</v>
      </c>
      <c r="C2708" s="347">
        <v>115</v>
      </c>
      <c r="D2708" s="340" t="str">
        <f>VLOOKUP(C2708,Plan!A:B,2,0)</f>
        <v>Disponible Cali B.Chile</v>
      </c>
      <c r="E2708" s="341">
        <f>+F2708-G2708</f>
        <v>150000</v>
      </c>
      <c r="F2708" s="405">
        <v>150000</v>
      </c>
      <c r="G2708" s="405">
        <v>0</v>
      </c>
      <c r="H2708" t="s">
        <v>1061</v>
      </c>
      <c r="I2708" s="403" t="s">
        <v>131</v>
      </c>
      <c r="K2708" s="370"/>
      <c r="N2708" s="370"/>
    </row>
    <row r="2709" spans="1:14" s="347" customFormat="1" x14ac:dyDescent="0.25">
      <c r="A2709" s="369">
        <f>+A2708</f>
        <v>44357</v>
      </c>
      <c r="B2709" s="347">
        <f>+MONTH(A2709)</f>
        <v>6</v>
      </c>
      <c r="C2709" s="347">
        <v>1217</v>
      </c>
      <c r="D2709" s="340" t="str">
        <f>VLOOKUP(C2709,Plan!A:B,2,0)</f>
        <v>Otros Valores -Oficina y Transferencias (248)</v>
      </c>
      <c r="E2709" s="341">
        <f>+F2709-G2709</f>
        <v>-150000</v>
      </c>
      <c r="F2709" s="405">
        <v>0</v>
      </c>
      <c r="G2709" s="405">
        <f>+F2708</f>
        <v>150000</v>
      </c>
      <c r="H2709" t="str">
        <f>+H2708</f>
        <v>Patricio Abalos /248</v>
      </c>
      <c r="I2709" s="403" t="s">
        <v>131</v>
      </c>
      <c r="K2709" s="370"/>
      <c r="N2709" s="370"/>
    </row>
    <row r="2710" spans="1:14" s="347" customFormat="1" x14ac:dyDescent="0.25">
      <c r="A2710" s="369"/>
      <c r="E2710" s="396"/>
      <c r="F2710" s="396"/>
      <c r="G2710" s="396"/>
      <c r="K2710" s="370"/>
      <c r="N2710" s="370"/>
    </row>
    <row r="2711" spans="1:14" s="347" customFormat="1" x14ac:dyDescent="0.25">
      <c r="A2711" s="369">
        <v>44357</v>
      </c>
      <c r="B2711" s="347">
        <f>+MONTH(A2711)</f>
        <v>6</v>
      </c>
      <c r="C2711" s="347">
        <v>115</v>
      </c>
      <c r="D2711" s="340" t="str">
        <f>VLOOKUP(C2711,Plan!A:B,2,0)</f>
        <v>Disponible Cali B.Chile</v>
      </c>
      <c r="E2711" s="341">
        <f>+F2711-G2711</f>
        <v>30000</v>
      </c>
      <c r="F2711" s="405">
        <v>30000</v>
      </c>
      <c r="G2711" s="405">
        <v>0</v>
      </c>
      <c r="H2711" t="s">
        <v>1003</v>
      </c>
      <c r="I2711" s="403" t="s">
        <v>131</v>
      </c>
      <c r="K2711" s="370"/>
      <c r="N2711" s="370"/>
    </row>
    <row r="2712" spans="1:14" s="347" customFormat="1" x14ac:dyDescent="0.25">
      <c r="A2712" s="369">
        <f>+A2711</f>
        <v>44357</v>
      </c>
      <c r="B2712" s="347">
        <f>+MONTH(A2712)</f>
        <v>6</v>
      </c>
      <c r="C2712" s="347">
        <v>3210</v>
      </c>
      <c r="D2712" s="340" t="str">
        <f>VLOOKUP(C2712,Plan!A:B,2,0)</f>
        <v>Donacion Construccion</v>
      </c>
      <c r="E2712" s="341">
        <f>+F2712-G2712</f>
        <v>-30000</v>
      </c>
      <c r="F2712" s="405">
        <v>0</v>
      </c>
      <c r="G2712" s="405">
        <f>+F2711</f>
        <v>30000</v>
      </c>
      <c r="H2712" t="str">
        <f>+H2711</f>
        <v>Marcela Rebeca Pinto Zepeda / Azul</v>
      </c>
      <c r="I2712" s="403" t="s">
        <v>131</v>
      </c>
      <c r="K2712" s="370"/>
      <c r="N2712" s="370"/>
    </row>
    <row r="2713" spans="1:14" s="347" customFormat="1" x14ac:dyDescent="0.25">
      <c r="A2713" s="369"/>
      <c r="E2713" s="396"/>
      <c r="F2713" s="396"/>
      <c r="G2713" s="396"/>
      <c r="K2713" s="370"/>
      <c r="N2713" s="370"/>
    </row>
    <row r="2714" spans="1:14" s="347" customFormat="1" x14ac:dyDescent="0.25">
      <c r="A2714" s="369">
        <v>44357</v>
      </c>
      <c r="B2714" s="347">
        <f>+MONTH(A2714)</f>
        <v>6</v>
      </c>
      <c r="C2714" s="347">
        <v>115</v>
      </c>
      <c r="D2714" s="340" t="str">
        <f>VLOOKUP(C2714,Plan!A:B,2,0)</f>
        <v>Disponible Cali B.Chile</v>
      </c>
      <c r="E2714" s="341">
        <f>+F2714-G2714</f>
        <v>30000</v>
      </c>
      <c r="F2714" s="405">
        <v>30000</v>
      </c>
      <c r="G2714" s="405">
        <v>0</v>
      </c>
      <c r="H2714" t="s">
        <v>1015</v>
      </c>
      <c r="I2714" s="403" t="s">
        <v>131</v>
      </c>
      <c r="K2714" s="370"/>
      <c r="N2714" s="370"/>
    </row>
    <row r="2715" spans="1:14" s="347" customFormat="1" x14ac:dyDescent="0.25">
      <c r="A2715" s="369">
        <f>+A2714</f>
        <v>44357</v>
      </c>
      <c r="B2715" s="347">
        <f>+MONTH(A2715)</f>
        <v>6</v>
      </c>
      <c r="C2715" s="347">
        <v>1222</v>
      </c>
      <c r="D2715" s="340" t="str">
        <f>VLOOKUP(C2715,Plan!A:B,2,0)</f>
        <v>Otros Valores -Oficina y Transferencias (249)</v>
      </c>
      <c r="E2715" s="341">
        <f>+F2715-G2715</f>
        <v>-30000</v>
      </c>
      <c r="F2715" s="405">
        <v>0</v>
      </c>
      <c r="G2715" s="405">
        <f>+F2714</f>
        <v>30000</v>
      </c>
      <c r="H2715" t="str">
        <f>+H2714</f>
        <v>Enrique Hurtado Ruiz-Tagle / 249</v>
      </c>
      <c r="I2715" s="403" t="s">
        <v>131</v>
      </c>
      <c r="K2715" s="370"/>
      <c r="N2715" s="370"/>
    </row>
    <row r="2716" spans="1:14" s="347" customFormat="1" x14ac:dyDescent="0.25">
      <c r="A2716" s="369"/>
      <c r="E2716" s="396"/>
      <c r="F2716" s="396"/>
      <c r="G2716" s="396"/>
      <c r="K2716" s="370"/>
      <c r="N2716" s="370"/>
    </row>
    <row r="2717" spans="1:14" s="347" customFormat="1" x14ac:dyDescent="0.25">
      <c r="A2717" s="369">
        <v>44357</v>
      </c>
      <c r="B2717" s="347">
        <f>+MONTH(A2717)</f>
        <v>6</v>
      </c>
      <c r="C2717" s="347">
        <v>115</v>
      </c>
      <c r="D2717" s="340" t="str">
        <f>VLOOKUP(C2717,Plan!A:B,2,0)</f>
        <v>Disponible Cali B.Chile</v>
      </c>
      <c r="E2717" s="341">
        <f>+F2717-G2717</f>
        <v>17000</v>
      </c>
      <c r="F2717" s="405">
        <v>17000</v>
      </c>
      <c r="G2717" s="405">
        <v>0</v>
      </c>
      <c r="H2717" t="s">
        <v>1016</v>
      </c>
      <c r="I2717" s="403" t="s">
        <v>131</v>
      </c>
      <c r="K2717" s="370"/>
      <c r="N2717" s="370"/>
    </row>
    <row r="2718" spans="1:14" s="347" customFormat="1" x14ac:dyDescent="0.25">
      <c r="A2718" s="369">
        <f>+A2717</f>
        <v>44357</v>
      </c>
      <c r="B2718" s="347">
        <f>+MONTH(A2718)</f>
        <v>6</v>
      </c>
      <c r="C2718" s="347">
        <v>1222</v>
      </c>
      <c r="D2718" s="340" t="str">
        <f>VLOOKUP(C2718,Plan!A:B,2,0)</f>
        <v>Otros Valores -Oficina y Transferencias (249)</v>
      </c>
      <c r="E2718" s="341">
        <f>+F2718-G2718</f>
        <v>-17000</v>
      </c>
      <c r="F2718" s="405">
        <v>0</v>
      </c>
      <c r="G2718" s="405">
        <f>+F2717</f>
        <v>17000</v>
      </c>
      <c r="H2718" t="str">
        <f>+H2717</f>
        <v>Alejandra Pérez Fabres / 249</v>
      </c>
      <c r="I2718" s="403" t="s">
        <v>131</v>
      </c>
      <c r="K2718" s="370"/>
      <c r="N2718" s="370"/>
    </row>
    <row r="2719" spans="1:14" s="347" customFormat="1" x14ac:dyDescent="0.25">
      <c r="A2719" s="369"/>
      <c r="E2719" s="396"/>
      <c r="F2719" s="396"/>
      <c r="G2719" s="396"/>
      <c r="K2719" s="370"/>
      <c r="N2719" s="370"/>
    </row>
    <row r="2720" spans="1:14" s="347" customFormat="1" x14ac:dyDescent="0.25">
      <c r="A2720" s="369">
        <v>44357</v>
      </c>
      <c r="B2720" s="347">
        <f>+MONTH(A2720)</f>
        <v>6</v>
      </c>
      <c r="C2720" s="347">
        <v>115</v>
      </c>
      <c r="D2720" s="340" t="str">
        <f>VLOOKUP(C2720,Plan!A:B,2,0)</f>
        <v>Disponible Cali B.Chile</v>
      </c>
      <c r="E2720" s="341">
        <f>+F2720-G2720</f>
        <v>30000</v>
      </c>
      <c r="F2720" s="405">
        <v>30000</v>
      </c>
      <c r="G2720" s="405">
        <v>0</v>
      </c>
      <c r="H2720" t="s">
        <v>1012</v>
      </c>
      <c r="I2720" s="403" t="s">
        <v>131</v>
      </c>
      <c r="K2720" s="370"/>
      <c r="N2720" s="370"/>
    </row>
    <row r="2721" spans="1:14" s="347" customFormat="1" x14ac:dyDescent="0.25">
      <c r="A2721" s="369">
        <f>+A2720</f>
        <v>44357</v>
      </c>
      <c r="B2721" s="347">
        <f>+MONTH(A2721)</f>
        <v>6</v>
      </c>
      <c r="C2721" s="347">
        <v>1222</v>
      </c>
      <c r="D2721" s="340" t="str">
        <f>VLOOKUP(C2721,Plan!A:B,2,0)</f>
        <v>Otros Valores -Oficina y Transferencias (249)</v>
      </c>
      <c r="E2721" s="341">
        <f>+F2721-G2721</f>
        <v>-30000</v>
      </c>
      <c r="F2721" s="405">
        <v>0</v>
      </c>
      <c r="G2721" s="405">
        <f>+F2720</f>
        <v>30000</v>
      </c>
      <c r="H2721" t="str">
        <f>+H2720</f>
        <v>María Luz Parodi Gil / 249</v>
      </c>
      <c r="I2721" s="403" t="s">
        <v>131</v>
      </c>
      <c r="K2721" s="370"/>
      <c r="N2721" s="370"/>
    </row>
    <row r="2722" spans="1:14" s="347" customFormat="1" x14ac:dyDescent="0.25">
      <c r="A2722" s="369"/>
      <c r="E2722" s="396"/>
      <c r="F2722" s="396"/>
      <c r="G2722" s="396"/>
      <c r="K2722" s="370"/>
      <c r="N2722" s="370"/>
    </row>
    <row r="2723" spans="1:14" s="347" customFormat="1" x14ac:dyDescent="0.25">
      <c r="A2723" s="369">
        <v>44358</v>
      </c>
      <c r="B2723" s="347">
        <f>+MONTH(A2723)</f>
        <v>6</v>
      </c>
      <c r="C2723" s="347">
        <v>115</v>
      </c>
      <c r="D2723" s="340" t="str">
        <f>VLOOKUP(C2723,Plan!A:B,2,0)</f>
        <v>Disponible Cali B.Chile</v>
      </c>
      <c r="E2723" s="341">
        <f>+F2723-G2723</f>
        <v>30000</v>
      </c>
      <c r="F2723" s="405">
        <v>30000</v>
      </c>
      <c r="G2723" s="405">
        <v>0</v>
      </c>
      <c r="H2723" t="s">
        <v>970</v>
      </c>
      <c r="I2723" s="403" t="s">
        <v>131</v>
      </c>
      <c r="K2723" s="370"/>
      <c r="N2723" s="370"/>
    </row>
    <row r="2724" spans="1:14" s="347" customFormat="1" x14ac:dyDescent="0.25">
      <c r="A2724" s="369">
        <f>+A2723</f>
        <v>44358</v>
      </c>
      <c r="B2724" s="347">
        <f>+MONTH(A2724)</f>
        <v>6</v>
      </c>
      <c r="C2724" s="347">
        <v>1222</v>
      </c>
      <c r="D2724" s="340" t="str">
        <f>VLOOKUP(C2724,Plan!A:B,2,0)</f>
        <v>Otros Valores -Oficina y Transferencias (249)</v>
      </c>
      <c r="E2724" s="341">
        <f>+F2724-G2724</f>
        <v>-30000</v>
      </c>
      <c r="F2724" s="405">
        <v>0</v>
      </c>
      <c r="G2724" s="405">
        <f>+F2723</f>
        <v>30000</v>
      </c>
      <c r="H2724" t="str">
        <f>+H2723</f>
        <v>Horacio Cartagena Fagerstrom/249</v>
      </c>
      <c r="I2724" s="403" t="s">
        <v>131</v>
      </c>
      <c r="K2724" s="370"/>
      <c r="N2724" s="370"/>
    </row>
    <row r="2725" spans="1:14" s="347" customFormat="1" x14ac:dyDescent="0.25">
      <c r="A2725" s="369"/>
      <c r="E2725" s="396"/>
      <c r="F2725" s="396"/>
      <c r="G2725" s="396"/>
      <c r="K2725" s="370"/>
      <c r="N2725" s="370"/>
    </row>
    <row r="2726" spans="1:14" s="347" customFormat="1" x14ac:dyDescent="0.25">
      <c r="A2726" s="369">
        <v>44358</v>
      </c>
      <c r="B2726" s="347">
        <f>+MONTH(A2726)</f>
        <v>6</v>
      </c>
      <c r="C2726" s="347">
        <v>115</v>
      </c>
      <c r="D2726" s="340" t="str">
        <f>VLOOKUP(C2726,Plan!A:B,2,0)</f>
        <v>Disponible Cali B.Chile</v>
      </c>
      <c r="E2726" s="341">
        <f>+F2726-G2726</f>
        <v>64000</v>
      </c>
      <c r="F2726" s="405">
        <v>64000</v>
      </c>
      <c r="G2726" s="405">
        <v>0</v>
      </c>
      <c r="H2726" t="s">
        <v>550</v>
      </c>
      <c r="I2726" s="403" t="s">
        <v>131</v>
      </c>
      <c r="K2726" s="370"/>
      <c r="N2726" s="370"/>
    </row>
    <row r="2727" spans="1:14" s="347" customFormat="1" x14ac:dyDescent="0.25">
      <c r="A2727" s="369">
        <f>+A2726</f>
        <v>44358</v>
      </c>
      <c r="B2727" s="347">
        <f>+MONTH(A2727)</f>
        <v>6</v>
      </c>
      <c r="C2727" s="347">
        <v>1217</v>
      </c>
      <c r="D2727" s="340" t="str">
        <f>VLOOKUP(C2727,Plan!A:B,2,0)</f>
        <v>Otros Valores -Oficina y Transferencias (248)</v>
      </c>
      <c r="E2727" s="341">
        <f>+F2727-G2727</f>
        <v>-64000</v>
      </c>
      <c r="F2727" s="405">
        <v>0</v>
      </c>
      <c r="G2727" s="405">
        <f>+F2726</f>
        <v>64000</v>
      </c>
      <c r="H2727" t="str">
        <f>+H2726</f>
        <v>Leonardo Robles / 248</v>
      </c>
      <c r="I2727" s="403" t="s">
        <v>131</v>
      </c>
      <c r="K2727" s="370"/>
      <c r="N2727" s="370"/>
    </row>
    <row r="2728" spans="1:14" s="347" customFormat="1" x14ac:dyDescent="0.25">
      <c r="A2728" s="369"/>
      <c r="E2728" s="396"/>
      <c r="F2728" s="396"/>
      <c r="G2728" s="396"/>
      <c r="K2728" s="370"/>
      <c r="N2728" s="370"/>
    </row>
    <row r="2729" spans="1:14" s="347" customFormat="1" x14ac:dyDescent="0.25">
      <c r="A2729" s="369">
        <v>44358</v>
      </c>
      <c r="B2729" s="347">
        <f>+MONTH(A2729)</f>
        <v>6</v>
      </c>
      <c r="C2729" s="347">
        <v>115</v>
      </c>
      <c r="D2729" s="340" t="str">
        <f>VLOOKUP(C2729,Plan!A:B,2,0)</f>
        <v>Disponible Cali B.Chile</v>
      </c>
      <c r="E2729" s="341">
        <f>+F2729-G2729</f>
        <v>50000</v>
      </c>
      <c r="F2729" s="405">
        <v>50000</v>
      </c>
      <c r="G2729" s="405">
        <v>0</v>
      </c>
      <c r="H2729" t="s">
        <v>1763</v>
      </c>
      <c r="I2729" s="403" t="s">
        <v>131</v>
      </c>
      <c r="K2729" s="370"/>
      <c r="N2729" s="370"/>
    </row>
    <row r="2730" spans="1:14" s="347" customFormat="1" x14ac:dyDescent="0.25">
      <c r="A2730" s="369">
        <f>+A2729</f>
        <v>44358</v>
      </c>
      <c r="B2730" s="347">
        <f>+MONTH(A2730)</f>
        <v>6</v>
      </c>
      <c r="C2730" s="347">
        <v>3210</v>
      </c>
      <c r="D2730" s="340" t="str">
        <f>VLOOKUP(C2730,Plan!A:B,2,0)</f>
        <v>Donacion Construccion</v>
      </c>
      <c r="E2730" s="341">
        <f>+F2730-G2730</f>
        <v>-50000</v>
      </c>
      <c r="F2730" s="405">
        <v>0</v>
      </c>
      <c r="G2730" s="405">
        <f>+F2729</f>
        <v>50000</v>
      </c>
      <c r="H2730" t="str">
        <f>+H2729</f>
        <v>NN / Azul</v>
      </c>
      <c r="I2730" s="403" t="s">
        <v>131</v>
      </c>
      <c r="K2730" s="370"/>
      <c r="N2730" s="370"/>
    </row>
    <row r="2731" spans="1:14" s="347" customFormat="1" x14ac:dyDescent="0.25">
      <c r="A2731" s="369"/>
      <c r="E2731" s="396"/>
      <c r="F2731" s="396"/>
      <c r="G2731" s="396"/>
      <c r="K2731" s="370"/>
      <c r="N2731" s="370"/>
    </row>
    <row r="2732" spans="1:14" s="347" customFormat="1" x14ac:dyDescent="0.25">
      <c r="A2732" s="369">
        <v>44361</v>
      </c>
      <c r="B2732" s="347">
        <f>+MONTH(A2732)</f>
        <v>6</v>
      </c>
      <c r="C2732" s="347">
        <v>115</v>
      </c>
      <c r="D2732" s="340" t="str">
        <f>VLOOKUP(C2732,Plan!A:B,2,0)</f>
        <v>Disponible Cali B.Chile</v>
      </c>
      <c r="E2732" s="341">
        <f>+F2732-G2732</f>
        <v>100000</v>
      </c>
      <c r="F2732" s="405">
        <v>100000</v>
      </c>
      <c r="G2732" s="405">
        <v>0</v>
      </c>
      <c r="H2732" t="s">
        <v>1021</v>
      </c>
      <c r="I2732" s="403" t="s">
        <v>131</v>
      </c>
      <c r="K2732" s="370"/>
      <c r="N2732" s="370"/>
    </row>
    <row r="2733" spans="1:14" s="347" customFormat="1" x14ac:dyDescent="0.25">
      <c r="A2733" s="369">
        <f>+A2732</f>
        <v>44361</v>
      </c>
      <c r="B2733" s="347">
        <f>+MONTH(A2733)</f>
        <v>6</v>
      </c>
      <c r="C2733" s="347">
        <v>3210</v>
      </c>
      <c r="D2733" s="340" t="str">
        <f>VLOOKUP(C2733,Plan!A:B,2,0)</f>
        <v>Donacion Construccion</v>
      </c>
      <c r="E2733" s="341">
        <f>+F2733-G2733</f>
        <v>-100000</v>
      </c>
      <c r="F2733" s="405">
        <v>0</v>
      </c>
      <c r="G2733" s="405">
        <f>+F2732</f>
        <v>100000</v>
      </c>
      <c r="H2733" t="str">
        <f>+H2732</f>
        <v>Italo Lubiano Tassara/Azul</v>
      </c>
      <c r="I2733" s="403" t="s">
        <v>131</v>
      </c>
      <c r="K2733" s="370"/>
      <c r="N2733" s="370"/>
    </row>
    <row r="2734" spans="1:14" s="347" customFormat="1" x14ac:dyDescent="0.25">
      <c r="A2734" s="369"/>
      <c r="E2734" s="396"/>
      <c r="F2734" s="396"/>
      <c r="G2734" s="396"/>
      <c r="K2734" s="370"/>
      <c r="N2734" s="370"/>
    </row>
    <row r="2735" spans="1:14" s="347" customFormat="1" x14ac:dyDescent="0.25">
      <c r="A2735" s="369">
        <v>44361</v>
      </c>
      <c r="B2735" s="347">
        <f>+MONTH(A2735)</f>
        <v>6</v>
      </c>
      <c r="C2735" s="347">
        <v>115</v>
      </c>
      <c r="D2735" s="340" t="str">
        <f>VLOOKUP(C2735,Plan!A:B,2,0)</f>
        <v>Disponible Cali B.Chile</v>
      </c>
      <c r="E2735" s="341">
        <f>+F2735-G2735</f>
        <v>50000</v>
      </c>
      <c r="F2735" s="405">
        <v>50000</v>
      </c>
      <c r="G2735" s="405">
        <v>0</v>
      </c>
      <c r="H2735" t="s">
        <v>1738</v>
      </c>
      <c r="I2735" s="403" t="s">
        <v>131</v>
      </c>
      <c r="K2735" s="370"/>
      <c r="N2735" s="370"/>
    </row>
    <row r="2736" spans="1:14" s="347" customFormat="1" x14ac:dyDescent="0.25">
      <c r="A2736" s="369">
        <f>+A2735</f>
        <v>44361</v>
      </c>
      <c r="B2736" s="347">
        <f>+MONTH(A2736)</f>
        <v>6</v>
      </c>
      <c r="C2736" s="347">
        <v>1217</v>
      </c>
      <c r="D2736" s="340" t="str">
        <f>VLOOKUP(C2736,Plan!A:B,2,0)</f>
        <v>Otros Valores -Oficina y Transferencias (248)</v>
      </c>
      <c r="E2736" s="341">
        <f>+F2736-G2736</f>
        <v>-50000</v>
      </c>
      <c r="F2736" s="405">
        <v>0</v>
      </c>
      <c r="G2736" s="405">
        <f>+F2735</f>
        <v>50000</v>
      </c>
      <c r="H2736" t="str">
        <f>+H2735</f>
        <v>Pedro Irarrázaval/M.Mercedes Calvo Montt/248</v>
      </c>
      <c r="I2736" s="403" t="s">
        <v>131</v>
      </c>
      <c r="K2736" s="370"/>
      <c r="N2736" s="370"/>
    </row>
    <row r="2737" spans="1:14" s="347" customFormat="1" x14ac:dyDescent="0.25">
      <c r="A2737" s="369"/>
      <c r="E2737" s="396"/>
      <c r="F2737" s="396"/>
      <c r="G2737" s="396"/>
      <c r="K2737" s="370"/>
      <c r="N2737" s="370"/>
    </row>
    <row r="2738" spans="1:14" s="347" customFormat="1" x14ac:dyDescent="0.25">
      <c r="A2738" s="369">
        <v>44361</v>
      </c>
      <c r="B2738" s="347">
        <f>+MONTH(A2738)</f>
        <v>6</v>
      </c>
      <c r="C2738" s="347">
        <v>115</v>
      </c>
      <c r="D2738" s="340" t="str">
        <f>VLOOKUP(C2738,Plan!A:B,2,0)</f>
        <v>Disponible Cali B.Chile</v>
      </c>
      <c r="E2738" s="341">
        <f>+F2738-G2738</f>
        <v>30000</v>
      </c>
      <c r="F2738" s="405">
        <v>30000</v>
      </c>
      <c r="G2738" s="405">
        <v>0</v>
      </c>
      <c r="H2738" t="s">
        <v>1066</v>
      </c>
      <c r="I2738" s="403" t="s">
        <v>131</v>
      </c>
      <c r="K2738" s="370"/>
      <c r="N2738" s="370"/>
    </row>
    <row r="2739" spans="1:14" s="347" customFormat="1" x14ac:dyDescent="0.25">
      <c r="A2739" s="369">
        <f>+A2738</f>
        <v>44361</v>
      </c>
      <c r="B2739" s="347">
        <f>+MONTH(A2739)</f>
        <v>6</v>
      </c>
      <c r="C2739" s="347">
        <v>1222</v>
      </c>
      <c r="D2739" s="340" t="str">
        <f>VLOOKUP(C2739,Plan!A:B,2,0)</f>
        <v>Otros Valores -Oficina y Transferencias (249)</v>
      </c>
      <c r="E2739" s="341">
        <f>+F2739-G2739</f>
        <v>-30000</v>
      </c>
      <c r="F2739" s="405">
        <v>0</v>
      </c>
      <c r="G2739" s="405">
        <f>+F2738</f>
        <v>30000</v>
      </c>
      <c r="H2739" t="str">
        <f>+H2738</f>
        <v>Marie Solange Vinet Homar / 249</v>
      </c>
      <c r="I2739" s="403" t="s">
        <v>131</v>
      </c>
      <c r="K2739" s="370"/>
      <c r="N2739" s="370"/>
    </row>
    <row r="2740" spans="1:14" s="347" customFormat="1" x14ac:dyDescent="0.25">
      <c r="A2740" s="369"/>
      <c r="E2740" s="396"/>
      <c r="F2740" s="396"/>
      <c r="G2740" s="396"/>
      <c r="K2740" s="370"/>
      <c r="N2740" s="370"/>
    </row>
    <row r="2741" spans="1:14" s="347" customFormat="1" x14ac:dyDescent="0.25">
      <c r="A2741" s="369">
        <v>44361</v>
      </c>
      <c r="B2741" s="347">
        <f>+MONTH(A2741)</f>
        <v>6</v>
      </c>
      <c r="C2741" s="347">
        <v>115</v>
      </c>
      <c r="D2741" s="340" t="str">
        <f>VLOOKUP(C2741,Plan!A:B,2,0)</f>
        <v>Disponible Cali B.Chile</v>
      </c>
      <c r="E2741" s="341">
        <f>+F2741-G2741</f>
        <v>7000</v>
      </c>
      <c r="F2741" s="405">
        <v>7000</v>
      </c>
      <c r="G2741" s="405">
        <v>0</v>
      </c>
      <c r="H2741" t="s">
        <v>1078</v>
      </c>
      <c r="I2741" s="403" t="s">
        <v>131</v>
      </c>
      <c r="K2741" s="370"/>
      <c r="N2741" s="370"/>
    </row>
    <row r="2742" spans="1:14" s="347" customFormat="1" x14ac:dyDescent="0.25">
      <c r="A2742" s="369">
        <f>+A2741</f>
        <v>44361</v>
      </c>
      <c r="B2742" s="347">
        <f>+MONTH(A2742)</f>
        <v>6</v>
      </c>
      <c r="C2742" s="347">
        <v>1222</v>
      </c>
      <c r="D2742" s="340" t="str">
        <f>VLOOKUP(C2742,Plan!A:B,2,0)</f>
        <v>Otros Valores -Oficina y Transferencias (249)</v>
      </c>
      <c r="E2742" s="341">
        <f>+F2742-G2742</f>
        <v>-7000</v>
      </c>
      <c r="F2742" s="405">
        <v>0</v>
      </c>
      <c r="G2742" s="405">
        <f>+F2741</f>
        <v>7000</v>
      </c>
      <c r="H2742" t="str">
        <f>+H2741</f>
        <v>Isabel Margarita Cortés Testart/249</v>
      </c>
      <c r="I2742" s="403" t="s">
        <v>131</v>
      </c>
      <c r="K2742" s="370"/>
      <c r="N2742" s="370"/>
    </row>
    <row r="2743" spans="1:14" s="347" customFormat="1" x14ac:dyDescent="0.25">
      <c r="A2743" s="369"/>
      <c r="E2743" s="396"/>
      <c r="F2743" s="396"/>
      <c r="G2743" s="396"/>
      <c r="K2743" s="370"/>
      <c r="N2743" s="370"/>
    </row>
    <row r="2744" spans="1:14" s="347" customFormat="1" x14ac:dyDescent="0.25">
      <c r="A2744" s="369">
        <v>44361</v>
      </c>
      <c r="B2744" s="347">
        <f>+MONTH(A2744)</f>
        <v>6</v>
      </c>
      <c r="C2744" s="347">
        <v>115</v>
      </c>
      <c r="D2744" s="340" t="str">
        <f>VLOOKUP(C2744,Plan!A:B,2,0)</f>
        <v>Disponible Cali B.Chile</v>
      </c>
      <c r="E2744" s="341">
        <f>+F2744-G2744</f>
        <v>20000</v>
      </c>
      <c r="F2744" s="405">
        <v>20000</v>
      </c>
      <c r="G2744" s="405">
        <v>0</v>
      </c>
      <c r="H2744" t="s">
        <v>1022</v>
      </c>
      <c r="I2744" s="403" t="s">
        <v>131</v>
      </c>
      <c r="K2744" s="370"/>
      <c r="N2744" s="370"/>
    </row>
    <row r="2745" spans="1:14" s="347" customFormat="1" x14ac:dyDescent="0.25">
      <c r="A2745" s="369">
        <f>+A2744</f>
        <v>44361</v>
      </c>
      <c r="B2745" s="347">
        <f>+MONTH(A2745)</f>
        <v>6</v>
      </c>
      <c r="C2745" s="347">
        <v>3210</v>
      </c>
      <c r="D2745" s="340" t="str">
        <f>VLOOKUP(C2745,Plan!A:B,2,0)</f>
        <v>Donacion Construccion</v>
      </c>
      <c r="E2745" s="341">
        <f>+F2745-G2745</f>
        <v>-20000</v>
      </c>
      <c r="F2745" s="405">
        <v>0</v>
      </c>
      <c r="G2745" s="405">
        <f>+F2744</f>
        <v>20000</v>
      </c>
      <c r="H2745" t="str">
        <f>+H2744</f>
        <v>M.Graciela Garrido C. / Azul</v>
      </c>
      <c r="I2745" s="403" t="s">
        <v>131</v>
      </c>
      <c r="K2745" s="370"/>
      <c r="N2745" s="370"/>
    </row>
    <row r="2746" spans="1:14" s="347" customFormat="1" x14ac:dyDescent="0.25">
      <c r="A2746" s="369"/>
      <c r="E2746" s="396"/>
      <c r="F2746" s="396"/>
      <c r="G2746" s="396"/>
      <c r="K2746" s="370"/>
      <c r="N2746" s="370"/>
    </row>
    <row r="2747" spans="1:14" s="347" customFormat="1" x14ac:dyDescent="0.25">
      <c r="A2747" s="369">
        <v>44361</v>
      </c>
      <c r="B2747" s="347">
        <f>+MONTH(A2747)</f>
        <v>6</v>
      </c>
      <c r="C2747" s="347">
        <v>115</v>
      </c>
      <c r="D2747" s="340" t="str">
        <f>VLOOKUP(C2747,Plan!A:B,2,0)</f>
        <v>Disponible Cali B.Chile</v>
      </c>
      <c r="E2747" s="341">
        <f>+F2747-G2747</f>
        <v>25000</v>
      </c>
      <c r="F2747" s="405">
        <v>25000</v>
      </c>
      <c r="G2747" s="405">
        <v>0</v>
      </c>
      <c r="H2747" t="s">
        <v>1023</v>
      </c>
      <c r="I2747" s="403" t="s">
        <v>131</v>
      </c>
      <c r="K2747" s="370"/>
      <c r="N2747" s="370"/>
    </row>
    <row r="2748" spans="1:14" s="347" customFormat="1" x14ac:dyDescent="0.25">
      <c r="A2748" s="369">
        <f>+A2747</f>
        <v>44361</v>
      </c>
      <c r="B2748" s="347">
        <f>+MONTH(A2748)</f>
        <v>6</v>
      </c>
      <c r="C2748" s="347">
        <v>1222</v>
      </c>
      <c r="D2748" s="340" t="str">
        <f>VLOOKUP(C2748,Plan!A:B,2,0)</f>
        <v>Otros Valores -Oficina y Transferencias (249)</v>
      </c>
      <c r="E2748" s="341">
        <f>+F2748-G2748</f>
        <v>-25000</v>
      </c>
      <c r="F2748" s="405">
        <v>0</v>
      </c>
      <c r="G2748" s="405">
        <f>+F2747</f>
        <v>25000</v>
      </c>
      <c r="H2748" t="str">
        <f>+H2747</f>
        <v>M.Graciela Garrido C. / 249</v>
      </c>
      <c r="I2748" s="403" t="s">
        <v>131</v>
      </c>
      <c r="K2748" s="370"/>
      <c r="N2748" s="370"/>
    </row>
    <row r="2749" spans="1:14" s="347" customFormat="1" x14ac:dyDescent="0.25">
      <c r="A2749" s="369"/>
      <c r="E2749" s="396"/>
      <c r="F2749" s="396"/>
      <c r="G2749" s="396"/>
      <c r="K2749" s="370"/>
      <c r="N2749" s="370"/>
    </row>
    <row r="2750" spans="1:14" s="347" customFormat="1" x14ac:dyDescent="0.25">
      <c r="A2750" s="369">
        <v>44361</v>
      </c>
      <c r="B2750" s="347">
        <f>+MONTH(A2750)</f>
        <v>6</v>
      </c>
      <c r="C2750" s="347">
        <v>115</v>
      </c>
      <c r="D2750" s="340" t="str">
        <f>VLOOKUP(C2750,Plan!A:B,2,0)</f>
        <v>Disponible Cali B.Chile</v>
      </c>
      <c r="E2750" s="341">
        <f>+F2750-G2750</f>
        <v>2000</v>
      </c>
      <c r="F2750" s="405">
        <v>2000</v>
      </c>
      <c r="G2750" s="405">
        <v>0</v>
      </c>
      <c r="H2750" t="s">
        <v>1010</v>
      </c>
      <c r="I2750" s="403" t="s">
        <v>131</v>
      </c>
      <c r="K2750" s="370"/>
      <c r="N2750" s="370"/>
    </row>
    <row r="2751" spans="1:14" s="347" customFormat="1" x14ac:dyDescent="0.25">
      <c r="A2751" s="369">
        <f>+A2750</f>
        <v>44361</v>
      </c>
      <c r="B2751" s="347">
        <f>+MONTH(A2751)</f>
        <v>6</v>
      </c>
      <c r="C2751" s="347">
        <v>216</v>
      </c>
      <c r="D2751" s="340" t="str">
        <f>VLOOKUP(C2751,Plan!A:B,2,0)</f>
        <v>Cuenta por Pagar a Administración Colectas</v>
      </c>
      <c r="E2751" s="341">
        <f>+F2751-G2751</f>
        <v>-2000</v>
      </c>
      <c r="F2751" s="405">
        <v>0</v>
      </c>
      <c r="G2751" s="405">
        <f>+F2750</f>
        <v>2000</v>
      </c>
      <c r="H2751" t="str">
        <f>+H2750</f>
        <v>Colecta Raimundo Barros</v>
      </c>
      <c r="I2751" s="403" t="s">
        <v>131</v>
      </c>
      <c r="K2751" s="370"/>
      <c r="N2751" s="370"/>
    </row>
    <row r="2752" spans="1:14" s="347" customFormat="1" x14ac:dyDescent="0.25">
      <c r="A2752" s="369"/>
      <c r="E2752" s="396"/>
      <c r="F2752" s="396"/>
      <c r="G2752" s="396"/>
      <c r="K2752" s="370"/>
      <c r="N2752" s="370"/>
    </row>
    <row r="2753" spans="1:14" s="347" customFormat="1" x14ac:dyDescent="0.25">
      <c r="A2753" s="369">
        <v>44361</v>
      </c>
      <c r="B2753" s="347">
        <f>+MONTH(A2753)</f>
        <v>6</v>
      </c>
      <c r="C2753" s="347">
        <v>115</v>
      </c>
      <c r="D2753" s="340" t="str">
        <f>VLOOKUP(C2753,Plan!A:B,2,0)</f>
        <v>Disponible Cali B.Chile</v>
      </c>
      <c r="E2753" s="341">
        <f>+F2753-G2753</f>
        <v>35353</v>
      </c>
      <c r="F2753" s="405">
        <v>35353</v>
      </c>
      <c r="G2753" s="405">
        <v>0</v>
      </c>
      <c r="H2753" t="s">
        <v>1740</v>
      </c>
      <c r="I2753" s="403" t="s">
        <v>131</v>
      </c>
      <c r="K2753" s="370"/>
      <c r="N2753" s="370"/>
    </row>
    <row r="2754" spans="1:14" s="347" customFormat="1" x14ac:dyDescent="0.25">
      <c r="A2754" s="369">
        <f>+A2753</f>
        <v>44361</v>
      </c>
      <c r="B2754" s="347">
        <f>+MONTH(A2754)</f>
        <v>6</v>
      </c>
      <c r="C2754" s="347">
        <v>1217</v>
      </c>
      <c r="D2754" s="340" t="str">
        <f>VLOOKUP(C2754,Plan!A:B,2,0)</f>
        <v>Otros Valores -Oficina y Transferencias (248)</v>
      </c>
      <c r="E2754" s="341">
        <f>+F2754-G2754</f>
        <v>-35353</v>
      </c>
      <c r="F2754" s="405">
        <v>0</v>
      </c>
      <c r="G2754" s="405">
        <f>+F2753</f>
        <v>35353</v>
      </c>
      <c r="H2754" t="str">
        <f>+H2753</f>
        <v>José Eugenio Figueroa Basaure/248</v>
      </c>
      <c r="I2754" s="403" t="s">
        <v>131</v>
      </c>
      <c r="K2754" s="370"/>
      <c r="N2754" s="370"/>
    </row>
    <row r="2755" spans="1:14" s="347" customFormat="1" x14ac:dyDescent="0.25">
      <c r="A2755" s="369"/>
      <c r="E2755" s="396"/>
      <c r="F2755" s="396"/>
      <c r="G2755" s="396"/>
      <c r="K2755" s="370"/>
      <c r="N2755" s="370"/>
    </row>
    <row r="2756" spans="1:14" s="347" customFormat="1" x14ac:dyDescent="0.25">
      <c r="A2756" s="369">
        <v>44361</v>
      </c>
      <c r="B2756" s="347">
        <f>+MONTH(A2756)</f>
        <v>6</v>
      </c>
      <c r="C2756" s="347">
        <v>115</v>
      </c>
      <c r="D2756" s="340" t="str">
        <f>VLOOKUP(C2756,Plan!A:B,2,0)</f>
        <v>Disponible Cali B.Chile</v>
      </c>
      <c r="E2756" s="341">
        <f>+F2756-G2756</f>
        <v>25000</v>
      </c>
      <c r="F2756" s="405">
        <v>25000</v>
      </c>
      <c r="G2756" s="405">
        <v>0</v>
      </c>
      <c r="H2756" t="s">
        <v>980</v>
      </c>
      <c r="I2756" s="403" t="s">
        <v>131</v>
      </c>
      <c r="K2756" s="370"/>
      <c r="N2756" s="370"/>
    </row>
    <row r="2757" spans="1:14" s="347" customFormat="1" x14ac:dyDescent="0.25">
      <c r="A2757" s="369">
        <f>+A2756</f>
        <v>44361</v>
      </c>
      <c r="B2757" s="347">
        <f>+MONTH(A2757)</f>
        <v>6</v>
      </c>
      <c r="C2757" s="347">
        <v>1217</v>
      </c>
      <c r="D2757" s="340" t="str">
        <f>VLOOKUP(C2757,Plan!A:B,2,0)</f>
        <v>Otros Valores -Oficina y Transferencias (248)</v>
      </c>
      <c r="E2757" s="341">
        <f>+F2757-G2757</f>
        <v>-25000</v>
      </c>
      <c r="F2757" s="405">
        <v>0</v>
      </c>
      <c r="G2757" s="405">
        <f>+F2756</f>
        <v>25000</v>
      </c>
      <c r="H2757" t="str">
        <f>+H2756</f>
        <v xml:space="preserve">Florencia García /248 </v>
      </c>
      <c r="I2757" s="403" t="s">
        <v>131</v>
      </c>
      <c r="K2757" s="370"/>
      <c r="N2757" s="370"/>
    </row>
    <row r="2758" spans="1:14" s="347" customFormat="1" x14ac:dyDescent="0.25">
      <c r="A2758" s="369"/>
      <c r="E2758" s="396"/>
      <c r="F2758" s="396"/>
      <c r="G2758" s="396"/>
      <c r="K2758" s="370"/>
      <c r="N2758" s="370"/>
    </row>
    <row r="2759" spans="1:14" s="347" customFormat="1" x14ac:dyDescent="0.25">
      <c r="A2759" s="369">
        <v>44361</v>
      </c>
      <c r="B2759" s="347">
        <f>+MONTH(A2759)</f>
        <v>6</v>
      </c>
      <c r="C2759" s="347">
        <v>115</v>
      </c>
      <c r="D2759" s="340" t="str">
        <f>VLOOKUP(C2759,Plan!A:B,2,0)</f>
        <v>Disponible Cali B.Chile</v>
      </c>
      <c r="E2759" s="341">
        <f>+F2759-G2759</f>
        <v>40000</v>
      </c>
      <c r="F2759" s="405">
        <v>40000</v>
      </c>
      <c r="G2759" s="405">
        <v>0</v>
      </c>
      <c r="H2759" t="s">
        <v>1011</v>
      </c>
      <c r="I2759" s="403" t="s">
        <v>131</v>
      </c>
      <c r="K2759" s="370"/>
      <c r="N2759" s="370"/>
    </row>
    <row r="2760" spans="1:14" s="347" customFormat="1" x14ac:dyDescent="0.25">
      <c r="A2760" s="369">
        <f>+A2759</f>
        <v>44361</v>
      </c>
      <c r="B2760" s="347">
        <f>+MONTH(A2760)</f>
        <v>6</v>
      </c>
      <c r="C2760" s="347">
        <v>1222</v>
      </c>
      <c r="D2760" s="340" t="str">
        <f>VLOOKUP(C2760,Plan!A:B,2,0)</f>
        <v>Otros Valores -Oficina y Transferencias (249)</v>
      </c>
      <c r="E2760" s="341">
        <f>+F2760-G2760</f>
        <v>-40000</v>
      </c>
      <c r="F2760" s="405">
        <v>0</v>
      </c>
      <c r="G2760" s="405">
        <f>+F2759</f>
        <v>40000</v>
      </c>
      <c r="H2760" t="str">
        <f>+H2759</f>
        <v>Mauricio Hargous Larraín / 249</v>
      </c>
      <c r="I2760" s="403" t="s">
        <v>131</v>
      </c>
      <c r="K2760" s="370"/>
      <c r="N2760" s="370"/>
    </row>
    <row r="2761" spans="1:14" s="347" customFormat="1" x14ac:dyDescent="0.25">
      <c r="A2761" s="369"/>
      <c r="E2761" s="396"/>
      <c r="F2761" s="396"/>
      <c r="G2761" s="396"/>
      <c r="K2761" s="370"/>
      <c r="N2761" s="370"/>
    </row>
    <row r="2762" spans="1:14" s="347" customFormat="1" x14ac:dyDescent="0.25">
      <c r="A2762" s="369">
        <v>44362</v>
      </c>
      <c r="B2762" s="347">
        <f>+MONTH(A2762)</f>
        <v>6</v>
      </c>
      <c r="C2762" s="347">
        <v>115</v>
      </c>
      <c r="D2762" s="340" t="str">
        <f>VLOOKUP(C2762,Plan!A:B,2,0)</f>
        <v>Disponible Cali B.Chile</v>
      </c>
      <c r="E2762" s="341">
        <f>+F2762-G2762</f>
        <v>50000</v>
      </c>
      <c r="F2762" s="405">
        <v>50000</v>
      </c>
      <c r="G2762" s="405">
        <v>0</v>
      </c>
      <c r="H2762" t="s">
        <v>1024</v>
      </c>
      <c r="I2762" s="403" t="s">
        <v>131</v>
      </c>
      <c r="K2762" s="370"/>
      <c r="N2762" s="370"/>
    </row>
    <row r="2763" spans="1:14" s="347" customFormat="1" x14ac:dyDescent="0.25">
      <c r="A2763" s="369">
        <f>+A2762</f>
        <v>44362</v>
      </c>
      <c r="B2763" s="347">
        <f>+MONTH(A2763)</f>
        <v>6</v>
      </c>
      <c r="C2763" s="347">
        <v>1222</v>
      </c>
      <c r="D2763" s="340" t="str">
        <f>VLOOKUP(C2763,Plan!A:B,2,0)</f>
        <v>Otros Valores -Oficina y Transferencias (249)</v>
      </c>
      <c r="E2763" s="341">
        <f>+F2763-G2763</f>
        <v>-50000</v>
      </c>
      <c r="F2763" s="405">
        <v>0</v>
      </c>
      <c r="G2763" s="405">
        <f>+F2762</f>
        <v>50000</v>
      </c>
      <c r="H2763" t="str">
        <f>+H2762</f>
        <v>Bernardita Mujica Gutierrez  / 249</v>
      </c>
      <c r="I2763" s="403" t="s">
        <v>131</v>
      </c>
      <c r="K2763" s="370"/>
      <c r="N2763" s="370"/>
    </row>
    <row r="2764" spans="1:14" s="347" customFormat="1" x14ac:dyDescent="0.25">
      <c r="K2764" s="370"/>
      <c r="N2764" s="370"/>
    </row>
    <row r="2765" spans="1:14" s="347" customFormat="1" x14ac:dyDescent="0.25">
      <c r="A2765" s="369">
        <v>44362</v>
      </c>
      <c r="B2765" s="347">
        <f>+MONTH(A2765)</f>
        <v>6</v>
      </c>
      <c r="C2765" s="347">
        <v>115</v>
      </c>
      <c r="D2765" s="340" t="str">
        <f>VLOOKUP(C2765,Plan!A:B,2,0)</f>
        <v>Disponible Cali B.Chile</v>
      </c>
      <c r="E2765" s="341">
        <f>+F2765-G2765</f>
        <v>5000</v>
      </c>
      <c r="F2765" s="405">
        <v>5000</v>
      </c>
      <c r="G2765" s="405">
        <v>0</v>
      </c>
      <c r="H2765" t="s">
        <v>1736</v>
      </c>
      <c r="I2765" s="403" t="s">
        <v>131</v>
      </c>
      <c r="K2765" s="370"/>
      <c r="N2765" s="370"/>
    </row>
    <row r="2766" spans="1:14" s="347" customFormat="1" x14ac:dyDescent="0.25">
      <c r="A2766" s="369">
        <f>+A2765</f>
        <v>44362</v>
      </c>
      <c r="B2766" s="347">
        <f>+MONTH(A2766)</f>
        <v>6</v>
      </c>
      <c r="C2766" s="347">
        <v>216</v>
      </c>
      <c r="D2766" s="340" t="str">
        <f>VLOOKUP(C2766,Plan!A:B,2,0)</f>
        <v>Cuenta por Pagar a Administración Colectas</v>
      </c>
      <c r="E2766" s="341">
        <f>+F2766-G2766</f>
        <v>-5000</v>
      </c>
      <c r="F2766" s="405">
        <v>0</v>
      </c>
      <c r="G2766" s="405">
        <f>+F2765</f>
        <v>5000</v>
      </c>
      <c r="H2766" t="str">
        <f>+H2765</f>
        <v>Colecta M. del Pilar Bustamante Solar</v>
      </c>
      <c r="I2766" s="403" t="s">
        <v>131</v>
      </c>
      <c r="K2766" s="370"/>
      <c r="N2766" s="370"/>
    </row>
    <row r="2767" spans="1:14" s="347" customFormat="1" x14ac:dyDescent="0.25">
      <c r="A2767" s="369"/>
      <c r="E2767" s="396"/>
      <c r="F2767" s="396"/>
      <c r="G2767" s="396"/>
      <c r="K2767" s="370"/>
      <c r="N2767" s="370"/>
    </row>
    <row r="2768" spans="1:14" s="347" customFormat="1" x14ac:dyDescent="0.25">
      <c r="A2768" s="369">
        <v>44362</v>
      </c>
      <c r="B2768" s="347">
        <f>+MONTH(A2768)</f>
        <v>6</v>
      </c>
      <c r="C2768" s="347">
        <v>115</v>
      </c>
      <c r="D2768" s="340" t="str">
        <f>VLOOKUP(C2768,Plan!A:B,2,0)</f>
        <v>Disponible Cali B.Chile</v>
      </c>
      <c r="E2768" s="341">
        <f>+F2768-G2768</f>
        <v>20000</v>
      </c>
      <c r="F2768" s="405">
        <v>20000</v>
      </c>
      <c r="G2768" s="405">
        <v>0</v>
      </c>
      <c r="H2768" t="s">
        <v>1025</v>
      </c>
      <c r="I2768" s="403" t="s">
        <v>131</v>
      </c>
      <c r="K2768" s="370"/>
      <c r="N2768" s="370"/>
    </row>
    <row r="2769" spans="1:14" s="347" customFormat="1" x14ac:dyDescent="0.25">
      <c r="A2769" s="369">
        <f>+A2768</f>
        <v>44362</v>
      </c>
      <c r="B2769" s="347">
        <f>+MONTH(A2769)</f>
        <v>6</v>
      </c>
      <c r="C2769" s="347">
        <v>1222</v>
      </c>
      <c r="D2769" s="340" t="str">
        <f>VLOOKUP(C2769,Plan!A:B,2,0)</f>
        <v>Otros Valores -Oficina y Transferencias (249)</v>
      </c>
      <c r="E2769" s="341">
        <f>+F2769-G2769</f>
        <v>-20000</v>
      </c>
      <c r="F2769" s="405">
        <v>0</v>
      </c>
      <c r="G2769" s="405">
        <f>+F2768</f>
        <v>20000</v>
      </c>
      <c r="H2769" t="str">
        <f>+H2768</f>
        <v>Bernardita Egaña Baraona  / 249</v>
      </c>
      <c r="I2769" s="403" t="s">
        <v>131</v>
      </c>
      <c r="K2769" s="370"/>
      <c r="N2769" s="370"/>
    </row>
    <row r="2770" spans="1:14" s="347" customFormat="1" x14ac:dyDescent="0.25">
      <c r="A2770" s="369"/>
      <c r="E2770" s="396"/>
      <c r="F2770" s="396"/>
      <c r="G2770" s="396"/>
      <c r="K2770" s="370"/>
      <c r="N2770" s="370"/>
    </row>
    <row r="2771" spans="1:14" s="347" customFormat="1" x14ac:dyDescent="0.25">
      <c r="A2771" s="369">
        <v>44362</v>
      </c>
      <c r="B2771" s="347">
        <f>+MONTH(A2771)</f>
        <v>6</v>
      </c>
      <c r="C2771" s="347">
        <v>115</v>
      </c>
      <c r="D2771" s="340" t="str">
        <f>VLOOKUP(C2771,Plan!A:B,2,0)</f>
        <v>Disponible Cali B.Chile</v>
      </c>
      <c r="E2771" s="341">
        <f>+F2771-G2771</f>
        <v>6866</v>
      </c>
      <c r="F2771" s="405">
        <v>6866</v>
      </c>
      <c r="G2771" s="405">
        <v>0</v>
      </c>
      <c r="H2771" t="s">
        <v>1764</v>
      </c>
      <c r="I2771" s="403" t="s">
        <v>131</v>
      </c>
      <c r="K2771" s="370"/>
      <c r="N2771" s="370"/>
    </row>
    <row r="2772" spans="1:14" s="347" customFormat="1" x14ac:dyDescent="0.25">
      <c r="A2772" s="369">
        <v>44362</v>
      </c>
      <c r="B2772" s="347">
        <f>+MONTH(A2772)</f>
        <v>6</v>
      </c>
      <c r="C2772" s="347">
        <v>4331</v>
      </c>
      <c r="D2772" s="340" t="str">
        <f>VLOOKUP(C2772,Plan!A:B,2,0)</f>
        <v>Cali</v>
      </c>
      <c r="E2772" s="341">
        <f>+F2772-G2772</f>
        <v>134</v>
      </c>
      <c r="F2772" s="405">
        <f>+G2773-F2771</f>
        <v>134</v>
      </c>
      <c r="G2772" s="405">
        <v>0</v>
      </c>
      <c r="H2772" t="s">
        <v>1764</v>
      </c>
      <c r="I2772" s="403" t="s">
        <v>131</v>
      </c>
      <c r="K2772" s="370"/>
      <c r="N2772" s="370"/>
    </row>
    <row r="2773" spans="1:14" s="347" customFormat="1" x14ac:dyDescent="0.25">
      <c r="A2773" s="369">
        <f>+A2771</f>
        <v>44362</v>
      </c>
      <c r="B2773" s="347">
        <f>+MONTH(A2773)</f>
        <v>6</v>
      </c>
      <c r="C2773" s="347">
        <v>1222</v>
      </c>
      <c r="D2773" s="340" t="str">
        <f>VLOOKUP(C2773,Plan!A:B,2,0)</f>
        <v>Otros Valores -Oficina y Transferencias (249)</v>
      </c>
      <c r="E2773" s="341">
        <f>+F2773-G2773</f>
        <v>-7000</v>
      </c>
      <c r="F2773" s="405">
        <v>0</v>
      </c>
      <c r="G2773" s="405">
        <v>7000</v>
      </c>
      <c r="H2773" t="str">
        <f>+H2771</f>
        <v>Patricia Honorato /249 ($7000)</v>
      </c>
      <c r="I2773" s="403" t="s">
        <v>131</v>
      </c>
      <c r="K2773" s="370"/>
      <c r="N2773" s="370"/>
    </row>
    <row r="2774" spans="1:14" s="347" customFormat="1" x14ac:dyDescent="0.25">
      <c r="A2774" s="369"/>
      <c r="E2774" s="396"/>
      <c r="F2774" s="396"/>
      <c r="G2774" s="396"/>
      <c r="K2774" s="370"/>
      <c r="N2774" s="370"/>
    </row>
    <row r="2775" spans="1:14" s="347" customFormat="1" x14ac:dyDescent="0.25">
      <c r="A2775" s="369">
        <v>44362</v>
      </c>
      <c r="B2775" s="347">
        <f>+MONTH(A2775)</f>
        <v>6</v>
      </c>
      <c r="C2775" s="347">
        <v>115</v>
      </c>
      <c r="D2775" s="340" t="str">
        <f>VLOOKUP(C2775,Plan!A:B,2,0)</f>
        <v>Disponible Cali B.Chile</v>
      </c>
      <c r="E2775" s="341">
        <f>+F2775-G2775</f>
        <v>980722</v>
      </c>
      <c r="F2775" s="405">
        <v>980722</v>
      </c>
      <c r="G2775" s="405">
        <v>0</v>
      </c>
      <c r="H2775" t="s">
        <v>1765</v>
      </c>
      <c r="I2775" s="403" t="s">
        <v>131</v>
      </c>
      <c r="K2775" s="370"/>
      <c r="N2775" s="370"/>
    </row>
    <row r="2776" spans="1:14" s="347" customFormat="1" x14ac:dyDescent="0.25">
      <c r="A2776" s="369">
        <f>+A2775</f>
        <v>44362</v>
      </c>
      <c r="B2776" s="347">
        <f>+MONTH(A2776)</f>
        <v>6</v>
      </c>
      <c r="C2776" s="347">
        <v>3210</v>
      </c>
      <c r="D2776" s="340" t="str">
        <f>VLOOKUP(C2776,Plan!A:B,2,0)</f>
        <v>Donacion Construccion</v>
      </c>
      <c r="E2776" s="341">
        <f>+F2776-G2776</f>
        <v>-980722</v>
      </c>
      <c r="F2776" s="405">
        <v>0</v>
      </c>
      <c r="G2776" s="405">
        <f>+F2775</f>
        <v>980722</v>
      </c>
      <c r="H2776" t="str">
        <f>+H2775</f>
        <v>Bernardita Jara Infante/Azul (MM$1)</v>
      </c>
      <c r="I2776" s="403" t="s">
        <v>131</v>
      </c>
      <c r="K2776" s="370"/>
      <c r="N2776" s="370"/>
    </row>
    <row r="2777" spans="1:14" s="347" customFormat="1" x14ac:dyDescent="0.25">
      <c r="A2777" s="369"/>
      <c r="E2777" s="396"/>
      <c r="F2777" s="396"/>
      <c r="G2777" s="396"/>
      <c r="K2777" s="370"/>
      <c r="N2777" s="370"/>
    </row>
    <row r="2778" spans="1:14" s="347" customFormat="1" x14ac:dyDescent="0.25">
      <c r="A2778" s="369">
        <v>44362</v>
      </c>
      <c r="B2778" s="347">
        <f>+MONTH(A2778)</f>
        <v>6</v>
      </c>
      <c r="C2778" s="347">
        <v>115</v>
      </c>
      <c r="D2778" s="340" t="str">
        <f>VLOOKUP(C2778,Plan!A:B,2,0)</f>
        <v>Disponible Cali B.Chile</v>
      </c>
      <c r="E2778" s="341">
        <f>+F2778-G2778</f>
        <v>18000</v>
      </c>
      <c r="F2778" s="405">
        <v>18000</v>
      </c>
      <c r="G2778" s="405">
        <v>0</v>
      </c>
      <c r="H2778" t="s">
        <v>824</v>
      </c>
      <c r="I2778" s="403" t="s">
        <v>131</v>
      </c>
      <c r="K2778" s="370"/>
      <c r="N2778" s="370"/>
    </row>
    <row r="2779" spans="1:14" s="347" customFormat="1" x14ac:dyDescent="0.25">
      <c r="A2779" s="369">
        <f>+A2778</f>
        <v>44362</v>
      </c>
      <c r="B2779" s="347">
        <f>+MONTH(A2779)</f>
        <v>6</v>
      </c>
      <c r="C2779" s="347">
        <v>1217</v>
      </c>
      <c r="D2779" s="340" t="str">
        <f>VLOOKUP(C2779,Plan!A:B,2,0)</f>
        <v>Otros Valores -Oficina y Transferencias (248)</v>
      </c>
      <c r="E2779" s="341">
        <f>+F2779-G2779</f>
        <v>-18000</v>
      </c>
      <c r="F2779" s="405">
        <v>0</v>
      </c>
      <c r="G2779" s="405">
        <f>+F2778</f>
        <v>18000</v>
      </c>
      <c r="H2779" t="str">
        <f>+H2778</f>
        <v>Maria Elisa Cruzat Silva / 248</v>
      </c>
      <c r="I2779" s="403" t="s">
        <v>131</v>
      </c>
      <c r="K2779" s="370"/>
      <c r="N2779" s="370"/>
    </row>
    <row r="2780" spans="1:14" s="347" customFormat="1" x14ac:dyDescent="0.25">
      <c r="K2780" s="370"/>
      <c r="N2780" s="370"/>
    </row>
    <row r="2781" spans="1:14" s="347" customFormat="1" x14ac:dyDescent="0.25">
      <c r="A2781" s="369">
        <v>44362</v>
      </c>
      <c r="B2781" s="347">
        <f>+MONTH(A2781)</f>
        <v>6</v>
      </c>
      <c r="C2781" s="347">
        <v>115</v>
      </c>
      <c r="D2781" s="340" t="str">
        <f>VLOOKUP(C2781,Plan!A:B,2,0)</f>
        <v>Disponible Cali B.Chile</v>
      </c>
      <c r="E2781" s="341">
        <f>+F2781-G2781</f>
        <v>20000</v>
      </c>
      <c r="F2781" s="405">
        <v>20000</v>
      </c>
      <c r="G2781" s="405">
        <v>0</v>
      </c>
      <c r="H2781" t="s">
        <v>1766</v>
      </c>
      <c r="I2781" s="403" t="s">
        <v>131</v>
      </c>
      <c r="K2781" s="370"/>
      <c r="N2781" s="370"/>
    </row>
    <row r="2782" spans="1:14" s="347" customFormat="1" x14ac:dyDescent="0.25">
      <c r="A2782" s="369">
        <f>+A2781</f>
        <v>44362</v>
      </c>
      <c r="B2782" s="347">
        <f>+MONTH(A2782)</f>
        <v>6</v>
      </c>
      <c r="C2782" s="347">
        <v>1222</v>
      </c>
      <c r="D2782" s="340" t="str">
        <f>VLOOKUP(C2782,Plan!A:B,2,0)</f>
        <v>Otros Valores -Oficina y Transferencias (249)</v>
      </c>
      <c r="E2782" s="341">
        <f>+F2782-G2782</f>
        <v>-20000</v>
      </c>
      <c r="F2782" s="405">
        <v>0</v>
      </c>
      <c r="G2782" s="405">
        <f>+F2781</f>
        <v>20000</v>
      </c>
      <c r="H2782" t="str">
        <f>+H2781</f>
        <v>Raimundo Tocornal Laso / 249</v>
      </c>
      <c r="I2782" s="403" t="s">
        <v>131</v>
      </c>
      <c r="K2782" s="370"/>
      <c r="N2782" s="370"/>
    </row>
    <row r="2783" spans="1:14" s="347" customFormat="1" x14ac:dyDescent="0.25">
      <c r="A2783" s="369"/>
      <c r="E2783" s="396"/>
      <c r="F2783" s="396"/>
      <c r="G2783" s="396"/>
      <c r="K2783" s="370"/>
      <c r="N2783" s="370"/>
    </row>
    <row r="2784" spans="1:14" s="347" customFormat="1" x14ac:dyDescent="0.25">
      <c r="A2784" s="369">
        <v>44363</v>
      </c>
      <c r="B2784" s="347">
        <f>+MONTH(A2784)</f>
        <v>6</v>
      </c>
      <c r="C2784" s="347">
        <v>201</v>
      </c>
      <c r="D2784" s="340" t="str">
        <f>VLOOKUP(C2784,Plan!A:B,2,0)</f>
        <v>1% por pagar</v>
      </c>
      <c r="E2784" s="341">
        <f>+F2784-G2784</f>
        <v>169583</v>
      </c>
      <c r="F2784" s="405">
        <v>169583</v>
      </c>
      <c r="G2784" s="405">
        <v>0</v>
      </c>
      <c r="H2784" t="s">
        <v>1767</v>
      </c>
      <c r="I2784" s="403" t="s">
        <v>131</v>
      </c>
      <c r="K2784" s="370"/>
      <c r="N2784" s="370"/>
    </row>
    <row r="2785" spans="1:14" s="347" customFormat="1" x14ac:dyDescent="0.25">
      <c r="A2785" s="369">
        <v>44363</v>
      </c>
      <c r="B2785" s="347">
        <f>+MONTH(A2785)</f>
        <v>6</v>
      </c>
      <c r="C2785" s="347">
        <v>202</v>
      </c>
      <c r="D2785" s="340" t="str">
        <f>VLOOKUP(C2785,Plan!A:B,2,0)</f>
        <v>Arzobispado por pagar</v>
      </c>
      <c r="E2785" s="341">
        <f>+F2785-G2785</f>
        <v>4241405</v>
      </c>
      <c r="F2785" s="405">
        <f>+G2786-F2784</f>
        <v>4241405</v>
      </c>
      <c r="G2785" s="405">
        <v>0</v>
      </c>
      <c r="H2785" t="s">
        <v>1767</v>
      </c>
      <c r="I2785" s="403" t="s">
        <v>131</v>
      </c>
      <c r="K2785" s="370"/>
      <c r="N2785" s="370"/>
    </row>
    <row r="2786" spans="1:14" s="347" customFormat="1" x14ac:dyDescent="0.25">
      <c r="A2786" s="369">
        <f>+A2784</f>
        <v>44363</v>
      </c>
      <c r="B2786" s="347">
        <f>+MONTH(A2786)</f>
        <v>6</v>
      </c>
      <c r="C2786" s="347">
        <v>115</v>
      </c>
      <c r="D2786" s="340" t="str">
        <f>VLOOKUP(C2786,Plan!A:B,2,0)</f>
        <v>Disponible Cali B.Chile</v>
      </c>
      <c r="E2786" s="341">
        <f>+F2786-G2786</f>
        <v>-4410988</v>
      </c>
      <c r="F2786" s="405">
        <v>0</v>
      </c>
      <c r="G2786" s="405">
        <v>4410988</v>
      </c>
      <c r="H2786" t="str">
        <f>+H2784</f>
        <v>Rend. CALI Mayol 21 Arzobispado de Santiago</v>
      </c>
      <c r="I2786" s="403" t="s">
        <v>131</v>
      </c>
      <c r="K2786" s="370"/>
      <c r="N2786" s="370"/>
    </row>
    <row r="2787" spans="1:14" s="347" customFormat="1" x14ac:dyDescent="0.25">
      <c r="A2787" s="369"/>
      <c r="E2787" s="396"/>
      <c r="F2787" s="396"/>
      <c r="G2787" s="396"/>
      <c r="K2787" s="370"/>
      <c r="N2787" s="370"/>
    </row>
    <row r="2788" spans="1:14" s="347" customFormat="1" x14ac:dyDescent="0.25">
      <c r="A2788" s="369">
        <v>44341</v>
      </c>
      <c r="B2788" s="347">
        <f>+MONTH(A2788)</f>
        <v>5</v>
      </c>
      <c r="C2788" s="347">
        <v>4170</v>
      </c>
      <c r="D2788" s="340" t="str">
        <f>VLOOKUP(C2788,Plan!A:B,2,0)</f>
        <v>Cali otros</v>
      </c>
      <c r="E2788" s="341">
        <f>+F2788-G2788</f>
        <v>338983</v>
      </c>
      <c r="F2788" s="405">
        <f>+G2789+G2790</f>
        <v>338983</v>
      </c>
      <c r="G2788" s="405">
        <v>0</v>
      </c>
      <c r="H2788" s="156" t="s">
        <v>1805</v>
      </c>
      <c r="I2788" s="403" t="s">
        <v>131</v>
      </c>
      <c r="K2788" s="370"/>
      <c r="N2788" s="370"/>
    </row>
    <row r="2789" spans="1:14" s="347" customFormat="1" x14ac:dyDescent="0.25">
      <c r="A2789" s="369">
        <f>+A2788</f>
        <v>44341</v>
      </c>
      <c r="B2789" s="347">
        <f>+MONTH(A2789)</f>
        <v>5</v>
      </c>
      <c r="C2789" s="347">
        <v>115</v>
      </c>
      <c r="D2789" s="340" t="str">
        <f>VLOOKUP(C2789,Plan!A:B,2,0)</f>
        <v>Disponible Cali B.Chile</v>
      </c>
      <c r="E2789" s="341">
        <f>+F2789-G2789</f>
        <v>-300000</v>
      </c>
      <c r="F2789" s="405">
        <v>0</v>
      </c>
      <c r="G2789" s="405">
        <v>300000</v>
      </c>
      <c r="H2789" t="str">
        <f>+H2788</f>
        <v>BE-316 GUILLERMO DE LA VEGA  Mayo</v>
      </c>
      <c r="I2789" s="403" t="s">
        <v>131</v>
      </c>
      <c r="K2789" s="370"/>
      <c r="N2789" s="370"/>
    </row>
    <row r="2790" spans="1:14" s="347" customFormat="1" x14ac:dyDescent="0.25">
      <c r="A2790" s="369">
        <f>+A2789</f>
        <v>44341</v>
      </c>
      <c r="B2790" s="347">
        <f>+MONTH(A2790)</f>
        <v>5</v>
      </c>
      <c r="C2790" s="347">
        <v>204</v>
      </c>
      <c r="D2790" s="340" t="str">
        <f>VLOOKUP(C2790,Plan!A:B,2,0)</f>
        <v>Retención Honorarios Cali</v>
      </c>
      <c r="E2790" s="341">
        <f>+F2790-G2790</f>
        <v>-38983</v>
      </c>
      <c r="F2790" s="405">
        <v>0</v>
      </c>
      <c r="G2790" s="405">
        <v>38983</v>
      </c>
      <c r="H2790" t="str">
        <f>+H2789</f>
        <v>BE-316 GUILLERMO DE LA VEGA  Mayo</v>
      </c>
      <c r="I2790" s="403" t="s">
        <v>131</v>
      </c>
      <c r="K2790" s="370"/>
      <c r="N2790" s="370"/>
    </row>
    <row r="2791" spans="1:14" s="347" customFormat="1" x14ac:dyDescent="0.25">
      <c r="A2791" s="369"/>
      <c r="E2791" s="396"/>
      <c r="F2791" s="396"/>
      <c r="G2791" s="396"/>
      <c r="K2791" s="370"/>
      <c r="N2791" s="370"/>
    </row>
    <row r="2792" spans="1:14" s="347" customFormat="1" x14ac:dyDescent="0.25">
      <c r="A2792" s="369">
        <v>44363</v>
      </c>
      <c r="B2792" s="347">
        <f>+MONTH(A2792)</f>
        <v>6</v>
      </c>
      <c r="C2792" s="347">
        <v>203</v>
      </c>
      <c r="D2792" s="340" t="str">
        <f>VLOOKUP(C2792,Plan!A:B,2,0)</f>
        <v>Recaudadoras por pagar</v>
      </c>
      <c r="E2792" s="341">
        <f>+F2792-G2792</f>
        <v>57360</v>
      </c>
      <c r="F2792" s="405">
        <f>+G2793+G2794</f>
        <v>57360</v>
      </c>
      <c r="G2792" s="405">
        <v>0</v>
      </c>
      <c r="H2792" s="156" t="s">
        <v>1800</v>
      </c>
      <c r="I2792" s="403" t="s">
        <v>131</v>
      </c>
      <c r="K2792" s="370"/>
      <c r="N2792" s="370"/>
    </row>
    <row r="2793" spans="1:14" s="347" customFormat="1" x14ac:dyDescent="0.25">
      <c r="A2793" s="369">
        <f>+A2792</f>
        <v>44363</v>
      </c>
      <c r="B2793" s="347">
        <f>+MONTH(A2793)</f>
        <v>6</v>
      </c>
      <c r="C2793" s="347">
        <v>115</v>
      </c>
      <c r="D2793" s="340" t="str">
        <f>VLOOKUP(C2793,Plan!A:B,2,0)</f>
        <v>Disponible Cali B.Chile</v>
      </c>
      <c r="E2793" s="341">
        <f>+F2793-G2793</f>
        <v>-50764</v>
      </c>
      <c r="F2793" s="405">
        <v>0</v>
      </c>
      <c r="G2793" s="405">
        <v>50764</v>
      </c>
      <c r="H2793" t="str">
        <f>+H2792</f>
        <v>BE-485 Ma Angélica Depúlveda</v>
      </c>
      <c r="I2793" s="403" t="s">
        <v>131</v>
      </c>
      <c r="K2793" s="370"/>
      <c r="N2793" s="370"/>
    </row>
    <row r="2794" spans="1:14" s="347" customFormat="1" x14ac:dyDescent="0.25">
      <c r="A2794" s="369">
        <f>+A2793</f>
        <v>44363</v>
      </c>
      <c r="B2794" s="347">
        <f>+MONTH(A2794)</f>
        <v>6</v>
      </c>
      <c r="C2794" s="347">
        <v>204</v>
      </c>
      <c r="D2794" s="340" t="str">
        <f>VLOOKUP(C2794,Plan!A:B,2,0)</f>
        <v>Retención Honorarios Cali</v>
      </c>
      <c r="E2794" s="341">
        <f>+F2794-G2794</f>
        <v>-6596</v>
      </c>
      <c r="F2794" s="405">
        <v>0</v>
      </c>
      <c r="G2794" s="405">
        <v>6596</v>
      </c>
      <c r="H2794" t="str">
        <f>+H2793</f>
        <v>BE-485 Ma Angélica Depúlveda</v>
      </c>
      <c r="I2794" s="403" t="s">
        <v>131</v>
      </c>
      <c r="K2794" s="370"/>
      <c r="N2794" s="370"/>
    </row>
    <row r="2795" spans="1:14" s="347" customFormat="1" x14ac:dyDescent="0.25">
      <c r="A2795" s="369"/>
      <c r="E2795" s="396"/>
      <c r="F2795" s="396"/>
      <c r="G2795" s="396"/>
      <c r="K2795" s="370"/>
      <c r="N2795" s="370"/>
    </row>
    <row r="2796" spans="1:14" s="347" customFormat="1" x14ac:dyDescent="0.25">
      <c r="A2796" s="369">
        <v>44363</v>
      </c>
      <c r="B2796" s="347">
        <f>+MONTH(A2796)</f>
        <v>6</v>
      </c>
      <c r="C2796" s="347">
        <v>116</v>
      </c>
      <c r="D2796" s="340" t="str">
        <f>VLOOKUP(C2796,Plan!A:B,2,0)</f>
        <v>Disponible CALI Security</v>
      </c>
      <c r="E2796" s="341">
        <f>+F2796-G2796</f>
        <v>25000000</v>
      </c>
      <c r="F2796" s="405">
        <v>25000000</v>
      </c>
      <c r="G2796" s="405">
        <v>0</v>
      </c>
      <c r="H2796" t="s">
        <v>1768</v>
      </c>
      <c r="I2796" s="403" t="s">
        <v>131</v>
      </c>
      <c r="K2796" s="370"/>
      <c r="N2796" s="370"/>
    </row>
    <row r="2797" spans="1:14" s="347" customFormat="1" x14ac:dyDescent="0.25">
      <c r="A2797" s="369">
        <f>+A2796</f>
        <v>44363</v>
      </c>
      <c r="B2797" s="347">
        <f>+MONTH(A2797)</f>
        <v>6</v>
      </c>
      <c r="C2797" s="347">
        <v>115</v>
      </c>
      <c r="D2797" s="340" t="str">
        <f>VLOOKUP(C2797,Plan!A:B,2,0)</f>
        <v>Disponible Cali B.Chile</v>
      </c>
      <c r="E2797" s="341">
        <f>+F2797-G2797</f>
        <v>-25000000</v>
      </c>
      <c r="F2797" s="405">
        <v>0</v>
      </c>
      <c r="G2797" s="405">
        <f>+F2796</f>
        <v>25000000</v>
      </c>
      <c r="H2797" t="str">
        <f>+H2796</f>
        <v>Trasp.a Cta. Security</v>
      </c>
      <c r="I2797" s="403" t="s">
        <v>131</v>
      </c>
      <c r="K2797" s="370"/>
      <c r="N2797" s="370"/>
    </row>
    <row r="2798" spans="1:14" s="347" customFormat="1" x14ac:dyDescent="0.25">
      <c r="A2798" s="369"/>
      <c r="E2798" s="396"/>
      <c r="F2798" s="396"/>
      <c r="G2798" s="396"/>
      <c r="K2798" s="370"/>
      <c r="N2798" s="370"/>
    </row>
    <row r="2799" spans="1:14" s="347" customFormat="1" x14ac:dyDescent="0.25">
      <c r="A2799" s="369">
        <v>44363</v>
      </c>
      <c r="B2799" s="347">
        <f>+MONTH(A2799)</f>
        <v>6</v>
      </c>
      <c r="C2799" s="347">
        <v>115</v>
      </c>
      <c r="D2799" s="340" t="str">
        <f>VLOOKUP(C2799,Plan!A:B,2,0)</f>
        <v>Disponible Cali B.Chile</v>
      </c>
      <c r="E2799" s="341">
        <f>+F2799-G2799</f>
        <v>250000</v>
      </c>
      <c r="F2799" s="405">
        <v>250000</v>
      </c>
      <c r="G2799" s="405">
        <v>0</v>
      </c>
      <c r="H2799" t="s">
        <v>1769</v>
      </c>
      <c r="I2799" s="403" t="s">
        <v>131</v>
      </c>
      <c r="K2799" s="370"/>
      <c r="N2799" s="370"/>
    </row>
    <row r="2800" spans="1:14" s="347" customFormat="1" x14ac:dyDescent="0.25">
      <c r="A2800" s="369">
        <f>+A2799</f>
        <v>44363</v>
      </c>
      <c r="B2800" s="347">
        <f>+MONTH(A2800)</f>
        <v>6</v>
      </c>
      <c r="C2800" s="347">
        <v>3210</v>
      </c>
      <c r="D2800" s="340" t="str">
        <f>VLOOKUP(C2800,Plan!A:B,2,0)</f>
        <v>Donacion Construccion</v>
      </c>
      <c r="E2800" s="341">
        <f>+F2800-G2800</f>
        <v>-250000</v>
      </c>
      <c r="F2800" s="405">
        <v>0</v>
      </c>
      <c r="G2800" s="405">
        <f>+F2799</f>
        <v>250000</v>
      </c>
      <c r="H2800" t="str">
        <f>+H2799</f>
        <v>José Miguel Valdivieso Gandarillas/Azul</v>
      </c>
      <c r="I2800" s="403" t="s">
        <v>131</v>
      </c>
      <c r="K2800" s="370"/>
      <c r="N2800" s="370"/>
    </row>
    <row r="2801" spans="1:14" s="347" customFormat="1" x14ac:dyDescent="0.25">
      <c r="A2801" s="369"/>
      <c r="E2801" s="396"/>
      <c r="F2801" s="396"/>
      <c r="G2801" s="396"/>
      <c r="K2801" s="370"/>
      <c r="N2801" s="370"/>
    </row>
    <row r="2802" spans="1:14" s="347" customFormat="1" x14ac:dyDescent="0.25">
      <c r="A2802" s="369">
        <v>44365</v>
      </c>
      <c r="B2802" s="347">
        <f>+MONTH(A2802)</f>
        <v>6</v>
      </c>
      <c r="C2802" s="347">
        <v>115</v>
      </c>
      <c r="D2802" s="340" t="str">
        <f>VLOOKUP(C2802,Plan!A:B,2,0)</f>
        <v>Disponible Cali B.Chile</v>
      </c>
      <c r="E2802" s="341">
        <f>+F2802-G2802</f>
        <v>20000</v>
      </c>
      <c r="F2802" s="405">
        <v>20000</v>
      </c>
      <c r="G2802" s="405">
        <v>0</v>
      </c>
      <c r="H2802" t="s">
        <v>1681</v>
      </c>
      <c r="I2802" s="403" t="s">
        <v>131</v>
      </c>
      <c r="K2802" s="370"/>
      <c r="N2802" s="370"/>
    </row>
    <row r="2803" spans="1:14" s="347" customFormat="1" x14ac:dyDescent="0.25">
      <c r="A2803" s="369">
        <f>+A2802</f>
        <v>44365</v>
      </c>
      <c r="B2803" s="347">
        <f>+MONTH(A2803)</f>
        <v>6</v>
      </c>
      <c r="C2803" s="347">
        <v>1222</v>
      </c>
      <c r="D2803" s="340" t="str">
        <f>VLOOKUP(C2803,Plan!A:B,2,0)</f>
        <v>Otros Valores -Oficina y Transferencias (249)</v>
      </c>
      <c r="E2803" s="341">
        <f>+F2803-G2803</f>
        <v>-20000</v>
      </c>
      <c r="F2803" s="405">
        <v>0</v>
      </c>
      <c r="G2803" s="405">
        <f>+F2802</f>
        <v>20000</v>
      </c>
      <c r="H2803" t="str">
        <f>+H2802</f>
        <v>Ignacio Prat Mendoza/249</v>
      </c>
      <c r="I2803" s="403" t="s">
        <v>131</v>
      </c>
      <c r="K2803" s="370"/>
      <c r="N2803" s="370"/>
    </row>
    <row r="2804" spans="1:14" s="347" customFormat="1" x14ac:dyDescent="0.25">
      <c r="A2804" s="369"/>
      <c r="E2804" s="396"/>
      <c r="F2804" s="396"/>
      <c r="G2804" s="396"/>
      <c r="K2804" s="370"/>
      <c r="N2804" s="370"/>
    </row>
    <row r="2805" spans="1:14" s="347" customFormat="1" x14ac:dyDescent="0.25">
      <c r="A2805" s="369">
        <v>44365</v>
      </c>
      <c r="B2805" s="347">
        <f>+MONTH(A2805)</f>
        <v>6</v>
      </c>
      <c r="C2805" s="347">
        <v>115</v>
      </c>
      <c r="D2805" s="340" t="str">
        <f>VLOOKUP(C2805,Plan!A:B,2,0)</f>
        <v>Disponible Cali B.Chile</v>
      </c>
      <c r="E2805" s="341">
        <f>+F2805-G2805</f>
        <v>30000</v>
      </c>
      <c r="F2805" s="405">
        <v>30000</v>
      </c>
      <c r="G2805" s="405">
        <v>0</v>
      </c>
      <c r="H2805" t="s">
        <v>988</v>
      </c>
      <c r="I2805" s="403" t="s">
        <v>131</v>
      </c>
      <c r="K2805" s="370"/>
      <c r="N2805" s="370"/>
    </row>
    <row r="2806" spans="1:14" s="347" customFormat="1" x14ac:dyDescent="0.25">
      <c r="A2806" s="369">
        <f>+A2805</f>
        <v>44365</v>
      </c>
      <c r="B2806" s="347">
        <f>+MONTH(A2806)</f>
        <v>6</v>
      </c>
      <c r="C2806" s="347">
        <v>1222</v>
      </c>
      <c r="D2806" s="340" t="str">
        <f>VLOOKUP(C2806,Plan!A:B,2,0)</f>
        <v>Otros Valores -Oficina y Transferencias (249)</v>
      </c>
      <c r="E2806" s="341">
        <f>+F2806-G2806</f>
        <v>-30000</v>
      </c>
      <c r="F2806" s="405">
        <v>0</v>
      </c>
      <c r="G2806" s="405">
        <f>+F2805</f>
        <v>30000</v>
      </c>
      <c r="H2806" t="str">
        <f>+H2805</f>
        <v>María Luz Montt Díaz / 249</v>
      </c>
      <c r="I2806" s="403" t="s">
        <v>131</v>
      </c>
      <c r="K2806" s="370"/>
      <c r="N2806" s="370"/>
    </row>
    <row r="2807" spans="1:14" s="347" customFormat="1" x14ac:dyDescent="0.25">
      <c r="A2807" s="369"/>
      <c r="E2807" s="396"/>
      <c r="F2807" s="396"/>
      <c r="G2807" s="396"/>
      <c r="K2807" s="370"/>
      <c r="N2807" s="370"/>
    </row>
    <row r="2808" spans="1:14" s="347" customFormat="1" x14ac:dyDescent="0.25">
      <c r="A2808" s="369">
        <v>44365</v>
      </c>
      <c r="B2808" s="347">
        <f>+MONTH(A2808)</f>
        <v>6</v>
      </c>
      <c r="C2808" s="347">
        <v>115</v>
      </c>
      <c r="D2808" s="340" t="str">
        <f>VLOOKUP(C2808,Plan!A:B,2,0)</f>
        <v>Disponible Cali B.Chile</v>
      </c>
      <c r="E2808" s="341">
        <f>+F2808-G2808</f>
        <v>40000</v>
      </c>
      <c r="F2808" s="405">
        <v>40000</v>
      </c>
      <c r="G2808" s="405">
        <v>0</v>
      </c>
      <c r="H2808" s="338" t="s">
        <v>1687</v>
      </c>
      <c r="I2808" s="403" t="s">
        <v>131</v>
      </c>
      <c r="K2808" s="370"/>
      <c r="N2808" s="370"/>
    </row>
    <row r="2809" spans="1:14" s="347" customFormat="1" x14ac:dyDescent="0.25">
      <c r="A2809" s="369">
        <f>+A2808</f>
        <v>44365</v>
      </c>
      <c r="B2809" s="347">
        <f>+MONTH(A2809)</f>
        <v>6</v>
      </c>
      <c r="C2809" s="347">
        <v>1216</v>
      </c>
      <c r="D2809" s="340" t="str">
        <f>VLOOKUP(C2809,Plan!A:B,2,0)</f>
        <v>Otros Valores Recaudadoras</v>
      </c>
      <c r="E2809" s="341">
        <f>+F2809-G2809</f>
        <v>-40000</v>
      </c>
      <c r="F2809" s="405">
        <v>0</v>
      </c>
      <c r="G2809" s="405">
        <f>+F2808</f>
        <v>40000</v>
      </c>
      <c r="H2809" s="338" t="s">
        <v>1687</v>
      </c>
      <c r="I2809" s="403" t="s">
        <v>131</v>
      </c>
      <c r="K2809" s="370"/>
      <c r="N2809" s="370"/>
    </row>
    <row r="2810" spans="1:14" s="347" customFormat="1" x14ac:dyDescent="0.25">
      <c r="A2810" s="369"/>
      <c r="E2810" s="396"/>
      <c r="F2810" s="396"/>
      <c r="G2810" s="396"/>
      <c r="K2810" s="370"/>
      <c r="N2810" s="370"/>
    </row>
    <row r="2811" spans="1:14" s="347" customFormat="1" x14ac:dyDescent="0.25">
      <c r="A2811" s="369">
        <v>44365</v>
      </c>
      <c r="B2811" s="347">
        <f>+MONTH(A2811)</f>
        <v>6</v>
      </c>
      <c r="C2811" s="347">
        <v>115</v>
      </c>
      <c r="D2811" s="340" t="str">
        <f>VLOOKUP(C2811,Plan!A:B,2,0)</f>
        <v>Disponible Cali B.Chile</v>
      </c>
      <c r="E2811" s="341">
        <f>+F2811-G2811</f>
        <v>223000</v>
      </c>
      <c r="F2811" s="405">
        <v>223000</v>
      </c>
      <c r="G2811" s="405">
        <v>0</v>
      </c>
      <c r="H2811" s="338" t="s">
        <v>1687</v>
      </c>
      <c r="I2811" s="403" t="s">
        <v>131</v>
      </c>
      <c r="K2811" s="370"/>
      <c r="N2811" s="370"/>
    </row>
    <row r="2812" spans="1:14" s="347" customFormat="1" x14ac:dyDescent="0.25">
      <c r="A2812" s="369">
        <f>+A2811</f>
        <v>44365</v>
      </c>
      <c r="B2812" s="347">
        <f>+MONTH(A2812)</f>
        <v>6</v>
      </c>
      <c r="C2812" s="347">
        <v>1216</v>
      </c>
      <c r="D2812" s="340" t="str">
        <f>VLOOKUP(C2812,Plan!A:B,2,0)</f>
        <v>Otros Valores Recaudadoras</v>
      </c>
      <c r="E2812" s="341">
        <f>+F2812-G2812</f>
        <v>-223000</v>
      </c>
      <c r="F2812" s="405">
        <v>0</v>
      </c>
      <c r="G2812" s="405">
        <f>+F2811</f>
        <v>223000</v>
      </c>
      <c r="H2812" s="338" t="s">
        <v>1687</v>
      </c>
      <c r="I2812" s="403" t="s">
        <v>131</v>
      </c>
      <c r="K2812" s="370"/>
      <c r="N2812" s="370"/>
    </row>
    <row r="2813" spans="1:14" s="347" customFormat="1" x14ac:dyDescent="0.25">
      <c r="A2813" s="369"/>
      <c r="E2813" s="396"/>
      <c r="F2813" s="396"/>
      <c r="G2813" s="396"/>
      <c r="K2813" s="370"/>
      <c r="N2813" s="370"/>
    </row>
    <row r="2814" spans="1:14" s="347" customFormat="1" x14ac:dyDescent="0.25">
      <c r="A2814" s="369">
        <v>44365</v>
      </c>
      <c r="B2814" s="347">
        <f>+MONTH(A2814)</f>
        <v>6</v>
      </c>
      <c r="C2814" s="347">
        <v>115</v>
      </c>
      <c r="D2814" s="340" t="str">
        <f>VLOOKUP(C2814,Plan!A:B,2,0)</f>
        <v>Disponible Cali B.Chile</v>
      </c>
      <c r="E2814" s="341">
        <f>+F2814-G2814</f>
        <v>115000</v>
      </c>
      <c r="F2814" s="405">
        <v>115000</v>
      </c>
      <c r="G2814" s="405">
        <v>0</v>
      </c>
      <c r="H2814" s="338" t="s">
        <v>1687</v>
      </c>
      <c r="I2814" s="403" t="s">
        <v>131</v>
      </c>
      <c r="K2814" s="370"/>
      <c r="N2814" s="370"/>
    </row>
    <row r="2815" spans="1:14" s="347" customFormat="1" x14ac:dyDescent="0.25">
      <c r="A2815" s="369">
        <f>+A2814</f>
        <v>44365</v>
      </c>
      <c r="B2815" s="347">
        <f>+MONTH(A2815)</f>
        <v>6</v>
      </c>
      <c r="C2815" s="347">
        <v>1216</v>
      </c>
      <c r="D2815" s="340" t="str">
        <f>VLOOKUP(C2815,Plan!A:B,2,0)</f>
        <v>Otros Valores Recaudadoras</v>
      </c>
      <c r="E2815" s="341">
        <f>+F2815-G2815</f>
        <v>-115000</v>
      </c>
      <c r="F2815" s="405">
        <v>0</v>
      </c>
      <c r="G2815" s="405">
        <f>+F2814</f>
        <v>115000</v>
      </c>
      <c r="H2815" s="338" t="s">
        <v>1687</v>
      </c>
      <c r="I2815" s="403" t="s">
        <v>131</v>
      </c>
      <c r="K2815" s="370"/>
      <c r="N2815" s="370"/>
    </row>
    <row r="2816" spans="1:14" s="347" customFormat="1" x14ac:dyDescent="0.25">
      <c r="A2816" s="369"/>
      <c r="E2816" s="396"/>
      <c r="F2816" s="396"/>
      <c r="G2816" s="396"/>
      <c r="K2816" s="370"/>
      <c r="N2816" s="370"/>
    </row>
    <row r="2817" spans="1:14" s="347" customFormat="1" x14ac:dyDescent="0.25">
      <c r="A2817" s="369">
        <v>44365</v>
      </c>
      <c r="B2817" s="347">
        <f>+MONTH(A2817)</f>
        <v>6</v>
      </c>
      <c r="C2817" s="347">
        <v>115</v>
      </c>
      <c r="D2817" s="340" t="str">
        <f>VLOOKUP(C2817,Plan!A:B,2,0)</f>
        <v>Disponible Cali B.Chile</v>
      </c>
      <c r="E2817" s="341">
        <f>+F2817-G2817</f>
        <v>65000</v>
      </c>
      <c r="F2817" s="405">
        <v>65000</v>
      </c>
      <c r="G2817" s="405">
        <v>0</v>
      </c>
      <c r="H2817" s="338" t="s">
        <v>1687</v>
      </c>
      <c r="I2817" s="403" t="s">
        <v>131</v>
      </c>
      <c r="K2817" s="370"/>
      <c r="N2817" s="370"/>
    </row>
    <row r="2818" spans="1:14" s="347" customFormat="1" x14ac:dyDescent="0.25">
      <c r="A2818" s="369">
        <f>+A2817</f>
        <v>44365</v>
      </c>
      <c r="B2818" s="347">
        <f>+MONTH(A2818)</f>
        <v>6</v>
      </c>
      <c r="C2818" s="347">
        <v>1216</v>
      </c>
      <c r="D2818" s="340" t="str">
        <f>VLOOKUP(C2818,Plan!A:B,2,0)</f>
        <v>Otros Valores Recaudadoras</v>
      </c>
      <c r="E2818" s="341">
        <f>+F2818-G2818</f>
        <v>-65000</v>
      </c>
      <c r="F2818" s="405">
        <v>0</v>
      </c>
      <c r="G2818" s="405">
        <f>+F2817</f>
        <v>65000</v>
      </c>
      <c r="H2818" s="338" t="s">
        <v>1687</v>
      </c>
      <c r="I2818" s="403" t="s">
        <v>131</v>
      </c>
      <c r="K2818" s="370"/>
      <c r="N2818" s="370"/>
    </row>
    <row r="2819" spans="1:14" s="347" customFormat="1" x14ac:dyDescent="0.25">
      <c r="A2819" s="369"/>
      <c r="E2819" s="396"/>
      <c r="F2819" s="396"/>
      <c r="G2819" s="396"/>
      <c r="K2819" s="370"/>
      <c r="N2819" s="370"/>
    </row>
    <row r="2820" spans="1:14" s="347" customFormat="1" x14ac:dyDescent="0.25">
      <c r="A2820" s="369">
        <v>44369</v>
      </c>
      <c r="B2820" s="347">
        <f>+MONTH(A2820)</f>
        <v>6</v>
      </c>
      <c r="C2820" s="347">
        <v>115</v>
      </c>
      <c r="D2820" s="340" t="str">
        <f>VLOOKUP(C2820,Plan!A:B,2,0)</f>
        <v>Disponible Cali B.Chile</v>
      </c>
      <c r="E2820" s="341">
        <f>+F2820-G2820</f>
        <v>5000</v>
      </c>
      <c r="F2820" s="405">
        <v>5000</v>
      </c>
      <c r="G2820" s="405">
        <v>0</v>
      </c>
      <c r="H2820" t="s">
        <v>1719</v>
      </c>
      <c r="I2820" s="403" t="s">
        <v>131</v>
      </c>
      <c r="K2820" s="370"/>
      <c r="N2820" s="370"/>
    </row>
    <row r="2821" spans="1:14" s="347" customFormat="1" x14ac:dyDescent="0.25">
      <c r="A2821" s="369">
        <f>+A2820</f>
        <v>44369</v>
      </c>
      <c r="B2821" s="347">
        <f>+MONTH(A2821)</f>
        <v>6</v>
      </c>
      <c r="C2821" s="347">
        <v>1222</v>
      </c>
      <c r="D2821" s="340" t="str">
        <f>VLOOKUP(C2821,Plan!A:B,2,0)</f>
        <v>Otros Valores -Oficina y Transferencias (249)</v>
      </c>
      <c r="E2821" s="341">
        <f>+F2821-G2821</f>
        <v>-5000</v>
      </c>
      <c r="F2821" s="405">
        <v>0</v>
      </c>
      <c r="G2821" s="405">
        <f>+F2820</f>
        <v>5000</v>
      </c>
      <c r="H2821" t="str">
        <f>+H2820</f>
        <v>María Angélica Pérez-Villamil /249</v>
      </c>
      <c r="I2821" s="403" t="s">
        <v>131</v>
      </c>
      <c r="K2821" s="370"/>
      <c r="N2821" s="370"/>
    </row>
    <row r="2822" spans="1:14" s="347" customFormat="1" x14ac:dyDescent="0.25">
      <c r="A2822" s="369"/>
      <c r="E2822" s="396"/>
      <c r="F2822" s="396"/>
      <c r="G2822" s="396"/>
      <c r="K2822" s="370"/>
      <c r="N2822" s="370"/>
    </row>
    <row r="2823" spans="1:14" s="347" customFormat="1" x14ac:dyDescent="0.25">
      <c r="A2823" s="369">
        <v>44369</v>
      </c>
      <c r="B2823" s="347">
        <f>+MONTH(A2823)</f>
        <v>6</v>
      </c>
      <c r="C2823" s="347">
        <v>115</v>
      </c>
      <c r="D2823" s="340" t="str">
        <f>VLOOKUP(C2823,Plan!A:B,2,0)</f>
        <v>Disponible Cali B.Chile</v>
      </c>
      <c r="E2823" s="341">
        <f>+F2823-G2823</f>
        <v>20000</v>
      </c>
      <c r="F2823" s="405">
        <v>20000</v>
      </c>
      <c r="G2823" s="405">
        <v>0</v>
      </c>
      <c r="H2823" t="s">
        <v>1030</v>
      </c>
      <c r="I2823" s="403" t="s">
        <v>131</v>
      </c>
      <c r="K2823" s="370"/>
      <c r="N2823" s="370"/>
    </row>
    <row r="2824" spans="1:14" s="347" customFormat="1" x14ac:dyDescent="0.25">
      <c r="A2824" s="369">
        <f>+A2823</f>
        <v>44369</v>
      </c>
      <c r="B2824" s="347">
        <f>+MONTH(A2824)</f>
        <v>6</v>
      </c>
      <c r="C2824" s="347">
        <v>1222</v>
      </c>
      <c r="D2824" s="340" t="str">
        <f>VLOOKUP(C2824,Plan!A:B,2,0)</f>
        <v>Otros Valores -Oficina y Transferencias (249)</v>
      </c>
      <c r="E2824" s="341">
        <f>+F2824-G2824</f>
        <v>-20000</v>
      </c>
      <c r="F2824" s="405">
        <v>0</v>
      </c>
      <c r="G2824" s="405">
        <f>+F2823</f>
        <v>20000</v>
      </c>
      <c r="H2824" t="str">
        <f>+H2823</f>
        <v>S. Villegas / 249</v>
      </c>
      <c r="I2824" s="403" t="s">
        <v>131</v>
      </c>
      <c r="K2824" s="370"/>
      <c r="N2824" s="370"/>
    </row>
    <row r="2825" spans="1:14" s="347" customFormat="1" x14ac:dyDescent="0.25">
      <c r="A2825" s="369"/>
      <c r="E2825" s="396"/>
      <c r="F2825" s="396"/>
      <c r="G2825" s="396"/>
      <c r="K2825" s="370"/>
      <c r="N2825" s="370"/>
    </row>
    <row r="2826" spans="1:14" s="347" customFormat="1" x14ac:dyDescent="0.25">
      <c r="A2826" s="369">
        <v>44369</v>
      </c>
      <c r="B2826" s="347">
        <f>+MONTH(A2826)</f>
        <v>6</v>
      </c>
      <c r="C2826" s="347">
        <v>115</v>
      </c>
      <c r="D2826" s="340" t="str">
        <f>VLOOKUP(C2826,Plan!A:B,2,0)</f>
        <v>Disponible Cali B.Chile</v>
      </c>
      <c r="E2826" s="341">
        <f>+F2826-G2826</f>
        <v>150000</v>
      </c>
      <c r="F2826" s="405">
        <v>150000</v>
      </c>
      <c r="G2826" s="405">
        <v>0</v>
      </c>
      <c r="H2826" t="s">
        <v>1770</v>
      </c>
      <c r="I2826" s="403" t="s">
        <v>131</v>
      </c>
      <c r="K2826" s="370"/>
      <c r="N2826" s="370"/>
    </row>
    <row r="2827" spans="1:14" s="347" customFormat="1" x14ac:dyDescent="0.25">
      <c r="A2827" s="369">
        <f>+A2826</f>
        <v>44369</v>
      </c>
      <c r="B2827" s="347">
        <f>+MONTH(A2827)</f>
        <v>6</v>
      </c>
      <c r="C2827" s="347">
        <v>1222</v>
      </c>
      <c r="D2827" s="340" t="str">
        <f>VLOOKUP(C2827,Plan!A:B,2,0)</f>
        <v>Otros Valores -Oficina y Transferencias (249)</v>
      </c>
      <c r="E2827" s="341">
        <f>+F2827-G2827</f>
        <v>-150000</v>
      </c>
      <c r="F2827" s="405">
        <v>0</v>
      </c>
      <c r="G2827" s="405">
        <f>+F2826</f>
        <v>150000</v>
      </c>
      <c r="H2827" t="str">
        <f>+H2826</f>
        <v>Luis Felipe Zanolli De Solminihac/249</v>
      </c>
      <c r="I2827" s="403" t="s">
        <v>131</v>
      </c>
      <c r="K2827" s="370"/>
      <c r="N2827" s="370"/>
    </row>
    <row r="2828" spans="1:14" s="347" customFormat="1" x14ac:dyDescent="0.25">
      <c r="A2828" s="369"/>
      <c r="E2828" s="396"/>
      <c r="F2828" s="396"/>
      <c r="G2828" s="396"/>
      <c r="K2828" s="370"/>
      <c r="N2828" s="370"/>
    </row>
    <row r="2829" spans="1:14" s="347" customFormat="1" x14ac:dyDescent="0.25">
      <c r="A2829" s="369">
        <v>44369</v>
      </c>
      <c r="B2829" s="347">
        <f>+MONTH(A2829)</f>
        <v>6</v>
      </c>
      <c r="C2829" s="347">
        <v>115</v>
      </c>
      <c r="D2829" s="340" t="str">
        <f>VLOOKUP(C2829,Plan!A:B,2,0)</f>
        <v>Disponible Cali B.Chile</v>
      </c>
      <c r="E2829" s="341">
        <f>+F2829-G2829</f>
        <v>2000</v>
      </c>
      <c r="F2829" s="405">
        <v>2000</v>
      </c>
      <c r="G2829" s="405">
        <v>0</v>
      </c>
      <c r="H2829" t="s">
        <v>1010</v>
      </c>
      <c r="I2829" s="403" t="s">
        <v>131</v>
      </c>
      <c r="K2829" s="370"/>
      <c r="N2829" s="370"/>
    </row>
    <row r="2830" spans="1:14" s="347" customFormat="1" x14ac:dyDescent="0.25">
      <c r="A2830" s="369">
        <f>+A2829</f>
        <v>44369</v>
      </c>
      <c r="B2830" s="347">
        <f>+MONTH(A2830)</f>
        <v>6</v>
      </c>
      <c r="C2830" s="347">
        <v>216</v>
      </c>
      <c r="D2830" s="340" t="str">
        <f>VLOOKUP(C2830,Plan!A:B,2,0)</f>
        <v>Cuenta por Pagar a Administración Colectas</v>
      </c>
      <c r="E2830" s="341">
        <f>+F2830-G2830</f>
        <v>-2000</v>
      </c>
      <c r="F2830" s="405">
        <v>0</v>
      </c>
      <c r="G2830" s="405">
        <f>+F2829</f>
        <v>2000</v>
      </c>
      <c r="H2830" t="str">
        <f>+H2829</f>
        <v>Colecta Raimundo Barros</v>
      </c>
      <c r="I2830" s="403" t="s">
        <v>131</v>
      </c>
      <c r="K2830" s="370"/>
      <c r="N2830" s="370"/>
    </row>
    <row r="2831" spans="1:14" s="347" customFormat="1" x14ac:dyDescent="0.25">
      <c r="A2831" s="369"/>
      <c r="E2831" s="396"/>
      <c r="F2831" s="396"/>
      <c r="G2831" s="396"/>
      <c r="K2831" s="370"/>
      <c r="N2831" s="370"/>
    </row>
    <row r="2832" spans="1:14" s="347" customFormat="1" x14ac:dyDescent="0.25">
      <c r="A2832" s="369">
        <v>44369</v>
      </c>
      <c r="B2832" s="347">
        <f>+MONTH(A2832)</f>
        <v>6</v>
      </c>
      <c r="C2832" s="347">
        <v>115</v>
      </c>
      <c r="D2832" s="340" t="str">
        <f>VLOOKUP(C2832,Plan!A:B,2,0)</f>
        <v>Disponible Cali B.Chile</v>
      </c>
      <c r="E2832" s="341">
        <f>+F2832-G2832</f>
        <v>3000000</v>
      </c>
      <c r="F2832" s="405">
        <v>3000000</v>
      </c>
      <c r="G2832" s="405">
        <v>0</v>
      </c>
      <c r="H2832" t="s">
        <v>1668</v>
      </c>
      <c r="I2832" s="403" t="s">
        <v>131</v>
      </c>
      <c r="K2832" s="370"/>
      <c r="N2832" s="370"/>
    </row>
    <row r="2833" spans="1:14" s="347" customFormat="1" x14ac:dyDescent="0.25">
      <c r="A2833" s="369">
        <f>+A2832</f>
        <v>44369</v>
      </c>
      <c r="B2833" s="347">
        <f>+MONTH(A2833)</f>
        <v>6</v>
      </c>
      <c r="C2833" s="347">
        <v>3210</v>
      </c>
      <c r="D2833" s="340" t="str">
        <f>VLOOKUP(C2833,Plan!A:B,2,0)</f>
        <v>Donacion Construccion</v>
      </c>
      <c r="E2833" s="341">
        <f>+F2833-G2833</f>
        <v>-3000000</v>
      </c>
      <c r="F2833" s="405">
        <v>0</v>
      </c>
      <c r="G2833" s="405">
        <f>+F2832</f>
        <v>3000000</v>
      </c>
      <c r="H2833" t="str">
        <f>+H2832</f>
        <v>José Tomás Guzmán Rencoret / Azul</v>
      </c>
      <c r="I2833" s="403" t="s">
        <v>131</v>
      </c>
      <c r="K2833" s="370"/>
      <c r="N2833" s="370"/>
    </row>
    <row r="2834" spans="1:14" s="347" customFormat="1" x14ac:dyDescent="0.25">
      <c r="A2834" s="369"/>
      <c r="E2834" s="396"/>
      <c r="F2834" s="396"/>
      <c r="G2834" s="396"/>
      <c r="K2834" s="370"/>
      <c r="N2834" s="370"/>
    </row>
    <row r="2835" spans="1:14" s="347" customFormat="1" x14ac:dyDescent="0.25">
      <c r="A2835" s="369">
        <v>44369</v>
      </c>
      <c r="B2835" s="347">
        <f>+MONTH(A2835)</f>
        <v>6</v>
      </c>
      <c r="C2835" s="347">
        <v>115</v>
      </c>
      <c r="D2835" s="340" t="str">
        <f>VLOOKUP(C2835,Plan!A:B,2,0)</f>
        <v>Disponible Cali B.Chile</v>
      </c>
      <c r="E2835" s="341">
        <f>+F2835-G2835</f>
        <v>10000</v>
      </c>
      <c r="F2835" s="405">
        <v>10000</v>
      </c>
      <c r="G2835" s="405">
        <v>0</v>
      </c>
      <c r="H2835" t="s">
        <v>1517</v>
      </c>
      <c r="I2835" s="403" t="s">
        <v>131</v>
      </c>
      <c r="K2835" s="370"/>
      <c r="N2835" s="370"/>
    </row>
    <row r="2836" spans="1:14" s="347" customFormat="1" x14ac:dyDescent="0.25">
      <c r="A2836" s="369">
        <f>+A2835</f>
        <v>44369</v>
      </c>
      <c r="B2836" s="347">
        <f>+MONTH(A2836)</f>
        <v>6</v>
      </c>
      <c r="C2836" s="347">
        <v>1222</v>
      </c>
      <c r="D2836" s="340" t="str">
        <f>VLOOKUP(C2836,Plan!A:B,2,0)</f>
        <v>Otros Valores -Oficina y Transferencias (249)</v>
      </c>
      <c r="E2836" s="341">
        <f>+F2836-G2836</f>
        <v>-10000</v>
      </c>
      <c r="F2836" s="405">
        <v>0</v>
      </c>
      <c r="G2836" s="405">
        <f>+F2835</f>
        <v>10000</v>
      </c>
      <c r="H2836" t="str">
        <f>+H2835</f>
        <v>Jacqueline Dale / 249</v>
      </c>
      <c r="I2836" s="403" t="s">
        <v>131</v>
      </c>
      <c r="K2836" s="370"/>
      <c r="N2836" s="370"/>
    </row>
    <row r="2837" spans="1:14" s="347" customFormat="1" x14ac:dyDescent="0.25">
      <c r="A2837" s="369"/>
      <c r="E2837" s="396"/>
      <c r="F2837" s="396"/>
      <c r="G2837" s="396"/>
      <c r="K2837" s="370"/>
      <c r="N2837" s="370"/>
    </row>
    <row r="2838" spans="1:14" s="347" customFormat="1" x14ac:dyDescent="0.25">
      <c r="A2838" s="369">
        <v>44369</v>
      </c>
      <c r="B2838" s="347">
        <f>+MONTH(A2838)</f>
        <v>6</v>
      </c>
      <c r="C2838" s="347">
        <v>115</v>
      </c>
      <c r="D2838" s="340" t="str">
        <f>VLOOKUP(C2838,Plan!A:B,2,0)</f>
        <v>Disponible Cali B.Chile</v>
      </c>
      <c r="E2838" s="341">
        <f>+F2838-G2838</f>
        <v>9807</v>
      </c>
      <c r="F2838" s="405">
        <v>9807</v>
      </c>
      <c r="G2838" s="405">
        <v>0</v>
      </c>
      <c r="H2838" t="s">
        <v>1771</v>
      </c>
      <c r="I2838" s="403" t="s">
        <v>131</v>
      </c>
      <c r="K2838" s="370"/>
      <c r="N2838" s="370"/>
    </row>
    <row r="2839" spans="1:14" s="347" customFormat="1" x14ac:dyDescent="0.25">
      <c r="A2839" s="369">
        <v>44369</v>
      </c>
      <c r="B2839" s="347">
        <f>+MONTH(A2839)</f>
        <v>6</v>
      </c>
      <c r="C2839" s="347">
        <v>4331</v>
      </c>
      <c r="D2839" s="340" t="str">
        <f>VLOOKUP(C2839,Plan!A:B,2,0)</f>
        <v>Cali</v>
      </c>
      <c r="E2839" s="341">
        <f>+F2839-G2839</f>
        <v>193</v>
      </c>
      <c r="F2839" s="405">
        <f>+G2840-F2838</f>
        <v>193</v>
      </c>
      <c r="G2839" s="405">
        <v>0</v>
      </c>
      <c r="H2839" t="s">
        <v>1771</v>
      </c>
      <c r="I2839" s="403" t="s">
        <v>131</v>
      </c>
      <c r="K2839" s="370"/>
      <c r="N2839" s="370"/>
    </row>
    <row r="2840" spans="1:14" s="347" customFormat="1" x14ac:dyDescent="0.25">
      <c r="A2840" s="369">
        <f>+A2838</f>
        <v>44369</v>
      </c>
      <c r="B2840" s="347">
        <f>+MONTH(A2840)</f>
        <v>6</v>
      </c>
      <c r="C2840" s="347">
        <v>1222</v>
      </c>
      <c r="D2840" s="340" t="str">
        <f>VLOOKUP(C2840,Plan!A:B,2,0)</f>
        <v>Otros Valores -Oficina y Transferencias (249)</v>
      </c>
      <c r="E2840" s="341">
        <f>+F2840-G2840</f>
        <v>-10000</v>
      </c>
      <c r="F2840" s="405">
        <v>0</v>
      </c>
      <c r="G2840" s="405">
        <v>10000</v>
      </c>
      <c r="H2840" t="str">
        <f>+H2838</f>
        <v>Felipe Hargous Larraín / 249</v>
      </c>
      <c r="I2840" s="403" t="s">
        <v>131</v>
      </c>
      <c r="K2840" s="370"/>
      <c r="N2840" s="370"/>
    </row>
    <row r="2841" spans="1:14" s="347" customFormat="1" x14ac:dyDescent="0.25">
      <c r="A2841" s="369"/>
      <c r="E2841" s="396"/>
      <c r="F2841" s="396"/>
      <c r="G2841" s="396"/>
      <c r="K2841" s="370"/>
      <c r="N2841" s="370"/>
    </row>
    <row r="2842" spans="1:14" s="347" customFormat="1" x14ac:dyDescent="0.25">
      <c r="A2842" s="369">
        <v>44370</v>
      </c>
      <c r="B2842" s="347">
        <f>+MONTH(A2842)</f>
        <v>6</v>
      </c>
      <c r="C2842" s="347">
        <v>115</v>
      </c>
      <c r="D2842" s="340" t="str">
        <f>VLOOKUP(C2842,Plan!A:B,2,0)</f>
        <v>Disponible Cali B.Chile</v>
      </c>
      <c r="E2842" s="341">
        <f>+F2842-G2842</f>
        <v>20000</v>
      </c>
      <c r="F2842" s="405">
        <v>20000</v>
      </c>
      <c r="G2842" s="405">
        <v>0</v>
      </c>
      <c r="H2842" t="s">
        <v>1027</v>
      </c>
      <c r="I2842" s="403" t="s">
        <v>131</v>
      </c>
      <c r="K2842" s="370"/>
      <c r="N2842" s="370"/>
    </row>
    <row r="2843" spans="1:14" s="347" customFormat="1" x14ac:dyDescent="0.25">
      <c r="A2843" s="369">
        <f>+A2842</f>
        <v>44370</v>
      </c>
      <c r="B2843" s="347">
        <f>+MONTH(A2843)</f>
        <v>6</v>
      </c>
      <c r="C2843" s="347">
        <v>1217</v>
      </c>
      <c r="D2843" s="340" t="str">
        <f>VLOOKUP(C2843,Plan!A:B,2,0)</f>
        <v>Otros Valores -Oficina y Transferencias (248)</v>
      </c>
      <c r="E2843" s="341">
        <f>+F2843-G2843</f>
        <v>-20000</v>
      </c>
      <c r="F2843" s="405">
        <v>0</v>
      </c>
      <c r="G2843" s="405">
        <f>+F2842</f>
        <v>20000</v>
      </c>
      <c r="H2843" t="str">
        <f>+H2842</f>
        <v>GODOY CAMUS CARLOS IGNACIO/248</v>
      </c>
      <c r="I2843" s="403" t="s">
        <v>131</v>
      </c>
      <c r="K2843" s="370"/>
      <c r="N2843" s="370"/>
    </row>
    <row r="2844" spans="1:14" s="347" customFormat="1" x14ac:dyDescent="0.25">
      <c r="A2844" s="369"/>
      <c r="E2844" s="396"/>
      <c r="F2844" s="396"/>
      <c r="G2844" s="396"/>
      <c r="K2844" s="370"/>
      <c r="N2844" s="370"/>
    </row>
    <row r="2845" spans="1:14" s="347" customFormat="1" x14ac:dyDescent="0.25">
      <c r="A2845" s="369">
        <v>44370</v>
      </c>
      <c r="B2845" s="347">
        <f>+MONTH(A2845)</f>
        <v>6</v>
      </c>
      <c r="C2845" s="347">
        <v>115</v>
      </c>
      <c r="D2845" s="340" t="str">
        <f>VLOOKUP(C2845,Plan!A:B,2,0)</f>
        <v>Disponible Cali B.Chile</v>
      </c>
      <c r="E2845" s="341">
        <f>+F2845-G2845</f>
        <v>30000</v>
      </c>
      <c r="F2845" s="405">
        <v>30000</v>
      </c>
      <c r="G2845" s="405">
        <v>0</v>
      </c>
      <c r="H2845" t="s">
        <v>1032</v>
      </c>
      <c r="I2845" s="403" t="s">
        <v>131</v>
      </c>
      <c r="K2845" s="370"/>
      <c r="N2845" s="370"/>
    </row>
    <row r="2846" spans="1:14" s="347" customFormat="1" x14ac:dyDescent="0.25">
      <c r="A2846" s="369">
        <f>+A2845</f>
        <v>44370</v>
      </c>
      <c r="B2846" s="347">
        <f>+MONTH(A2846)</f>
        <v>6</v>
      </c>
      <c r="C2846" s="347">
        <v>1217</v>
      </c>
      <c r="D2846" s="340" t="str">
        <f>VLOOKUP(C2846,Plan!A:B,2,0)</f>
        <v>Otros Valores -Oficina y Transferencias (248)</v>
      </c>
      <c r="E2846" s="341">
        <f>+F2846-G2846</f>
        <v>-30000</v>
      </c>
      <c r="F2846" s="405">
        <v>0</v>
      </c>
      <c r="G2846" s="405">
        <f>+F2845</f>
        <v>30000</v>
      </c>
      <c r="H2846" t="str">
        <f>+H2845</f>
        <v>Luis  E. Domínguez / 248</v>
      </c>
      <c r="I2846" s="403" t="s">
        <v>131</v>
      </c>
      <c r="K2846" s="370"/>
      <c r="N2846" s="370"/>
    </row>
    <row r="2847" spans="1:14" s="347" customFormat="1" x14ac:dyDescent="0.25">
      <c r="A2847" s="369"/>
      <c r="E2847" s="396"/>
      <c r="F2847" s="396"/>
      <c r="G2847" s="396"/>
      <c r="K2847" s="370"/>
      <c r="N2847" s="370"/>
    </row>
    <row r="2848" spans="1:14" s="347" customFormat="1" x14ac:dyDescent="0.25">
      <c r="A2848" s="369">
        <v>44370</v>
      </c>
      <c r="B2848" s="347">
        <f>+MONTH(A2848)</f>
        <v>6</v>
      </c>
      <c r="C2848" s="347">
        <v>115</v>
      </c>
      <c r="D2848" s="340" t="str">
        <f>VLOOKUP(C2848,Plan!A:B,2,0)</f>
        <v>Disponible Cali B.Chile</v>
      </c>
      <c r="E2848" s="341">
        <f>+F2848-G2848</f>
        <v>100000</v>
      </c>
      <c r="F2848" s="405">
        <v>100000</v>
      </c>
      <c r="G2848" s="405">
        <v>0</v>
      </c>
      <c r="H2848" t="s">
        <v>1695</v>
      </c>
      <c r="I2848" s="403" t="s">
        <v>131</v>
      </c>
      <c r="K2848" s="370"/>
      <c r="N2848" s="370"/>
    </row>
    <row r="2849" spans="1:14" s="347" customFormat="1" x14ac:dyDescent="0.25">
      <c r="A2849" s="369">
        <f>+A2848</f>
        <v>44370</v>
      </c>
      <c r="B2849" s="347">
        <f>+MONTH(A2849)</f>
        <v>6</v>
      </c>
      <c r="C2849" s="347">
        <v>3210</v>
      </c>
      <c r="D2849" s="340" t="str">
        <f>VLOOKUP(C2849,Plan!A:B,2,0)</f>
        <v>Donacion Construccion</v>
      </c>
      <c r="E2849" s="341">
        <f>+F2849-G2849</f>
        <v>-100000</v>
      </c>
      <c r="F2849" s="405">
        <v>0</v>
      </c>
      <c r="G2849" s="405">
        <f>+F2848</f>
        <v>100000</v>
      </c>
      <c r="H2849" t="str">
        <f>+H2848</f>
        <v>Ricardo Cruzat Ochagavia / Azul</v>
      </c>
      <c r="I2849" s="403" t="s">
        <v>131</v>
      </c>
      <c r="K2849" s="370"/>
      <c r="N2849" s="370"/>
    </row>
    <row r="2850" spans="1:14" s="347" customFormat="1" x14ac:dyDescent="0.25">
      <c r="A2850" s="369"/>
      <c r="E2850" s="396"/>
      <c r="F2850" s="396"/>
      <c r="G2850" s="396"/>
      <c r="K2850" s="370"/>
      <c r="N2850" s="370"/>
    </row>
    <row r="2851" spans="1:14" s="347" customFormat="1" x14ac:dyDescent="0.25">
      <c r="A2851" s="369">
        <v>44370</v>
      </c>
      <c r="B2851" s="347">
        <f>+MONTH(A2851)</f>
        <v>6</v>
      </c>
      <c r="C2851" s="347">
        <v>115</v>
      </c>
      <c r="D2851" s="340" t="str">
        <f>VLOOKUP(C2851,Plan!A:B,2,0)</f>
        <v>Disponible Cali B.Chile</v>
      </c>
      <c r="E2851" s="341">
        <f>+F2851-G2851</f>
        <v>20000</v>
      </c>
      <c r="F2851" s="405">
        <v>20000</v>
      </c>
      <c r="G2851" s="405">
        <v>0</v>
      </c>
      <c r="H2851" t="s">
        <v>1033</v>
      </c>
      <c r="I2851" s="403" t="s">
        <v>131</v>
      </c>
      <c r="K2851" s="370"/>
      <c r="N2851" s="370"/>
    </row>
    <row r="2852" spans="1:14" s="347" customFormat="1" x14ac:dyDescent="0.25">
      <c r="A2852" s="369">
        <f>+A2851</f>
        <v>44370</v>
      </c>
      <c r="B2852" s="347">
        <f>+MONTH(A2852)</f>
        <v>6</v>
      </c>
      <c r="C2852" s="347">
        <v>1222</v>
      </c>
      <c r="D2852" s="340" t="str">
        <f>VLOOKUP(C2852,Plan!A:B,2,0)</f>
        <v>Otros Valores -Oficina y Transferencias (249)</v>
      </c>
      <c r="E2852" s="341">
        <f>+F2852-G2852</f>
        <v>-20000</v>
      </c>
      <c r="F2852" s="405">
        <v>0</v>
      </c>
      <c r="G2852" s="405">
        <f>+F2851</f>
        <v>20000</v>
      </c>
      <c r="H2852" t="str">
        <f>+H2851</f>
        <v>Verónica Sapag Puelma / 249</v>
      </c>
      <c r="I2852" s="403" t="s">
        <v>131</v>
      </c>
      <c r="K2852" s="370"/>
      <c r="N2852" s="370"/>
    </row>
    <row r="2853" spans="1:14" s="347" customFormat="1" x14ac:dyDescent="0.25">
      <c r="A2853" s="369"/>
      <c r="E2853" s="396"/>
      <c r="F2853" s="396"/>
      <c r="G2853" s="396"/>
      <c r="K2853" s="370"/>
      <c r="N2853" s="370"/>
    </row>
    <row r="2854" spans="1:14" s="347" customFormat="1" x14ac:dyDescent="0.25">
      <c r="A2854" s="369">
        <v>44370</v>
      </c>
      <c r="B2854" s="347">
        <f>+MONTH(A2854)</f>
        <v>6</v>
      </c>
      <c r="C2854" s="347">
        <v>115</v>
      </c>
      <c r="D2854" s="340" t="str">
        <f>VLOOKUP(C2854,Plan!A:B,2,0)</f>
        <v>Disponible Cali B.Chile</v>
      </c>
      <c r="E2854" s="341">
        <f>+F2854-G2854</f>
        <v>19614</v>
      </c>
      <c r="F2854" s="405">
        <v>19614</v>
      </c>
      <c r="G2854" s="405">
        <v>0</v>
      </c>
      <c r="H2854" t="s">
        <v>1057</v>
      </c>
      <c r="I2854" s="403" t="s">
        <v>131</v>
      </c>
      <c r="K2854" s="370"/>
      <c r="N2854" s="370"/>
    </row>
    <row r="2855" spans="1:14" s="347" customFormat="1" x14ac:dyDescent="0.25">
      <c r="A2855" s="369">
        <f>+A2854</f>
        <v>44370</v>
      </c>
      <c r="B2855" s="347">
        <f>+MONTH(A2855)</f>
        <v>6</v>
      </c>
      <c r="C2855" s="347">
        <v>3210</v>
      </c>
      <c r="D2855" s="340" t="str">
        <f>VLOOKUP(C2855,Plan!A:B,2,0)</f>
        <v>Donacion Construccion</v>
      </c>
      <c r="E2855" s="341">
        <f>+F2855-G2855</f>
        <v>-19614</v>
      </c>
      <c r="F2855" s="405">
        <v>0</v>
      </c>
      <c r="G2855" s="405">
        <f>+F2854</f>
        <v>19614</v>
      </c>
      <c r="H2855" t="str">
        <f>+H2854</f>
        <v>Jorge Manzur Araya /Azul (M$20)</v>
      </c>
      <c r="I2855" s="403" t="s">
        <v>131</v>
      </c>
      <c r="K2855" s="370"/>
      <c r="N2855" s="370"/>
    </row>
    <row r="2856" spans="1:14" s="347" customFormat="1" x14ac:dyDescent="0.25">
      <c r="A2856" s="369"/>
      <c r="E2856" s="396"/>
      <c r="F2856" s="396"/>
      <c r="G2856" s="396"/>
      <c r="K2856" s="370"/>
      <c r="N2856" s="370"/>
    </row>
    <row r="2857" spans="1:14" s="347" customFormat="1" x14ac:dyDescent="0.25">
      <c r="A2857" s="369">
        <v>44370</v>
      </c>
      <c r="B2857" s="347">
        <f>+MONTH(A2857)</f>
        <v>6</v>
      </c>
      <c r="C2857" s="347">
        <v>115</v>
      </c>
      <c r="D2857" s="340" t="str">
        <f>VLOOKUP(C2857,Plan!A:B,2,0)</f>
        <v>Disponible Cali B.Chile</v>
      </c>
      <c r="E2857" s="341">
        <f>+F2857-G2857</f>
        <v>5000</v>
      </c>
      <c r="F2857" s="405">
        <v>5000</v>
      </c>
      <c r="G2857" s="405">
        <v>0</v>
      </c>
      <c r="H2857" t="s">
        <v>1772</v>
      </c>
      <c r="I2857" s="403" t="s">
        <v>131</v>
      </c>
      <c r="K2857" s="370"/>
      <c r="N2857" s="370"/>
    </row>
    <row r="2858" spans="1:14" s="347" customFormat="1" x14ac:dyDescent="0.25">
      <c r="A2858" s="369">
        <f>+A2857</f>
        <v>44370</v>
      </c>
      <c r="B2858" s="347">
        <f>+MONTH(A2858)</f>
        <v>6</v>
      </c>
      <c r="C2858" s="347">
        <v>1222</v>
      </c>
      <c r="D2858" s="340" t="str">
        <f>VLOOKUP(C2858,Plan!A:B,2,0)</f>
        <v>Otros Valores -Oficina y Transferencias (249)</v>
      </c>
      <c r="E2858" s="341">
        <f>+F2858-G2858</f>
        <v>-5000</v>
      </c>
      <c r="F2858" s="405">
        <v>0</v>
      </c>
      <c r="G2858" s="405">
        <f>+F2857</f>
        <v>5000</v>
      </c>
      <c r="H2858" t="str">
        <f>+H2857</f>
        <v>Carmen Matus Mesa / 249</v>
      </c>
      <c r="I2858" s="403" t="s">
        <v>131</v>
      </c>
      <c r="K2858" s="370"/>
      <c r="N2858" s="370"/>
    </row>
    <row r="2859" spans="1:14" s="347" customFormat="1" x14ac:dyDescent="0.25">
      <c r="A2859" s="369"/>
      <c r="E2859" s="396"/>
      <c r="F2859" s="396"/>
      <c r="G2859" s="396"/>
      <c r="K2859" s="370"/>
      <c r="N2859" s="370"/>
    </row>
    <row r="2860" spans="1:14" s="347" customFormat="1" x14ac:dyDescent="0.25">
      <c r="A2860" s="369">
        <v>44371</v>
      </c>
      <c r="B2860" s="347">
        <f>+MONTH(A2860)</f>
        <v>6</v>
      </c>
      <c r="C2860" s="347">
        <v>115</v>
      </c>
      <c r="D2860" s="340" t="str">
        <f>VLOOKUP(C2860,Plan!A:B,2,0)</f>
        <v>Disponible Cali B.Chile</v>
      </c>
      <c r="E2860" s="341">
        <f>+F2860-G2860</f>
        <v>1000000</v>
      </c>
      <c r="F2860" s="405">
        <v>1000000</v>
      </c>
      <c r="G2860" s="405">
        <v>0</v>
      </c>
      <c r="H2860" t="s">
        <v>1063</v>
      </c>
      <c r="I2860" s="403" t="s">
        <v>131</v>
      </c>
      <c r="K2860" s="370"/>
      <c r="N2860" s="370"/>
    </row>
    <row r="2861" spans="1:14" s="347" customFormat="1" x14ac:dyDescent="0.25">
      <c r="A2861" s="369">
        <f>+A2860</f>
        <v>44371</v>
      </c>
      <c r="B2861" s="347">
        <f>+MONTH(A2861)</f>
        <v>6</v>
      </c>
      <c r="C2861" s="347">
        <v>3210</v>
      </c>
      <c r="D2861" s="340" t="str">
        <f>VLOOKUP(C2861,Plan!A:B,2,0)</f>
        <v>Donacion Construccion</v>
      </c>
      <c r="E2861" s="341">
        <f>+F2861-G2861</f>
        <v>-1000000</v>
      </c>
      <c r="F2861" s="405">
        <v>0</v>
      </c>
      <c r="G2861" s="405">
        <f>+F2860</f>
        <v>1000000</v>
      </c>
      <c r="H2861" t="str">
        <f>+H2860</f>
        <v>Jorge Awad M. / Azul</v>
      </c>
      <c r="I2861" s="403" t="s">
        <v>131</v>
      </c>
      <c r="K2861" s="370"/>
      <c r="N2861" s="370"/>
    </row>
    <row r="2862" spans="1:14" s="347" customFormat="1" x14ac:dyDescent="0.25">
      <c r="A2862" s="369"/>
      <c r="E2862" s="396"/>
      <c r="F2862" s="396"/>
      <c r="G2862" s="396"/>
      <c r="K2862" s="370"/>
      <c r="N2862" s="370"/>
    </row>
    <row r="2863" spans="1:14" s="347" customFormat="1" x14ac:dyDescent="0.25">
      <c r="A2863" s="369">
        <v>44372</v>
      </c>
      <c r="B2863" s="347">
        <f>+MONTH(A2863)</f>
        <v>6</v>
      </c>
      <c r="C2863" s="347">
        <v>115</v>
      </c>
      <c r="D2863" s="340" t="str">
        <f>VLOOKUP(C2863,Plan!A:B,2,0)</f>
        <v>Disponible Cali B.Chile</v>
      </c>
      <c r="E2863" s="341">
        <f>+F2863-G2863</f>
        <v>10000</v>
      </c>
      <c r="F2863" s="405">
        <v>10000</v>
      </c>
      <c r="G2863" s="405">
        <v>0</v>
      </c>
      <c r="H2863" t="s">
        <v>1670</v>
      </c>
      <c r="I2863" s="403" t="s">
        <v>131</v>
      </c>
      <c r="K2863" s="370"/>
      <c r="N2863" s="370"/>
    </row>
    <row r="2864" spans="1:14" s="347" customFormat="1" x14ac:dyDescent="0.25">
      <c r="A2864" s="369">
        <f>+A2863</f>
        <v>44372</v>
      </c>
      <c r="B2864" s="347">
        <f>+MONTH(A2864)</f>
        <v>6</v>
      </c>
      <c r="C2864" s="347">
        <v>1222</v>
      </c>
      <c r="D2864" s="340" t="str">
        <f>VLOOKUP(C2864,Plan!A:B,2,0)</f>
        <v>Otros Valores -Oficina y Transferencias (249)</v>
      </c>
      <c r="E2864" s="341">
        <f>+F2864-G2864</f>
        <v>-10000</v>
      </c>
      <c r="F2864" s="405">
        <v>0</v>
      </c>
      <c r="G2864" s="405">
        <f>+F2863</f>
        <v>10000</v>
      </c>
      <c r="H2864" t="str">
        <f>+H2863</f>
        <v>María Virginia Fernández Oyarzún / 249</v>
      </c>
      <c r="I2864" s="403" t="s">
        <v>131</v>
      </c>
      <c r="K2864" s="370"/>
      <c r="N2864" s="370"/>
    </row>
    <row r="2865" spans="1:14" s="347" customFormat="1" x14ac:dyDescent="0.25">
      <c r="A2865" s="369"/>
      <c r="E2865" s="396"/>
      <c r="F2865" s="396"/>
      <c r="G2865" s="396"/>
      <c r="K2865" s="370"/>
      <c r="N2865" s="370"/>
    </row>
    <row r="2866" spans="1:14" s="347" customFormat="1" x14ac:dyDescent="0.25">
      <c r="A2866" s="369">
        <v>44372</v>
      </c>
      <c r="B2866" s="347">
        <f>+MONTH(A2866)</f>
        <v>6</v>
      </c>
      <c r="C2866" s="347">
        <v>115</v>
      </c>
      <c r="D2866" s="340" t="str">
        <f>VLOOKUP(C2866,Plan!A:B,2,0)</f>
        <v>Disponible Cali B.Chile</v>
      </c>
      <c r="E2866" s="341">
        <f>+F2866-G2866</f>
        <v>20000</v>
      </c>
      <c r="F2866" s="405">
        <v>20000</v>
      </c>
      <c r="G2866" s="405">
        <v>0</v>
      </c>
      <c r="H2866" t="s">
        <v>1773</v>
      </c>
      <c r="I2866" s="403" t="s">
        <v>131</v>
      </c>
      <c r="K2866" s="370"/>
      <c r="N2866" s="370"/>
    </row>
    <row r="2867" spans="1:14" s="347" customFormat="1" x14ac:dyDescent="0.25">
      <c r="A2867" s="369">
        <f>+A2866</f>
        <v>44372</v>
      </c>
      <c r="B2867" s="347">
        <f>+MONTH(A2867)</f>
        <v>6</v>
      </c>
      <c r="C2867" s="347">
        <v>217</v>
      </c>
      <c r="D2867" s="340" t="str">
        <f>VLOOKUP(C2867,Plan!A:B,2,0)</f>
        <v>Cuenta por Pagar a Administración Canastas</v>
      </c>
      <c r="E2867" s="341">
        <f>+F2867-G2867</f>
        <v>-20000</v>
      </c>
      <c r="F2867" s="405">
        <v>0</v>
      </c>
      <c r="G2867" s="405">
        <f>+F2866</f>
        <v>20000</v>
      </c>
      <c r="H2867" t="str">
        <f>+H2866</f>
        <v>Canastas María Virginia Fernández Oyarzún</v>
      </c>
      <c r="I2867" s="403" t="s">
        <v>131</v>
      </c>
      <c r="K2867" s="370"/>
      <c r="N2867" s="370"/>
    </row>
    <row r="2868" spans="1:14" s="347" customFormat="1" x14ac:dyDescent="0.25">
      <c r="A2868" s="369"/>
      <c r="E2868" s="396"/>
      <c r="F2868" s="396"/>
      <c r="G2868" s="396"/>
      <c r="K2868" s="370"/>
      <c r="N2868" s="370"/>
    </row>
    <row r="2869" spans="1:14" s="347" customFormat="1" x14ac:dyDescent="0.25">
      <c r="A2869" s="369">
        <v>44372</v>
      </c>
      <c r="B2869" s="347">
        <f>+MONTH(A2869)</f>
        <v>6</v>
      </c>
      <c r="C2869" s="347">
        <v>115</v>
      </c>
      <c r="D2869" s="340" t="str">
        <f>VLOOKUP(C2869,Plan!A:B,2,0)</f>
        <v>Disponible Cali B.Chile</v>
      </c>
      <c r="E2869" s="341">
        <f>+F2869-G2869</f>
        <v>10000</v>
      </c>
      <c r="F2869" s="405">
        <v>10000</v>
      </c>
      <c r="G2869" s="405">
        <v>0</v>
      </c>
      <c r="H2869" t="s">
        <v>1036</v>
      </c>
      <c r="I2869" s="403" t="s">
        <v>131</v>
      </c>
      <c r="K2869" s="370"/>
      <c r="N2869" s="370"/>
    </row>
    <row r="2870" spans="1:14" s="347" customFormat="1" x14ac:dyDescent="0.25">
      <c r="A2870" s="369">
        <f>+A2869</f>
        <v>44372</v>
      </c>
      <c r="B2870" s="347">
        <f>+MONTH(A2870)</f>
        <v>6</v>
      </c>
      <c r="C2870" s="347">
        <v>3210</v>
      </c>
      <c r="D2870" s="340" t="str">
        <f>VLOOKUP(C2870,Plan!A:B,2,0)</f>
        <v>Donacion Construccion</v>
      </c>
      <c r="E2870" s="341">
        <f>+F2870-G2870</f>
        <v>-10000</v>
      </c>
      <c r="F2870" s="405">
        <v>0</v>
      </c>
      <c r="G2870" s="405">
        <f>+F2869</f>
        <v>10000</v>
      </c>
      <c r="H2870" t="str">
        <f>+H2869</f>
        <v>Francisco Sanhueza /Azul</v>
      </c>
      <c r="I2870" s="403" t="s">
        <v>131</v>
      </c>
      <c r="K2870" s="370"/>
      <c r="N2870" s="370"/>
    </row>
    <row r="2871" spans="1:14" s="347" customFormat="1" x14ac:dyDescent="0.25">
      <c r="A2871" s="369"/>
      <c r="E2871" s="396"/>
      <c r="F2871" s="396"/>
      <c r="G2871" s="396"/>
      <c r="K2871" s="370"/>
      <c r="N2871" s="370"/>
    </row>
    <row r="2872" spans="1:14" s="347" customFormat="1" x14ac:dyDescent="0.25">
      <c r="A2872" s="369">
        <v>44372</v>
      </c>
      <c r="B2872" s="347">
        <f>+MONTH(A2872)</f>
        <v>6</v>
      </c>
      <c r="C2872" s="347">
        <v>115</v>
      </c>
      <c r="D2872" s="340" t="str">
        <f>VLOOKUP(C2872,Plan!A:B,2,0)</f>
        <v>Disponible Cali B.Chile</v>
      </c>
      <c r="E2872" s="341">
        <f>+F2872-G2872</f>
        <v>1474790</v>
      </c>
      <c r="F2872" s="405">
        <v>1474790</v>
      </c>
      <c r="G2872" s="405">
        <v>0</v>
      </c>
      <c r="H2872" t="s">
        <v>1774</v>
      </c>
      <c r="I2872" s="403" t="s">
        <v>131</v>
      </c>
      <c r="K2872" s="370"/>
      <c r="N2872" s="370"/>
    </row>
    <row r="2873" spans="1:14" s="347" customFormat="1" x14ac:dyDescent="0.25">
      <c r="A2873" s="369">
        <f>+A2872</f>
        <v>44372</v>
      </c>
      <c r="B2873" s="347">
        <f>+MONTH(A2873)</f>
        <v>6</v>
      </c>
      <c r="C2873" s="347">
        <v>3210</v>
      </c>
      <c r="D2873" s="340" t="str">
        <f>VLOOKUP(C2873,Plan!A:B,2,0)</f>
        <v>Donacion Construccion</v>
      </c>
      <c r="E2873" s="341">
        <f>+F2873-G2873</f>
        <v>-1474790</v>
      </c>
      <c r="F2873" s="405">
        <v>0</v>
      </c>
      <c r="G2873" s="405">
        <f>+F2872</f>
        <v>1474790</v>
      </c>
      <c r="H2873" t="str">
        <f>+H2872</f>
        <v>T/C Azules Junio 2021</v>
      </c>
      <c r="I2873" s="403" t="s">
        <v>131</v>
      </c>
      <c r="K2873" s="370"/>
      <c r="N2873" s="370"/>
    </row>
    <row r="2874" spans="1:14" s="347" customFormat="1" x14ac:dyDescent="0.25">
      <c r="A2874" s="369"/>
      <c r="E2874" s="396"/>
      <c r="F2874" s="396"/>
      <c r="G2874" s="396"/>
      <c r="K2874" s="370"/>
      <c r="N2874" s="370"/>
    </row>
    <row r="2875" spans="1:14" s="347" customFormat="1" x14ac:dyDescent="0.25">
      <c r="A2875" s="369">
        <v>44372</v>
      </c>
      <c r="B2875" s="347">
        <f>+MONTH(A2875)</f>
        <v>6</v>
      </c>
      <c r="C2875" s="347">
        <v>115</v>
      </c>
      <c r="D2875" s="340" t="str">
        <f>VLOOKUP(C2875,Plan!A:B,2,0)</f>
        <v>Disponible Cali B.Chile</v>
      </c>
      <c r="E2875" s="341">
        <f>+F2875-G2875</f>
        <v>2171504</v>
      </c>
      <c r="F2875" s="405">
        <v>2171504</v>
      </c>
      <c r="G2875" s="405">
        <v>0</v>
      </c>
      <c r="H2875" t="s">
        <v>1775</v>
      </c>
      <c r="I2875" s="403" t="s">
        <v>131</v>
      </c>
      <c r="K2875" s="370"/>
      <c r="N2875" s="370"/>
    </row>
    <row r="2876" spans="1:14" s="347" customFormat="1" x14ac:dyDescent="0.25">
      <c r="A2876" s="369">
        <f>+A2875</f>
        <v>44372</v>
      </c>
      <c r="B2876" s="347">
        <f>+MONTH(A2876)</f>
        <v>6</v>
      </c>
      <c r="C2876" s="347">
        <v>1219</v>
      </c>
      <c r="D2876" s="340" t="str">
        <f>VLOOKUP(C2876,Plan!A:B,2,0)</f>
        <v>Otros Valores Arzobispado (248)</v>
      </c>
      <c r="E2876" s="341">
        <f>+F2876-G2876</f>
        <v>-2171504</v>
      </c>
      <c r="F2876" s="405">
        <v>0</v>
      </c>
      <c r="G2876" s="405">
        <f>+F2875</f>
        <v>2171504</v>
      </c>
      <c r="H2876" t="str">
        <f>+H2875</f>
        <v>Arzobispado de Stgo Mayo / 248</v>
      </c>
      <c r="I2876" s="403" t="s">
        <v>131</v>
      </c>
      <c r="K2876" s="370"/>
      <c r="N2876" s="370"/>
    </row>
    <row r="2877" spans="1:14" s="347" customFormat="1" x14ac:dyDescent="0.25">
      <c r="A2877" s="369"/>
      <c r="E2877" s="396"/>
      <c r="F2877" s="396"/>
      <c r="G2877" s="396"/>
      <c r="K2877" s="370"/>
      <c r="N2877" s="370"/>
    </row>
    <row r="2878" spans="1:14" s="347" customFormat="1" x14ac:dyDescent="0.25">
      <c r="A2878" s="369">
        <v>44372</v>
      </c>
      <c r="B2878" s="347">
        <f>+MONTH(A2878)</f>
        <v>6</v>
      </c>
      <c r="C2878" s="347">
        <v>115</v>
      </c>
      <c r="D2878" s="340" t="str">
        <f>VLOOKUP(C2878,Plan!A:B,2,0)</f>
        <v>Disponible Cali B.Chile</v>
      </c>
      <c r="E2878" s="341">
        <f>+F2878-G2878</f>
        <v>1471625</v>
      </c>
      <c r="F2878" s="405">
        <v>1471625</v>
      </c>
      <c r="G2878" s="405">
        <v>0</v>
      </c>
      <c r="H2878" t="s">
        <v>1776</v>
      </c>
      <c r="I2878" s="403" t="s">
        <v>131</v>
      </c>
      <c r="K2878" s="370"/>
      <c r="N2878" s="370"/>
    </row>
    <row r="2879" spans="1:14" s="347" customFormat="1" x14ac:dyDescent="0.25">
      <c r="A2879" s="369">
        <f>+A2878</f>
        <v>44372</v>
      </c>
      <c r="B2879" s="347">
        <f>+MONTH(A2879)</f>
        <v>6</v>
      </c>
      <c r="C2879" s="347">
        <v>1220</v>
      </c>
      <c r="D2879" s="340" t="str">
        <f>VLOOKUP(C2879,Plan!A:B,2,0)</f>
        <v>Otros Valores Arzobispado (249)</v>
      </c>
      <c r="E2879" s="341">
        <f>+F2879-G2879</f>
        <v>-1471625</v>
      </c>
      <c r="F2879" s="405">
        <v>0</v>
      </c>
      <c r="G2879" s="405">
        <f>+F2878</f>
        <v>1471625</v>
      </c>
      <c r="H2879" t="str">
        <f>+H2878</f>
        <v>Arzobispado de Stgo Mayo / 249</v>
      </c>
      <c r="I2879" s="403" t="s">
        <v>131</v>
      </c>
      <c r="K2879" s="370"/>
      <c r="N2879" s="370"/>
    </row>
    <row r="2880" spans="1:14" s="347" customFormat="1" x14ac:dyDescent="0.25">
      <c r="A2880" s="369"/>
      <c r="E2880" s="396"/>
      <c r="F2880" s="396"/>
      <c r="G2880" s="396"/>
      <c r="K2880" s="370"/>
      <c r="N2880" s="370"/>
    </row>
    <row r="2881" spans="1:14" s="347" customFormat="1" x14ac:dyDescent="0.25">
      <c r="A2881" s="369">
        <v>44376</v>
      </c>
      <c r="B2881" s="347">
        <f>+MONTH(A2881)</f>
        <v>6</v>
      </c>
      <c r="C2881" s="347">
        <v>115</v>
      </c>
      <c r="D2881" s="340" t="str">
        <f>VLOOKUP(C2881,Plan!A:B,2,0)</f>
        <v>Disponible Cali B.Chile</v>
      </c>
      <c r="E2881" s="341">
        <f>+F2881-G2881</f>
        <v>10000</v>
      </c>
      <c r="F2881" s="405">
        <v>10000</v>
      </c>
      <c r="G2881" s="405">
        <v>0</v>
      </c>
      <c r="H2881" t="s">
        <v>1093</v>
      </c>
      <c r="I2881" s="403" t="s">
        <v>131</v>
      </c>
      <c r="K2881" s="370"/>
      <c r="N2881" s="370"/>
    </row>
    <row r="2882" spans="1:14" s="347" customFormat="1" x14ac:dyDescent="0.25">
      <c r="A2882" s="369">
        <f>+A2881</f>
        <v>44376</v>
      </c>
      <c r="B2882" s="347">
        <f>+MONTH(A2882)</f>
        <v>6</v>
      </c>
      <c r="C2882" s="347">
        <v>1222</v>
      </c>
      <c r="D2882" s="340" t="str">
        <f>VLOOKUP(C2882,Plan!A:B,2,0)</f>
        <v>Otros Valores -Oficina y Transferencias (249)</v>
      </c>
      <c r="E2882" s="341">
        <f>+F2882-G2882</f>
        <v>-10000</v>
      </c>
      <c r="F2882" s="405">
        <v>0</v>
      </c>
      <c r="G2882" s="405">
        <f>+F2881</f>
        <v>10000</v>
      </c>
      <c r="H2882" t="str">
        <f>+H2881</f>
        <v>José Miguel Pérez de Castro Z./249</v>
      </c>
      <c r="I2882" s="403" t="s">
        <v>131</v>
      </c>
      <c r="K2882" s="370"/>
      <c r="N2882" s="370"/>
    </row>
    <row r="2883" spans="1:14" s="347" customFormat="1" x14ac:dyDescent="0.25">
      <c r="A2883" s="369"/>
      <c r="E2883" s="396"/>
      <c r="F2883" s="396"/>
      <c r="G2883" s="396"/>
      <c r="K2883" s="370"/>
      <c r="N2883" s="370"/>
    </row>
    <row r="2884" spans="1:14" s="347" customFormat="1" x14ac:dyDescent="0.25">
      <c r="A2884" s="369">
        <v>44376</v>
      </c>
      <c r="B2884" s="347">
        <f>+MONTH(A2884)</f>
        <v>6</v>
      </c>
      <c r="C2884" s="347">
        <v>115</v>
      </c>
      <c r="D2884" s="340" t="str">
        <f>VLOOKUP(C2884,Plan!A:B,2,0)</f>
        <v>Disponible Cali B.Chile</v>
      </c>
      <c r="E2884" s="341">
        <f>+F2884-G2884</f>
        <v>400000</v>
      </c>
      <c r="F2884" s="405">
        <v>400000</v>
      </c>
      <c r="G2884" s="405">
        <v>0</v>
      </c>
      <c r="H2884" t="s">
        <v>1041</v>
      </c>
      <c r="I2884" s="403" t="s">
        <v>131</v>
      </c>
      <c r="K2884" s="370"/>
      <c r="N2884" s="370"/>
    </row>
    <row r="2885" spans="1:14" s="347" customFormat="1" x14ac:dyDescent="0.25">
      <c r="A2885" s="369">
        <f>+A2884</f>
        <v>44376</v>
      </c>
      <c r="B2885" s="347">
        <f>+MONTH(A2885)</f>
        <v>6</v>
      </c>
      <c r="C2885" s="347">
        <v>3210</v>
      </c>
      <c r="D2885" s="340" t="str">
        <f>VLOOKUP(C2885,Plan!A:B,2,0)</f>
        <v>Donacion Construccion</v>
      </c>
      <c r="E2885" s="341">
        <f>+F2885-G2885</f>
        <v>-400000</v>
      </c>
      <c r="F2885" s="405">
        <v>0</v>
      </c>
      <c r="G2885" s="405">
        <f>+F2884</f>
        <v>400000</v>
      </c>
      <c r="H2885" t="str">
        <f>+H2884</f>
        <v>Joaquín Izcue Elgart / Azul</v>
      </c>
      <c r="I2885" s="403" t="s">
        <v>131</v>
      </c>
      <c r="K2885" s="370"/>
      <c r="N2885" s="370"/>
    </row>
    <row r="2886" spans="1:14" s="347" customFormat="1" x14ac:dyDescent="0.25">
      <c r="A2886" s="369"/>
      <c r="E2886" s="396"/>
      <c r="F2886" s="396"/>
      <c r="G2886" s="396"/>
      <c r="K2886" s="370"/>
      <c r="N2886" s="370"/>
    </row>
    <row r="2887" spans="1:14" s="347" customFormat="1" x14ac:dyDescent="0.25">
      <c r="A2887" s="369">
        <v>44376</v>
      </c>
      <c r="B2887" s="347">
        <f>+MONTH(A2887)</f>
        <v>6</v>
      </c>
      <c r="C2887" s="347">
        <v>115</v>
      </c>
      <c r="D2887" s="340" t="str">
        <f>VLOOKUP(C2887,Plan!A:B,2,0)</f>
        <v>Disponible Cali B.Chile</v>
      </c>
      <c r="E2887" s="341">
        <f>+F2887-G2887</f>
        <v>2000</v>
      </c>
      <c r="F2887" s="405">
        <v>2000</v>
      </c>
      <c r="G2887" s="405">
        <v>0</v>
      </c>
      <c r="H2887" t="s">
        <v>1010</v>
      </c>
      <c r="I2887" s="403" t="s">
        <v>131</v>
      </c>
      <c r="K2887" s="370"/>
      <c r="N2887" s="370"/>
    </row>
    <row r="2888" spans="1:14" s="347" customFormat="1" x14ac:dyDescent="0.25">
      <c r="A2888" s="369">
        <f>+A2887</f>
        <v>44376</v>
      </c>
      <c r="B2888" s="347">
        <f>+MONTH(A2888)</f>
        <v>6</v>
      </c>
      <c r="C2888" s="347">
        <v>216</v>
      </c>
      <c r="D2888" s="340" t="str">
        <f>VLOOKUP(C2888,Plan!A:B,2,0)</f>
        <v>Cuenta por Pagar a Administración Colectas</v>
      </c>
      <c r="E2888" s="341">
        <f>+F2888-G2888</f>
        <v>-2000</v>
      </c>
      <c r="F2888" s="405">
        <v>0</v>
      </c>
      <c r="G2888" s="405">
        <f>+F2887</f>
        <v>2000</v>
      </c>
      <c r="H2888" t="str">
        <f>+H2887</f>
        <v>Colecta Raimundo Barros</v>
      </c>
      <c r="I2888" s="403" t="s">
        <v>131</v>
      </c>
      <c r="K2888" s="370"/>
      <c r="N2888" s="370"/>
    </row>
    <row r="2889" spans="1:14" s="347" customFormat="1" x14ac:dyDescent="0.25">
      <c r="A2889" s="369"/>
      <c r="E2889" s="396"/>
      <c r="F2889" s="396"/>
      <c r="G2889" s="396"/>
      <c r="K2889" s="370"/>
      <c r="N2889" s="370"/>
    </row>
    <row r="2890" spans="1:14" s="347" customFormat="1" x14ac:dyDescent="0.25">
      <c r="A2890" s="369">
        <v>44376</v>
      </c>
      <c r="B2890" s="347">
        <f>+MONTH(A2890)</f>
        <v>6</v>
      </c>
      <c r="C2890" s="347">
        <v>115</v>
      </c>
      <c r="D2890" s="340" t="str">
        <f>VLOOKUP(C2890,Plan!A:B,2,0)</f>
        <v>Disponible Cali B.Chile</v>
      </c>
      <c r="E2890" s="341">
        <f>+F2890-G2890</f>
        <v>20000</v>
      </c>
      <c r="F2890" s="405">
        <v>20000</v>
      </c>
      <c r="G2890" s="405">
        <v>0</v>
      </c>
      <c r="H2890" t="s">
        <v>963</v>
      </c>
      <c r="I2890" s="403" t="s">
        <v>131</v>
      </c>
      <c r="K2890" s="370"/>
      <c r="N2890" s="370"/>
    </row>
    <row r="2891" spans="1:14" s="347" customFormat="1" x14ac:dyDescent="0.25">
      <c r="A2891" s="369">
        <f>+A2890</f>
        <v>44376</v>
      </c>
      <c r="B2891" s="347">
        <f>+MONTH(A2891)</f>
        <v>6</v>
      </c>
      <c r="C2891" s="347">
        <v>1222</v>
      </c>
      <c r="D2891" s="340" t="str">
        <f>VLOOKUP(C2891,Plan!A:B,2,0)</f>
        <v>Otros Valores -Oficina y Transferencias (249)</v>
      </c>
      <c r="E2891" s="341">
        <f>+F2891-G2891</f>
        <v>-20000</v>
      </c>
      <c r="F2891" s="405">
        <v>0</v>
      </c>
      <c r="G2891" s="405">
        <f>+F2890</f>
        <v>20000</v>
      </c>
      <c r="H2891" t="str">
        <f>+H2890</f>
        <v>Benjamín Gutierrez Perlwitz / 249</v>
      </c>
      <c r="I2891" s="403" t="s">
        <v>131</v>
      </c>
      <c r="K2891" s="370"/>
      <c r="N2891" s="370"/>
    </row>
    <row r="2892" spans="1:14" s="347" customFormat="1" x14ac:dyDescent="0.25">
      <c r="A2892" s="369"/>
      <c r="E2892" s="396"/>
      <c r="F2892" s="396"/>
      <c r="G2892" s="396"/>
      <c r="K2892" s="370"/>
      <c r="N2892" s="370"/>
    </row>
    <row r="2893" spans="1:14" s="347" customFormat="1" x14ac:dyDescent="0.25">
      <c r="A2893" s="369">
        <v>44376</v>
      </c>
      <c r="B2893" s="347">
        <f>+MONTH(A2893)</f>
        <v>6</v>
      </c>
      <c r="C2893" s="347">
        <v>115</v>
      </c>
      <c r="D2893" s="340" t="str">
        <f>VLOOKUP(C2893,Plan!A:B,2,0)</f>
        <v>Disponible Cali B.Chile</v>
      </c>
      <c r="E2893" s="341">
        <f>+F2893-G2893</f>
        <v>15000</v>
      </c>
      <c r="F2893" s="405">
        <v>15000</v>
      </c>
      <c r="G2893" s="405">
        <v>0</v>
      </c>
      <c r="H2893" t="s">
        <v>968</v>
      </c>
      <c r="I2893" s="403" t="s">
        <v>131</v>
      </c>
      <c r="K2893" s="370"/>
      <c r="N2893" s="370"/>
    </row>
    <row r="2894" spans="1:14" s="347" customFormat="1" x14ac:dyDescent="0.25">
      <c r="A2894" s="369">
        <f>+A2893</f>
        <v>44376</v>
      </c>
      <c r="B2894" s="347">
        <f>+MONTH(A2894)</f>
        <v>6</v>
      </c>
      <c r="C2894" s="347">
        <v>3210</v>
      </c>
      <c r="D2894" s="340" t="str">
        <f>VLOOKUP(C2894,Plan!A:B,2,0)</f>
        <v>Donacion Construccion</v>
      </c>
      <c r="E2894" s="341">
        <f>+F2894-G2894</f>
        <v>-15000</v>
      </c>
      <c r="F2894" s="405">
        <v>0</v>
      </c>
      <c r="G2894" s="405">
        <f>+F2893</f>
        <v>15000</v>
      </c>
      <c r="H2894" t="str">
        <f>+H2893</f>
        <v xml:space="preserve">María del Pilar Herrera/ azul </v>
      </c>
      <c r="I2894" s="403" t="s">
        <v>131</v>
      </c>
      <c r="K2894" s="370"/>
      <c r="N2894" s="370"/>
    </row>
    <row r="2895" spans="1:14" s="347" customFormat="1" x14ac:dyDescent="0.25">
      <c r="A2895" s="369"/>
      <c r="E2895" s="396"/>
      <c r="F2895" s="396"/>
      <c r="G2895" s="396"/>
      <c r="K2895" s="370"/>
      <c r="N2895" s="370"/>
    </row>
    <row r="2896" spans="1:14" s="347" customFormat="1" x14ac:dyDescent="0.25">
      <c r="A2896" s="369">
        <v>44376</v>
      </c>
      <c r="B2896" s="347">
        <f>+MONTH(A2896)</f>
        <v>6</v>
      </c>
      <c r="C2896" s="347">
        <v>115</v>
      </c>
      <c r="D2896" s="340" t="str">
        <f>VLOOKUP(C2896,Plan!A:B,2,0)</f>
        <v>Disponible Cali B.Chile</v>
      </c>
      <c r="E2896" s="341">
        <f>+F2896-G2896</f>
        <v>20000</v>
      </c>
      <c r="F2896" s="405">
        <v>20000</v>
      </c>
      <c r="G2896" s="405">
        <v>0</v>
      </c>
      <c r="H2896" t="s">
        <v>1046</v>
      </c>
      <c r="I2896" s="403" t="s">
        <v>131</v>
      </c>
      <c r="K2896" s="370"/>
      <c r="N2896" s="370"/>
    </row>
    <row r="2897" spans="1:14" s="347" customFormat="1" x14ac:dyDescent="0.25">
      <c r="A2897" s="369">
        <f>+A2896</f>
        <v>44376</v>
      </c>
      <c r="B2897" s="347">
        <f>+MONTH(A2897)</f>
        <v>6</v>
      </c>
      <c r="C2897" s="347">
        <v>216</v>
      </c>
      <c r="D2897" s="340" t="str">
        <f>VLOOKUP(C2897,Plan!A:B,2,0)</f>
        <v>Cuenta por Pagar a Administración Colectas</v>
      </c>
      <c r="E2897" s="341">
        <f>+F2897-G2897</f>
        <v>-20000</v>
      </c>
      <c r="F2897" s="405">
        <v>0</v>
      </c>
      <c r="G2897" s="405">
        <f>+F2896</f>
        <v>20000</v>
      </c>
      <c r="H2897" t="str">
        <f>+H2896</f>
        <v>Colecta Jorge Claude</v>
      </c>
      <c r="I2897" s="403" t="s">
        <v>131</v>
      </c>
      <c r="K2897" s="370"/>
      <c r="N2897" s="370"/>
    </row>
    <row r="2898" spans="1:14" s="347" customFormat="1" x14ac:dyDescent="0.25">
      <c r="A2898" s="369"/>
      <c r="E2898" s="396"/>
      <c r="F2898" s="396"/>
      <c r="G2898" s="396"/>
      <c r="K2898" s="370"/>
      <c r="N2898" s="370"/>
    </row>
    <row r="2899" spans="1:14" s="347" customFormat="1" x14ac:dyDescent="0.25">
      <c r="A2899" s="369">
        <v>44376</v>
      </c>
      <c r="B2899" s="347">
        <f>+MONTH(A2899)</f>
        <v>6</v>
      </c>
      <c r="C2899" s="347">
        <v>115</v>
      </c>
      <c r="D2899" s="340" t="str">
        <f>VLOOKUP(C2899,Plan!A:B,2,0)</f>
        <v>Disponible Cali B.Chile</v>
      </c>
      <c r="E2899" s="341">
        <f>+F2899-G2899</f>
        <v>10000</v>
      </c>
      <c r="F2899" s="405">
        <v>10000</v>
      </c>
      <c r="G2899" s="405">
        <v>0</v>
      </c>
      <c r="H2899" t="s">
        <v>1045</v>
      </c>
      <c r="I2899" s="403" t="s">
        <v>131</v>
      </c>
      <c r="K2899" s="370"/>
      <c r="N2899" s="370"/>
    </row>
    <row r="2900" spans="1:14" s="347" customFormat="1" x14ac:dyDescent="0.25">
      <c r="A2900" s="369">
        <f>+A2899</f>
        <v>44376</v>
      </c>
      <c r="B2900" s="347">
        <f>+MONTH(A2900)</f>
        <v>6</v>
      </c>
      <c r="C2900" s="347">
        <v>1222</v>
      </c>
      <c r="D2900" s="340" t="str">
        <f>VLOOKUP(C2900,Plan!A:B,2,0)</f>
        <v>Otros Valores -Oficina y Transferencias (249)</v>
      </c>
      <c r="E2900" s="341">
        <f>+F2900-G2900</f>
        <v>-10000</v>
      </c>
      <c r="F2900" s="405">
        <v>0</v>
      </c>
      <c r="G2900" s="405">
        <f>+F2899</f>
        <v>10000</v>
      </c>
      <c r="H2900" t="str">
        <f>+H2899</f>
        <v>Isabel Margarita Guarda Larrañaga/249</v>
      </c>
      <c r="I2900" s="403" t="s">
        <v>131</v>
      </c>
      <c r="K2900" s="370"/>
      <c r="N2900" s="370"/>
    </row>
    <row r="2901" spans="1:14" s="347" customFormat="1" x14ac:dyDescent="0.25">
      <c r="A2901" s="369"/>
      <c r="E2901" s="396"/>
      <c r="F2901" s="396"/>
      <c r="G2901" s="396"/>
      <c r="K2901" s="370"/>
      <c r="N2901" s="370"/>
    </row>
    <row r="2902" spans="1:14" s="347" customFormat="1" x14ac:dyDescent="0.25">
      <c r="A2902" s="369">
        <v>44376</v>
      </c>
      <c r="B2902" s="347">
        <f>+MONTH(A2902)</f>
        <v>6</v>
      </c>
      <c r="C2902" s="347">
        <v>115</v>
      </c>
      <c r="D2902" s="340" t="str">
        <f>VLOOKUP(C2902,Plan!A:B,2,0)</f>
        <v>Disponible Cali B.Chile</v>
      </c>
      <c r="E2902" s="341">
        <f>+F2902-G2902</f>
        <v>125000</v>
      </c>
      <c r="F2902" s="405">
        <v>125000</v>
      </c>
      <c r="G2902" s="405">
        <v>0</v>
      </c>
      <c r="H2902" t="s">
        <v>967</v>
      </c>
      <c r="I2902" s="403" t="s">
        <v>131</v>
      </c>
      <c r="K2902" s="370"/>
      <c r="N2902" s="370"/>
    </row>
    <row r="2903" spans="1:14" s="347" customFormat="1" x14ac:dyDescent="0.25">
      <c r="A2903" s="369">
        <f>+A2902</f>
        <v>44376</v>
      </c>
      <c r="B2903" s="347">
        <f>+MONTH(A2903)</f>
        <v>6</v>
      </c>
      <c r="C2903" s="347">
        <v>3210</v>
      </c>
      <c r="D2903" s="340" t="str">
        <f>VLOOKUP(C2903,Plan!A:B,2,0)</f>
        <v>Donacion Construccion</v>
      </c>
      <c r="E2903" s="341">
        <f>+F2903-G2903</f>
        <v>-125000</v>
      </c>
      <c r="F2903" s="405">
        <v>0</v>
      </c>
      <c r="G2903" s="405">
        <f>+F2902</f>
        <v>125000</v>
      </c>
      <c r="H2903" t="str">
        <f>+H2902</f>
        <v>Henry Comber Sigall / Azul</v>
      </c>
      <c r="I2903" s="403" t="s">
        <v>131</v>
      </c>
      <c r="K2903" s="370"/>
      <c r="N2903" s="370"/>
    </row>
    <row r="2904" spans="1:14" s="347" customFormat="1" x14ac:dyDescent="0.25">
      <c r="A2904" s="369"/>
      <c r="E2904" s="396"/>
      <c r="F2904" s="396"/>
      <c r="G2904" s="396"/>
      <c r="K2904" s="370"/>
      <c r="N2904" s="370"/>
    </row>
    <row r="2905" spans="1:14" s="347" customFormat="1" x14ac:dyDescent="0.25">
      <c r="A2905" s="369">
        <v>44376</v>
      </c>
      <c r="B2905" s="347">
        <f>+MONTH(A2905)</f>
        <v>6</v>
      </c>
      <c r="C2905" s="347">
        <v>115</v>
      </c>
      <c r="D2905" s="340" t="str">
        <f>VLOOKUP(C2905,Plan!A:B,2,0)</f>
        <v>Disponible Cali B.Chile</v>
      </c>
      <c r="E2905" s="341">
        <f>+F2905-G2905</f>
        <v>100000</v>
      </c>
      <c r="F2905" s="405">
        <v>100000</v>
      </c>
      <c r="G2905" s="405">
        <v>0</v>
      </c>
      <c r="H2905" t="s">
        <v>1098</v>
      </c>
      <c r="I2905" s="403" t="s">
        <v>131</v>
      </c>
      <c r="K2905" s="370"/>
      <c r="N2905" s="370"/>
    </row>
    <row r="2906" spans="1:14" s="347" customFormat="1" x14ac:dyDescent="0.25">
      <c r="A2906" s="369">
        <f>+A2905</f>
        <v>44376</v>
      </c>
      <c r="B2906" s="347">
        <f>+MONTH(A2906)</f>
        <v>6</v>
      </c>
      <c r="C2906" s="347">
        <v>3210</v>
      </c>
      <c r="D2906" s="340" t="str">
        <f>VLOOKUP(C2906,Plan!A:B,2,0)</f>
        <v>Donacion Construccion</v>
      </c>
      <c r="E2906" s="341">
        <f>+F2906-G2906</f>
        <v>-100000</v>
      </c>
      <c r="F2906" s="405">
        <v>0</v>
      </c>
      <c r="G2906" s="405">
        <f>+F2905</f>
        <v>100000</v>
      </c>
      <c r="H2906" t="str">
        <f>+H2905</f>
        <v>Herman Chadwick Larraín / Azul</v>
      </c>
      <c r="I2906" s="403" t="s">
        <v>131</v>
      </c>
      <c r="K2906" s="370"/>
      <c r="N2906" s="370"/>
    </row>
    <row r="2907" spans="1:14" s="347" customFormat="1" x14ac:dyDescent="0.25">
      <c r="A2907" s="369"/>
      <c r="E2907" s="396"/>
      <c r="F2907" s="396"/>
      <c r="G2907" s="396"/>
      <c r="K2907" s="370"/>
      <c r="N2907" s="370"/>
    </row>
    <row r="2908" spans="1:14" s="347" customFormat="1" x14ac:dyDescent="0.25">
      <c r="A2908" s="369">
        <v>44376</v>
      </c>
      <c r="B2908" s="347">
        <f>+MONTH(A2908)</f>
        <v>6</v>
      </c>
      <c r="C2908" s="347">
        <v>115</v>
      </c>
      <c r="D2908" s="340" t="str">
        <f>VLOOKUP(C2908,Plan!A:B,2,0)</f>
        <v>Disponible Cali B.Chile</v>
      </c>
      <c r="E2908" s="341">
        <f>+F2908-G2908</f>
        <v>20000</v>
      </c>
      <c r="F2908" s="405">
        <v>20000</v>
      </c>
      <c r="G2908" s="405">
        <v>0</v>
      </c>
      <c r="H2908" t="s">
        <v>1777</v>
      </c>
      <c r="I2908" s="403" t="s">
        <v>131</v>
      </c>
      <c r="K2908" s="370"/>
      <c r="N2908" s="370"/>
    </row>
    <row r="2909" spans="1:14" s="347" customFormat="1" x14ac:dyDescent="0.25">
      <c r="A2909" s="369">
        <f>+A2908</f>
        <v>44376</v>
      </c>
      <c r="B2909" s="347">
        <f>+MONTH(A2909)</f>
        <v>6</v>
      </c>
      <c r="C2909" s="347">
        <v>217</v>
      </c>
      <c r="D2909" s="340" t="str">
        <f>VLOOKUP(C2909,Plan!A:B,2,0)</f>
        <v>Cuenta por Pagar a Administración Canastas</v>
      </c>
      <c r="E2909" s="341">
        <f>+F2909-G2909</f>
        <v>-20000</v>
      </c>
      <c r="F2909" s="405">
        <v>0</v>
      </c>
      <c r="G2909" s="405">
        <f>+F2908</f>
        <v>20000</v>
      </c>
      <c r="H2909" t="str">
        <f>+H2908</f>
        <v>Canasta Alivia Oyarzun Saldias</v>
      </c>
      <c r="I2909" s="403" t="s">
        <v>131</v>
      </c>
      <c r="K2909" s="370"/>
      <c r="N2909" s="370"/>
    </row>
    <row r="2910" spans="1:14" s="347" customFormat="1" x14ac:dyDescent="0.25">
      <c r="A2910" s="369"/>
      <c r="E2910" s="396"/>
      <c r="F2910" s="396"/>
      <c r="G2910" s="396"/>
      <c r="K2910" s="370"/>
      <c r="N2910" s="370"/>
    </row>
    <row r="2911" spans="1:14" s="347" customFormat="1" x14ac:dyDescent="0.25">
      <c r="A2911" s="369">
        <v>44376</v>
      </c>
      <c r="B2911" s="347">
        <f>+MONTH(A2911)</f>
        <v>6</v>
      </c>
      <c r="C2911" s="347">
        <v>115</v>
      </c>
      <c r="D2911" s="340" t="str">
        <f>VLOOKUP(C2911,Plan!A:B,2,0)</f>
        <v>Disponible Cali B.Chile</v>
      </c>
      <c r="E2911" s="341">
        <f>+F2911-G2911</f>
        <v>73000</v>
      </c>
      <c r="F2911" s="405">
        <v>73000</v>
      </c>
      <c r="G2911" s="405">
        <v>0</v>
      </c>
      <c r="H2911" t="s">
        <v>1050</v>
      </c>
      <c r="I2911" s="403" t="s">
        <v>131</v>
      </c>
      <c r="N2911" s="370"/>
    </row>
    <row r="2912" spans="1:14" s="347" customFormat="1" x14ac:dyDescent="0.25">
      <c r="A2912" s="369">
        <f>+A2911</f>
        <v>44376</v>
      </c>
      <c r="B2912" s="347">
        <f>+MONTH(A2912)</f>
        <v>6</v>
      </c>
      <c r="C2912" s="347">
        <v>3210</v>
      </c>
      <c r="D2912" s="340" t="str">
        <f>VLOOKUP(C2912,Plan!A:B,2,0)</f>
        <v>Donacion Construccion</v>
      </c>
      <c r="E2912" s="341">
        <f>+F2912-G2912</f>
        <v>-73000</v>
      </c>
      <c r="F2912" s="405">
        <v>0</v>
      </c>
      <c r="G2912" s="405">
        <f>+F2911</f>
        <v>73000</v>
      </c>
      <c r="H2912" t="str">
        <f>+H2911</f>
        <v>Matías Silva Olmos / Azul</v>
      </c>
      <c r="I2912" s="403" t="s">
        <v>131</v>
      </c>
      <c r="N2912" s="370"/>
    </row>
    <row r="2913" spans="1:14" s="347" customFormat="1" x14ac:dyDescent="0.25">
      <c r="A2913" s="369"/>
      <c r="E2913" s="396"/>
      <c r="F2913" s="396"/>
      <c r="G2913" s="396"/>
      <c r="K2913" s="370"/>
      <c r="N2913" s="370"/>
    </row>
    <row r="2914" spans="1:14" s="347" customFormat="1" x14ac:dyDescent="0.25">
      <c r="A2914" s="369">
        <v>44376</v>
      </c>
      <c r="B2914" s="347">
        <f>+MONTH(A2914)</f>
        <v>6</v>
      </c>
      <c r="C2914" s="347">
        <v>115</v>
      </c>
      <c r="D2914" s="340" t="str">
        <f>VLOOKUP(C2914,Plan!A:B,2,0)</f>
        <v>Disponible Cali B.Chile</v>
      </c>
      <c r="E2914" s="341">
        <f>+F2914-G2914</f>
        <v>40000</v>
      </c>
      <c r="F2914" s="405">
        <v>40000</v>
      </c>
      <c r="G2914" s="405">
        <v>0</v>
      </c>
      <c r="H2914" t="s">
        <v>1051</v>
      </c>
      <c r="I2914" s="403" t="s">
        <v>131</v>
      </c>
      <c r="N2914" s="370"/>
    </row>
    <row r="2915" spans="1:14" s="347" customFormat="1" x14ac:dyDescent="0.25">
      <c r="A2915" s="369">
        <f>+A2914</f>
        <v>44376</v>
      </c>
      <c r="B2915" s="347">
        <f>+MONTH(A2915)</f>
        <v>6</v>
      </c>
      <c r="C2915" s="347">
        <v>3210</v>
      </c>
      <c r="D2915" s="340" t="str">
        <f>VLOOKUP(C2915,Plan!A:B,2,0)</f>
        <v>Donacion Construccion</v>
      </c>
      <c r="E2915" s="341">
        <f>+F2915-G2915</f>
        <v>-40000</v>
      </c>
      <c r="F2915" s="405">
        <v>0</v>
      </c>
      <c r="G2915" s="405">
        <f>+F2914</f>
        <v>40000</v>
      </c>
      <c r="H2915" t="str">
        <f>+H2914</f>
        <v>Pedro Vicuña Illanes / Azul</v>
      </c>
      <c r="I2915" s="403" t="s">
        <v>131</v>
      </c>
      <c r="N2915" s="370"/>
    </row>
    <row r="2916" spans="1:14" s="347" customFormat="1" x14ac:dyDescent="0.25">
      <c r="A2916" s="369"/>
      <c r="E2916" s="396"/>
      <c r="F2916" s="396"/>
      <c r="G2916" s="396"/>
      <c r="N2916" s="370"/>
    </row>
    <row r="2917" spans="1:14" s="347" customFormat="1" x14ac:dyDescent="0.25">
      <c r="A2917" s="369">
        <v>44376</v>
      </c>
      <c r="B2917" s="347">
        <f>+MONTH(A2917)</f>
        <v>6</v>
      </c>
      <c r="C2917" s="347">
        <v>115</v>
      </c>
      <c r="D2917" s="340" t="str">
        <f>VLOOKUP(C2917,Plan!A:B,2,0)</f>
        <v>Disponible Cali B.Chile</v>
      </c>
      <c r="E2917" s="341">
        <f>+F2917-G2917</f>
        <v>60000</v>
      </c>
      <c r="F2917" s="405">
        <v>60000</v>
      </c>
      <c r="G2917" s="405">
        <v>0</v>
      </c>
      <c r="H2917" t="s">
        <v>1047</v>
      </c>
      <c r="I2917" s="403" t="s">
        <v>131</v>
      </c>
      <c r="N2917" s="370"/>
    </row>
    <row r="2918" spans="1:14" s="347" customFormat="1" x14ac:dyDescent="0.25">
      <c r="A2918" s="369">
        <f>+A2917</f>
        <v>44376</v>
      </c>
      <c r="B2918" s="347">
        <f>+MONTH(A2918)</f>
        <v>6</v>
      </c>
      <c r="C2918" s="347">
        <v>1222</v>
      </c>
      <c r="D2918" s="340" t="str">
        <f>VLOOKUP(C2918,Plan!A:B,2,0)</f>
        <v>Otros Valores -Oficina y Transferencias (249)</v>
      </c>
      <c r="E2918" s="341">
        <f>+F2918-G2918</f>
        <v>-60000</v>
      </c>
      <c r="F2918" s="405">
        <v>0</v>
      </c>
      <c r="G2918" s="405">
        <f>+F2917</f>
        <v>60000</v>
      </c>
      <c r="H2918" t="str">
        <f>+H2917</f>
        <v>Carlos Lecaros Price / 249</v>
      </c>
      <c r="I2918" s="403" t="s">
        <v>131</v>
      </c>
      <c r="N2918" s="370"/>
    </row>
    <row r="2919" spans="1:14" s="347" customFormat="1" x14ac:dyDescent="0.25">
      <c r="A2919" s="369"/>
      <c r="E2919" s="396"/>
      <c r="F2919" s="396"/>
      <c r="G2919" s="396"/>
      <c r="J2919" s="403" t="s">
        <v>588</v>
      </c>
      <c r="K2919" s="208" t="str">
        <f>IF(J2919&lt;&gt;"",VLOOKUP(J2919,'Libro De Compras 2021'!D:E,2,0),"")</f>
        <v>PROYECTOS Y CONSTRUCCIONES TASCO LIMITADA</v>
      </c>
      <c r="L2919">
        <v>2957</v>
      </c>
      <c r="N2919" s="370"/>
    </row>
    <row r="2920" spans="1:14" s="347" customFormat="1" x14ac:dyDescent="0.25">
      <c r="A2920" s="369">
        <v>44376</v>
      </c>
      <c r="B2920" s="347">
        <f>+MONTH(A2920)</f>
        <v>6</v>
      </c>
      <c r="C2920" s="347">
        <v>115</v>
      </c>
      <c r="D2920" s="340" t="str">
        <f>VLOOKUP(C2920,Plan!A:B,2,0)</f>
        <v>Disponible Cali B.Chile</v>
      </c>
      <c r="E2920" s="341">
        <f>+F2920-G2920</f>
        <v>9841290</v>
      </c>
      <c r="F2920" s="405">
        <v>9841290</v>
      </c>
      <c r="G2920" s="405">
        <v>0</v>
      </c>
      <c r="H2920" s="155" t="s">
        <v>1778</v>
      </c>
      <c r="I2920" s="403" t="s">
        <v>131</v>
      </c>
      <c r="J2920" s="403" t="s">
        <v>588</v>
      </c>
      <c r="K2920" s="208" t="str">
        <f>IF(J2920&lt;&gt;"",VLOOKUP(J2920,'Libro De Compras 2021'!D:E,2,0),"")</f>
        <v>PROYECTOS Y CONSTRUCCIONES TASCO LIMITADA</v>
      </c>
      <c r="L2920" s="403">
        <f>+L2919</f>
        <v>2957</v>
      </c>
      <c r="N2920" s="370"/>
    </row>
    <row r="2921" spans="1:14" s="347" customFormat="1" x14ac:dyDescent="0.25">
      <c r="A2921" s="369">
        <f>+A2920</f>
        <v>44376</v>
      </c>
      <c r="B2921" s="347">
        <f>+MONTH(A2921)</f>
        <v>6</v>
      </c>
      <c r="C2921" s="347">
        <v>1218</v>
      </c>
      <c r="D2921" s="340" t="str">
        <f>VLOOKUP(C2921,Plan!A:B,2,0)</f>
        <v>Otros Valores Tarjeta de Credito</v>
      </c>
      <c r="E2921" s="341">
        <f>+F2921-G2921</f>
        <v>-9841290</v>
      </c>
      <c r="F2921" s="405">
        <v>0</v>
      </c>
      <c r="G2921" s="405">
        <f>+F2920</f>
        <v>9841290</v>
      </c>
      <c r="H2921" t="str">
        <f>+H2920</f>
        <v>248 y 249 junio 2021</v>
      </c>
      <c r="I2921" s="403" t="s">
        <v>131</v>
      </c>
      <c r="J2921" s="403" t="s">
        <v>588</v>
      </c>
      <c r="K2921" s="208" t="str">
        <f>IF(J2921&lt;&gt;"",VLOOKUP(J2921,'Libro De Compras 2021'!D:E,2,0),"")</f>
        <v>PROYECTOS Y CONSTRUCCIONES TASCO LIMITADA</v>
      </c>
      <c r="L2921" s="403">
        <f>+L2920</f>
        <v>2957</v>
      </c>
      <c r="N2921" s="370"/>
    </row>
    <row r="2922" spans="1:14" s="347" customFormat="1" x14ac:dyDescent="0.25">
      <c r="A2922" s="369"/>
      <c r="E2922" s="396"/>
      <c r="F2922" s="396"/>
      <c r="G2922" s="396"/>
      <c r="J2922" s="403" t="s">
        <v>588</v>
      </c>
      <c r="K2922" s="208" t="str">
        <f>IF(J2922&lt;&gt;"",VLOOKUP(J2922,'Libro De Compras 2021'!D:E,2,0),"")</f>
        <v>PROYECTOS Y CONSTRUCCIONES TASCO LIMITADA</v>
      </c>
      <c r="L2922" s="403">
        <f>+L2921</f>
        <v>2957</v>
      </c>
      <c r="N2922" s="370"/>
    </row>
    <row r="2923" spans="1:14" s="347" customFormat="1" x14ac:dyDescent="0.25">
      <c r="A2923" s="369">
        <v>44376</v>
      </c>
      <c r="B2923" s="347">
        <f>+MONTH(A2923)</f>
        <v>6</v>
      </c>
      <c r="C2923" s="347">
        <v>115</v>
      </c>
      <c r="D2923" s="340" t="str">
        <f>VLOOKUP(C2923,Plan!A:B,2,0)</f>
        <v>Disponible Cali B.Chile</v>
      </c>
      <c r="E2923" s="341">
        <f>+F2923-G2923</f>
        <v>30000</v>
      </c>
      <c r="F2923" s="405">
        <v>30000</v>
      </c>
      <c r="G2923" s="405">
        <v>0</v>
      </c>
      <c r="H2923" t="s">
        <v>1082</v>
      </c>
      <c r="I2923" s="403" t="s">
        <v>131</v>
      </c>
      <c r="K2923" s="370"/>
      <c r="N2923" s="370"/>
    </row>
    <row r="2924" spans="1:14" s="347" customFormat="1" x14ac:dyDescent="0.25">
      <c r="A2924" s="369">
        <f>+A2923</f>
        <v>44376</v>
      </c>
      <c r="B2924" s="347">
        <f>+MONTH(A2924)</f>
        <v>6</v>
      </c>
      <c r="C2924" s="347">
        <v>1222</v>
      </c>
      <c r="D2924" s="340" t="str">
        <f>VLOOKUP(C2924,Plan!A:B,2,0)</f>
        <v>Otros Valores -Oficina y Transferencias (249)</v>
      </c>
      <c r="E2924" s="341">
        <f>+F2924-G2924</f>
        <v>-30000</v>
      </c>
      <c r="F2924" s="405">
        <v>0</v>
      </c>
      <c r="G2924" s="405">
        <f>+F2923</f>
        <v>30000</v>
      </c>
      <c r="H2924" t="str">
        <f>+H2923</f>
        <v>Carmen Gloria Ovalle de la Cuadra/ 249</v>
      </c>
      <c r="I2924" s="403" t="s">
        <v>131</v>
      </c>
      <c r="J2924" t="s">
        <v>588</v>
      </c>
      <c r="K2924" t="s">
        <v>589</v>
      </c>
      <c r="L2924">
        <v>2957</v>
      </c>
      <c r="N2924" s="370"/>
    </row>
    <row r="2925" spans="1:14" s="347" customFormat="1" x14ac:dyDescent="0.25">
      <c r="A2925" s="369"/>
      <c r="E2925" s="396"/>
      <c r="F2925" s="396"/>
      <c r="G2925" s="396"/>
      <c r="J2925" s="347" t="str">
        <f>+J2924</f>
        <v>80965500-8</v>
      </c>
      <c r="K2925" s="370" t="str">
        <f>+K2924</f>
        <v>PROYECTOS Y CONSTRUCCIONES TASCO LIMITADA</v>
      </c>
      <c r="L2925" s="347">
        <f>+L2924</f>
        <v>2957</v>
      </c>
      <c r="N2925" s="370"/>
    </row>
    <row r="2926" spans="1:14" s="347" customFormat="1" x14ac:dyDescent="0.25">
      <c r="A2926" s="369">
        <v>44376</v>
      </c>
      <c r="B2926" s="347">
        <f>+MONTH(A2926)</f>
        <v>6</v>
      </c>
      <c r="C2926" s="347">
        <v>115</v>
      </c>
      <c r="D2926" s="340" t="str">
        <f>VLOOKUP(C2926,Plan!A:B,2,0)</f>
        <v>Disponible Cali B.Chile</v>
      </c>
      <c r="E2926" s="341">
        <f>+F2926-G2926</f>
        <v>25000</v>
      </c>
      <c r="F2926" s="405">
        <v>25000</v>
      </c>
      <c r="G2926" s="405">
        <v>0</v>
      </c>
      <c r="H2926" t="s">
        <v>969</v>
      </c>
      <c r="I2926" s="403" t="s">
        <v>131</v>
      </c>
      <c r="K2926" s="370"/>
      <c r="N2926" s="370"/>
    </row>
    <row r="2927" spans="1:14" s="347" customFormat="1" x14ac:dyDescent="0.25">
      <c r="A2927" s="369">
        <f>+A2926</f>
        <v>44376</v>
      </c>
      <c r="B2927" s="347">
        <f>+MONTH(A2927)</f>
        <v>6</v>
      </c>
      <c r="C2927" s="347">
        <v>1217</v>
      </c>
      <c r="D2927" s="340" t="str">
        <f>VLOOKUP(C2927,Plan!A:B,2,0)</f>
        <v>Otros Valores -Oficina y Transferencias (248)</v>
      </c>
      <c r="E2927" s="341">
        <f>+F2927-G2927</f>
        <v>-25000</v>
      </c>
      <c r="F2927" s="405">
        <v>0</v>
      </c>
      <c r="G2927" s="405">
        <f>+F2926</f>
        <v>25000</v>
      </c>
      <c r="H2927" t="str">
        <f>+H2926</f>
        <v>José L. Barros / 248</v>
      </c>
      <c r="I2927" s="403" t="s">
        <v>131</v>
      </c>
      <c r="J2927" t="s">
        <v>605</v>
      </c>
      <c r="K2927" t="s">
        <v>606</v>
      </c>
      <c r="L2927">
        <v>6165</v>
      </c>
      <c r="M2927" s="343" t="s">
        <v>614</v>
      </c>
      <c r="N2927" t="str">
        <f>IF(M2927&lt;&gt;"",VLOOKUP(M2927,[1]Plan!F$1:G$65536,2,0),"")</f>
        <v>ITO</v>
      </c>
    </row>
    <row r="2928" spans="1:14" s="347" customFormat="1" x14ac:dyDescent="0.25">
      <c r="A2928" s="369"/>
      <c r="E2928" s="396"/>
      <c r="F2928" s="396"/>
      <c r="G2928" s="396"/>
      <c r="J2928" t="s">
        <v>605</v>
      </c>
      <c r="K2928" t="s">
        <v>606</v>
      </c>
      <c r="L2928">
        <v>6165</v>
      </c>
      <c r="N2928" s="370"/>
    </row>
    <row r="2929" spans="1:14" s="347" customFormat="1" x14ac:dyDescent="0.25">
      <c r="A2929" s="369">
        <v>44377</v>
      </c>
      <c r="B2929" s="347">
        <f>+MONTH(A2929)</f>
        <v>6</v>
      </c>
      <c r="C2929" s="347">
        <v>115</v>
      </c>
      <c r="D2929" s="340" t="str">
        <f>VLOOKUP(C2929,Plan!A:B,2,0)</f>
        <v>Disponible Cali B.Chile</v>
      </c>
      <c r="E2929" s="341">
        <f>+F2929-G2929</f>
        <v>25000</v>
      </c>
      <c r="F2929" s="405">
        <v>25000</v>
      </c>
      <c r="G2929" s="405">
        <v>0</v>
      </c>
      <c r="H2929" t="s">
        <v>1413</v>
      </c>
      <c r="I2929" s="403" t="s">
        <v>131</v>
      </c>
      <c r="K2929" s="370"/>
      <c r="N2929" s="370"/>
    </row>
    <row r="2930" spans="1:14" s="347" customFormat="1" x14ac:dyDescent="0.25">
      <c r="A2930" s="369">
        <f>+A2929</f>
        <v>44377</v>
      </c>
      <c r="B2930" s="347">
        <f>+MONTH(A2930)</f>
        <v>6</v>
      </c>
      <c r="C2930" s="347">
        <v>1217</v>
      </c>
      <c r="D2930" s="340" t="str">
        <f>VLOOKUP(C2930,Plan!A:B,2,0)</f>
        <v>Otros Valores -Oficina y Transferencias (248)</v>
      </c>
      <c r="E2930" s="341">
        <f>+F2930-G2930</f>
        <v>-25000</v>
      </c>
      <c r="F2930" s="405">
        <v>0</v>
      </c>
      <c r="G2930" s="405">
        <f>+F2929</f>
        <v>25000</v>
      </c>
      <c r="H2930" t="str">
        <f>+H2929</f>
        <v>María Macarena Besa Prieto/248</v>
      </c>
      <c r="I2930" s="403" t="s">
        <v>131</v>
      </c>
      <c r="J2930" t="s">
        <v>605</v>
      </c>
      <c r="K2930" t="s">
        <v>606</v>
      </c>
      <c r="L2930">
        <v>6165</v>
      </c>
      <c r="N2930" s="370"/>
    </row>
    <row r="2931" spans="1:14" s="347" customFormat="1" x14ac:dyDescent="0.25">
      <c r="A2931" s="369"/>
      <c r="E2931" s="396"/>
      <c r="F2931" s="396"/>
      <c r="G2931" s="396"/>
      <c r="K2931" s="370"/>
      <c r="N2931" s="370"/>
    </row>
    <row r="2932" spans="1:14" s="347" customFormat="1" x14ac:dyDescent="0.25">
      <c r="A2932" s="369">
        <v>44377</v>
      </c>
      <c r="B2932" s="347">
        <f>+MONTH(A2932)</f>
        <v>6</v>
      </c>
      <c r="C2932" s="347">
        <v>115</v>
      </c>
      <c r="D2932" s="340" t="str">
        <f>VLOOKUP(C2932,Plan!A:B,2,0)</f>
        <v>Disponible Cali B.Chile</v>
      </c>
      <c r="E2932" s="341">
        <f>+F2932-G2932</f>
        <v>50000</v>
      </c>
      <c r="F2932" s="405">
        <v>50000</v>
      </c>
      <c r="G2932" s="405">
        <v>0</v>
      </c>
      <c r="H2932" t="s">
        <v>966</v>
      </c>
      <c r="I2932" s="403" t="s">
        <v>131</v>
      </c>
      <c r="K2932" s="370"/>
      <c r="N2932" s="370"/>
    </row>
    <row r="2933" spans="1:14" s="347" customFormat="1" x14ac:dyDescent="0.25">
      <c r="A2933" s="369">
        <f>+A2932</f>
        <v>44377</v>
      </c>
      <c r="B2933" s="347">
        <f>+MONTH(A2933)</f>
        <v>6</v>
      </c>
      <c r="C2933" s="347">
        <v>3210</v>
      </c>
      <c r="D2933" s="340" t="str">
        <f>VLOOKUP(C2933,Plan!A:B,2,0)</f>
        <v>Donacion Construccion</v>
      </c>
      <c r="E2933" s="341">
        <f>+F2933-G2933</f>
        <v>-50000</v>
      </c>
      <c r="F2933" s="405">
        <v>0</v>
      </c>
      <c r="G2933" s="405">
        <f>+F2932</f>
        <v>50000</v>
      </c>
      <c r="H2933" t="str">
        <f>+H2932</f>
        <v xml:space="preserve">Ricardo Fernández Oyarzún / Azul </v>
      </c>
      <c r="I2933" s="403" t="s">
        <v>131</v>
      </c>
      <c r="K2933" s="370"/>
      <c r="N2933" s="370"/>
    </row>
    <row r="2934" spans="1:14" s="347" customFormat="1" x14ac:dyDescent="0.25">
      <c r="A2934" s="369"/>
      <c r="E2934" s="396"/>
      <c r="F2934" s="396"/>
      <c r="G2934" s="396"/>
      <c r="K2934" s="370"/>
      <c r="N2934" s="370"/>
    </row>
    <row r="2935" spans="1:14" s="347" customFormat="1" x14ac:dyDescent="0.25">
      <c r="A2935" s="369">
        <v>44377</v>
      </c>
      <c r="B2935" s="347">
        <f>+MONTH(A2935)</f>
        <v>6</v>
      </c>
      <c r="C2935" s="347">
        <v>115</v>
      </c>
      <c r="D2935" s="340" t="str">
        <f>VLOOKUP(C2935,Plan!A:B,2,0)</f>
        <v>Disponible Cali B.Chile</v>
      </c>
      <c r="E2935" s="341">
        <f>+F2935-G2935</f>
        <v>100000</v>
      </c>
      <c r="F2935" s="405">
        <v>100000</v>
      </c>
      <c r="G2935" s="405">
        <v>0</v>
      </c>
      <c r="H2935" t="s">
        <v>965</v>
      </c>
      <c r="I2935" s="403" t="s">
        <v>131</v>
      </c>
      <c r="K2935" s="370"/>
      <c r="N2935" s="370"/>
    </row>
    <row r="2936" spans="1:14" s="347" customFormat="1" x14ac:dyDescent="0.25">
      <c r="A2936" s="369">
        <f>+A2935</f>
        <v>44377</v>
      </c>
      <c r="B2936" s="347">
        <f>+MONTH(A2936)</f>
        <v>6</v>
      </c>
      <c r="C2936" s="347">
        <v>3210</v>
      </c>
      <c r="D2936" s="340" t="str">
        <f>VLOOKUP(C2936,Plan!A:B,2,0)</f>
        <v>Donacion Construccion</v>
      </c>
      <c r="E2936" s="341">
        <f>+F2936-G2936</f>
        <v>-100000</v>
      </c>
      <c r="F2936" s="405">
        <v>0</v>
      </c>
      <c r="G2936" s="405">
        <f>+F2935</f>
        <v>100000</v>
      </c>
      <c r="H2936" t="str">
        <f>+H2935</f>
        <v>Rafael Marín Jordán/azul</v>
      </c>
      <c r="I2936" s="403" t="s">
        <v>131</v>
      </c>
      <c r="K2936" s="370"/>
      <c r="M2936" s="398" t="s">
        <v>1793</v>
      </c>
      <c r="N2936" s="399" t="s">
        <v>1794</v>
      </c>
    </row>
    <row r="2937" spans="1:14" s="347" customFormat="1" x14ac:dyDescent="0.25">
      <c r="A2937" s="369"/>
      <c r="E2937" s="396"/>
      <c r="F2937" s="396"/>
      <c r="G2937" s="396"/>
      <c r="K2937" s="370"/>
      <c r="N2937" s="370"/>
    </row>
    <row r="2938" spans="1:14" s="347" customFormat="1" x14ac:dyDescent="0.25">
      <c r="A2938" s="369">
        <v>44377</v>
      </c>
      <c r="B2938" s="347">
        <f>+MONTH(A2938)</f>
        <v>6</v>
      </c>
      <c r="C2938" s="347">
        <v>115</v>
      </c>
      <c r="D2938" s="340" t="str">
        <f>VLOOKUP(C2938,Plan!A:B,2,0)</f>
        <v>Disponible Cali B.Chile</v>
      </c>
      <c r="E2938" s="341">
        <f>+F2938-G2938</f>
        <v>36000</v>
      </c>
      <c r="F2938" s="405">
        <v>36000</v>
      </c>
      <c r="G2938" s="405">
        <v>0</v>
      </c>
      <c r="H2938" t="s">
        <v>964</v>
      </c>
      <c r="I2938" s="403" t="s">
        <v>131</v>
      </c>
      <c r="K2938" s="370"/>
      <c r="N2938" s="370"/>
    </row>
    <row r="2939" spans="1:14" s="347" customFormat="1" x14ac:dyDescent="0.25">
      <c r="A2939" s="369">
        <f>+A2938</f>
        <v>44377</v>
      </c>
      <c r="B2939" s="347">
        <f>+MONTH(A2939)</f>
        <v>6</v>
      </c>
      <c r="C2939" s="347">
        <v>1222</v>
      </c>
      <c r="D2939" s="340" t="str">
        <f>VLOOKUP(C2939,Plan!A:B,2,0)</f>
        <v>Otros Valores -Oficina y Transferencias (249)</v>
      </c>
      <c r="E2939" s="341">
        <f>+F2939-G2939</f>
        <v>-36000</v>
      </c>
      <c r="F2939" s="405">
        <v>0</v>
      </c>
      <c r="G2939" s="405">
        <f>+F2938</f>
        <v>36000</v>
      </c>
      <c r="H2939" t="str">
        <f>+H2938</f>
        <v>Raimundo Barros / 249</v>
      </c>
      <c r="I2939" s="403" t="s">
        <v>131</v>
      </c>
      <c r="K2939" s="370"/>
      <c r="N2939" s="370"/>
    </row>
    <row r="2940" spans="1:14" s="347" customFormat="1" x14ac:dyDescent="0.25">
      <c r="A2940" s="369"/>
      <c r="E2940" s="396"/>
      <c r="F2940" s="396"/>
      <c r="G2940" s="396"/>
      <c r="K2940" s="370"/>
      <c r="N2940" s="370"/>
    </row>
    <row r="2941" spans="1:14" s="347" customFormat="1" x14ac:dyDescent="0.25">
      <c r="A2941" s="369">
        <v>44377</v>
      </c>
      <c r="B2941" s="347">
        <f>+MONTH(A2941)</f>
        <v>6</v>
      </c>
      <c r="C2941" s="347">
        <v>115</v>
      </c>
      <c r="D2941" s="340" t="str">
        <f>VLOOKUP(C2941,Plan!A:B,2,0)</f>
        <v>Disponible Cali B.Chile</v>
      </c>
      <c r="E2941" s="341">
        <f>+F2941-G2941</f>
        <v>464407</v>
      </c>
      <c r="F2941" s="405">
        <v>464407</v>
      </c>
      <c r="G2941" s="405">
        <v>0</v>
      </c>
      <c r="H2941" s="155" t="s">
        <v>1778</v>
      </c>
      <c r="I2941" s="403" t="s">
        <v>131</v>
      </c>
      <c r="K2941" s="370"/>
      <c r="N2941" s="370"/>
    </row>
    <row r="2942" spans="1:14" s="347" customFormat="1" x14ac:dyDescent="0.25">
      <c r="A2942" s="369">
        <f>+A2941</f>
        <v>44377</v>
      </c>
      <c r="B2942" s="347">
        <f>+MONTH(A2942)</f>
        <v>6</v>
      </c>
      <c r="C2942" s="347">
        <v>1218</v>
      </c>
      <c r="D2942" s="340" t="str">
        <f>VLOOKUP(C2942,Plan!A:B,2,0)</f>
        <v>Otros Valores Tarjeta de Credito</v>
      </c>
      <c r="E2942" s="341">
        <f>+F2942-G2942</f>
        <v>-464407</v>
      </c>
      <c r="F2942" s="405">
        <v>0</v>
      </c>
      <c r="G2942" s="405">
        <f>+F2941</f>
        <v>464407</v>
      </c>
      <c r="H2942" t="str">
        <f>+H2941</f>
        <v>248 y 249 junio 2021</v>
      </c>
      <c r="I2942" s="403" t="s">
        <v>131</v>
      </c>
      <c r="K2942" s="370"/>
      <c r="N2942" s="370"/>
    </row>
    <row r="2943" spans="1:14" s="347" customFormat="1" x14ac:dyDescent="0.25">
      <c r="A2943" s="369"/>
      <c r="E2943" s="396"/>
      <c r="F2943" s="396"/>
      <c r="G2943" s="396"/>
      <c r="K2943" s="370"/>
      <c r="N2943" s="370"/>
    </row>
    <row r="2944" spans="1:14" s="347" customFormat="1" x14ac:dyDescent="0.25">
      <c r="A2944" s="369">
        <v>44355</v>
      </c>
      <c r="B2944" s="347">
        <f>+MONTH(A2944)</f>
        <v>6</v>
      </c>
      <c r="C2944" s="347">
        <v>4331</v>
      </c>
      <c r="D2944" s="340" t="str">
        <f>VLOOKUP(C2944,Plan!A:B,2,0)</f>
        <v>Cali</v>
      </c>
      <c r="E2944" s="341">
        <f>+F2944-G2944</f>
        <v>1066</v>
      </c>
      <c r="F2944" s="405">
        <v>1066</v>
      </c>
      <c r="G2944" s="405">
        <v>0</v>
      </c>
      <c r="H2944" t="s">
        <v>1706</v>
      </c>
      <c r="I2944" s="403" t="s">
        <v>131</v>
      </c>
      <c r="K2944" s="370"/>
      <c r="N2944" s="370"/>
    </row>
    <row r="2945" spans="1:14" s="347" customFormat="1" x14ac:dyDescent="0.25">
      <c r="A2945" s="369">
        <f>+A2944</f>
        <v>44355</v>
      </c>
      <c r="B2945" s="347">
        <f>+MONTH(A2945)</f>
        <v>6</v>
      </c>
      <c r="C2945" s="347">
        <v>116</v>
      </c>
      <c r="D2945" s="340" t="str">
        <f>VLOOKUP(C2945,Plan!A:B,2,0)</f>
        <v>Disponible CALI Security</v>
      </c>
      <c r="E2945" s="341">
        <f>+F2945-G2945</f>
        <v>-1066</v>
      </c>
      <c r="F2945" s="405">
        <v>0</v>
      </c>
      <c r="G2945" s="405">
        <f>+F2944</f>
        <v>1066</v>
      </c>
      <c r="H2945" t="str">
        <f>+H2944</f>
        <v>COMISION BANCARIA</v>
      </c>
      <c r="I2945" s="403" t="s">
        <v>131</v>
      </c>
      <c r="K2945" s="370"/>
      <c r="N2945" s="370"/>
    </row>
    <row r="2946" spans="1:14" s="347" customFormat="1" x14ac:dyDescent="0.25">
      <c r="A2946" s="369"/>
      <c r="E2946" s="396"/>
      <c r="F2946" s="396"/>
      <c r="G2946" s="396"/>
      <c r="K2946" s="370"/>
      <c r="N2946" s="370"/>
    </row>
    <row r="2947" spans="1:14" s="347" customFormat="1" x14ac:dyDescent="0.25">
      <c r="A2947" s="369">
        <v>44355</v>
      </c>
      <c r="B2947" s="347">
        <f>+MONTH(A2947)</f>
        <v>6</v>
      </c>
      <c r="C2947" s="347">
        <v>4331</v>
      </c>
      <c r="D2947" s="340" t="str">
        <f>VLOOKUP(C2947,Plan!A:B,2,0)</f>
        <v>Cali</v>
      </c>
      <c r="E2947" s="341">
        <f>+F2947-G2947</f>
        <v>203</v>
      </c>
      <c r="F2947" s="405">
        <v>203</v>
      </c>
      <c r="G2947" s="405">
        <v>0</v>
      </c>
      <c r="H2947" t="s">
        <v>1706</v>
      </c>
      <c r="I2947" s="403" t="s">
        <v>131</v>
      </c>
      <c r="K2947" s="370"/>
      <c r="N2947" s="370"/>
    </row>
    <row r="2948" spans="1:14" s="347" customFormat="1" x14ac:dyDescent="0.25">
      <c r="A2948" s="369">
        <f>+A2947</f>
        <v>44355</v>
      </c>
      <c r="B2948" s="347">
        <f>+MONTH(A2948)</f>
        <v>6</v>
      </c>
      <c r="C2948" s="347">
        <v>116</v>
      </c>
      <c r="D2948" s="340" t="str">
        <f>VLOOKUP(C2948,Plan!A:B,2,0)</f>
        <v>Disponible CALI Security</v>
      </c>
      <c r="E2948" s="341">
        <f>+F2948-G2948</f>
        <v>-203</v>
      </c>
      <c r="F2948" s="405">
        <v>0</v>
      </c>
      <c r="G2948" s="405">
        <f>+F2947</f>
        <v>203</v>
      </c>
      <c r="H2948" t="str">
        <f>+H2947</f>
        <v>COMISION BANCARIA</v>
      </c>
      <c r="I2948" s="403" t="s">
        <v>131</v>
      </c>
      <c r="K2948" s="370"/>
      <c r="N2948" s="370"/>
    </row>
    <row r="2949" spans="1:14" s="347" customFormat="1" x14ac:dyDescent="0.25">
      <c r="A2949" s="369"/>
      <c r="E2949" s="396"/>
      <c r="F2949" s="396"/>
      <c r="G2949" s="396"/>
      <c r="K2949" s="370"/>
      <c r="N2949" s="370"/>
    </row>
    <row r="2950" spans="1:14" s="347" customFormat="1" x14ac:dyDescent="0.25">
      <c r="A2950" s="369">
        <v>44361</v>
      </c>
      <c r="B2950" s="347">
        <f>+MONTH(A2950)</f>
        <v>6</v>
      </c>
      <c r="C2950" s="347">
        <v>116</v>
      </c>
      <c r="D2950" s="340" t="str">
        <f>VLOOKUP(C2950,Plan!A:B,2,0)</f>
        <v>Disponible CALI Security</v>
      </c>
      <c r="E2950" s="341">
        <f>+F2950-G2950</f>
        <v>524002043</v>
      </c>
      <c r="F2950" s="405">
        <v>524002043</v>
      </c>
      <c r="G2950" s="405">
        <v>0</v>
      </c>
      <c r="H2950" t="s">
        <v>1779</v>
      </c>
      <c r="I2950" s="403" t="s">
        <v>131</v>
      </c>
      <c r="K2950" s="370"/>
      <c r="N2950" s="370"/>
    </row>
    <row r="2951" spans="1:14" s="347" customFormat="1" x14ac:dyDescent="0.25">
      <c r="A2951" s="369">
        <f>+A2950</f>
        <v>44361</v>
      </c>
      <c r="B2951" s="347">
        <f>+MONTH(A2951)</f>
        <v>6</v>
      </c>
      <c r="C2951" s="347">
        <v>118</v>
      </c>
      <c r="D2951" s="340" t="str">
        <f>VLOOKUP(C2951,Plan!A:B,2,0)</f>
        <v>Depósito a plazo Cali Banco Security</v>
      </c>
      <c r="E2951" s="341">
        <f>+F2951-G2951</f>
        <v>-524002043</v>
      </c>
      <c r="F2951" s="405">
        <v>0</v>
      </c>
      <c r="G2951" s="405">
        <f>+F2950</f>
        <v>524002043</v>
      </c>
      <c r="H2951" t="str">
        <f>+H2950</f>
        <v>Rescate DAP Security</v>
      </c>
      <c r="I2951" s="403" t="s">
        <v>131</v>
      </c>
      <c r="K2951" s="370"/>
      <c r="N2951" s="370"/>
    </row>
    <row r="2952" spans="1:14" s="347" customFormat="1" x14ac:dyDescent="0.25">
      <c r="A2952" s="369"/>
      <c r="E2952" s="396"/>
      <c r="F2952" s="396"/>
      <c r="G2952" s="396"/>
      <c r="K2952" s="370"/>
      <c r="N2952" s="370"/>
    </row>
    <row r="2953" spans="1:14" s="347" customFormat="1" x14ac:dyDescent="0.25">
      <c r="A2953" s="369"/>
      <c r="E2953" s="396"/>
      <c r="F2953" s="396"/>
      <c r="G2953" s="396"/>
      <c r="K2953" s="370"/>
      <c r="N2953" s="370"/>
    </row>
    <row r="2954" spans="1:14" s="347" customFormat="1" x14ac:dyDescent="0.25">
      <c r="A2954" s="369">
        <v>44361</v>
      </c>
      <c r="B2954" s="347">
        <f>+MONTH(A2954)</f>
        <v>6</v>
      </c>
      <c r="C2954" s="347">
        <v>119</v>
      </c>
      <c r="D2954" s="340" t="str">
        <f>VLOOKUP(C2954,Plan!A:B,2,0)</f>
        <v>FM Cali Banco Security</v>
      </c>
      <c r="E2954" s="341">
        <f>+F2954-G2954</f>
        <v>345000000</v>
      </c>
      <c r="F2954" s="405">
        <v>345000000</v>
      </c>
      <c r="G2954" s="405">
        <v>0</v>
      </c>
      <c r="H2954" t="s">
        <v>1780</v>
      </c>
      <c r="I2954" s="403" t="s">
        <v>131</v>
      </c>
      <c r="K2954" s="370"/>
      <c r="N2954" s="370"/>
    </row>
    <row r="2955" spans="1:14" s="347" customFormat="1" x14ac:dyDescent="0.25">
      <c r="A2955" s="369">
        <f>+A2954</f>
        <v>44361</v>
      </c>
      <c r="B2955" s="347">
        <f>+MONTH(A2955)</f>
        <v>6</v>
      </c>
      <c r="C2955" s="347">
        <v>116</v>
      </c>
      <c r="D2955" s="340" t="str">
        <f>VLOOKUP(C2955,Plan!A:B,2,0)</f>
        <v>Disponible CALI Security</v>
      </c>
      <c r="E2955" s="341">
        <f>+F2955-G2955</f>
        <v>-345000000</v>
      </c>
      <c r="F2955" s="405">
        <v>0</v>
      </c>
      <c r="G2955" s="405">
        <f>+F2954</f>
        <v>345000000</v>
      </c>
      <c r="H2955" t="str">
        <f>+H2954</f>
        <v>Toma FF. MM. Security</v>
      </c>
      <c r="I2955" s="403" t="s">
        <v>131</v>
      </c>
      <c r="K2955" s="370"/>
      <c r="N2955" s="370"/>
    </row>
    <row r="2956" spans="1:14" s="347" customFormat="1" x14ac:dyDescent="0.25">
      <c r="A2956" s="369"/>
      <c r="D2956" s="340"/>
      <c r="E2956" s="341"/>
      <c r="F2956" s="405"/>
      <c r="G2956" s="405"/>
      <c r="H2956"/>
      <c r="I2956" s="403"/>
      <c r="K2956" s="370"/>
      <c r="N2956" s="370"/>
    </row>
    <row r="2957" spans="1:14" s="347" customFormat="1" x14ac:dyDescent="0.25">
      <c r="A2957" s="402">
        <v>44365</v>
      </c>
      <c r="B2957" s="403">
        <f>+MONTH(A2957)</f>
        <v>6</v>
      </c>
      <c r="C2957" s="338">
        <v>137</v>
      </c>
      <c r="D2957" s="340" t="str">
        <f>VLOOKUP(C2957,Plan!A:B,2,0)</f>
        <v>Anticipo Construcción</v>
      </c>
      <c r="E2957" s="341">
        <f>+F2957-G2957</f>
        <v>-27938577</v>
      </c>
      <c r="F2957" s="465">
        <v>0</v>
      </c>
      <c r="G2957" s="465">
        <v>27938577</v>
      </c>
      <c r="H2957" s="429" t="s">
        <v>1781</v>
      </c>
      <c r="I2957" s="403" t="s">
        <v>131</v>
      </c>
      <c r="K2957" s="370"/>
      <c r="N2957" s="370"/>
    </row>
    <row r="2958" spans="1:14" s="347" customFormat="1" x14ac:dyDescent="0.25">
      <c r="A2958" s="402">
        <f t="shared" ref="A2958:B2960" si="47">+A2957</f>
        <v>44365</v>
      </c>
      <c r="B2958" s="403">
        <f t="shared" si="47"/>
        <v>6</v>
      </c>
      <c r="C2958" s="338">
        <v>136</v>
      </c>
      <c r="D2958" s="340" t="str">
        <f>VLOOKUP(C2958,Plan!A:B,2,0)</f>
        <v>Obras en Construcción</v>
      </c>
      <c r="E2958" s="341">
        <f>+F2958-G2958</f>
        <v>237559678</v>
      </c>
      <c r="F2958" s="465">
        <f>205733124+31826554</f>
        <v>237559678</v>
      </c>
      <c r="G2958" s="465">
        <v>0</v>
      </c>
      <c r="H2958" s="429" t="s">
        <v>1782</v>
      </c>
      <c r="I2958" s="403" t="s">
        <v>131</v>
      </c>
      <c r="K2958" s="370"/>
      <c r="N2958" s="370"/>
    </row>
    <row r="2959" spans="1:14" s="347" customFormat="1" x14ac:dyDescent="0.25">
      <c r="A2959" s="402">
        <f t="shared" si="47"/>
        <v>44365</v>
      </c>
      <c r="B2959" s="403">
        <f t="shared" si="47"/>
        <v>6</v>
      </c>
      <c r="C2959" s="338">
        <v>210</v>
      </c>
      <c r="D2959" s="340" t="str">
        <f>VLOOKUP(C2959,Plan!A:B,2,0)</f>
        <v>Retenciones Construcción</v>
      </c>
      <c r="E2959" s="341">
        <f>+F2959-G2959</f>
        <v>-10286758</v>
      </c>
      <c r="F2959" s="465">
        <v>0</v>
      </c>
      <c r="G2959" s="465">
        <v>10286758</v>
      </c>
      <c r="H2959" s="429" t="s">
        <v>1783</v>
      </c>
      <c r="I2959" s="403" t="s">
        <v>131</v>
      </c>
      <c r="K2959" s="370"/>
      <c r="N2959" s="370"/>
    </row>
    <row r="2960" spans="1:14" s="347" customFormat="1" x14ac:dyDescent="0.25">
      <c r="A2960" s="402">
        <f t="shared" si="47"/>
        <v>44365</v>
      </c>
      <c r="B2960" s="403">
        <f t="shared" si="47"/>
        <v>6</v>
      </c>
      <c r="C2960" s="338">
        <v>228</v>
      </c>
      <c r="D2960" s="340" t="str">
        <f>VLOOKUP(C2960,Plan!A:B,2,0)</f>
        <v>Proveedores CALI</v>
      </c>
      <c r="E2960" s="341">
        <f>+F2960-G2960</f>
        <v>-199334343</v>
      </c>
      <c r="F2960" s="465">
        <v>0</v>
      </c>
      <c r="G2960" s="465">
        <v>199334343</v>
      </c>
      <c r="H2960" s="429" t="s">
        <v>589</v>
      </c>
      <c r="I2960" s="403" t="s">
        <v>131</v>
      </c>
      <c r="K2960" s="370"/>
      <c r="N2960" s="370"/>
    </row>
    <row r="2961" spans="1:14" s="347" customFormat="1" x14ac:dyDescent="0.25">
      <c r="A2961" s="369"/>
      <c r="E2961" s="396"/>
      <c r="F2961" s="396"/>
      <c r="G2961" s="396"/>
      <c r="K2961" s="370"/>
      <c r="N2961" s="370"/>
    </row>
    <row r="2962" spans="1:14" s="347" customFormat="1" x14ac:dyDescent="0.25">
      <c r="A2962" s="339">
        <v>44365</v>
      </c>
      <c r="B2962" s="403">
        <f>+MONTH(A2962)</f>
        <v>6</v>
      </c>
      <c r="C2962" s="338">
        <v>228</v>
      </c>
      <c r="D2962" s="340" t="str">
        <f>VLOOKUP(C2962,[2]Plan!A:B,2,0)</f>
        <v>Proveedores CALI</v>
      </c>
      <c r="E2962" s="341">
        <f>+F2962-G2962</f>
        <v>199334119</v>
      </c>
      <c r="F2962" s="289">
        <v>199334119</v>
      </c>
      <c r="G2962" s="346">
        <v>0</v>
      </c>
      <c r="H2962" s="404" t="s">
        <v>1784</v>
      </c>
      <c r="I2962" s="403" t="s">
        <v>131</v>
      </c>
      <c r="K2962" s="370"/>
      <c r="N2962" s="370"/>
    </row>
    <row r="2963" spans="1:14" s="347" customFormat="1" x14ac:dyDescent="0.25">
      <c r="A2963" s="152">
        <f>+A2962</f>
        <v>44365</v>
      </c>
      <c r="B2963" s="403">
        <f>+B2962</f>
        <v>6</v>
      </c>
      <c r="C2963" s="338">
        <v>116</v>
      </c>
      <c r="D2963" s="340" t="str">
        <f>VLOOKUP(C2963,[2]Plan!A:B,2,0)</f>
        <v>Disponible CALI Security</v>
      </c>
      <c r="E2963" s="341">
        <f>+F2963-G2963</f>
        <v>-199334119</v>
      </c>
      <c r="F2963" s="405">
        <v>0</v>
      </c>
      <c r="G2963" s="346">
        <f>+F2962</f>
        <v>199334119</v>
      </c>
      <c r="H2963" s="404" t="str">
        <f>+H2962</f>
        <v>F.2973 EE.PP. N°12 TASCO</v>
      </c>
      <c r="I2963" s="403" t="s">
        <v>131</v>
      </c>
      <c r="K2963" s="370"/>
      <c r="N2963" s="370"/>
    </row>
    <row r="2964" spans="1:14" s="347" customFormat="1" x14ac:dyDescent="0.25">
      <c r="A2964" s="369"/>
      <c r="E2964" s="396"/>
      <c r="F2964" s="396"/>
      <c r="G2964" s="396"/>
      <c r="K2964" s="370"/>
      <c r="N2964" s="370"/>
    </row>
    <row r="2965" spans="1:14" s="347" customFormat="1" x14ac:dyDescent="0.25">
      <c r="A2965" s="339">
        <v>44365</v>
      </c>
      <c r="B2965" s="403">
        <f>+MONTH(A2965)</f>
        <v>6</v>
      </c>
      <c r="C2965" s="347">
        <v>138</v>
      </c>
      <c r="D2965" s="340" t="str">
        <f>VLOOKUP(C2965,Plan!A:B,2,0)</f>
        <v>Proyectos Especialidades</v>
      </c>
      <c r="E2965" s="341">
        <f>+F2965-G2965</f>
        <v>4291711</v>
      </c>
      <c r="F2965" s="405">
        <v>4291711</v>
      </c>
      <c r="G2965" s="405">
        <v>0</v>
      </c>
      <c r="H2965" t="s">
        <v>1785</v>
      </c>
      <c r="I2965" s="403" t="s">
        <v>131</v>
      </c>
      <c r="K2965" s="370"/>
      <c r="N2965" s="370"/>
    </row>
    <row r="2966" spans="1:14" s="347" customFormat="1" x14ac:dyDescent="0.25">
      <c r="A2966" s="369">
        <f>+A2965</f>
        <v>44365</v>
      </c>
      <c r="B2966" s="403">
        <f>+B2965</f>
        <v>6</v>
      </c>
      <c r="C2966" s="347">
        <v>228</v>
      </c>
      <c r="D2966" s="340" t="str">
        <f>VLOOKUP(C2966,Plan!A:B,2,0)</f>
        <v>Proveedores CALI</v>
      </c>
      <c r="E2966" s="341">
        <f>+F2966-G2966</f>
        <v>-4291711</v>
      </c>
      <c r="F2966" s="405">
        <v>0</v>
      </c>
      <c r="G2966" s="405">
        <f>+F2965</f>
        <v>4291711</v>
      </c>
      <c r="H2966" t="str">
        <f>+H2965</f>
        <v>Fact. 6238 ITO Junio/21</v>
      </c>
      <c r="I2966" s="403" t="s">
        <v>131</v>
      </c>
      <c r="K2966" s="370"/>
      <c r="N2966" s="370"/>
    </row>
    <row r="2967" spans="1:14" s="347" customFormat="1" x14ac:dyDescent="0.25">
      <c r="A2967" s="369"/>
      <c r="E2967" s="396"/>
      <c r="F2967" s="396"/>
      <c r="G2967" s="396"/>
      <c r="K2967" s="370"/>
      <c r="N2967" s="370"/>
    </row>
    <row r="2968" spans="1:14" s="347" customFormat="1" x14ac:dyDescent="0.25">
      <c r="A2968" s="339">
        <v>44365</v>
      </c>
      <c r="B2968" s="403">
        <f>+MONTH(A2968)</f>
        <v>6</v>
      </c>
      <c r="C2968" s="347">
        <v>228</v>
      </c>
      <c r="D2968" s="340" t="str">
        <f>VLOOKUP(C2968,Plan!A:B,2,0)</f>
        <v>Proveedores CALI</v>
      </c>
      <c r="E2968" s="341">
        <f>+F2968-G2968</f>
        <v>4291711</v>
      </c>
      <c r="F2968" s="405">
        <v>4291711</v>
      </c>
      <c r="G2968" s="405">
        <v>0</v>
      </c>
      <c r="H2968" t="s">
        <v>1785</v>
      </c>
      <c r="I2968" s="403" t="s">
        <v>131</v>
      </c>
      <c r="K2968" s="370"/>
      <c r="N2968" s="370"/>
    </row>
    <row r="2969" spans="1:14" s="347" customFormat="1" x14ac:dyDescent="0.25">
      <c r="A2969" s="369">
        <f>+A2968</f>
        <v>44365</v>
      </c>
      <c r="B2969" s="403">
        <f>+B2968</f>
        <v>6</v>
      </c>
      <c r="C2969" s="347">
        <v>116</v>
      </c>
      <c r="D2969" s="340" t="str">
        <f>VLOOKUP(C2969,Plan!A:B,2,0)</f>
        <v>Disponible CALI Security</v>
      </c>
      <c r="E2969" s="341">
        <f>+F2969-G2969</f>
        <v>-4291711</v>
      </c>
      <c r="F2969" s="405">
        <v>0</v>
      </c>
      <c r="G2969" s="405">
        <f>+F2968</f>
        <v>4291711</v>
      </c>
      <c r="H2969" t="str">
        <f>+H2968</f>
        <v>Fact. 6238 ITO Junio/21</v>
      </c>
      <c r="I2969" s="403" t="s">
        <v>131</v>
      </c>
      <c r="K2969" s="370"/>
      <c r="N2969" s="370"/>
    </row>
    <row r="2970" spans="1:14" s="347" customFormat="1" x14ac:dyDescent="0.25">
      <c r="A2970" s="369"/>
      <c r="E2970" s="396"/>
      <c r="F2970" s="396"/>
      <c r="G2970" s="396"/>
      <c r="K2970" s="370"/>
      <c r="N2970" s="370"/>
    </row>
    <row r="2971" spans="1:14" s="347" customFormat="1" x14ac:dyDescent="0.25">
      <c r="A2971" s="339">
        <v>44348</v>
      </c>
      <c r="B2971" s="403">
        <f>+MONTH(A2971)</f>
        <v>6</v>
      </c>
      <c r="C2971" s="347">
        <v>117</v>
      </c>
      <c r="D2971" s="340" t="str">
        <f>VLOOKUP(C2971,Plan!A:B,2,0)</f>
        <v>Disponible CALI Santander</v>
      </c>
      <c r="E2971" s="341">
        <f>+F2971-G2971</f>
        <v>30029107</v>
      </c>
      <c r="F2971" s="405">
        <v>30029107</v>
      </c>
      <c r="G2971" s="405">
        <v>0</v>
      </c>
      <c r="H2971" t="s">
        <v>1786</v>
      </c>
      <c r="I2971" s="403" t="s">
        <v>131</v>
      </c>
      <c r="K2971" s="370"/>
      <c r="N2971" s="370"/>
    </row>
    <row r="2972" spans="1:14" s="347" customFormat="1" x14ac:dyDescent="0.25">
      <c r="A2972" s="369">
        <f>+A2971</f>
        <v>44348</v>
      </c>
      <c r="B2972" s="403">
        <f>+B2971</f>
        <v>6</v>
      </c>
      <c r="C2972" s="347">
        <v>113</v>
      </c>
      <c r="D2972" s="340" t="str">
        <f>VLOOKUP(C2972,Plan!A:B,2,0)</f>
        <v>Depósito a plazo Cali Banco Santander</v>
      </c>
      <c r="E2972" s="341">
        <f>+F2972-G2972</f>
        <v>-30029107</v>
      </c>
      <c r="F2972" s="405">
        <v>0</v>
      </c>
      <c r="G2972" s="405">
        <f>+F2971</f>
        <v>30029107</v>
      </c>
      <c r="H2972" t="str">
        <f>+H2971</f>
        <v>Rescata DAP Anticipado</v>
      </c>
      <c r="I2972" s="403" t="s">
        <v>131</v>
      </c>
      <c r="K2972" s="370"/>
      <c r="N2972" s="370"/>
    </row>
    <row r="2973" spans="1:14" s="347" customFormat="1" x14ac:dyDescent="0.25">
      <c r="A2973" s="369"/>
      <c r="E2973" s="396"/>
      <c r="F2973" s="396"/>
      <c r="G2973" s="396"/>
      <c r="K2973" s="370"/>
      <c r="N2973" s="370"/>
    </row>
    <row r="2974" spans="1:14" s="347" customFormat="1" x14ac:dyDescent="0.25">
      <c r="A2974" s="339">
        <v>44350</v>
      </c>
      <c r="B2974" s="403">
        <f>+MONTH(A2974)</f>
        <v>6</v>
      </c>
      <c r="C2974" s="347">
        <v>138</v>
      </c>
      <c r="D2974" s="340" t="str">
        <f>VLOOKUP(C2974,Plan!A:B,2,0)</f>
        <v>Proyectos Especialidades</v>
      </c>
      <c r="E2974" s="341">
        <f>+F2974-G2974</f>
        <v>30000000</v>
      </c>
      <c r="F2974" s="405">
        <v>30000000</v>
      </c>
      <c r="G2974" s="405">
        <v>0</v>
      </c>
      <c r="H2974" t="s">
        <v>1787</v>
      </c>
      <c r="I2974" s="403" t="s">
        <v>131</v>
      </c>
      <c r="K2974" s="370"/>
      <c r="N2974" s="370"/>
    </row>
    <row r="2975" spans="1:14" s="347" customFormat="1" x14ac:dyDescent="0.25">
      <c r="A2975" s="369">
        <f>+A2974</f>
        <v>44350</v>
      </c>
      <c r="B2975" s="403">
        <f>+B2974</f>
        <v>6</v>
      </c>
      <c r="C2975" s="347">
        <v>117</v>
      </c>
      <c r="D2975" s="340" t="str">
        <f>VLOOKUP(C2975,Plan!A:B,2,0)</f>
        <v>Disponible CALI Santander</v>
      </c>
      <c r="E2975" s="341">
        <f>+F2975-G2975</f>
        <v>-30000000</v>
      </c>
      <c r="F2975" s="405">
        <v>0</v>
      </c>
      <c r="G2975" s="405">
        <f>+F2974</f>
        <v>30000000</v>
      </c>
      <c r="H2975" t="str">
        <f>+H2974</f>
        <v xml:space="preserve">Empalme Enel(p/rendir TASCO) </v>
      </c>
      <c r="I2975" s="403" t="s">
        <v>131</v>
      </c>
      <c r="K2975" s="370"/>
      <c r="N2975" s="370"/>
    </row>
    <row r="2976" spans="1:14" s="347" customFormat="1" x14ac:dyDescent="0.25">
      <c r="A2976" s="369"/>
      <c r="E2976" s="396"/>
      <c r="F2976" s="396"/>
      <c r="G2976" s="396"/>
      <c r="K2976" s="370"/>
      <c r="N2976" s="370"/>
    </row>
    <row r="2977" spans="1:14" s="347" customFormat="1" x14ac:dyDescent="0.25">
      <c r="A2977" s="339">
        <v>44354</v>
      </c>
      <c r="B2977" s="403">
        <f>+MONTH(A2977)</f>
        <v>6</v>
      </c>
      <c r="C2977" s="347">
        <v>117</v>
      </c>
      <c r="D2977" s="340" t="str">
        <f>VLOOKUP(C2977,Plan!A:B,2,0)</f>
        <v>Disponible CALI Santander</v>
      </c>
      <c r="E2977" s="341">
        <f>+F2977-G2977</f>
        <v>145000</v>
      </c>
      <c r="F2977" s="405">
        <v>145000</v>
      </c>
      <c r="G2977" s="405">
        <v>0</v>
      </c>
      <c r="H2977" t="s">
        <v>1788</v>
      </c>
      <c r="I2977" s="403" t="s">
        <v>131</v>
      </c>
      <c r="K2977" s="370"/>
      <c r="N2977" s="370"/>
    </row>
    <row r="2978" spans="1:14" s="347" customFormat="1" x14ac:dyDescent="0.25">
      <c r="A2978" s="369">
        <f>+A2977</f>
        <v>44354</v>
      </c>
      <c r="B2978" s="403">
        <f>+B2977</f>
        <v>6</v>
      </c>
      <c r="C2978" s="347">
        <v>1222</v>
      </c>
      <c r="D2978" s="340" t="str">
        <f>VLOOKUP(C2978,Plan!A:B,2,0)</f>
        <v>Otros Valores -Oficina y Transferencias (249)</v>
      </c>
      <c r="E2978" s="341">
        <f>+F2978-G2978</f>
        <v>-145000</v>
      </c>
      <c r="F2978" s="405">
        <v>0</v>
      </c>
      <c r="G2978" s="405">
        <f>+F2977</f>
        <v>145000</v>
      </c>
      <c r="H2978" t="str">
        <f>+H2977</f>
        <v>ABONO RECAUDACION PAC</v>
      </c>
      <c r="I2978" s="403" t="s">
        <v>131</v>
      </c>
      <c r="K2978" s="370"/>
      <c r="N2978" s="370"/>
    </row>
    <row r="2979" spans="1:14" s="347" customFormat="1" x14ac:dyDescent="0.25">
      <c r="A2979" s="369"/>
      <c r="E2979" s="396"/>
      <c r="F2979" s="396"/>
      <c r="G2979" s="396"/>
      <c r="K2979" s="370"/>
      <c r="N2979" s="370"/>
    </row>
    <row r="2980" spans="1:14" s="347" customFormat="1" x14ac:dyDescent="0.25">
      <c r="A2980" s="339">
        <v>44376</v>
      </c>
      <c r="B2980" s="403">
        <f>+MONTH(A2980)</f>
        <v>6</v>
      </c>
      <c r="C2980" s="347">
        <v>117</v>
      </c>
      <c r="D2980" s="340" t="str">
        <f>VLOOKUP(C2980,Plan!A:B,2,0)</f>
        <v>Disponible CALI Santander</v>
      </c>
      <c r="E2980" s="341">
        <f>+F2980-G2980</f>
        <v>55000</v>
      </c>
      <c r="F2980" s="405">
        <v>55000</v>
      </c>
      <c r="G2980" s="405">
        <v>0</v>
      </c>
      <c r="H2980" t="s">
        <v>1788</v>
      </c>
      <c r="I2980" s="403" t="s">
        <v>131</v>
      </c>
      <c r="K2980" s="370"/>
      <c r="N2980" s="370"/>
    </row>
    <row r="2981" spans="1:14" s="347" customFormat="1" x14ac:dyDescent="0.25">
      <c r="A2981" s="369">
        <f>+A2980</f>
        <v>44376</v>
      </c>
      <c r="B2981" s="403">
        <f>+B2980</f>
        <v>6</v>
      </c>
      <c r="C2981" s="347">
        <v>1222</v>
      </c>
      <c r="D2981" s="340" t="str">
        <f>VLOOKUP(C2981,Plan!A:B,2,0)</f>
        <v>Otros Valores -Oficina y Transferencias (249)</v>
      </c>
      <c r="E2981" s="341">
        <f>+F2981-G2981</f>
        <v>-55000</v>
      </c>
      <c r="F2981" s="405">
        <v>0</v>
      </c>
      <c r="G2981" s="405">
        <f>+F2980</f>
        <v>55000</v>
      </c>
      <c r="H2981" t="str">
        <f>+H2980</f>
        <v>ABONO RECAUDACION PAC</v>
      </c>
      <c r="I2981" s="403" t="s">
        <v>131</v>
      </c>
      <c r="K2981" s="370"/>
      <c r="N2981" s="370"/>
    </row>
    <row r="2982" spans="1:14" s="347" customFormat="1" x14ac:dyDescent="0.25">
      <c r="A2982" s="369"/>
      <c r="E2982" s="396"/>
      <c r="F2982" s="396"/>
      <c r="G2982" s="396"/>
      <c r="K2982" s="370"/>
      <c r="N2982" s="370"/>
    </row>
    <row r="2983" spans="1:14" s="347" customFormat="1" x14ac:dyDescent="0.25">
      <c r="A2983" s="339">
        <v>44376</v>
      </c>
      <c r="B2983" s="403">
        <f>+MONTH(A2983)</f>
        <v>6</v>
      </c>
      <c r="C2983" s="347">
        <v>117</v>
      </c>
      <c r="D2983" s="340" t="str">
        <f>VLOOKUP(C2983,Plan!A:B,2,0)</f>
        <v>Disponible CALI Santander</v>
      </c>
      <c r="E2983" s="341">
        <f>+F2983-G2983</f>
        <v>10000</v>
      </c>
      <c r="F2983" s="405">
        <v>10000</v>
      </c>
      <c r="G2983" s="405">
        <v>0</v>
      </c>
      <c r="H2983" t="s">
        <v>1788</v>
      </c>
      <c r="I2983" s="403" t="s">
        <v>131</v>
      </c>
      <c r="K2983" s="370"/>
      <c r="N2983" s="370"/>
    </row>
    <row r="2984" spans="1:14" s="347" customFormat="1" x14ac:dyDescent="0.25">
      <c r="A2984" s="369">
        <f>+A2983</f>
        <v>44376</v>
      </c>
      <c r="B2984" s="403">
        <f>+B2983</f>
        <v>6</v>
      </c>
      <c r="C2984" s="347">
        <v>3210</v>
      </c>
      <c r="D2984" s="340" t="str">
        <f>VLOOKUP(C2984,Plan!A:B,2,0)</f>
        <v>Donacion Construccion</v>
      </c>
      <c r="E2984" s="341">
        <f>+F2984-G2984</f>
        <v>-10000</v>
      </c>
      <c r="F2984" s="405">
        <v>0</v>
      </c>
      <c r="G2984" s="405">
        <f>+F2983</f>
        <v>10000</v>
      </c>
      <c r="H2984" t="str">
        <f>+H2983</f>
        <v>ABONO RECAUDACION PAC</v>
      </c>
      <c r="I2984" s="403" t="s">
        <v>131</v>
      </c>
      <c r="K2984" s="370"/>
      <c r="N2984" s="370"/>
    </row>
    <row r="2985" spans="1:14" s="347" customFormat="1" x14ac:dyDescent="0.25">
      <c r="A2985" s="369"/>
      <c r="E2985" s="396"/>
      <c r="F2985" s="396"/>
      <c r="G2985" s="396"/>
      <c r="K2985" s="370"/>
      <c r="N2985" s="370"/>
    </row>
    <row r="2986" spans="1:14" s="347" customFormat="1" x14ac:dyDescent="0.25">
      <c r="A2986" s="339">
        <v>44377</v>
      </c>
      <c r="B2986" s="340">
        <v>6</v>
      </c>
      <c r="C2986" s="352">
        <v>3620</v>
      </c>
      <c r="D2986" s="340" t="str">
        <f>VLOOKUP(C2986,Plan!A:B,2,0)</f>
        <v>Cali Recaudadores</v>
      </c>
      <c r="E2986" s="341">
        <f t="shared" ref="E2986:E3012" si="48">+F2986-G2986</f>
        <v>-573000</v>
      </c>
      <c r="F2986" s="353">
        <v>0</v>
      </c>
      <c r="G2986" s="353">
        <v>573000</v>
      </c>
      <c r="H2986" s="354" t="s">
        <v>1798</v>
      </c>
      <c r="I2986" s="355" t="s">
        <v>131</v>
      </c>
      <c r="K2986" s="370"/>
      <c r="N2986" s="370"/>
    </row>
    <row r="2987" spans="1:14" s="347" customFormat="1" x14ac:dyDescent="0.25">
      <c r="A2987" s="350">
        <f>+A2986</f>
        <v>44377</v>
      </c>
      <c r="B2987" s="351">
        <f>+B2986</f>
        <v>6</v>
      </c>
      <c r="C2987" s="352">
        <v>3621</v>
      </c>
      <c r="D2987" s="340" t="str">
        <f>VLOOKUP(C2987,Plan!A:B,2,0)</f>
        <v>Cali Recaudadores (249)</v>
      </c>
      <c r="E2987" s="341">
        <f t="shared" si="48"/>
        <v>0</v>
      </c>
      <c r="F2987" s="353">
        <v>0</v>
      </c>
      <c r="G2987" s="353">
        <v>0</v>
      </c>
      <c r="H2987" s="354" t="str">
        <f t="shared" ref="H2987:H2994" si="49">+H2986</f>
        <v>Centralización Recaudación Junio</v>
      </c>
      <c r="I2987" s="355" t="s">
        <v>131</v>
      </c>
      <c r="K2987" s="370"/>
      <c r="N2987" s="370"/>
    </row>
    <row r="2988" spans="1:14" s="347" customFormat="1" x14ac:dyDescent="0.25">
      <c r="A2988" s="350">
        <f t="shared" ref="A2988:B2992" si="50">+A2986</f>
        <v>44377</v>
      </c>
      <c r="B2988" s="351">
        <f t="shared" si="50"/>
        <v>6</v>
      </c>
      <c r="C2988" s="352">
        <v>3630</v>
      </c>
      <c r="D2988" s="340" t="str">
        <f>VLOOKUP(C2988,Plan!A:B,2,0)</f>
        <v>Cali Oficina Parroquial</v>
      </c>
      <c r="E2988" s="341">
        <f t="shared" si="48"/>
        <v>-2165853</v>
      </c>
      <c r="F2988" s="353">
        <v>0</v>
      </c>
      <c r="G2988" s="353">
        <v>2165853</v>
      </c>
      <c r="H2988" s="354" t="str">
        <f t="shared" si="49"/>
        <v>Centralización Recaudación Junio</v>
      </c>
      <c r="I2988" s="355" t="s">
        <v>131</v>
      </c>
      <c r="K2988" s="370"/>
      <c r="N2988" s="370"/>
    </row>
    <row r="2989" spans="1:14" s="347" customFormat="1" x14ac:dyDescent="0.25">
      <c r="A2989" s="350">
        <f t="shared" si="50"/>
        <v>44377</v>
      </c>
      <c r="B2989" s="351">
        <f t="shared" si="50"/>
        <v>6</v>
      </c>
      <c r="C2989" s="352">
        <v>3631</v>
      </c>
      <c r="D2989" s="340" t="str">
        <f>VLOOKUP(C2989,Plan!A:B,2,0)</f>
        <v>Cali Oficina Parroquial (249)</v>
      </c>
      <c r="E2989" s="341">
        <f t="shared" si="48"/>
        <v>-2286000</v>
      </c>
      <c r="F2989" s="353">
        <v>0</v>
      </c>
      <c r="G2989" s="353">
        <v>2286000</v>
      </c>
      <c r="H2989" s="354" t="str">
        <f t="shared" si="49"/>
        <v>Centralización Recaudación Junio</v>
      </c>
      <c r="I2989" s="355" t="s">
        <v>131</v>
      </c>
      <c r="K2989" s="370"/>
      <c r="N2989" s="370"/>
    </row>
    <row r="2990" spans="1:14" s="347" customFormat="1" x14ac:dyDescent="0.25">
      <c r="A2990" s="350">
        <f t="shared" si="50"/>
        <v>44377</v>
      </c>
      <c r="B2990" s="351">
        <f t="shared" si="50"/>
        <v>6</v>
      </c>
      <c r="C2990" s="352">
        <v>3640</v>
      </c>
      <c r="D2990" s="340" t="str">
        <f>VLOOKUP(C2990,Plan!A:B,2,0)</f>
        <v>Cali Tarjetas de Creditos</v>
      </c>
      <c r="E2990" s="341">
        <f t="shared" si="48"/>
        <v>-4065600</v>
      </c>
      <c r="F2990" s="353">
        <v>0</v>
      </c>
      <c r="G2990" s="353">
        <v>4065600</v>
      </c>
      <c r="H2990" s="354" t="str">
        <f t="shared" si="49"/>
        <v>Centralización Recaudación Junio</v>
      </c>
      <c r="I2990" s="355" t="s">
        <v>131</v>
      </c>
      <c r="K2990" s="370"/>
      <c r="N2990" s="370"/>
    </row>
    <row r="2991" spans="1:14" s="347" customFormat="1" x14ac:dyDescent="0.25">
      <c r="A2991" s="350">
        <f t="shared" si="50"/>
        <v>44377</v>
      </c>
      <c r="B2991" s="351">
        <f t="shared" si="50"/>
        <v>6</v>
      </c>
      <c r="C2991" s="352">
        <v>3641</v>
      </c>
      <c r="D2991" s="340" t="str">
        <f>VLOOKUP(C2991,Plan!A:B,2,0)</f>
        <v>Cali Tarjetas de Creditos (249)</v>
      </c>
      <c r="E2991" s="341">
        <f t="shared" si="48"/>
        <v>-6364213</v>
      </c>
      <c r="F2991" s="353">
        <v>0</v>
      </c>
      <c r="G2991" s="353">
        <v>6364213</v>
      </c>
      <c r="H2991" s="354" t="str">
        <f t="shared" si="49"/>
        <v>Centralización Recaudación Junio</v>
      </c>
      <c r="I2991" s="355" t="s">
        <v>131</v>
      </c>
      <c r="K2991" s="370"/>
      <c r="N2991" s="370"/>
    </row>
    <row r="2992" spans="1:14" s="347" customFormat="1" x14ac:dyDescent="0.25">
      <c r="A2992" s="350">
        <f t="shared" si="50"/>
        <v>44377</v>
      </c>
      <c r="B2992" s="351">
        <f t="shared" si="50"/>
        <v>6</v>
      </c>
      <c r="C2992" s="352">
        <v>1216</v>
      </c>
      <c r="D2992" s="340" t="str">
        <f>VLOOKUP(C2992,Plan!A:B,2,0)</f>
        <v>Otros Valores Recaudadoras</v>
      </c>
      <c r="E2992" s="341">
        <f t="shared" si="48"/>
        <v>573000</v>
      </c>
      <c r="F2992" s="353">
        <f>+G2986+G2987</f>
        <v>573000</v>
      </c>
      <c r="G2992" s="353">
        <v>0</v>
      </c>
      <c r="H2992" s="354" t="str">
        <f t="shared" si="49"/>
        <v>Centralización Recaudación Junio</v>
      </c>
      <c r="I2992" s="355" t="s">
        <v>131</v>
      </c>
      <c r="K2992" s="370"/>
      <c r="N2992" s="370"/>
    </row>
    <row r="2993" spans="1:14" s="347" customFormat="1" x14ac:dyDescent="0.25">
      <c r="A2993" s="350">
        <f>+A2992</f>
        <v>44377</v>
      </c>
      <c r="B2993" s="351">
        <f>+B2992</f>
        <v>6</v>
      </c>
      <c r="C2993" s="352">
        <v>1217</v>
      </c>
      <c r="D2993" s="340" t="str">
        <f>VLOOKUP(C2993,Plan!A:B,2,0)</f>
        <v>Otros Valores -Oficina y Transferencias (248)</v>
      </c>
      <c r="E2993" s="341">
        <f t="shared" si="48"/>
        <v>2165853</v>
      </c>
      <c r="F2993" s="353">
        <f>+G2988</f>
        <v>2165853</v>
      </c>
      <c r="G2993" s="353">
        <v>0</v>
      </c>
      <c r="H2993" s="354" t="str">
        <f t="shared" si="49"/>
        <v>Centralización Recaudación Junio</v>
      </c>
      <c r="I2993" s="355" t="s">
        <v>131</v>
      </c>
      <c r="K2993" s="370"/>
      <c r="N2993" s="370"/>
    </row>
    <row r="2994" spans="1:14" s="347" customFormat="1" x14ac:dyDescent="0.25">
      <c r="A2994" s="350">
        <f>+A2993</f>
        <v>44377</v>
      </c>
      <c r="B2994" s="351">
        <f>+B2993</f>
        <v>6</v>
      </c>
      <c r="C2994" s="352">
        <v>1222</v>
      </c>
      <c r="D2994" s="340" t="str">
        <f>VLOOKUP(C2994,Plan!A:B,2,0)</f>
        <v>Otros Valores -Oficina y Transferencias (249)</v>
      </c>
      <c r="E2994" s="341">
        <f t="shared" si="48"/>
        <v>2286000</v>
      </c>
      <c r="F2994" s="353">
        <f>+G2989</f>
        <v>2286000</v>
      </c>
      <c r="G2994" s="353">
        <v>0</v>
      </c>
      <c r="H2994" s="354" t="str">
        <f t="shared" si="49"/>
        <v>Centralización Recaudación Junio</v>
      </c>
      <c r="I2994" s="355" t="s">
        <v>131</v>
      </c>
      <c r="K2994" s="370"/>
      <c r="N2994" s="370"/>
    </row>
    <row r="2995" spans="1:14" s="347" customFormat="1" x14ac:dyDescent="0.25">
      <c r="A2995" s="350">
        <f>+A2993</f>
        <v>44377</v>
      </c>
      <c r="B2995" s="351">
        <f>+B2993</f>
        <v>6</v>
      </c>
      <c r="C2995" s="352">
        <v>1218</v>
      </c>
      <c r="D2995" s="340" t="str">
        <f>VLOOKUP(C2995,Plan!A:B,2,0)</f>
        <v>Otros Valores Tarjeta de Credito</v>
      </c>
      <c r="E2995" s="341">
        <f t="shared" si="48"/>
        <v>10429813</v>
      </c>
      <c r="F2995" s="353">
        <f>+G2990+G2991</f>
        <v>10429813</v>
      </c>
      <c r="G2995" s="353">
        <v>0</v>
      </c>
      <c r="H2995" s="354" t="str">
        <f>+H2993</f>
        <v>Centralización Recaudación Junio</v>
      </c>
      <c r="I2995" s="355" t="s">
        <v>131</v>
      </c>
      <c r="K2995" s="370"/>
      <c r="N2995" s="370"/>
    </row>
    <row r="2996" spans="1:14" s="347" customFormat="1" x14ac:dyDescent="0.25">
      <c r="A2996" s="350">
        <f t="shared" ref="A2996:B3003" si="51">+A2995</f>
        <v>44377</v>
      </c>
      <c r="B2996" s="351">
        <f t="shared" si="51"/>
        <v>6</v>
      </c>
      <c r="C2996" s="352">
        <v>202</v>
      </c>
      <c r="D2996" s="340" t="str">
        <f>VLOOKUP(C2996,Plan!A:B,2,0)</f>
        <v>Arzobispado por pagar</v>
      </c>
      <c r="E2996" s="341">
        <f t="shared" si="48"/>
        <v>-3556824</v>
      </c>
      <c r="F2996" s="353">
        <v>0</v>
      </c>
      <c r="G2996" s="353">
        <f>+ROUND((((G2986+G2988+G2990)*0.99)*0.88)*0.6,0)</f>
        <v>3556824</v>
      </c>
      <c r="H2996" s="354" t="str">
        <f t="shared" ref="H2996:H3012" si="52">+H2995</f>
        <v>Centralización Recaudación Junio</v>
      </c>
      <c r="I2996" s="355" t="s">
        <v>131</v>
      </c>
      <c r="K2996" s="370"/>
      <c r="N2996" s="370"/>
    </row>
    <row r="2997" spans="1:14" s="347" customFormat="1" x14ac:dyDescent="0.25">
      <c r="A2997" s="350">
        <f t="shared" si="51"/>
        <v>44377</v>
      </c>
      <c r="B2997" s="351">
        <f t="shared" si="51"/>
        <v>6</v>
      </c>
      <c r="C2997" s="352">
        <v>4120</v>
      </c>
      <c r="D2997" s="340" t="str">
        <f>VLOOKUP(C2997,Plan!A:B,2,0)</f>
        <v>Aporte Arzobispado</v>
      </c>
      <c r="E2997" s="341">
        <f t="shared" si="48"/>
        <v>3556824</v>
      </c>
      <c r="F2997" s="353">
        <f>+G2996</f>
        <v>3556824</v>
      </c>
      <c r="G2997" s="353">
        <v>0</v>
      </c>
      <c r="H2997" s="354" t="str">
        <f t="shared" si="52"/>
        <v>Centralización Recaudación Junio</v>
      </c>
      <c r="I2997" s="355" t="s">
        <v>131</v>
      </c>
      <c r="K2997" s="370"/>
      <c r="N2997" s="370"/>
    </row>
    <row r="2998" spans="1:14" s="347" customFormat="1" x14ac:dyDescent="0.25">
      <c r="A2998" s="350">
        <f t="shared" si="51"/>
        <v>44377</v>
      </c>
      <c r="B2998" s="351">
        <f t="shared" si="51"/>
        <v>6</v>
      </c>
      <c r="C2998" s="352">
        <v>203</v>
      </c>
      <c r="D2998" s="340" t="str">
        <f>VLOOKUP(C2998,Plan!A:B,2,0)</f>
        <v>Recaudadoras por pagar</v>
      </c>
      <c r="E2998" s="341">
        <f t="shared" si="48"/>
        <v>-68760</v>
      </c>
      <c r="F2998" s="353">
        <v>0</v>
      </c>
      <c r="G2998" s="356">
        <f>+F2992*0.12</f>
        <v>68760</v>
      </c>
      <c r="H2998" s="354" t="str">
        <f t="shared" si="52"/>
        <v>Centralización Recaudación Junio</v>
      </c>
      <c r="I2998" s="355" t="s">
        <v>131</v>
      </c>
      <c r="K2998" s="370"/>
      <c r="N2998" s="370"/>
    </row>
    <row r="2999" spans="1:14" s="347" customFormat="1" x14ac:dyDescent="0.25">
      <c r="A2999" s="350">
        <f t="shared" si="51"/>
        <v>44377</v>
      </c>
      <c r="B2999" s="351">
        <f t="shared" si="51"/>
        <v>6</v>
      </c>
      <c r="C2999" s="352">
        <v>201</v>
      </c>
      <c r="D2999" s="340" t="str">
        <f>VLOOKUP(C2999,Plan!A:B,2,0)</f>
        <v>1% por pagar</v>
      </c>
      <c r="E2999" s="341">
        <f t="shared" si="48"/>
        <v>-154547</v>
      </c>
      <c r="F2999" s="353">
        <v>0</v>
      </c>
      <c r="G2999" s="356">
        <f>ROUND(SUM(G2986:G2991)*0.01,0)</f>
        <v>154547</v>
      </c>
      <c r="H2999" s="354" t="str">
        <f t="shared" si="52"/>
        <v>Centralización Recaudación Junio</v>
      </c>
      <c r="I2999" s="355" t="s">
        <v>131</v>
      </c>
      <c r="K2999" s="370"/>
      <c r="N2999" s="370"/>
    </row>
    <row r="3000" spans="1:14" s="347" customFormat="1" x14ac:dyDescent="0.25">
      <c r="A3000" s="350">
        <f t="shared" si="51"/>
        <v>44377</v>
      </c>
      <c r="B3000" s="351">
        <f t="shared" si="51"/>
        <v>6</v>
      </c>
      <c r="C3000" s="352">
        <v>4140</v>
      </c>
      <c r="D3000" s="340" t="str">
        <f>VLOOKUP(C3000,Plan!A:B,2,0)</f>
        <v>Comisiones Cali Recaudadores</v>
      </c>
      <c r="E3000" s="341">
        <f t="shared" si="48"/>
        <v>68760</v>
      </c>
      <c r="F3000" s="353">
        <f>+G2998</f>
        <v>68760</v>
      </c>
      <c r="G3000" s="353">
        <v>0</v>
      </c>
      <c r="H3000" s="354" t="str">
        <f t="shared" si="52"/>
        <v>Centralización Recaudación Junio</v>
      </c>
      <c r="I3000" s="355" t="s">
        <v>131</v>
      </c>
      <c r="K3000" s="370"/>
      <c r="N3000" s="370"/>
    </row>
    <row r="3001" spans="1:14" s="347" customFormat="1" x14ac:dyDescent="0.25">
      <c r="A3001" s="350">
        <f t="shared" si="51"/>
        <v>44377</v>
      </c>
      <c r="B3001" s="351">
        <f t="shared" si="51"/>
        <v>6</v>
      </c>
      <c r="C3001" s="352">
        <v>4110</v>
      </c>
      <c r="D3001" s="340" t="str">
        <f>VLOOKUP(C3001,Plan!A:B,2,0)</f>
        <v>Aporte Papal</v>
      </c>
      <c r="E3001" s="341">
        <f t="shared" si="48"/>
        <v>154547</v>
      </c>
      <c r="F3001" s="353">
        <f>+G2999</f>
        <v>154547</v>
      </c>
      <c r="G3001" s="353">
        <v>0</v>
      </c>
      <c r="H3001" s="354" t="str">
        <f t="shared" si="52"/>
        <v>Centralización Recaudación Junio</v>
      </c>
      <c r="I3001" s="355" t="s">
        <v>131</v>
      </c>
      <c r="K3001" s="370"/>
      <c r="N3001" s="370"/>
    </row>
    <row r="3002" spans="1:14" s="347" customFormat="1" x14ac:dyDescent="0.25">
      <c r="A3002" s="470">
        <f t="shared" si="51"/>
        <v>44377</v>
      </c>
      <c r="B3002" s="471">
        <f t="shared" si="51"/>
        <v>6</v>
      </c>
      <c r="C3002" s="471">
        <v>3610</v>
      </c>
      <c r="D3002" s="472" t="str">
        <f>VLOOKUP(C3002,Plan!A:B,2,0)</f>
        <v>Cali  Arzobispado</v>
      </c>
      <c r="E3002" s="341">
        <f t="shared" si="48"/>
        <v>-5898265</v>
      </c>
      <c r="F3002" s="473">
        <v>0</v>
      </c>
      <c r="G3002" s="473">
        <v>5898265</v>
      </c>
      <c r="H3002" s="474" t="str">
        <f t="shared" si="52"/>
        <v>Centralización Recaudación Junio</v>
      </c>
      <c r="I3002" s="474" t="s">
        <v>131</v>
      </c>
      <c r="K3002" s="370"/>
      <c r="N3002" s="370"/>
    </row>
    <row r="3003" spans="1:14" s="347" customFormat="1" x14ac:dyDescent="0.25">
      <c r="A3003" s="470">
        <f t="shared" si="51"/>
        <v>44377</v>
      </c>
      <c r="B3003" s="471">
        <f t="shared" si="51"/>
        <v>6</v>
      </c>
      <c r="C3003" s="471">
        <v>3611</v>
      </c>
      <c r="D3003" s="472" t="str">
        <f>VLOOKUP(C3003,Plan!A:B,2,0)</f>
        <v>Cali  Arzobispado (249)</v>
      </c>
      <c r="E3003" s="341">
        <f t="shared" si="48"/>
        <v>-1525000</v>
      </c>
      <c r="F3003" s="473">
        <v>0</v>
      </c>
      <c r="G3003" s="473">
        <v>1525000</v>
      </c>
      <c r="H3003" s="474" t="str">
        <f t="shared" si="52"/>
        <v>Centralización Recaudación Junio</v>
      </c>
      <c r="I3003" s="474" t="s">
        <v>131</v>
      </c>
      <c r="K3003" s="370"/>
      <c r="N3003" s="370"/>
    </row>
    <row r="3004" spans="1:14" s="347" customFormat="1" x14ac:dyDescent="0.25">
      <c r="A3004" s="470">
        <f t="shared" ref="A3004:B3006" si="53">+A3002</f>
        <v>44377</v>
      </c>
      <c r="B3004" s="471">
        <f t="shared" si="53"/>
        <v>6</v>
      </c>
      <c r="C3004" s="471">
        <v>4160</v>
      </c>
      <c r="D3004" s="472" t="str">
        <f>VLOOKUP(C3004,Plan!A:B,2,0)</f>
        <v>Comisiones Cali Arzobispado</v>
      </c>
      <c r="E3004" s="341">
        <f t="shared" si="48"/>
        <v>410524</v>
      </c>
      <c r="F3004" s="473">
        <v>410524</v>
      </c>
      <c r="G3004" s="473">
        <v>0</v>
      </c>
      <c r="H3004" s="474" t="str">
        <f t="shared" si="52"/>
        <v>Centralización Recaudación Junio</v>
      </c>
      <c r="I3004" s="474" t="s">
        <v>131</v>
      </c>
      <c r="K3004" s="370"/>
      <c r="N3004" s="370"/>
    </row>
    <row r="3005" spans="1:14" s="347" customFormat="1" x14ac:dyDescent="0.25">
      <c r="A3005" s="470">
        <f t="shared" si="53"/>
        <v>44377</v>
      </c>
      <c r="B3005" s="471">
        <f t="shared" si="53"/>
        <v>6</v>
      </c>
      <c r="C3005" s="471">
        <v>4160</v>
      </c>
      <c r="D3005" s="472" t="str">
        <f>VLOOKUP(C3005,Plan!A:B,2,0)</f>
        <v>Comisiones Cali Arzobispado</v>
      </c>
      <c r="E3005" s="341">
        <f t="shared" si="48"/>
        <v>38125</v>
      </c>
      <c r="F3005" s="473">
        <v>38125</v>
      </c>
      <c r="G3005" s="473">
        <v>0</v>
      </c>
      <c r="H3005" s="474" t="str">
        <f t="shared" si="52"/>
        <v>Centralización Recaudación Junio</v>
      </c>
      <c r="I3005" s="474" t="s">
        <v>131</v>
      </c>
      <c r="K3005" s="370"/>
      <c r="N3005" s="370"/>
    </row>
    <row r="3006" spans="1:14" s="347" customFormat="1" x14ac:dyDescent="0.25">
      <c r="A3006" s="350">
        <f t="shared" si="53"/>
        <v>44377</v>
      </c>
      <c r="B3006" s="351">
        <f t="shared" si="53"/>
        <v>6</v>
      </c>
      <c r="C3006" s="352">
        <v>4120</v>
      </c>
      <c r="D3006" s="340" t="str">
        <f>VLOOKUP(C3006,Plan!A:B,2,0)</f>
        <v>Aporte Arzobispado</v>
      </c>
      <c r="E3006" s="341">
        <f t="shared" si="48"/>
        <v>3257255</v>
      </c>
      <c r="F3006" s="353">
        <f>ROUND((+G3002-F3004-F3007)*0.6,0)</f>
        <v>3257255</v>
      </c>
      <c r="G3006" s="353">
        <v>0</v>
      </c>
      <c r="H3006" s="354" t="str">
        <f t="shared" si="52"/>
        <v>Centralización Recaudación Junio</v>
      </c>
      <c r="I3006" s="355" t="s">
        <v>131</v>
      </c>
      <c r="K3006" s="370"/>
      <c r="N3006" s="370"/>
    </row>
    <row r="3007" spans="1:14" s="347" customFormat="1" x14ac:dyDescent="0.25">
      <c r="A3007" s="350">
        <f>+A3006</f>
        <v>44377</v>
      </c>
      <c r="B3007" s="351">
        <f>+B3006</f>
        <v>6</v>
      </c>
      <c r="C3007" s="352">
        <v>4110</v>
      </c>
      <c r="D3007" s="340" t="str">
        <f>VLOOKUP(C3007,Plan!A:B,2,0)</f>
        <v>Aporte Papal</v>
      </c>
      <c r="E3007" s="341">
        <f t="shared" si="48"/>
        <v>58983</v>
      </c>
      <c r="F3007" s="353">
        <f>ROUND((+G3002)*0.01,0)</f>
        <v>58983</v>
      </c>
      <c r="G3007" s="353">
        <v>0</v>
      </c>
      <c r="H3007" s="354" t="str">
        <f t="shared" si="52"/>
        <v>Centralización Recaudación Junio</v>
      </c>
      <c r="I3007" s="355" t="s">
        <v>131</v>
      </c>
      <c r="K3007" s="370"/>
      <c r="N3007" s="370"/>
    </row>
    <row r="3008" spans="1:14" s="347" customFormat="1" x14ac:dyDescent="0.25">
      <c r="A3008" s="350">
        <f>+A3007</f>
        <v>44377</v>
      </c>
      <c r="B3008" s="351">
        <f>+B3007</f>
        <v>6</v>
      </c>
      <c r="C3008" s="352">
        <v>4110</v>
      </c>
      <c r="D3008" s="340" t="str">
        <f>VLOOKUP(C3008,Plan!A:B,2,0)</f>
        <v>Aporte Papal</v>
      </c>
      <c r="E3008" s="341">
        <f t="shared" si="48"/>
        <v>15250</v>
      </c>
      <c r="F3008" s="353">
        <f>(+G3003)*0.01</f>
        <v>15250</v>
      </c>
      <c r="G3008" s="353">
        <v>0</v>
      </c>
      <c r="H3008" s="354" t="str">
        <f t="shared" si="52"/>
        <v>Centralización Recaudación Junio</v>
      </c>
      <c r="I3008" s="355" t="s">
        <v>131</v>
      </c>
      <c r="K3008" s="370"/>
      <c r="N3008" s="370"/>
    </row>
    <row r="3009" spans="1:14" s="347" customFormat="1" x14ac:dyDescent="0.25">
      <c r="A3009" s="350">
        <f>+A3007</f>
        <v>44377</v>
      </c>
      <c r="B3009" s="351">
        <f>+B3007</f>
        <v>6</v>
      </c>
      <c r="C3009" s="352">
        <v>1219</v>
      </c>
      <c r="D3009" s="340" t="str">
        <f>VLOOKUP(C3009,Plan!A:B,2,0)</f>
        <v>Otros Valores Arzobispado (248)</v>
      </c>
      <c r="E3009" s="341">
        <f t="shared" si="48"/>
        <v>2171503</v>
      </c>
      <c r="F3009" s="353">
        <f>+G3002-F3004-F3006-F3007</f>
        <v>2171503</v>
      </c>
      <c r="G3009" s="353">
        <v>0</v>
      </c>
      <c r="H3009" s="354" t="str">
        <f t="shared" si="52"/>
        <v>Centralización Recaudación Junio</v>
      </c>
      <c r="I3009" s="355" t="s">
        <v>131</v>
      </c>
      <c r="K3009" s="370"/>
      <c r="N3009" s="370"/>
    </row>
    <row r="3010" spans="1:14" s="347" customFormat="1" x14ac:dyDescent="0.25">
      <c r="A3010" s="350">
        <f>+A3009</f>
        <v>44377</v>
      </c>
      <c r="B3010" s="351">
        <f>+B3009</f>
        <v>6</v>
      </c>
      <c r="C3010" s="352">
        <v>1220</v>
      </c>
      <c r="D3010" s="340" t="str">
        <f>VLOOKUP(C3010,Plan!A:B,2,0)</f>
        <v>Otros Valores Arzobispado (249)</v>
      </c>
      <c r="E3010" s="341">
        <f t="shared" si="48"/>
        <v>1471625</v>
      </c>
      <c r="F3010" s="353">
        <f>+G3003-F3005-F3008</f>
        <v>1471625</v>
      </c>
      <c r="G3010" s="353">
        <v>0</v>
      </c>
      <c r="H3010" s="354" t="str">
        <f t="shared" si="52"/>
        <v>Centralización Recaudación Junio</v>
      </c>
      <c r="I3010" s="355" t="s">
        <v>131</v>
      </c>
      <c r="K3010" s="370"/>
      <c r="N3010" s="370"/>
    </row>
    <row r="3011" spans="1:14" s="347" customFormat="1" x14ac:dyDescent="0.25">
      <c r="A3011" s="350">
        <f>+A3009</f>
        <v>44377</v>
      </c>
      <c r="B3011" s="351">
        <f>+B3009</f>
        <v>6</v>
      </c>
      <c r="C3011" s="352">
        <v>1218</v>
      </c>
      <c r="D3011" s="340" t="str">
        <f>VLOOKUP(C3011,Plan!A:B,2,0)</f>
        <v>Otros Valores Tarjeta de Credito</v>
      </c>
      <c r="E3011" s="341">
        <f t="shared" si="48"/>
        <v>-124115</v>
      </c>
      <c r="F3011" s="353">
        <f>+G3004+G3006</f>
        <v>0</v>
      </c>
      <c r="G3011" s="353">
        <f>+F3012</f>
        <v>124115</v>
      </c>
      <c r="H3011" s="354" t="str">
        <f t="shared" si="52"/>
        <v>Centralización Recaudación Junio</v>
      </c>
      <c r="I3011" s="355" t="s">
        <v>131</v>
      </c>
      <c r="K3011" s="370"/>
      <c r="N3011" s="370"/>
    </row>
    <row r="3012" spans="1:14" s="347" customFormat="1" x14ac:dyDescent="0.25">
      <c r="A3012" s="350">
        <f>+A3009</f>
        <v>44377</v>
      </c>
      <c r="B3012" s="351">
        <f>+B3009</f>
        <v>6</v>
      </c>
      <c r="C3012" s="352">
        <v>4150</v>
      </c>
      <c r="D3012" s="340" t="str">
        <f>VLOOKUP(C3012,Plan!A:B,2,0)</f>
        <v>Comisiones Cali Tarjetas de Creditos</v>
      </c>
      <c r="E3012" s="341">
        <f t="shared" si="48"/>
        <v>124115</v>
      </c>
      <c r="F3012" s="353">
        <f>ROUND(+(G2991+G2990)*(1-0.9881),0)*1</f>
        <v>124115</v>
      </c>
      <c r="G3012" s="353">
        <v>0</v>
      </c>
      <c r="H3012" s="354" t="str">
        <f t="shared" si="52"/>
        <v>Centralización Recaudación Junio</v>
      </c>
      <c r="I3012" s="355" t="s">
        <v>131</v>
      </c>
      <c r="K3012" s="370"/>
      <c r="N3012" s="370"/>
    </row>
    <row r="3013" spans="1:14" s="347" customFormat="1" x14ac:dyDescent="0.25">
      <c r="A3013" s="369"/>
      <c r="E3013" s="396"/>
      <c r="F3013" s="396"/>
      <c r="G3013" s="396"/>
      <c r="K3013" s="370"/>
      <c r="N3013" s="370"/>
    </row>
    <row r="3014" spans="1:14" s="347" customFormat="1" x14ac:dyDescent="0.25">
      <c r="A3014" s="369"/>
      <c r="E3014" s="396"/>
      <c r="F3014" s="396"/>
      <c r="G3014" s="396"/>
      <c r="K3014" s="370"/>
      <c r="N3014" s="370"/>
    </row>
    <row r="3015" spans="1:14" s="347" customFormat="1" x14ac:dyDescent="0.25">
      <c r="A3015" s="339">
        <v>44293</v>
      </c>
      <c r="B3015" s="403">
        <f>+MONTH(A3015)</f>
        <v>4</v>
      </c>
      <c r="C3015" s="347">
        <v>204</v>
      </c>
      <c r="D3015" s="340" t="str">
        <f>VLOOKUP(C3015,Plan!A:B,2,0)</f>
        <v>Retención Honorarios Cali</v>
      </c>
      <c r="E3015" s="341">
        <f>+F3015-G3015</f>
        <v>117035</v>
      </c>
      <c r="F3015" s="405">
        <v>117035</v>
      </c>
      <c r="G3015" s="405">
        <v>0</v>
      </c>
      <c r="H3015" s="156" t="s">
        <v>1801</v>
      </c>
      <c r="I3015" s="403" t="s">
        <v>131</v>
      </c>
      <c r="K3015" s="370"/>
      <c r="N3015" s="370"/>
    </row>
    <row r="3016" spans="1:14" s="347" customFormat="1" x14ac:dyDescent="0.25">
      <c r="A3016" s="369">
        <f>+A3015</f>
        <v>44293</v>
      </c>
      <c r="B3016" s="403">
        <f>+B3015</f>
        <v>4</v>
      </c>
      <c r="C3016" s="347">
        <v>141</v>
      </c>
      <c r="D3016" s="340" t="str">
        <f>VLOOKUP(C3016,Plan!A:B,2,0)</f>
        <v>Cuentas por Cobrar a Administración</v>
      </c>
      <c r="E3016" s="341">
        <f>+F3016-G3016</f>
        <v>-117035</v>
      </c>
      <c r="F3016" s="405">
        <v>0</v>
      </c>
      <c r="G3016" s="405">
        <f>+F3015</f>
        <v>117035</v>
      </c>
      <c r="H3016" t="str">
        <f>+H3015</f>
        <v>Pago F29 Marzo por Administración</v>
      </c>
      <c r="I3016" s="403" t="s">
        <v>131</v>
      </c>
      <c r="K3016" s="370"/>
      <c r="N3016" s="370"/>
    </row>
    <row r="3017" spans="1:14" s="347" customFormat="1" x14ac:dyDescent="0.25">
      <c r="A3017" s="369"/>
      <c r="E3017" s="396"/>
      <c r="F3017" s="396"/>
      <c r="G3017" s="396"/>
      <c r="K3017" s="370"/>
      <c r="N3017" s="370"/>
    </row>
    <row r="3018" spans="1:14" s="347" customFormat="1" x14ac:dyDescent="0.25">
      <c r="A3018" s="339">
        <v>44323</v>
      </c>
      <c r="B3018" s="403">
        <f>+MONTH(A3018)</f>
        <v>5</v>
      </c>
      <c r="C3018" s="347">
        <v>204</v>
      </c>
      <c r="D3018" s="340" t="str">
        <f>VLOOKUP(C3018,Plan!A:B,2,0)</f>
        <v>Retención Honorarios Cali</v>
      </c>
      <c r="E3018" s="341">
        <f>+F3018-G3018</f>
        <v>72321</v>
      </c>
      <c r="F3018" s="405">
        <v>72321</v>
      </c>
      <c r="G3018" s="405">
        <v>0</v>
      </c>
      <c r="H3018" s="156" t="s">
        <v>1802</v>
      </c>
      <c r="I3018" s="403" t="s">
        <v>131</v>
      </c>
      <c r="K3018" s="370"/>
      <c r="N3018" s="370"/>
    </row>
    <row r="3019" spans="1:14" s="347" customFormat="1" x14ac:dyDescent="0.25">
      <c r="A3019" s="369">
        <f>+A3018</f>
        <v>44323</v>
      </c>
      <c r="B3019" s="403">
        <f>+B3018</f>
        <v>5</v>
      </c>
      <c r="C3019" s="347">
        <v>141</v>
      </c>
      <c r="D3019" s="340" t="str">
        <f>VLOOKUP(C3019,Plan!A:B,2,0)</f>
        <v>Cuentas por Cobrar a Administración</v>
      </c>
      <c r="E3019" s="341">
        <f>+F3019-G3019</f>
        <v>-72321</v>
      </c>
      <c r="F3019" s="405">
        <v>0</v>
      </c>
      <c r="G3019" s="405">
        <f>+F3018</f>
        <v>72321</v>
      </c>
      <c r="H3019" t="str">
        <f>+H3018</f>
        <v>Pago F29 Abril por Administración</v>
      </c>
      <c r="I3019" s="403" t="s">
        <v>131</v>
      </c>
      <c r="K3019" s="370"/>
      <c r="N3019" s="370"/>
    </row>
    <row r="3020" spans="1:14" s="347" customFormat="1" x14ac:dyDescent="0.25">
      <c r="A3020" s="369"/>
      <c r="E3020" s="396"/>
      <c r="F3020" s="396"/>
      <c r="G3020" s="396"/>
      <c r="K3020" s="370"/>
      <c r="N3020" s="370"/>
    </row>
    <row r="3021" spans="1:14" s="347" customFormat="1" x14ac:dyDescent="0.25">
      <c r="A3021" s="339">
        <v>44354</v>
      </c>
      <c r="B3021" s="403">
        <f>+MONTH(A3021)</f>
        <v>6</v>
      </c>
      <c r="C3021" s="347">
        <v>204</v>
      </c>
      <c r="D3021" s="340" t="str">
        <f>VLOOKUP(C3021,Plan!A:B,2,0)</f>
        <v>Retención Honorarios Cali</v>
      </c>
      <c r="E3021" s="341">
        <f>+F3021-G3021</f>
        <v>66148</v>
      </c>
      <c r="F3021" s="405">
        <v>66148</v>
      </c>
      <c r="G3021" s="405">
        <v>0</v>
      </c>
      <c r="H3021" s="156" t="s">
        <v>1803</v>
      </c>
      <c r="I3021" s="403" t="s">
        <v>131</v>
      </c>
      <c r="K3021" s="370"/>
      <c r="N3021" s="370"/>
    </row>
    <row r="3022" spans="1:14" s="347" customFormat="1" x14ac:dyDescent="0.25">
      <c r="A3022" s="369">
        <f>+A3021</f>
        <v>44354</v>
      </c>
      <c r="B3022" s="403">
        <f>+B3021</f>
        <v>6</v>
      </c>
      <c r="C3022" s="347">
        <v>141</v>
      </c>
      <c r="D3022" s="340" t="str">
        <f>VLOOKUP(C3022,Plan!A:B,2,0)</f>
        <v>Cuentas por Cobrar a Administración</v>
      </c>
      <c r="E3022" s="341">
        <f>+F3022-G3022</f>
        <v>-66148</v>
      </c>
      <c r="F3022" s="405">
        <v>0</v>
      </c>
      <c r="G3022" s="405">
        <f>+F3021</f>
        <v>66148</v>
      </c>
      <c r="H3022" t="str">
        <f>+H3021</f>
        <v>Pago F29 Mayo por Administración</v>
      </c>
      <c r="I3022" s="403" t="s">
        <v>131</v>
      </c>
      <c r="K3022" s="370"/>
      <c r="N3022" s="370"/>
    </row>
    <row r="3023" spans="1:14" s="347" customFormat="1" x14ac:dyDescent="0.25">
      <c r="A3023" s="369"/>
      <c r="E3023" s="396"/>
      <c r="F3023" s="396"/>
      <c r="G3023" s="396"/>
      <c r="K3023" s="370"/>
      <c r="N3023" s="370"/>
    </row>
    <row r="3024" spans="1:14" s="347" customFormat="1" x14ac:dyDescent="0.25">
      <c r="A3024" s="339">
        <v>44377</v>
      </c>
      <c r="B3024" s="403">
        <f>+MONTH(A3024)</f>
        <v>6</v>
      </c>
      <c r="C3024" s="347">
        <v>141</v>
      </c>
      <c r="D3024" s="340" t="str">
        <f>VLOOKUP(C3024,Plan!A:B,2,0)</f>
        <v>Cuentas por Cobrar a Administración</v>
      </c>
      <c r="E3024" s="341">
        <f t="shared" ref="E3024:E3049" si="54">+F3024-G3024</f>
        <v>30000</v>
      </c>
      <c r="F3024" s="347">
        <v>30000</v>
      </c>
      <c r="G3024" s="347">
        <v>0</v>
      </c>
      <c r="H3024" t="s">
        <v>675</v>
      </c>
      <c r="I3024" s="403" t="s">
        <v>131</v>
      </c>
      <c r="K3024" s="370"/>
      <c r="N3024" s="370"/>
    </row>
    <row r="3025" spans="1:14" s="347" customFormat="1" x14ac:dyDescent="0.25">
      <c r="A3025" s="369">
        <f>+A3024</f>
        <v>44377</v>
      </c>
      <c r="B3025" s="403">
        <f>+B3024</f>
        <v>6</v>
      </c>
      <c r="C3025" s="347">
        <v>141</v>
      </c>
      <c r="D3025" s="340" t="str">
        <f>VLOOKUP(C3025,Plan!A:B,2,0)</f>
        <v>Cuentas por Cobrar a Administración</v>
      </c>
      <c r="E3025" s="341">
        <f t="shared" si="54"/>
        <v>30000</v>
      </c>
      <c r="F3025" s="347">
        <v>30000</v>
      </c>
      <c r="G3025" s="347">
        <v>0</v>
      </c>
      <c r="H3025" s="396" t="s">
        <v>1553</v>
      </c>
      <c r="I3025" s="403" t="s">
        <v>131</v>
      </c>
      <c r="K3025" s="370"/>
      <c r="N3025" s="370"/>
    </row>
    <row r="3026" spans="1:14" s="347" customFormat="1" x14ac:dyDescent="0.25">
      <c r="A3026" s="339">
        <v>44377</v>
      </c>
      <c r="B3026" s="403">
        <f t="shared" ref="B3026:B3036" si="55">+MONTH(A3026)</f>
        <v>6</v>
      </c>
      <c r="C3026" s="347">
        <v>141</v>
      </c>
      <c r="D3026" s="340" t="str">
        <f>VLOOKUP(C3026,Plan!A:B,2,0)</f>
        <v>Cuentas por Cobrar a Administración</v>
      </c>
      <c r="E3026" s="341">
        <f t="shared" si="54"/>
        <v>15000</v>
      </c>
      <c r="F3026" s="347">
        <v>15000</v>
      </c>
      <c r="G3026" s="347">
        <v>0</v>
      </c>
      <c r="H3026" s="396" t="s">
        <v>1556</v>
      </c>
      <c r="I3026" s="403" t="s">
        <v>131</v>
      </c>
      <c r="K3026" s="370"/>
      <c r="N3026" s="370"/>
    </row>
    <row r="3027" spans="1:14" s="347" customFormat="1" x14ac:dyDescent="0.25">
      <c r="A3027" s="339">
        <v>44377</v>
      </c>
      <c r="B3027" s="403">
        <f t="shared" si="55"/>
        <v>6</v>
      </c>
      <c r="C3027" s="347">
        <v>141</v>
      </c>
      <c r="D3027" s="340" t="str">
        <f>VLOOKUP(C3027,Plan!A:B,2,0)</f>
        <v>Cuentas por Cobrar a Administración</v>
      </c>
      <c r="E3027" s="341">
        <f t="shared" si="54"/>
        <v>100000</v>
      </c>
      <c r="F3027" s="347">
        <v>100000</v>
      </c>
      <c r="G3027" s="347">
        <v>0</v>
      </c>
      <c r="H3027" s="396" t="s">
        <v>1568</v>
      </c>
      <c r="I3027" s="403" t="s">
        <v>131</v>
      </c>
      <c r="K3027" s="370"/>
      <c r="N3027" s="370"/>
    </row>
    <row r="3028" spans="1:14" s="347" customFormat="1" x14ac:dyDescent="0.25">
      <c r="A3028" s="339">
        <v>44377</v>
      </c>
      <c r="B3028" s="403">
        <f t="shared" si="55"/>
        <v>6</v>
      </c>
      <c r="C3028" s="347">
        <v>141</v>
      </c>
      <c r="D3028" s="340" t="str">
        <f>VLOOKUP(C3028,Plan!A:B,2,0)</f>
        <v>Cuentas por Cobrar a Administración</v>
      </c>
      <c r="E3028" s="341">
        <f t="shared" si="54"/>
        <v>21000</v>
      </c>
      <c r="F3028" s="347">
        <v>21000</v>
      </c>
      <c r="G3028" s="347">
        <v>0</v>
      </c>
      <c r="H3028" s="396" t="s">
        <v>1569</v>
      </c>
      <c r="I3028" s="403" t="s">
        <v>131</v>
      </c>
      <c r="K3028" s="370"/>
      <c r="N3028" s="370"/>
    </row>
    <row r="3029" spans="1:14" s="347" customFormat="1" x14ac:dyDescent="0.25">
      <c r="A3029" s="339">
        <v>44377</v>
      </c>
      <c r="B3029" s="403">
        <f t="shared" si="55"/>
        <v>6</v>
      </c>
      <c r="C3029" s="347">
        <v>141</v>
      </c>
      <c r="D3029" s="340" t="str">
        <f>VLOOKUP(C3029,Plan!A:B,2,0)</f>
        <v>Cuentas por Cobrar a Administración</v>
      </c>
      <c r="E3029" s="341">
        <f t="shared" si="54"/>
        <v>15000</v>
      </c>
      <c r="F3029" s="347">
        <v>15000</v>
      </c>
      <c r="G3029" s="347">
        <v>0</v>
      </c>
      <c r="H3029" s="396" t="s">
        <v>1571</v>
      </c>
      <c r="I3029" s="403" t="s">
        <v>131</v>
      </c>
      <c r="K3029" s="370"/>
      <c r="N3029" s="370"/>
    </row>
    <row r="3030" spans="1:14" s="347" customFormat="1" x14ac:dyDescent="0.25">
      <c r="A3030" s="339">
        <v>44377</v>
      </c>
      <c r="B3030" s="403">
        <f t="shared" si="55"/>
        <v>6</v>
      </c>
      <c r="C3030" s="347">
        <v>141</v>
      </c>
      <c r="D3030" s="340" t="str">
        <f>VLOOKUP(C3030,Plan!A:B,2,0)</f>
        <v>Cuentas por Cobrar a Administración</v>
      </c>
      <c r="E3030" s="341">
        <f t="shared" si="54"/>
        <v>20000</v>
      </c>
      <c r="F3030" s="347">
        <v>20000</v>
      </c>
      <c r="G3030" s="347">
        <v>0</v>
      </c>
      <c r="H3030" s="396" t="s">
        <v>1572</v>
      </c>
      <c r="I3030" s="403" t="s">
        <v>131</v>
      </c>
      <c r="K3030" s="370"/>
      <c r="N3030" s="370"/>
    </row>
    <row r="3031" spans="1:14" s="347" customFormat="1" x14ac:dyDescent="0.25">
      <c r="A3031" s="339">
        <v>44377</v>
      </c>
      <c r="B3031" s="403">
        <f t="shared" si="55"/>
        <v>6</v>
      </c>
      <c r="C3031" s="347">
        <v>141</v>
      </c>
      <c r="D3031" s="340" t="str">
        <f>VLOOKUP(C3031,Plan!A:B,2,0)</f>
        <v>Cuentas por Cobrar a Administración</v>
      </c>
      <c r="E3031" s="341">
        <f t="shared" si="54"/>
        <v>100000</v>
      </c>
      <c r="F3031" s="347">
        <v>100000</v>
      </c>
      <c r="G3031" s="347">
        <v>0</v>
      </c>
      <c r="H3031" s="396" t="s">
        <v>1581</v>
      </c>
      <c r="I3031" s="403" t="s">
        <v>131</v>
      </c>
      <c r="K3031" s="370"/>
      <c r="N3031" s="370"/>
    </row>
    <row r="3032" spans="1:14" s="347" customFormat="1" x14ac:dyDescent="0.25">
      <c r="A3032" s="339">
        <v>44377</v>
      </c>
      <c r="B3032" s="403">
        <f t="shared" si="55"/>
        <v>6</v>
      </c>
      <c r="C3032" s="347">
        <v>141</v>
      </c>
      <c r="D3032" s="340" t="str">
        <f>VLOOKUP(C3032,Plan!A:B,2,0)</f>
        <v>Cuentas por Cobrar a Administración</v>
      </c>
      <c r="E3032" s="341">
        <f t="shared" si="54"/>
        <v>100000</v>
      </c>
      <c r="F3032" s="347">
        <v>100000</v>
      </c>
      <c r="G3032" s="347">
        <v>0</v>
      </c>
      <c r="H3032" s="396" t="s">
        <v>1595</v>
      </c>
      <c r="I3032" s="403" t="s">
        <v>131</v>
      </c>
      <c r="K3032" s="370"/>
      <c r="N3032" s="370"/>
    </row>
    <row r="3033" spans="1:14" s="347" customFormat="1" x14ac:dyDescent="0.25">
      <c r="A3033" s="339">
        <v>44377</v>
      </c>
      <c r="B3033" s="403">
        <f t="shared" si="55"/>
        <v>6</v>
      </c>
      <c r="C3033" s="347">
        <v>141</v>
      </c>
      <c r="D3033" s="340" t="str">
        <f>VLOOKUP(C3033,Plan!A:B,2,0)</f>
        <v>Cuentas por Cobrar a Administración</v>
      </c>
      <c r="E3033" s="341">
        <f t="shared" si="54"/>
        <v>10000</v>
      </c>
      <c r="F3033" s="347">
        <v>10000</v>
      </c>
      <c r="G3033" s="347">
        <v>0</v>
      </c>
      <c r="H3033" s="396" t="s">
        <v>1616</v>
      </c>
      <c r="I3033" s="403" t="s">
        <v>131</v>
      </c>
      <c r="K3033" s="370"/>
      <c r="N3033" s="370"/>
    </row>
    <row r="3034" spans="1:14" s="347" customFormat="1" x14ac:dyDescent="0.25">
      <c r="A3034" s="339">
        <v>44377</v>
      </c>
      <c r="B3034" s="403">
        <f t="shared" si="55"/>
        <v>6</v>
      </c>
      <c r="C3034" s="347">
        <v>141</v>
      </c>
      <c r="D3034" s="340" t="str">
        <f>VLOOKUP(C3034,Plan!A:B,2,0)</f>
        <v>Cuentas por Cobrar a Administración</v>
      </c>
      <c r="E3034" s="341">
        <f t="shared" si="54"/>
        <v>40000</v>
      </c>
      <c r="F3034" s="347">
        <v>40000</v>
      </c>
      <c r="G3034" s="347">
        <v>0</v>
      </c>
      <c r="H3034" s="396" t="s">
        <v>1631</v>
      </c>
      <c r="I3034" s="403" t="s">
        <v>131</v>
      </c>
      <c r="K3034" s="370"/>
      <c r="N3034" s="370"/>
    </row>
    <row r="3035" spans="1:14" s="347" customFormat="1" x14ac:dyDescent="0.25">
      <c r="A3035" s="339">
        <v>44377</v>
      </c>
      <c r="B3035" s="403">
        <f t="shared" si="55"/>
        <v>6</v>
      </c>
      <c r="C3035" s="347">
        <v>141</v>
      </c>
      <c r="D3035" s="340" t="str">
        <f>VLOOKUP(C3035,Plan!A:B,2,0)</f>
        <v>Cuentas por Cobrar a Administración</v>
      </c>
      <c r="E3035" s="341">
        <f t="shared" si="54"/>
        <v>30000</v>
      </c>
      <c r="F3035" s="347">
        <v>30000</v>
      </c>
      <c r="G3035" s="347">
        <v>0</v>
      </c>
      <c r="H3035" s="396" t="s">
        <v>1632</v>
      </c>
      <c r="I3035" s="403" t="s">
        <v>131</v>
      </c>
      <c r="K3035" s="370"/>
      <c r="N3035" s="370"/>
    </row>
    <row r="3036" spans="1:14" s="347" customFormat="1" x14ac:dyDescent="0.25">
      <c r="A3036" s="339">
        <v>44377</v>
      </c>
      <c r="B3036" s="403">
        <f t="shared" si="55"/>
        <v>6</v>
      </c>
      <c r="C3036" s="347">
        <v>1222</v>
      </c>
      <c r="D3036" s="340" t="str">
        <f>VLOOKUP(C3036,Plan!A:B,2,0)</f>
        <v>Otros Valores -Oficina y Transferencias (249)</v>
      </c>
      <c r="E3036" s="341">
        <f t="shared" si="54"/>
        <v>-30000</v>
      </c>
      <c r="F3036" s="347">
        <v>0</v>
      </c>
      <c r="G3036" s="347">
        <v>30000</v>
      </c>
      <c r="H3036" t="s">
        <v>675</v>
      </c>
      <c r="I3036" s="403" t="s">
        <v>131</v>
      </c>
      <c r="K3036" s="370"/>
      <c r="N3036" s="370"/>
    </row>
    <row r="3037" spans="1:14" s="347" customFormat="1" x14ac:dyDescent="0.25">
      <c r="A3037" s="369">
        <f>+A3036</f>
        <v>44377</v>
      </c>
      <c r="B3037" s="403">
        <f>+B3036</f>
        <v>6</v>
      </c>
      <c r="C3037" s="347">
        <v>3210</v>
      </c>
      <c r="D3037" s="340" t="str">
        <f>VLOOKUP(C3037,Plan!A:B,2,0)</f>
        <v>Donacion Construccion</v>
      </c>
      <c r="E3037" s="341">
        <f t="shared" si="54"/>
        <v>-30000</v>
      </c>
      <c r="F3037" s="347">
        <v>0</v>
      </c>
      <c r="G3037" s="347">
        <v>30000</v>
      </c>
      <c r="H3037" s="396" t="s">
        <v>1553</v>
      </c>
      <c r="I3037" s="403" t="s">
        <v>131</v>
      </c>
      <c r="K3037" s="370"/>
      <c r="N3037" s="370"/>
    </row>
    <row r="3038" spans="1:14" s="347" customFormat="1" x14ac:dyDescent="0.25">
      <c r="A3038" s="339">
        <v>44377</v>
      </c>
      <c r="B3038" s="403">
        <f t="shared" ref="B3038:B3049" si="56">+MONTH(A3038)</f>
        <v>6</v>
      </c>
      <c r="C3038" s="347">
        <v>3210</v>
      </c>
      <c r="D3038" s="340" t="str">
        <f>VLOOKUP(C3038,Plan!A:B,2,0)</f>
        <v>Donacion Construccion</v>
      </c>
      <c r="E3038" s="341">
        <f t="shared" si="54"/>
        <v>-15000</v>
      </c>
      <c r="F3038" s="347">
        <v>0</v>
      </c>
      <c r="G3038" s="347">
        <v>15000</v>
      </c>
      <c r="H3038" s="396" t="s">
        <v>1556</v>
      </c>
      <c r="I3038" s="403" t="s">
        <v>131</v>
      </c>
      <c r="K3038" s="370"/>
      <c r="N3038" s="370"/>
    </row>
    <row r="3039" spans="1:14" s="347" customFormat="1" x14ac:dyDescent="0.25">
      <c r="A3039" s="339">
        <v>44377</v>
      </c>
      <c r="B3039" s="403">
        <f t="shared" si="56"/>
        <v>6</v>
      </c>
      <c r="C3039" s="347">
        <v>3210</v>
      </c>
      <c r="D3039" s="340" t="str">
        <f>VLOOKUP(C3039,Plan!A:B,2,0)</f>
        <v>Donacion Construccion</v>
      </c>
      <c r="E3039" s="341">
        <f t="shared" si="54"/>
        <v>-100000</v>
      </c>
      <c r="F3039" s="347">
        <v>0</v>
      </c>
      <c r="G3039" s="347">
        <v>100000</v>
      </c>
      <c r="H3039" s="396" t="s">
        <v>1568</v>
      </c>
      <c r="I3039" s="403" t="s">
        <v>131</v>
      </c>
      <c r="K3039" s="370"/>
      <c r="N3039" s="370"/>
    </row>
    <row r="3040" spans="1:14" s="347" customFormat="1" x14ac:dyDescent="0.25">
      <c r="A3040" s="339">
        <v>44377</v>
      </c>
      <c r="B3040" s="403">
        <f t="shared" si="56"/>
        <v>6</v>
      </c>
      <c r="C3040" s="347">
        <v>1217</v>
      </c>
      <c r="D3040" s="340" t="str">
        <f>VLOOKUP(C3040,Plan!A:B,2,0)</f>
        <v>Otros Valores -Oficina y Transferencias (248)</v>
      </c>
      <c r="E3040" s="341">
        <f t="shared" si="54"/>
        <v>-21000</v>
      </c>
      <c r="F3040" s="347">
        <v>0</v>
      </c>
      <c r="G3040" s="347">
        <v>21000</v>
      </c>
      <c r="H3040" s="396" t="s">
        <v>1569</v>
      </c>
      <c r="I3040" s="403" t="s">
        <v>131</v>
      </c>
      <c r="K3040" s="370"/>
      <c r="N3040" s="370"/>
    </row>
    <row r="3041" spans="1:14" s="347" customFormat="1" x14ac:dyDescent="0.25">
      <c r="A3041" s="339">
        <v>44377</v>
      </c>
      <c r="B3041" s="403">
        <f t="shared" si="56"/>
        <v>6</v>
      </c>
      <c r="C3041" s="347">
        <v>1222</v>
      </c>
      <c r="D3041" s="340" t="str">
        <f>VLOOKUP(C3041,Plan!A:B,2,0)</f>
        <v>Otros Valores -Oficina y Transferencias (249)</v>
      </c>
      <c r="E3041" s="341">
        <f t="shared" si="54"/>
        <v>-15000</v>
      </c>
      <c r="F3041" s="347">
        <v>0</v>
      </c>
      <c r="G3041" s="347">
        <v>15000</v>
      </c>
      <c r="H3041" s="396" t="s">
        <v>1571</v>
      </c>
      <c r="I3041" s="403" t="s">
        <v>131</v>
      </c>
      <c r="K3041" s="370"/>
      <c r="N3041" s="370"/>
    </row>
    <row r="3042" spans="1:14" s="347" customFormat="1" x14ac:dyDescent="0.25">
      <c r="A3042" s="339">
        <v>44377</v>
      </c>
      <c r="B3042" s="403">
        <f t="shared" si="56"/>
        <v>6</v>
      </c>
      <c r="C3042" s="347">
        <v>3210</v>
      </c>
      <c r="D3042" s="340" t="str">
        <f>VLOOKUP(C3042,Plan!A:B,2,0)</f>
        <v>Donacion Construccion</v>
      </c>
      <c r="E3042" s="341">
        <f t="shared" si="54"/>
        <v>-20000</v>
      </c>
      <c r="F3042" s="347">
        <v>0</v>
      </c>
      <c r="G3042" s="347">
        <v>20000</v>
      </c>
      <c r="H3042" s="396" t="s">
        <v>1572</v>
      </c>
      <c r="I3042" s="403" t="s">
        <v>131</v>
      </c>
      <c r="K3042" s="370"/>
      <c r="N3042" s="370"/>
    </row>
    <row r="3043" spans="1:14" s="347" customFormat="1" x14ac:dyDescent="0.25">
      <c r="A3043" s="339">
        <v>44377</v>
      </c>
      <c r="B3043" s="403">
        <f t="shared" si="56"/>
        <v>6</v>
      </c>
      <c r="C3043" s="347">
        <v>1222</v>
      </c>
      <c r="D3043" s="340" t="str">
        <f>VLOOKUP(C3043,Plan!A:B,2,0)</f>
        <v>Otros Valores -Oficina y Transferencias (249)</v>
      </c>
      <c r="E3043" s="341">
        <f t="shared" si="54"/>
        <v>-100000</v>
      </c>
      <c r="F3043" s="347">
        <v>0</v>
      </c>
      <c r="G3043" s="347">
        <v>100000</v>
      </c>
      <c r="H3043" s="396" t="s">
        <v>1581</v>
      </c>
      <c r="I3043" s="403" t="s">
        <v>131</v>
      </c>
      <c r="K3043" s="370"/>
      <c r="N3043" s="370"/>
    </row>
    <row r="3044" spans="1:14" s="347" customFormat="1" x14ac:dyDescent="0.25">
      <c r="A3044" s="339">
        <v>44377</v>
      </c>
      <c r="B3044" s="403">
        <f t="shared" si="56"/>
        <v>6</v>
      </c>
      <c r="C3044" s="347">
        <v>1222</v>
      </c>
      <c r="D3044" s="340" t="str">
        <f>VLOOKUP(C3044,Plan!A:B,2,0)</f>
        <v>Otros Valores -Oficina y Transferencias (249)</v>
      </c>
      <c r="E3044" s="341">
        <f t="shared" si="54"/>
        <v>-100000</v>
      </c>
      <c r="F3044" s="347">
        <v>0</v>
      </c>
      <c r="G3044" s="347">
        <v>100000</v>
      </c>
      <c r="H3044" s="396" t="s">
        <v>1595</v>
      </c>
      <c r="I3044" s="403" t="s">
        <v>131</v>
      </c>
      <c r="K3044" s="370"/>
      <c r="N3044" s="370"/>
    </row>
    <row r="3045" spans="1:14" s="347" customFormat="1" x14ac:dyDescent="0.25">
      <c r="A3045" s="339">
        <v>44377</v>
      </c>
      <c r="B3045" s="403">
        <f t="shared" si="56"/>
        <v>6</v>
      </c>
      <c r="C3045" s="347">
        <v>1222</v>
      </c>
      <c r="D3045" s="340" t="str">
        <f>VLOOKUP(C3045,Plan!A:B,2,0)</f>
        <v>Otros Valores -Oficina y Transferencias (249)</v>
      </c>
      <c r="E3045" s="341">
        <f t="shared" si="54"/>
        <v>-10000</v>
      </c>
      <c r="F3045" s="347">
        <v>0</v>
      </c>
      <c r="G3045" s="347">
        <v>10000</v>
      </c>
      <c r="H3045" s="396" t="s">
        <v>1616</v>
      </c>
      <c r="I3045" s="403" t="s">
        <v>131</v>
      </c>
      <c r="K3045" s="370"/>
      <c r="N3045" s="370"/>
    </row>
    <row r="3046" spans="1:14" s="347" customFormat="1" x14ac:dyDescent="0.25">
      <c r="A3046" s="339">
        <v>44377</v>
      </c>
      <c r="B3046" s="403">
        <f t="shared" si="56"/>
        <v>6</v>
      </c>
      <c r="C3046" s="347">
        <v>1222</v>
      </c>
      <c r="D3046" s="340" t="str">
        <f>VLOOKUP(C3046,Plan!A:B,2,0)</f>
        <v>Otros Valores -Oficina y Transferencias (249)</v>
      </c>
      <c r="E3046" s="341">
        <f t="shared" si="54"/>
        <v>-40000</v>
      </c>
      <c r="F3046" s="347">
        <v>0</v>
      </c>
      <c r="G3046" s="347">
        <v>40000</v>
      </c>
      <c r="H3046" s="396" t="s">
        <v>1631</v>
      </c>
      <c r="I3046" s="403" t="s">
        <v>131</v>
      </c>
      <c r="K3046" s="370"/>
      <c r="N3046" s="370"/>
    </row>
    <row r="3047" spans="1:14" s="347" customFormat="1" x14ac:dyDescent="0.25">
      <c r="A3047" s="339">
        <v>44377</v>
      </c>
      <c r="B3047" s="403">
        <f t="shared" si="56"/>
        <v>6</v>
      </c>
      <c r="C3047" s="347">
        <v>1222</v>
      </c>
      <c r="D3047" s="340" t="str">
        <f>VLOOKUP(C3047,Plan!A:B,2,0)</f>
        <v>Otros Valores -Oficina y Transferencias (249)</v>
      </c>
      <c r="E3047" s="341">
        <f t="shared" si="54"/>
        <v>-30000</v>
      </c>
      <c r="F3047" s="347">
        <v>0</v>
      </c>
      <c r="G3047" s="347">
        <v>30000</v>
      </c>
      <c r="H3047" s="396" t="s">
        <v>1632</v>
      </c>
      <c r="I3047" s="403" t="s">
        <v>131</v>
      </c>
      <c r="K3047" s="370"/>
      <c r="N3047" s="370"/>
    </row>
    <row r="3048" spans="1:14" s="347" customFormat="1" x14ac:dyDescent="0.25">
      <c r="A3048" s="339">
        <v>44377</v>
      </c>
      <c r="B3048" s="403">
        <f t="shared" si="56"/>
        <v>6</v>
      </c>
      <c r="C3048" s="347">
        <v>141</v>
      </c>
      <c r="D3048" s="340" t="str">
        <f>VLOOKUP(C3048,Plan!A:B,2,0)</f>
        <v>Cuentas por Cobrar a Administración</v>
      </c>
      <c r="E3048" s="341">
        <f t="shared" si="54"/>
        <v>30000</v>
      </c>
      <c r="F3048" s="347">
        <v>30000</v>
      </c>
      <c r="G3048" s="347">
        <v>0</v>
      </c>
      <c r="H3048" t="s">
        <v>1641</v>
      </c>
      <c r="I3048" s="403" t="s">
        <v>131</v>
      </c>
      <c r="K3048" s="370"/>
      <c r="N3048" s="370"/>
    </row>
    <row r="3049" spans="1:14" s="347" customFormat="1" x14ac:dyDescent="0.25">
      <c r="A3049" s="339">
        <v>44377</v>
      </c>
      <c r="B3049" s="403">
        <f t="shared" si="56"/>
        <v>6</v>
      </c>
      <c r="C3049" s="347">
        <v>1216</v>
      </c>
      <c r="D3049" s="340" t="str">
        <f>VLOOKUP(C3049,Plan!A:B,2,0)</f>
        <v>Otros Valores Recaudadoras</v>
      </c>
      <c r="E3049" s="341">
        <f t="shared" si="54"/>
        <v>-30000</v>
      </c>
      <c r="F3049" s="347">
        <v>0</v>
      </c>
      <c r="G3049" s="347">
        <v>30000</v>
      </c>
      <c r="H3049" t="s">
        <v>1641</v>
      </c>
      <c r="I3049" s="403" t="s">
        <v>131</v>
      </c>
      <c r="K3049" s="370"/>
      <c r="N3049" s="370"/>
    </row>
    <row r="3050" spans="1:14" s="347" customFormat="1" x14ac:dyDescent="0.25">
      <c r="A3050" s="339"/>
      <c r="B3050" s="403"/>
      <c r="D3050" s="340"/>
      <c r="E3050" s="341"/>
      <c r="H3050"/>
      <c r="I3050" s="403"/>
      <c r="K3050" s="370"/>
      <c r="N3050" s="370"/>
    </row>
    <row r="3051" spans="1:14" s="347" customFormat="1" x14ac:dyDescent="0.25">
      <c r="A3051" s="402">
        <f>+A3026</f>
        <v>44377</v>
      </c>
      <c r="B3051" s="403">
        <f>+B3026</f>
        <v>6</v>
      </c>
      <c r="C3051" s="338">
        <v>125</v>
      </c>
      <c r="D3051" s="340" t="str">
        <f>VLOOKUP(C3051,Plan!A:B,2,0)</f>
        <v>Depósito a plazo Cali</v>
      </c>
      <c r="E3051" s="341">
        <f>+F3051-G3051</f>
        <v>0</v>
      </c>
      <c r="F3051" s="346">
        <v>0</v>
      </c>
      <c r="G3051" s="346">
        <v>0</v>
      </c>
      <c r="H3051" s="343" t="s">
        <v>858</v>
      </c>
      <c r="I3051" s="340" t="s">
        <v>131</v>
      </c>
      <c r="K3051" s="370"/>
      <c r="N3051" s="370"/>
    </row>
    <row r="3052" spans="1:14" s="347" customFormat="1" x14ac:dyDescent="0.25">
      <c r="A3052" s="402">
        <f>+A3051</f>
        <v>44377</v>
      </c>
      <c r="B3052" s="403">
        <f>+B3051</f>
        <v>6</v>
      </c>
      <c r="C3052" s="338">
        <v>6002</v>
      </c>
      <c r="D3052" s="340" t="str">
        <f>VLOOKUP(C3052,Plan!A:B,2,0)</f>
        <v>Intereses Financieros Cali</v>
      </c>
      <c r="E3052" s="341">
        <f>+F3052-G3052</f>
        <v>0</v>
      </c>
      <c r="F3052" s="346">
        <v>0</v>
      </c>
      <c r="G3052" s="346">
        <f>+F3051</f>
        <v>0</v>
      </c>
      <c r="H3052" s="338" t="s">
        <v>858</v>
      </c>
      <c r="I3052" s="340" t="s">
        <v>131</v>
      </c>
      <c r="K3052" s="370"/>
      <c r="N3052" s="370"/>
    </row>
    <row r="3053" spans="1:14" s="347" customFormat="1" x14ac:dyDescent="0.25">
      <c r="A3053" s="339"/>
      <c r="B3053" s="340"/>
      <c r="C3053" s="338"/>
      <c r="D3053" s="340"/>
      <c r="E3053" s="396"/>
      <c r="F3053" s="396"/>
      <c r="G3053" s="396"/>
      <c r="H3053" s="338"/>
      <c r="I3053" s="340"/>
      <c r="K3053" s="370"/>
      <c r="N3053" s="370"/>
    </row>
    <row r="3054" spans="1:14" s="347" customFormat="1" x14ac:dyDescent="0.25">
      <c r="A3054" s="402">
        <f>+A3051</f>
        <v>44377</v>
      </c>
      <c r="B3054" s="403">
        <f>+B3051</f>
        <v>6</v>
      </c>
      <c r="C3054" s="338">
        <v>118</v>
      </c>
      <c r="D3054" s="340" t="str">
        <f>VLOOKUP(C3054,Plan!A:B,2,0)</f>
        <v>Depósito a plazo Cali Banco Security</v>
      </c>
      <c r="E3054" s="341">
        <f>+F3054-G3054</f>
        <v>270594</v>
      </c>
      <c r="F3054" s="346">
        <v>270594</v>
      </c>
      <c r="G3054" s="346">
        <v>0</v>
      </c>
      <c r="H3054" s="343" t="s">
        <v>859</v>
      </c>
      <c r="I3054" s="340" t="s">
        <v>131</v>
      </c>
      <c r="K3054" s="370"/>
      <c r="N3054" s="370"/>
    </row>
    <row r="3055" spans="1:14" s="347" customFormat="1" x14ac:dyDescent="0.25">
      <c r="A3055" s="402">
        <f>+A3054</f>
        <v>44377</v>
      </c>
      <c r="B3055" s="403">
        <f>+B3054</f>
        <v>6</v>
      </c>
      <c r="C3055" s="338">
        <v>6002</v>
      </c>
      <c r="D3055" s="340" t="str">
        <f>VLOOKUP(C3055,Plan!A:B,2,0)</f>
        <v>Intereses Financieros Cali</v>
      </c>
      <c r="E3055" s="341">
        <f>+F3055-G3055</f>
        <v>-270594</v>
      </c>
      <c r="F3055" s="346">
        <v>0</v>
      </c>
      <c r="G3055" s="346">
        <f>+F3054</f>
        <v>270594</v>
      </c>
      <c r="H3055" s="338" t="s">
        <v>859</v>
      </c>
      <c r="I3055" s="340" t="s">
        <v>131</v>
      </c>
      <c r="K3055" s="370"/>
      <c r="N3055" s="370"/>
    </row>
    <row r="3056" spans="1:14" s="347" customFormat="1" x14ac:dyDescent="0.25">
      <c r="A3056" s="339"/>
      <c r="B3056" s="340"/>
      <c r="C3056" s="338"/>
      <c r="D3056" s="340"/>
      <c r="E3056" s="396"/>
      <c r="F3056" s="396"/>
      <c r="G3056" s="396"/>
      <c r="H3056" s="338"/>
      <c r="I3056" s="340"/>
      <c r="K3056" s="370"/>
      <c r="N3056" s="370"/>
    </row>
    <row r="3057" spans="1:14" s="347" customFormat="1" x14ac:dyDescent="0.25">
      <c r="A3057" s="402">
        <f>+A3054</f>
        <v>44377</v>
      </c>
      <c r="B3057" s="403">
        <f>+B3054</f>
        <v>6</v>
      </c>
      <c r="C3057" s="338">
        <v>119</v>
      </c>
      <c r="D3057" s="340" t="str">
        <f>VLOOKUP(C3057,Plan!A:B,2,0)</f>
        <v>FM Cali Banco Security</v>
      </c>
      <c r="E3057" s="341">
        <f>+F3057-G3057</f>
        <v>9997</v>
      </c>
      <c r="F3057" s="346">
        <v>9997</v>
      </c>
      <c r="G3057" s="346">
        <v>0</v>
      </c>
      <c r="H3057" s="343" t="s">
        <v>554</v>
      </c>
      <c r="I3057" s="340" t="s">
        <v>131</v>
      </c>
      <c r="K3057" s="370"/>
      <c r="N3057" s="370"/>
    </row>
    <row r="3058" spans="1:14" s="347" customFormat="1" x14ac:dyDescent="0.25">
      <c r="A3058" s="402">
        <f>+A3057</f>
        <v>44377</v>
      </c>
      <c r="B3058" s="403">
        <f>+B3057</f>
        <v>6</v>
      </c>
      <c r="C3058" s="338">
        <v>6002</v>
      </c>
      <c r="D3058" s="340" t="str">
        <f>VLOOKUP(C3058,Plan!A:B,2,0)</f>
        <v>Intereses Financieros Cali</v>
      </c>
      <c r="E3058" s="341">
        <f>+F3058-G3058</f>
        <v>-9997</v>
      </c>
      <c r="F3058" s="346">
        <v>0</v>
      </c>
      <c r="G3058" s="346">
        <f>+F3057</f>
        <v>9997</v>
      </c>
      <c r="H3058" s="338" t="s">
        <v>554</v>
      </c>
      <c r="I3058" s="340" t="s">
        <v>131</v>
      </c>
      <c r="K3058" s="370"/>
      <c r="N3058" s="370"/>
    </row>
    <row r="3059" spans="1:14" s="347" customFormat="1" x14ac:dyDescent="0.25">
      <c r="A3059" s="369"/>
      <c r="E3059" s="396"/>
      <c r="F3059" s="396"/>
      <c r="G3059" s="396"/>
      <c r="K3059" s="370"/>
      <c r="N3059" s="370"/>
    </row>
    <row r="3060" spans="1:14" s="347" customFormat="1" x14ac:dyDescent="0.25">
      <c r="A3060" s="402">
        <f>+A3057</f>
        <v>44377</v>
      </c>
      <c r="B3060" s="403">
        <f>+B3057</f>
        <v>6</v>
      </c>
      <c r="C3060" s="338">
        <v>113</v>
      </c>
      <c r="D3060" s="340" t="str">
        <f>VLOOKUP(C3060,Plan!A:B,2,0)</f>
        <v>Depósito a plazo Cali Banco Santander</v>
      </c>
      <c r="E3060" s="341">
        <f>+F3060-G3060</f>
        <v>205769</v>
      </c>
      <c r="F3060" s="346">
        <v>205769</v>
      </c>
      <c r="G3060" s="346">
        <v>0</v>
      </c>
      <c r="H3060" s="343" t="s">
        <v>2122</v>
      </c>
      <c r="I3060" s="340" t="s">
        <v>131</v>
      </c>
      <c r="K3060" s="370"/>
      <c r="N3060" s="370"/>
    </row>
    <row r="3061" spans="1:14" s="347" customFormat="1" x14ac:dyDescent="0.25">
      <c r="A3061" s="402">
        <f>+A3060</f>
        <v>44377</v>
      </c>
      <c r="B3061" s="403">
        <f>+B3060</f>
        <v>6</v>
      </c>
      <c r="C3061" s="338">
        <v>6002</v>
      </c>
      <c r="D3061" s="340" t="str">
        <f>VLOOKUP(C3061,Plan!A:B,2,0)</f>
        <v>Intereses Financieros Cali</v>
      </c>
      <c r="E3061" s="341">
        <f>+F3061-G3061</f>
        <v>-205769</v>
      </c>
      <c r="F3061" s="346">
        <v>0</v>
      </c>
      <c r="G3061" s="346">
        <f>+F3060</f>
        <v>205769</v>
      </c>
      <c r="H3061" s="338" t="str">
        <f>+H3060</f>
        <v>Intereses Devengados DAP Santander</v>
      </c>
      <c r="I3061" s="340" t="s">
        <v>131</v>
      </c>
      <c r="K3061" s="370"/>
      <c r="N3061" s="370"/>
    </row>
    <row r="3062" spans="1:14" s="347" customFormat="1" x14ac:dyDescent="0.25">
      <c r="A3062" s="369"/>
      <c r="E3062" s="396"/>
      <c r="F3062" s="396"/>
      <c r="G3062" s="396"/>
      <c r="K3062" s="370"/>
      <c r="N3062" s="370"/>
    </row>
    <row r="3063" spans="1:14" s="347" customFormat="1" x14ac:dyDescent="0.25">
      <c r="A3063" s="369">
        <v>44377</v>
      </c>
      <c r="B3063" s="347">
        <f>+MONTH(A3063)</f>
        <v>6</v>
      </c>
      <c r="C3063" s="347">
        <v>4170</v>
      </c>
      <c r="D3063" s="340" t="str">
        <f>VLOOKUP(C3063,Plan!A:B,2,0)</f>
        <v>Cali otros</v>
      </c>
      <c r="E3063" s="341">
        <f>+F3063-G3063</f>
        <v>338983</v>
      </c>
      <c r="F3063" s="405">
        <v>338983</v>
      </c>
      <c r="G3063" s="405">
        <v>0</v>
      </c>
      <c r="H3063" s="156" t="s">
        <v>1806</v>
      </c>
      <c r="I3063" s="403" t="s">
        <v>131</v>
      </c>
      <c r="K3063" s="370"/>
      <c r="N3063" s="370"/>
    </row>
    <row r="3064" spans="1:14" s="347" customFormat="1" x14ac:dyDescent="0.25">
      <c r="A3064" s="369">
        <f>+A3063</f>
        <v>44377</v>
      </c>
      <c r="B3064" s="347">
        <f>+MONTH(A3064)</f>
        <v>6</v>
      </c>
      <c r="C3064" s="347">
        <v>227</v>
      </c>
      <c r="D3064" s="340" t="str">
        <f>VLOOKUP(C3064,Plan!A:B,2,0)</f>
        <v>Provisión Honorarios Cali</v>
      </c>
      <c r="E3064" s="341">
        <f>+F3064-G3064</f>
        <v>-338983</v>
      </c>
      <c r="F3064" s="405">
        <v>0</v>
      </c>
      <c r="G3064" s="405">
        <f>+F3063</f>
        <v>338983</v>
      </c>
      <c r="H3064" t="str">
        <f>+H3063</f>
        <v>Provisiona Honorarios Junio Guillermo de la Vega</v>
      </c>
      <c r="I3064" s="403" t="s">
        <v>131</v>
      </c>
      <c r="K3064" s="370"/>
      <c r="N3064" s="370"/>
    </row>
    <row r="3065" spans="1:14" s="347" customFormat="1" x14ac:dyDescent="0.25">
      <c r="A3065" s="369"/>
      <c r="D3065" s="340"/>
      <c r="E3065" s="341"/>
      <c r="F3065" s="405"/>
      <c r="G3065" s="405"/>
      <c r="H3065"/>
      <c r="I3065" s="403"/>
      <c r="K3065" s="370"/>
      <c r="N3065" s="370"/>
    </row>
    <row r="3066" spans="1:14" s="347" customFormat="1" x14ac:dyDescent="0.25">
      <c r="A3066" s="369">
        <v>44378</v>
      </c>
      <c r="B3066" s="347">
        <f>+MONTH(A3066)</f>
        <v>7</v>
      </c>
      <c r="C3066" s="347">
        <v>1130</v>
      </c>
      <c r="D3066" s="340" t="str">
        <f>VLOOKUP(C3066,Plan!A:B,2,0)</f>
        <v>Disponible Ch. Fecha</v>
      </c>
      <c r="E3066" s="341">
        <f>+F3066-G3066</f>
        <v>10000</v>
      </c>
      <c r="F3066" s="405">
        <v>10000</v>
      </c>
      <c r="G3066" s="405">
        <v>0</v>
      </c>
      <c r="H3066" s="156" t="s">
        <v>1852</v>
      </c>
      <c r="I3066" s="403" t="s">
        <v>131</v>
      </c>
      <c r="K3066" s="370"/>
      <c r="N3066" s="370"/>
    </row>
    <row r="3067" spans="1:14" s="347" customFormat="1" x14ac:dyDescent="0.25">
      <c r="A3067" s="369">
        <f>+A3066</f>
        <v>44378</v>
      </c>
      <c r="B3067" s="347">
        <f>+MONTH(A3067)</f>
        <v>7</v>
      </c>
      <c r="C3067" s="347">
        <v>1216</v>
      </c>
      <c r="D3067" s="340" t="str">
        <f>VLOOKUP(C3067,Plan!A:B,2,0)</f>
        <v>Otros Valores Recaudadoras</v>
      </c>
      <c r="E3067" s="341">
        <f>+F3067-G3067</f>
        <v>-10000</v>
      </c>
      <c r="F3067" s="405">
        <v>0</v>
      </c>
      <c r="G3067" s="405">
        <f>+F3066</f>
        <v>10000</v>
      </c>
      <c r="H3067" t="str">
        <f>+H3066</f>
        <v>Cheque A Fecha Junio</v>
      </c>
      <c r="I3067" s="403" t="s">
        <v>131</v>
      </c>
      <c r="K3067" s="370"/>
      <c r="N3067" s="370"/>
    </row>
    <row r="3068" spans="1:14" s="347" customFormat="1" x14ac:dyDescent="0.25">
      <c r="A3068" s="369"/>
      <c r="E3068" s="396"/>
      <c r="F3068" s="396"/>
      <c r="G3068" s="396"/>
      <c r="K3068" s="370"/>
      <c r="N3068" s="370"/>
    </row>
    <row r="3069" spans="1:14" s="347" customFormat="1" x14ac:dyDescent="0.25">
      <c r="A3069" s="369">
        <v>44378</v>
      </c>
      <c r="B3069" s="347">
        <f>+MONTH(A3069)</f>
        <v>7</v>
      </c>
      <c r="C3069" s="347">
        <v>115</v>
      </c>
      <c r="D3069" s="340" t="str">
        <f>VLOOKUP(C3069,Plan!A:B,2,0)</f>
        <v>Disponible Cali B.Chile</v>
      </c>
      <c r="E3069" s="341">
        <f>+F3069-G3069</f>
        <v>20000</v>
      </c>
      <c r="F3069" s="405">
        <v>20000</v>
      </c>
      <c r="G3069" s="405">
        <v>0</v>
      </c>
      <c r="H3069" t="s">
        <v>998</v>
      </c>
      <c r="I3069" s="403" t="s">
        <v>131</v>
      </c>
      <c r="K3069" s="370"/>
      <c r="N3069" s="370"/>
    </row>
    <row r="3070" spans="1:14" s="347" customFormat="1" x14ac:dyDescent="0.25">
      <c r="A3070" s="369">
        <f>+A3069</f>
        <v>44378</v>
      </c>
      <c r="B3070" s="347">
        <f>+MONTH(A3070)</f>
        <v>7</v>
      </c>
      <c r="C3070" s="347">
        <v>1222</v>
      </c>
      <c r="D3070" s="340" t="str">
        <f>VLOOKUP(C3070,Plan!A:B,2,0)</f>
        <v>Otros Valores -Oficina y Transferencias (249)</v>
      </c>
      <c r="E3070" s="341">
        <f>+F3070-G3070</f>
        <v>-20000</v>
      </c>
      <c r="F3070" s="405">
        <v>0</v>
      </c>
      <c r="G3070" s="405">
        <f>+F3069</f>
        <v>20000</v>
      </c>
      <c r="H3070" t="str">
        <f>+H3069</f>
        <v>Fca. Orrego/249</v>
      </c>
      <c r="I3070" s="403" t="s">
        <v>131</v>
      </c>
      <c r="K3070" s="370"/>
      <c r="N3070" s="370"/>
    </row>
    <row r="3071" spans="1:14" s="347" customFormat="1" x14ac:dyDescent="0.25">
      <c r="K3071" s="370"/>
      <c r="N3071" s="370"/>
    </row>
    <row r="3072" spans="1:14" s="347" customFormat="1" x14ac:dyDescent="0.25">
      <c r="A3072" s="369">
        <v>44378</v>
      </c>
      <c r="B3072" s="347">
        <f>+MONTH(A3072)</f>
        <v>7</v>
      </c>
      <c r="C3072" s="347">
        <v>115</v>
      </c>
      <c r="D3072" s="340" t="str">
        <f>VLOOKUP(C3072,Plan!A:B,2,0)</f>
        <v>Disponible Cali B.Chile</v>
      </c>
      <c r="E3072" s="341">
        <f>+F3072-G3072</f>
        <v>33500</v>
      </c>
      <c r="F3072" s="405">
        <v>33500</v>
      </c>
      <c r="G3072" s="405">
        <v>0</v>
      </c>
      <c r="H3072" t="s">
        <v>1760</v>
      </c>
      <c r="I3072" s="403" t="s">
        <v>131</v>
      </c>
      <c r="K3072" s="370"/>
      <c r="N3072" s="370"/>
    </row>
    <row r="3073" spans="1:14" s="347" customFormat="1" x14ac:dyDescent="0.25">
      <c r="A3073" s="369">
        <f>+A3072</f>
        <v>44378</v>
      </c>
      <c r="B3073" s="347">
        <f>+MONTH(A3073)</f>
        <v>7</v>
      </c>
      <c r="C3073" s="347">
        <v>1217</v>
      </c>
      <c r="D3073" s="340" t="str">
        <f>VLOOKUP(C3073,Plan!A:B,2,0)</f>
        <v>Otros Valores -Oficina y Transferencias (248)</v>
      </c>
      <c r="E3073" s="341">
        <f>+F3073-G3073</f>
        <v>-33500</v>
      </c>
      <c r="F3073" s="405">
        <v>0</v>
      </c>
      <c r="G3073" s="405">
        <f>+F3072</f>
        <v>33500</v>
      </c>
      <c r="H3073" t="str">
        <f>+H3072</f>
        <v>Carlos Barriga Apparcel /248</v>
      </c>
      <c r="I3073" s="403" t="s">
        <v>131</v>
      </c>
      <c r="K3073" s="370"/>
      <c r="N3073" s="370"/>
    </row>
    <row r="3074" spans="1:14" s="347" customFormat="1" x14ac:dyDescent="0.25">
      <c r="A3074" s="369"/>
      <c r="E3074" s="396"/>
      <c r="F3074" s="396"/>
      <c r="G3074" s="396"/>
      <c r="K3074" s="370"/>
      <c r="N3074" s="370"/>
    </row>
    <row r="3075" spans="1:14" s="347" customFormat="1" x14ac:dyDescent="0.25">
      <c r="A3075" s="369">
        <v>44378</v>
      </c>
      <c r="B3075" s="347">
        <f>+MONTH(A3075)</f>
        <v>7</v>
      </c>
      <c r="C3075" s="347">
        <v>115</v>
      </c>
      <c r="D3075" s="340" t="str">
        <f>VLOOKUP(C3075,Plan!A:B,2,0)</f>
        <v>Disponible Cali B.Chile</v>
      </c>
      <c r="E3075" s="341">
        <f>+F3075-G3075</f>
        <v>50000</v>
      </c>
      <c r="F3075" s="405">
        <v>50000</v>
      </c>
      <c r="G3075" s="405">
        <v>0</v>
      </c>
      <c r="H3075" t="s">
        <v>995</v>
      </c>
      <c r="I3075" s="403" t="s">
        <v>131</v>
      </c>
      <c r="K3075" s="370"/>
      <c r="N3075" s="370"/>
    </row>
    <row r="3076" spans="1:14" s="347" customFormat="1" x14ac:dyDescent="0.25">
      <c r="A3076" s="369">
        <f>+A3075</f>
        <v>44378</v>
      </c>
      <c r="B3076" s="347">
        <f>+MONTH(A3076)</f>
        <v>7</v>
      </c>
      <c r="C3076" s="347">
        <v>1222</v>
      </c>
      <c r="D3076" s="340" t="str">
        <f>VLOOKUP(C3076,Plan!A:B,2,0)</f>
        <v>Otros Valores -Oficina y Transferencias (249)</v>
      </c>
      <c r="E3076" s="341">
        <f>+F3076-G3076</f>
        <v>-50000</v>
      </c>
      <c r="F3076" s="405">
        <v>0</v>
      </c>
      <c r="G3076" s="405">
        <f>+F3075</f>
        <v>50000</v>
      </c>
      <c r="H3076" t="str">
        <f>+H3075</f>
        <v>Francisco Salazar González / 249</v>
      </c>
      <c r="I3076" s="403" t="s">
        <v>131</v>
      </c>
      <c r="K3076" s="370"/>
      <c r="N3076" s="370"/>
    </row>
    <row r="3077" spans="1:14" s="347" customFormat="1" x14ac:dyDescent="0.25">
      <c r="A3077" s="369"/>
      <c r="E3077" s="396"/>
      <c r="F3077" s="396"/>
      <c r="G3077" s="396"/>
      <c r="K3077" s="370"/>
      <c r="N3077" s="370"/>
    </row>
    <row r="3078" spans="1:14" s="347" customFormat="1" x14ac:dyDescent="0.25">
      <c r="A3078" s="369">
        <v>44378</v>
      </c>
      <c r="B3078" s="347">
        <f>+MONTH(A3078)</f>
        <v>7</v>
      </c>
      <c r="C3078" s="347">
        <v>115</v>
      </c>
      <c r="D3078" s="340" t="str">
        <f>VLOOKUP(C3078,Plan!A:B,2,0)</f>
        <v>Disponible Cali B.Chile</v>
      </c>
      <c r="E3078" s="341">
        <f>+F3078-G3078</f>
        <v>20000</v>
      </c>
      <c r="F3078" s="405">
        <v>20000</v>
      </c>
      <c r="G3078" s="405">
        <v>0</v>
      </c>
      <c r="H3078" t="s">
        <v>1722</v>
      </c>
      <c r="I3078" s="403" t="s">
        <v>131</v>
      </c>
      <c r="K3078" s="370"/>
      <c r="N3078" s="370"/>
    </row>
    <row r="3079" spans="1:14" s="347" customFormat="1" x14ac:dyDescent="0.25">
      <c r="A3079" s="369">
        <f>+A3078</f>
        <v>44378</v>
      </c>
      <c r="B3079" s="347">
        <f>+MONTH(A3079)</f>
        <v>7</v>
      </c>
      <c r="C3079" s="347">
        <v>1222</v>
      </c>
      <c r="D3079" s="340" t="str">
        <f>VLOOKUP(C3079,Plan!A:B,2,0)</f>
        <v>Otros Valores -Oficina y Transferencias (249)</v>
      </c>
      <c r="E3079" s="341">
        <f>+F3079-G3079</f>
        <v>-20000</v>
      </c>
      <c r="F3079" s="405">
        <v>0</v>
      </c>
      <c r="G3079" s="405">
        <f>+F3078</f>
        <v>20000</v>
      </c>
      <c r="H3079" t="str">
        <f>+H3078</f>
        <v>Raúl Strappa Varas / 249 (abr y may)</v>
      </c>
      <c r="I3079" s="403" t="s">
        <v>131</v>
      </c>
      <c r="K3079" s="370"/>
      <c r="N3079" s="370"/>
    </row>
    <row r="3080" spans="1:14" s="347" customFormat="1" x14ac:dyDescent="0.25">
      <c r="A3080" s="369"/>
      <c r="E3080" s="396"/>
      <c r="F3080" s="396"/>
      <c r="G3080" s="396"/>
      <c r="K3080" s="370"/>
      <c r="N3080" s="370"/>
    </row>
    <row r="3081" spans="1:14" s="347" customFormat="1" x14ac:dyDescent="0.25">
      <c r="A3081" s="369">
        <v>44378</v>
      </c>
      <c r="B3081" s="347">
        <f>+MONTH(A3081)</f>
        <v>7</v>
      </c>
      <c r="C3081" s="347">
        <v>115</v>
      </c>
      <c r="D3081" s="340" t="str">
        <f>VLOOKUP(C3081,Plan!A:B,2,0)</f>
        <v>Disponible Cali B.Chile</v>
      </c>
      <c r="E3081" s="341">
        <f>+F3081-G3081</f>
        <v>10000</v>
      </c>
      <c r="F3081" s="405">
        <v>10000</v>
      </c>
      <c r="G3081" s="405">
        <v>0</v>
      </c>
      <c r="H3081" t="s">
        <v>973</v>
      </c>
      <c r="I3081" s="403" t="s">
        <v>131</v>
      </c>
      <c r="K3081" s="370"/>
      <c r="N3081" s="370"/>
    </row>
    <row r="3082" spans="1:14" s="347" customFormat="1" x14ac:dyDescent="0.25">
      <c r="A3082" s="369">
        <f>+A3081</f>
        <v>44378</v>
      </c>
      <c r="B3082" s="347">
        <f>+MONTH(A3082)</f>
        <v>7</v>
      </c>
      <c r="C3082" s="347">
        <v>1222</v>
      </c>
      <c r="D3082" s="340" t="str">
        <f>VLOOKUP(C3082,Plan!A:B,2,0)</f>
        <v>Otros Valores -Oficina y Transferencias (249)</v>
      </c>
      <c r="E3082" s="341">
        <f>+F3082-G3082</f>
        <v>-10000</v>
      </c>
      <c r="F3082" s="405">
        <v>0</v>
      </c>
      <c r="G3082" s="405">
        <f>+F3081</f>
        <v>10000</v>
      </c>
      <c r="H3082" t="str">
        <f>+H3081</f>
        <v>Ana María Ugarte / 249</v>
      </c>
      <c r="I3082" s="403" t="s">
        <v>131</v>
      </c>
      <c r="K3082" s="370"/>
      <c r="N3082" s="370"/>
    </row>
    <row r="3083" spans="1:14" s="347" customFormat="1" x14ac:dyDescent="0.25">
      <c r="A3083" s="369"/>
      <c r="E3083" s="396"/>
      <c r="F3083" s="396"/>
      <c r="G3083" s="396"/>
      <c r="K3083" s="370"/>
      <c r="N3083" s="370"/>
    </row>
    <row r="3084" spans="1:14" s="347" customFormat="1" x14ac:dyDescent="0.25">
      <c r="A3084" s="369">
        <v>44378</v>
      </c>
      <c r="B3084" s="347">
        <f>+MONTH(A3084)</f>
        <v>7</v>
      </c>
      <c r="C3084" s="347">
        <v>115</v>
      </c>
      <c r="D3084" s="340" t="str">
        <f>VLOOKUP(C3084,Plan!A:B,2,0)</f>
        <v>Disponible Cali B.Chile</v>
      </c>
      <c r="E3084" s="341">
        <f>+F3084-G3084</f>
        <v>50000</v>
      </c>
      <c r="F3084" s="405">
        <v>50000</v>
      </c>
      <c r="G3084" s="405">
        <v>0</v>
      </c>
      <c r="H3084" t="s">
        <v>974</v>
      </c>
      <c r="I3084" s="403" t="s">
        <v>131</v>
      </c>
      <c r="K3084" s="370"/>
      <c r="N3084" s="370"/>
    </row>
    <row r="3085" spans="1:14" s="347" customFormat="1" x14ac:dyDescent="0.25">
      <c r="A3085" s="369">
        <f>+A3084</f>
        <v>44378</v>
      </c>
      <c r="B3085" s="347">
        <f>+MONTH(A3085)</f>
        <v>7</v>
      </c>
      <c r="C3085" s="347">
        <v>1222</v>
      </c>
      <c r="D3085" s="340" t="str">
        <f>VLOOKUP(C3085,Plan!A:B,2,0)</f>
        <v>Otros Valores -Oficina y Transferencias (249)</v>
      </c>
      <c r="E3085" s="341">
        <f>+F3085-G3085</f>
        <v>-50000</v>
      </c>
      <c r="F3085" s="405">
        <v>0</v>
      </c>
      <c r="G3085" s="405">
        <f>+F3084</f>
        <v>50000</v>
      </c>
      <c r="H3085" t="str">
        <f>+H3084</f>
        <v>Matías Rafael Ubilla Silva / 249</v>
      </c>
      <c r="I3085" s="403" t="s">
        <v>131</v>
      </c>
      <c r="K3085" s="370"/>
      <c r="N3085" s="370"/>
    </row>
    <row r="3086" spans="1:14" s="347" customFormat="1" x14ac:dyDescent="0.25">
      <c r="A3086" s="369"/>
      <c r="E3086" s="396"/>
      <c r="F3086" s="396"/>
      <c r="G3086" s="396"/>
      <c r="K3086" s="370"/>
      <c r="N3086" s="370"/>
    </row>
    <row r="3087" spans="1:14" s="347" customFormat="1" x14ac:dyDescent="0.25">
      <c r="A3087" s="369">
        <v>44378</v>
      </c>
      <c r="B3087" s="347">
        <f>+MONTH(A3087)</f>
        <v>7</v>
      </c>
      <c r="C3087" s="347">
        <v>115</v>
      </c>
      <c r="D3087" s="340" t="str">
        <f>VLOOKUP(C3087,Plan!A:B,2,0)</f>
        <v>Disponible Cali B.Chile</v>
      </c>
      <c r="E3087" s="341">
        <f>+F3087-G3087</f>
        <v>14000</v>
      </c>
      <c r="F3087" s="405">
        <v>14000</v>
      </c>
      <c r="G3087" s="405">
        <v>0</v>
      </c>
      <c r="H3087" t="s">
        <v>1104</v>
      </c>
      <c r="I3087" s="403" t="s">
        <v>131</v>
      </c>
      <c r="K3087" s="370"/>
      <c r="N3087" s="370"/>
    </row>
    <row r="3088" spans="1:14" s="347" customFormat="1" x14ac:dyDescent="0.25">
      <c r="A3088" s="369">
        <f>+A3087</f>
        <v>44378</v>
      </c>
      <c r="B3088" s="347">
        <f>+MONTH(A3088)</f>
        <v>7</v>
      </c>
      <c r="C3088" s="347">
        <v>3210</v>
      </c>
      <c r="D3088" s="340" t="str">
        <f>VLOOKUP(C3088,Plan!A:B,2,0)</f>
        <v>Donacion Construccion</v>
      </c>
      <c r="E3088" s="341">
        <f>+F3088-G3088</f>
        <v>-14000</v>
      </c>
      <c r="F3088" s="405">
        <v>0</v>
      </c>
      <c r="G3088" s="405">
        <f>+F3087</f>
        <v>14000</v>
      </c>
      <c r="H3088" t="str">
        <f>+H3087</f>
        <v>María Luisa Ilharreborde Illanes / Azul</v>
      </c>
      <c r="I3088" s="403" t="s">
        <v>131</v>
      </c>
      <c r="K3088" s="370"/>
      <c r="N3088" s="370"/>
    </row>
    <row r="3089" spans="1:14" s="347" customFormat="1" x14ac:dyDescent="0.25">
      <c r="A3089" s="369"/>
      <c r="E3089" s="396"/>
      <c r="F3089" s="396"/>
      <c r="G3089" s="396"/>
      <c r="K3089" s="370"/>
      <c r="N3089" s="370"/>
    </row>
    <row r="3090" spans="1:14" s="347" customFormat="1" x14ac:dyDescent="0.25">
      <c r="A3090" s="369">
        <v>44378</v>
      </c>
      <c r="B3090" s="347">
        <f>+MONTH(A3090)</f>
        <v>7</v>
      </c>
      <c r="C3090" s="347">
        <v>115</v>
      </c>
      <c r="D3090" s="340" t="str">
        <f>VLOOKUP(C3090,Plan!A:B,2,0)</f>
        <v>Disponible Cali B.Chile</v>
      </c>
      <c r="E3090" s="341">
        <f>+F3090-G3090</f>
        <v>48000</v>
      </c>
      <c r="F3090" s="405">
        <v>48000</v>
      </c>
      <c r="G3090" s="405">
        <v>0</v>
      </c>
      <c r="H3090" t="s">
        <v>975</v>
      </c>
      <c r="I3090" s="403" t="s">
        <v>131</v>
      </c>
      <c r="K3090" s="370"/>
      <c r="N3090" s="370"/>
    </row>
    <row r="3091" spans="1:14" s="347" customFormat="1" x14ac:dyDescent="0.25">
      <c r="A3091" s="369">
        <f>+A3090</f>
        <v>44378</v>
      </c>
      <c r="B3091" s="347">
        <f>+MONTH(A3091)</f>
        <v>7</v>
      </c>
      <c r="C3091" s="347">
        <v>1217</v>
      </c>
      <c r="D3091" s="340" t="str">
        <f>VLOOKUP(C3091,Plan!A:B,2,0)</f>
        <v>Otros Valores -Oficina y Transferencias (248)</v>
      </c>
      <c r="E3091" s="341">
        <f>+F3091-G3091</f>
        <v>-48000</v>
      </c>
      <c r="F3091" s="405">
        <v>0</v>
      </c>
      <c r="G3091" s="405">
        <f>+F3090</f>
        <v>48000</v>
      </c>
      <c r="H3091" t="str">
        <f>+H3090</f>
        <v>Enrique José Manuel Ferrer/248</v>
      </c>
      <c r="I3091" s="403" t="s">
        <v>131</v>
      </c>
      <c r="K3091" s="370"/>
      <c r="N3091" s="370"/>
    </row>
    <row r="3092" spans="1:14" s="347" customFormat="1" x14ac:dyDescent="0.25">
      <c r="A3092" s="369"/>
      <c r="E3092" s="396"/>
      <c r="F3092" s="396"/>
      <c r="G3092" s="396"/>
      <c r="K3092" s="370"/>
      <c r="N3092" s="370"/>
    </row>
    <row r="3093" spans="1:14" s="347" customFormat="1" x14ac:dyDescent="0.25">
      <c r="A3093" s="369">
        <v>44378</v>
      </c>
      <c r="B3093" s="347">
        <f>+MONTH(A3093)</f>
        <v>7</v>
      </c>
      <c r="C3093" s="347">
        <v>115</v>
      </c>
      <c r="D3093" s="340" t="str">
        <f>VLOOKUP(C3093,Plan!A:B,2,0)</f>
        <v>Disponible Cali B.Chile</v>
      </c>
      <c r="E3093" s="341">
        <f>+F3093-G3093</f>
        <v>40000</v>
      </c>
      <c r="F3093" s="405">
        <v>40000</v>
      </c>
      <c r="G3093" s="405">
        <v>0</v>
      </c>
      <c r="H3093" t="s">
        <v>976</v>
      </c>
      <c r="I3093" s="403" t="s">
        <v>131</v>
      </c>
      <c r="K3093" s="370"/>
      <c r="N3093" s="370"/>
    </row>
    <row r="3094" spans="1:14" s="347" customFormat="1" x14ac:dyDescent="0.25">
      <c r="A3094" s="369">
        <f>+A3093</f>
        <v>44378</v>
      </c>
      <c r="B3094" s="347">
        <f>+MONTH(A3094)</f>
        <v>7</v>
      </c>
      <c r="C3094" s="347">
        <v>1222</v>
      </c>
      <c r="D3094" s="340" t="str">
        <f>VLOOKUP(C3094,Plan!A:B,2,0)</f>
        <v>Otros Valores -Oficina y Transferencias (249)</v>
      </c>
      <c r="E3094" s="341">
        <f>+F3094-G3094</f>
        <v>-40000</v>
      </c>
      <c r="F3094" s="405">
        <v>0</v>
      </c>
      <c r="G3094" s="405">
        <f>+F3093</f>
        <v>40000</v>
      </c>
      <c r="H3094" t="str">
        <f>+H3093</f>
        <v>Ricardo Cañas Cambiaso / 249</v>
      </c>
      <c r="I3094" s="403" t="s">
        <v>131</v>
      </c>
      <c r="K3094" s="370"/>
      <c r="N3094" s="370"/>
    </row>
    <row r="3095" spans="1:14" s="347" customFormat="1" x14ac:dyDescent="0.25">
      <c r="A3095" s="369"/>
      <c r="E3095" s="396"/>
      <c r="F3095" s="396"/>
      <c r="G3095" s="396"/>
      <c r="K3095" s="370"/>
      <c r="N3095" s="370"/>
    </row>
    <row r="3096" spans="1:14" s="347" customFormat="1" x14ac:dyDescent="0.25">
      <c r="A3096" s="369">
        <v>44378</v>
      </c>
      <c r="B3096" s="347">
        <f>+MONTH(A3096)</f>
        <v>7</v>
      </c>
      <c r="C3096" s="347">
        <v>115</v>
      </c>
      <c r="D3096" s="340" t="str">
        <f>VLOOKUP(C3096,Plan!A:B,2,0)</f>
        <v>Disponible Cali B.Chile</v>
      </c>
      <c r="E3096" s="341">
        <f>+F3096-G3096</f>
        <v>50000</v>
      </c>
      <c r="F3096" s="405">
        <v>50000</v>
      </c>
      <c r="G3096" s="405">
        <v>0</v>
      </c>
      <c r="H3096" t="s">
        <v>547</v>
      </c>
      <c r="I3096" s="403" t="s">
        <v>131</v>
      </c>
      <c r="K3096" s="370"/>
      <c r="N3096" s="370"/>
    </row>
    <row r="3097" spans="1:14" s="347" customFormat="1" x14ac:dyDescent="0.25">
      <c r="A3097" s="369">
        <f>+A3096</f>
        <v>44378</v>
      </c>
      <c r="B3097" s="347">
        <f>+MONTH(A3097)</f>
        <v>7</v>
      </c>
      <c r="C3097" s="347">
        <v>1222</v>
      </c>
      <c r="D3097" s="340" t="str">
        <f>VLOOKUP(C3097,Plan!A:B,2,0)</f>
        <v>Otros Valores -Oficina y Transferencias (249)</v>
      </c>
      <c r="E3097" s="341">
        <f>+F3097-G3097</f>
        <v>-50000</v>
      </c>
      <c r="F3097" s="405">
        <v>0</v>
      </c>
      <c r="G3097" s="405">
        <f>+F3096</f>
        <v>50000</v>
      </c>
      <c r="H3097" t="str">
        <f>+H3096</f>
        <v>Jorge Claude / 249</v>
      </c>
      <c r="I3097" s="403" t="s">
        <v>131</v>
      </c>
      <c r="K3097" s="370"/>
      <c r="N3097" s="370"/>
    </row>
    <row r="3098" spans="1:14" s="347" customFormat="1" x14ac:dyDescent="0.25">
      <c r="A3098" s="369"/>
      <c r="E3098" s="396"/>
      <c r="F3098" s="396"/>
      <c r="G3098" s="396"/>
      <c r="K3098" s="370"/>
      <c r="N3098" s="370"/>
    </row>
    <row r="3099" spans="1:14" s="347" customFormat="1" x14ac:dyDescent="0.25">
      <c r="A3099" s="369">
        <v>44378</v>
      </c>
      <c r="B3099" s="347">
        <f>+MONTH(A3099)</f>
        <v>7</v>
      </c>
      <c r="C3099" s="347">
        <v>115</v>
      </c>
      <c r="D3099" s="340" t="str">
        <f>VLOOKUP(C3099,Plan!A:B,2,0)</f>
        <v>Disponible Cali B.Chile</v>
      </c>
      <c r="E3099" s="341">
        <f>+F3099-G3099</f>
        <v>20000</v>
      </c>
      <c r="F3099" s="405">
        <v>20000</v>
      </c>
      <c r="G3099" s="405">
        <v>0</v>
      </c>
      <c r="H3099" t="s">
        <v>548</v>
      </c>
      <c r="I3099" s="403" t="s">
        <v>131</v>
      </c>
      <c r="K3099" s="370"/>
      <c r="N3099" s="370"/>
    </row>
    <row r="3100" spans="1:14" s="347" customFormat="1" x14ac:dyDescent="0.25">
      <c r="A3100" s="369">
        <f>+A3099</f>
        <v>44378</v>
      </c>
      <c r="B3100" s="347">
        <f>+MONTH(A3100)</f>
        <v>7</v>
      </c>
      <c r="C3100" s="347">
        <v>1222</v>
      </c>
      <c r="D3100" s="340" t="str">
        <f>VLOOKUP(C3100,Plan!A:B,2,0)</f>
        <v>Otros Valores -Oficina y Transferencias (249)</v>
      </c>
      <c r="E3100" s="341">
        <f>+F3100-G3100</f>
        <v>-20000</v>
      </c>
      <c r="F3100" s="405">
        <v>0</v>
      </c>
      <c r="G3100" s="405">
        <f>+F3099</f>
        <v>20000</v>
      </c>
      <c r="H3100" t="str">
        <f>+H3099</f>
        <v>Josefina Claude / 249</v>
      </c>
      <c r="I3100" s="403" t="s">
        <v>131</v>
      </c>
      <c r="K3100" s="370"/>
      <c r="N3100" s="370"/>
    </row>
    <row r="3101" spans="1:14" s="347" customFormat="1" x14ac:dyDescent="0.25">
      <c r="A3101" s="369"/>
      <c r="E3101" s="396"/>
      <c r="F3101" s="396"/>
      <c r="G3101" s="396"/>
      <c r="K3101" s="370"/>
      <c r="N3101" s="370"/>
    </row>
    <row r="3102" spans="1:14" s="347" customFormat="1" x14ac:dyDescent="0.25">
      <c r="A3102" s="369">
        <v>44378</v>
      </c>
      <c r="B3102" s="347">
        <f>+MONTH(A3102)</f>
        <v>7</v>
      </c>
      <c r="C3102" s="347">
        <v>115</v>
      </c>
      <c r="D3102" s="340" t="str">
        <f>VLOOKUP(C3102,Plan!A:B,2,0)</f>
        <v>Disponible Cali B.Chile</v>
      </c>
      <c r="E3102" s="341">
        <f>+F3102-G3102</f>
        <v>30000</v>
      </c>
      <c r="F3102" s="405">
        <v>30000</v>
      </c>
      <c r="G3102" s="405">
        <v>0</v>
      </c>
      <c r="H3102" t="s">
        <v>978</v>
      </c>
      <c r="I3102" s="403" t="s">
        <v>131</v>
      </c>
      <c r="K3102" s="370"/>
      <c r="N3102" s="370"/>
    </row>
    <row r="3103" spans="1:14" s="347" customFormat="1" x14ac:dyDescent="0.25">
      <c r="A3103" s="369">
        <f>+A3102</f>
        <v>44378</v>
      </c>
      <c r="B3103" s="347">
        <f>+MONTH(A3103)</f>
        <v>7</v>
      </c>
      <c r="C3103" s="347">
        <v>3210</v>
      </c>
      <c r="D3103" s="340" t="str">
        <f>VLOOKUP(C3103,Plan!A:B,2,0)</f>
        <v>Donacion Construccion</v>
      </c>
      <c r="E3103" s="341">
        <f>+F3103-G3103</f>
        <v>-30000</v>
      </c>
      <c r="F3103" s="405">
        <v>0</v>
      </c>
      <c r="G3103" s="405">
        <f>+F3102</f>
        <v>30000</v>
      </c>
      <c r="H3103" t="str">
        <f>+H3102</f>
        <v>Sergio Rodríguez Oro / Azul</v>
      </c>
      <c r="I3103" s="403" t="s">
        <v>131</v>
      </c>
      <c r="K3103" s="370"/>
      <c r="N3103" s="370"/>
    </row>
    <row r="3104" spans="1:14" s="347" customFormat="1" x14ac:dyDescent="0.25">
      <c r="A3104" s="369"/>
      <c r="E3104" s="396"/>
      <c r="F3104" s="396"/>
      <c r="G3104" s="396"/>
      <c r="K3104" s="370"/>
      <c r="N3104" s="370"/>
    </row>
    <row r="3105" spans="1:14" s="347" customFormat="1" x14ac:dyDescent="0.25">
      <c r="A3105" s="369">
        <v>44378</v>
      </c>
      <c r="B3105" s="347">
        <f>+MONTH(A3105)</f>
        <v>7</v>
      </c>
      <c r="C3105" s="347">
        <v>115</v>
      </c>
      <c r="D3105" s="340" t="str">
        <f>VLOOKUP(C3105,Plan!A:B,2,0)</f>
        <v>Disponible Cali B.Chile</v>
      </c>
      <c r="E3105" s="341">
        <f>+F3105-G3105</f>
        <v>40000</v>
      </c>
      <c r="F3105" s="405">
        <v>40000</v>
      </c>
      <c r="G3105" s="405">
        <v>0</v>
      </c>
      <c r="H3105" t="s">
        <v>1001</v>
      </c>
      <c r="I3105" s="403" t="s">
        <v>131</v>
      </c>
      <c r="K3105" s="370"/>
      <c r="N3105" s="370"/>
    </row>
    <row r="3106" spans="1:14" s="347" customFormat="1" x14ac:dyDescent="0.25">
      <c r="A3106" s="369">
        <f>+A3105</f>
        <v>44378</v>
      </c>
      <c r="B3106" s="347">
        <f>+MONTH(A3106)</f>
        <v>7</v>
      </c>
      <c r="C3106" s="347">
        <v>3210</v>
      </c>
      <c r="D3106" s="340" t="str">
        <f>VLOOKUP(C3106,Plan!A:B,2,0)</f>
        <v>Donacion Construccion</v>
      </c>
      <c r="E3106" s="341">
        <f>+F3106-G3106</f>
        <v>-40000</v>
      </c>
      <c r="F3106" s="405">
        <v>0</v>
      </c>
      <c r="G3106" s="405">
        <f>+F3105</f>
        <v>40000</v>
      </c>
      <c r="H3106" t="str">
        <f>+H3105</f>
        <v>Karina Rabino de Alonso /Azul</v>
      </c>
      <c r="I3106" s="403" t="s">
        <v>131</v>
      </c>
      <c r="K3106" s="370"/>
      <c r="N3106" s="370"/>
    </row>
    <row r="3107" spans="1:14" s="347" customFormat="1" x14ac:dyDescent="0.25">
      <c r="A3107" s="369"/>
      <c r="E3107" s="396"/>
      <c r="F3107" s="396"/>
      <c r="G3107" s="396"/>
      <c r="K3107" s="370"/>
      <c r="N3107" s="370"/>
    </row>
    <row r="3108" spans="1:14" s="347" customFormat="1" x14ac:dyDescent="0.25">
      <c r="A3108" s="369">
        <v>44378</v>
      </c>
      <c r="B3108" s="347">
        <f>+MONTH(A3108)</f>
        <v>7</v>
      </c>
      <c r="C3108" s="347">
        <v>115</v>
      </c>
      <c r="D3108" s="340" t="str">
        <f>VLOOKUP(C3108,Plan!A:B,2,0)</f>
        <v>Disponible Cali B.Chile</v>
      </c>
      <c r="E3108" s="341">
        <f>+F3108-G3108</f>
        <v>15000</v>
      </c>
      <c r="F3108" s="405">
        <v>15000</v>
      </c>
      <c r="G3108" s="405">
        <v>0</v>
      </c>
      <c r="H3108" t="s">
        <v>1756</v>
      </c>
      <c r="I3108" s="403" t="s">
        <v>131</v>
      </c>
      <c r="K3108" s="370"/>
      <c r="N3108" s="370"/>
    </row>
    <row r="3109" spans="1:14" s="347" customFormat="1" x14ac:dyDescent="0.25">
      <c r="A3109" s="369">
        <f>+A3108</f>
        <v>44378</v>
      </c>
      <c r="B3109" s="347">
        <f>+MONTH(A3109)</f>
        <v>7</v>
      </c>
      <c r="C3109" s="347">
        <v>1222</v>
      </c>
      <c r="D3109" s="340" t="str">
        <f>VLOOKUP(C3109,Plan!A:B,2,0)</f>
        <v>Otros Valores -Oficina y Transferencias (249)</v>
      </c>
      <c r="E3109" s="341">
        <f>+F3109-G3109</f>
        <v>-15000</v>
      </c>
      <c r="F3109" s="405">
        <v>0</v>
      </c>
      <c r="G3109" s="405">
        <f>+F3108</f>
        <v>15000</v>
      </c>
      <c r="H3109" t="str">
        <f>+H3108</f>
        <v>María José Valdés Valdés / 249</v>
      </c>
      <c r="I3109" s="403" t="s">
        <v>131</v>
      </c>
      <c r="K3109" s="370"/>
      <c r="N3109" s="370"/>
    </row>
    <row r="3110" spans="1:14" s="347" customFormat="1" x14ac:dyDescent="0.25">
      <c r="A3110" s="369"/>
      <c r="E3110" s="396"/>
      <c r="F3110" s="396"/>
      <c r="G3110" s="396"/>
      <c r="K3110" s="370"/>
      <c r="N3110" s="370"/>
    </row>
    <row r="3111" spans="1:14" s="347" customFormat="1" x14ac:dyDescent="0.25">
      <c r="A3111" s="369">
        <v>44378</v>
      </c>
      <c r="B3111" s="347">
        <f>+MONTH(A3111)</f>
        <v>7</v>
      </c>
      <c r="C3111" s="347">
        <v>115</v>
      </c>
      <c r="D3111" s="340" t="str">
        <f>VLOOKUP(C3111,Plan!A:B,2,0)</f>
        <v>Disponible Cali B.Chile</v>
      </c>
      <c r="E3111" s="341">
        <f>+F3111-G3111</f>
        <v>15000</v>
      </c>
      <c r="F3111" s="405">
        <v>15000</v>
      </c>
      <c r="G3111" s="405">
        <v>0</v>
      </c>
      <c r="H3111" t="s">
        <v>1716</v>
      </c>
      <c r="I3111" s="403" t="s">
        <v>131</v>
      </c>
      <c r="K3111" s="370"/>
      <c r="N3111" s="370"/>
    </row>
    <row r="3112" spans="1:14" s="347" customFormat="1" x14ac:dyDescent="0.25">
      <c r="A3112" s="369">
        <f>+A3111</f>
        <v>44378</v>
      </c>
      <c r="B3112" s="347">
        <f>+MONTH(A3112)</f>
        <v>7</v>
      </c>
      <c r="C3112" s="347">
        <v>1222</v>
      </c>
      <c r="D3112" s="340" t="str">
        <f>VLOOKUP(C3112,Plan!A:B,2,0)</f>
        <v>Otros Valores -Oficina y Transferencias (249)</v>
      </c>
      <c r="E3112" s="341">
        <f>+F3112-G3112</f>
        <v>-15000</v>
      </c>
      <c r="F3112" s="405">
        <v>0</v>
      </c>
      <c r="G3112" s="405">
        <f>+F3111</f>
        <v>15000</v>
      </c>
      <c r="H3112" t="str">
        <f>+H3111</f>
        <v>María Carolina Marín Montes / 249</v>
      </c>
      <c r="I3112" s="403" t="s">
        <v>131</v>
      </c>
      <c r="K3112" s="370"/>
      <c r="N3112" s="370"/>
    </row>
    <row r="3113" spans="1:14" s="347" customFormat="1" x14ac:dyDescent="0.25">
      <c r="A3113" s="369"/>
      <c r="E3113" s="396"/>
      <c r="F3113" s="396"/>
      <c r="G3113" s="396"/>
      <c r="K3113" s="370"/>
      <c r="N3113" s="370"/>
    </row>
    <row r="3114" spans="1:14" s="347" customFormat="1" x14ac:dyDescent="0.25">
      <c r="A3114" s="369">
        <v>44378</v>
      </c>
      <c r="B3114" s="347">
        <f>+MONTH(A3114)</f>
        <v>7</v>
      </c>
      <c r="C3114" s="347">
        <v>115</v>
      </c>
      <c r="D3114" s="340" t="str">
        <f>VLOOKUP(C3114,Plan!A:B,2,0)</f>
        <v>Disponible Cali B.Chile</v>
      </c>
      <c r="E3114" s="341">
        <f>+F3114-G3114</f>
        <v>20000</v>
      </c>
      <c r="F3114" s="405">
        <v>20000</v>
      </c>
      <c r="G3114" s="405">
        <v>0</v>
      </c>
      <c r="H3114" t="s">
        <v>977</v>
      </c>
      <c r="I3114" s="403" t="s">
        <v>131</v>
      </c>
      <c r="K3114" s="370"/>
      <c r="N3114" s="370"/>
    </row>
    <row r="3115" spans="1:14" s="347" customFormat="1" x14ac:dyDescent="0.25">
      <c r="A3115" s="369">
        <f>+A3114</f>
        <v>44378</v>
      </c>
      <c r="B3115" s="347">
        <f>+MONTH(A3115)</f>
        <v>7</v>
      </c>
      <c r="C3115" s="347">
        <v>3210</v>
      </c>
      <c r="D3115" s="340" t="str">
        <f>VLOOKUP(C3115,Plan!A:B,2,0)</f>
        <v>Donacion Construccion</v>
      </c>
      <c r="E3115" s="341">
        <f>+F3115-G3115</f>
        <v>-20000</v>
      </c>
      <c r="F3115" s="405">
        <v>0</v>
      </c>
      <c r="G3115" s="405">
        <f>+F3114</f>
        <v>20000</v>
      </c>
      <c r="H3115" t="str">
        <f>+H3114</f>
        <v>Fco.Javier Campos González/Azul</v>
      </c>
      <c r="I3115" s="403" t="s">
        <v>131</v>
      </c>
      <c r="K3115" s="370"/>
      <c r="N3115" s="370"/>
    </row>
    <row r="3116" spans="1:14" s="347" customFormat="1" x14ac:dyDescent="0.25">
      <c r="A3116" s="369"/>
      <c r="E3116" s="396"/>
      <c r="F3116" s="396"/>
      <c r="G3116" s="396"/>
      <c r="K3116" s="370"/>
      <c r="N3116" s="370"/>
    </row>
    <row r="3117" spans="1:14" s="347" customFormat="1" x14ac:dyDescent="0.25">
      <c r="A3117" s="369">
        <v>44378</v>
      </c>
      <c r="B3117" s="347">
        <f>+MONTH(A3117)</f>
        <v>7</v>
      </c>
      <c r="C3117" s="347">
        <v>115</v>
      </c>
      <c r="D3117" s="340" t="str">
        <f>VLOOKUP(C3117,Plan!A:B,2,0)</f>
        <v>Disponible Cali B.Chile</v>
      </c>
      <c r="E3117" s="341">
        <f>+F3117-G3117</f>
        <v>15000</v>
      </c>
      <c r="F3117" s="405">
        <v>15000</v>
      </c>
      <c r="G3117" s="405">
        <v>0</v>
      </c>
      <c r="H3117" t="s">
        <v>979</v>
      </c>
      <c r="I3117" s="403" t="s">
        <v>131</v>
      </c>
      <c r="K3117" s="370"/>
      <c r="N3117" s="370"/>
    </row>
    <row r="3118" spans="1:14" s="347" customFormat="1" x14ac:dyDescent="0.25">
      <c r="A3118" s="369">
        <f>+A3117</f>
        <v>44378</v>
      </c>
      <c r="B3118" s="347">
        <f>+MONTH(A3118)</f>
        <v>7</v>
      </c>
      <c r="C3118" s="347">
        <v>1222</v>
      </c>
      <c r="D3118" s="340" t="str">
        <f>VLOOKUP(C3118,Plan!A:B,2,0)</f>
        <v>Otros Valores -Oficina y Transferencias (249)</v>
      </c>
      <c r="E3118" s="341">
        <f>+F3118-G3118</f>
        <v>-15000</v>
      </c>
      <c r="F3118" s="405">
        <v>0</v>
      </c>
      <c r="G3118" s="405">
        <f>+F3117</f>
        <v>15000</v>
      </c>
      <c r="H3118" t="str">
        <f>+H3117</f>
        <v>María Paulina Grez / 249</v>
      </c>
      <c r="I3118" s="403" t="s">
        <v>131</v>
      </c>
      <c r="K3118" s="370"/>
      <c r="N3118" s="370"/>
    </row>
    <row r="3119" spans="1:14" s="347" customFormat="1" x14ac:dyDescent="0.25">
      <c r="A3119" s="369"/>
      <c r="E3119" s="396"/>
      <c r="F3119" s="396"/>
      <c r="G3119" s="396"/>
      <c r="K3119" s="370"/>
      <c r="N3119" s="370"/>
    </row>
    <row r="3120" spans="1:14" s="347" customFormat="1" x14ac:dyDescent="0.25">
      <c r="A3120" s="369">
        <v>44378</v>
      </c>
      <c r="B3120" s="347">
        <f>+MONTH(A3120)</f>
        <v>7</v>
      </c>
      <c r="C3120" s="347">
        <v>115</v>
      </c>
      <c r="D3120" s="340" t="str">
        <f>VLOOKUP(C3120,Plan!A:B,2,0)</f>
        <v>Disponible Cali B.Chile</v>
      </c>
      <c r="E3120" s="341">
        <f>+F3120-G3120</f>
        <v>14821</v>
      </c>
      <c r="F3120" s="405">
        <v>14821</v>
      </c>
      <c r="G3120" s="405">
        <v>0</v>
      </c>
      <c r="H3120" t="s">
        <v>1847</v>
      </c>
      <c r="I3120" s="403" t="s">
        <v>131</v>
      </c>
      <c r="K3120" s="370"/>
      <c r="N3120" s="370"/>
    </row>
    <row r="3121" spans="1:14" s="347" customFormat="1" x14ac:dyDescent="0.25">
      <c r="A3121" s="369">
        <v>44378</v>
      </c>
      <c r="B3121" s="347">
        <f>+MONTH(A3121)</f>
        <v>7</v>
      </c>
      <c r="C3121" s="347">
        <v>4331</v>
      </c>
      <c r="D3121" s="340" t="str">
        <f>VLOOKUP(C3121,Plan!A:B,2,0)</f>
        <v>Cali</v>
      </c>
      <c r="E3121" s="341">
        <f>+F3121-G3121</f>
        <v>179</v>
      </c>
      <c r="F3121" s="405">
        <v>179</v>
      </c>
      <c r="G3121" s="405">
        <f>+F3119</f>
        <v>0</v>
      </c>
      <c r="H3121" t="s">
        <v>1847</v>
      </c>
      <c r="I3121" s="403" t="s">
        <v>131</v>
      </c>
      <c r="K3121" s="370"/>
      <c r="N3121" s="370"/>
    </row>
    <row r="3122" spans="1:14" s="347" customFormat="1" x14ac:dyDescent="0.25">
      <c r="A3122" s="369">
        <f>+A3120</f>
        <v>44378</v>
      </c>
      <c r="B3122" s="347">
        <f>+MONTH(A3122)</f>
        <v>7</v>
      </c>
      <c r="C3122" s="347">
        <v>1222</v>
      </c>
      <c r="D3122" s="340" t="str">
        <f>VLOOKUP(C3122,Plan!A:B,2,0)</f>
        <v>Otros Valores -Oficina y Transferencias (249)</v>
      </c>
      <c r="E3122" s="341">
        <f>+F3122-G3122</f>
        <v>-15000</v>
      </c>
      <c r="F3122" s="405">
        <v>0</v>
      </c>
      <c r="G3122" s="405">
        <v>15000</v>
      </c>
      <c r="H3122" t="str">
        <f>+H3120</f>
        <v>Jorge Aguirre Moltedo/249 (M$15)</v>
      </c>
      <c r="I3122" s="403" t="s">
        <v>131</v>
      </c>
      <c r="K3122" s="370"/>
      <c r="N3122" s="370"/>
    </row>
    <row r="3123" spans="1:14" s="347" customFormat="1" x14ac:dyDescent="0.25">
      <c r="A3123" s="369"/>
      <c r="E3123" s="396"/>
      <c r="F3123" s="396"/>
      <c r="G3123" s="396"/>
      <c r="K3123" s="370"/>
      <c r="N3123" s="370"/>
    </row>
    <row r="3124" spans="1:14" s="347" customFormat="1" x14ac:dyDescent="0.25">
      <c r="A3124" s="369">
        <v>44378</v>
      </c>
      <c r="B3124" s="347">
        <f>+MONTH(A3124)</f>
        <v>7</v>
      </c>
      <c r="C3124" s="347">
        <v>115</v>
      </c>
      <c r="D3124" s="340" t="str">
        <f>VLOOKUP(C3124,Plan!A:B,2,0)</f>
        <v>Disponible Cali B.Chile</v>
      </c>
      <c r="E3124" s="341">
        <f>+F3124-G3124</f>
        <v>160000</v>
      </c>
      <c r="F3124" s="405">
        <v>160000</v>
      </c>
      <c r="G3124" s="405">
        <v>0</v>
      </c>
      <c r="H3124" t="s">
        <v>797</v>
      </c>
      <c r="I3124" s="403" t="s">
        <v>131</v>
      </c>
      <c r="K3124" s="370"/>
      <c r="N3124" s="370"/>
    </row>
    <row r="3125" spans="1:14" s="347" customFormat="1" x14ac:dyDescent="0.25">
      <c r="A3125" s="369">
        <f>+A3124</f>
        <v>44378</v>
      </c>
      <c r="B3125" s="347">
        <f>+MONTH(A3125)</f>
        <v>7</v>
      </c>
      <c r="C3125" s="347">
        <v>1217</v>
      </c>
      <c r="D3125" s="340" t="str">
        <f>VLOOKUP(C3125,Plan!A:B,2,0)</f>
        <v>Otros Valores -Oficina y Transferencias (248)</v>
      </c>
      <c r="E3125" s="341">
        <f>+F3125-G3125</f>
        <v>-160000</v>
      </c>
      <c r="F3125" s="405">
        <v>0</v>
      </c>
      <c r="G3125" s="405">
        <f>+F3124</f>
        <v>160000</v>
      </c>
      <c r="H3125" t="str">
        <f>+H3124</f>
        <v>R. Casas del Valle / 248</v>
      </c>
      <c r="I3125" s="403" t="s">
        <v>131</v>
      </c>
      <c r="K3125" s="370"/>
      <c r="N3125" s="370"/>
    </row>
    <row r="3126" spans="1:14" s="347" customFormat="1" x14ac:dyDescent="0.25">
      <c r="A3126" s="369"/>
      <c r="E3126" s="396"/>
      <c r="F3126" s="396"/>
      <c r="G3126" s="396"/>
      <c r="K3126" s="370"/>
      <c r="N3126" s="370"/>
    </row>
    <row r="3127" spans="1:14" s="347" customFormat="1" x14ac:dyDescent="0.25">
      <c r="A3127" s="369">
        <v>44378</v>
      </c>
      <c r="B3127" s="347">
        <f>+MONTH(A3127)</f>
        <v>7</v>
      </c>
      <c r="C3127" s="347">
        <v>115</v>
      </c>
      <c r="D3127" s="340" t="str">
        <f>VLOOKUP(C3127,Plan!A:B,2,0)</f>
        <v>Disponible Cali B.Chile</v>
      </c>
      <c r="E3127" s="341">
        <f>+F3127-G3127</f>
        <v>45000</v>
      </c>
      <c r="F3127" s="405">
        <v>45000</v>
      </c>
      <c r="G3127" s="405">
        <v>0</v>
      </c>
      <c r="H3127" t="s">
        <v>993</v>
      </c>
      <c r="I3127" s="403" t="s">
        <v>131</v>
      </c>
      <c r="K3127" s="370"/>
      <c r="N3127" s="370"/>
    </row>
    <row r="3128" spans="1:14" s="347" customFormat="1" x14ac:dyDescent="0.25">
      <c r="A3128" s="369">
        <f>+A3127</f>
        <v>44378</v>
      </c>
      <c r="B3128" s="347">
        <f>+MONTH(A3128)</f>
        <v>7</v>
      </c>
      <c r="C3128" s="347">
        <v>3210</v>
      </c>
      <c r="D3128" s="340" t="str">
        <f>VLOOKUP(C3128,Plan!A:B,2,0)</f>
        <v>Donacion Construccion</v>
      </c>
      <c r="E3128" s="341">
        <f>+F3128-G3128</f>
        <v>-45000</v>
      </c>
      <c r="F3128" s="405">
        <v>0</v>
      </c>
      <c r="G3128" s="405">
        <f>+F3127</f>
        <v>45000</v>
      </c>
      <c r="H3128" t="str">
        <f>+H3127</f>
        <v>Patricia Romero Navarro / Azul</v>
      </c>
      <c r="I3128" s="403" t="s">
        <v>131</v>
      </c>
      <c r="K3128" s="370"/>
      <c r="N3128" s="370"/>
    </row>
    <row r="3129" spans="1:14" s="347" customFormat="1" x14ac:dyDescent="0.25">
      <c r="A3129" s="369"/>
      <c r="E3129" s="396"/>
      <c r="F3129" s="396"/>
      <c r="G3129" s="396"/>
      <c r="K3129" s="370"/>
      <c r="N3129" s="370"/>
    </row>
    <row r="3130" spans="1:14" s="347" customFormat="1" x14ac:dyDescent="0.25">
      <c r="A3130" s="369">
        <v>44378</v>
      </c>
      <c r="B3130" s="347">
        <f>+MONTH(A3130)</f>
        <v>7</v>
      </c>
      <c r="C3130" s="347">
        <v>115</v>
      </c>
      <c r="D3130" s="340" t="str">
        <f>VLOOKUP(C3130,Plan!A:B,2,0)</f>
        <v>Disponible Cali B.Chile</v>
      </c>
      <c r="E3130" s="341">
        <f>+F3130-G3130</f>
        <v>30000</v>
      </c>
      <c r="F3130" s="405">
        <v>30000</v>
      </c>
      <c r="G3130" s="405">
        <v>0</v>
      </c>
      <c r="H3130" t="s">
        <v>1669</v>
      </c>
      <c r="I3130" s="403" t="s">
        <v>131</v>
      </c>
      <c r="K3130" s="370"/>
      <c r="N3130" s="370"/>
    </row>
    <row r="3131" spans="1:14" s="347" customFormat="1" x14ac:dyDescent="0.25">
      <c r="A3131" s="369">
        <f>+A3130</f>
        <v>44378</v>
      </c>
      <c r="B3131" s="347">
        <f>+MONTH(A3131)</f>
        <v>7</v>
      </c>
      <c r="C3131" s="347">
        <v>1222</v>
      </c>
      <c r="D3131" s="340" t="str">
        <f>VLOOKUP(C3131,Plan!A:B,2,0)</f>
        <v>Otros Valores -Oficina y Transferencias (249)</v>
      </c>
      <c r="E3131" s="341">
        <f>+F3131-G3131</f>
        <v>-30000</v>
      </c>
      <c r="F3131" s="405">
        <v>0</v>
      </c>
      <c r="G3131" s="405">
        <f>+F3130</f>
        <v>30000</v>
      </c>
      <c r="H3131" t="str">
        <f>+H3130</f>
        <v>Carlos Enrique Blanco Plummer / 249</v>
      </c>
      <c r="I3131" s="403" t="s">
        <v>131</v>
      </c>
      <c r="K3131" s="370"/>
      <c r="N3131" s="370"/>
    </row>
    <row r="3132" spans="1:14" s="347" customFormat="1" x14ac:dyDescent="0.25">
      <c r="A3132" s="369"/>
      <c r="E3132" s="396"/>
      <c r="F3132" s="396"/>
      <c r="G3132" s="396"/>
      <c r="K3132" s="370"/>
      <c r="N3132" s="370"/>
    </row>
    <row r="3133" spans="1:14" s="347" customFormat="1" x14ac:dyDescent="0.25">
      <c r="A3133" s="369">
        <v>44378</v>
      </c>
      <c r="B3133" s="347">
        <f>+MONTH(A3133)</f>
        <v>7</v>
      </c>
      <c r="C3133" s="347">
        <v>115</v>
      </c>
      <c r="D3133" s="340" t="str">
        <f>VLOOKUP(C3133,Plan!A:B,2,0)</f>
        <v>Disponible Cali B.Chile</v>
      </c>
      <c r="E3133" s="341">
        <f>+F3133-G3133</f>
        <v>100000</v>
      </c>
      <c r="F3133" s="405">
        <v>100000</v>
      </c>
      <c r="G3133" s="405">
        <v>0</v>
      </c>
      <c r="H3133" t="s">
        <v>1848</v>
      </c>
      <c r="I3133" s="403" t="s">
        <v>131</v>
      </c>
      <c r="K3133" s="370"/>
      <c r="N3133" s="370"/>
    </row>
    <row r="3134" spans="1:14" s="347" customFormat="1" x14ac:dyDescent="0.25">
      <c r="A3134" s="369">
        <f>+A3133</f>
        <v>44378</v>
      </c>
      <c r="B3134" s="347">
        <f>+MONTH(A3134)</f>
        <v>7</v>
      </c>
      <c r="C3134" s="347">
        <v>3210</v>
      </c>
      <c r="D3134" s="340" t="str">
        <f>VLOOKUP(C3134,Plan!A:B,2,0)</f>
        <v>Donacion Construccion</v>
      </c>
      <c r="E3134" s="341">
        <f>+F3134-G3134</f>
        <v>-100000</v>
      </c>
      <c r="F3134" s="405">
        <v>0</v>
      </c>
      <c r="G3134" s="405">
        <f>+F3133</f>
        <v>100000</v>
      </c>
      <c r="H3134" t="str">
        <f>+H3133</f>
        <v>Catalina Adriasola Gibson / Azul</v>
      </c>
      <c r="I3134" s="403" t="s">
        <v>131</v>
      </c>
      <c r="K3134" s="370"/>
      <c r="N3134" s="370"/>
    </row>
    <row r="3135" spans="1:14" s="347" customFormat="1" x14ac:dyDescent="0.25">
      <c r="A3135" s="369"/>
      <c r="E3135" s="396"/>
      <c r="F3135" s="396"/>
      <c r="G3135" s="396"/>
      <c r="K3135" s="370"/>
      <c r="N3135" s="370"/>
    </row>
    <row r="3136" spans="1:14" s="347" customFormat="1" x14ac:dyDescent="0.25">
      <c r="A3136" s="369">
        <v>44378</v>
      </c>
      <c r="B3136" s="347">
        <f>+MONTH(A3136)</f>
        <v>7</v>
      </c>
      <c r="C3136" s="347">
        <v>115</v>
      </c>
      <c r="D3136" s="340" t="str">
        <f>VLOOKUP(C3136,Plan!A:B,2,0)</f>
        <v>Disponible Cali B.Chile</v>
      </c>
      <c r="E3136" s="341">
        <f>+F3136-G3136</f>
        <v>15000</v>
      </c>
      <c r="F3136" s="405">
        <v>15000</v>
      </c>
      <c r="G3136" s="405">
        <v>0</v>
      </c>
      <c r="H3136" t="s">
        <v>1035</v>
      </c>
      <c r="I3136" s="403" t="s">
        <v>131</v>
      </c>
      <c r="K3136" s="370"/>
      <c r="N3136" s="370"/>
    </row>
    <row r="3137" spans="1:14" s="347" customFormat="1" x14ac:dyDescent="0.25">
      <c r="A3137" s="369">
        <f>+A3136</f>
        <v>44378</v>
      </c>
      <c r="B3137" s="347">
        <f>+MONTH(A3137)</f>
        <v>7</v>
      </c>
      <c r="C3137" s="347">
        <v>1217</v>
      </c>
      <c r="D3137" s="340" t="str">
        <f>VLOOKUP(C3137,Plan!A:B,2,0)</f>
        <v>Otros Valores -Oficina y Transferencias (248)</v>
      </c>
      <c r="E3137" s="341">
        <f>+F3137-G3137</f>
        <v>-15000</v>
      </c>
      <c r="F3137" s="405">
        <v>0</v>
      </c>
      <c r="G3137" s="405">
        <f>+F3136</f>
        <v>15000</v>
      </c>
      <c r="H3137" t="str">
        <f>+H3136</f>
        <v xml:space="preserve">Fabián Rodríguez Ch. / 248 </v>
      </c>
      <c r="I3137" s="403" t="s">
        <v>131</v>
      </c>
      <c r="K3137" s="370"/>
      <c r="N3137" s="370"/>
    </row>
    <row r="3138" spans="1:14" s="347" customFormat="1" x14ac:dyDescent="0.25">
      <c r="A3138" s="369"/>
      <c r="E3138" s="396"/>
      <c r="F3138" s="396"/>
      <c r="G3138" s="396"/>
      <c r="K3138" s="370"/>
      <c r="N3138" s="370"/>
    </row>
    <row r="3139" spans="1:14" s="347" customFormat="1" x14ac:dyDescent="0.25">
      <c r="A3139" s="369">
        <v>44379</v>
      </c>
      <c r="B3139" s="347">
        <f>+MONTH(A3139)</f>
        <v>7</v>
      </c>
      <c r="C3139" s="347">
        <v>115</v>
      </c>
      <c r="D3139" s="340" t="str">
        <f>VLOOKUP(C3139,Plan!A:B,2,0)</f>
        <v>Disponible Cali B.Chile</v>
      </c>
      <c r="E3139" s="341">
        <f>+F3139-G3139</f>
        <v>40000</v>
      </c>
      <c r="F3139" s="405">
        <v>40000</v>
      </c>
      <c r="G3139" s="405">
        <v>0</v>
      </c>
      <c r="H3139" t="s">
        <v>989</v>
      </c>
      <c r="I3139" s="403" t="s">
        <v>131</v>
      </c>
      <c r="K3139" s="370"/>
      <c r="N3139" s="370"/>
    </row>
    <row r="3140" spans="1:14" s="347" customFormat="1" x14ac:dyDescent="0.25">
      <c r="A3140" s="369">
        <f>+A3139</f>
        <v>44379</v>
      </c>
      <c r="B3140" s="347">
        <f>+MONTH(A3140)</f>
        <v>7</v>
      </c>
      <c r="C3140" s="347">
        <v>1217</v>
      </c>
      <c r="D3140" s="340" t="str">
        <f>VLOOKUP(C3140,Plan!A:B,2,0)</f>
        <v>Otros Valores -Oficina y Transferencias (248)</v>
      </c>
      <c r="E3140" s="341">
        <f>+F3140-G3140</f>
        <v>-40000</v>
      </c>
      <c r="F3140" s="405">
        <v>0</v>
      </c>
      <c r="G3140" s="405">
        <f>+F3139</f>
        <v>40000</v>
      </c>
      <c r="H3140" t="str">
        <f>+H3139</f>
        <v>M. Domínguez / 248</v>
      </c>
      <c r="I3140" s="403" t="s">
        <v>131</v>
      </c>
      <c r="K3140" s="370"/>
      <c r="N3140" s="370"/>
    </row>
    <row r="3141" spans="1:14" s="347" customFormat="1" x14ac:dyDescent="0.25">
      <c r="A3141" s="369"/>
      <c r="E3141" s="396"/>
      <c r="F3141" s="396"/>
      <c r="G3141" s="396"/>
      <c r="K3141" s="370"/>
      <c r="N3141" s="370"/>
    </row>
    <row r="3142" spans="1:14" s="347" customFormat="1" x14ac:dyDescent="0.25">
      <c r="A3142" s="369">
        <v>44379</v>
      </c>
      <c r="B3142" s="347">
        <f>+MONTH(A3142)</f>
        <v>7</v>
      </c>
      <c r="C3142" s="347">
        <v>115</v>
      </c>
      <c r="D3142" s="340" t="str">
        <f>VLOOKUP(C3142,Plan!A:B,2,0)</f>
        <v>Disponible Cali B.Chile</v>
      </c>
      <c r="E3142" s="341">
        <f>+F3142-G3142</f>
        <v>60000</v>
      </c>
      <c r="F3142" s="405">
        <v>60000</v>
      </c>
      <c r="G3142" s="405">
        <v>0</v>
      </c>
      <c r="H3142" t="s">
        <v>992</v>
      </c>
      <c r="I3142" s="403" t="s">
        <v>131</v>
      </c>
      <c r="K3142" s="370"/>
      <c r="N3142" s="370"/>
    </row>
    <row r="3143" spans="1:14" s="347" customFormat="1" x14ac:dyDescent="0.25">
      <c r="A3143" s="369">
        <f>+A3142</f>
        <v>44379</v>
      </c>
      <c r="B3143" s="347">
        <f>+MONTH(A3143)</f>
        <v>7</v>
      </c>
      <c r="C3143" s="347">
        <v>1222</v>
      </c>
      <c r="D3143" s="340" t="str">
        <f>VLOOKUP(C3143,Plan!A:B,2,0)</f>
        <v>Otros Valores -Oficina y Transferencias (249)</v>
      </c>
      <c r="E3143" s="341">
        <f>+F3143-G3143</f>
        <v>-60000</v>
      </c>
      <c r="F3143" s="405">
        <v>0</v>
      </c>
      <c r="G3143" s="405">
        <f>+F3142</f>
        <v>60000</v>
      </c>
      <c r="H3143" t="str">
        <f>+H3142</f>
        <v>Enrique Brahm García / 249</v>
      </c>
      <c r="I3143" s="403" t="s">
        <v>131</v>
      </c>
      <c r="K3143" s="370"/>
      <c r="N3143" s="370"/>
    </row>
    <row r="3144" spans="1:14" s="347" customFormat="1" x14ac:dyDescent="0.25">
      <c r="A3144" s="369"/>
      <c r="E3144" s="396"/>
      <c r="F3144" s="396"/>
      <c r="G3144" s="396"/>
      <c r="K3144" s="370"/>
      <c r="N3144" s="370"/>
    </row>
    <row r="3145" spans="1:14" s="347" customFormat="1" x14ac:dyDescent="0.25">
      <c r="A3145" s="369">
        <v>44379</v>
      </c>
      <c r="B3145" s="347">
        <f>+MONTH(A3145)</f>
        <v>7</v>
      </c>
      <c r="C3145" s="347">
        <v>115</v>
      </c>
      <c r="D3145" s="340" t="str">
        <f>VLOOKUP(C3145,Plan!A:B,2,0)</f>
        <v>Disponible Cali B.Chile</v>
      </c>
      <c r="E3145" s="341">
        <f>+F3145-G3145</f>
        <v>20000</v>
      </c>
      <c r="F3145" s="405">
        <v>20000</v>
      </c>
      <c r="G3145" s="405">
        <v>0</v>
      </c>
      <c r="H3145" t="s">
        <v>1007</v>
      </c>
      <c r="I3145" s="403" t="s">
        <v>131</v>
      </c>
      <c r="K3145" s="370"/>
      <c r="N3145" s="370"/>
    </row>
    <row r="3146" spans="1:14" s="347" customFormat="1" x14ac:dyDescent="0.25">
      <c r="A3146" s="369">
        <f>+A3145</f>
        <v>44379</v>
      </c>
      <c r="B3146" s="347">
        <f>+MONTH(A3146)</f>
        <v>7</v>
      </c>
      <c r="C3146" s="347">
        <v>1222</v>
      </c>
      <c r="D3146" s="340" t="str">
        <f>VLOOKUP(C3146,Plan!A:B,2,0)</f>
        <v>Otros Valores -Oficina y Transferencias (249)</v>
      </c>
      <c r="E3146" s="341">
        <f>+F3146-G3146</f>
        <v>-20000</v>
      </c>
      <c r="F3146" s="405">
        <v>0</v>
      </c>
      <c r="G3146" s="405">
        <f>+F3145</f>
        <v>20000</v>
      </c>
      <c r="H3146" t="str">
        <f>+H3145</f>
        <v>Oscar Guarda Barros / 249</v>
      </c>
      <c r="I3146" s="403" t="s">
        <v>131</v>
      </c>
      <c r="K3146" s="370"/>
      <c r="N3146" s="370"/>
    </row>
    <row r="3147" spans="1:14" s="347" customFormat="1" x14ac:dyDescent="0.25">
      <c r="A3147" s="369"/>
      <c r="E3147" s="396"/>
      <c r="F3147" s="396"/>
      <c r="G3147" s="396"/>
      <c r="K3147" s="370"/>
      <c r="N3147" s="370"/>
    </row>
    <row r="3148" spans="1:14" s="347" customFormat="1" x14ac:dyDescent="0.25">
      <c r="A3148" s="369">
        <v>44379</v>
      </c>
      <c r="B3148" s="347">
        <f>+MONTH(A3148)</f>
        <v>7</v>
      </c>
      <c r="C3148" s="347">
        <v>115</v>
      </c>
      <c r="D3148" s="340" t="str">
        <f>VLOOKUP(C3148,Plan!A:B,2,0)</f>
        <v>Disponible Cali B.Chile</v>
      </c>
      <c r="E3148" s="341">
        <f>+F3148-G3148</f>
        <v>200000</v>
      </c>
      <c r="F3148" s="405">
        <v>200000</v>
      </c>
      <c r="G3148" s="405">
        <v>0</v>
      </c>
      <c r="H3148" t="s">
        <v>1052</v>
      </c>
      <c r="I3148" s="403" t="s">
        <v>131</v>
      </c>
      <c r="K3148" s="370"/>
      <c r="N3148" s="370"/>
    </row>
    <row r="3149" spans="1:14" s="347" customFormat="1" x14ac:dyDescent="0.25">
      <c r="A3149" s="369">
        <f>+A3148</f>
        <v>44379</v>
      </c>
      <c r="B3149" s="347">
        <f>+MONTH(A3149)</f>
        <v>7</v>
      </c>
      <c r="C3149" s="347">
        <v>3210</v>
      </c>
      <c r="D3149" s="340" t="str">
        <f>VLOOKUP(C3149,Plan!A:B,2,0)</f>
        <v>Donacion Construccion</v>
      </c>
      <c r="E3149" s="341">
        <f>+F3149-G3149</f>
        <v>-200000</v>
      </c>
      <c r="F3149" s="405">
        <v>0</v>
      </c>
      <c r="G3149" s="405">
        <f>+F3148</f>
        <v>200000</v>
      </c>
      <c r="H3149" t="str">
        <f>+H3148</f>
        <v>Jorge Hernán Rodríguez Wilson/Azul</v>
      </c>
      <c r="I3149" s="403" t="s">
        <v>131</v>
      </c>
      <c r="K3149" s="370"/>
      <c r="N3149" s="370"/>
    </row>
    <row r="3150" spans="1:14" s="347" customFormat="1" x14ac:dyDescent="0.25">
      <c r="A3150" s="369"/>
      <c r="E3150" s="396"/>
      <c r="F3150" s="396"/>
      <c r="G3150" s="396"/>
      <c r="K3150" s="370"/>
      <c r="N3150" s="370"/>
    </row>
    <row r="3151" spans="1:14" s="347" customFormat="1" x14ac:dyDescent="0.25">
      <c r="A3151" s="369">
        <v>44379</v>
      </c>
      <c r="B3151" s="347">
        <f>+MONTH(A3151)</f>
        <v>7</v>
      </c>
      <c r="C3151" s="347">
        <v>115</v>
      </c>
      <c r="D3151" s="340" t="str">
        <f>VLOOKUP(C3151,Plan!A:B,2,0)</f>
        <v>Disponible Cali B.Chile</v>
      </c>
      <c r="E3151" s="341">
        <f>+F3151-G3151</f>
        <v>50000</v>
      </c>
      <c r="F3151" s="405">
        <v>50000</v>
      </c>
      <c r="G3151" s="405">
        <v>0</v>
      </c>
      <c r="H3151" t="s">
        <v>1026</v>
      </c>
      <c r="I3151" s="403" t="s">
        <v>131</v>
      </c>
      <c r="K3151" s="370"/>
      <c r="N3151" s="370"/>
    </row>
    <row r="3152" spans="1:14" s="347" customFormat="1" x14ac:dyDescent="0.25">
      <c r="A3152" s="369">
        <f>+A3151</f>
        <v>44379</v>
      </c>
      <c r="B3152" s="347">
        <f>+MONTH(A3152)</f>
        <v>7</v>
      </c>
      <c r="C3152" s="347">
        <v>3210</v>
      </c>
      <c r="D3152" s="340" t="str">
        <f>VLOOKUP(C3152,Plan!A:B,2,0)</f>
        <v>Donacion Construccion</v>
      </c>
      <c r="E3152" s="341">
        <f>+F3152-G3152</f>
        <v>-50000</v>
      </c>
      <c r="F3152" s="405">
        <v>0</v>
      </c>
      <c r="G3152" s="405">
        <f>+F3151</f>
        <v>50000</v>
      </c>
      <c r="H3152" t="str">
        <f>+H3151</f>
        <v>Daniela Lubiano/azul</v>
      </c>
      <c r="I3152" s="403" t="s">
        <v>131</v>
      </c>
      <c r="K3152" s="370"/>
      <c r="N3152" s="370"/>
    </row>
    <row r="3153" spans="1:14" s="347" customFormat="1" x14ac:dyDescent="0.25">
      <c r="A3153" s="369"/>
      <c r="E3153" s="396"/>
      <c r="F3153" s="396"/>
      <c r="G3153" s="396"/>
      <c r="K3153" s="370"/>
      <c r="N3153" s="370"/>
    </row>
    <row r="3154" spans="1:14" s="347" customFormat="1" x14ac:dyDescent="0.25">
      <c r="A3154" s="369">
        <v>44379</v>
      </c>
      <c r="B3154" s="347">
        <f>+MONTH(A3154)</f>
        <v>7</v>
      </c>
      <c r="C3154" s="347">
        <v>115</v>
      </c>
      <c r="D3154" s="340" t="str">
        <f>VLOOKUP(C3154,Plan!A:B,2,0)</f>
        <v>Disponible Cali B.Chile</v>
      </c>
      <c r="E3154" s="341">
        <f>+F3154-G3154</f>
        <v>70000</v>
      </c>
      <c r="F3154" s="405">
        <v>70000</v>
      </c>
      <c r="G3154" s="405">
        <v>0</v>
      </c>
      <c r="H3154" t="s">
        <v>1067</v>
      </c>
      <c r="I3154" s="403" t="s">
        <v>131</v>
      </c>
      <c r="K3154" s="370"/>
      <c r="N3154" s="370"/>
    </row>
    <row r="3155" spans="1:14" s="347" customFormat="1" x14ac:dyDescent="0.25">
      <c r="A3155" s="369">
        <f>+A3154</f>
        <v>44379</v>
      </c>
      <c r="B3155" s="347">
        <f>+MONTH(A3155)</f>
        <v>7</v>
      </c>
      <c r="C3155" s="347">
        <v>3210</v>
      </c>
      <c r="D3155" s="340" t="str">
        <f>VLOOKUP(C3155,Plan!A:B,2,0)</f>
        <v>Donacion Construccion</v>
      </c>
      <c r="E3155" s="341">
        <f>+F3155-G3155</f>
        <v>-70000</v>
      </c>
      <c r="F3155" s="405">
        <v>0</v>
      </c>
      <c r="G3155" s="405">
        <f>+F3154</f>
        <v>70000</v>
      </c>
      <c r="H3155" t="str">
        <f>+H3154</f>
        <v>Juan Sebastian Dávila Montaner/Azul</v>
      </c>
      <c r="I3155" s="403" t="s">
        <v>131</v>
      </c>
      <c r="K3155" s="370"/>
      <c r="N3155" s="370"/>
    </row>
    <row r="3156" spans="1:14" s="347" customFormat="1" x14ac:dyDescent="0.25">
      <c r="A3156" s="369"/>
      <c r="E3156" s="396"/>
      <c r="F3156" s="396"/>
      <c r="G3156" s="396"/>
      <c r="K3156" s="370"/>
      <c r="N3156" s="370"/>
    </row>
    <row r="3157" spans="1:14" s="347" customFormat="1" x14ac:dyDescent="0.25">
      <c r="A3157" s="369">
        <v>44379</v>
      </c>
      <c r="B3157" s="347">
        <f>+MONTH(A3157)</f>
        <v>7</v>
      </c>
      <c r="C3157" s="347">
        <v>115</v>
      </c>
      <c r="D3157" s="340" t="str">
        <f>VLOOKUP(C3157,Plan!A:B,2,0)</f>
        <v>Disponible Cali B.Chile</v>
      </c>
      <c r="E3157" s="341">
        <f>+F3157-G3157</f>
        <v>350000</v>
      </c>
      <c r="F3157" s="405">
        <v>350000</v>
      </c>
      <c r="G3157" s="405">
        <v>0</v>
      </c>
      <c r="H3157" t="s">
        <v>1849</v>
      </c>
      <c r="I3157" s="403" t="s">
        <v>131</v>
      </c>
      <c r="K3157" s="370"/>
      <c r="N3157" s="370"/>
    </row>
    <row r="3158" spans="1:14" s="347" customFormat="1" x14ac:dyDescent="0.25">
      <c r="A3158" s="369">
        <f>+A3157</f>
        <v>44379</v>
      </c>
      <c r="B3158" s="347">
        <f>+MONTH(A3158)</f>
        <v>7</v>
      </c>
      <c r="C3158" s="347">
        <v>3210</v>
      </c>
      <c r="D3158" s="340" t="str">
        <f>VLOOKUP(C3158,Plan!A:B,2,0)</f>
        <v>Donacion Construccion</v>
      </c>
      <c r="E3158" s="341">
        <f>+F3158-G3158</f>
        <v>-350000</v>
      </c>
      <c r="F3158" s="405">
        <v>0</v>
      </c>
      <c r="G3158" s="405">
        <f>+F3157</f>
        <v>350000</v>
      </c>
      <c r="H3158" t="str">
        <f>+H3157</f>
        <v>Alfonso José Guzmán Cruzat / Azul</v>
      </c>
      <c r="I3158" s="403" t="s">
        <v>131</v>
      </c>
      <c r="K3158" s="370"/>
      <c r="N3158" s="370"/>
    </row>
    <row r="3159" spans="1:14" s="347" customFormat="1" x14ac:dyDescent="0.25">
      <c r="A3159" s="369"/>
      <c r="E3159" s="396"/>
      <c r="F3159" s="396"/>
      <c r="G3159" s="396"/>
      <c r="K3159" s="370"/>
      <c r="N3159" s="370"/>
    </row>
    <row r="3160" spans="1:14" s="347" customFormat="1" x14ac:dyDescent="0.25">
      <c r="A3160" s="369">
        <v>44382</v>
      </c>
      <c r="B3160" s="347">
        <f>+MONTH(A3160)</f>
        <v>7</v>
      </c>
      <c r="C3160" s="347">
        <v>115</v>
      </c>
      <c r="D3160" s="340" t="str">
        <f>VLOOKUP(C3160,Plan!A:B,2,0)</f>
        <v>Disponible Cali B.Chile</v>
      </c>
      <c r="E3160" s="341">
        <f>+F3160-G3160</f>
        <v>650000</v>
      </c>
      <c r="F3160" s="405">
        <v>650000</v>
      </c>
      <c r="G3160" s="405">
        <v>0</v>
      </c>
      <c r="H3160" t="s">
        <v>1849</v>
      </c>
      <c r="I3160" s="403" t="s">
        <v>131</v>
      </c>
      <c r="K3160" s="370"/>
      <c r="N3160" s="370"/>
    </row>
    <row r="3161" spans="1:14" s="347" customFormat="1" x14ac:dyDescent="0.25">
      <c r="A3161" s="369">
        <f>+A3160</f>
        <v>44382</v>
      </c>
      <c r="B3161" s="347">
        <f>+MONTH(A3161)</f>
        <v>7</v>
      </c>
      <c r="C3161" s="347">
        <v>3210</v>
      </c>
      <c r="D3161" s="340" t="str">
        <f>VLOOKUP(C3161,Plan!A:B,2,0)</f>
        <v>Donacion Construccion</v>
      </c>
      <c r="E3161" s="341">
        <f>+F3161-G3161</f>
        <v>-650000</v>
      </c>
      <c r="F3161" s="405">
        <v>0</v>
      </c>
      <c r="G3161" s="405">
        <f>+F3160</f>
        <v>650000</v>
      </c>
      <c r="H3161" t="str">
        <f>+H3160</f>
        <v>Alfonso José Guzmán Cruzat / Azul</v>
      </c>
      <c r="I3161" s="403" t="s">
        <v>131</v>
      </c>
      <c r="K3161" s="370"/>
      <c r="N3161" s="370"/>
    </row>
    <row r="3162" spans="1:14" s="347" customFormat="1" x14ac:dyDescent="0.25">
      <c r="A3162" s="369"/>
      <c r="E3162" s="396"/>
      <c r="F3162" s="396"/>
      <c r="G3162" s="396"/>
      <c r="K3162" s="370"/>
      <c r="N3162" s="370"/>
    </row>
    <row r="3163" spans="1:14" s="347" customFormat="1" x14ac:dyDescent="0.25">
      <c r="A3163" s="369">
        <v>44382</v>
      </c>
      <c r="B3163" s="347">
        <f>+MONTH(A3163)</f>
        <v>7</v>
      </c>
      <c r="C3163" s="347">
        <v>115</v>
      </c>
      <c r="D3163" s="340" t="str">
        <f>VLOOKUP(C3163,Plan!A:B,2,0)</f>
        <v>Disponible Cali B.Chile</v>
      </c>
      <c r="E3163" s="341">
        <f>+F3163-G3163</f>
        <v>70000</v>
      </c>
      <c r="F3163" s="405">
        <v>70000</v>
      </c>
      <c r="G3163" s="405">
        <v>0</v>
      </c>
      <c r="H3163" t="s">
        <v>997</v>
      </c>
      <c r="I3163" s="403" t="s">
        <v>131</v>
      </c>
      <c r="K3163" s="370"/>
      <c r="N3163" s="370"/>
    </row>
    <row r="3164" spans="1:14" s="347" customFormat="1" x14ac:dyDescent="0.25">
      <c r="A3164" s="369">
        <f>+A3163</f>
        <v>44382</v>
      </c>
      <c r="B3164" s="347">
        <f>+MONTH(A3164)</f>
        <v>7</v>
      </c>
      <c r="C3164" s="347">
        <v>1222</v>
      </c>
      <c r="D3164" s="340" t="str">
        <f>VLOOKUP(C3164,Plan!A:B,2,0)</f>
        <v>Otros Valores -Oficina y Transferencias (249)</v>
      </c>
      <c r="E3164" s="341">
        <f>+F3164-G3164</f>
        <v>-70000</v>
      </c>
      <c r="F3164" s="405">
        <v>0</v>
      </c>
      <c r="G3164" s="405">
        <f>+F3163</f>
        <v>70000</v>
      </c>
      <c r="H3164" t="str">
        <f>+H3163</f>
        <v>Alberto Altermatt C. / 249</v>
      </c>
      <c r="I3164" s="403" t="s">
        <v>131</v>
      </c>
      <c r="K3164" s="370"/>
      <c r="N3164" s="370"/>
    </row>
    <row r="3165" spans="1:14" s="347" customFormat="1" x14ac:dyDescent="0.25">
      <c r="A3165" s="369"/>
      <c r="E3165" s="396"/>
      <c r="F3165" s="396"/>
      <c r="G3165" s="396"/>
      <c r="K3165" s="370"/>
      <c r="N3165" s="370"/>
    </row>
    <row r="3166" spans="1:14" s="347" customFormat="1" x14ac:dyDescent="0.25">
      <c r="A3166" s="369">
        <v>44382</v>
      </c>
      <c r="B3166" s="347">
        <f>+MONTH(A3166)</f>
        <v>7</v>
      </c>
      <c r="C3166" s="347">
        <v>115</v>
      </c>
      <c r="D3166" s="340" t="str">
        <f>VLOOKUP(C3166,Plan!A:B,2,0)</f>
        <v>Disponible Cali B.Chile</v>
      </c>
      <c r="E3166" s="341">
        <f>+F3166-G3166</f>
        <v>30000</v>
      </c>
      <c r="F3166" s="405">
        <v>30000</v>
      </c>
      <c r="G3166" s="405">
        <v>0</v>
      </c>
      <c r="H3166" t="s">
        <v>996</v>
      </c>
      <c r="I3166" s="403" t="s">
        <v>131</v>
      </c>
      <c r="K3166" s="370"/>
      <c r="N3166" s="370"/>
    </row>
    <row r="3167" spans="1:14" s="347" customFormat="1" x14ac:dyDescent="0.25">
      <c r="A3167" s="369">
        <f>+A3166</f>
        <v>44382</v>
      </c>
      <c r="B3167" s="347">
        <f>+MONTH(A3167)</f>
        <v>7</v>
      </c>
      <c r="C3167" s="347">
        <v>3210</v>
      </c>
      <c r="D3167" s="340" t="str">
        <f>VLOOKUP(C3167,Plan!A:B,2,0)</f>
        <v>Donacion Construccion</v>
      </c>
      <c r="E3167" s="341">
        <f>+F3167-G3167</f>
        <v>-30000</v>
      </c>
      <c r="F3167" s="405">
        <v>0</v>
      </c>
      <c r="G3167" s="405">
        <f>+F3166</f>
        <v>30000</v>
      </c>
      <c r="H3167" t="str">
        <f>+H3166</f>
        <v>Patrick Reginald Horn Garcia / Azul</v>
      </c>
      <c r="I3167" s="403" t="s">
        <v>131</v>
      </c>
      <c r="K3167" s="370"/>
      <c r="N3167" s="370"/>
    </row>
    <row r="3168" spans="1:14" s="347" customFormat="1" x14ac:dyDescent="0.25">
      <c r="A3168" s="369"/>
      <c r="E3168" s="396"/>
      <c r="F3168" s="396"/>
      <c r="G3168" s="396"/>
      <c r="K3168" s="370"/>
      <c r="N3168" s="370"/>
    </row>
    <row r="3169" spans="1:14" s="347" customFormat="1" x14ac:dyDescent="0.25">
      <c r="A3169" s="369">
        <v>44382</v>
      </c>
      <c r="B3169" s="347">
        <f>+MONTH(A3169)</f>
        <v>7</v>
      </c>
      <c r="C3169" s="347">
        <v>115</v>
      </c>
      <c r="D3169" s="340" t="str">
        <f>VLOOKUP(C3169,Plan!A:B,2,0)</f>
        <v>Disponible Cali B.Chile</v>
      </c>
      <c r="E3169" s="341">
        <f>+F3169-G3169</f>
        <v>40000</v>
      </c>
      <c r="F3169" s="405">
        <v>40000</v>
      </c>
      <c r="G3169" s="405">
        <v>0</v>
      </c>
      <c r="H3169" t="s">
        <v>1696</v>
      </c>
      <c r="I3169" s="403" t="s">
        <v>131</v>
      </c>
      <c r="K3169" s="370"/>
      <c r="N3169" s="370"/>
    </row>
    <row r="3170" spans="1:14" s="347" customFormat="1" x14ac:dyDescent="0.25">
      <c r="A3170" s="369">
        <f>+A3169</f>
        <v>44382</v>
      </c>
      <c r="B3170" s="347">
        <f>+MONTH(A3170)</f>
        <v>7</v>
      </c>
      <c r="C3170" s="347">
        <v>1222</v>
      </c>
      <c r="D3170" s="340" t="str">
        <f>VLOOKUP(C3170,Plan!A:B,2,0)</f>
        <v>Otros Valores -Oficina y Transferencias (249)</v>
      </c>
      <c r="E3170" s="341">
        <f>+F3170-G3170</f>
        <v>-40000</v>
      </c>
      <c r="F3170" s="405">
        <v>0</v>
      </c>
      <c r="G3170" s="405">
        <f>+F3169</f>
        <v>40000</v>
      </c>
      <c r="H3170" t="str">
        <f>+H3169</f>
        <v>Antonio Jorge Gana de Landa / 249</v>
      </c>
      <c r="I3170" s="403" t="s">
        <v>131</v>
      </c>
      <c r="K3170" s="370"/>
      <c r="N3170" s="370"/>
    </row>
    <row r="3171" spans="1:14" s="347" customFormat="1" x14ac:dyDescent="0.25">
      <c r="A3171" s="369"/>
      <c r="E3171" s="396"/>
      <c r="F3171" s="396"/>
      <c r="G3171" s="396"/>
      <c r="K3171" s="370"/>
      <c r="N3171" s="370"/>
    </row>
    <row r="3172" spans="1:14" s="347" customFormat="1" x14ac:dyDescent="0.25">
      <c r="A3172" s="369">
        <v>44382</v>
      </c>
      <c r="B3172" s="347">
        <f>+MONTH(A3172)</f>
        <v>7</v>
      </c>
      <c r="C3172" s="347">
        <v>115</v>
      </c>
      <c r="D3172" s="340" t="str">
        <f>VLOOKUP(C3172,Plan!A:B,2,0)</f>
        <v>Disponible Cali B.Chile</v>
      </c>
      <c r="E3172" s="341">
        <f>+F3172-G3172</f>
        <v>100000</v>
      </c>
      <c r="F3172" s="405">
        <v>100000</v>
      </c>
      <c r="G3172" s="405">
        <v>0</v>
      </c>
      <c r="H3172" t="s">
        <v>1850</v>
      </c>
      <c r="I3172" s="403" t="s">
        <v>131</v>
      </c>
      <c r="K3172" s="370"/>
      <c r="N3172" s="370"/>
    </row>
    <row r="3173" spans="1:14" s="347" customFormat="1" x14ac:dyDescent="0.25">
      <c r="A3173" s="369">
        <f>+A3172</f>
        <v>44382</v>
      </c>
      <c r="B3173" s="347">
        <f>+MONTH(A3173)</f>
        <v>7</v>
      </c>
      <c r="C3173" s="347">
        <v>3210</v>
      </c>
      <c r="D3173" s="340" t="str">
        <f>VLOOKUP(C3173,Plan!A:B,2,0)</f>
        <v>Donacion Construccion</v>
      </c>
      <c r="E3173" s="341">
        <f>+F3173-G3173</f>
        <v>-100000</v>
      </c>
      <c r="F3173" s="405">
        <v>0</v>
      </c>
      <c r="G3173" s="405">
        <f>+F3172</f>
        <v>100000</v>
      </c>
      <c r="H3173" t="str">
        <f>+H3172</f>
        <v>Selim Guillermo Abara Elías / Azul</v>
      </c>
      <c r="I3173" s="403" t="s">
        <v>131</v>
      </c>
      <c r="K3173" s="370"/>
      <c r="N3173" s="370"/>
    </row>
    <row r="3174" spans="1:14" s="347" customFormat="1" x14ac:dyDescent="0.25">
      <c r="K3174" s="370"/>
      <c r="N3174" s="370"/>
    </row>
    <row r="3175" spans="1:14" s="347" customFormat="1" x14ac:dyDescent="0.25">
      <c r="A3175" s="369">
        <v>44382</v>
      </c>
      <c r="B3175" s="347">
        <f>+MONTH(A3175)</f>
        <v>7</v>
      </c>
      <c r="C3175" s="347">
        <v>115</v>
      </c>
      <c r="D3175" s="340" t="str">
        <f>VLOOKUP(C3175,Plan!A:B,2,0)</f>
        <v>Disponible Cali B.Chile</v>
      </c>
      <c r="E3175" s="341">
        <f>+F3175-G3175</f>
        <v>150000</v>
      </c>
      <c r="F3175" s="405">
        <v>150000</v>
      </c>
      <c r="G3175" s="405">
        <v>0</v>
      </c>
      <c r="H3175" t="s">
        <v>1021</v>
      </c>
      <c r="I3175" s="403" t="s">
        <v>131</v>
      </c>
      <c r="K3175" s="370"/>
      <c r="N3175" s="370"/>
    </row>
    <row r="3176" spans="1:14" s="347" customFormat="1" x14ac:dyDescent="0.25">
      <c r="A3176" s="369">
        <f>+A3175</f>
        <v>44382</v>
      </c>
      <c r="B3176" s="347">
        <f>+MONTH(A3176)</f>
        <v>7</v>
      </c>
      <c r="C3176" s="347">
        <v>3210</v>
      </c>
      <c r="D3176" s="340" t="str">
        <f>VLOOKUP(C3176,Plan!A:B,2,0)</f>
        <v>Donacion Construccion</v>
      </c>
      <c r="E3176" s="341">
        <f>+F3176-G3176</f>
        <v>-150000</v>
      </c>
      <c r="F3176" s="405">
        <v>0</v>
      </c>
      <c r="G3176" s="405">
        <f>+F3175</f>
        <v>150000</v>
      </c>
      <c r="H3176" t="str">
        <f>+H3175</f>
        <v>Italo Lubiano Tassara/Azul</v>
      </c>
      <c r="I3176" s="403" t="s">
        <v>131</v>
      </c>
      <c r="K3176" s="370"/>
      <c r="N3176" s="370"/>
    </row>
    <row r="3177" spans="1:14" s="347" customFormat="1" x14ac:dyDescent="0.25">
      <c r="A3177" s="369"/>
      <c r="E3177" s="396"/>
      <c r="F3177" s="396"/>
      <c r="G3177" s="396"/>
      <c r="K3177" s="370"/>
      <c r="N3177" s="370"/>
    </row>
    <row r="3178" spans="1:14" s="347" customFormat="1" x14ac:dyDescent="0.25">
      <c r="A3178" s="369">
        <v>44382</v>
      </c>
      <c r="B3178" s="347">
        <f>+MONTH(A3178)</f>
        <v>7</v>
      </c>
      <c r="C3178" s="347">
        <v>115</v>
      </c>
      <c r="D3178" s="340" t="str">
        <f>VLOOKUP(C3178,Plan!A:B,2,0)</f>
        <v>Disponible Cali B.Chile</v>
      </c>
      <c r="E3178" s="341">
        <f>+F3178-G3178</f>
        <v>150000</v>
      </c>
      <c r="F3178" s="405">
        <v>150000</v>
      </c>
      <c r="G3178" s="405">
        <v>0</v>
      </c>
      <c r="H3178" t="s">
        <v>1002</v>
      </c>
      <c r="I3178" s="403" t="s">
        <v>131</v>
      </c>
      <c r="K3178" s="370"/>
      <c r="N3178" s="370"/>
    </row>
    <row r="3179" spans="1:14" s="347" customFormat="1" x14ac:dyDescent="0.25">
      <c r="A3179" s="369">
        <f>+A3178</f>
        <v>44382</v>
      </c>
      <c r="B3179" s="347">
        <f>+MONTH(A3179)</f>
        <v>7</v>
      </c>
      <c r="C3179" s="347">
        <v>1222</v>
      </c>
      <c r="D3179" s="340" t="str">
        <f>VLOOKUP(C3179,Plan!A:B,2,0)</f>
        <v>Otros Valores -Oficina y Transferencias (249)</v>
      </c>
      <c r="E3179" s="341">
        <f>+F3179-G3179</f>
        <v>-150000</v>
      </c>
      <c r="F3179" s="405">
        <v>0</v>
      </c>
      <c r="G3179" s="405">
        <f>+F3178</f>
        <v>150000</v>
      </c>
      <c r="H3179" t="str">
        <f>+H3178</f>
        <v>José Miguel Ureta Cardoen / 249</v>
      </c>
      <c r="I3179" s="403" t="s">
        <v>131</v>
      </c>
      <c r="K3179" s="370"/>
      <c r="N3179" s="370"/>
    </row>
    <row r="3180" spans="1:14" s="347" customFormat="1" x14ac:dyDescent="0.25">
      <c r="A3180" s="369"/>
      <c r="E3180" s="396"/>
      <c r="F3180" s="396"/>
      <c r="G3180" s="396"/>
      <c r="K3180" s="370"/>
      <c r="N3180" s="370"/>
    </row>
    <row r="3181" spans="1:14" s="347" customFormat="1" x14ac:dyDescent="0.25">
      <c r="A3181" s="369">
        <v>44382</v>
      </c>
      <c r="B3181" s="347">
        <f>+MONTH(A3181)</f>
        <v>7</v>
      </c>
      <c r="C3181" s="347">
        <v>115</v>
      </c>
      <c r="D3181" s="340" t="str">
        <f>VLOOKUP(C3181,Plan!A:B,2,0)</f>
        <v>Disponible Cali B.Chile</v>
      </c>
      <c r="E3181" s="341">
        <f>+F3181-G3181</f>
        <v>20000</v>
      </c>
      <c r="F3181" s="405">
        <v>20000</v>
      </c>
      <c r="G3181" s="405">
        <v>0</v>
      </c>
      <c r="H3181" t="s">
        <v>999</v>
      </c>
      <c r="I3181" s="403" t="s">
        <v>131</v>
      </c>
      <c r="K3181" s="370"/>
      <c r="N3181" s="370"/>
    </row>
    <row r="3182" spans="1:14" s="347" customFormat="1" x14ac:dyDescent="0.25">
      <c r="A3182" s="369">
        <f>+A3181</f>
        <v>44382</v>
      </c>
      <c r="B3182" s="347">
        <f>+MONTH(A3182)</f>
        <v>7</v>
      </c>
      <c r="C3182" s="347">
        <v>1222</v>
      </c>
      <c r="D3182" s="340" t="str">
        <f>VLOOKUP(C3182,Plan!A:B,2,0)</f>
        <v>Otros Valores -Oficina y Transferencias (249)</v>
      </c>
      <c r="E3182" s="341">
        <f>+F3182-G3182</f>
        <v>-20000</v>
      </c>
      <c r="F3182" s="405">
        <v>0</v>
      </c>
      <c r="G3182" s="405">
        <f>+F3181</f>
        <v>20000</v>
      </c>
      <c r="H3182" t="str">
        <f>+H3181</f>
        <v>Carmen Mónica Barañao Rojas/249</v>
      </c>
      <c r="I3182" s="403" t="s">
        <v>131</v>
      </c>
      <c r="K3182" s="370"/>
      <c r="N3182" s="370"/>
    </row>
    <row r="3183" spans="1:14" s="347" customFormat="1" x14ac:dyDescent="0.25">
      <c r="A3183" s="369"/>
      <c r="E3183" s="396"/>
      <c r="F3183" s="396"/>
      <c r="G3183" s="396"/>
      <c r="K3183" s="370"/>
      <c r="N3183" s="370"/>
    </row>
    <row r="3184" spans="1:14" s="347" customFormat="1" x14ac:dyDescent="0.25">
      <c r="A3184" s="369">
        <v>44382</v>
      </c>
      <c r="B3184" s="347">
        <f>+MONTH(A3184)</f>
        <v>7</v>
      </c>
      <c r="C3184" s="347">
        <v>115</v>
      </c>
      <c r="D3184" s="340" t="str">
        <f>VLOOKUP(C3184,Plan!A:B,2,0)</f>
        <v>Disponible Cali B.Chile</v>
      </c>
      <c r="E3184" s="341">
        <f>+F3184-G3184</f>
        <v>2000</v>
      </c>
      <c r="F3184" s="405">
        <v>2000</v>
      </c>
      <c r="G3184" s="405">
        <v>0</v>
      </c>
      <c r="H3184" t="s">
        <v>1010</v>
      </c>
      <c r="I3184" s="403" t="s">
        <v>131</v>
      </c>
      <c r="K3184" s="370"/>
      <c r="N3184" s="370"/>
    </row>
    <row r="3185" spans="1:14" s="347" customFormat="1" x14ac:dyDescent="0.25">
      <c r="A3185" s="369">
        <f>+A3184</f>
        <v>44382</v>
      </c>
      <c r="B3185" s="347">
        <f>+MONTH(A3185)</f>
        <v>7</v>
      </c>
      <c r="C3185" s="347">
        <v>216</v>
      </c>
      <c r="D3185" s="340" t="str">
        <f>VLOOKUP(C3185,Plan!A:B,2,0)</f>
        <v>Cuenta por Pagar a Administración Colectas</v>
      </c>
      <c r="E3185" s="341">
        <f>+F3185-G3185</f>
        <v>-2000</v>
      </c>
      <c r="F3185" s="405">
        <v>0</v>
      </c>
      <c r="G3185" s="405">
        <f>+F3184</f>
        <v>2000</v>
      </c>
      <c r="H3185" t="str">
        <f>+H3184</f>
        <v>Colecta Raimundo Barros</v>
      </c>
      <c r="I3185" s="403" t="s">
        <v>131</v>
      </c>
      <c r="K3185" s="370"/>
      <c r="N3185" s="370"/>
    </row>
    <row r="3186" spans="1:14" s="347" customFormat="1" x14ac:dyDescent="0.25">
      <c r="A3186" s="369"/>
      <c r="E3186" s="396"/>
      <c r="F3186" s="396"/>
      <c r="G3186" s="396"/>
      <c r="K3186" s="370"/>
      <c r="N3186" s="370"/>
    </row>
    <row r="3187" spans="1:14" s="347" customFormat="1" x14ac:dyDescent="0.25">
      <c r="A3187" s="369">
        <v>44382</v>
      </c>
      <c r="B3187" s="347">
        <f>+MONTH(A3187)</f>
        <v>7</v>
      </c>
      <c r="C3187" s="347">
        <v>115</v>
      </c>
      <c r="D3187" s="340" t="str">
        <f>VLOOKUP(C3187,Plan!A:B,2,0)</f>
        <v>Disponible Cali B.Chile</v>
      </c>
      <c r="E3187" s="341">
        <f>+F3187-G3187</f>
        <v>11000</v>
      </c>
      <c r="F3187" s="405">
        <v>11000</v>
      </c>
      <c r="G3187" s="405">
        <v>0</v>
      </c>
      <c r="H3187" t="s">
        <v>1020</v>
      </c>
      <c r="I3187" s="403" t="s">
        <v>131</v>
      </c>
      <c r="K3187" s="370"/>
      <c r="N3187" s="370"/>
    </row>
    <row r="3188" spans="1:14" s="347" customFormat="1" x14ac:dyDescent="0.25">
      <c r="A3188" s="369">
        <f>+A3187</f>
        <v>44382</v>
      </c>
      <c r="B3188" s="347">
        <f>+MONTH(A3188)</f>
        <v>7</v>
      </c>
      <c r="C3188" s="347">
        <v>1217</v>
      </c>
      <c r="D3188" s="340" t="str">
        <f>VLOOKUP(C3188,Plan!A:B,2,0)</f>
        <v>Otros Valores -Oficina y Transferencias (248)</v>
      </c>
      <c r="E3188" s="341">
        <f>+F3188-G3188</f>
        <v>-11000</v>
      </c>
      <c r="F3188" s="405">
        <v>0</v>
      </c>
      <c r="G3188" s="405">
        <f>+F3187</f>
        <v>11000</v>
      </c>
      <c r="H3188" t="str">
        <f>+H3187</f>
        <v xml:space="preserve">M.Cristina Valenzuela L./248 </v>
      </c>
      <c r="I3188" s="403" t="s">
        <v>131</v>
      </c>
      <c r="K3188" s="370"/>
      <c r="N3188" s="370"/>
    </row>
    <row r="3189" spans="1:14" s="347" customFormat="1" x14ac:dyDescent="0.25">
      <c r="A3189" s="369"/>
      <c r="E3189" s="396"/>
      <c r="F3189" s="396"/>
      <c r="G3189" s="396"/>
      <c r="K3189" s="370"/>
      <c r="N3189" s="370"/>
    </row>
    <row r="3190" spans="1:14" s="347" customFormat="1" x14ac:dyDescent="0.25">
      <c r="A3190" s="369">
        <v>44382</v>
      </c>
      <c r="B3190" s="347">
        <f>+MONTH(A3190)</f>
        <v>7</v>
      </c>
      <c r="C3190" s="347">
        <v>115</v>
      </c>
      <c r="D3190" s="340" t="str">
        <f>VLOOKUP(C3190,Plan!A:B,2,0)</f>
        <v>Disponible Cali B.Chile</v>
      </c>
      <c r="E3190" s="341">
        <f>+F3190-G3190</f>
        <v>60000</v>
      </c>
      <c r="F3190" s="405">
        <v>60000</v>
      </c>
      <c r="G3190" s="405">
        <v>0</v>
      </c>
      <c r="H3190" t="s">
        <v>1724</v>
      </c>
      <c r="I3190" s="403" t="s">
        <v>131</v>
      </c>
      <c r="K3190" s="370"/>
      <c r="N3190" s="370"/>
    </row>
    <row r="3191" spans="1:14" s="347" customFormat="1" x14ac:dyDescent="0.25">
      <c r="A3191" s="369">
        <f>+A3190</f>
        <v>44382</v>
      </c>
      <c r="B3191" s="347">
        <f>+MONTH(A3191)</f>
        <v>7</v>
      </c>
      <c r="C3191" s="347">
        <v>1222</v>
      </c>
      <c r="D3191" s="340" t="str">
        <f>VLOOKUP(C3191,Plan!A:B,2,0)</f>
        <v>Otros Valores -Oficina y Transferencias (249)</v>
      </c>
      <c r="E3191" s="341">
        <f>+F3191-G3191</f>
        <v>-60000</v>
      </c>
      <c r="F3191" s="405">
        <v>0</v>
      </c>
      <c r="G3191" s="405">
        <f>+F3190</f>
        <v>60000</v>
      </c>
      <c r="H3191" t="str">
        <f>+H3190</f>
        <v>Patricio Oelckers Álvarez / 249</v>
      </c>
      <c r="I3191" s="403" t="s">
        <v>131</v>
      </c>
      <c r="K3191" s="370"/>
      <c r="N3191" s="370"/>
    </row>
    <row r="3192" spans="1:14" s="347" customFormat="1" x14ac:dyDescent="0.25">
      <c r="A3192" s="369"/>
      <c r="E3192" s="396"/>
      <c r="F3192" s="396"/>
      <c r="G3192" s="396"/>
      <c r="K3192" s="370"/>
      <c r="N3192" s="370"/>
    </row>
    <row r="3193" spans="1:14" s="347" customFormat="1" x14ac:dyDescent="0.25">
      <c r="A3193" s="369">
        <v>44382</v>
      </c>
      <c r="B3193" s="347">
        <f>+MONTH(A3193)</f>
        <v>7</v>
      </c>
      <c r="C3193" s="347">
        <v>115</v>
      </c>
      <c r="D3193" s="340" t="str">
        <f>VLOOKUP(C3193,Plan!A:B,2,0)</f>
        <v>Disponible Cali B.Chile</v>
      </c>
      <c r="E3193" s="341">
        <f>+F3193-G3193</f>
        <v>12000</v>
      </c>
      <c r="F3193" s="405">
        <v>12000</v>
      </c>
      <c r="G3193" s="405">
        <v>0</v>
      </c>
      <c r="H3193" t="s">
        <v>1673</v>
      </c>
      <c r="I3193" s="403" t="s">
        <v>131</v>
      </c>
      <c r="K3193" s="370"/>
      <c r="N3193" s="370"/>
    </row>
    <row r="3194" spans="1:14" s="347" customFormat="1" x14ac:dyDescent="0.25">
      <c r="A3194" s="369">
        <f>+A3193</f>
        <v>44382</v>
      </c>
      <c r="B3194" s="347">
        <f>+MONTH(A3194)</f>
        <v>7</v>
      </c>
      <c r="C3194" s="347">
        <v>1222</v>
      </c>
      <c r="D3194" s="340" t="str">
        <f>VLOOKUP(C3194,Plan!A:B,2,0)</f>
        <v>Otros Valores -Oficina y Transferencias (249)</v>
      </c>
      <c r="E3194" s="341">
        <f>+F3194-G3194</f>
        <v>-12000</v>
      </c>
      <c r="F3194" s="405">
        <v>0</v>
      </c>
      <c r="G3194" s="405">
        <f>+F3193</f>
        <v>12000</v>
      </c>
      <c r="H3194" t="str">
        <f>+H3193</f>
        <v xml:space="preserve">Martín Fuenzalida Izquierdo / 249 </v>
      </c>
      <c r="I3194" s="403" t="s">
        <v>131</v>
      </c>
      <c r="K3194" s="370"/>
      <c r="N3194" s="370"/>
    </row>
    <row r="3195" spans="1:14" s="347" customFormat="1" x14ac:dyDescent="0.25">
      <c r="A3195" s="369"/>
      <c r="E3195" s="396"/>
      <c r="F3195" s="396"/>
      <c r="G3195" s="396"/>
      <c r="K3195" s="370"/>
      <c r="N3195" s="370"/>
    </row>
    <row r="3196" spans="1:14" s="347" customFormat="1" x14ac:dyDescent="0.25">
      <c r="A3196" s="369">
        <v>44382</v>
      </c>
      <c r="B3196" s="347">
        <f>+MONTH(A3196)</f>
        <v>7</v>
      </c>
      <c r="C3196" s="347">
        <v>115</v>
      </c>
      <c r="D3196" s="340" t="str">
        <f>VLOOKUP(C3196,Plan!A:B,2,0)</f>
        <v>Disponible Cali B.Chile</v>
      </c>
      <c r="E3196" s="341">
        <f>+F3196-G3196</f>
        <v>15000</v>
      </c>
      <c r="F3196" s="405">
        <v>15000</v>
      </c>
      <c r="G3196" s="405">
        <v>0</v>
      </c>
      <c r="H3196" t="s">
        <v>1099</v>
      </c>
      <c r="I3196" s="403" t="s">
        <v>131</v>
      </c>
      <c r="K3196" s="370"/>
      <c r="N3196" s="370"/>
    </row>
    <row r="3197" spans="1:14" s="347" customFormat="1" x14ac:dyDescent="0.25">
      <c r="A3197" s="369">
        <f>+A3196</f>
        <v>44382</v>
      </c>
      <c r="B3197" s="347">
        <f>+MONTH(A3197)</f>
        <v>7</v>
      </c>
      <c r="C3197" s="347">
        <v>1222</v>
      </c>
      <c r="D3197" s="340" t="str">
        <f>VLOOKUP(C3197,Plan!A:B,2,0)</f>
        <v>Otros Valores -Oficina y Transferencias (249)</v>
      </c>
      <c r="E3197" s="341">
        <f>+F3197-G3197</f>
        <v>-15000</v>
      </c>
      <c r="F3197" s="405">
        <v>0</v>
      </c>
      <c r="G3197" s="405">
        <f>+F3196</f>
        <v>15000</v>
      </c>
      <c r="H3197" t="str">
        <f>+H3196</f>
        <v>María Consuelo Fuenzalida Walker/249</v>
      </c>
      <c r="I3197" s="403" t="s">
        <v>131</v>
      </c>
      <c r="K3197" s="370"/>
      <c r="N3197" s="370"/>
    </row>
    <row r="3198" spans="1:14" s="347" customFormat="1" x14ac:dyDescent="0.25">
      <c r="K3198" s="370"/>
      <c r="N3198" s="370"/>
    </row>
    <row r="3199" spans="1:14" s="347" customFormat="1" x14ac:dyDescent="0.25">
      <c r="A3199" s="369">
        <v>44382</v>
      </c>
      <c r="B3199" s="347">
        <f>+MONTH(A3199)</f>
        <v>7</v>
      </c>
      <c r="C3199" s="347">
        <v>115</v>
      </c>
      <c r="D3199" s="340" t="str">
        <f>VLOOKUP(C3199,Plan!A:B,2,0)</f>
        <v>Disponible Cali B.Chile</v>
      </c>
      <c r="E3199" s="341">
        <f>+F3199-G3199</f>
        <v>60000</v>
      </c>
      <c r="F3199" s="405">
        <v>60000</v>
      </c>
      <c r="G3199" s="405">
        <v>0</v>
      </c>
      <c r="H3199" t="s">
        <v>1031</v>
      </c>
      <c r="I3199" s="403" t="s">
        <v>131</v>
      </c>
      <c r="K3199" s="370"/>
      <c r="N3199" s="370"/>
    </row>
    <row r="3200" spans="1:14" s="347" customFormat="1" x14ac:dyDescent="0.25">
      <c r="A3200" s="369">
        <f>+A3199</f>
        <v>44382</v>
      </c>
      <c r="B3200" s="347">
        <f>+MONTH(A3200)</f>
        <v>7</v>
      </c>
      <c r="C3200" s="347">
        <v>1217</v>
      </c>
      <c r="D3200" s="340" t="str">
        <f>VLOOKUP(C3200,Plan!A:B,2,0)</f>
        <v>Otros Valores -Oficina y Transferencias (248)</v>
      </c>
      <c r="E3200" s="341">
        <f>+F3200-G3200</f>
        <v>-60000</v>
      </c>
      <c r="F3200" s="405">
        <v>0</v>
      </c>
      <c r="G3200" s="405">
        <f>+F3199</f>
        <v>60000</v>
      </c>
      <c r="H3200" t="str">
        <f>+H3199</f>
        <v xml:space="preserve">D. Vassiliu /248 </v>
      </c>
      <c r="I3200" s="403" t="s">
        <v>131</v>
      </c>
      <c r="K3200" s="370"/>
      <c r="N3200" s="370"/>
    </row>
    <row r="3201" spans="1:14" s="347" customFormat="1" x14ac:dyDescent="0.25">
      <c r="A3201" s="369"/>
      <c r="E3201" s="396"/>
      <c r="F3201" s="396"/>
      <c r="G3201" s="396"/>
      <c r="K3201" s="370"/>
      <c r="N3201" s="370"/>
    </row>
    <row r="3202" spans="1:14" s="347" customFormat="1" x14ac:dyDescent="0.25">
      <c r="A3202" s="369">
        <v>44382</v>
      </c>
      <c r="B3202" s="347">
        <f>+MONTH(A3202)</f>
        <v>7</v>
      </c>
      <c r="C3202" s="347">
        <v>115</v>
      </c>
      <c r="D3202" s="340" t="str">
        <f>VLOOKUP(C3202,Plan!A:B,2,0)</f>
        <v>Disponible Cali B.Chile</v>
      </c>
      <c r="E3202" s="341">
        <f>+F3202-G3202</f>
        <v>10000</v>
      </c>
      <c r="F3202" s="405">
        <v>10000</v>
      </c>
      <c r="G3202" s="405">
        <v>0</v>
      </c>
      <c r="H3202" t="s">
        <v>1851</v>
      </c>
      <c r="I3202" s="403" t="s">
        <v>131</v>
      </c>
      <c r="K3202" s="370"/>
      <c r="N3202" s="370"/>
    </row>
    <row r="3203" spans="1:14" s="347" customFormat="1" x14ac:dyDescent="0.25">
      <c r="A3203" s="369">
        <f>+A3202</f>
        <v>44382</v>
      </c>
      <c r="B3203" s="347">
        <f>+MONTH(A3203)</f>
        <v>7</v>
      </c>
      <c r="C3203" s="347">
        <v>1130</v>
      </c>
      <c r="D3203" s="340" t="str">
        <f>VLOOKUP(C3203,Plan!A:B,2,0)</f>
        <v>Disponible Ch. Fecha</v>
      </c>
      <c r="E3203" s="341">
        <f>+F3203-G3203</f>
        <v>-10000</v>
      </c>
      <c r="F3203" s="405">
        <v>0</v>
      </c>
      <c r="G3203" s="405">
        <f>+F3202</f>
        <v>10000</v>
      </c>
      <c r="H3203" t="str">
        <f>+H3202</f>
        <v>Rec.A.Sepulveda Junio</v>
      </c>
      <c r="I3203" s="403" t="s">
        <v>131</v>
      </c>
      <c r="K3203" s="370"/>
      <c r="N3203" s="370"/>
    </row>
    <row r="3204" spans="1:14" s="347" customFormat="1" x14ac:dyDescent="0.25">
      <c r="A3204" s="369"/>
      <c r="E3204" s="396"/>
      <c r="F3204" s="396"/>
      <c r="G3204" s="396"/>
      <c r="K3204" s="370"/>
      <c r="N3204" s="370"/>
    </row>
    <row r="3205" spans="1:14" s="347" customFormat="1" x14ac:dyDescent="0.25">
      <c r="A3205" s="369">
        <v>44382</v>
      </c>
      <c r="B3205" s="347">
        <f>+MONTH(A3205)</f>
        <v>7</v>
      </c>
      <c r="C3205" s="347">
        <v>4170</v>
      </c>
      <c r="D3205" s="340" t="str">
        <f>VLOOKUP(C3205,Plan!A:B,2,0)</f>
        <v>Cali otros</v>
      </c>
      <c r="E3205" s="341">
        <f>+F3205-G3205</f>
        <v>1414</v>
      </c>
      <c r="F3205" s="405">
        <v>1414</v>
      </c>
      <c r="G3205" s="405">
        <v>0</v>
      </c>
      <c r="H3205" t="s">
        <v>1005</v>
      </c>
      <c r="I3205" s="403" t="s">
        <v>131</v>
      </c>
      <c r="K3205" s="370"/>
      <c r="N3205" s="370"/>
    </row>
    <row r="3206" spans="1:14" s="347" customFormat="1" x14ac:dyDescent="0.25">
      <c r="A3206" s="369">
        <f>+A3205</f>
        <v>44382</v>
      </c>
      <c r="B3206" s="347">
        <f>+MONTH(A3206)</f>
        <v>7</v>
      </c>
      <c r="C3206" s="347">
        <v>115</v>
      </c>
      <c r="D3206" s="340" t="str">
        <f>VLOOKUP(C3206,Plan!A:B,2,0)</f>
        <v>Disponible Cali B.Chile</v>
      </c>
      <c r="E3206" s="341">
        <f>+F3206-G3206</f>
        <v>-1414</v>
      </c>
      <c r="F3206" s="405">
        <v>0</v>
      </c>
      <c r="G3206" s="405">
        <f>+F3205</f>
        <v>1414</v>
      </c>
      <c r="H3206" t="str">
        <f>+H3205</f>
        <v>Com.Bco.Chile</v>
      </c>
      <c r="I3206" s="403" t="s">
        <v>131</v>
      </c>
      <c r="K3206" s="370"/>
      <c r="N3206" s="370"/>
    </row>
    <row r="3207" spans="1:14" s="347" customFormat="1" x14ac:dyDescent="0.25">
      <c r="A3207" s="369"/>
      <c r="E3207" s="396"/>
      <c r="F3207" s="396"/>
      <c r="G3207" s="396"/>
      <c r="K3207" s="370"/>
      <c r="N3207" s="370"/>
    </row>
    <row r="3208" spans="1:14" s="347" customFormat="1" x14ac:dyDescent="0.25">
      <c r="A3208" s="369">
        <v>44383</v>
      </c>
      <c r="B3208" s="347">
        <f>+MONTH(A3208)</f>
        <v>7</v>
      </c>
      <c r="C3208" s="347">
        <v>115</v>
      </c>
      <c r="D3208" s="340" t="str">
        <f>VLOOKUP(C3208,Plan!A:B,2,0)</f>
        <v>Disponible Cali B.Chile</v>
      </c>
      <c r="E3208" s="341">
        <f>+F3208-G3208</f>
        <v>80000</v>
      </c>
      <c r="F3208" s="405">
        <v>80000</v>
      </c>
      <c r="G3208" s="405">
        <v>0</v>
      </c>
      <c r="H3208" t="s">
        <v>1679</v>
      </c>
      <c r="I3208" s="403" t="s">
        <v>131</v>
      </c>
      <c r="K3208" s="370"/>
      <c r="N3208" s="370"/>
    </row>
    <row r="3209" spans="1:14" s="347" customFormat="1" x14ac:dyDescent="0.25">
      <c r="A3209" s="369">
        <f>+A3208</f>
        <v>44383</v>
      </c>
      <c r="B3209" s="347">
        <f>+MONTH(A3209)</f>
        <v>7</v>
      </c>
      <c r="C3209" s="347">
        <v>1222</v>
      </c>
      <c r="D3209" s="340" t="str">
        <f>VLOOKUP(C3209,Plan!A:B,2,0)</f>
        <v>Otros Valores -Oficina y Transferencias (249)</v>
      </c>
      <c r="E3209" s="341">
        <f>+F3209-G3209</f>
        <v>-80000</v>
      </c>
      <c r="F3209" s="405">
        <v>0</v>
      </c>
      <c r="G3209" s="405">
        <f>+F3208</f>
        <v>80000</v>
      </c>
      <c r="H3209" t="str">
        <f>+H3208</f>
        <v>María Teresa Ibañez Vial / 249</v>
      </c>
      <c r="I3209" s="403" t="s">
        <v>131</v>
      </c>
      <c r="K3209" s="370"/>
      <c r="N3209" s="370"/>
    </row>
    <row r="3210" spans="1:14" s="347" customFormat="1" x14ac:dyDescent="0.25">
      <c r="A3210" s="369"/>
      <c r="E3210" s="396"/>
      <c r="F3210" s="396"/>
      <c r="G3210" s="396"/>
      <c r="K3210" s="370"/>
      <c r="N3210" s="370"/>
    </row>
    <row r="3211" spans="1:14" s="347" customFormat="1" x14ac:dyDescent="0.25">
      <c r="A3211" s="369">
        <v>44383</v>
      </c>
      <c r="B3211" s="347">
        <f>+MONTH(A3211)</f>
        <v>7</v>
      </c>
      <c r="C3211" s="347">
        <v>115</v>
      </c>
      <c r="D3211" s="340" t="str">
        <f>VLOOKUP(C3211,Plan!A:B,2,0)</f>
        <v>Disponible Cali B.Chile</v>
      </c>
      <c r="E3211" s="341">
        <f>+F3211-G3211</f>
        <v>40000</v>
      </c>
      <c r="F3211" s="405">
        <v>40000</v>
      </c>
      <c r="G3211" s="405">
        <v>0</v>
      </c>
      <c r="H3211" t="s">
        <v>1009</v>
      </c>
      <c r="I3211" s="403" t="s">
        <v>131</v>
      </c>
      <c r="K3211" s="370"/>
      <c r="N3211" s="370"/>
    </row>
    <row r="3212" spans="1:14" s="347" customFormat="1" x14ac:dyDescent="0.25">
      <c r="A3212" s="369">
        <f>+A3211</f>
        <v>44383</v>
      </c>
      <c r="B3212" s="347">
        <f>+MONTH(A3212)</f>
        <v>7</v>
      </c>
      <c r="C3212" s="347">
        <v>1222</v>
      </c>
      <c r="D3212" s="340" t="str">
        <f>VLOOKUP(C3212,Plan!A:B,2,0)</f>
        <v>Otros Valores -Oficina y Transferencias (249)</v>
      </c>
      <c r="E3212" s="341">
        <f>+F3212-G3212</f>
        <v>-40000</v>
      </c>
      <c r="F3212" s="405">
        <v>0</v>
      </c>
      <c r="G3212" s="405">
        <f>+F3211</f>
        <v>40000</v>
      </c>
      <c r="H3212" t="str">
        <f>+H3211</f>
        <v>Juan Rafael Arnaiz Johnson / 249</v>
      </c>
      <c r="I3212" s="403" t="s">
        <v>131</v>
      </c>
      <c r="K3212" s="370"/>
      <c r="N3212" s="370"/>
    </row>
    <row r="3213" spans="1:14" s="347" customFormat="1" x14ac:dyDescent="0.25">
      <c r="A3213" s="369"/>
      <c r="E3213" s="396"/>
      <c r="F3213" s="396"/>
      <c r="G3213" s="396"/>
      <c r="K3213" s="370"/>
      <c r="N3213" s="370"/>
    </row>
    <row r="3214" spans="1:14" s="347" customFormat="1" x14ac:dyDescent="0.25">
      <c r="A3214" s="369">
        <v>44384</v>
      </c>
      <c r="B3214" s="347">
        <f>+MONTH(A3214)</f>
        <v>7</v>
      </c>
      <c r="C3214" s="347">
        <v>4171</v>
      </c>
      <c r="D3214" s="340" t="str">
        <f>VLOOKUP(C3214,Plan!A:B,2,0)</f>
        <v xml:space="preserve">        Campaña 1%</v>
      </c>
      <c r="E3214" s="341">
        <f>+F3214-G3214</f>
        <v>132983</v>
      </c>
      <c r="F3214" s="405">
        <v>132983</v>
      </c>
      <c r="G3214" s="405">
        <v>0</v>
      </c>
      <c r="H3214" t="s">
        <v>1853</v>
      </c>
      <c r="I3214" s="403" t="s">
        <v>131</v>
      </c>
      <c r="K3214" s="370"/>
      <c r="N3214" s="370"/>
    </row>
    <row r="3215" spans="1:14" s="347" customFormat="1" x14ac:dyDescent="0.25">
      <c r="A3215" s="369">
        <f>+A3214</f>
        <v>44384</v>
      </c>
      <c r="B3215" s="347">
        <f>+MONTH(A3215)</f>
        <v>7</v>
      </c>
      <c r="C3215" s="347">
        <v>115</v>
      </c>
      <c r="D3215" s="340" t="str">
        <f>VLOOKUP(C3215,Plan!A:B,2,0)</f>
        <v>Disponible Cali B.Chile</v>
      </c>
      <c r="E3215" s="341">
        <f>+F3215-G3215</f>
        <v>-132983</v>
      </c>
      <c r="F3215" s="405">
        <v>0</v>
      </c>
      <c r="G3215" s="405">
        <f>+F3214</f>
        <v>132983</v>
      </c>
      <c r="H3215" t="str">
        <f>+H3214</f>
        <v>Choc. La Fête, Fact.47848</v>
      </c>
      <c r="I3215" s="403" t="s">
        <v>131</v>
      </c>
      <c r="K3215" s="370"/>
      <c r="N3215" s="370"/>
    </row>
    <row r="3216" spans="1:14" s="347" customFormat="1" x14ac:dyDescent="0.25">
      <c r="A3216" s="369"/>
      <c r="E3216" s="396"/>
      <c r="F3216" s="396"/>
      <c r="G3216" s="396"/>
      <c r="K3216" s="370"/>
      <c r="N3216" s="370"/>
    </row>
    <row r="3217" spans="1:14" s="347" customFormat="1" x14ac:dyDescent="0.25">
      <c r="A3217" s="369">
        <v>44384</v>
      </c>
      <c r="B3217" s="347">
        <f>+MONTH(A3217)</f>
        <v>7</v>
      </c>
      <c r="C3217" s="347">
        <v>115</v>
      </c>
      <c r="D3217" s="340" t="str">
        <f>VLOOKUP(C3217,Plan!A:B,2,0)</f>
        <v>Disponible Cali B.Chile</v>
      </c>
      <c r="E3217" s="341">
        <f>+F3217-G3217</f>
        <v>30000</v>
      </c>
      <c r="F3217" s="405">
        <v>30000</v>
      </c>
      <c r="G3217" s="405">
        <v>0</v>
      </c>
      <c r="H3217" t="s">
        <v>1003</v>
      </c>
      <c r="I3217" s="403" t="s">
        <v>131</v>
      </c>
      <c r="K3217" s="370"/>
      <c r="N3217" s="370"/>
    </row>
    <row r="3218" spans="1:14" s="347" customFormat="1" x14ac:dyDescent="0.25">
      <c r="A3218" s="369">
        <f>+A3217</f>
        <v>44384</v>
      </c>
      <c r="B3218" s="347">
        <f>+MONTH(A3218)</f>
        <v>7</v>
      </c>
      <c r="C3218" s="347">
        <v>3210</v>
      </c>
      <c r="D3218" s="340" t="str">
        <f>VLOOKUP(C3218,Plan!A:B,2,0)</f>
        <v>Donacion Construccion</v>
      </c>
      <c r="E3218" s="341">
        <f>+F3218-G3218</f>
        <v>-30000</v>
      </c>
      <c r="F3218" s="405">
        <v>0</v>
      </c>
      <c r="G3218" s="405">
        <f>+F3217</f>
        <v>30000</v>
      </c>
      <c r="H3218" t="str">
        <f>+H3217</f>
        <v>Marcela Rebeca Pinto Zepeda / Azul</v>
      </c>
      <c r="I3218" s="403" t="s">
        <v>131</v>
      </c>
      <c r="K3218" s="370"/>
      <c r="N3218" s="370"/>
    </row>
    <row r="3219" spans="1:14" s="347" customFormat="1" x14ac:dyDescent="0.25">
      <c r="A3219" s="369"/>
      <c r="E3219" s="396"/>
      <c r="F3219" s="396"/>
      <c r="G3219" s="396"/>
      <c r="K3219" s="370"/>
      <c r="N3219" s="370"/>
    </row>
    <row r="3220" spans="1:14" s="347" customFormat="1" x14ac:dyDescent="0.25">
      <c r="A3220" s="369">
        <v>44384</v>
      </c>
      <c r="B3220" s="347">
        <f>+MONTH(A3220)</f>
        <v>7</v>
      </c>
      <c r="C3220" s="347">
        <v>115</v>
      </c>
      <c r="D3220" s="340" t="str">
        <f>VLOOKUP(C3220,Plan!A:B,2,0)</f>
        <v>Disponible Cali B.Chile</v>
      </c>
      <c r="E3220" s="341">
        <f>+F3220-G3220</f>
        <v>30000</v>
      </c>
      <c r="F3220" s="405">
        <v>30000</v>
      </c>
      <c r="G3220" s="405">
        <v>0</v>
      </c>
      <c r="H3220" t="s">
        <v>1003</v>
      </c>
      <c r="I3220" s="403" t="s">
        <v>131</v>
      </c>
      <c r="K3220" s="370"/>
      <c r="N3220" s="370"/>
    </row>
    <row r="3221" spans="1:14" s="347" customFormat="1" x14ac:dyDescent="0.25">
      <c r="A3221" s="369">
        <f>+A3220</f>
        <v>44384</v>
      </c>
      <c r="B3221" s="347">
        <f>+MONTH(A3221)</f>
        <v>7</v>
      </c>
      <c r="C3221" s="347">
        <v>3210</v>
      </c>
      <c r="D3221" s="340" t="str">
        <f>VLOOKUP(C3221,Plan!A:B,2,0)</f>
        <v>Donacion Construccion</v>
      </c>
      <c r="E3221" s="341">
        <f>+F3221-G3221</f>
        <v>-30000</v>
      </c>
      <c r="F3221" s="405">
        <v>0</v>
      </c>
      <c r="G3221" s="405">
        <f>+F3220</f>
        <v>30000</v>
      </c>
      <c r="H3221" t="str">
        <f>+H3220</f>
        <v>Marcela Rebeca Pinto Zepeda / Azul</v>
      </c>
      <c r="I3221" s="403" t="s">
        <v>131</v>
      </c>
      <c r="K3221" s="370"/>
      <c r="N3221" s="370"/>
    </row>
    <row r="3222" spans="1:14" s="347" customFormat="1" x14ac:dyDescent="0.25">
      <c r="A3222" s="369"/>
      <c r="E3222" s="396"/>
      <c r="F3222" s="396"/>
      <c r="G3222" s="396"/>
      <c r="K3222" s="370"/>
      <c r="N3222" s="370"/>
    </row>
    <row r="3223" spans="1:14" s="347" customFormat="1" x14ac:dyDescent="0.25">
      <c r="A3223" s="369">
        <v>44384</v>
      </c>
      <c r="B3223" s="347">
        <f>+MONTH(A3223)</f>
        <v>7</v>
      </c>
      <c r="C3223" s="347">
        <v>115</v>
      </c>
      <c r="D3223" s="340" t="str">
        <f>VLOOKUP(C3223,Plan!A:B,2,0)</f>
        <v>Disponible Cali B.Chile</v>
      </c>
      <c r="E3223" s="341">
        <f>+F3223-G3223</f>
        <v>150000</v>
      </c>
      <c r="F3223" s="405">
        <v>150000</v>
      </c>
      <c r="G3223" s="405">
        <v>0</v>
      </c>
      <c r="H3223" t="s">
        <v>1061</v>
      </c>
      <c r="I3223" s="403" t="s">
        <v>131</v>
      </c>
      <c r="K3223" s="370"/>
      <c r="N3223" s="370"/>
    </row>
    <row r="3224" spans="1:14" s="347" customFormat="1" x14ac:dyDescent="0.25">
      <c r="A3224" s="369">
        <f>+A3223</f>
        <v>44384</v>
      </c>
      <c r="B3224" s="347">
        <f>+MONTH(A3224)</f>
        <v>7</v>
      </c>
      <c r="C3224" s="347">
        <v>1217</v>
      </c>
      <c r="D3224" s="340" t="str">
        <f>VLOOKUP(C3224,Plan!A:B,2,0)</f>
        <v>Otros Valores -Oficina y Transferencias (248)</v>
      </c>
      <c r="E3224" s="341">
        <f>+F3224-G3224</f>
        <v>-150000</v>
      </c>
      <c r="F3224" s="405">
        <v>0</v>
      </c>
      <c r="G3224" s="405">
        <f>+F3223</f>
        <v>150000</v>
      </c>
      <c r="H3224" t="str">
        <f>+H3223</f>
        <v>Patricio Abalos /248</v>
      </c>
      <c r="I3224" s="403" t="s">
        <v>131</v>
      </c>
      <c r="K3224" s="370"/>
      <c r="N3224" s="370"/>
    </row>
    <row r="3225" spans="1:14" s="347" customFormat="1" x14ac:dyDescent="0.25">
      <c r="A3225" s="369"/>
      <c r="E3225" s="396"/>
      <c r="F3225" s="396"/>
      <c r="G3225" s="396"/>
      <c r="K3225" s="370"/>
      <c r="N3225" s="370"/>
    </row>
    <row r="3226" spans="1:14" s="347" customFormat="1" x14ac:dyDescent="0.25">
      <c r="A3226" s="369">
        <v>44384</v>
      </c>
      <c r="B3226" s="347">
        <f>+MONTH(A3226)</f>
        <v>7</v>
      </c>
      <c r="C3226" s="347">
        <v>115</v>
      </c>
      <c r="D3226" s="340" t="str">
        <f>VLOOKUP(C3226,Plan!A:B,2,0)</f>
        <v>Disponible Cali B.Chile</v>
      </c>
      <c r="E3226" s="341">
        <f>+F3226-G3226</f>
        <v>100000</v>
      </c>
      <c r="F3226" s="405">
        <v>100000</v>
      </c>
      <c r="G3226" s="405">
        <v>0</v>
      </c>
      <c r="H3226" t="s">
        <v>1854</v>
      </c>
      <c r="I3226" s="403" t="s">
        <v>131</v>
      </c>
      <c r="K3226" s="370"/>
      <c r="N3226" s="370"/>
    </row>
    <row r="3227" spans="1:14" s="347" customFormat="1" x14ac:dyDescent="0.25">
      <c r="A3227" s="369">
        <f>+A3226</f>
        <v>44384</v>
      </c>
      <c r="B3227" s="347">
        <f>+MONTH(A3227)</f>
        <v>7</v>
      </c>
      <c r="C3227" s="347">
        <v>3210</v>
      </c>
      <c r="D3227" s="340" t="str">
        <f>VLOOKUP(C3227,Plan!A:B,2,0)</f>
        <v>Donacion Construccion</v>
      </c>
      <c r="E3227" s="341">
        <f>+F3227-G3227</f>
        <v>-100000</v>
      </c>
      <c r="F3227" s="405">
        <v>0</v>
      </c>
      <c r="G3227" s="405">
        <f>+F3226</f>
        <v>100000</v>
      </c>
      <c r="H3227" t="str">
        <f>+H3226</f>
        <v>Jose Adolfo Ochagavia Vial / Azul</v>
      </c>
      <c r="I3227" s="403" t="s">
        <v>131</v>
      </c>
      <c r="K3227" s="370"/>
      <c r="N3227" s="370"/>
    </row>
    <row r="3228" spans="1:14" s="347" customFormat="1" x14ac:dyDescent="0.25">
      <c r="A3228" s="369"/>
      <c r="E3228" s="396"/>
      <c r="F3228" s="396"/>
      <c r="G3228" s="396"/>
      <c r="K3228" s="370"/>
      <c r="N3228" s="370"/>
    </row>
    <row r="3229" spans="1:14" s="347" customFormat="1" x14ac:dyDescent="0.25">
      <c r="A3229" s="369">
        <v>44384</v>
      </c>
      <c r="B3229" s="347">
        <f>+MONTH(A3229)</f>
        <v>7</v>
      </c>
      <c r="C3229" s="347">
        <v>115</v>
      </c>
      <c r="D3229" s="340" t="str">
        <f>VLOOKUP(C3229,Plan!A:B,2,0)</f>
        <v>Disponible Cali B.Chile</v>
      </c>
      <c r="E3229" s="341">
        <f>+F3229-G3229</f>
        <v>30000</v>
      </c>
      <c r="F3229" s="405">
        <v>30000</v>
      </c>
      <c r="G3229" s="405">
        <v>0</v>
      </c>
      <c r="H3229" t="s">
        <v>1012</v>
      </c>
      <c r="I3229" s="403" t="s">
        <v>131</v>
      </c>
      <c r="K3229" s="370"/>
      <c r="N3229" s="370"/>
    </row>
    <row r="3230" spans="1:14" s="347" customFormat="1" x14ac:dyDescent="0.25">
      <c r="A3230" s="369">
        <f>+A3229</f>
        <v>44384</v>
      </c>
      <c r="B3230" s="347">
        <f>+MONTH(A3230)</f>
        <v>7</v>
      </c>
      <c r="C3230" s="347">
        <v>1222</v>
      </c>
      <c r="D3230" s="340" t="str">
        <f>VLOOKUP(C3230,Plan!A:B,2,0)</f>
        <v>Otros Valores -Oficina y Transferencias (249)</v>
      </c>
      <c r="E3230" s="341">
        <f>+F3230-G3230</f>
        <v>-30000</v>
      </c>
      <c r="F3230" s="405">
        <v>0</v>
      </c>
      <c r="G3230" s="405">
        <f>+F3229</f>
        <v>30000</v>
      </c>
      <c r="H3230" t="str">
        <f>+H3229</f>
        <v>María Luz Parodi Gil / 249</v>
      </c>
      <c r="I3230" s="403" t="s">
        <v>131</v>
      </c>
      <c r="K3230" s="370"/>
      <c r="N3230" s="370"/>
    </row>
    <row r="3231" spans="1:14" s="347" customFormat="1" x14ac:dyDescent="0.25">
      <c r="A3231" s="369"/>
      <c r="E3231" s="396"/>
      <c r="F3231" s="396"/>
      <c r="G3231" s="396"/>
      <c r="K3231" s="370"/>
      <c r="N3231" s="370"/>
    </row>
    <row r="3232" spans="1:14" s="347" customFormat="1" x14ac:dyDescent="0.25">
      <c r="A3232" s="369">
        <v>44385</v>
      </c>
      <c r="B3232" s="347">
        <f>+MONTH(A3232)</f>
        <v>7</v>
      </c>
      <c r="C3232" s="347">
        <v>115</v>
      </c>
      <c r="D3232" s="340" t="str">
        <f>VLOOKUP(C3232,Plan!A:B,2,0)</f>
        <v>Disponible Cali B.Chile</v>
      </c>
      <c r="E3232" s="341">
        <f>+F3232-G3232</f>
        <v>30000</v>
      </c>
      <c r="F3232" s="405">
        <v>30000</v>
      </c>
      <c r="G3232" s="405">
        <v>0</v>
      </c>
      <c r="H3232" t="s">
        <v>1714</v>
      </c>
      <c r="I3232" s="403" t="s">
        <v>131</v>
      </c>
      <c r="K3232" s="370"/>
      <c r="N3232" s="370"/>
    </row>
    <row r="3233" spans="1:14" s="347" customFormat="1" x14ac:dyDescent="0.25">
      <c r="A3233" s="369">
        <f>+A3232</f>
        <v>44385</v>
      </c>
      <c r="B3233" s="347">
        <f>+MONTH(A3233)</f>
        <v>7</v>
      </c>
      <c r="C3233" s="347">
        <v>1216</v>
      </c>
      <c r="D3233" s="340" t="str">
        <f>VLOOKUP(C3233,Plan!A:B,2,0)</f>
        <v>Otros Valores Recaudadoras</v>
      </c>
      <c r="E3233" s="341">
        <f>+F3233-G3233</f>
        <v>-30000</v>
      </c>
      <c r="F3233" s="405">
        <v>0</v>
      </c>
      <c r="G3233" s="405">
        <f>+F3232</f>
        <v>30000</v>
      </c>
      <c r="H3233" t="str">
        <f>+H3232</f>
        <v>Ana María Rabagliati Grunwald / 249</v>
      </c>
      <c r="I3233" s="403" t="s">
        <v>131</v>
      </c>
      <c r="K3233" s="370"/>
      <c r="N3233" s="370"/>
    </row>
    <row r="3234" spans="1:14" s="347" customFormat="1" x14ac:dyDescent="0.25">
      <c r="A3234" s="369"/>
      <c r="E3234" s="396"/>
      <c r="F3234" s="396"/>
      <c r="G3234" s="396"/>
      <c r="K3234" s="370"/>
      <c r="N3234" s="370"/>
    </row>
    <row r="3235" spans="1:14" s="347" customFormat="1" x14ac:dyDescent="0.25">
      <c r="A3235" s="369">
        <v>44385</v>
      </c>
      <c r="B3235" s="347">
        <f>+MONTH(A3235)</f>
        <v>7</v>
      </c>
      <c r="C3235" s="347">
        <v>115</v>
      </c>
      <c r="D3235" s="340" t="str">
        <f>VLOOKUP(C3235,Plan!A:B,2,0)</f>
        <v>Disponible Cali B.Chile</v>
      </c>
      <c r="E3235" s="341">
        <f>+F3235-G3235</f>
        <v>40000</v>
      </c>
      <c r="F3235" s="405">
        <v>40000</v>
      </c>
      <c r="G3235" s="405">
        <v>0</v>
      </c>
      <c r="H3235" t="s">
        <v>787</v>
      </c>
      <c r="I3235" s="403" t="s">
        <v>131</v>
      </c>
      <c r="K3235" s="370"/>
      <c r="N3235" s="370"/>
    </row>
    <row r="3236" spans="1:14" s="347" customFormat="1" x14ac:dyDescent="0.25">
      <c r="A3236" s="369">
        <f>+A3235</f>
        <v>44385</v>
      </c>
      <c r="B3236" s="347">
        <f>+MONTH(A3236)</f>
        <v>7</v>
      </c>
      <c r="C3236" s="347">
        <v>1222</v>
      </c>
      <c r="D3236" s="340" t="str">
        <f>VLOOKUP(C3236,Plan!A:B,2,0)</f>
        <v>Otros Valores -Oficina y Transferencias (249)</v>
      </c>
      <c r="E3236" s="341">
        <f>+F3236-G3236</f>
        <v>-40000</v>
      </c>
      <c r="F3236" s="405">
        <v>0</v>
      </c>
      <c r="G3236" s="405">
        <f>+F3235</f>
        <v>40000</v>
      </c>
      <c r="H3236" t="str">
        <f>+H3235</f>
        <v>Juan Pablo Ríos Ross / 249</v>
      </c>
      <c r="I3236" s="403" t="s">
        <v>131</v>
      </c>
      <c r="K3236" s="370"/>
      <c r="N3236" s="370"/>
    </row>
    <row r="3237" spans="1:14" s="347" customFormat="1" x14ac:dyDescent="0.25">
      <c r="A3237" s="369"/>
      <c r="E3237" s="396"/>
      <c r="F3237" s="396"/>
      <c r="G3237" s="396"/>
      <c r="K3237" s="370"/>
      <c r="N3237" s="370"/>
    </row>
    <row r="3238" spans="1:14" s="347" customFormat="1" x14ac:dyDescent="0.25">
      <c r="A3238" s="369">
        <v>44386</v>
      </c>
      <c r="B3238" s="347">
        <f>+MONTH(A3238)</f>
        <v>7</v>
      </c>
      <c r="C3238" s="347">
        <v>115</v>
      </c>
      <c r="D3238" s="340" t="str">
        <f>VLOOKUP(C3238,Plan!A:B,2,0)</f>
        <v>Disponible Cali B.Chile</v>
      </c>
      <c r="E3238" s="341">
        <f>+F3238-G3238</f>
        <v>40000</v>
      </c>
      <c r="F3238" s="405">
        <v>40000</v>
      </c>
      <c r="G3238" s="405">
        <v>0</v>
      </c>
      <c r="H3238" t="s">
        <v>1011</v>
      </c>
      <c r="I3238" s="403" t="s">
        <v>131</v>
      </c>
      <c r="K3238" s="370"/>
      <c r="N3238" s="370"/>
    </row>
    <row r="3239" spans="1:14" s="347" customFormat="1" x14ac:dyDescent="0.25">
      <c r="A3239" s="369">
        <f>+A3238</f>
        <v>44386</v>
      </c>
      <c r="B3239" s="347">
        <f>+MONTH(A3239)</f>
        <v>7</v>
      </c>
      <c r="C3239" s="347">
        <v>1222</v>
      </c>
      <c r="D3239" s="340" t="str">
        <f>VLOOKUP(C3239,Plan!A:B,2,0)</f>
        <v>Otros Valores -Oficina y Transferencias (249)</v>
      </c>
      <c r="E3239" s="341">
        <f>+F3239-G3239</f>
        <v>-40000</v>
      </c>
      <c r="F3239" s="405">
        <v>0</v>
      </c>
      <c r="G3239" s="405">
        <f>+F3238</f>
        <v>40000</v>
      </c>
      <c r="H3239" t="str">
        <f>+H3238</f>
        <v>Mauricio Hargous Larraín / 249</v>
      </c>
      <c r="I3239" s="403" t="s">
        <v>131</v>
      </c>
      <c r="K3239" s="370"/>
      <c r="N3239" s="370"/>
    </row>
    <row r="3240" spans="1:14" s="347" customFormat="1" x14ac:dyDescent="0.25">
      <c r="A3240" s="369"/>
      <c r="E3240" s="396"/>
      <c r="F3240" s="396"/>
      <c r="G3240" s="396"/>
      <c r="K3240" s="370"/>
      <c r="N3240" s="370"/>
    </row>
    <row r="3241" spans="1:14" s="347" customFormat="1" x14ac:dyDescent="0.25">
      <c r="A3241" s="369">
        <v>44386</v>
      </c>
      <c r="B3241" s="347">
        <f>+MONTH(A3241)</f>
        <v>7</v>
      </c>
      <c r="C3241" s="347">
        <v>115</v>
      </c>
      <c r="D3241" s="340" t="str">
        <f>VLOOKUP(C3241,Plan!A:B,2,0)</f>
        <v>Disponible Cali B.Chile</v>
      </c>
      <c r="E3241" s="341">
        <f>+F3241-G3241</f>
        <v>17000</v>
      </c>
      <c r="F3241" s="405">
        <v>17000</v>
      </c>
      <c r="G3241" s="405">
        <v>0</v>
      </c>
      <c r="H3241" t="s">
        <v>824</v>
      </c>
      <c r="I3241" s="403" t="s">
        <v>131</v>
      </c>
      <c r="K3241" s="370"/>
      <c r="N3241" s="370"/>
    </row>
    <row r="3242" spans="1:14" s="347" customFormat="1" x14ac:dyDescent="0.25">
      <c r="A3242" s="369">
        <f>+A3241</f>
        <v>44386</v>
      </c>
      <c r="B3242" s="347">
        <f>+MONTH(A3242)</f>
        <v>7</v>
      </c>
      <c r="C3242" s="347">
        <v>1217</v>
      </c>
      <c r="D3242" s="340" t="str">
        <f>VLOOKUP(C3242,Plan!A:B,2,0)</f>
        <v>Otros Valores -Oficina y Transferencias (248)</v>
      </c>
      <c r="E3242" s="341">
        <f>+F3242-G3242</f>
        <v>-17000</v>
      </c>
      <c r="F3242" s="405">
        <v>0</v>
      </c>
      <c r="G3242" s="405">
        <f>+F3241</f>
        <v>17000</v>
      </c>
      <c r="H3242" t="str">
        <f>+H3241</f>
        <v>Maria Elisa Cruzat Silva / 248</v>
      </c>
      <c r="I3242" s="403" t="s">
        <v>131</v>
      </c>
      <c r="K3242" s="370"/>
      <c r="N3242" s="370"/>
    </row>
    <row r="3243" spans="1:14" s="347" customFormat="1" x14ac:dyDescent="0.25">
      <c r="A3243" s="369"/>
      <c r="E3243" s="396"/>
      <c r="F3243" s="396"/>
      <c r="G3243" s="396"/>
      <c r="K3243" s="370"/>
      <c r="N3243" s="370"/>
    </row>
    <row r="3244" spans="1:14" s="347" customFormat="1" x14ac:dyDescent="0.25">
      <c r="A3244" s="369">
        <v>44386</v>
      </c>
      <c r="B3244" s="347">
        <f>+MONTH(A3244)</f>
        <v>7</v>
      </c>
      <c r="C3244" s="347">
        <v>115</v>
      </c>
      <c r="D3244" s="340" t="str">
        <f>VLOOKUP(C3244,Plan!A:B,2,0)</f>
        <v>Disponible Cali B.Chile</v>
      </c>
      <c r="E3244" s="341">
        <f>+F3244-G3244</f>
        <v>15000</v>
      </c>
      <c r="F3244" s="405">
        <v>15000</v>
      </c>
      <c r="G3244" s="405">
        <v>0</v>
      </c>
      <c r="H3244" t="s">
        <v>1761</v>
      </c>
      <c r="I3244" s="403" t="s">
        <v>131</v>
      </c>
      <c r="K3244" s="370"/>
      <c r="N3244" s="370"/>
    </row>
    <row r="3245" spans="1:14" s="347" customFormat="1" x14ac:dyDescent="0.25">
      <c r="A3245" s="369">
        <f>+A3244</f>
        <v>44386</v>
      </c>
      <c r="B3245" s="347">
        <f>+MONTH(A3245)</f>
        <v>7</v>
      </c>
      <c r="C3245" s="347">
        <v>3210</v>
      </c>
      <c r="D3245" s="340" t="str">
        <f>VLOOKUP(C3245,Plan!A:B,2,0)</f>
        <v>Donacion Construccion</v>
      </c>
      <c r="E3245" s="341">
        <f>+F3245-G3245</f>
        <v>-15000</v>
      </c>
      <c r="F3245" s="405">
        <v>0</v>
      </c>
      <c r="G3245" s="405">
        <f>+F3244</f>
        <v>15000</v>
      </c>
      <c r="H3245" t="str">
        <f>+H3244</f>
        <v>Carlos Alberto Fonck Limann / Azul</v>
      </c>
      <c r="I3245" s="403" t="s">
        <v>131</v>
      </c>
      <c r="K3245" s="370"/>
      <c r="N3245" s="370"/>
    </row>
    <row r="3246" spans="1:14" s="347" customFormat="1" x14ac:dyDescent="0.25">
      <c r="A3246" s="369"/>
      <c r="E3246" s="396"/>
      <c r="F3246" s="396"/>
      <c r="G3246" s="396"/>
      <c r="K3246" s="370"/>
      <c r="N3246" s="370"/>
    </row>
    <row r="3247" spans="1:14" s="347" customFormat="1" x14ac:dyDescent="0.25">
      <c r="A3247" s="369">
        <v>44386</v>
      </c>
      <c r="B3247" s="347">
        <f>+MONTH(A3247)</f>
        <v>7</v>
      </c>
      <c r="C3247" s="347">
        <v>115</v>
      </c>
      <c r="D3247" s="340" t="str">
        <f>VLOOKUP(C3247,Plan!A:B,2,0)</f>
        <v>Disponible Cali B.Chile</v>
      </c>
      <c r="E3247" s="341">
        <f>+F3247-G3247</f>
        <v>10000</v>
      </c>
      <c r="F3247" s="405">
        <v>10000</v>
      </c>
      <c r="G3247" s="405">
        <v>0</v>
      </c>
      <c r="H3247" t="s">
        <v>1028</v>
      </c>
      <c r="I3247" s="403" t="s">
        <v>131</v>
      </c>
      <c r="K3247" s="370"/>
      <c r="N3247" s="370"/>
    </row>
    <row r="3248" spans="1:14" s="347" customFormat="1" x14ac:dyDescent="0.25">
      <c r="A3248" s="369">
        <f>+A3247</f>
        <v>44386</v>
      </c>
      <c r="B3248" s="347">
        <f>+MONTH(A3248)</f>
        <v>7</v>
      </c>
      <c r="C3248" s="347">
        <v>1217</v>
      </c>
      <c r="D3248" s="340" t="str">
        <f>VLOOKUP(C3248,Plan!A:B,2,0)</f>
        <v>Otros Valores -Oficina y Transferencias (248)</v>
      </c>
      <c r="E3248" s="341">
        <f>+F3248-G3248</f>
        <v>-10000</v>
      </c>
      <c r="F3248" s="405">
        <v>0</v>
      </c>
      <c r="G3248" s="405">
        <f>+F3247</f>
        <v>10000</v>
      </c>
      <c r="H3248" t="str">
        <f>+H3247</f>
        <v>Carmen Gloria Rivas Varas / 248</v>
      </c>
      <c r="I3248" s="403" t="s">
        <v>131</v>
      </c>
      <c r="K3248" s="370"/>
      <c r="N3248" s="370"/>
    </row>
    <row r="3249" spans="1:14" s="347" customFormat="1" x14ac:dyDescent="0.25">
      <c r="K3249" s="370"/>
      <c r="N3249" s="370"/>
    </row>
    <row r="3250" spans="1:14" s="347" customFormat="1" x14ac:dyDescent="0.25">
      <c r="A3250" s="369">
        <v>44386</v>
      </c>
      <c r="B3250" s="347">
        <f>+MONTH(A3250)</f>
        <v>7</v>
      </c>
      <c r="C3250" s="347">
        <v>115</v>
      </c>
      <c r="D3250" s="340" t="str">
        <f>VLOOKUP(C3250,Plan!A:B,2,0)</f>
        <v>Disponible Cali B.Chile</v>
      </c>
      <c r="E3250" s="341">
        <f>+F3250-G3250</f>
        <v>64000</v>
      </c>
      <c r="F3250" s="405">
        <v>64000</v>
      </c>
      <c r="G3250" s="405">
        <v>0</v>
      </c>
      <c r="H3250" t="s">
        <v>550</v>
      </c>
      <c r="I3250" s="403" t="s">
        <v>131</v>
      </c>
      <c r="K3250" s="370"/>
      <c r="N3250" s="370"/>
    </row>
    <row r="3251" spans="1:14" s="347" customFormat="1" x14ac:dyDescent="0.25">
      <c r="A3251" s="369">
        <f>+A3250</f>
        <v>44386</v>
      </c>
      <c r="B3251" s="347">
        <f>+MONTH(A3251)</f>
        <v>7</v>
      </c>
      <c r="C3251" s="347">
        <v>1217</v>
      </c>
      <c r="D3251" s="340" t="str">
        <f>VLOOKUP(C3251,Plan!A:B,2,0)</f>
        <v>Otros Valores -Oficina y Transferencias (248)</v>
      </c>
      <c r="E3251" s="341">
        <f>+F3251-G3251</f>
        <v>-64000</v>
      </c>
      <c r="F3251" s="405">
        <v>0</v>
      </c>
      <c r="G3251" s="405">
        <f>+F3250</f>
        <v>64000</v>
      </c>
      <c r="H3251" t="str">
        <f>+H3250</f>
        <v>Leonardo Robles / 248</v>
      </c>
      <c r="I3251" s="403" t="s">
        <v>131</v>
      </c>
      <c r="K3251" s="370"/>
      <c r="N3251" s="370"/>
    </row>
    <row r="3252" spans="1:14" s="347" customFormat="1" x14ac:dyDescent="0.25">
      <c r="A3252" s="369"/>
      <c r="E3252" s="396"/>
      <c r="F3252" s="396"/>
      <c r="G3252" s="396"/>
      <c r="K3252" s="370"/>
      <c r="N3252" s="370"/>
    </row>
    <row r="3253" spans="1:14" s="347" customFormat="1" x14ac:dyDescent="0.25">
      <c r="A3253" s="369">
        <v>44386</v>
      </c>
      <c r="B3253" s="347">
        <f>+MONTH(A3253)</f>
        <v>7</v>
      </c>
      <c r="C3253" s="347">
        <v>115</v>
      </c>
      <c r="D3253" s="340" t="str">
        <f>VLOOKUP(C3253,Plan!A:B,2,0)</f>
        <v>Disponible Cali B.Chile</v>
      </c>
      <c r="E3253" s="341">
        <f>+F3253-G3253</f>
        <v>1000000</v>
      </c>
      <c r="F3253" s="405">
        <v>1000000</v>
      </c>
      <c r="G3253" s="405">
        <v>0</v>
      </c>
      <c r="H3253" t="s">
        <v>1886</v>
      </c>
      <c r="I3253" s="403" t="s">
        <v>131</v>
      </c>
      <c r="K3253" s="370"/>
      <c r="N3253" s="370"/>
    </row>
    <row r="3254" spans="1:14" s="347" customFormat="1" x14ac:dyDescent="0.25">
      <c r="A3254" s="369">
        <f>+A3253</f>
        <v>44386</v>
      </c>
      <c r="B3254" s="347">
        <f>+MONTH(A3254)</f>
        <v>7</v>
      </c>
      <c r="C3254" s="347">
        <v>3210</v>
      </c>
      <c r="D3254" s="340" t="str">
        <f>VLOOKUP(C3254,Plan!A:B,2,0)</f>
        <v>Donacion Construccion</v>
      </c>
      <c r="E3254" s="341">
        <f>+F3254-G3254</f>
        <v>-1000000</v>
      </c>
      <c r="F3254" s="405">
        <v>0</v>
      </c>
      <c r="G3254" s="405">
        <f>+F3253</f>
        <v>1000000</v>
      </c>
      <c r="H3254" t="str">
        <f>+H3253</f>
        <v>Adriana Fernández Correa / Azul</v>
      </c>
      <c r="I3254" s="403" t="s">
        <v>131</v>
      </c>
      <c r="K3254" s="370"/>
      <c r="N3254" s="370"/>
    </row>
    <row r="3255" spans="1:14" s="347" customFormat="1" x14ac:dyDescent="0.25">
      <c r="K3255" s="370"/>
      <c r="N3255" s="370"/>
    </row>
    <row r="3256" spans="1:14" s="347" customFormat="1" x14ac:dyDescent="0.25">
      <c r="A3256" s="369">
        <v>44389</v>
      </c>
      <c r="B3256" s="347">
        <f>+MONTH(A3256)</f>
        <v>7</v>
      </c>
      <c r="C3256" s="347">
        <v>115</v>
      </c>
      <c r="D3256" s="340" t="str">
        <f>VLOOKUP(C3256,Plan!A:B,2,0)</f>
        <v>Disponible Cali B.Chile</v>
      </c>
      <c r="E3256" s="341">
        <f>+F3256-G3256</f>
        <v>30000</v>
      </c>
      <c r="F3256" s="405">
        <v>30000</v>
      </c>
      <c r="G3256" s="405">
        <v>0</v>
      </c>
      <c r="H3256" t="s">
        <v>1048</v>
      </c>
      <c r="I3256" s="403" t="s">
        <v>131</v>
      </c>
      <c r="K3256" s="370"/>
      <c r="N3256" s="370"/>
    </row>
    <row r="3257" spans="1:14" s="347" customFormat="1" x14ac:dyDescent="0.25">
      <c r="A3257" s="369">
        <f>+A3256</f>
        <v>44389</v>
      </c>
      <c r="B3257" s="347">
        <f>+MONTH(A3257)</f>
        <v>7</v>
      </c>
      <c r="C3257" s="347">
        <v>1217</v>
      </c>
      <c r="D3257" s="340" t="str">
        <f>VLOOKUP(C3257,Plan!A:B,2,0)</f>
        <v>Otros Valores -Oficina y Transferencias (248)</v>
      </c>
      <c r="E3257" s="341">
        <f>+F3257-G3257</f>
        <v>-30000</v>
      </c>
      <c r="F3257" s="405">
        <v>0</v>
      </c>
      <c r="G3257" s="405">
        <f>+F3256</f>
        <v>30000</v>
      </c>
      <c r="H3257" t="str">
        <f>+H3256</f>
        <v>José Miguel Guzmán Morandé/248</v>
      </c>
      <c r="I3257" s="403" t="s">
        <v>131</v>
      </c>
      <c r="K3257" s="370"/>
      <c r="N3257" s="370"/>
    </row>
    <row r="3258" spans="1:14" s="347" customFormat="1" x14ac:dyDescent="0.25">
      <c r="A3258" s="369"/>
      <c r="E3258" s="396"/>
      <c r="F3258" s="396"/>
      <c r="G3258" s="396"/>
      <c r="K3258" s="370"/>
      <c r="N3258" s="370"/>
    </row>
    <row r="3259" spans="1:14" s="347" customFormat="1" x14ac:dyDescent="0.25">
      <c r="A3259" s="369">
        <v>44389</v>
      </c>
      <c r="B3259" s="347">
        <f>+MONTH(A3259)</f>
        <v>7</v>
      </c>
      <c r="C3259" s="347">
        <v>115</v>
      </c>
      <c r="D3259" s="340" t="str">
        <f>VLOOKUP(C3259,Plan!A:B,2,0)</f>
        <v>Disponible Cali B.Chile</v>
      </c>
      <c r="E3259" s="341">
        <f>+F3259-G3259</f>
        <v>25000</v>
      </c>
      <c r="F3259" s="405">
        <v>25000</v>
      </c>
      <c r="G3259" s="405">
        <v>0</v>
      </c>
      <c r="H3259" t="s">
        <v>980</v>
      </c>
      <c r="I3259" s="403" t="s">
        <v>131</v>
      </c>
      <c r="K3259" s="370"/>
      <c r="N3259" s="370"/>
    </row>
    <row r="3260" spans="1:14" s="347" customFormat="1" x14ac:dyDescent="0.25">
      <c r="A3260" s="369">
        <f>+A3259</f>
        <v>44389</v>
      </c>
      <c r="B3260" s="347">
        <f>+MONTH(A3260)</f>
        <v>7</v>
      </c>
      <c r="C3260" s="347">
        <v>1217</v>
      </c>
      <c r="D3260" s="340" t="str">
        <f>VLOOKUP(C3260,Plan!A:B,2,0)</f>
        <v>Otros Valores -Oficina y Transferencias (248)</v>
      </c>
      <c r="E3260" s="341">
        <f>+F3260-G3260</f>
        <v>-25000</v>
      </c>
      <c r="F3260" s="405">
        <v>0</v>
      </c>
      <c r="G3260" s="405">
        <f>+F3259</f>
        <v>25000</v>
      </c>
      <c r="H3260" t="str">
        <f>+H3259</f>
        <v xml:space="preserve">Florencia García /248 </v>
      </c>
      <c r="I3260" s="403" t="s">
        <v>131</v>
      </c>
      <c r="K3260" s="370"/>
      <c r="N3260" s="370"/>
    </row>
    <row r="3261" spans="1:14" s="347" customFormat="1" x14ac:dyDescent="0.25">
      <c r="A3261" s="369"/>
      <c r="E3261" s="396"/>
      <c r="F3261" s="396"/>
      <c r="G3261" s="396"/>
      <c r="K3261" s="370"/>
      <c r="N3261" s="370"/>
    </row>
    <row r="3262" spans="1:14" s="347" customFormat="1" x14ac:dyDescent="0.25">
      <c r="A3262" s="369">
        <v>44389</v>
      </c>
      <c r="B3262" s="347">
        <f>+MONTH(A3262)</f>
        <v>7</v>
      </c>
      <c r="C3262" s="347">
        <v>115</v>
      </c>
      <c r="D3262" s="340" t="str">
        <f>VLOOKUP(C3262,Plan!A:B,2,0)</f>
        <v>Disponible Cali B.Chile</v>
      </c>
      <c r="E3262" s="341">
        <f>+F3262-G3262</f>
        <v>30000</v>
      </c>
      <c r="F3262" s="405">
        <v>30000</v>
      </c>
      <c r="G3262" s="405">
        <v>0</v>
      </c>
      <c r="H3262" t="s">
        <v>1066</v>
      </c>
      <c r="I3262" s="403" t="s">
        <v>131</v>
      </c>
      <c r="K3262" s="370"/>
      <c r="N3262" s="370"/>
    </row>
    <row r="3263" spans="1:14" s="347" customFormat="1" x14ac:dyDescent="0.25">
      <c r="A3263" s="369">
        <f>+A3262</f>
        <v>44389</v>
      </c>
      <c r="B3263" s="347">
        <f>+MONTH(A3263)</f>
        <v>7</v>
      </c>
      <c r="C3263" s="347">
        <v>1222</v>
      </c>
      <c r="D3263" s="340" t="str">
        <f>VLOOKUP(C3263,Plan!A:B,2,0)</f>
        <v>Otros Valores -Oficina y Transferencias (249)</v>
      </c>
      <c r="E3263" s="341">
        <f>+F3263-G3263</f>
        <v>-30000</v>
      </c>
      <c r="F3263" s="405">
        <v>0</v>
      </c>
      <c r="G3263" s="405">
        <f>+F3262</f>
        <v>30000</v>
      </c>
      <c r="H3263" t="str">
        <f>+H3262</f>
        <v>Marie Solange Vinet Homar / 249</v>
      </c>
      <c r="I3263" s="403" t="s">
        <v>131</v>
      </c>
      <c r="K3263" s="370"/>
      <c r="N3263" s="370"/>
    </row>
    <row r="3264" spans="1:14" s="347" customFormat="1" x14ac:dyDescent="0.25">
      <c r="A3264" s="369"/>
      <c r="E3264" s="396"/>
      <c r="F3264" s="396"/>
      <c r="G3264" s="396"/>
      <c r="K3264" s="370"/>
      <c r="N3264" s="370"/>
    </row>
    <row r="3265" spans="1:14" s="347" customFormat="1" x14ac:dyDescent="0.25">
      <c r="A3265" s="369">
        <v>44389</v>
      </c>
      <c r="B3265" s="347">
        <f>+MONTH(A3265)</f>
        <v>7</v>
      </c>
      <c r="C3265" s="347">
        <v>115</v>
      </c>
      <c r="D3265" s="340" t="str">
        <f>VLOOKUP(C3265,Plan!A:B,2,0)</f>
        <v>Disponible Cali B.Chile</v>
      </c>
      <c r="E3265" s="341">
        <f>+F3265-G3265</f>
        <v>20000</v>
      </c>
      <c r="F3265" s="405">
        <v>20000</v>
      </c>
      <c r="G3265" s="405">
        <v>0</v>
      </c>
      <c r="H3265" t="s">
        <v>1027</v>
      </c>
      <c r="I3265" s="403" t="s">
        <v>131</v>
      </c>
      <c r="K3265" s="370"/>
      <c r="N3265" s="370"/>
    </row>
    <row r="3266" spans="1:14" s="347" customFormat="1" x14ac:dyDescent="0.25">
      <c r="A3266" s="369">
        <f>+A3265</f>
        <v>44389</v>
      </c>
      <c r="B3266" s="347">
        <f>+MONTH(A3266)</f>
        <v>7</v>
      </c>
      <c r="C3266" s="347">
        <v>1217</v>
      </c>
      <c r="D3266" s="340" t="str">
        <f>VLOOKUP(C3266,Plan!A:B,2,0)</f>
        <v>Otros Valores -Oficina y Transferencias (248)</v>
      </c>
      <c r="E3266" s="341">
        <f>+F3266-G3266</f>
        <v>-20000</v>
      </c>
      <c r="F3266" s="405">
        <v>0</v>
      </c>
      <c r="G3266" s="405">
        <f>+F3265</f>
        <v>20000</v>
      </c>
      <c r="H3266" t="str">
        <f>+H3265</f>
        <v>GODOY CAMUS CARLOS IGNACIO/248</v>
      </c>
      <c r="I3266" s="403" t="s">
        <v>131</v>
      </c>
      <c r="K3266" s="370"/>
      <c r="N3266" s="370"/>
    </row>
    <row r="3267" spans="1:14" s="347" customFormat="1" x14ac:dyDescent="0.25">
      <c r="A3267" s="369"/>
      <c r="E3267" s="396"/>
      <c r="F3267" s="396"/>
      <c r="G3267" s="396"/>
      <c r="K3267" s="370"/>
      <c r="N3267" s="370"/>
    </row>
    <row r="3268" spans="1:14" s="347" customFormat="1" x14ac:dyDescent="0.25">
      <c r="A3268" s="369">
        <v>44389</v>
      </c>
      <c r="B3268" s="347">
        <f>+MONTH(A3268)</f>
        <v>7</v>
      </c>
      <c r="C3268" s="347">
        <v>115</v>
      </c>
      <c r="D3268" s="340" t="str">
        <f>VLOOKUP(C3268,Plan!A:B,2,0)</f>
        <v>Disponible Cali B.Chile</v>
      </c>
      <c r="E3268" s="341">
        <f>+F3268-G3268</f>
        <v>1500</v>
      </c>
      <c r="F3268" s="405">
        <v>1500</v>
      </c>
      <c r="G3268" s="405">
        <v>0</v>
      </c>
      <c r="H3268" t="s">
        <v>1010</v>
      </c>
      <c r="I3268" s="403" t="s">
        <v>131</v>
      </c>
      <c r="K3268" s="370"/>
      <c r="N3268" s="370"/>
    </row>
    <row r="3269" spans="1:14" s="347" customFormat="1" x14ac:dyDescent="0.25">
      <c r="A3269" s="369">
        <f>+A3268</f>
        <v>44389</v>
      </c>
      <c r="B3269" s="347">
        <f>+MONTH(A3269)</f>
        <v>7</v>
      </c>
      <c r="C3269" s="347">
        <v>216</v>
      </c>
      <c r="D3269" s="340" t="str">
        <f>VLOOKUP(C3269,Plan!A:B,2,0)</f>
        <v>Cuenta por Pagar a Administración Colectas</v>
      </c>
      <c r="E3269" s="341">
        <f>+F3269-G3269</f>
        <v>-1500</v>
      </c>
      <c r="F3269" s="405">
        <v>0</v>
      </c>
      <c r="G3269" s="405">
        <f>+F3268</f>
        <v>1500</v>
      </c>
      <c r="H3269" t="str">
        <f>+H3268</f>
        <v>Colecta Raimundo Barros</v>
      </c>
      <c r="I3269" s="403" t="s">
        <v>131</v>
      </c>
      <c r="K3269" s="370"/>
      <c r="N3269" s="370"/>
    </row>
    <row r="3270" spans="1:14" s="347" customFormat="1" x14ac:dyDescent="0.25">
      <c r="A3270" s="369"/>
      <c r="E3270" s="396"/>
      <c r="F3270" s="396"/>
      <c r="G3270" s="396"/>
      <c r="K3270" s="370"/>
      <c r="N3270" s="370"/>
    </row>
    <row r="3271" spans="1:14" s="347" customFormat="1" x14ac:dyDescent="0.25">
      <c r="A3271" s="369">
        <v>44389</v>
      </c>
      <c r="B3271" s="347">
        <f>+MONTH(A3271)</f>
        <v>7</v>
      </c>
      <c r="C3271" s="347">
        <v>115</v>
      </c>
      <c r="D3271" s="340" t="str">
        <f>VLOOKUP(C3271,Plan!A:B,2,0)</f>
        <v>Disponible Cali B.Chile</v>
      </c>
      <c r="E3271" s="341">
        <f>+F3271-G3271</f>
        <v>30000</v>
      </c>
      <c r="F3271" s="405">
        <v>30000</v>
      </c>
      <c r="G3271" s="405">
        <v>0</v>
      </c>
      <c r="H3271" t="s">
        <v>1015</v>
      </c>
      <c r="I3271" s="403" t="s">
        <v>131</v>
      </c>
      <c r="K3271" s="370"/>
      <c r="N3271" s="370"/>
    </row>
    <row r="3272" spans="1:14" s="347" customFormat="1" x14ac:dyDescent="0.25">
      <c r="A3272" s="369">
        <f>+A3271</f>
        <v>44389</v>
      </c>
      <c r="B3272" s="347">
        <f>+MONTH(A3272)</f>
        <v>7</v>
      </c>
      <c r="C3272" s="347">
        <v>1222</v>
      </c>
      <c r="D3272" s="340" t="str">
        <f>VLOOKUP(C3272,Plan!A:B,2,0)</f>
        <v>Otros Valores -Oficina y Transferencias (249)</v>
      </c>
      <c r="E3272" s="341">
        <f>+F3272-G3272</f>
        <v>-30000</v>
      </c>
      <c r="F3272" s="405">
        <v>0</v>
      </c>
      <c r="G3272" s="405">
        <f>+F3271</f>
        <v>30000</v>
      </c>
      <c r="H3272" t="str">
        <f>+H3271</f>
        <v>Enrique Hurtado Ruiz-Tagle / 249</v>
      </c>
      <c r="I3272" s="403" t="s">
        <v>131</v>
      </c>
      <c r="K3272" s="370"/>
      <c r="N3272" s="370"/>
    </row>
    <row r="3273" spans="1:14" s="347" customFormat="1" x14ac:dyDescent="0.25">
      <c r="A3273" s="369"/>
      <c r="E3273" s="396"/>
      <c r="F3273" s="396"/>
      <c r="G3273" s="396"/>
      <c r="K3273" s="370"/>
      <c r="N3273" s="370"/>
    </row>
    <row r="3274" spans="1:14" s="347" customFormat="1" x14ac:dyDescent="0.25">
      <c r="A3274" s="369">
        <v>44389</v>
      </c>
      <c r="B3274" s="347">
        <f>+MONTH(A3274)</f>
        <v>7</v>
      </c>
      <c r="C3274" s="347">
        <v>115</v>
      </c>
      <c r="D3274" s="340" t="str">
        <f>VLOOKUP(C3274,Plan!A:B,2,0)</f>
        <v>Disponible Cali B.Chile</v>
      </c>
      <c r="E3274" s="341">
        <f>+F3274-G3274</f>
        <v>17000</v>
      </c>
      <c r="F3274" s="405">
        <v>17000</v>
      </c>
      <c r="G3274" s="405">
        <v>0</v>
      </c>
      <c r="H3274" t="s">
        <v>1016</v>
      </c>
      <c r="I3274" s="403" t="s">
        <v>131</v>
      </c>
      <c r="K3274" s="370"/>
      <c r="N3274" s="370"/>
    </row>
    <row r="3275" spans="1:14" s="347" customFormat="1" x14ac:dyDescent="0.25">
      <c r="A3275" s="369">
        <f>+A3274</f>
        <v>44389</v>
      </c>
      <c r="B3275" s="347">
        <f>+MONTH(A3275)</f>
        <v>7</v>
      </c>
      <c r="C3275" s="347">
        <v>1222</v>
      </c>
      <c r="D3275" s="340" t="str">
        <f>VLOOKUP(C3275,Plan!A:B,2,0)</f>
        <v>Otros Valores -Oficina y Transferencias (249)</v>
      </c>
      <c r="E3275" s="341">
        <f>+F3275-G3275</f>
        <v>-17000</v>
      </c>
      <c r="F3275" s="405">
        <v>0</v>
      </c>
      <c r="G3275" s="405">
        <f>+F3274</f>
        <v>17000</v>
      </c>
      <c r="H3275" t="str">
        <f>+H3274</f>
        <v>Alejandra Pérez Fabres / 249</v>
      </c>
      <c r="I3275" s="403" t="s">
        <v>131</v>
      </c>
      <c r="K3275" s="370"/>
      <c r="N3275" s="370"/>
    </row>
    <row r="3276" spans="1:14" s="347" customFormat="1" x14ac:dyDescent="0.25">
      <c r="A3276" s="369"/>
      <c r="E3276" s="396"/>
      <c r="F3276" s="396"/>
      <c r="G3276" s="396"/>
      <c r="K3276" s="370"/>
      <c r="N3276" s="370"/>
    </row>
    <row r="3277" spans="1:14" s="347" customFormat="1" x14ac:dyDescent="0.25">
      <c r="A3277" s="369">
        <v>44389</v>
      </c>
      <c r="B3277" s="347">
        <f>+MONTH(A3277)</f>
        <v>7</v>
      </c>
      <c r="C3277" s="347">
        <v>115</v>
      </c>
      <c r="D3277" s="340" t="str">
        <f>VLOOKUP(C3277,Plan!A:B,2,0)</f>
        <v>Disponible Cali B.Chile</v>
      </c>
      <c r="E3277" s="341">
        <f>+F3277-G3277</f>
        <v>25000</v>
      </c>
      <c r="F3277" s="405">
        <v>25000</v>
      </c>
      <c r="G3277" s="405">
        <v>0</v>
      </c>
      <c r="H3277" t="s">
        <v>981</v>
      </c>
      <c r="I3277" s="403" t="s">
        <v>131</v>
      </c>
      <c r="K3277" s="370"/>
      <c r="N3277" s="370"/>
    </row>
    <row r="3278" spans="1:14" s="347" customFormat="1" x14ac:dyDescent="0.25">
      <c r="A3278" s="369">
        <f>+A3277</f>
        <v>44389</v>
      </c>
      <c r="B3278" s="347">
        <f>+MONTH(A3278)</f>
        <v>7</v>
      </c>
      <c r="C3278" s="347">
        <v>1222</v>
      </c>
      <c r="D3278" s="340" t="str">
        <f>VLOOKUP(C3278,Plan!A:B,2,0)</f>
        <v>Otros Valores -Oficina y Transferencias (249)</v>
      </c>
      <c r="E3278" s="341">
        <f>+F3278-G3278</f>
        <v>-25000</v>
      </c>
      <c r="F3278" s="405">
        <v>0</v>
      </c>
      <c r="G3278" s="405">
        <f>+F3277</f>
        <v>25000</v>
      </c>
      <c r="H3278" t="s">
        <v>981</v>
      </c>
      <c r="I3278" s="403" t="s">
        <v>131</v>
      </c>
      <c r="K3278" s="370"/>
      <c r="N3278" s="370"/>
    </row>
    <row r="3279" spans="1:14" s="347" customFormat="1" x14ac:dyDescent="0.25">
      <c r="A3279" s="369"/>
      <c r="E3279" s="396"/>
      <c r="F3279" s="396"/>
      <c r="G3279" s="396"/>
      <c r="K3279" s="370"/>
      <c r="N3279" s="370"/>
    </row>
    <row r="3280" spans="1:14" s="347" customFormat="1" x14ac:dyDescent="0.25">
      <c r="A3280" s="369">
        <v>44389</v>
      </c>
      <c r="B3280" s="347">
        <f>+MONTH(A3280)</f>
        <v>7</v>
      </c>
      <c r="C3280" s="347">
        <v>115</v>
      </c>
      <c r="D3280" s="340" t="str">
        <f>VLOOKUP(C3280,Plan!A:B,2,0)</f>
        <v>Disponible Cali B.Chile</v>
      </c>
      <c r="E3280" s="341">
        <f>+F3280-G3280</f>
        <v>12000</v>
      </c>
      <c r="F3280" s="405">
        <v>12000</v>
      </c>
      <c r="G3280" s="405">
        <v>0</v>
      </c>
      <c r="H3280" t="s">
        <v>982</v>
      </c>
      <c r="I3280" s="403" t="s">
        <v>131</v>
      </c>
      <c r="K3280" s="370"/>
      <c r="N3280" s="370"/>
    </row>
    <row r="3281" spans="1:14" s="347" customFormat="1" x14ac:dyDescent="0.25">
      <c r="A3281" s="369">
        <f>+A3280</f>
        <v>44389</v>
      </c>
      <c r="B3281" s="347">
        <f>+MONTH(A3281)</f>
        <v>7</v>
      </c>
      <c r="C3281" s="347">
        <v>216</v>
      </c>
      <c r="D3281" s="340" t="str">
        <f>VLOOKUP(C3281,Plan!A:B,2,0)</f>
        <v>Cuenta por Pagar a Administración Colectas</v>
      </c>
      <c r="E3281" s="341">
        <f>+F3281-G3281</f>
        <v>-12000</v>
      </c>
      <c r="F3281" s="405">
        <v>0</v>
      </c>
      <c r="G3281" s="405">
        <f>+F3280</f>
        <v>12000</v>
      </c>
      <c r="H3281" t="str">
        <f>+H3280</f>
        <v>Colecta CELIS CELEDON MARIA SOLEDAD</v>
      </c>
      <c r="I3281" s="403" t="s">
        <v>131</v>
      </c>
      <c r="K3281" s="370"/>
      <c r="N3281" s="370"/>
    </row>
    <row r="3282" spans="1:14" s="347" customFormat="1" x14ac:dyDescent="0.25">
      <c r="A3282" s="369"/>
      <c r="E3282" s="396"/>
      <c r="F3282" s="396"/>
      <c r="G3282" s="396"/>
      <c r="K3282" s="370"/>
      <c r="N3282" s="370"/>
    </row>
    <row r="3283" spans="1:14" s="347" customFormat="1" x14ac:dyDescent="0.25">
      <c r="A3283" s="369">
        <v>44389</v>
      </c>
      <c r="B3283" s="347">
        <f>+MONTH(A3283)</f>
        <v>7</v>
      </c>
      <c r="C3283" s="347">
        <v>115</v>
      </c>
      <c r="D3283" s="340" t="str">
        <f>VLOOKUP(C3283,Plan!A:B,2,0)</f>
        <v>Disponible Cali B.Chile</v>
      </c>
      <c r="E3283" s="341">
        <f>+F3283-G3283</f>
        <v>20000</v>
      </c>
      <c r="F3283" s="405">
        <v>20000</v>
      </c>
      <c r="G3283" s="405">
        <v>0</v>
      </c>
      <c r="H3283" t="s">
        <v>1855</v>
      </c>
      <c r="I3283" s="403" t="s">
        <v>131</v>
      </c>
      <c r="K3283" s="370"/>
      <c r="N3283" s="370"/>
    </row>
    <row r="3284" spans="1:14" s="347" customFormat="1" x14ac:dyDescent="0.25">
      <c r="A3284" s="369">
        <f>+A3283</f>
        <v>44389</v>
      </c>
      <c r="B3284" s="347">
        <f>+MONTH(A3284)</f>
        <v>7</v>
      </c>
      <c r="C3284" s="347">
        <v>217</v>
      </c>
      <c r="D3284" s="340" t="str">
        <f>VLOOKUP(C3284,Plan!A:B,2,0)</f>
        <v>Cuenta por Pagar a Administración Canastas</v>
      </c>
      <c r="E3284" s="341">
        <f>+F3284-G3284</f>
        <v>-20000</v>
      </c>
      <c r="F3284" s="405">
        <v>0</v>
      </c>
      <c r="G3284" s="405">
        <f>+F3283</f>
        <v>20000</v>
      </c>
      <c r="H3284" t="str">
        <f>+H3283</f>
        <v>Canastas M.Soledad Celis Celedón</v>
      </c>
      <c r="I3284" s="403" t="s">
        <v>131</v>
      </c>
      <c r="K3284" s="370"/>
      <c r="N3284" s="370"/>
    </row>
    <row r="3285" spans="1:14" s="347" customFormat="1" x14ac:dyDescent="0.25">
      <c r="A3285" s="369"/>
      <c r="E3285" s="396"/>
      <c r="F3285" s="396"/>
      <c r="G3285" s="396"/>
      <c r="K3285" s="370"/>
      <c r="N3285" s="370"/>
    </row>
    <row r="3286" spans="1:14" s="347" customFormat="1" x14ac:dyDescent="0.25">
      <c r="A3286" s="369">
        <v>44389</v>
      </c>
      <c r="B3286" s="347">
        <f>+MONTH(A3286)</f>
        <v>7</v>
      </c>
      <c r="C3286" s="347">
        <v>115</v>
      </c>
      <c r="D3286" s="340" t="str">
        <f>VLOOKUP(C3286,Plan!A:B,2,0)</f>
        <v>Disponible Cali B.Chile</v>
      </c>
      <c r="E3286" s="341">
        <f>+F3286-G3286</f>
        <v>30000</v>
      </c>
      <c r="F3286" s="405">
        <v>30000</v>
      </c>
      <c r="G3286" s="405">
        <v>0</v>
      </c>
      <c r="H3286" t="s">
        <v>988</v>
      </c>
      <c r="I3286" s="403" t="s">
        <v>131</v>
      </c>
      <c r="K3286" s="370"/>
      <c r="N3286" s="370"/>
    </row>
    <row r="3287" spans="1:14" s="347" customFormat="1" x14ac:dyDescent="0.25">
      <c r="A3287" s="369">
        <f>+A3286</f>
        <v>44389</v>
      </c>
      <c r="B3287" s="347">
        <f>+MONTH(A3287)</f>
        <v>7</v>
      </c>
      <c r="C3287" s="347">
        <v>1222</v>
      </c>
      <c r="D3287" s="340" t="str">
        <f>VLOOKUP(C3287,Plan!A:B,2,0)</f>
        <v>Otros Valores -Oficina y Transferencias (249)</v>
      </c>
      <c r="E3287" s="341">
        <f>+F3287-G3287</f>
        <v>-30000</v>
      </c>
      <c r="F3287" s="405">
        <v>0</v>
      </c>
      <c r="G3287" s="405">
        <f>+F3286</f>
        <v>30000</v>
      </c>
      <c r="H3287" t="str">
        <f>+H3286</f>
        <v>María Luz Montt Díaz / 249</v>
      </c>
      <c r="I3287" s="403" t="s">
        <v>131</v>
      </c>
      <c r="K3287" s="370"/>
      <c r="N3287" s="370"/>
    </row>
    <row r="3288" spans="1:14" s="347" customFormat="1" x14ac:dyDescent="0.25">
      <c r="A3288" s="369"/>
      <c r="E3288" s="396"/>
      <c r="F3288" s="396"/>
      <c r="G3288" s="396"/>
      <c r="K3288" s="370"/>
      <c r="N3288" s="370"/>
    </row>
    <row r="3289" spans="1:14" s="347" customFormat="1" x14ac:dyDescent="0.25">
      <c r="A3289" s="369">
        <v>44390</v>
      </c>
      <c r="B3289" s="347">
        <f>+MONTH(A3289)</f>
        <v>7</v>
      </c>
      <c r="C3289" s="347">
        <v>115</v>
      </c>
      <c r="D3289" s="340" t="str">
        <f>VLOOKUP(C3289,Plan!A:B,2,0)</f>
        <v>Disponible Cali B.Chile</v>
      </c>
      <c r="E3289" s="341">
        <f>+F3289-G3289</f>
        <v>20000</v>
      </c>
      <c r="F3289" s="405">
        <v>20000</v>
      </c>
      <c r="G3289" s="405">
        <v>0</v>
      </c>
      <c r="H3289" t="s">
        <v>1022</v>
      </c>
      <c r="I3289" s="403" t="s">
        <v>131</v>
      </c>
      <c r="K3289" s="370"/>
      <c r="N3289" s="370"/>
    </row>
    <row r="3290" spans="1:14" s="347" customFormat="1" x14ac:dyDescent="0.25">
      <c r="A3290" s="369">
        <f>+A3289</f>
        <v>44390</v>
      </c>
      <c r="B3290" s="347">
        <f>+MONTH(A3290)</f>
        <v>7</v>
      </c>
      <c r="C3290" s="347">
        <v>3210</v>
      </c>
      <c r="D3290" s="340" t="str">
        <f>VLOOKUP(C3290,Plan!A:B,2,0)</f>
        <v>Donacion Construccion</v>
      </c>
      <c r="E3290" s="341">
        <f>+F3290-G3290</f>
        <v>-20000</v>
      </c>
      <c r="F3290" s="405">
        <v>0</v>
      </c>
      <c r="G3290" s="405">
        <f>+F3289</f>
        <v>20000</v>
      </c>
      <c r="H3290" t="str">
        <f>+H3289</f>
        <v>M.Graciela Garrido C. / Azul</v>
      </c>
      <c r="I3290" s="403" t="s">
        <v>131</v>
      </c>
      <c r="K3290" s="370"/>
      <c r="N3290" s="370"/>
    </row>
    <row r="3291" spans="1:14" s="347" customFormat="1" x14ac:dyDescent="0.25">
      <c r="A3291" s="369"/>
      <c r="E3291" s="396"/>
      <c r="F3291" s="396"/>
      <c r="G3291" s="396"/>
      <c r="K3291" s="370"/>
      <c r="N3291" s="370"/>
    </row>
    <row r="3292" spans="1:14" s="347" customFormat="1" x14ac:dyDescent="0.25">
      <c r="A3292" s="369">
        <v>44390</v>
      </c>
      <c r="B3292" s="347">
        <f>+MONTH(A3292)</f>
        <v>7</v>
      </c>
      <c r="C3292" s="347">
        <v>115</v>
      </c>
      <c r="D3292" s="340" t="str">
        <f>VLOOKUP(C3292,Plan!A:B,2,0)</f>
        <v>Disponible Cali B.Chile</v>
      </c>
      <c r="E3292" s="341">
        <f>+F3292-G3292</f>
        <v>25000</v>
      </c>
      <c r="F3292" s="405">
        <v>25000</v>
      </c>
      <c r="G3292" s="405">
        <v>0</v>
      </c>
      <c r="H3292" t="s">
        <v>1023</v>
      </c>
      <c r="I3292" s="403" t="s">
        <v>131</v>
      </c>
      <c r="K3292" s="370"/>
      <c r="N3292" s="370"/>
    </row>
    <row r="3293" spans="1:14" s="347" customFormat="1" x14ac:dyDescent="0.25">
      <c r="A3293" s="369">
        <f>+A3292</f>
        <v>44390</v>
      </c>
      <c r="B3293" s="347">
        <f>+MONTH(A3293)</f>
        <v>7</v>
      </c>
      <c r="C3293" s="347">
        <v>1222</v>
      </c>
      <c r="D3293" s="340" t="str">
        <f>VLOOKUP(C3293,Plan!A:B,2,0)</f>
        <v>Otros Valores -Oficina y Transferencias (249)</v>
      </c>
      <c r="E3293" s="341">
        <f>+F3293-G3293</f>
        <v>-25000</v>
      </c>
      <c r="F3293" s="405">
        <v>0</v>
      </c>
      <c r="G3293" s="405">
        <f>+F3292</f>
        <v>25000</v>
      </c>
      <c r="H3293" t="str">
        <f>+H3292</f>
        <v>M.Graciela Garrido C. / 249</v>
      </c>
      <c r="I3293" s="403" t="s">
        <v>131</v>
      </c>
      <c r="K3293" s="370"/>
      <c r="N3293" s="370"/>
    </row>
    <row r="3294" spans="1:14" s="347" customFormat="1" x14ac:dyDescent="0.25">
      <c r="A3294" s="369"/>
      <c r="E3294" s="396"/>
      <c r="F3294" s="396"/>
      <c r="G3294" s="396"/>
      <c r="K3294" s="370"/>
      <c r="N3294" s="370"/>
    </row>
    <row r="3295" spans="1:14" s="347" customFormat="1" x14ac:dyDescent="0.25">
      <c r="A3295" s="369">
        <v>44390</v>
      </c>
      <c r="B3295" s="347">
        <f>+MONTH(A3295)</f>
        <v>7</v>
      </c>
      <c r="C3295" s="347">
        <v>115</v>
      </c>
      <c r="D3295" s="340" t="str">
        <f>VLOOKUP(C3295,Plan!A:B,2,0)</f>
        <v>Disponible Cali B.Chile</v>
      </c>
      <c r="E3295" s="341">
        <f>+F3295-G3295</f>
        <v>7000</v>
      </c>
      <c r="F3295" s="405">
        <v>7000</v>
      </c>
      <c r="G3295" s="405">
        <v>0</v>
      </c>
      <c r="H3295" t="s">
        <v>1078</v>
      </c>
      <c r="I3295" s="403" t="s">
        <v>131</v>
      </c>
      <c r="K3295" s="370"/>
      <c r="N3295" s="370"/>
    </row>
    <row r="3296" spans="1:14" s="347" customFormat="1" x14ac:dyDescent="0.25">
      <c r="A3296" s="369">
        <f>+A3295</f>
        <v>44390</v>
      </c>
      <c r="B3296" s="347">
        <f>+MONTH(A3296)</f>
        <v>7</v>
      </c>
      <c r="C3296" s="347">
        <v>1222</v>
      </c>
      <c r="D3296" s="340" t="str">
        <f>VLOOKUP(C3296,Plan!A:B,2,0)</f>
        <v>Otros Valores -Oficina y Transferencias (249)</v>
      </c>
      <c r="E3296" s="341">
        <f>+F3296-G3296</f>
        <v>-7000</v>
      </c>
      <c r="F3296" s="405">
        <v>0</v>
      </c>
      <c r="G3296" s="405">
        <f>+F3295</f>
        <v>7000</v>
      </c>
      <c r="H3296" t="str">
        <f>+H3295</f>
        <v>Isabel Margarita Cortés Testart/249</v>
      </c>
      <c r="I3296" s="403" t="s">
        <v>131</v>
      </c>
      <c r="K3296" s="370"/>
      <c r="N3296" s="370"/>
    </row>
    <row r="3297" spans="1:14" s="347" customFormat="1" x14ac:dyDescent="0.25">
      <c r="A3297" s="369"/>
      <c r="E3297" s="396"/>
      <c r="F3297" s="396"/>
      <c r="G3297" s="396"/>
      <c r="K3297" s="370"/>
      <c r="N3297" s="370"/>
    </row>
    <row r="3298" spans="1:14" s="347" customFormat="1" x14ac:dyDescent="0.25">
      <c r="A3298" s="369">
        <v>44390</v>
      </c>
      <c r="B3298" s="347">
        <f>+MONTH(A3298)</f>
        <v>7</v>
      </c>
      <c r="C3298" s="347">
        <v>115</v>
      </c>
      <c r="D3298" s="340" t="str">
        <f>VLOOKUP(C3298,Plan!A:B,2,0)</f>
        <v>Disponible Cali B.Chile</v>
      </c>
      <c r="E3298" s="341">
        <f>+F3298-G3298</f>
        <v>35000</v>
      </c>
      <c r="F3298" s="405">
        <v>35000</v>
      </c>
      <c r="G3298" s="405">
        <v>0</v>
      </c>
      <c r="H3298" s="338" t="s">
        <v>1687</v>
      </c>
      <c r="I3298" s="403" t="s">
        <v>131</v>
      </c>
      <c r="K3298" s="370"/>
      <c r="N3298" s="370"/>
    </row>
    <row r="3299" spans="1:14" s="347" customFormat="1" x14ac:dyDescent="0.25">
      <c r="A3299" s="369">
        <f>+A3298</f>
        <v>44390</v>
      </c>
      <c r="B3299" s="347">
        <f>+MONTH(A3299)</f>
        <v>7</v>
      </c>
      <c r="C3299" s="347">
        <v>1216</v>
      </c>
      <c r="D3299" s="340" t="str">
        <f>VLOOKUP(C3299,Plan!A:B,2,0)</f>
        <v>Otros Valores Recaudadoras</v>
      </c>
      <c r="E3299" s="341">
        <f>+F3299-G3299</f>
        <v>-35000</v>
      </c>
      <c r="F3299" s="405">
        <v>0</v>
      </c>
      <c r="G3299" s="405">
        <f>+F3298</f>
        <v>35000</v>
      </c>
      <c r="H3299" s="338" t="s">
        <v>1687</v>
      </c>
      <c r="I3299" s="403" t="s">
        <v>131</v>
      </c>
      <c r="K3299" s="370"/>
      <c r="N3299" s="370"/>
    </row>
    <row r="3300" spans="1:14" s="347" customFormat="1" x14ac:dyDescent="0.25">
      <c r="A3300" s="369"/>
      <c r="E3300" s="396"/>
      <c r="F3300" s="396"/>
      <c r="G3300" s="396"/>
      <c r="K3300" s="370"/>
      <c r="N3300" s="370"/>
    </row>
    <row r="3301" spans="1:14" s="347" customFormat="1" x14ac:dyDescent="0.25">
      <c r="A3301" s="369">
        <v>44390</v>
      </c>
      <c r="B3301" s="347">
        <f>+MONTH(A3301)</f>
        <v>7</v>
      </c>
      <c r="C3301" s="347">
        <v>115</v>
      </c>
      <c r="D3301" s="340" t="str">
        <f>VLOOKUP(C3301,Plan!A:B,2,0)</f>
        <v>Disponible Cali B.Chile</v>
      </c>
      <c r="E3301" s="341">
        <f>+F3301-G3301</f>
        <v>95000</v>
      </c>
      <c r="F3301" s="405">
        <v>95000</v>
      </c>
      <c r="G3301" s="405">
        <v>0</v>
      </c>
      <c r="H3301" s="338" t="s">
        <v>1687</v>
      </c>
      <c r="I3301" s="403" t="s">
        <v>131</v>
      </c>
      <c r="K3301" s="370"/>
      <c r="N3301" s="370"/>
    </row>
    <row r="3302" spans="1:14" s="347" customFormat="1" x14ac:dyDescent="0.25">
      <c r="A3302" s="369">
        <f>+A3301</f>
        <v>44390</v>
      </c>
      <c r="B3302" s="347">
        <f>+MONTH(A3302)</f>
        <v>7</v>
      </c>
      <c r="C3302" s="347">
        <v>1216</v>
      </c>
      <c r="D3302" s="340" t="str">
        <f>VLOOKUP(C3302,Plan!A:B,2,0)</f>
        <v>Otros Valores Recaudadoras</v>
      </c>
      <c r="E3302" s="341">
        <f>+F3302-G3302</f>
        <v>-95000</v>
      </c>
      <c r="F3302" s="405">
        <v>0</v>
      </c>
      <c r="G3302" s="405">
        <f>+F3301</f>
        <v>95000</v>
      </c>
      <c r="H3302" s="338" t="s">
        <v>1687</v>
      </c>
      <c r="I3302" s="403" t="s">
        <v>131</v>
      </c>
      <c r="K3302" s="370"/>
      <c r="N3302" s="370"/>
    </row>
    <row r="3303" spans="1:14" s="347" customFormat="1" x14ac:dyDescent="0.25">
      <c r="A3303" s="369"/>
      <c r="E3303" s="396"/>
      <c r="F3303" s="396"/>
      <c r="G3303" s="396"/>
      <c r="K3303" s="370"/>
      <c r="N3303" s="370"/>
    </row>
    <row r="3304" spans="1:14" s="347" customFormat="1" x14ac:dyDescent="0.25">
      <c r="A3304" s="369">
        <v>44390</v>
      </c>
      <c r="B3304" s="347">
        <f>+MONTH(A3304)</f>
        <v>7</v>
      </c>
      <c r="C3304" s="347">
        <v>115</v>
      </c>
      <c r="D3304" s="340" t="str">
        <f>VLOOKUP(C3304,Plan!A:B,2,0)</f>
        <v>Disponible Cali B.Chile</v>
      </c>
      <c r="E3304" s="341">
        <f>+F3304-G3304</f>
        <v>210000</v>
      </c>
      <c r="F3304" s="405">
        <v>210000</v>
      </c>
      <c r="G3304" s="405">
        <v>0</v>
      </c>
      <c r="H3304" s="338" t="s">
        <v>1687</v>
      </c>
      <c r="I3304" s="403" t="s">
        <v>131</v>
      </c>
      <c r="K3304" s="370"/>
      <c r="N3304" s="370"/>
    </row>
    <row r="3305" spans="1:14" s="347" customFormat="1" x14ac:dyDescent="0.25">
      <c r="A3305" s="369">
        <f>+A3304</f>
        <v>44390</v>
      </c>
      <c r="B3305" s="347">
        <f>+MONTH(A3305)</f>
        <v>7</v>
      </c>
      <c r="C3305" s="347">
        <v>1216</v>
      </c>
      <c r="D3305" s="340" t="str">
        <f>VLOOKUP(C3305,Plan!A:B,2,0)</f>
        <v>Otros Valores Recaudadoras</v>
      </c>
      <c r="E3305" s="341">
        <f>+F3305-G3305</f>
        <v>-210000</v>
      </c>
      <c r="F3305" s="405">
        <v>0</v>
      </c>
      <c r="G3305" s="405">
        <f>+F3304</f>
        <v>210000</v>
      </c>
      <c r="H3305" s="338" t="s">
        <v>1687</v>
      </c>
      <c r="I3305" s="403" t="s">
        <v>131</v>
      </c>
      <c r="K3305" s="370"/>
      <c r="N3305" s="370"/>
    </row>
    <row r="3306" spans="1:14" s="347" customFormat="1" x14ac:dyDescent="0.25">
      <c r="A3306" s="369"/>
      <c r="E3306" s="396"/>
      <c r="F3306" s="396"/>
      <c r="G3306" s="396"/>
      <c r="K3306" s="370"/>
      <c r="N3306" s="370"/>
    </row>
    <row r="3307" spans="1:14" s="347" customFormat="1" x14ac:dyDescent="0.25">
      <c r="A3307" s="369">
        <v>44390</v>
      </c>
      <c r="B3307" s="347">
        <f>+MONTH(A3307)</f>
        <v>7</v>
      </c>
      <c r="C3307" s="347">
        <v>115</v>
      </c>
      <c r="D3307" s="340" t="str">
        <f>VLOOKUP(C3307,Plan!A:B,2,0)</f>
        <v>Disponible Cali B.Chile</v>
      </c>
      <c r="E3307" s="341">
        <f>+F3307-G3307</f>
        <v>20000</v>
      </c>
      <c r="F3307" s="405">
        <v>20000</v>
      </c>
      <c r="G3307" s="405">
        <v>0</v>
      </c>
      <c r="H3307" s="338" t="s">
        <v>1687</v>
      </c>
      <c r="I3307" s="403" t="s">
        <v>131</v>
      </c>
      <c r="K3307" s="370"/>
      <c r="N3307" s="370"/>
    </row>
    <row r="3308" spans="1:14" s="347" customFormat="1" x14ac:dyDescent="0.25">
      <c r="A3308" s="369">
        <f>+A3307</f>
        <v>44390</v>
      </c>
      <c r="B3308" s="347">
        <f>+MONTH(A3308)</f>
        <v>7</v>
      </c>
      <c r="C3308" s="347">
        <v>1216</v>
      </c>
      <c r="D3308" s="340" t="str">
        <f>VLOOKUP(C3308,Plan!A:B,2,0)</f>
        <v>Otros Valores Recaudadoras</v>
      </c>
      <c r="E3308" s="341">
        <f>+F3308-G3308</f>
        <v>-20000</v>
      </c>
      <c r="F3308" s="405">
        <v>0</v>
      </c>
      <c r="G3308" s="405">
        <f>+F3307</f>
        <v>20000</v>
      </c>
      <c r="H3308" s="338" t="s">
        <v>1687</v>
      </c>
      <c r="I3308" s="403" t="s">
        <v>131</v>
      </c>
      <c r="K3308" s="370"/>
      <c r="N3308" s="370"/>
    </row>
    <row r="3309" spans="1:14" s="347" customFormat="1" x14ac:dyDescent="0.25">
      <c r="A3309" s="369"/>
      <c r="E3309" s="396"/>
      <c r="F3309" s="396"/>
      <c r="G3309" s="396"/>
      <c r="K3309" s="370"/>
      <c r="N3309" s="370"/>
    </row>
    <row r="3310" spans="1:14" s="347" customFormat="1" x14ac:dyDescent="0.25">
      <c r="A3310" s="369">
        <v>44390</v>
      </c>
      <c r="B3310" s="347">
        <f>+MONTH(A3310)</f>
        <v>7</v>
      </c>
      <c r="C3310" s="347">
        <v>115</v>
      </c>
      <c r="D3310" s="340" t="str">
        <f>VLOOKUP(C3310,Plan!A:B,2,0)</f>
        <v>Disponible Cali B.Chile</v>
      </c>
      <c r="E3310" s="341">
        <f>+F3310-G3310</f>
        <v>14000</v>
      </c>
      <c r="F3310" s="405">
        <v>14000</v>
      </c>
      <c r="G3310" s="405">
        <v>0</v>
      </c>
      <c r="H3310" s="338" t="s">
        <v>1687</v>
      </c>
      <c r="I3310" s="403" t="s">
        <v>131</v>
      </c>
      <c r="K3310" s="370"/>
      <c r="N3310" s="370"/>
    </row>
    <row r="3311" spans="1:14" s="347" customFormat="1" x14ac:dyDescent="0.25">
      <c r="A3311" s="369">
        <f>+A3310</f>
        <v>44390</v>
      </c>
      <c r="B3311" s="347">
        <f>+MONTH(A3311)</f>
        <v>7</v>
      </c>
      <c r="C3311" s="347">
        <v>1216</v>
      </c>
      <c r="D3311" s="340" t="str">
        <f>VLOOKUP(C3311,Plan!A:B,2,0)</f>
        <v>Otros Valores Recaudadoras</v>
      </c>
      <c r="E3311" s="341">
        <f>+F3311-G3311</f>
        <v>-14000</v>
      </c>
      <c r="F3311" s="405">
        <v>0</v>
      </c>
      <c r="G3311" s="405">
        <f>+F3310</f>
        <v>14000</v>
      </c>
      <c r="H3311" s="338" t="s">
        <v>1687</v>
      </c>
      <c r="I3311" s="403" t="s">
        <v>131</v>
      </c>
      <c r="K3311" s="370"/>
      <c r="N3311" s="370"/>
    </row>
    <row r="3312" spans="1:14" s="347" customFormat="1" x14ac:dyDescent="0.25">
      <c r="A3312" s="369"/>
      <c r="E3312" s="396"/>
      <c r="F3312" s="396"/>
      <c r="G3312" s="396"/>
      <c r="K3312" s="370"/>
      <c r="N3312" s="370"/>
    </row>
    <row r="3313" spans="1:14" s="347" customFormat="1" x14ac:dyDescent="0.25">
      <c r="A3313" s="369">
        <v>44391</v>
      </c>
      <c r="B3313" s="347">
        <f>+MONTH(A3313)</f>
        <v>7</v>
      </c>
      <c r="C3313" s="347">
        <v>115</v>
      </c>
      <c r="D3313" s="340" t="str">
        <f>VLOOKUP(C3313,Plan!A:B,2,0)</f>
        <v>Disponible Cali B.Chile</v>
      </c>
      <c r="E3313" s="341">
        <f>+F3313-G3313</f>
        <v>30000</v>
      </c>
      <c r="F3313" s="405">
        <v>30000</v>
      </c>
      <c r="G3313" s="405">
        <v>0</v>
      </c>
      <c r="H3313" t="s">
        <v>1017</v>
      </c>
      <c r="I3313" s="403" t="s">
        <v>131</v>
      </c>
      <c r="K3313" s="370"/>
      <c r="N3313" s="370"/>
    </row>
    <row r="3314" spans="1:14" s="347" customFormat="1" x14ac:dyDescent="0.25">
      <c r="A3314" s="369">
        <f>+A3313</f>
        <v>44391</v>
      </c>
      <c r="B3314" s="347">
        <f>+MONTH(A3314)</f>
        <v>7</v>
      </c>
      <c r="C3314" s="347">
        <v>1216</v>
      </c>
      <c r="D3314" s="340" t="str">
        <f>VLOOKUP(C3314,Plan!A:B,2,0)</f>
        <v>Otros Valores Recaudadoras</v>
      </c>
      <c r="E3314" s="341">
        <f>+F3314-G3314</f>
        <v>-30000</v>
      </c>
      <c r="F3314" s="405">
        <v>0</v>
      </c>
      <c r="G3314" s="405">
        <f>+F3313</f>
        <v>30000</v>
      </c>
      <c r="H3314" t="str">
        <f>+H3313</f>
        <v>María Pía Laura Parodi Gil / 249</v>
      </c>
      <c r="I3314" s="403" t="s">
        <v>131</v>
      </c>
      <c r="K3314" s="370"/>
      <c r="N3314" s="370"/>
    </row>
    <row r="3315" spans="1:14" s="347" customFormat="1" x14ac:dyDescent="0.25">
      <c r="A3315" s="369"/>
      <c r="E3315" s="396"/>
      <c r="F3315" s="396"/>
      <c r="G3315" s="396"/>
      <c r="K3315" s="370"/>
      <c r="N3315" s="370"/>
    </row>
    <row r="3316" spans="1:14" s="347" customFormat="1" x14ac:dyDescent="0.25">
      <c r="A3316" s="369">
        <v>44391</v>
      </c>
      <c r="B3316" s="347">
        <f>+MONTH(A3316)</f>
        <v>7</v>
      </c>
      <c r="C3316" s="347">
        <v>4171</v>
      </c>
      <c r="D3316" s="340" t="str">
        <f>VLOOKUP(C3316,Plan!A:B,2,0)</f>
        <v xml:space="preserve">        Campaña 1%</v>
      </c>
      <c r="E3316" s="341">
        <f>+F3316-G3316</f>
        <v>50000</v>
      </c>
      <c r="F3316" s="405">
        <v>50000</v>
      </c>
      <c r="G3316" s="405">
        <v>0</v>
      </c>
      <c r="H3316" t="s">
        <v>1856</v>
      </c>
      <c r="I3316" s="403" t="s">
        <v>131</v>
      </c>
      <c r="K3316" s="370"/>
      <c r="N3316" s="370"/>
    </row>
    <row r="3317" spans="1:14" s="347" customFormat="1" x14ac:dyDescent="0.25">
      <c r="A3317" s="369">
        <f>+A3316</f>
        <v>44391</v>
      </c>
      <c r="B3317" s="347">
        <f>+MONTH(A3317)</f>
        <v>7</v>
      </c>
      <c r="C3317" s="347">
        <v>115</v>
      </c>
      <c r="D3317" s="340" t="str">
        <f>VLOOKUP(C3317,Plan!A:B,2,0)</f>
        <v>Disponible Cali B.Chile</v>
      </c>
      <c r="E3317" s="341">
        <f>+F3317-G3317</f>
        <v>-50000</v>
      </c>
      <c r="F3317" s="405">
        <v>0</v>
      </c>
      <c r="G3317" s="405">
        <f>+F3316</f>
        <v>50000</v>
      </c>
      <c r="H3317" t="str">
        <f>+H3316</f>
        <v>1 Gift Card La Cabrera premio Camp.Hazte Parte</v>
      </c>
      <c r="I3317" s="403" t="s">
        <v>131</v>
      </c>
      <c r="K3317" s="370"/>
      <c r="N3317" s="370"/>
    </row>
    <row r="3318" spans="1:14" s="347" customFormat="1" x14ac:dyDescent="0.25">
      <c r="A3318" s="369"/>
      <c r="E3318" s="396"/>
      <c r="F3318" s="396"/>
      <c r="G3318" s="396"/>
      <c r="K3318" s="370"/>
      <c r="N3318" s="370"/>
    </row>
    <row r="3319" spans="1:14" s="347" customFormat="1" x14ac:dyDescent="0.25">
      <c r="A3319" s="369">
        <v>44391</v>
      </c>
      <c r="B3319" s="347">
        <f>+MONTH(A3319)</f>
        <v>7</v>
      </c>
      <c r="C3319" s="347">
        <v>4171</v>
      </c>
      <c r="D3319" s="340" t="str">
        <f>VLOOKUP(C3319,Plan!A:B,2,0)</f>
        <v xml:space="preserve">        Campaña 1%</v>
      </c>
      <c r="E3319" s="341">
        <f>+F3319-G3319</f>
        <v>255750</v>
      </c>
      <c r="F3319" s="405">
        <v>255750</v>
      </c>
      <c r="G3319" s="405">
        <v>0</v>
      </c>
      <c r="H3319" t="s">
        <v>1857</v>
      </c>
      <c r="I3319" s="403" t="s">
        <v>131</v>
      </c>
      <c r="K3319" s="370"/>
      <c r="N3319" s="370"/>
    </row>
    <row r="3320" spans="1:14" s="347" customFormat="1" x14ac:dyDescent="0.25">
      <c r="A3320" s="369">
        <f>+A3319</f>
        <v>44391</v>
      </c>
      <c r="B3320" s="347">
        <f>+MONTH(A3320)</f>
        <v>7</v>
      </c>
      <c r="C3320" s="347">
        <v>115</v>
      </c>
      <c r="D3320" s="340" t="str">
        <f>VLOOKUP(C3320,Plan!A:B,2,0)</f>
        <v>Disponible Cali B.Chile</v>
      </c>
      <c r="E3320" s="341">
        <f>+F3320-G3320</f>
        <v>-255750</v>
      </c>
      <c r="F3320" s="405">
        <v>0</v>
      </c>
      <c r="G3320" s="405">
        <f>+F3319</f>
        <v>255750</v>
      </c>
      <c r="H3320" t="str">
        <f>+H3319</f>
        <v>Anticipo 50% 150 letreros Campaña Hazte Parte</v>
      </c>
      <c r="I3320" s="403" t="s">
        <v>131</v>
      </c>
      <c r="K3320" s="370"/>
      <c r="N3320" s="370"/>
    </row>
    <row r="3321" spans="1:14" s="347" customFormat="1" x14ac:dyDescent="0.25">
      <c r="A3321" s="369"/>
      <c r="E3321" s="396"/>
      <c r="F3321" s="396"/>
      <c r="G3321" s="396"/>
      <c r="K3321" s="370"/>
      <c r="N3321" s="370"/>
    </row>
    <row r="3322" spans="1:14" s="347" customFormat="1" x14ac:dyDescent="0.25">
      <c r="A3322" s="369">
        <v>44391</v>
      </c>
      <c r="B3322" s="347">
        <f>+MONTH(A3322)</f>
        <v>7</v>
      </c>
      <c r="C3322" s="347">
        <v>115</v>
      </c>
      <c r="D3322" s="340" t="str">
        <f>VLOOKUP(C3322,Plan!A:B,2,0)</f>
        <v>Disponible Cali B.Chile</v>
      </c>
      <c r="E3322" s="341">
        <f>+F3322-G3322</f>
        <v>30000</v>
      </c>
      <c r="F3322" s="405">
        <v>30000</v>
      </c>
      <c r="G3322" s="405">
        <v>0</v>
      </c>
      <c r="H3322" t="s">
        <v>970</v>
      </c>
      <c r="I3322" s="403" t="s">
        <v>131</v>
      </c>
      <c r="K3322" s="370"/>
      <c r="N3322" s="370"/>
    </row>
    <row r="3323" spans="1:14" s="347" customFormat="1" x14ac:dyDescent="0.25">
      <c r="A3323" s="369">
        <f>+A3322</f>
        <v>44391</v>
      </c>
      <c r="B3323" s="347">
        <f>+MONTH(A3323)</f>
        <v>7</v>
      </c>
      <c r="C3323" s="347">
        <v>1222</v>
      </c>
      <c r="D3323" s="340" t="str">
        <f>VLOOKUP(C3323,Plan!A:B,2,0)</f>
        <v>Otros Valores -Oficina y Transferencias (249)</v>
      </c>
      <c r="E3323" s="341">
        <f>+F3323-G3323</f>
        <v>-30000</v>
      </c>
      <c r="F3323" s="405">
        <v>0</v>
      </c>
      <c r="G3323" s="405">
        <f>+F3322</f>
        <v>30000</v>
      </c>
      <c r="H3323" t="str">
        <f>+H3322</f>
        <v>Horacio Cartagena Fagerstrom/249</v>
      </c>
      <c r="I3323" s="403" t="s">
        <v>131</v>
      </c>
      <c r="K3323" s="370"/>
      <c r="N3323" s="370"/>
    </row>
    <row r="3324" spans="1:14" s="347" customFormat="1" x14ac:dyDescent="0.25">
      <c r="A3324" s="369"/>
      <c r="E3324" s="396"/>
      <c r="F3324" s="396"/>
      <c r="G3324" s="396"/>
      <c r="K3324" s="370"/>
      <c r="N3324" s="370"/>
    </row>
    <row r="3325" spans="1:14" s="347" customFormat="1" x14ac:dyDescent="0.25">
      <c r="A3325" s="369">
        <v>44391</v>
      </c>
      <c r="B3325" s="347">
        <f>+MONTH(A3325)</f>
        <v>7</v>
      </c>
      <c r="C3325" s="347">
        <v>115</v>
      </c>
      <c r="D3325" s="340" t="str">
        <f>VLOOKUP(C3325,Plan!A:B,2,0)</f>
        <v>Disponible Cali B.Chile</v>
      </c>
      <c r="E3325" s="341">
        <f>+F3325-G3325</f>
        <v>19605</v>
      </c>
      <c r="F3325" s="405">
        <v>19605</v>
      </c>
      <c r="G3325" s="405">
        <v>0</v>
      </c>
      <c r="H3325" t="s">
        <v>1858</v>
      </c>
      <c r="I3325" s="403" t="s">
        <v>131</v>
      </c>
      <c r="K3325" s="370"/>
      <c r="N3325" s="370"/>
    </row>
    <row r="3326" spans="1:14" s="347" customFormat="1" x14ac:dyDescent="0.25">
      <c r="A3326" s="369">
        <f>+A3325</f>
        <v>44391</v>
      </c>
      <c r="B3326" s="347">
        <f>+MONTH(A3326)</f>
        <v>7</v>
      </c>
      <c r="C3326" s="347">
        <v>1222</v>
      </c>
      <c r="D3326" s="340" t="str">
        <f>VLOOKUP(C3326,Plan!A:B,2,0)</f>
        <v>Otros Valores -Oficina y Transferencias (249)</v>
      </c>
      <c r="E3326" s="341">
        <f>+F3326-G3326</f>
        <v>-20000</v>
      </c>
      <c r="F3326" s="405">
        <v>0</v>
      </c>
      <c r="G3326" s="405">
        <v>20000</v>
      </c>
      <c r="H3326" t="str">
        <f>+H3325</f>
        <v>Sofía Guerrero V. / 249 D.C.T.($20.000)</v>
      </c>
      <c r="I3326" s="403" t="s">
        <v>131</v>
      </c>
      <c r="K3326" s="370"/>
      <c r="N3326" s="370"/>
    </row>
    <row r="3327" spans="1:14" s="347" customFormat="1" x14ac:dyDescent="0.25">
      <c r="A3327" s="369">
        <f>+A3326</f>
        <v>44391</v>
      </c>
      <c r="B3327" s="347">
        <f>+MONTH(A3327)</f>
        <v>7</v>
      </c>
      <c r="C3327" s="347">
        <v>4331</v>
      </c>
      <c r="D3327" s="340" t="str">
        <f>VLOOKUP(C3327,Plan!A:B,2,0)</f>
        <v>Cali</v>
      </c>
      <c r="E3327" s="341">
        <f>+F3327-G3327</f>
        <v>395</v>
      </c>
      <c r="F3327" s="405">
        <v>395</v>
      </c>
      <c r="G3327" s="405">
        <f>+F3326</f>
        <v>0</v>
      </c>
      <c r="H3327" t="str">
        <f>+H3326</f>
        <v>Sofía Guerrero V. / 249 D.C.T.($20.000)</v>
      </c>
      <c r="I3327" s="403" t="s">
        <v>131</v>
      </c>
      <c r="K3327" s="370"/>
      <c r="N3327" s="370"/>
    </row>
    <row r="3328" spans="1:14" s="347" customFormat="1" x14ac:dyDescent="0.25">
      <c r="A3328" s="369"/>
      <c r="E3328" s="396"/>
      <c r="F3328" s="396"/>
      <c r="G3328" s="396"/>
      <c r="K3328" s="370"/>
      <c r="N3328" s="370"/>
    </row>
    <row r="3329" spans="1:14" s="347" customFormat="1" x14ac:dyDescent="0.25">
      <c r="A3329" s="369">
        <v>44392</v>
      </c>
      <c r="B3329" s="347">
        <f>+MONTH(A3329)</f>
        <v>7</v>
      </c>
      <c r="C3329" s="347">
        <v>202</v>
      </c>
      <c r="D3329" s="340" t="str">
        <f>VLOOKUP(C3329,Plan!A:B,2,0)</f>
        <v>Arzobispado por pagar</v>
      </c>
      <c r="E3329" s="341">
        <f>+F3329-G3329</f>
        <v>3556823.4699999997</v>
      </c>
      <c r="F3329" s="405">
        <v>3556823.4699999997</v>
      </c>
      <c r="G3329" s="405">
        <v>0</v>
      </c>
      <c r="H3329" t="s">
        <v>1859</v>
      </c>
      <c r="I3329" s="403" t="s">
        <v>131</v>
      </c>
      <c r="K3329" s="370"/>
      <c r="N3329" s="370"/>
    </row>
    <row r="3330" spans="1:14" s="347" customFormat="1" x14ac:dyDescent="0.25">
      <c r="A3330" s="369">
        <f>+A3329</f>
        <v>44392</v>
      </c>
      <c r="B3330" s="347">
        <f>+MONTH(A3330)</f>
        <v>7</v>
      </c>
      <c r="C3330" s="347">
        <v>201</v>
      </c>
      <c r="D3330" s="340" t="str">
        <f>VLOOKUP(C3330,Plan!A:B,2,0)</f>
        <v>1% por pagar</v>
      </c>
      <c r="E3330" s="341">
        <f>+F3330-G3330</f>
        <v>154547</v>
      </c>
      <c r="F3330" s="405">
        <v>154547</v>
      </c>
      <c r="G3330" s="405">
        <f>+F3328</f>
        <v>0</v>
      </c>
      <c r="H3330" t="s">
        <v>1859</v>
      </c>
      <c r="I3330" s="403" t="s">
        <v>131</v>
      </c>
      <c r="K3330" s="370"/>
      <c r="N3330" s="370"/>
    </row>
    <row r="3331" spans="1:14" s="347" customFormat="1" x14ac:dyDescent="0.25">
      <c r="A3331" s="369">
        <f>+A3329</f>
        <v>44392</v>
      </c>
      <c r="B3331" s="347">
        <f>+MONTH(A3331)</f>
        <v>7</v>
      </c>
      <c r="C3331" s="347">
        <v>115</v>
      </c>
      <c r="D3331" s="340" t="str">
        <f>VLOOKUP(C3331,Plan!A:B,2,0)</f>
        <v>Disponible Cali B.Chile</v>
      </c>
      <c r="E3331" s="341">
        <f>+F3331-G3331</f>
        <v>-3711370</v>
      </c>
      <c r="F3331" s="405">
        <v>0</v>
      </c>
      <c r="G3331" s="405">
        <v>3711370</v>
      </c>
      <c r="H3331" t="str">
        <f>+H3329</f>
        <v>Rend. CALI Junio 21</v>
      </c>
      <c r="I3331" s="403" t="s">
        <v>131</v>
      </c>
      <c r="K3331" s="370"/>
      <c r="N3331" s="370"/>
    </row>
    <row r="3332" spans="1:14" s="347" customFormat="1" x14ac:dyDescent="0.25">
      <c r="A3332" s="369"/>
      <c r="E3332" s="396"/>
      <c r="F3332" s="396"/>
      <c r="G3332" s="396"/>
      <c r="K3332" s="370"/>
      <c r="N3332" s="370"/>
    </row>
    <row r="3333" spans="1:14" s="347" customFormat="1" x14ac:dyDescent="0.25">
      <c r="A3333" s="369">
        <v>44392</v>
      </c>
      <c r="B3333" s="347">
        <f>+MONTH(A3333)</f>
        <v>7</v>
      </c>
      <c r="C3333" s="347">
        <v>203</v>
      </c>
      <c r="D3333" s="340" t="str">
        <f>VLOOKUP(C3333,Plan!A:B,2,0)</f>
        <v>Recaudadoras por pagar</v>
      </c>
      <c r="E3333" s="341">
        <f>+F3333-G3333</f>
        <v>68760</v>
      </c>
      <c r="F3333" s="405">
        <f>+G3334+G3335</f>
        <v>68760</v>
      </c>
      <c r="G3333" s="405">
        <v>0</v>
      </c>
      <c r="H3333" t="s">
        <v>1860</v>
      </c>
      <c r="I3333" s="403" t="s">
        <v>131</v>
      </c>
      <c r="K3333" s="370"/>
      <c r="N3333" s="370"/>
    </row>
    <row r="3334" spans="1:14" s="347" customFormat="1" x14ac:dyDescent="0.25">
      <c r="A3334" s="369">
        <f>+A3333</f>
        <v>44392</v>
      </c>
      <c r="B3334" s="347">
        <f>+MONTH(A3334)</f>
        <v>7</v>
      </c>
      <c r="C3334" s="347">
        <v>115</v>
      </c>
      <c r="D3334" s="340" t="str">
        <f>VLOOKUP(C3334,Plan!A:B,2,0)</f>
        <v>Disponible Cali B.Chile</v>
      </c>
      <c r="E3334" s="341">
        <f>+F3334-G3334</f>
        <v>-60853</v>
      </c>
      <c r="F3334" s="405">
        <v>0</v>
      </c>
      <c r="G3334" s="405">
        <v>60853</v>
      </c>
      <c r="H3334" t="str">
        <f>+H3333</f>
        <v>BE-488 Maria Angelica Sepulveda</v>
      </c>
      <c r="I3334" s="403" t="s">
        <v>131</v>
      </c>
      <c r="K3334" s="370"/>
      <c r="N3334" s="370"/>
    </row>
    <row r="3335" spans="1:14" s="347" customFormat="1" x14ac:dyDescent="0.25">
      <c r="A3335" s="369">
        <f>+A3334</f>
        <v>44392</v>
      </c>
      <c r="B3335" s="347">
        <f>+MONTH(A3335)</f>
        <v>7</v>
      </c>
      <c r="C3335" s="347">
        <v>204</v>
      </c>
      <c r="D3335" s="340" t="str">
        <f>VLOOKUP(C3335,Plan!A:B,2,0)</f>
        <v>Retención Honorarios Cali</v>
      </c>
      <c r="E3335" s="341">
        <f>+F3335-G3335</f>
        <v>-7907</v>
      </c>
      <c r="F3335" s="405">
        <v>0</v>
      </c>
      <c r="G3335" s="405">
        <v>7907</v>
      </c>
      <c r="H3335" t="str">
        <f>+H3334</f>
        <v>BE-488 Maria Angelica Sepulveda</v>
      </c>
      <c r="I3335" s="403" t="s">
        <v>131</v>
      </c>
      <c r="K3335" s="370"/>
      <c r="N3335" s="370"/>
    </row>
    <row r="3336" spans="1:14" s="347" customFormat="1" x14ac:dyDescent="0.25">
      <c r="A3336" s="369"/>
      <c r="E3336" s="396"/>
      <c r="F3336" s="396"/>
      <c r="G3336" s="396"/>
      <c r="K3336" s="370"/>
      <c r="N3336" s="370"/>
    </row>
    <row r="3337" spans="1:14" s="347" customFormat="1" x14ac:dyDescent="0.25">
      <c r="A3337" s="369">
        <v>44392</v>
      </c>
      <c r="B3337" s="347">
        <f>+MONTH(A3337)</f>
        <v>7</v>
      </c>
      <c r="C3337" s="347">
        <v>116</v>
      </c>
      <c r="D3337" s="340" t="str">
        <f>VLOOKUP(C3337,Plan!A:B,2,0)</f>
        <v>Disponible CALI Security</v>
      </c>
      <c r="E3337" s="341">
        <f>+F3337-G3337</f>
        <v>25000000</v>
      </c>
      <c r="F3337" s="405">
        <v>25000000</v>
      </c>
      <c r="G3337" s="405">
        <v>0</v>
      </c>
      <c r="H3337" t="s">
        <v>1768</v>
      </c>
      <c r="I3337" s="403" t="s">
        <v>131</v>
      </c>
      <c r="K3337" s="370"/>
      <c r="N3337" s="370"/>
    </row>
    <row r="3338" spans="1:14" s="347" customFormat="1" x14ac:dyDescent="0.25">
      <c r="A3338" s="369">
        <f>+A3337</f>
        <v>44392</v>
      </c>
      <c r="B3338" s="347">
        <f>+MONTH(A3338)</f>
        <v>7</v>
      </c>
      <c r="C3338" s="347">
        <v>115</v>
      </c>
      <c r="D3338" s="340" t="str">
        <f>VLOOKUP(C3338,Plan!A:B,2,0)</f>
        <v>Disponible Cali B.Chile</v>
      </c>
      <c r="E3338" s="341">
        <f>+F3338-G3338</f>
        <v>-25000000</v>
      </c>
      <c r="F3338" s="405">
        <v>0</v>
      </c>
      <c r="G3338" s="405">
        <f>+F3337</f>
        <v>25000000</v>
      </c>
      <c r="H3338" t="str">
        <f>+H3337</f>
        <v>Trasp.a Cta. Security</v>
      </c>
      <c r="I3338" s="403" t="s">
        <v>131</v>
      </c>
      <c r="K3338" s="370"/>
      <c r="N3338" s="370"/>
    </row>
    <row r="3339" spans="1:14" s="347" customFormat="1" x14ac:dyDescent="0.25">
      <c r="A3339" s="369"/>
      <c r="E3339" s="396"/>
      <c r="F3339" s="396"/>
      <c r="G3339" s="396"/>
      <c r="K3339" s="370"/>
      <c r="N3339" s="370"/>
    </row>
    <row r="3340" spans="1:14" s="347" customFormat="1" x14ac:dyDescent="0.25">
      <c r="A3340" s="369">
        <v>44392</v>
      </c>
      <c r="B3340" s="347">
        <f>+MONTH(A3340)</f>
        <v>7</v>
      </c>
      <c r="C3340" s="347">
        <v>115</v>
      </c>
      <c r="D3340" s="340" t="str">
        <f>VLOOKUP(C3340,Plan!A:B,2,0)</f>
        <v>Disponible Cali B.Chile</v>
      </c>
      <c r="E3340" s="341">
        <f>+F3340-G3340</f>
        <v>5000</v>
      </c>
      <c r="F3340" s="405">
        <v>5000</v>
      </c>
      <c r="G3340" s="405">
        <v>0</v>
      </c>
      <c r="H3340" t="s">
        <v>1861</v>
      </c>
      <c r="I3340" s="403" t="s">
        <v>131</v>
      </c>
      <c r="K3340" s="370"/>
      <c r="N3340" s="370"/>
    </row>
    <row r="3341" spans="1:14" s="347" customFormat="1" x14ac:dyDescent="0.25">
      <c r="A3341" s="369">
        <f>+A3340</f>
        <v>44392</v>
      </c>
      <c r="B3341" s="347">
        <f>+MONTH(A3341)</f>
        <v>7</v>
      </c>
      <c r="C3341" s="347">
        <v>216</v>
      </c>
      <c r="D3341" s="340" t="str">
        <f>VLOOKUP(C3341,Plan!A:B,2,0)</f>
        <v>Cuenta por Pagar a Administración Colectas</v>
      </c>
      <c r="E3341" s="341">
        <f>+F3341-G3341</f>
        <v>-5000</v>
      </c>
      <c r="F3341" s="405">
        <v>0</v>
      </c>
      <c r="G3341" s="405">
        <f>+F3340</f>
        <v>5000</v>
      </c>
      <c r="H3341" t="str">
        <f>+H3340</f>
        <v>Colecta Pilar Bustamante</v>
      </c>
      <c r="I3341" s="403" t="s">
        <v>131</v>
      </c>
      <c r="K3341" s="370"/>
      <c r="N3341" s="370"/>
    </row>
    <row r="3342" spans="1:14" s="347" customFormat="1" x14ac:dyDescent="0.25">
      <c r="K3342" s="370"/>
      <c r="N3342" s="370"/>
    </row>
    <row r="3343" spans="1:14" s="347" customFormat="1" x14ac:dyDescent="0.25">
      <c r="A3343" s="369">
        <v>44392</v>
      </c>
      <c r="B3343" s="347">
        <f>+MONTH(A3343)</f>
        <v>7</v>
      </c>
      <c r="C3343" s="347">
        <v>115</v>
      </c>
      <c r="D3343" s="340" t="str">
        <f>VLOOKUP(C3343,Plan!A:B,2,0)</f>
        <v>Disponible Cali B.Chile</v>
      </c>
      <c r="E3343" s="341">
        <f>+F3343-G3343</f>
        <v>20000</v>
      </c>
      <c r="F3343" s="405">
        <v>20000</v>
      </c>
      <c r="G3343" s="405">
        <v>0</v>
      </c>
      <c r="H3343" t="s">
        <v>1025</v>
      </c>
      <c r="I3343" s="403" t="s">
        <v>131</v>
      </c>
      <c r="K3343" s="370"/>
      <c r="N3343" s="370"/>
    </row>
    <row r="3344" spans="1:14" s="347" customFormat="1" x14ac:dyDescent="0.25">
      <c r="A3344" s="369">
        <f>+A3343</f>
        <v>44392</v>
      </c>
      <c r="B3344" s="347">
        <f>+MONTH(A3344)</f>
        <v>7</v>
      </c>
      <c r="C3344" s="347">
        <v>1222</v>
      </c>
      <c r="D3344" s="340" t="str">
        <f>VLOOKUP(C3344,Plan!A:B,2,0)</f>
        <v>Otros Valores -Oficina y Transferencias (249)</v>
      </c>
      <c r="E3344" s="341">
        <f>+F3344-G3344</f>
        <v>-20000</v>
      </c>
      <c r="F3344" s="405">
        <v>0</v>
      </c>
      <c r="G3344" s="405">
        <f>+F3343</f>
        <v>20000</v>
      </c>
      <c r="H3344" t="str">
        <f>+H3343</f>
        <v>Bernardita Egaña Baraona  / 249</v>
      </c>
      <c r="I3344" s="403" t="s">
        <v>131</v>
      </c>
      <c r="K3344" s="370"/>
      <c r="N3344" s="370"/>
    </row>
    <row r="3345" spans="1:14" s="347" customFormat="1" x14ac:dyDescent="0.25">
      <c r="A3345" s="369"/>
      <c r="E3345" s="396"/>
      <c r="F3345" s="396"/>
      <c r="G3345" s="396"/>
      <c r="K3345" s="370"/>
      <c r="N3345" s="370"/>
    </row>
    <row r="3346" spans="1:14" s="347" customFormat="1" x14ac:dyDescent="0.25">
      <c r="A3346" s="369">
        <v>44392</v>
      </c>
      <c r="B3346" s="347">
        <f>+MONTH(A3346)</f>
        <v>7</v>
      </c>
      <c r="C3346" s="347">
        <v>115</v>
      </c>
      <c r="D3346" s="340" t="str">
        <f>VLOOKUP(C3346,Plan!A:B,2,0)</f>
        <v>Disponible Cali B.Chile</v>
      </c>
      <c r="E3346" s="341">
        <f>+F3346-G3346</f>
        <v>250000</v>
      </c>
      <c r="F3346" s="405">
        <v>250000</v>
      </c>
      <c r="G3346" s="405">
        <v>0</v>
      </c>
      <c r="H3346" t="s">
        <v>1769</v>
      </c>
      <c r="I3346" s="403" t="s">
        <v>131</v>
      </c>
      <c r="K3346" s="370"/>
      <c r="N3346" s="370"/>
    </row>
    <row r="3347" spans="1:14" s="347" customFormat="1" x14ac:dyDescent="0.25">
      <c r="A3347" s="369">
        <f>+A3346</f>
        <v>44392</v>
      </c>
      <c r="B3347" s="347">
        <f>+MONTH(A3347)</f>
        <v>7</v>
      </c>
      <c r="C3347" s="347">
        <v>3210</v>
      </c>
      <c r="D3347" s="340" t="str">
        <f>VLOOKUP(C3347,Plan!A:B,2,0)</f>
        <v>Donacion Construccion</v>
      </c>
      <c r="E3347" s="341">
        <f>+F3347-G3347</f>
        <v>-250000</v>
      </c>
      <c r="F3347" s="405">
        <v>0</v>
      </c>
      <c r="G3347" s="405">
        <f>+F3346</f>
        <v>250000</v>
      </c>
      <c r="H3347" t="str">
        <f>+H3346</f>
        <v>José Miguel Valdivieso Gandarillas/Azul</v>
      </c>
      <c r="I3347" s="403" t="s">
        <v>131</v>
      </c>
      <c r="K3347" s="370"/>
      <c r="N3347" s="370"/>
    </row>
    <row r="3348" spans="1:14" s="347" customFormat="1" x14ac:dyDescent="0.25">
      <c r="A3348" s="369"/>
      <c r="E3348" s="396"/>
      <c r="F3348" s="396"/>
      <c r="G3348" s="396"/>
      <c r="K3348" s="370"/>
      <c r="N3348" s="370"/>
    </row>
    <row r="3349" spans="1:14" s="347" customFormat="1" x14ac:dyDescent="0.25">
      <c r="A3349" s="369">
        <v>44392</v>
      </c>
      <c r="B3349" s="347">
        <f>+MONTH(A3349)</f>
        <v>7</v>
      </c>
      <c r="C3349" s="347">
        <v>115</v>
      </c>
      <c r="D3349" s="340" t="str">
        <f>VLOOKUP(C3349,Plan!A:B,2,0)</f>
        <v>Disponible Cali B.Chile</v>
      </c>
      <c r="E3349" s="341">
        <f>+F3349-G3349</f>
        <v>25000000</v>
      </c>
      <c r="F3349" s="405">
        <v>25000000</v>
      </c>
      <c r="G3349" s="405">
        <v>0</v>
      </c>
      <c r="H3349" t="s">
        <v>1862</v>
      </c>
      <c r="I3349" s="403" t="s">
        <v>131</v>
      </c>
      <c r="K3349" s="370"/>
      <c r="N3349" s="370"/>
    </row>
    <row r="3350" spans="1:14" s="347" customFormat="1" x14ac:dyDescent="0.25">
      <c r="A3350" s="369">
        <f>+A3349</f>
        <v>44392</v>
      </c>
      <c r="B3350" s="347">
        <f>+MONTH(A3350)</f>
        <v>7</v>
      </c>
      <c r="C3350" s="347">
        <v>116</v>
      </c>
      <c r="D3350" s="340" t="str">
        <f>VLOOKUP(C3350,Plan!A:B,2,0)</f>
        <v>Disponible CALI Security</v>
      </c>
      <c r="E3350" s="341">
        <f>+F3350-G3350</f>
        <v>-25000000</v>
      </c>
      <c r="F3350" s="405">
        <v>0</v>
      </c>
      <c r="G3350" s="405">
        <f>+F3349</f>
        <v>25000000</v>
      </c>
      <c r="H3350" t="str">
        <f>+H3349</f>
        <v>Devolución Trasp.a Cta. Security</v>
      </c>
      <c r="I3350" s="403" t="s">
        <v>131</v>
      </c>
      <c r="K3350" s="370"/>
      <c r="N3350" s="370"/>
    </row>
    <row r="3351" spans="1:14" s="347" customFormat="1" x14ac:dyDescent="0.25">
      <c r="A3351" s="369"/>
      <c r="E3351" s="396"/>
      <c r="F3351" s="396"/>
      <c r="G3351" s="396"/>
      <c r="K3351" s="370"/>
      <c r="N3351" s="370"/>
    </row>
    <row r="3352" spans="1:14" s="347" customFormat="1" x14ac:dyDescent="0.25">
      <c r="A3352" s="369">
        <v>44396</v>
      </c>
      <c r="B3352" s="347">
        <f>+MONTH(A3352)</f>
        <v>7</v>
      </c>
      <c r="C3352" s="347">
        <v>116</v>
      </c>
      <c r="D3352" s="340" t="str">
        <f>VLOOKUP(C3352,Plan!A:B,2,0)</f>
        <v>Disponible CALI Security</v>
      </c>
      <c r="E3352" s="341">
        <f>+F3352-G3352</f>
        <v>25000000</v>
      </c>
      <c r="F3352" s="405">
        <v>25000000</v>
      </c>
      <c r="G3352" s="405">
        <v>0</v>
      </c>
      <c r="H3352" t="s">
        <v>1768</v>
      </c>
      <c r="I3352" s="403" t="s">
        <v>131</v>
      </c>
      <c r="K3352" s="370"/>
      <c r="N3352" s="370"/>
    </row>
    <row r="3353" spans="1:14" s="347" customFormat="1" x14ac:dyDescent="0.25">
      <c r="A3353" s="369">
        <f>+A3352</f>
        <v>44396</v>
      </c>
      <c r="B3353" s="347">
        <f>+MONTH(A3353)</f>
        <v>7</v>
      </c>
      <c r="C3353" s="347">
        <v>115</v>
      </c>
      <c r="D3353" s="340" t="str">
        <f>VLOOKUP(C3353,Plan!A:B,2,0)</f>
        <v>Disponible Cali B.Chile</v>
      </c>
      <c r="E3353" s="341">
        <f>+F3353-G3353</f>
        <v>-25000000</v>
      </c>
      <c r="F3353" s="405">
        <v>0</v>
      </c>
      <c r="G3353" s="405">
        <f>+F3352</f>
        <v>25000000</v>
      </c>
      <c r="H3353" t="str">
        <f>+H3352</f>
        <v>Trasp.a Cta. Security</v>
      </c>
      <c r="I3353" s="403" t="s">
        <v>131</v>
      </c>
      <c r="K3353" s="370"/>
      <c r="N3353" s="370"/>
    </row>
    <row r="3354" spans="1:14" s="347" customFormat="1" x14ac:dyDescent="0.25">
      <c r="A3354" s="369"/>
      <c r="E3354" s="396"/>
      <c r="F3354" s="396"/>
      <c r="G3354" s="396"/>
      <c r="K3354" s="370"/>
      <c r="N3354" s="370"/>
    </row>
    <row r="3355" spans="1:14" s="347" customFormat="1" x14ac:dyDescent="0.25">
      <c r="A3355" s="369">
        <v>44396</v>
      </c>
      <c r="B3355" s="347">
        <f>+MONTH(A3355)</f>
        <v>7</v>
      </c>
      <c r="C3355" s="347">
        <v>115</v>
      </c>
      <c r="D3355" s="340" t="str">
        <f>VLOOKUP(C3355,Plan!A:B,2,0)</f>
        <v>Disponible Cali B.Chile</v>
      </c>
      <c r="E3355" s="341">
        <f>+F3355-G3355</f>
        <v>1500</v>
      </c>
      <c r="F3355" s="405">
        <v>1500</v>
      </c>
      <c r="G3355" s="405">
        <v>0</v>
      </c>
      <c r="H3355" t="s">
        <v>1010</v>
      </c>
      <c r="I3355" s="403" t="s">
        <v>131</v>
      </c>
      <c r="K3355" s="370"/>
      <c r="N3355" s="370"/>
    </row>
    <row r="3356" spans="1:14" s="347" customFormat="1" x14ac:dyDescent="0.25">
      <c r="A3356" s="369">
        <f>+A3355</f>
        <v>44396</v>
      </c>
      <c r="B3356" s="347">
        <f>+MONTH(A3356)</f>
        <v>7</v>
      </c>
      <c r="C3356" s="347">
        <v>216</v>
      </c>
      <c r="D3356" s="340" t="str">
        <f>VLOOKUP(C3356,Plan!A:B,2,0)</f>
        <v>Cuenta por Pagar a Administración Colectas</v>
      </c>
      <c r="E3356" s="341">
        <f>+F3356-G3356</f>
        <v>-1500</v>
      </c>
      <c r="F3356" s="405">
        <v>0</v>
      </c>
      <c r="G3356" s="405">
        <f>+F3355</f>
        <v>1500</v>
      </c>
      <c r="H3356" t="str">
        <f>+H3355</f>
        <v>Colecta Raimundo Barros</v>
      </c>
      <c r="I3356" s="403" t="s">
        <v>131</v>
      </c>
      <c r="K3356" s="370"/>
      <c r="N3356" s="370"/>
    </row>
    <row r="3357" spans="1:14" s="347" customFormat="1" x14ac:dyDescent="0.25">
      <c r="A3357" s="369"/>
      <c r="E3357" s="396"/>
      <c r="F3357" s="396"/>
      <c r="G3357" s="396"/>
      <c r="K3357" s="370"/>
      <c r="N3357" s="370"/>
    </row>
    <row r="3358" spans="1:14" s="347" customFormat="1" x14ac:dyDescent="0.25">
      <c r="A3358" s="369">
        <v>44396</v>
      </c>
      <c r="B3358" s="347">
        <f>+MONTH(A3358)</f>
        <v>7</v>
      </c>
      <c r="C3358" s="347">
        <v>115</v>
      </c>
      <c r="D3358" s="340" t="str">
        <f>VLOOKUP(C3358,Plan!A:B,2,0)</f>
        <v>Disponible Cali B.Chile</v>
      </c>
      <c r="E3358" s="341">
        <f>+F3358-G3358</f>
        <v>500000</v>
      </c>
      <c r="F3358" s="405">
        <v>500000</v>
      </c>
      <c r="G3358" s="405">
        <v>0</v>
      </c>
      <c r="H3358" t="s">
        <v>1863</v>
      </c>
      <c r="I3358" s="403" t="s">
        <v>131</v>
      </c>
      <c r="K3358" s="370"/>
      <c r="N3358" s="370"/>
    </row>
    <row r="3359" spans="1:14" s="347" customFormat="1" x14ac:dyDescent="0.25">
      <c r="A3359" s="369">
        <f>+A3358</f>
        <v>44396</v>
      </c>
      <c r="B3359" s="347">
        <f>+MONTH(A3359)</f>
        <v>7</v>
      </c>
      <c r="C3359" s="347">
        <v>1222</v>
      </c>
      <c r="D3359" s="340" t="str">
        <f>VLOOKUP(C3359,Plan!A:B,2,0)</f>
        <v>Otros Valores -Oficina y Transferencias (249)</v>
      </c>
      <c r="E3359" s="341">
        <f>+F3359-G3359</f>
        <v>-500000</v>
      </c>
      <c r="F3359" s="405">
        <v>0</v>
      </c>
      <c r="G3359" s="405">
        <f>+F3358</f>
        <v>500000</v>
      </c>
      <c r="H3359" t="str">
        <f>+H3358</f>
        <v>Pablo Botteselle De La Fuente / 249</v>
      </c>
      <c r="I3359" s="403" t="s">
        <v>131</v>
      </c>
      <c r="K3359" s="370"/>
      <c r="N3359" s="370"/>
    </row>
    <row r="3360" spans="1:14" s="347" customFormat="1" x14ac:dyDescent="0.25">
      <c r="A3360" s="369"/>
      <c r="E3360" s="396"/>
      <c r="F3360" s="396"/>
      <c r="G3360" s="396"/>
      <c r="K3360" s="370"/>
      <c r="N3360" s="370"/>
    </row>
    <row r="3361" spans="1:14" s="347" customFormat="1" x14ac:dyDescent="0.25">
      <c r="A3361" s="369">
        <v>44396</v>
      </c>
      <c r="B3361" s="347">
        <f>+MONTH(A3361)</f>
        <v>7</v>
      </c>
      <c r="C3361" s="347">
        <v>115</v>
      </c>
      <c r="D3361" s="340" t="str">
        <f>VLOOKUP(C3361,Plan!A:B,2,0)</f>
        <v>Disponible Cali B.Chile</v>
      </c>
      <c r="E3361" s="341">
        <f>+F3361-G3361</f>
        <v>60000</v>
      </c>
      <c r="F3361" s="405">
        <v>60000</v>
      </c>
      <c r="G3361" s="405">
        <v>0</v>
      </c>
      <c r="H3361" t="s">
        <v>1042</v>
      </c>
      <c r="I3361" s="403" t="s">
        <v>131</v>
      </c>
      <c r="K3361" s="370"/>
      <c r="N3361" s="370"/>
    </row>
    <row r="3362" spans="1:14" s="347" customFormat="1" x14ac:dyDescent="0.25">
      <c r="A3362" s="369">
        <f>+A3361</f>
        <v>44396</v>
      </c>
      <c r="B3362" s="347">
        <f>+MONTH(A3362)</f>
        <v>7</v>
      </c>
      <c r="C3362" s="347">
        <v>1216</v>
      </c>
      <c r="D3362" s="340" t="str">
        <f>VLOOKUP(C3362,Plan!A:B,2,0)</f>
        <v>Otros Valores Recaudadoras</v>
      </c>
      <c r="E3362" s="341">
        <f>+F3362-G3362</f>
        <v>-60000</v>
      </c>
      <c r="F3362" s="405">
        <v>0</v>
      </c>
      <c r="G3362" s="405">
        <f>+F3361</f>
        <v>60000</v>
      </c>
      <c r="H3362" t="str">
        <f>+H3361</f>
        <v>José Tomás Poblete Jara / 248</v>
      </c>
      <c r="I3362" s="403" t="s">
        <v>131</v>
      </c>
      <c r="K3362" s="370"/>
      <c r="N3362" s="370"/>
    </row>
    <row r="3363" spans="1:14" s="347" customFormat="1" x14ac:dyDescent="0.25">
      <c r="A3363" s="369"/>
      <c r="E3363" s="396"/>
      <c r="F3363" s="396"/>
      <c r="G3363" s="396"/>
      <c r="K3363" s="370"/>
      <c r="N3363" s="370"/>
    </row>
    <row r="3364" spans="1:14" s="347" customFormat="1" x14ac:dyDescent="0.25">
      <c r="A3364" s="369">
        <v>44396</v>
      </c>
      <c r="B3364" s="347">
        <f>+MONTH(A3364)</f>
        <v>7</v>
      </c>
      <c r="C3364" s="347">
        <v>115</v>
      </c>
      <c r="D3364" s="340" t="str">
        <f>VLOOKUP(C3364,Plan!A:B,2,0)</f>
        <v>Disponible Cali B.Chile</v>
      </c>
      <c r="E3364" s="341">
        <f>+F3364-G3364</f>
        <v>20000</v>
      </c>
      <c r="F3364" s="405">
        <v>20000</v>
      </c>
      <c r="G3364" s="405">
        <v>0</v>
      </c>
      <c r="H3364" t="s">
        <v>1083</v>
      </c>
      <c r="I3364" s="403" t="s">
        <v>131</v>
      </c>
      <c r="K3364" s="370"/>
      <c r="N3364" s="370"/>
    </row>
    <row r="3365" spans="1:14" s="347" customFormat="1" x14ac:dyDescent="0.25">
      <c r="A3365" s="369">
        <f>+A3364</f>
        <v>44396</v>
      </c>
      <c r="B3365" s="347">
        <f>+MONTH(A3365)</f>
        <v>7</v>
      </c>
      <c r="C3365" s="347">
        <v>1222</v>
      </c>
      <c r="D3365" s="340" t="str">
        <f>VLOOKUP(C3365,Plan!A:B,2,0)</f>
        <v>Otros Valores -Oficina y Transferencias (249)</v>
      </c>
      <c r="E3365" s="341">
        <f>+F3365-G3365</f>
        <v>-20000</v>
      </c>
      <c r="F3365" s="405">
        <v>0</v>
      </c>
      <c r="G3365" s="405">
        <f>+F3364</f>
        <v>20000</v>
      </c>
      <c r="H3365" t="str">
        <f>+H3364</f>
        <v xml:space="preserve">Raúl Strappa Varas / 249 </v>
      </c>
      <c r="I3365" s="403" t="s">
        <v>131</v>
      </c>
      <c r="K3365" s="370"/>
      <c r="N3365" s="370"/>
    </row>
    <row r="3366" spans="1:14" s="347" customFormat="1" x14ac:dyDescent="0.25">
      <c r="A3366" s="369"/>
      <c r="E3366" s="396"/>
      <c r="F3366" s="396"/>
      <c r="G3366" s="396"/>
      <c r="K3366" s="370"/>
      <c r="N3366" s="370"/>
    </row>
    <row r="3367" spans="1:14" s="347" customFormat="1" x14ac:dyDescent="0.25">
      <c r="A3367" s="369">
        <v>44397</v>
      </c>
      <c r="B3367" s="347">
        <f>+MONTH(A3367)</f>
        <v>7</v>
      </c>
      <c r="C3367" s="347">
        <v>115</v>
      </c>
      <c r="D3367" s="340" t="str">
        <f>VLOOKUP(C3367,Plan!A:B,2,0)</f>
        <v>Disponible Cali B.Chile</v>
      </c>
      <c r="E3367" s="341">
        <f>+F3367-G3367</f>
        <v>100000</v>
      </c>
      <c r="F3367" s="405">
        <v>100000</v>
      </c>
      <c r="G3367" s="405">
        <v>0</v>
      </c>
      <c r="H3367" t="s">
        <v>1726</v>
      </c>
      <c r="I3367" s="403" t="s">
        <v>131</v>
      </c>
      <c r="K3367" s="370"/>
      <c r="N3367" s="370"/>
    </row>
    <row r="3368" spans="1:14" s="347" customFormat="1" x14ac:dyDescent="0.25">
      <c r="A3368" s="369">
        <f>+A3367</f>
        <v>44397</v>
      </c>
      <c r="B3368" s="347">
        <f>+MONTH(A3368)</f>
        <v>7</v>
      </c>
      <c r="C3368" s="347">
        <v>3210</v>
      </c>
      <c r="D3368" s="340" t="str">
        <f>VLOOKUP(C3368,Plan!A:B,2,0)</f>
        <v>Donacion Construccion</v>
      </c>
      <c r="E3368" s="341">
        <f>+F3368-G3368</f>
        <v>-100000</v>
      </c>
      <c r="F3368" s="405">
        <v>0</v>
      </c>
      <c r="G3368" s="405">
        <f>+F3367</f>
        <v>100000</v>
      </c>
      <c r="H3368" t="str">
        <f>+H3367</f>
        <v>Juan Carlos Latorre Díaz / Azul</v>
      </c>
      <c r="I3368" s="403" t="s">
        <v>131</v>
      </c>
      <c r="K3368" s="370"/>
      <c r="N3368" s="370"/>
    </row>
    <row r="3369" spans="1:14" s="347" customFormat="1" x14ac:dyDescent="0.25">
      <c r="A3369" s="369"/>
      <c r="E3369" s="396"/>
      <c r="F3369" s="396"/>
      <c r="G3369" s="396"/>
      <c r="K3369" s="370"/>
      <c r="N3369" s="370"/>
    </row>
    <row r="3370" spans="1:14" s="347" customFormat="1" x14ac:dyDescent="0.25">
      <c r="A3370" s="369">
        <v>44397</v>
      </c>
      <c r="B3370" s="347">
        <f>+MONTH(A3370)</f>
        <v>7</v>
      </c>
      <c r="C3370" s="347">
        <v>115</v>
      </c>
      <c r="D3370" s="340" t="str">
        <f>VLOOKUP(C3370,Plan!A:B,2,0)</f>
        <v>Disponible Cali B.Chile</v>
      </c>
      <c r="E3370" s="341">
        <f>+F3370-G3370</f>
        <v>20000</v>
      </c>
      <c r="F3370" s="405">
        <v>20000</v>
      </c>
      <c r="G3370" s="405">
        <v>0</v>
      </c>
      <c r="H3370" t="s">
        <v>1030</v>
      </c>
      <c r="I3370" s="403" t="s">
        <v>131</v>
      </c>
      <c r="K3370" s="370"/>
      <c r="N3370" s="370"/>
    </row>
    <row r="3371" spans="1:14" s="347" customFormat="1" x14ac:dyDescent="0.25">
      <c r="A3371" s="369">
        <f>+A3370</f>
        <v>44397</v>
      </c>
      <c r="B3371" s="347">
        <f>+MONTH(A3371)</f>
        <v>7</v>
      </c>
      <c r="C3371" s="347">
        <v>1222</v>
      </c>
      <c r="D3371" s="340" t="str">
        <f>VLOOKUP(C3371,Plan!A:B,2,0)</f>
        <v>Otros Valores -Oficina y Transferencias (249)</v>
      </c>
      <c r="E3371" s="341">
        <f>+F3371-G3371</f>
        <v>-20000</v>
      </c>
      <c r="F3371" s="405">
        <v>0</v>
      </c>
      <c r="G3371" s="405">
        <f>+F3370</f>
        <v>20000</v>
      </c>
      <c r="H3371" t="str">
        <f>+H3370</f>
        <v>S. Villegas / 249</v>
      </c>
      <c r="I3371" s="403" t="s">
        <v>131</v>
      </c>
      <c r="K3371" s="370"/>
      <c r="N3371" s="370"/>
    </row>
    <row r="3372" spans="1:14" s="347" customFormat="1" x14ac:dyDescent="0.25">
      <c r="A3372" s="369"/>
      <c r="E3372" s="396"/>
      <c r="F3372" s="396"/>
      <c r="G3372" s="396"/>
      <c r="K3372" s="370"/>
      <c r="N3372" s="370"/>
    </row>
    <row r="3373" spans="1:14" s="347" customFormat="1" x14ac:dyDescent="0.25">
      <c r="A3373" s="369">
        <v>44397</v>
      </c>
      <c r="B3373" s="347">
        <f>+MONTH(A3373)</f>
        <v>7</v>
      </c>
      <c r="C3373" s="347">
        <v>115</v>
      </c>
      <c r="D3373" s="340" t="str">
        <f>VLOOKUP(C3373,Plan!A:B,2,0)</f>
        <v>Disponible Cali B.Chile</v>
      </c>
      <c r="E3373" s="341">
        <f>+F3373-G3373</f>
        <v>150000</v>
      </c>
      <c r="F3373" s="405">
        <v>150000</v>
      </c>
      <c r="G3373" s="405">
        <v>0</v>
      </c>
      <c r="H3373" t="s">
        <v>1770</v>
      </c>
      <c r="I3373" s="403" t="s">
        <v>131</v>
      </c>
      <c r="K3373" s="370"/>
      <c r="N3373" s="370"/>
    </row>
    <row r="3374" spans="1:14" s="347" customFormat="1" x14ac:dyDescent="0.25">
      <c r="A3374" s="369">
        <f>+A3373</f>
        <v>44397</v>
      </c>
      <c r="B3374" s="347">
        <f>+MONTH(A3374)</f>
        <v>7</v>
      </c>
      <c r="C3374" s="347">
        <v>1222</v>
      </c>
      <c r="D3374" s="340" t="str">
        <f>VLOOKUP(C3374,Plan!A:B,2,0)</f>
        <v>Otros Valores -Oficina y Transferencias (249)</v>
      </c>
      <c r="E3374" s="341">
        <f>+F3374-G3374</f>
        <v>-150000</v>
      </c>
      <c r="F3374" s="405">
        <v>0</v>
      </c>
      <c r="G3374" s="405">
        <f>+F3373</f>
        <v>150000</v>
      </c>
      <c r="H3374" t="str">
        <f>+H3373</f>
        <v>Luis Felipe Zanolli De Solminihac/249</v>
      </c>
      <c r="I3374" s="403" t="s">
        <v>131</v>
      </c>
      <c r="K3374" s="370"/>
      <c r="N3374" s="370"/>
    </row>
    <row r="3375" spans="1:14" s="347" customFormat="1" x14ac:dyDescent="0.25">
      <c r="A3375" s="369"/>
      <c r="E3375" s="396"/>
      <c r="F3375" s="396"/>
      <c r="G3375" s="396"/>
      <c r="K3375" s="370"/>
      <c r="N3375" s="370"/>
    </row>
    <row r="3376" spans="1:14" s="347" customFormat="1" x14ac:dyDescent="0.25">
      <c r="A3376" s="369">
        <v>44398</v>
      </c>
      <c r="B3376" s="347">
        <f>+MONTH(A3376)</f>
        <v>7</v>
      </c>
      <c r="C3376" s="347">
        <v>115</v>
      </c>
      <c r="D3376" s="340" t="str">
        <f>VLOOKUP(C3376,Plan!A:B,2,0)</f>
        <v>Disponible Cali B.Chile</v>
      </c>
      <c r="E3376" s="341">
        <f>+F3376-G3376</f>
        <v>7000</v>
      </c>
      <c r="F3376" s="405">
        <v>7000</v>
      </c>
      <c r="G3376" s="405">
        <v>0</v>
      </c>
      <c r="H3376" t="s">
        <v>1864</v>
      </c>
      <c r="I3376" s="403" t="s">
        <v>131</v>
      </c>
      <c r="K3376" s="370"/>
      <c r="N3376" s="370"/>
    </row>
    <row r="3377" spans="1:14" s="347" customFormat="1" x14ac:dyDescent="0.25">
      <c r="A3377" s="369">
        <f>+A3376</f>
        <v>44398</v>
      </c>
      <c r="B3377" s="347">
        <f>+MONTH(A3377)</f>
        <v>7</v>
      </c>
      <c r="C3377" s="347">
        <v>216</v>
      </c>
      <c r="D3377" s="340" t="str">
        <f>VLOOKUP(C3377,Plan!A:B,2,0)</f>
        <v>Cuenta por Pagar a Administración Colectas</v>
      </c>
      <c r="E3377" s="341">
        <f>+F3377-G3377</f>
        <v>-7000</v>
      </c>
      <c r="F3377" s="405">
        <v>0</v>
      </c>
      <c r="G3377" s="405">
        <f>+F3376</f>
        <v>7000</v>
      </c>
      <c r="H3377" t="str">
        <f>+H3376</f>
        <v>Colecta Silvia Villegas</v>
      </c>
      <c r="I3377" s="403" t="s">
        <v>131</v>
      </c>
      <c r="K3377" s="370"/>
      <c r="N3377" s="370"/>
    </row>
    <row r="3378" spans="1:14" s="347" customFormat="1" x14ac:dyDescent="0.25">
      <c r="A3378" s="369"/>
      <c r="E3378" s="396"/>
      <c r="F3378" s="396"/>
      <c r="G3378" s="396"/>
      <c r="K3378" s="370"/>
      <c r="N3378" s="370"/>
    </row>
    <row r="3379" spans="1:14" s="347" customFormat="1" x14ac:dyDescent="0.25">
      <c r="A3379" s="369">
        <v>44398</v>
      </c>
      <c r="B3379" s="347">
        <f>+MONTH(A3379)</f>
        <v>7</v>
      </c>
      <c r="C3379" s="347">
        <v>115</v>
      </c>
      <c r="D3379" s="340" t="str">
        <f>VLOOKUP(C3379,Plan!A:B,2,0)</f>
        <v>Disponible Cali B.Chile</v>
      </c>
      <c r="E3379" s="341">
        <f>+F3379-G3379</f>
        <v>5000</v>
      </c>
      <c r="F3379" s="405">
        <v>5000</v>
      </c>
      <c r="G3379" s="405">
        <v>0</v>
      </c>
      <c r="H3379" t="s">
        <v>1719</v>
      </c>
      <c r="I3379" s="403" t="s">
        <v>131</v>
      </c>
      <c r="K3379" s="370"/>
      <c r="N3379" s="370"/>
    </row>
    <row r="3380" spans="1:14" s="347" customFormat="1" x14ac:dyDescent="0.25">
      <c r="A3380" s="369">
        <f>+A3379</f>
        <v>44398</v>
      </c>
      <c r="B3380" s="347">
        <f>+MONTH(A3380)</f>
        <v>7</v>
      </c>
      <c r="C3380" s="347">
        <v>1222</v>
      </c>
      <c r="D3380" s="340" t="str">
        <f>VLOOKUP(C3380,Plan!A:B,2,0)</f>
        <v>Otros Valores -Oficina y Transferencias (249)</v>
      </c>
      <c r="E3380" s="341">
        <f>+F3380-G3380</f>
        <v>-5000</v>
      </c>
      <c r="F3380" s="405">
        <v>0</v>
      </c>
      <c r="G3380" s="405">
        <f>+F3379</f>
        <v>5000</v>
      </c>
      <c r="H3380" t="str">
        <f>+H3379</f>
        <v>María Angélica Pérez-Villamil /249</v>
      </c>
      <c r="I3380" s="403" t="s">
        <v>131</v>
      </c>
      <c r="K3380" s="370"/>
      <c r="N3380" s="370"/>
    </row>
    <row r="3381" spans="1:14" s="347" customFormat="1" x14ac:dyDescent="0.25">
      <c r="A3381" s="369"/>
      <c r="E3381" s="396"/>
      <c r="F3381" s="396"/>
      <c r="G3381" s="396"/>
      <c r="K3381" s="370"/>
      <c r="N3381" s="370"/>
    </row>
    <row r="3382" spans="1:14" s="347" customFormat="1" x14ac:dyDescent="0.25">
      <c r="A3382" s="369">
        <v>44399</v>
      </c>
      <c r="B3382" s="347">
        <f>+MONTH(A3382)</f>
        <v>7</v>
      </c>
      <c r="C3382" s="347">
        <v>115</v>
      </c>
      <c r="D3382" s="340" t="str">
        <f>VLOOKUP(C3382,Plan!A:B,2,0)</f>
        <v>Disponible Cali B.Chile</v>
      </c>
      <c r="E3382" s="341">
        <f>+F3382-G3382</f>
        <v>150000</v>
      </c>
      <c r="F3382" s="405">
        <v>150000</v>
      </c>
      <c r="G3382" s="405">
        <v>0</v>
      </c>
      <c r="H3382" t="s">
        <v>1021</v>
      </c>
      <c r="I3382" s="403" t="s">
        <v>131</v>
      </c>
      <c r="K3382" s="370"/>
      <c r="N3382" s="370"/>
    </row>
    <row r="3383" spans="1:14" s="347" customFormat="1" x14ac:dyDescent="0.25">
      <c r="A3383" s="369">
        <f>+A3382</f>
        <v>44399</v>
      </c>
      <c r="B3383" s="347">
        <f>+MONTH(A3383)</f>
        <v>7</v>
      </c>
      <c r="C3383" s="347">
        <v>3210</v>
      </c>
      <c r="D3383" s="340" t="str">
        <f>VLOOKUP(C3383,Plan!A:B,2,0)</f>
        <v>Donacion Construccion</v>
      </c>
      <c r="E3383" s="341">
        <f>+F3383-G3383</f>
        <v>-150000</v>
      </c>
      <c r="F3383" s="405">
        <v>0</v>
      </c>
      <c r="G3383" s="405">
        <f>+F3382</f>
        <v>150000</v>
      </c>
      <c r="H3383" t="str">
        <f>+H3382</f>
        <v>Italo Lubiano Tassara/Azul</v>
      </c>
      <c r="I3383" s="403" t="s">
        <v>131</v>
      </c>
      <c r="K3383" s="370"/>
      <c r="N3383" s="370"/>
    </row>
    <row r="3384" spans="1:14" s="347" customFormat="1" x14ac:dyDescent="0.25">
      <c r="A3384" s="369"/>
      <c r="E3384" s="396"/>
      <c r="F3384" s="396"/>
      <c r="G3384" s="396"/>
      <c r="K3384" s="370"/>
      <c r="N3384" s="370"/>
    </row>
    <row r="3385" spans="1:14" s="347" customFormat="1" x14ac:dyDescent="0.25">
      <c r="A3385" s="369">
        <v>44399</v>
      </c>
      <c r="B3385" s="347">
        <f>+MONTH(A3385)</f>
        <v>7</v>
      </c>
      <c r="C3385" s="347">
        <v>115</v>
      </c>
      <c r="D3385" s="340" t="str">
        <f>VLOOKUP(C3385,Plan!A:B,2,0)</f>
        <v>Disponible Cali B.Chile</v>
      </c>
      <c r="E3385" s="341">
        <f>+F3385-G3385</f>
        <v>10000</v>
      </c>
      <c r="F3385" s="405">
        <v>10000</v>
      </c>
      <c r="G3385" s="405">
        <v>0</v>
      </c>
      <c r="H3385" t="s">
        <v>1517</v>
      </c>
      <c r="I3385" s="403" t="s">
        <v>131</v>
      </c>
      <c r="K3385" s="370"/>
      <c r="N3385" s="370"/>
    </row>
    <row r="3386" spans="1:14" s="347" customFormat="1" x14ac:dyDescent="0.25">
      <c r="A3386" s="369">
        <f>+A3385</f>
        <v>44399</v>
      </c>
      <c r="B3386" s="347">
        <f>+MONTH(A3386)</f>
        <v>7</v>
      </c>
      <c r="C3386" s="347">
        <v>1222</v>
      </c>
      <c r="D3386" s="340" t="str">
        <f>VLOOKUP(C3386,Plan!A:B,2,0)</f>
        <v>Otros Valores -Oficina y Transferencias (249)</v>
      </c>
      <c r="E3386" s="341">
        <f>+F3386-G3386</f>
        <v>-10000</v>
      </c>
      <c r="F3386" s="405">
        <v>0</v>
      </c>
      <c r="G3386" s="405">
        <f>+F3385</f>
        <v>10000</v>
      </c>
      <c r="H3386" t="str">
        <f>+H3385</f>
        <v>Jacqueline Dale / 249</v>
      </c>
      <c r="I3386" s="403" t="s">
        <v>131</v>
      </c>
      <c r="K3386" s="370"/>
      <c r="N3386" s="370"/>
    </row>
    <row r="3387" spans="1:14" s="347" customFormat="1" x14ac:dyDescent="0.25">
      <c r="A3387" s="369"/>
      <c r="E3387" s="396"/>
      <c r="F3387" s="396"/>
      <c r="G3387" s="396"/>
      <c r="K3387" s="370"/>
      <c r="N3387" s="370"/>
    </row>
    <row r="3388" spans="1:14" s="347" customFormat="1" x14ac:dyDescent="0.25">
      <c r="A3388" s="369">
        <v>44399</v>
      </c>
      <c r="B3388" s="347">
        <f>+MONTH(A3388)</f>
        <v>7</v>
      </c>
      <c r="C3388" s="347">
        <v>115</v>
      </c>
      <c r="D3388" s="340" t="str">
        <f>VLOOKUP(C3388,Plan!A:B,2,0)</f>
        <v>Disponible Cali B.Chile</v>
      </c>
      <c r="E3388" s="341">
        <f>+F3388-G3388</f>
        <v>350000</v>
      </c>
      <c r="F3388" s="405">
        <v>350000</v>
      </c>
      <c r="G3388" s="405">
        <v>0</v>
      </c>
      <c r="H3388" t="s">
        <v>1865</v>
      </c>
      <c r="I3388" s="403" t="s">
        <v>131</v>
      </c>
      <c r="K3388" s="370"/>
      <c r="N3388" s="370"/>
    </row>
    <row r="3389" spans="1:14" s="347" customFormat="1" x14ac:dyDescent="0.25">
      <c r="A3389" s="369">
        <f>+A3388</f>
        <v>44399</v>
      </c>
      <c r="B3389" s="347">
        <f>+MONTH(A3389)</f>
        <v>7</v>
      </c>
      <c r="C3389" s="347">
        <v>3210</v>
      </c>
      <c r="D3389" s="340" t="str">
        <f>VLOOKUP(C3389,Plan!A:B,2,0)</f>
        <v>Donacion Construccion</v>
      </c>
      <c r="E3389" s="341">
        <f>+F3389-G3389</f>
        <v>-350000</v>
      </c>
      <c r="F3389" s="405">
        <v>0</v>
      </c>
      <c r="G3389" s="405">
        <f>+F3388</f>
        <v>350000</v>
      </c>
      <c r="H3389" t="str">
        <f>+H3388</f>
        <v>Héctor Manuel Gómez Brain / Azul</v>
      </c>
      <c r="I3389" s="403" t="s">
        <v>131</v>
      </c>
      <c r="K3389" s="370"/>
      <c r="N3389" s="370"/>
    </row>
    <row r="3390" spans="1:14" s="347" customFormat="1" x14ac:dyDescent="0.25">
      <c r="A3390" s="369"/>
      <c r="E3390" s="396"/>
      <c r="F3390" s="396"/>
      <c r="G3390" s="396"/>
      <c r="K3390" s="370"/>
      <c r="N3390" s="370"/>
    </row>
    <row r="3391" spans="1:14" s="347" customFormat="1" x14ac:dyDescent="0.25">
      <c r="A3391" s="369">
        <v>44399</v>
      </c>
      <c r="B3391" s="347">
        <f>+MONTH(A3391)</f>
        <v>7</v>
      </c>
      <c r="C3391" s="347">
        <v>115</v>
      </c>
      <c r="D3391" s="340" t="str">
        <f>VLOOKUP(C3391,Plan!A:B,2,0)</f>
        <v>Disponible Cali B.Chile</v>
      </c>
      <c r="E3391" s="341">
        <f>+F3391-G3391</f>
        <v>30000</v>
      </c>
      <c r="F3391" s="405">
        <v>30000</v>
      </c>
      <c r="G3391" s="405">
        <v>0</v>
      </c>
      <c r="H3391" t="s">
        <v>1082</v>
      </c>
      <c r="I3391" s="403" t="s">
        <v>131</v>
      </c>
      <c r="K3391" s="370"/>
      <c r="N3391" s="370"/>
    </row>
    <row r="3392" spans="1:14" s="347" customFormat="1" x14ac:dyDescent="0.25">
      <c r="A3392" s="369">
        <f>+A3391</f>
        <v>44399</v>
      </c>
      <c r="B3392" s="347">
        <f>+MONTH(A3392)</f>
        <v>7</v>
      </c>
      <c r="C3392" s="347">
        <v>1222</v>
      </c>
      <c r="D3392" s="340" t="str">
        <f>VLOOKUP(C3392,Plan!A:B,2,0)</f>
        <v>Otros Valores -Oficina y Transferencias (249)</v>
      </c>
      <c r="E3392" s="341">
        <f>+F3392-G3392</f>
        <v>-30000</v>
      </c>
      <c r="F3392" s="405">
        <v>0</v>
      </c>
      <c r="G3392" s="405">
        <f>+F3391</f>
        <v>30000</v>
      </c>
      <c r="H3392" t="str">
        <f>+H3391</f>
        <v>Carmen Gloria Ovalle de la Cuadra/ 249</v>
      </c>
      <c r="I3392" s="403" t="s">
        <v>131</v>
      </c>
      <c r="K3392" s="370"/>
      <c r="N3392" s="370"/>
    </row>
    <row r="3393" spans="1:14" s="347" customFormat="1" x14ac:dyDescent="0.25">
      <c r="A3393" s="369"/>
      <c r="E3393" s="396"/>
      <c r="F3393" s="396"/>
      <c r="G3393" s="396"/>
      <c r="K3393" s="370"/>
      <c r="N3393" s="370"/>
    </row>
    <row r="3394" spans="1:14" s="347" customFormat="1" x14ac:dyDescent="0.25">
      <c r="A3394" s="369">
        <v>44400</v>
      </c>
      <c r="B3394" s="347">
        <f>+MONTH(A3394)</f>
        <v>7</v>
      </c>
      <c r="C3394" s="347">
        <v>115</v>
      </c>
      <c r="D3394" s="340" t="str">
        <f>VLOOKUP(C3394,Plan!A:B,2,0)</f>
        <v>Disponible Cali B.Chile</v>
      </c>
      <c r="E3394" s="341">
        <f>+F3394-G3394</f>
        <v>30000</v>
      </c>
      <c r="F3394" s="405">
        <v>30000</v>
      </c>
      <c r="G3394" s="405">
        <v>0</v>
      </c>
      <c r="H3394" t="s">
        <v>1032</v>
      </c>
      <c r="I3394" s="403" t="s">
        <v>131</v>
      </c>
      <c r="K3394" s="370"/>
      <c r="N3394" s="370"/>
    </row>
    <row r="3395" spans="1:14" s="347" customFormat="1" x14ac:dyDescent="0.25">
      <c r="A3395" s="369">
        <f>+A3394</f>
        <v>44400</v>
      </c>
      <c r="B3395" s="347">
        <f>+MONTH(A3395)</f>
        <v>7</v>
      </c>
      <c r="C3395" s="347">
        <v>1217</v>
      </c>
      <c r="D3395" s="340" t="str">
        <f>VLOOKUP(C3395,Plan!A:B,2,0)</f>
        <v>Otros Valores -Oficina y Transferencias (248)</v>
      </c>
      <c r="E3395" s="341">
        <f>+F3395-G3395</f>
        <v>-30000</v>
      </c>
      <c r="F3395" s="405">
        <v>0</v>
      </c>
      <c r="G3395" s="405">
        <f>+F3394</f>
        <v>30000</v>
      </c>
      <c r="H3395" t="str">
        <f>+H3394</f>
        <v>Luis  E. Domínguez / 248</v>
      </c>
      <c r="I3395" s="403" t="s">
        <v>131</v>
      </c>
      <c r="K3395" s="370"/>
      <c r="N3395" s="370"/>
    </row>
    <row r="3396" spans="1:14" s="347" customFormat="1" x14ac:dyDescent="0.25">
      <c r="A3396" s="369"/>
      <c r="E3396" s="396"/>
      <c r="F3396" s="396"/>
      <c r="G3396" s="396"/>
      <c r="K3396" s="370"/>
      <c r="N3396" s="370"/>
    </row>
    <row r="3397" spans="1:14" s="347" customFormat="1" x14ac:dyDescent="0.25">
      <c r="A3397" s="369">
        <v>44400</v>
      </c>
      <c r="B3397" s="347">
        <f>+MONTH(A3397)</f>
        <v>7</v>
      </c>
      <c r="C3397" s="347">
        <v>115</v>
      </c>
      <c r="D3397" s="340" t="str">
        <f>VLOOKUP(C3397,Plan!A:B,2,0)</f>
        <v>Disponible Cali B.Chile</v>
      </c>
      <c r="E3397" s="341">
        <f>+F3397-G3397</f>
        <v>100000</v>
      </c>
      <c r="F3397" s="405">
        <v>100000</v>
      </c>
      <c r="G3397" s="405">
        <v>0</v>
      </c>
      <c r="H3397" t="s">
        <v>1695</v>
      </c>
      <c r="I3397" s="403" t="s">
        <v>131</v>
      </c>
      <c r="K3397" s="370"/>
      <c r="N3397" s="370"/>
    </row>
    <row r="3398" spans="1:14" s="347" customFormat="1" x14ac:dyDescent="0.25">
      <c r="A3398" s="369">
        <f>+A3397</f>
        <v>44400</v>
      </c>
      <c r="B3398" s="347">
        <f>+MONTH(A3398)</f>
        <v>7</v>
      </c>
      <c r="C3398" s="347">
        <v>3210</v>
      </c>
      <c r="D3398" s="340" t="str">
        <f>VLOOKUP(C3398,Plan!A:B,2,0)</f>
        <v>Donacion Construccion</v>
      </c>
      <c r="E3398" s="341">
        <f>+F3398-G3398</f>
        <v>-100000</v>
      </c>
      <c r="F3398" s="405">
        <v>0</v>
      </c>
      <c r="G3398" s="405">
        <f>+F3397</f>
        <v>100000</v>
      </c>
      <c r="H3398" t="str">
        <f>+H3397</f>
        <v>Ricardo Cruzat Ochagavia / Azul</v>
      </c>
      <c r="I3398" s="403" t="s">
        <v>131</v>
      </c>
      <c r="K3398" s="370"/>
      <c r="N3398" s="370"/>
    </row>
    <row r="3399" spans="1:14" s="347" customFormat="1" x14ac:dyDescent="0.25">
      <c r="K3399" s="370"/>
      <c r="N3399" s="370"/>
    </row>
    <row r="3400" spans="1:14" s="347" customFormat="1" x14ac:dyDescent="0.25">
      <c r="A3400" s="369">
        <v>44400</v>
      </c>
      <c r="B3400" s="347">
        <f>+MONTH(A3400)</f>
        <v>7</v>
      </c>
      <c r="C3400" s="347">
        <v>115</v>
      </c>
      <c r="D3400" s="340" t="str">
        <f>VLOOKUP(C3400,Plan!A:B,2,0)</f>
        <v>Disponible Cali B.Chile</v>
      </c>
      <c r="E3400" s="341">
        <f>+F3400-G3400</f>
        <v>20000</v>
      </c>
      <c r="F3400" s="405">
        <v>20000</v>
      </c>
      <c r="G3400" s="405">
        <v>0</v>
      </c>
      <c r="H3400" t="s">
        <v>1033</v>
      </c>
      <c r="I3400" s="403" t="s">
        <v>131</v>
      </c>
      <c r="K3400" s="370"/>
      <c r="N3400" s="370"/>
    </row>
    <row r="3401" spans="1:14" s="347" customFormat="1" x14ac:dyDescent="0.25">
      <c r="A3401" s="369">
        <f>+A3400</f>
        <v>44400</v>
      </c>
      <c r="B3401" s="347">
        <f>+MONTH(A3401)</f>
        <v>7</v>
      </c>
      <c r="C3401" s="347">
        <v>1222</v>
      </c>
      <c r="D3401" s="340" t="str">
        <f>VLOOKUP(C3401,Plan!A:B,2,0)</f>
        <v>Otros Valores -Oficina y Transferencias (249)</v>
      </c>
      <c r="E3401" s="341">
        <f>+F3401-G3401</f>
        <v>-20000</v>
      </c>
      <c r="F3401" s="405">
        <v>0</v>
      </c>
      <c r="G3401" s="405">
        <f>+F3400</f>
        <v>20000</v>
      </c>
      <c r="H3401" t="str">
        <f>+H3400</f>
        <v>Verónica Sapag Puelma / 249</v>
      </c>
      <c r="I3401" s="403" t="s">
        <v>131</v>
      </c>
      <c r="K3401" s="370"/>
      <c r="N3401" s="370"/>
    </row>
    <row r="3402" spans="1:14" s="347" customFormat="1" x14ac:dyDescent="0.25">
      <c r="A3402" s="369"/>
      <c r="E3402" s="396"/>
      <c r="F3402" s="396"/>
      <c r="G3402" s="396"/>
      <c r="K3402" s="370"/>
      <c r="N3402" s="370"/>
    </row>
    <row r="3403" spans="1:14" s="347" customFormat="1" x14ac:dyDescent="0.25">
      <c r="A3403" s="369">
        <v>44400</v>
      </c>
      <c r="B3403" s="347">
        <f>+MONTH(A3403)</f>
        <v>7</v>
      </c>
      <c r="C3403" s="347">
        <v>4171</v>
      </c>
      <c r="D3403" s="340" t="str">
        <f>VLOOKUP(C3403,Plan!A:B,2,0)</f>
        <v xml:space="preserve">        Campaña 1%</v>
      </c>
      <c r="E3403" s="341">
        <f>+F3403-G3403</f>
        <v>150000</v>
      </c>
      <c r="F3403" s="405">
        <v>150000</v>
      </c>
      <c r="G3403" s="405">
        <v>0</v>
      </c>
      <c r="H3403" t="s">
        <v>1866</v>
      </c>
      <c r="I3403" s="403" t="s">
        <v>131</v>
      </c>
      <c r="K3403" s="370"/>
      <c r="N3403" s="370"/>
    </row>
    <row r="3404" spans="1:14" s="347" customFormat="1" x14ac:dyDescent="0.25">
      <c r="A3404" s="369">
        <f>+A3403</f>
        <v>44400</v>
      </c>
      <c r="B3404" s="347">
        <f>+MONTH(A3404)</f>
        <v>7</v>
      </c>
      <c r="C3404" s="347">
        <v>115</v>
      </c>
      <c r="D3404" s="340" t="str">
        <f>VLOOKUP(C3404,Plan!A:B,2,0)</f>
        <v>Disponible Cali B.Chile</v>
      </c>
      <c r="E3404" s="341">
        <f>+F3404-G3404</f>
        <v>-150000</v>
      </c>
      <c r="F3404" s="405">
        <v>0</v>
      </c>
      <c r="G3404" s="405">
        <f>+F3403</f>
        <v>150000</v>
      </c>
      <c r="H3404" t="str">
        <f>+H3403</f>
        <v>3 Gift Card R.Pinpilinpausha premio Camp.Hazte Parte</v>
      </c>
      <c r="I3404" s="403" t="s">
        <v>131</v>
      </c>
      <c r="K3404" s="370"/>
      <c r="N3404" s="370"/>
    </row>
    <row r="3405" spans="1:14" s="347" customFormat="1" x14ac:dyDescent="0.25">
      <c r="A3405" s="369"/>
      <c r="E3405" s="396"/>
      <c r="F3405" s="396"/>
      <c r="G3405" s="396"/>
      <c r="K3405" s="370"/>
      <c r="N3405" s="370"/>
    </row>
    <row r="3406" spans="1:14" s="347" customFormat="1" x14ac:dyDescent="0.25">
      <c r="A3406" s="369">
        <v>44400</v>
      </c>
      <c r="B3406" s="347">
        <f>+MONTH(A3406)</f>
        <v>7</v>
      </c>
      <c r="C3406" s="347">
        <v>4171</v>
      </c>
      <c r="D3406" s="340" t="str">
        <f>VLOOKUP(C3406,Plan!A:B,2,0)</f>
        <v xml:space="preserve">        Campaña 1%</v>
      </c>
      <c r="E3406" s="341">
        <f>+F3406-G3406</f>
        <v>176263</v>
      </c>
      <c r="F3406" s="405">
        <v>176263</v>
      </c>
      <c r="G3406" s="405">
        <v>0</v>
      </c>
      <c r="H3406" t="s">
        <v>1867</v>
      </c>
      <c r="I3406" s="403" t="s">
        <v>131</v>
      </c>
      <c r="K3406" s="370"/>
      <c r="N3406" s="370"/>
    </row>
    <row r="3407" spans="1:14" s="347" customFormat="1" x14ac:dyDescent="0.25">
      <c r="A3407" s="369">
        <f>+A3406</f>
        <v>44400</v>
      </c>
      <c r="B3407" s="347">
        <f>+MONTH(A3407)</f>
        <v>7</v>
      </c>
      <c r="C3407" s="347">
        <v>115</v>
      </c>
      <c r="D3407" s="340" t="str">
        <f>VLOOKUP(C3407,Plan!A:B,2,0)</f>
        <v>Disponible Cali B.Chile</v>
      </c>
      <c r="E3407" s="341">
        <f>+F3407-G3407</f>
        <v>-176263</v>
      </c>
      <c r="F3407" s="405">
        <v>0</v>
      </c>
      <c r="G3407" s="405">
        <f>+F3406</f>
        <v>176263</v>
      </c>
      <c r="H3407" t="str">
        <f>+H3406</f>
        <v>F,39143 Lienzo en Obra Campaña Hazte Parte</v>
      </c>
      <c r="I3407" s="403" t="s">
        <v>131</v>
      </c>
      <c r="K3407" s="370"/>
      <c r="N3407" s="370"/>
    </row>
    <row r="3408" spans="1:14" s="347" customFormat="1" x14ac:dyDescent="0.25">
      <c r="A3408" s="369"/>
      <c r="E3408" s="396"/>
      <c r="F3408" s="396"/>
      <c r="G3408" s="396"/>
      <c r="K3408" s="370"/>
      <c r="N3408" s="370"/>
    </row>
    <row r="3409" spans="1:14" s="347" customFormat="1" x14ac:dyDescent="0.25">
      <c r="A3409" s="369">
        <v>44403</v>
      </c>
      <c r="B3409" s="347">
        <f>+MONTH(A3409)</f>
        <v>7</v>
      </c>
      <c r="C3409" s="347">
        <v>115</v>
      </c>
      <c r="D3409" s="340" t="str">
        <f>VLOOKUP(C3409,Plan!A:B,2,0)</f>
        <v>Disponible Cali B.Chile</v>
      </c>
      <c r="E3409" s="341">
        <f>+F3409-G3409</f>
        <v>3000000</v>
      </c>
      <c r="F3409" s="405">
        <v>3000000</v>
      </c>
      <c r="G3409" s="405">
        <v>0</v>
      </c>
      <c r="H3409" t="s">
        <v>1865</v>
      </c>
      <c r="I3409" s="403" t="s">
        <v>131</v>
      </c>
      <c r="K3409" s="370"/>
      <c r="N3409" s="370"/>
    </row>
    <row r="3410" spans="1:14" s="347" customFormat="1" x14ac:dyDescent="0.25">
      <c r="A3410" s="369">
        <f>+A3409</f>
        <v>44403</v>
      </c>
      <c r="B3410" s="347">
        <f>+MONTH(A3410)</f>
        <v>7</v>
      </c>
      <c r="C3410" s="347">
        <v>3210</v>
      </c>
      <c r="D3410" s="340" t="str">
        <f>VLOOKUP(C3410,Plan!A:B,2,0)</f>
        <v>Donacion Construccion</v>
      </c>
      <c r="E3410" s="341">
        <f>+F3410-G3410</f>
        <v>-3000000</v>
      </c>
      <c r="F3410" s="405">
        <v>0</v>
      </c>
      <c r="G3410" s="405">
        <f>+F3409</f>
        <v>3000000</v>
      </c>
      <c r="H3410" t="str">
        <f>+H3409</f>
        <v>Héctor Manuel Gómez Brain / Azul</v>
      </c>
      <c r="I3410" s="403" t="s">
        <v>131</v>
      </c>
      <c r="K3410" s="370"/>
      <c r="N3410" s="370"/>
    </row>
    <row r="3411" spans="1:14" s="347" customFormat="1" x14ac:dyDescent="0.25">
      <c r="A3411" s="369"/>
      <c r="E3411" s="396"/>
      <c r="F3411" s="396"/>
      <c r="G3411" s="396"/>
      <c r="K3411" s="370"/>
      <c r="N3411" s="370"/>
    </row>
    <row r="3412" spans="1:14" s="347" customFormat="1" x14ac:dyDescent="0.25">
      <c r="A3412" s="369">
        <v>44403</v>
      </c>
      <c r="B3412" s="347">
        <f>+MONTH(A3412)</f>
        <v>7</v>
      </c>
      <c r="C3412" s="347">
        <v>115</v>
      </c>
      <c r="D3412" s="340" t="str">
        <f>VLOOKUP(C3412,Plan!A:B,2,0)</f>
        <v>Disponible Cali B.Chile</v>
      </c>
      <c r="E3412" s="341">
        <f>+F3412-G3412</f>
        <v>10000</v>
      </c>
      <c r="F3412" s="405">
        <v>10000</v>
      </c>
      <c r="G3412" s="405">
        <v>0</v>
      </c>
      <c r="H3412" t="s">
        <v>1036</v>
      </c>
      <c r="I3412" s="403" t="s">
        <v>131</v>
      </c>
      <c r="K3412" s="370"/>
      <c r="N3412" s="370"/>
    </row>
    <row r="3413" spans="1:14" s="347" customFormat="1" x14ac:dyDescent="0.25">
      <c r="A3413" s="369">
        <f>+A3412</f>
        <v>44403</v>
      </c>
      <c r="B3413" s="347">
        <f>+MONTH(A3413)</f>
        <v>7</v>
      </c>
      <c r="C3413" s="347">
        <v>3210</v>
      </c>
      <c r="D3413" s="340" t="str">
        <f>VLOOKUP(C3413,Plan!A:B,2,0)</f>
        <v>Donacion Construccion</v>
      </c>
      <c r="E3413" s="341">
        <f>+F3413-G3413</f>
        <v>-10000</v>
      </c>
      <c r="F3413" s="405">
        <v>0</v>
      </c>
      <c r="G3413" s="405">
        <f>+F3412</f>
        <v>10000</v>
      </c>
      <c r="H3413" t="str">
        <f>+H3412</f>
        <v>Francisco Sanhueza /Azul</v>
      </c>
      <c r="I3413" s="403" t="s">
        <v>131</v>
      </c>
      <c r="K3413" s="370"/>
      <c r="N3413" s="370"/>
    </row>
    <row r="3414" spans="1:14" s="347" customFormat="1" x14ac:dyDescent="0.25">
      <c r="A3414" s="369"/>
      <c r="E3414" s="396"/>
      <c r="F3414" s="396"/>
      <c r="G3414" s="396"/>
      <c r="K3414" s="370"/>
      <c r="N3414" s="370"/>
    </row>
    <row r="3415" spans="1:14" s="347" customFormat="1" x14ac:dyDescent="0.25">
      <c r="A3415" s="369">
        <v>44403</v>
      </c>
      <c r="B3415" s="347">
        <f>+MONTH(A3415)</f>
        <v>7</v>
      </c>
      <c r="C3415" s="347">
        <v>115</v>
      </c>
      <c r="D3415" s="340" t="str">
        <f>VLOOKUP(C3415,Plan!A:B,2,0)</f>
        <v>Disponible Cali B.Chile</v>
      </c>
      <c r="E3415" s="341">
        <f>+F3415-G3415</f>
        <v>400000</v>
      </c>
      <c r="F3415" s="405">
        <v>400000</v>
      </c>
      <c r="G3415" s="405">
        <v>0</v>
      </c>
      <c r="H3415" t="s">
        <v>1041</v>
      </c>
      <c r="I3415" s="403" t="s">
        <v>131</v>
      </c>
      <c r="K3415" s="370"/>
      <c r="N3415" s="370"/>
    </row>
    <row r="3416" spans="1:14" s="347" customFormat="1" x14ac:dyDescent="0.25">
      <c r="A3416" s="369">
        <f>+A3415</f>
        <v>44403</v>
      </c>
      <c r="B3416" s="347">
        <f>+MONTH(A3416)</f>
        <v>7</v>
      </c>
      <c r="C3416" s="347">
        <v>3210</v>
      </c>
      <c r="D3416" s="340" t="str">
        <f>VLOOKUP(C3416,Plan!A:B,2,0)</f>
        <v>Donacion Construccion</v>
      </c>
      <c r="E3416" s="341">
        <f>+F3416-G3416</f>
        <v>-400000</v>
      </c>
      <c r="F3416" s="405">
        <v>0</v>
      </c>
      <c r="G3416" s="405">
        <f>+F3415</f>
        <v>400000</v>
      </c>
      <c r="H3416" t="str">
        <f>+H3415</f>
        <v>Joaquín Izcue Elgart / Azul</v>
      </c>
      <c r="I3416" s="403" t="s">
        <v>131</v>
      </c>
      <c r="K3416" s="370"/>
      <c r="N3416" s="370"/>
    </row>
    <row r="3417" spans="1:14" s="347" customFormat="1" x14ac:dyDescent="0.25">
      <c r="A3417" s="369"/>
      <c r="E3417" s="396"/>
      <c r="F3417" s="396"/>
      <c r="G3417" s="396"/>
      <c r="K3417" s="370"/>
      <c r="N3417" s="370"/>
    </row>
    <row r="3418" spans="1:14" s="347" customFormat="1" x14ac:dyDescent="0.25">
      <c r="A3418" s="369">
        <v>44403</v>
      </c>
      <c r="B3418" s="347">
        <f>+MONTH(A3418)</f>
        <v>7</v>
      </c>
      <c r="C3418" s="347">
        <v>115</v>
      </c>
      <c r="D3418" s="340" t="str">
        <f>VLOOKUP(C3418,Plan!A:B,2,0)</f>
        <v>Disponible Cali B.Chile</v>
      </c>
      <c r="E3418" s="341">
        <f>+F3418-G3418</f>
        <v>30000</v>
      </c>
      <c r="F3418" s="405">
        <v>30000</v>
      </c>
      <c r="G3418" s="405">
        <v>0</v>
      </c>
      <c r="H3418" s="338" t="s">
        <v>1687</v>
      </c>
      <c r="I3418" s="403" t="s">
        <v>131</v>
      </c>
      <c r="K3418" s="370"/>
      <c r="N3418" s="370"/>
    </row>
    <row r="3419" spans="1:14" s="347" customFormat="1" x14ac:dyDescent="0.25">
      <c r="A3419" s="369">
        <f>+A3418</f>
        <v>44403</v>
      </c>
      <c r="B3419" s="347">
        <f>+MONTH(A3419)</f>
        <v>7</v>
      </c>
      <c r="C3419" s="347">
        <v>1216</v>
      </c>
      <c r="D3419" s="340" t="str">
        <f>VLOOKUP(C3419,Plan!A:B,2,0)</f>
        <v>Otros Valores Recaudadoras</v>
      </c>
      <c r="E3419" s="341">
        <f>+F3419-G3419</f>
        <v>-30000</v>
      </c>
      <c r="F3419" s="405">
        <v>0</v>
      </c>
      <c r="G3419" s="405">
        <f>+F3418</f>
        <v>30000</v>
      </c>
      <c r="H3419" s="338" t="s">
        <v>1687</v>
      </c>
      <c r="I3419" s="403" t="s">
        <v>131</v>
      </c>
      <c r="K3419" s="370"/>
      <c r="N3419" s="370"/>
    </row>
    <row r="3420" spans="1:14" s="347" customFormat="1" x14ac:dyDescent="0.25">
      <c r="A3420" s="369"/>
      <c r="E3420" s="396"/>
      <c r="F3420" s="396"/>
      <c r="G3420" s="396"/>
      <c r="K3420" s="370"/>
      <c r="N3420" s="370"/>
    </row>
    <row r="3421" spans="1:14" s="347" customFormat="1" x14ac:dyDescent="0.25">
      <c r="A3421" s="369">
        <v>44403</v>
      </c>
      <c r="B3421" s="347">
        <f>+MONTH(A3421)</f>
        <v>7</v>
      </c>
      <c r="C3421" s="347">
        <v>115</v>
      </c>
      <c r="D3421" s="340" t="str">
        <f>VLOOKUP(C3421,Plan!A:B,2,0)</f>
        <v>Disponible Cali B.Chile</v>
      </c>
      <c r="E3421" s="341">
        <f>+F3421-G3421</f>
        <v>60000</v>
      </c>
      <c r="F3421" s="405">
        <v>60000</v>
      </c>
      <c r="G3421" s="405">
        <v>0</v>
      </c>
      <c r="H3421" s="338" t="s">
        <v>1687</v>
      </c>
      <c r="I3421" s="403" t="s">
        <v>131</v>
      </c>
      <c r="K3421" s="370"/>
      <c r="N3421" s="370"/>
    </row>
    <row r="3422" spans="1:14" s="347" customFormat="1" x14ac:dyDescent="0.25">
      <c r="A3422" s="369">
        <f>+A3421</f>
        <v>44403</v>
      </c>
      <c r="B3422" s="347">
        <f>+MONTH(A3422)</f>
        <v>7</v>
      </c>
      <c r="C3422" s="347">
        <v>1216</v>
      </c>
      <c r="D3422" s="340" t="str">
        <f>VLOOKUP(C3422,Plan!A:B,2,0)</f>
        <v>Otros Valores Recaudadoras</v>
      </c>
      <c r="E3422" s="341">
        <f>+F3422-G3422</f>
        <v>-60000</v>
      </c>
      <c r="F3422" s="405">
        <v>0</v>
      </c>
      <c r="G3422" s="405">
        <f>+F3421</f>
        <v>60000</v>
      </c>
      <c r="H3422" s="338" t="s">
        <v>1687</v>
      </c>
      <c r="I3422" s="403" t="s">
        <v>131</v>
      </c>
      <c r="K3422" s="370"/>
      <c r="N3422" s="370"/>
    </row>
    <row r="3423" spans="1:14" s="347" customFormat="1" x14ac:dyDescent="0.25">
      <c r="A3423" s="369"/>
      <c r="E3423" s="396"/>
      <c r="F3423" s="396"/>
      <c r="G3423" s="396"/>
      <c r="K3423" s="370"/>
      <c r="N3423" s="370"/>
    </row>
    <row r="3424" spans="1:14" s="347" customFormat="1" x14ac:dyDescent="0.25">
      <c r="A3424" s="369">
        <v>44404</v>
      </c>
      <c r="B3424" s="347">
        <f>+MONTH(A3424)</f>
        <v>7</v>
      </c>
      <c r="C3424" s="347">
        <v>115</v>
      </c>
      <c r="D3424" s="340" t="str">
        <f>VLOOKUP(C3424,Plan!A:B,2,0)</f>
        <v>Disponible Cali B.Chile</v>
      </c>
      <c r="E3424" s="341">
        <f>+F3424-G3424</f>
        <v>11350968</v>
      </c>
      <c r="F3424" s="405">
        <v>11350968</v>
      </c>
      <c r="G3424" s="405">
        <v>0</v>
      </c>
      <c r="H3424" t="s">
        <v>1868</v>
      </c>
      <c r="I3424" s="403" t="s">
        <v>131</v>
      </c>
      <c r="K3424" s="370"/>
      <c r="N3424" s="370"/>
    </row>
    <row r="3425" spans="1:14" s="347" customFormat="1" x14ac:dyDescent="0.25">
      <c r="A3425" s="369">
        <f>+A3424</f>
        <v>44404</v>
      </c>
      <c r="B3425" s="347">
        <f>+MONTH(A3425)</f>
        <v>7</v>
      </c>
      <c r="C3425" s="347">
        <v>1218</v>
      </c>
      <c r="D3425" s="340" t="str">
        <f>VLOOKUP(C3425,Plan!A:B,2,0)</f>
        <v>Otros Valores Tarjeta de Credito</v>
      </c>
      <c r="E3425" s="341">
        <f>+F3425-G3425</f>
        <v>-11350968</v>
      </c>
      <c r="F3425" s="405">
        <v>0</v>
      </c>
      <c r="G3425" s="405">
        <f>+F3424</f>
        <v>11350968</v>
      </c>
      <c r="H3425" t="str">
        <f>+H3424</f>
        <v>Abono Transbank 248 y 249 julio 2021</v>
      </c>
      <c r="I3425" s="403" t="s">
        <v>131</v>
      </c>
      <c r="K3425" s="370"/>
      <c r="N3425" s="370"/>
    </row>
    <row r="3426" spans="1:14" s="347" customFormat="1" x14ac:dyDescent="0.25">
      <c r="A3426" s="369"/>
      <c r="E3426" s="396"/>
      <c r="F3426" s="396"/>
      <c r="G3426" s="396"/>
      <c r="K3426" s="370"/>
      <c r="N3426" s="370"/>
    </row>
    <row r="3427" spans="1:14" s="347" customFormat="1" x14ac:dyDescent="0.25">
      <c r="A3427" s="369">
        <v>44405</v>
      </c>
      <c r="B3427" s="347">
        <f>+MONTH(A3427)</f>
        <v>7</v>
      </c>
      <c r="C3427" s="347">
        <v>115</v>
      </c>
      <c r="D3427" s="340" t="str">
        <f>VLOOKUP(C3427,Plan!A:B,2,0)</f>
        <v>Disponible Cali B.Chile</v>
      </c>
      <c r="E3427" s="341">
        <f>+F3427-G3427</f>
        <v>2194728</v>
      </c>
      <c r="F3427" s="405">
        <v>2194728</v>
      </c>
      <c r="G3427" s="405">
        <v>0</v>
      </c>
      <c r="H3427" t="s">
        <v>1869</v>
      </c>
      <c r="I3427" s="403" t="s">
        <v>131</v>
      </c>
      <c r="K3427" s="370"/>
      <c r="N3427" s="370"/>
    </row>
    <row r="3428" spans="1:14" s="347" customFormat="1" x14ac:dyDescent="0.25">
      <c r="A3428" s="369">
        <f>+A3427</f>
        <v>44405</v>
      </c>
      <c r="B3428" s="347">
        <f>+MONTH(A3428)</f>
        <v>7</v>
      </c>
      <c r="C3428" s="347">
        <v>1219</v>
      </c>
      <c r="D3428" s="340" t="str">
        <f>VLOOKUP(C3428,Plan!A:B,2,0)</f>
        <v>Otros Valores Arzobispado (248)</v>
      </c>
      <c r="E3428" s="341">
        <f>+F3428-G3428</f>
        <v>-2194728</v>
      </c>
      <c r="F3428" s="405">
        <v>0</v>
      </c>
      <c r="G3428" s="405">
        <f>+F3427</f>
        <v>2194728</v>
      </c>
      <c r="H3428" t="str">
        <f>+H3427</f>
        <v>Arzobispado de Stgo Junio / 248</v>
      </c>
      <c r="I3428" s="403" t="s">
        <v>131</v>
      </c>
      <c r="K3428" s="370"/>
      <c r="N3428" s="370"/>
    </row>
    <row r="3429" spans="1:14" s="347" customFormat="1" x14ac:dyDescent="0.25">
      <c r="A3429" s="369"/>
      <c r="E3429" s="396"/>
      <c r="F3429" s="396"/>
      <c r="G3429" s="396"/>
      <c r="K3429" s="370"/>
      <c r="N3429" s="370"/>
    </row>
    <row r="3430" spans="1:14" s="347" customFormat="1" x14ac:dyDescent="0.25">
      <c r="A3430" s="369">
        <v>44405</v>
      </c>
      <c r="B3430" s="347">
        <f>+MONTH(A3430)</f>
        <v>7</v>
      </c>
      <c r="C3430" s="347">
        <v>115</v>
      </c>
      <c r="D3430" s="340" t="str">
        <f>VLOOKUP(C3430,Plan!A:B,2,0)</f>
        <v>Disponible Cali B.Chile</v>
      </c>
      <c r="E3430" s="341">
        <f>+F3430-G3430</f>
        <v>1930483</v>
      </c>
      <c r="F3430" s="405">
        <v>1930483</v>
      </c>
      <c r="G3430" s="405">
        <v>0</v>
      </c>
      <c r="H3430" t="s">
        <v>1870</v>
      </c>
      <c r="I3430" s="403" t="s">
        <v>131</v>
      </c>
      <c r="K3430" s="370"/>
      <c r="N3430" s="370"/>
    </row>
    <row r="3431" spans="1:14" s="347" customFormat="1" x14ac:dyDescent="0.25">
      <c r="A3431" s="369">
        <f>+A3430</f>
        <v>44405</v>
      </c>
      <c r="B3431" s="347">
        <f>+MONTH(A3431)</f>
        <v>7</v>
      </c>
      <c r="C3431" s="347">
        <v>1220</v>
      </c>
      <c r="D3431" s="340" t="str">
        <f>VLOOKUP(C3431,Plan!A:B,2,0)</f>
        <v>Otros Valores Arzobispado (249)</v>
      </c>
      <c r="E3431" s="341">
        <f>+F3431-G3431</f>
        <v>-1930483</v>
      </c>
      <c r="F3431" s="405">
        <v>0</v>
      </c>
      <c r="G3431" s="405">
        <f>+F3430</f>
        <v>1930483</v>
      </c>
      <c r="H3431" t="str">
        <f>+H3430</f>
        <v>Arzobispado de Stgo Junio / 249</v>
      </c>
      <c r="I3431" s="403" t="s">
        <v>131</v>
      </c>
      <c r="K3431" s="370"/>
      <c r="N3431" s="370"/>
    </row>
    <row r="3432" spans="1:14" s="347" customFormat="1" x14ac:dyDescent="0.25">
      <c r="A3432" s="369"/>
      <c r="E3432" s="396"/>
      <c r="F3432" s="396"/>
      <c r="G3432" s="396"/>
      <c r="K3432" s="370"/>
      <c r="N3432" s="370"/>
    </row>
    <row r="3433" spans="1:14" s="347" customFormat="1" x14ac:dyDescent="0.25">
      <c r="A3433" s="369">
        <v>44405</v>
      </c>
      <c r="B3433" s="347">
        <f>+MONTH(A3433)</f>
        <v>7</v>
      </c>
      <c r="C3433" s="347">
        <v>115</v>
      </c>
      <c r="D3433" s="340" t="str">
        <f>VLOOKUP(C3433,Plan!A:B,2,0)</f>
        <v>Disponible Cali B.Chile</v>
      </c>
      <c r="E3433" s="341">
        <f>+F3433-G3433</f>
        <v>73000</v>
      </c>
      <c r="F3433" s="405">
        <v>73000</v>
      </c>
      <c r="G3433" s="405">
        <v>0</v>
      </c>
      <c r="H3433" t="s">
        <v>1050</v>
      </c>
      <c r="I3433" s="403" t="s">
        <v>131</v>
      </c>
      <c r="K3433" s="370"/>
      <c r="N3433" s="370"/>
    </row>
    <row r="3434" spans="1:14" s="347" customFormat="1" x14ac:dyDescent="0.25">
      <c r="A3434" s="369">
        <f>+A3433</f>
        <v>44405</v>
      </c>
      <c r="B3434" s="347">
        <f>+MONTH(A3434)</f>
        <v>7</v>
      </c>
      <c r="C3434" s="347">
        <v>3210</v>
      </c>
      <c r="D3434" s="340" t="str">
        <f>VLOOKUP(C3434,Plan!A:B,2,0)</f>
        <v>Donacion Construccion</v>
      </c>
      <c r="E3434" s="341">
        <f>+F3434-G3434</f>
        <v>-73000</v>
      </c>
      <c r="F3434" s="405">
        <v>0</v>
      </c>
      <c r="G3434" s="405">
        <f>+F3433</f>
        <v>73000</v>
      </c>
      <c r="H3434" t="str">
        <f>+H3433</f>
        <v>Matías Silva Olmos / Azul</v>
      </c>
      <c r="I3434" s="403" t="s">
        <v>131</v>
      </c>
      <c r="K3434" s="370"/>
      <c r="N3434" s="370"/>
    </row>
    <row r="3435" spans="1:14" s="347" customFormat="1" x14ac:dyDescent="0.25">
      <c r="A3435" s="369"/>
      <c r="E3435" s="396"/>
      <c r="F3435" s="396"/>
      <c r="G3435" s="396"/>
      <c r="K3435" s="370"/>
      <c r="N3435" s="370"/>
    </row>
    <row r="3436" spans="1:14" s="347" customFormat="1" x14ac:dyDescent="0.25">
      <c r="A3436" s="369">
        <v>44405</v>
      </c>
      <c r="B3436" s="347">
        <f>+MONTH(A3436)</f>
        <v>7</v>
      </c>
      <c r="C3436" s="347">
        <v>115</v>
      </c>
      <c r="D3436" s="340" t="str">
        <f>VLOOKUP(C3436,Plan!A:B,2,0)</f>
        <v>Disponible Cali B.Chile</v>
      </c>
      <c r="E3436" s="341">
        <f>+F3436-G3436</f>
        <v>10000</v>
      </c>
      <c r="F3436" s="405">
        <v>10000</v>
      </c>
      <c r="G3436" s="405">
        <v>0</v>
      </c>
      <c r="H3436" t="s">
        <v>1045</v>
      </c>
      <c r="I3436" s="403" t="s">
        <v>131</v>
      </c>
      <c r="K3436" s="370"/>
      <c r="N3436" s="370"/>
    </row>
    <row r="3437" spans="1:14" s="347" customFormat="1" x14ac:dyDescent="0.25">
      <c r="A3437" s="369">
        <f>+A3436</f>
        <v>44405</v>
      </c>
      <c r="B3437" s="347">
        <f>+MONTH(A3437)</f>
        <v>7</v>
      </c>
      <c r="C3437" s="347">
        <v>1222</v>
      </c>
      <c r="D3437" s="340" t="str">
        <f>VLOOKUP(C3437,Plan!A:B,2,0)</f>
        <v>Otros Valores -Oficina y Transferencias (249)</v>
      </c>
      <c r="E3437" s="341">
        <f>+F3437-G3437</f>
        <v>-10000</v>
      </c>
      <c r="F3437" s="405">
        <v>0</v>
      </c>
      <c r="G3437" s="405">
        <f>+F3436</f>
        <v>10000</v>
      </c>
      <c r="H3437" t="str">
        <f>+H3436</f>
        <v>Isabel Margarita Guarda Larrañaga/249</v>
      </c>
      <c r="I3437" s="403" t="s">
        <v>131</v>
      </c>
      <c r="K3437" s="370"/>
      <c r="N3437" s="370"/>
    </row>
    <row r="3438" spans="1:14" s="347" customFormat="1" x14ac:dyDescent="0.25">
      <c r="A3438" s="369"/>
      <c r="E3438" s="396"/>
      <c r="F3438" s="396"/>
      <c r="G3438" s="396"/>
      <c r="K3438" s="370"/>
      <c r="N3438" s="370"/>
    </row>
    <row r="3439" spans="1:14" s="347" customFormat="1" x14ac:dyDescent="0.25">
      <c r="A3439" s="369">
        <v>44405</v>
      </c>
      <c r="B3439" s="347">
        <f>+MONTH(A3439)</f>
        <v>7</v>
      </c>
      <c r="C3439" s="347">
        <v>115</v>
      </c>
      <c r="D3439" s="340" t="str">
        <f>VLOOKUP(C3439,Plan!A:B,2,0)</f>
        <v>Disponible Cali B.Chile</v>
      </c>
      <c r="E3439" s="341">
        <f>+F3439-G3439</f>
        <v>20000</v>
      </c>
      <c r="F3439" s="405">
        <v>20000</v>
      </c>
      <c r="G3439" s="405">
        <v>0</v>
      </c>
      <c r="H3439" t="s">
        <v>1046</v>
      </c>
      <c r="I3439" s="403" t="s">
        <v>131</v>
      </c>
      <c r="K3439" s="370"/>
      <c r="N3439" s="370"/>
    </row>
    <row r="3440" spans="1:14" s="347" customFormat="1" x14ac:dyDescent="0.25">
      <c r="A3440" s="369">
        <f>+A3439</f>
        <v>44405</v>
      </c>
      <c r="B3440" s="347">
        <f>+MONTH(A3440)</f>
        <v>7</v>
      </c>
      <c r="C3440" s="347">
        <v>216</v>
      </c>
      <c r="D3440" s="340" t="str">
        <f>VLOOKUP(C3440,Plan!A:B,2,0)</f>
        <v>Cuenta por Pagar a Administración Colectas</v>
      </c>
      <c r="E3440" s="341">
        <f>+F3440-G3440</f>
        <v>-20000</v>
      </c>
      <c r="F3440" s="405">
        <v>0</v>
      </c>
      <c r="G3440" s="405">
        <f>+F3439</f>
        <v>20000</v>
      </c>
      <c r="H3440" t="str">
        <f>+H3439</f>
        <v>Colecta Jorge Claude</v>
      </c>
      <c r="I3440" s="403" t="s">
        <v>131</v>
      </c>
      <c r="K3440" s="370"/>
      <c r="N3440" s="370"/>
    </row>
    <row r="3441" spans="1:14" s="347" customFormat="1" x14ac:dyDescent="0.25">
      <c r="A3441" s="369"/>
      <c r="E3441" s="396"/>
      <c r="F3441" s="396"/>
      <c r="G3441" s="396"/>
      <c r="K3441" s="370"/>
      <c r="N3441" s="370"/>
    </row>
    <row r="3442" spans="1:14" s="347" customFormat="1" x14ac:dyDescent="0.25">
      <c r="A3442" s="369">
        <v>44405</v>
      </c>
      <c r="B3442" s="347">
        <f>+MONTH(A3442)</f>
        <v>7</v>
      </c>
      <c r="C3442" s="347">
        <v>115</v>
      </c>
      <c r="D3442" s="340" t="str">
        <f>VLOOKUP(C3442,Plan!A:B,2,0)</f>
        <v>Disponible Cali B.Chile</v>
      </c>
      <c r="E3442" s="341">
        <f>+F3442-G3442</f>
        <v>125000</v>
      </c>
      <c r="F3442" s="405">
        <v>125000</v>
      </c>
      <c r="G3442" s="405">
        <v>0</v>
      </c>
      <c r="H3442" t="s">
        <v>967</v>
      </c>
      <c r="I3442" s="403" t="s">
        <v>131</v>
      </c>
      <c r="K3442" s="370"/>
      <c r="N3442" s="370"/>
    </row>
    <row r="3443" spans="1:14" s="347" customFormat="1" x14ac:dyDescent="0.25">
      <c r="A3443" s="369">
        <f>+A3442</f>
        <v>44405</v>
      </c>
      <c r="B3443" s="347">
        <f>+MONTH(A3443)</f>
        <v>7</v>
      </c>
      <c r="C3443" s="347">
        <v>3210</v>
      </c>
      <c r="D3443" s="340" t="str">
        <f>VLOOKUP(C3443,Plan!A:B,2,0)</f>
        <v>Donacion Construccion</v>
      </c>
      <c r="E3443" s="341">
        <f>+F3443-G3443</f>
        <v>-125000</v>
      </c>
      <c r="F3443" s="405">
        <v>0</v>
      </c>
      <c r="G3443" s="405">
        <f>+F3442</f>
        <v>125000</v>
      </c>
      <c r="H3443" t="str">
        <f>+H3442</f>
        <v>Henry Comber Sigall / Azul</v>
      </c>
      <c r="I3443" s="403" t="s">
        <v>131</v>
      </c>
      <c r="K3443" s="370"/>
      <c r="N3443" s="370"/>
    </row>
    <row r="3444" spans="1:14" s="347" customFormat="1" x14ac:dyDescent="0.25">
      <c r="A3444" s="369"/>
      <c r="E3444" s="396"/>
      <c r="F3444" s="396"/>
      <c r="G3444" s="396"/>
      <c r="K3444" s="370"/>
      <c r="N3444" s="370"/>
    </row>
    <row r="3445" spans="1:14" s="347" customFormat="1" x14ac:dyDescent="0.25">
      <c r="A3445" s="369">
        <v>44405</v>
      </c>
      <c r="B3445" s="347">
        <f>+MONTH(A3445)</f>
        <v>7</v>
      </c>
      <c r="C3445" s="347">
        <v>115</v>
      </c>
      <c r="D3445" s="340" t="str">
        <f>VLOOKUP(C3445,Plan!A:B,2,0)</f>
        <v>Disponible Cali B.Chile</v>
      </c>
      <c r="E3445" s="341">
        <f>+F3445-G3445</f>
        <v>100000</v>
      </c>
      <c r="F3445" s="405">
        <v>100000</v>
      </c>
      <c r="G3445" s="405">
        <v>0</v>
      </c>
      <c r="H3445" s="155" t="s">
        <v>1871</v>
      </c>
      <c r="I3445" s="403" t="s">
        <v>131</v>
      </c>
      <c r="K3445" s="370"/>
      <c r="N3445" s="370"/>
    </row>
    <row r="3446" spans="1:14" s="347" customFormat="1" x14ac:dyDescent="0.25">
      <c r="A3446" s="369">
        <f>+A3445</f>
        <v>44405</v>
      </c>
      <c r="B3446" s="347">
        <f>+MONTH(A3446)</f>
        <v>7</v>
      </c>
      <c r="C3446" s="347">
        <v>3210</v>
      </c>
      <c r="D3446" s="340" t="str">
        <f>VLOOKUP(C3446,Plan!A:B,2,0)</f>
        <v>Donacion Construccion</v>
      </c>
      <c r="E3446" s="341">
        <f>+F3446-G3446</f>
        <v>-100000</v>
      </c>
      <c r="F3446" s="405">
        <v>0</v>
      </c>
      <c r="G3446" s="405">
        <f>+F3445</f>
        <v>100000</v>
      </c>
      <c r="H3446" t="str">
        <f>+H3445</f>
        <v>Ana María Balmaceda Ovalle / Azul</v>
      </c>
      <c r="I3446" s="403" t="s">
        <v>131</v>
      </c>
      <c r="K3446" s="370"/>
      <c r="N3446" s="370"/>
    </row>
    <row r="3447" spans="1:14" s="347" customFormat="1" x14ac:dyDescent="0.25">
      <c r="A3447" s="369"/>
      <c r="E3447" s="396"/>
      <c r="F3447" s="396"/>
      <c r="G3447" s="396"/>
      <c r="K3447" s="370"/>
      <c r="N3447" s="370"/>
    </row>
    <row r="3448" spans="1:14" s="347" customFormat="1" x14ac:dyDescent="0.25">
      <c r="A3448" s="369">
        <v>44405</v>
      </c>
      <c r="B3448" s="347">
        <f>+MONTH(A3448)</f>
        <v>7</v>
      </c>
      <c r="C3448" s="347">
        <v>115</v>
      </c>
      <c r="D3448" s="340" t="str">
        <f>VLOOKUP(C3448,Plan!A:B,2,0)</f>
        <v>Disponible Cali B.Chile</v>
      </c>
      <c r="E3448" s="341">
        <f>+F3448-G3448</f>
        <v>30000</v>
      </c>
      <c r="F3448" s="405">
        <v>30000</v>
      </c>
      <c r="G3448" s="405">
        <v>0</v>
      </c>
      <c r="H3448" s="155" t="s">
        <v>1872</v>
      </c>
      <c r="I3448" s="403" t="s">
        <v>131</v>
      </c>
      <c r="K3448" s="370"/>
      <c r="N3448" s="370"/>
    </row>
    <row r="3449" spans="1:14" s="347" customFormat="1" x14ac:dyDescent="0.25">
      <c r="A3449" s="369">
        <f>+A3448</f>
        <v>44405</v>
      </c>
      <c r="B3449" s="347">
        <f>+MONTH(A3449)</f>
        <v>7</v>
      </c>
      <c r="C3449" s="347">
        <v>3210</v>
      </c>
      <c r="D3449" s="340" t="str">
        <f>VLOOKUP(C3449,Plan!A:B,2,0)</f>
        <v>Donacion Construccion</v>
      </c>
      <c r="E3449" s="341">
        <f>+F3449-G3449</f>
        <v>-30000</v>
      </c>
      <c r="F3449" s="405">
        <v>0</v>
      </c>
      <c r="G3449" s="405">
        <f>+F3448</f>
        <v>30000</v>
      </c>
      <c r="H3449" t="str">
        <f>+H3448</f>
        <v>Clemencia Cecilia Gómez Pérez / Azul</v>
      </c>
      <c r="I3449" s="403" t="s">
        <v>131</v>
      </c>
      <c r="K3449" s="370"/>
      <c r="N3449" s="370"/>
    </row>
    <row r="3450" spans="1:14" s="347" customFormat="1" x14ac:dyDescent="0.25">
      <c r="A3450" s="369"/>
      <c r="E3450" s="396"/>
      <c r="F3450" s="396"/>
      <c r="G3450" s="396"/>
      <c r="K3450" s="370"/>
      <c r="N3450" s="370"/>
    </row>
    <row r="3451" spans="1:14" s="347" customFormat="1" x14ac:dyDescent="0.25">
      <c r="A3451" s="369">
        <v>44406</v>
      </c>
      <c r="B3451" s="347">
        <f>+MONTH(A3451)</f>
        <v>7</v>
      </c>
      <c r="C3451" s="347">
        <v>115</v>
      </c>
      <c r="D3451" s="340" t="str">
        <f>VLOOKUP(C3451,Plan!A:B,2,0)</f>
        <v>Disponible Cali B.Chile</v>
      </c>
      <c r="E3451" s="341">
        <f>+F3451-G3451</f>
        <v>1675000</v>
      </c>
      <c r="F3451" s="405">
        <v>1675000</v>
      </c>
      <c r="G3451" s="405">
        <v>0</v>
      </c>
      <c r="H3451" t="s">
        <v>1865</v>
      </c>
      <c r="I3451" s="403" t="s">
        <v>131</v>
      </c>
      <c r="K3451" s="370"/>
      <c r="N3451" s="370"/>
    </row>
    <row r="3452" spans="1:14" s="347" customFormat="1" x14ac:dyDescent="0.25">
      <c r="A3452" s="369">
        <f>+A3451</f>
        <v>44406</v>
      </c>
      <c r="B3452" s="347">
        <f>+MONTH(A3452)</f>
        <v>7</v>
      </c>
      <c r="C3452" s="347">
        <v>3210</v>
      </c>
      <c r="D3452" s="340" t="str">
        <f>VLOOKUP(C3452,Plan!A:B,2,0)</f>
        <v>Donacion Construccion</v>
      </c>
      <c r="E3452" s="341">
        <f>+F3452-G3452</f>
        <v>-1675000</v>
      </c>
      <c r="F3452" s="405">
        <v>0</v>
      </c>
      <c r="G3452" s="405">
        <f>+F3451</f>
        <v>1675000</v>
      </c>
      <c r="H3452" t="str">
        <f>+H3451</f>
        <v>Héctor Manuel Gómez Brain / Azul</v>
      </c>
      <c r="I3452" s="403" t="s">
        <v>131</v>
      </c>
      <c r="K3452" s="370"/>
      <c r="N3452" s="370"/>
    </row>
    <row r="3453" spans="1:14" s="347" customFormat="1" x14ac:dyDescent="0.25">
      <c r="A3453" s="369"/>
      <c r="E3453" s="396"/>
      <c r="F3453" s="396"/>
      <c r="G3453" s="396"/>
      <c r="K3453" s="370"/>
      <c r="N3453" s="370"/>
    </row>
    <row r="3454" spans="1:14" s="347" customFormat="1" x14ac:dyDescent="0.25">
      <c r="A3454" s="369">
        <v>44406</v>
      </c>
      <c r="B3454" s="347">
        <f>+MONTH(A3454)</f>
        <v>7</v>
      </c>
      <c r="C3454" s="347">
        <v>115</v>
      </c>
      <c r="D3454" s="340" t="str">
        <f>VLOOKUP(C3454,Plan!A:B,2,0)</f>
        <v>Disponible Cali B.Chile</v>
      </c>
      <c r="E3454" s="341">
        <f>+F3454-G3454</f>
        <v>15000</v>
      </c>
      <c r="F3454" s="405">
        <v>15000</v>
      </c>
      <c r="G3454" s="405">
        <v>0</v>
      </c>
      <c r="H3454" t="s">
        <v>968</v>
      </c>
      <c r="I3454" s="403" t="s">
        <v>131</v>
      </c>
    </row>
    <row r="3455" spans="1:14" s="347" customFormat="1" x14ac:dyDescent="0.25">
      <c r="A3455" s="369">
        <f>+A3454</f>
        <v>44406</v>
      </c>
      <c r="B3455" s="347">
        <f>+MONTH(A3455)</f>
        <v>7</v>
      </c>
      <c r="C3455" s="347">
        <v>3210</v>
      </c>
      <c r="D3455" s="340" t="str">
        <f>VLOOKUP(C3455,Plan!A:B,2,0)</f>
        <v>Donacion Construccion</v>
      </c>
      <c r="E3455" s="341">
        <f>+F3455-G3455</f>
        <v>-15000</v>
      </c>
      <c r="F3455" s="405">
        <v>0</v>
      </c>
      <c r="G3455" s="405">
        <f>+F3454</f>
        <v>15000</v>
      </c>
      <c r="H3455" t="str">
        <f>+H3454</f>
        <v xml:space="preserve">María del Pilar Herrera/ azul </v>
      </c>
      <c r="I3455" s="403" t="s">
        <v>131</v>
      </c>
      <c r="J3455" s="403" t="s">
        <v>588</v>
      </c>
      <c r="K3455" s="208" t="str">
        <f>IF(J3455&lt;&gt;"",VLOOKUP(J3455,'Libro De Compras 2021'!D:E,2,0),"")</f>
        <v>PROYECTOS Y CONSTRUCCIONES TASCO LIMITADA</v>
      </c>
      <c r="L3455">
        <v>2973</v>
      </c>
      <c r="N3455" s="370"/>
    </row>
    <row r="3456" spans="1:14" s="347" customFormat="1" x14ac:dyDescent="0.25">
      <c r="A3456" s="369"/>
      <c r="E3456" s="396"/>
      <c r="F3456" s="396"/>
      <c r="G3456" s="396"/>
      <c r="J3456" s="403" t="s">
        <v>588</v>
      </c>
      <c r="K3456" s="208" t="str">
        <f>IF(J3456&lt;&gt;"",VLOOKUP(J3456,'Libro De Compras 2021'!D:E,2,0),"")</f>
        <v>PROYECTOS Y CONSTRUCCIONES TASCO LIMITADA</v>
      </c>
      <c r="L3456" s="403">
        <f>+L3455</f>
        <v>2973</v>
      </c>
      <c r="N3456" s="370"/>
    </row>
    <row r="3457" spans="1:14" s="347" customFormat="1" x14ac:dyDescent="0.25">
      <c r="A3457" s="369">
        <v>44406</v>
      </c>
      <c r="B3457" s="347">
        <f>+MONTH(A3457)</f>
        <v>7</v>
      </c>
      <c r="C3457" s="347">
        <v>115</v>
      </c>
      <c r="D3457" s="340" t="str">
        <f>VLOOKUP(C3457,Plan!A:B,2,0)</f>
        <v>Disponible Cali B.Chile</v>
      </c>
      <c r="E3457" s="341">
        <f>+F3457-G3457</f>
        <v>40000</v>
      </c>
      <c r="F3457" s="405">
        <v>40000</v>
      </c>
      <c r="G3457" s="405">
        <v>0</v>
      </c>
      <c r="H3457" t="s">
        <v>1051</v>
      </c>
      <c r="I3457" s="403" t="s">
        <v>131</v>
      </c>
      <c r="J3457" s="403" t="s">
        <v>588</v>
      </c>
      <c r="K3457" s="208" t="str">
        <f>IF(J3457&lt;&gt;"",VLOOKUP(J3457,'Libro De Compras 2021'!D:E,2,0),"")</f>
        <v>PROYECTOS Y CONSTRUCCIONES TASCO LIMITADA</v>
      </c>
      <c r="L3457" s="403">
        <f>+L3456</f>
        <v>2973</v>
      </c>
      <c r="N3457" s="370"/>
    </row>
    <row r="3458" spans="1:14" s="347" customFormat="1" x14ac:dyDescent="0.25">
      <c r="A3458" s="369">
        <f>+A3457</f>
        <v>44406</v>
      </c>
      <c r="B3458" s="347">
        <f>+MONTH(A3458)</f>
        <v>7</v>
      </c>
      <c r="C3458" s="347">
        <v>3210</v>
      </c>
      <c r="D3458" s="340" t="str">
        <f>VLOOKUP(C3458,Plan!A:B,2,0)</f>
        <v>Donacion Construccion</v>
      </c>
      <c r="E3458" s="341">
        <f>+F3458-G3458</f>
        <v>-40000</v>
      </c>
      <c r="F3458" s="405">
        <v>0</v>
      </c>
      <c r="G3458" s="405">
        <f>+F3457</f>
        <v>40000</v>
      </c>
      <c r="H3458" t="str">
        <f>+H3457</f>
        <v>Pedro Vicuña Illanes / Azul</v>
      </c>
      <c r="I3458" s="403" t="s">
        <v>131</v>
      </c>
      <c r="J3458" s="403" t="s">
        <v>588</v>
      </c>
      <c r="K3458" s="208" t="str">
        <f>IF(J3458&lt;&gt;"",VLOOKUP(J3458,'Libro De Compras 2021'!D:E,2,0),"")</f>
        <v>PROYECTOS Y CONSTRUCCIONES TASCO LIMITADA</v>
      </c>
      <c r="L3458" s="403">
        <f>+L3457</f>
        <v>2973</v>
      </c>
      <c r="N3458" s="370"/>
    </row>
    <row r="3459" spans="1:14" s="347" customFormat="1" x14ac:dyDescent="0.25">
      <c r="A3459" s="369"/>
      <c r="E3459" s="396"/>
      <c r="F3459" s="396"/>
      <c r="G3459" s="396"/>
      <c r="K3459" s="370"/>
      <c r="N3459" s="370"/>
    </row>
    <row r="3460" spans="1:14" s="347" customFormat="1" x14ac:dyDescent="0.25">
      <c r="A3460" s="369">
        <v>44406</v>
      </c>
      <c r="B3460" s="347">
        <f>+MONTH(A3460)</f>
        <v>7</v>
      </c>
      <c r="C3460" s="347">
        <v>115</v>
      </c>
      <c r="D3460" s="340" t="str">
        <f>VLOOKUP(C3460,Plan!A:B,2,0)</f>
        <v>Disponible Cali B.Chile</v>
      </c>
      <c r="E3460" s="341">
        <f>+F3460-G3460</f>
        <v>60000</v>
      </c>
      <c r="F3460" s="405">
        <v>60000</v>
      </c>
      <c r="G3460" s="405">
        <v>0</v>
      </c>
      <c r="H3460" t="s">
        <v>1047</v>
      </c>
      <c r="I3460" s="403" t="s">
        <v>131</v>
      </c>
      <c r="J3460" t="s">
        <v>588</v>
      </c>
      <c r="K3460" t="s">
        <v>589</v>
      </c>
      <c r="L3460">
        <v>2973</v>
      </c>
      <c r="N3460" s="370"/>
    </row>
    <row r="3461" spans="1:14" s="347" customFormat="1" x14ac:dyDescent="0.25">
      <c r="A3461" s="369">
        <f>+A3460</f>
        <v>44406</v>
      </c>
      <c r="B3461" s="347">
        <f>+MONTH(A3461)</f>
        <v>7</v>
      </c>
      <c r="C3461" s="347">
        <v>1222</v>
      </c>
      <c r="D3461" s="340" t="str">
        <f>VLOOKUP(C3461,Plan!A:B,2,0)</f>
        <v>Otros Valores -Oficina y Transferencias (249)</v>
      </c>
      <c r="E3461" s="341">
        <f>+F3461-G3461</f>
        <v>-60000</v>
      </c>
      <c r="F3461" s="405">
        <v>0</v>
      </c>
      <c r="G3461" s="405">
        <f>+F3460</f>
        <v>60000</v>
      </c>
      <c r="H3461" t="str">
        <f>+H3460</f>
        <v>Carlos Lecaros Price / 249</v>
      </c>
      <c r="I3461" s="403" t="s">
        <v>131</v>
      </c>
      <c r="J3461" s="347" t="str">
        <f>+J3460</f>
        <v>80965500-8</v>
      </c>
      <c r="K3461" s="370" t="str">
        <f>+K3460</f>
        <v>PROYECTOS Y CONSTRUCCIONES TASCO LIMITADA</v>
      </c>
      <c r="L3461" s="347">
        <f>+L3460</f>
        <v>2973</v>
      </c>
      <c r="N3461" s="370"/>
    </row>
    <row r="3462" spans="1:14" s="347" customFormat="1" x14ac:dyDescent="0.25">
      <c r="A3462" s="369"/>
      <c r="E3462" s="396"/>
      <c r="F3462" s="396"/>
      <c r="G3462" s="396"/>
      <c r="K3462" s="370"/>
      <c r="N3462" s="370"/>
    </row>
    <row r="3463" spans="1:14" s="347" customFormat="1" x14ac:dyDescent="0.25">
      <c r="A3463" s="369">
        <v>44406</v>
      </c>
      <c r="B3463" s="347">
        <f>+MONTH(A3463)</f>
        <v>7</v>
      </c>
      <c r="C3463" s="347">
        <v>115</v>
      </c>
      <c r="D3463" s="340" t="str">
        <f>VLOOKUP(C3463,Plan!A:B,2,0)</f>
        <v>Disponible Cali B.Chile</v>
      </c>
      <c r="E3463" s="341">
        <f>+F3463-G3463</f>
        <v>1460202</v>
      </c>
      <c r="F3463" s="405">
        <v>1460202</v>
      </c>
      <c r="G3463" s="405">
        <v>0</v>
      </c>
      <c r="H3463" t="s">
        <v>1873</v>
      </c>
      <c r="I3463" s="403" t="s">
        <v>131</v>
      </c>
    </row>
    <row r="3464" spans="1:14" s="347" customFormat="1" x14ac:dyDescent="0.25">
      <c r="A3464" s="369">
        <f>+A3463</f>
        <v>44406</v>
      </c>
      <c r="B3464" s="347">
        <f>+MONTH(A3464)</f>
        <v>7</v>
      </c>
      <c r="C3464" s="347">
        <v>3210</v>
      </c>
      <c r="D3464" s="340" t="str">
        <f>VLOOKUP(C3464,Plan!A:B,2,0)</f>
        <v>Donacion Construccion</v>
      </c>
      <c r="E3464" s="341">
        <f>+F3464-G3464</f>
        <v>-1460202</v>
      </c>
      <c r="F3464" s="405">
        <v>0</v>
      </c>
      <c r="G3464" s="405">
        <f>+F3463</f>
        <v>1460202</v>
      </c>
      <c r="H3464" t="str">
        <f>+H3463</f>
        <v>T/C Azules Julio 2021</v>
      </c>
      <c r="I3464" s="403" t="s">
        <v>131</v>
      </c>
    </row>
    <row r="3465" spans="1:14" s="347" customFormat="1" x14ac:dyDescent="0.25">
      <c r="A3465" s="369"/>
      <c r="E3465" s="396"/>
      <c r="F3465" s="396"/>
      <c r="G3465" s="396"/>
      <c r="K3465" s="370"/>
      <c r="N3465" s="370"/>
    </row>
    <row r="3466" spans="1:14" s="347" customFormat="1" x14ac:dyDescent="0.25">
      <c r="A3466" s="369">
        <v>44406</v>
      </c>
      <c r="B3466" s="347">
        <f>+MONTH(A3466)</f>
        <v>7</v>
      </c>
      <c r="C3466" s="347">
        <v>115</v>
      </c>
      <c r="D3466" s="340" t="str">
        <f>VLOOKUP(C3466,Plan!A:B,2,0)</f>
        <v>Disponible Cali B.Chile</v>
      </c>
      <c r="E3466" s="341">
        <f>+F3466-G3466</f>
        <v>10000</v>
      </c>
      <c r="F3466" s="405">
        <v>10000</v>
      </c>
      <c r="G3466" s="405">
        <v>0</v>
      </c>
      <c r="H3466" t="s">
        <v>1093</v>
      </c>
      <c r="I3466" s="403" t="s">
        <v>131</v>
      </c>
      <c r="J3466" t="s">
        <v>598</v>
      </c>
      <c r="K3466" t="s">
        <v>1897</v>
      </c>
      <c r="L3466">
        <v>391</v>
      </c>
      <c r="N3466" s="370"/>
    </row>
    <row r="3467" spans="1:14" s="347" customFormat="1" x14ac:dyDescent="0.25">
      <c r="A3467" s="369">
        <f>+A3466</f>
        <v>44406</v>
      </c>
      <c r="B3467" s="347">
        <f>+MONTH(A3467)</f>
        <v>7</v>
      </c>
      <c r="C3467" s="347">
        <v>1222</v>
      </c>
      <c r="D3467" s="340" t="str">
        <f>VLOOKUP(C3467,Plan!A:B,2,0)</f>
        <v>Otros Valores -Oficina y Transferencias (249)</v>
      </c>
      <c r="E3467" s="341">
        <f>+F3467-G3467</f>
        <v>-10000</v>
      </c>
      <c r="F3467" s="405">
        <v>0</v>
      </c>
      <c r="G3467" s="405">
        <f>+F3466</f>
        <v>10000</v>
      </c>
      <c r="H3467" t="str">
        <f>+H3466</f>
        <v>José Miguel Pérez de Castro Z./249</v>
      </c>
      <c r="I3467" s="403" t="s">
        <v>131</v>
      </c>
      <c r="J3467" t="s">
        <v>598</v>
      </c>
      <c r="K3467" t="s">
        <v>1897</v>
      </c>
      <c r="L3467">
        <v>391</v>
      </c>
      <c r="N3467" s="370"/>
    </row>
    <row r="3468" spans="1:14" s="347" customFormat="1" x14ac:dyDescent="0.25">
      <c r="A3468" s="369"/>
      <c r="E3468" s="396"/>
      <c r="F3468" s="396"/>
      <c r="G3468" s="396"/>
      <c r="K3468" s="370"/>
      <c r="N3468" s="370"/>
    </row>
    <row r="3469" spans="1:14" s="347" customFormat="1" x14ac:dyDescent="0.25">
      <c r="A3469" s="369">
        <v>44406</v>
      </c>
      <c r="B3469" s="347">
        <f>+MONTH(A3469)</f>
        <v>7</v>
      </c>
      <c r="C3469" s="347">
        <v>115</v>
      </c>
      <c r="D3469" s="340" t="str">
        <f>VLOOKUP(C3469,Plan!A:B,2,0)</f>
        <v>Disponible Cali B.Chile</v>
      </c>
      <c r="E3469" s="341">
        <f>+F3469-G3469</f>
        <v>22000</v>
      </c>
      <c r="F3469" s="405">
        <v>22000</v>
      </c>
      <c r="G3469" s="405">
        <v>0</v>
      </c>
      <c r="H3469" t="s">
        <v>1703</v>
      </c>
      <c r="I3469" s="403" t="s">
        <v>131</v>
      </c>
      <c r="K3469" s="370"/>
      <c r="N3469" s="370"/>
    </row>
    <row r="3470" spans="1:14" s="347" customFormat="1" x14ac:dyDescent="0.25">
      <c r="A3470" s="369">
        <f>+A3469</f>
        <v>44406</v>
      </c>
      <c r="B3470" s="347">
        <f>+MONTH(A3470)</f>
        <v>7</v>
      </c>
      <c r="C3470" s="347">
        <v>1222</v>
      </c>
      <c r="D3470" s="340" t="str">
        <f>VLOOKUP(C3470,Plan!A:B,2,0)</f>
        <v>Otros Valores -Oficina y Transferencias (249)</v>
      </c>
      <c r="E3470" s="341">
        <f>+F3470-G3470</f>
        <v>-22000</v>
      </c>
      <c r="F3470" s="405">
        <v>0</v>
      </c>
      <c r="G3470" s="405">
        <f>+F3469</f>
        <v>22000</v>
      </c>
      <c r="H3470" t="str">
        <f>+H3469</f>
        <v>Arantxa Ereche Tuzzini/249</v>
      </c>
      <c r="I3470" s="403" t="s">
        <v>131</v>
      </c>
      <c r="K3470" s="370"/>
      <c r="N3470" s="370"/>
    </row>
    <row r="3471" spans="1:14" s="347" customFormat="1" x14ac:dyDescent="0.25">
      <c r="A3471" s="369"/>
      <c r="E3471" s="396"/>
      <c r="F3471" s="396"/>
      <c r="G3471" s="396"/>
      <c r="K3471" s="370"/>
      <c r="N3471" s="370"/>
    </row>
    <row r="3472" spans="1:14" s="347" customFormat="1" x14ac:dyDescent="0.25">
      <c r="A3472" s="369">
        <v>44407</v>
      </c>
      <c r="B3472" s="347">
        <f>+MONTH(A3472)</f>
        <v>7</v>
      </c>
      <c r="C3472" s="347">
        <v>227</v>
      </c>
      <c r="D3472" s="340" t="str">
        <f>VLOOKUP(C3472,Plan!A:B,2,0)</f>
        <v>Provisión Honorarios Cali</v>
      </c>
      <c r="E3472" s="341">
        <f>+F3472-G3472</f>
        <v>338983</v>
      </c>
      <c r="F3472" s="405">
        <f>+G3473+G3474</f>
        <v>338983</v>
      </c>
      <c r="G3472" s="405">
        <v>0</v>
      </c>
      <c r="H3472" t="s">
        <v>1874</v>
      </c>
      <c r="I3472" s="403" t="s">
        <v>131</v>
      </c>
      <c r="K3472" s="370"/>
      <c r="N3472" s="370"/>
    </row>
    <row r="3473" spans="1:14" s="347" customFormat="1" x14ac:dyDescent="0.25">
      <c r="A3473" s="369">
        <f>+A3472</f>
        <v>44407</v>
      </c>
      <c r="B3473" s="347">
        <f>+MONTH(A3473)</f>
        <v>7</v>
      </c>
      <c r="C3473" s="347">
        <v>115</v>
      </c>
      <c r="D3473" s="340" t="str">
        <f>VLOOKUP(C3473,Plan!A:B,2,0)</f>
        <v>Disponible Cali B.Chile</v>
      </c>
      <c r="E3473" s="341">
        <f>+F3473-G3473</f>
        <v>-300000</v>
      </c>
      <c r="F3473" s="405">
        <v>0</v>
      </c>
      <c r="G3473" s="405">
        <v>300000</v>
      </c>
      <c r="H3473" t="str">
        <f>+H3472</f>
        <v>BE-317 GUILLERMO DE LA VEGA</v>
      </c>
      <c r="I3473" s="403" t="s">
        <v>131</v>
      </c>
      <c r="K3473" s="370"/>
      <c r="N3473" s="370"/>
    </row>
    <row r="3474" spans="1:14" s="347" customFormat="1" x14ac:dyDescent="0.25">
      <c r="A3474" s="369">
        <f>+A3473</f>
        <v>44407</v>
      </c>
      <c r="B3474" s="347">
        <f>+MONTH(A3474)</f>
        <v>7</v>
      </c>
      <c r="C3474" s="347">
        <v>204</v>
      </c>
      <c r="D3474" s="340" t="str">
        <f>VLOOKUP(C3474,Plan!A:B,2,0)</f>
        <v>Retención Honorarios Cali</v>
      </c>
      <c r="E3474" s="341">
        <f>+F3474-G3474</f>
        <v>-38983</v>
      </c>
      <c r="F3474" s="405">
        <v>0</v>
      </c>
      <c r="G3474" s="405">
        <v>38983</v>
      </c>
      <c r="H3474" t="str">
        <f>+H3473</f>
        <v>BE-317 GUILLERMO DE LA VEGA</v>
      </c>
      <c r="I3474" s="403" t="s">
        <v>131</v>
      </c>
      <c r="K3474" s="370"/>
      <c r="N3474" s="370"/>
    </row>
    <row r="3475" spans="1:14" s="347" customFormat="1" x14ac:dyDescent="0.25">
      <c r="A3475" s="369"/>
      <c r="E3475" s="396"/>
      <c r="F3475" s="396"/>
      <c r="G3475" s="396"/>
      <c r="K3475" s="370"/>
      <c r="N3475" s="370"/>
    </row>
    <row r="3476" spans="1:14" s="347" customFormat="1" x14ac:dyDescent="0.25">
      <c r="A3476" s="369">
        <v>44407</v>
      </c>
      <c r="B3476" s="347">
        <f>+MONTH(A3476)</f>
        <v>7</v>
      </c>
      <c r="C3476" s="347">
        <v>4170</v>
      </c>
      <c r="D3476" s="340" t="str">
        <f>VLOOKUP(C3476,Plan!A:B,2,0)</f>
        <v>Cali otros</v>
      </c>
      <c r="E3476" s="341">
        <f>+F3476-G3476</f>
        <v>450000</v>
      </c>
      <c r="F3476" s="405">
        <v>450000</v>
      </c>
      <c r="G3476" s="405">
        <v>0</v>
      </c>
      <c r="H3476" t="s">
        <v>1875</v>
      </c>
      <c r="I3476" s="403" t="s">
        <v>131</v>
      </c>
      <c r="K3476" s="370"/>
      <c r="N3476" s="370"/>
    </row>
    <row r="3477" spans="1:14" s="347" customFormat="1" x14ac:dyDescent="0.25">
      <c r="A3477" s="369">
        <f>+A3476</f>
        <v>44407</v>
      </c>
      <c r="B3477" s="347">
        <f>+MONTH(A3477)</f>
        <v>7</v>
      </c>
      <c r="C3477" s="347">
        <v>115</v>
      </c>
      <c r="D3477" s="340" t="str">
        <f>VLOOKUP(C3477,Plan!A:B,2,0)</f>
        <v>Disponible Cali B.Chile</v>
      </c>
      <c r="E3477" s="341">
        <f>+F3477-G3477</f>
        <v>-450000</v>
      </c>
      <c r="F3477" s="405">
        <v>0</v>
      </c>
      <c r="G3477" s="405">
        <f>+F3476</f>
        <v>450000</v>
      </c>
      <c r="H3477" t="str">
        <f>+H3476</f>
        <v>C&amp;P Asesores - Asesoria Contable Enero 2021</v>
      </c>
      <c r="I3477" s="403" t="s">
        <v>131</v>
      </c>
      <c r="K3477" s="370"/>
      <c r="N3477" s="370"/>
    </row>
    <row r="3478" spans="1:14" s="347" customFormat="1" x14ac:dyDescent="0.25">
      <c r="A3478" s="369"/>
      <c r="E3478" s="396"/>
      <c r="F3478" s="396"/>
      <c r="G3478" s="396"/>
      <c r="K3478" s="370"/>
      <c r="N3478" s="370"/>
    </row>
    <row r="3479" spans="1:14" s="347" customFormat="1" x14ac:dyDescent="0.25">
      <c r="A3479" s="369">
        <v>44407</v>
      </c>
      <c r="B3479" s="347">
        <f>+MONTH(A3479)</f>
        <v>7</v>
      </c>
      <c r="C3479" s="347">
        <v>115</v>
      </c>
      <c r="D3479" s="340" t="str">
        <f>VLOOKUP(C3479,Plan!A:B,2,0)</f>
        <v>Disponible Cali B.Chile</v>
      </c>
      <c r="E3479" s="341">
        <f>+F3479-G3479</f>
        <v>30000</v>
      </c>
      <c r="F3479" s="405">
        <v>30000</v>
      </c>
      <c r="G3479" s="405">
        <v>0</v>
      </c>
      <c r="H3479" t="s">
        <v>1876</v>
      </c>
      <c r="I3479" s="403" t="s">
        <v>131</v>
      </c>
      <c r="K3479" s="370"/>
      <c r="N3479" s="370"/>
    </row>
    <row r="3480" spans="1:14" s="347" customFormat="1" x14ac:dyDescent="0.25">
      <c r="A3480" s="369">
        <f>+A3479</f>
        <v>44407</v>
      </c>
      <c r="B3480" s="347">
        <f>+MONTH(A3480)</f>
        <v>7</v>
      </c>
      <c r="C3480" s="347">
        <v>1222</v>
      </c>
      <c r="D3480" s="340" t="str">
        <f>VLOOKUP(C3480,Plan!A:B,2,0)</f>
        <v>Otros Valores -Oficina y Transferencias (249)</v>
      </c>
      <c r="E3480" s="341">
        <f>+F3480-G3480</f>
        <v>-30000</v>
      </c>
      <c r="F3480" s="405">
        <v>0</v>
      </c>
      <c r="G3480" s="405">
        <f>+F3479</f>
        <v>30000</v>
      </c>
      <c r="H3480" t="str">
        <f>+H3479</f>
        <v>Selim Guillermo Abara Elías / 249</v>
      </c>
      <c r="I3480" s="403" t="s">
        <v>131</v>
      </c>
      <c r="K3480"/>
      <c r="L3480" s="396"/>
      <c r="N3480" s="370"/>
    </row>
    <row r="3481" spans="1:14" s="347" customFormat="1" x14ac:dyDescent="0.25">
      <c r="A3481" s="369"/>
      <c r="E3481" s="396"/>
      <c r="F3481" s="396"/>
      <c r="G3481" s="396"/>
      <c r="K3481"/>
      <c r="L3481" s="396"/>
      <c r="N3481" s="370"/>
    </row>
    <row r="3482" spans="1:14" s="347" customFormat="1" x14ac:dyDescent="0.25">
      <c r="A3482" s="369">
        <v>44407</v>
      </c>
      <c r="B3482" s="347">
        <f>+MONTH(A3482)</f>
        <v>7</v>
      </c>
      <c r="C3482" s="347">
        <v>115</v>
      </c>
      <c r="D3482" s="340" t="str">
        <f>VLOOKUP(C3482,Plan!A:B,2,0)</f>
        <v>Disponible Cali B.Chile</v>
      </c>
      <c r="E3482" s="341">
        <f>+F3482-G3482</f>
        <v>36000</v>
      </c>
      <c r="F3482" s="405">
        <v>36000</v>
      </c>
      <c r="G3482" s="405">
        <v>0</v>
      </c>
      <c r="H3482" t="s">
        <v>964</v>
      </c>
      <c r="I3482" s="403" t="s">
        <v>131</v>
      </c>
      <c r="K3482"/>
      <c r="L3482" s="396"/>
      <c r="N3482" s="370"/>
    </row>
    <row r="3483" spans="1:14" s="347" customFormat="1" x14ac:dyDescent="0.25">
      <c r="A3483" s="369">
        <f>+A3482</f>
        <v>44407</v>
      </c>
      <c r="B3483" s="347">
        <f>+MONTH(A3483)</f>
        <v>7</v>
      </c>
      <c r="C3483" s="347">
        <v>1222</v>
      </c>
      <c r="D3483" s="340" t="str">
        <f>VLOOKUP(C3483,Plan!A:B,2,0)</f>
        <v>Otros Valores -Oficina y Transferencias (249)</v>
      </c>
      <c r="E3483" s="341">
        <f>+F3483-G3483</f>
        <v>-36000</v>
      </c>
      <c r="F3483" s="405">
        <v>0</v>
      </c>
      <c r="G3483" s="405">
        <f>+F3482</f>
        <v>36000</v>
      </c>
      <c r="H3483" t="str">
        <f>+H3482</f>
        <v>Raimundo Barros / 249</v>
      </c>
      <c r="I3483" s="403" t="s">
        <v>131</v>
      </c>
      <c r="K3483"/>
      <c r="L3483" s="396"/>
      <c r="N3483" s="370"/>
    </row>
    <row r="3484" spans="1:14" s="347" customFormat="1" x14ac:dyDescent="0.25">
      <c r="A3484" s="369"/>
      <c r="E3484" s="396"/>
      <c r="F3484" s="396"/>
      <c r="G3484" s="396"/>
      <c r="K3484"/>
      <c r="L3484" s="396"/>
      <c r="N3484" s="370"/>
    </row>
    <row r="3485" spans="1:14" s="347" customFormat="1" x14ac:dyDescent="0.25">
      <c r="A3485" s="369">
        <v>44407</v>
      </c>
      <c r="B3485" s="347">
        <f>+MONTH(A3485)</f>
        <v>7</v>
      </c>
      <c r="C3485" s="347">
        <v>115</v>
      </c>
      <c r="D3485" s="340" t="str">
        <f>VLOOKUP(C3485,Plan!A:B,2,0)</f>
        <v>Disponible Cali B.Chile</v>
      </c>
      <c r="E3485" s="341">
        <f>+F3485-G3485</f>
        <v>100000</v>
      </c>
      <c r="F3485" s="405">
        <v>100000</v>
      </c>
      <c r="G3485" s="405">
        <v>0</v>
      </c>
      <c r="H3485" t="s">
        <v>965</v>
      </c>
      <c r="I3485" s="403" t="s">
        <v>131</v>
      </c>
      <c r="K3485"/>
      <c r="L3485" s="396"/>
      <c r="N3485" s="370"/>
    </row>
    <row r="3486" spans="1:14" s="347" customFormat="1" x14ac:dyDescent="0.25">
      <c r="A3486" s="369">
        <f>+A3485</f>
        <v>44407</v>
      </c>
      <c r="B3486" s="347">
        <f>+MONTH(A3486)</f>
        <v>7</v>
      </c>
      <c r="C3486" s="347">
        <v>3210</v>
      </c>
      <c r="D3486" s="340" t="str">
        <f>VLOOKUP(C3486,Plan!A:B,2,0)</f>
        <v>Donacion Construccion</v>
      </c>
      <c r="E3486" s="341">
        <f>+F3486-G3486</f>
        <v>-100000</v>
      </c>
      <c r="F3486" s="405">
        <v>0</v>
      </c>
      <c r="G3486" s="405">
        <f>+F3485</f>
        <v>100000</v>
      </c>
      <c r="H3486" t="str">
        <f>+H3485</f>
        <v>Rafael Marín Jordán/azul</v>
      </c>
      <c r="I3486" s="403" t="s">
        <v>131</v>
      </c>
      <c r="K3486"/>
      <c r="L3486" s="396"/>
      <c r="N3486" s="370"/>
    </row>
    <row r="3487" spans="1:14" s="347" customFormat="1" x14ac:dyDescent="0.25">
      <c r="A3487" s="369"/>
      <c r="E3487" s="396"/>
      <c r="F3487" s="396"/>
      <c r="G3487" s="396"/>
      <c r="K3487"/>
      <c r="L3487" s="396"/>
      <c r="N3487" s="370"/>
    </row>
    <row r="3488" spans="1:14" s="347" customFormat="1" x14ac:dyDescent="0.25">
      <c r="A3488" s="369">
        <v>44407</v>
      </c>
      <c r="B3488" s="347">
        <f>+MONTH(A3488)</f>
        <v>7</v>
      </c>
      <c r="C3488" s="347">
        <v>115</v>
      </c>
      <c r="D3488" s="340" t="str">
        <f>VLOOKUP(C3488,Plan!A:B,2,0)</f>
        <v>Disponible Cali B.Chile</v>
      </c>
      <c r="E3488" s="341">
        <f>+F3488-G3488</f>
        <v>20000</v>
      </c>
      <c r="F3488" s="405">
        <v>20000</v>
      </c>
      <c r="G3488" s="405">
        <v>0</v>
      </c>
      <c r="H3488" t="s">
        <v>1007</v>
      </c>
      <c r="I3488" s="403" t="s">
        <v>131</v>
      </c>
      <c r="K3488"/>
      <c r="L3488" s="396"/>
      <c r="N3488" s="370"/>
    </row>
    <row r="3489" spans="1:14" s="347" customFormat="1" x14ac:dyDescent="0.25">
      <c r="A3489" s="369">
        <f>+A3488</f>
        <v>44407</v>
      </c>
      <c r="B3489" s="347">
        <f>+MONTH(A3489)</f>
        <v>7</v>
      </c>
      <c r="C3489" s="347">
        <v>1222</v>
      </c>
      <c r="D3489" s="340" t="str">
        <f>VLOOKUP(C3489,Plan!A:B,2,0)</f>
        <v>Otros Valores -Oficina y Transferencias (249)</v>
      </c>
      <c r="E3489" s="341">
        <f>+F3489-G3489</f>
        <v>-20000</v>
      </c>
      <c r="F3489" s="405">
        <v>0</v>
      </c>
      <c r="G3489" s="405">
        <f>+F3488</f>
        <v>20000</v>
      </c>
      <c r="H3489" t="str">
        <f>+H3488</f>
        <v>Oscar Guarda Barros / 249</v>
      </c>
      <c r="I3489" s="403" t="s">
        <v>131</v>
      </c>
      <c r="K3489"/>
      <c r="L3489" s="396"/>
      <c r="N3489" s="370"/>
    </row>
    <row r="3490" spans="1:14" s="347" customFormat="1" x14ac:dyDescent="0.25">
      <c r="A3490" s="369"/>
      <c r="E3490" s="396"/>
      <c r="F3490" s="396"/>
      <c r="G3490" s="396"/>
      <c r="K3490"/>
      <c r="L3490" s="396"/>
      <c r="N3490" s="370"/>
    </row>
    <row r="3491" spans="1:14" s="347" customFormat="1" x14ac:dyDescent="0.25">
      <c r="A3491" s="369">
        <v>44407</v>
      </c>
      <c r="B3491" s="347">
        <f>+MONTH(A3491)</f>
        <v>7</v>
      </c>
      <c r="C3491" s="347">
        <v>115</v>
      </c>
      <c r="D3491" s="340" t="str">
        <f>VLOOKUP(C3491,Plan!A:B,2,0)</f>
        <v>Disponible Cali B.Chile</v>
      </c>
      <c r="E3491" s="341">
        <f>+F3491-G3491</f>
        <v>50000</v>
      </c>
      <c r="F3491" s="405">
        <v>50000</v>
      </c>
      <c r="G3491" s="405">
        <v>0</v>
      </c>
      <c r="H3491" t="s">
        <v>966</v>
      </c>
      <c r="I3491" s="403" t="s">
        <v>131</v>
      </c>
      <c r="K3491"/>
      <c r="L3491" s="396"/>
      <c r="N3491" s="370"/>
    </row>
    <row r="3492" spans="1:14" s="347" customFormat="1" x14ac:dyDescent="0.25">
      <c r="A3492" s="369">
        <f>+A3491</f>
        <v>44407</v>
      </c>
      <c r="B3492" s="347">
        <f>+MONTH(A3492)</f>
        <v>7</v>
      </c>
      <c r="C3492" s="347">
        <v>3210</v>
      </c>
      <c r="D3492" s="340" t="str">
        <f>VLOOKUP(C3492,Plan!A:B,2,0)</f>
        <v>Donacion Construccion</v>
      </c>
      <c r="E3492" s="341">
        <f>+F3492-G3492</f>
        <v>-50000</v>
      </c>
      <c r="F3492" s="405">
        <v>0</v>
      </c>
      <c r="G3492" s="405">
        <f>+F3491</f>
        <v>50000</v>
      </c>
      <c r="H3492" t="str">
        <f>+H3491</f>
        <v xml:space="preserve">Ricardo Fernández Oyarzún / Azul </v>
      </c>
      <c r="I3492" s="403" t="s">
        <v>131</v>
      </c>
      <c r="K3492"/>
      <c r="L3492" s="396"/>
      <c r="N3492" s="370"/>
    </row>
    <row r="3493" spans="1:14" s="347" customFormat="1" x14ac:dyDescent="0.25">
      <c r="A3493" s="369"/>
      <c r="E3493" s="396"/>
      <c r="F3493" s="396"/>
      <c r="G3493" s="396"/>
      <c r="K3493"/>
      <c r="L3493" s="396"/>
      <c r="N3493" s="370"/>
    </row>
    <row r="3494" spans="1:14" s="347" customFormat="1" x14ac:dyDescent="0.25">
      <c r="A3494" s="369">
        <v>44407</v>
      </c>
      <c r="B3494" s="347">
        <f>+MONTH(A3494)</f>
        <v>7</v>
      </c>
      <c r="C3494" s="347">
        <v>115</v>
      </c>
      <c r="D3494" s="340" t="str">
        <f>VLOOKUP(C3494,Plan!A:B,2,0)</f>
        <v>Disponible Cali B.Chile</v>
      </c>
      <c r="E3494" s="341">
        <f>+F3494-G3494</f>
        <v>25000</v>
      </c>
      <c r="F3494" s="405">
        <v>25000</v>
      </c>
      <c r="G3494" s="405">
        <v>0</v>
      </c>
      <c r="H3494" t="s">
        <v>969</v>
      </c>
      <c r="I3494" s="403" t="s">
        <v>131</v>
      </c>
      <c r="K3494"/>
      <c r="L3494" s="396"/>
      <c r="N3494" s="370"/>
    </row>
    <row r="3495" spans="1:14" s="347" customFormat="1" x14ac:dyDescent="0.25">
      <c r="A3495" s="369">
        <f>+A3494</f>
        <v>44407</v>
      </c>
      <c r="B3495" s="347">
        <f>+MONTH(A3495)</f>
        <v>7</v>
      </c>
      <c r="C3495" s="347">
        <v>1217</v>
      </c>
      <c r="D3495" s="340" t="str">
        <f>VLOOKUP(C3495,Plan!A:B,2,0)</f>
        <v>Otros Valores -Oficina y Transferencias (248)</v>
      </c>
      <c r="E3495" s="341">
        <f>+F3495-G3495</f>
        <v>-25000</v>
      </c>
      <c r="F3495" s="405">
        <v>0</v>
      </c>
      <c r="G3495" s="405">
        <f>+F3494</f>
        <v>25000</v>
      </c>
      <c r="H3495" t="str">
        <f>+H3494</f>
        <v>José L. Barros / 248</v>
      </c>
      <c r="I3495" s="403" t="s">
        <v>131</v>
      </c>
      <c r="K3495"/>
      <c r="L3495" s="396"/>
      <c r="N3495" s="370"/>
    </row>
    <row r="3496" spans="1:14" s="347" customFormat="1" x14ac:dyDescent="0.25">
      <c r="A3496" s="369"/>
      <c r="E3496" s="396"/>
      <c r="F3496" s="396"/>
      <c r="G3496" s="396"/>
      <c r="K3496" s="370"/>
      <c r="N3496" s="370"/>
    </row>
    <row r="3497" spans="1:14" s="347" customFormat="1" x14ac:dyDescent="0.25">
      <c r="A3497" s="369">
        <v>44383</v>
      </c>
      <c r="B3497" s="347">
        <f>+MONTH(A3497)</f>
        <v>7</v>
      </c>
      <c r="C3497" s="347">
        <v>4170</v>
      </c>
      <c r="D3497" s="340" t="str">
        <f>VLOOKUP(C3497,Plan!A:B,2,0)</f>
        <v>Cali otros</v>
      </c>
      <c r="E3497" s="341">
        <f>+F3497-G3497</f>
        <v>1070</v>
      </c>
      <c r="F3497" s="405">
        <v>1070</v>
      </c>
      <c r="G3497" s="405">
        <v>0</v>
      </c>
      <c r="H3497" t="s">
        <v>1068</v>
      </c>
      <c r="I3497" s="403" t="s">
        <v>131</v>
      </c>
      <c r="K3497" s="370"/>
      <c r="N3497" s="370"/>
    </row>
    <row r="3498" spans="1:14" s="347" customFormat="1" x14ac:dyDescent="0.25">
      <c r="A3498" s="369">
        <f>+A3497</f>
        <v>44383</v>
      </c>
      <c r="B3498" s="347">
        <f>+MONTH(A3498)</f>
        <v>7</v>
      </c>
      <c r="C3498" s="347">
        <v>116</v>
      </c>
      <c r="D3498" s="340" t="str">
        <f>VLOOKUP(C3498,Plan!A:B,2,0)</f>
        <v>Disponible CALI Security</v>
      </c>
      <c r="E3498" s="341">
        <f>+F3498-G3498</f>
        <v>-1070</v>
      </c>
      <c r="F3498" s="405">
        <v>0</v>
      </c>
      <c r="G3498" s="405">
        <f>+F3497</f>
        <v>1070</v>
      </c>
      <c r="H3498" t="str">
        <f>+H3497</f>
        <v>COM.PAGOS MASIVOS OTROS BANCOS</v>
      </c>
      <c r="I3498" s="403" t="s">
        <v>131</v>
      </c>
      <c r="K3498" s="370"/>
      <c r="N3498" s="370"/>
    </row>
    <row r="3499" spans="1:14" s="347" customFormat="1" x14ac:dyDescent="0.25">
      <c r="A3499" s="369"/>
      <c r="E3499" s="396"/>
      <c r="F3499" s="396"/>
      <c r="G3499" s="396"/>
      <c r="K3499" s="370"/>
      <c r="N3499" s="370"/>
    </row>
    <row r="3500" spans="1:14" s="347" customFormat="1" x14ac:dyDescent="0.25">
      <c r="A3500" s="369">
        <v>44383</v>
      </c>
      <c r="B3500" s="347">
        <f>+MONTH(A3500)</f>
        <v>7</v>
      </c>
      <c r="C3500" s="347">
        <v>4170</v>
      </c>
      <c r="D3500" s="340" t="str">
        <f>VLOOKUP(C3500,Plan!A:B,2,0)</f>
        <v>Cali otros</v>
      </c>
      <c r="E3500" s="341">
        <f>+F3500-G3500</f>
        <v>203</v>
      </c>
      <c r="F3500" s="405">
        <v>203</v>
      </c>
      <c r="G3500" s="405">
        <v>0</v>
      </c>
      <c r="H3500" t="s">
        <v>1877</v>
      </c>
      <c r="I3500" s="403" t="s">
        <v>131</v>
      </c>
      <c r="K3500" s="370"/>
      <c r="N3500" s="370"/>
    </row>
    <row r="3501" spans="1:14" s="347" customFormat="1" x14ac:dyDescent="0.25">
      <c r="A3501" s="369">
        <f>+A3500</f>
        <v>44383</v>
      </c>
      <c r="B3501" s="347">
        <f>+MONTH(A3501)</f>
        <v>7</v>
      </c>
      <c r="C3501" s="347">
        <v>116</v>
      </c>
      <c r="D3501" s="340" t="str">
        <f>VLOOKUP(C3501,Plan!A:B,2,0)</f>
        <v>Disponible CALI Security</v>
      </c>
      <c r="E3501" s="341">
        <f>+F3501-G3501</f>
        <v>-203</v>
      </c>
      <c r="F3501" s="405">
        <v>0</v>
      </c>
      <c r="G3501" s="405">
        <f>+F3500</f>
        <v>203</v>
      </c>
      <c r="H3501" t="str">
        <f>+H3500</f>
        <v>IVA COMISIONES</v>
      </c>
      <c r="I3501" s="403" t="s">
        <v>131</v>
      </c>
      <c r="K3501" s="370"/>
      <c r="N3501" s="370"/>
    </row>
    <row r="3502" spans="1:14" s="347" customFormat="1" x14ac:dyDescent="0.25">
      <c r="A3502" s="369"/>
      <c r="E3502" s="396"/>
      <c r="F3502" s="396"/>
      <c r="G3502" s="396"/>
      <c r="K3502" s="370"/>
      <c r="N3502" s="370"/>
    </row>
    <row r="3503" spans="1:14" s="347" customFormat="1" x14ac:dyDescent="0.25">
      <c r="A3503" s="369">
        <v>44392</v>
      </c>
      <c r="B3503" s="347">
        <f>+MONTH(A3503)</f>
        <v>7</v>
      </c>
      <c r="C3503" s="347">
        <v>116</v>
      </c>
      <c r="D3503" s="340" t="str">
        <f>VLOOKUP(C3503,Plan!A:B,2,0)</f>
        <v>Disponible CALI Security</v>
      </c>
      <c r="E3503" s="341">
        <f>+F3503-G3503</f>
        <v>105000000</v>
      </c>
      <c r="F3503" s="405">
        <v>105000000</v>
      </c>
      <c r="G3503" s="405">
        <v>0</v>
      </c>
      <c r="H3503" t="s">
        <v>1878</v>
      </c>
      <c r="I3503" s="403" t="s">
        <v>131</v>
      </c>
      <c r="K3503" s="370"/>
      <c r="N3503" s="370"/>
    </row>
    <row r="3504" spans="1:14" s="347" customFormat="1" x14ac:dyDescent="0.25">
      <c r="A3504" s="369">
        <f>+A3503</f>
        <v>44392</v>
      </c>
      <c r="B3504" s="347">
        <f>+MONTH(A3504)</f>
        <v>7</v>
      </c>
      <c r="C3504" s="347">
        <v>119</v>
      </c>
      <c r="D3504" s="340" t="str">
        <f>VLOOKUP(C3504,Plan!A:B,2,0)</f>
        <v>FM Cali Banco Security</v>
      </c>
      <c r="E3504" s="341">
        <f>+F3504-G3504</f>
        <v>-105000000</v>
      </c>
      <c r="F3504" s="405">
        <v>0</v>
      </c>
      <c r="G3504" s="405">
        <f>+F3503</f>
        <v>105000000</v>
      </c>
      <c r="H3504" t="str">
        <f>+H3503</f>
        <v>Rescate FF.MM</v>
      </c>
      <c r="I3504" s="403" t="s">
        <v>131</v>
      </c>
      <c r="K3504" s="370"/>
      <c r="N3504" s="370"/>
    </row>
    <row r="3505" spans="1:14" s="347" customFormat="1" x14ac:dyDescent="0.25">
      <c r="A3505" s="369"/>
      <c r="E3505" s="396"/>
      <c r="F3505" s="396"/>
      <c r="G3505" s="396"/>
      <c r="K3505" s="370"/>
      <c r="N3505" s="370"/>
    </row>
    <row r="3506" spans="1:14" s="347" customFormat="1" x14ac:dyDescent="0.25">
      <c r="A3506" s="402">
        <v>44396</v>
      </c>
      <c r="B3506" s="403">
        <f>+MONTH(A3506)</f>
        <v>7</v>
      </c>
      <c r="C3506" s="338">
        <v>137</v>
      </c>
      <c r="D3506" s="340" t="str">
        <f>VLOOKUP(C3506,Plan!A:B,2,0)</f>
        <v>Anticipo Construcción</v>
      </c>
      <c r="E3506" s="341">
        <f>+F3506-G3506</f>
        <v>-17200982</v>
      </c>
      <c r="F3506" s="465">
        <v>0</v>
      </c>
      <c r="G3506" s="465">
        <v>17200982</v>
      </c>
      <c r="H3506" s="429" t="s">
        <v>1880</v>
      </c>
      <c r="I3506" s="403" t="s">
        <v>131</v>
      </c>
      <c r="K3506" s="370"/>
      <c r="N3506" s="370"/>
    </row>
    <row r="3507" spans="1:14" s="347" customFormat="1" x14ac:dyDescent="0.25">
      <c r="A3507" s="402">
        <f t="shared" ref="A3507:B3509" si="57">+A3506</f>
        <v>44396</v>
      </c>
      <c r="B3507" s="403">
        <f t="shared" si="57"/>
        <v>7</v>
      </c>
      <c r="C3507" s="338">
        <v>136</v>
      </c>
      <c r="D3507" s="340" t="str">
        <f>VLOOKUP(C3507,Plan!A:B,2,0)</f>
        <v>Obras en Construcción</v>
      </c>
      <c r="E3507" s="341">
        <f>+F3507-G3507</f>
        <v>146258668</v>
      </c>
      <c r="F3507" s="465">
        <v>146258668</v>
      </c>
      <c r="G3507" s="465">
        <v>0</v>
      </c>
      <c r="H3507" s="429" t="s">
        <v>1881</v>
      </c>
      <c r="I3507" s="403" t="s">
        <v>131</v>
      </c>
      <c r="K3507" s="370"/>
      <c r="N3507" s="370"/>
    </row>
    <row r="3508" spans="1:14" s="347" customFormat="1" x14ac:dyDescent="0.25">
      <c r="A3508" s="402">
        <f t="shared" si="57"/>
        <v>44396</v>
      </c>
      <c r="B3508" s="403">
        <f t="shared" si="57"/>
        <v>7</v>
      </c>
      <c r="C3508" s="338">
        <v>210</v>
      </c>
      <c r="D3508" s="340" t="str">
        <f>VLOOKUP(C3508,Plan!A:B,2,0)</f>
        <v>Retenciones Construcción</v>
      </c>
      <c r="E3508" s="341">
        <f>+F3508-G3508</f>
        <v>-6333244</v>
      </c>
      <c r="F3508" s="465">
        <v>0</v>
      </c>
      <c r="G3508" s="465">
        <v>6333244</v>
      </c>
      <c r="H3508" s="429" t="s">
        <v>1882</v>
      </c>
      <c r="I3508" s="403" t="s">
        <v>131</v>
      </c>
      <c r="K3508" s="370"/>
      <c r="N3508" s="370"/>
    </row>
    <row r="3509" spans="1:14" s="347" customFormat="1" x14ac:dyDescent="0.25">
      <c r="A3509" s="402">
        <f t="shared" si="57"/>
        <v>44396</v>
      </c>
      <c r="B3509" s="403">
        <f t="shared" si="57"/>
        <v>7</v>
      </c>
      <c r="C3509" s="338">
        <v>228</v>
      </c>
      <c r="D3509" s="340" t="str">
        <f>VLOOKUP(C3509,Plan!A:B,2,0)</f>
        <v>Proveedores CALI</v>
      </c>
      <c r="E3509" s="341">
        <f>+F3509-G3509</f>
        <v>-122724442</v>
      </c>
      <c r="F3509" s="465">
        <v>0</v>
      </c>
      <c r="G3509" s="465">
        <v>122724442</v>
      </c>
      <c r="H3509" s="429" t="s">
        <v>589</v>
      </c>
      <c r="I3509" s="403" t="s">
        <v>131</v>
      </c>
      <c r="K3509" s="370"/>
      <c r="N3509" s="370"/>
    </row>
    <row r="3510" spans="1:14" s="347" customFormat="1" x14ac:dyDescent="0.25">
      <c r="A3510" s="369"/>
      <c r="E3510" s="396"/>
      <c r="F3510" s="396"/>
      <c r="G3510" s="396"/>
      <c r="K3510" s="370"/>
      <c r="N3510" s="370"/>
    </row>
    <row r="3511" spans="1:14" s="347" customFormat="1" x14ac:dyDescent="0.25">
      <c r="A3511" s="339">
        <v>44397</v>
      </c>
      <c r="B3511" s="403">
        <f>+MONTH(A3511)</f>
        <v>7</v>
      </c>
      <c r="C3511" s="338">
        <v>228</v>
      </c>
      <c r="D3511" s="340" t="str">
        <f>VLOOKUP(C3511,[2]Plan!A:B,2,0)</f>
        <v>Proveedores CALI</v>
      </c>
      <c r="E3511" s="341">
        <f>+F3511-G3511</f>
        <v>122724442</v>
      </c>
      <c r="F3511" s="289">
        <v>122724442</v>
      </c>
      <c r="G3511" s="346">
        <v>0</v>
      </c>
      <c r="H3511" s="404" t="s">
        <v>1784</v>
      </c>
      <c r="I3511" s="403" t="s">
        <v>131</v>
      </c>
      <c r="K3511" s="370"/>
      <c r="N3511" s="370"/>
    </row>
    <row r="3512" spans="1:14" s="347" customFormat="1" x14ac:dyDescent="0.25">
      <c r="A3512" s="152">
        <f>+A3511</f>
        <v>44397</v>
      </c>
      <c r="B3512" s="403">
        <f>+B3511</f>
        <v>7</v>
      </c>
      <c r="C3512" s="338">
        <v>116</v>
      </c>
      <c r="D3512" s="340" t="str">
        <f>VLOOKUP(C3512,[2]Plan!A:B,2,0)</f>
        <v>Disponible CALI Security</v>
      </c>
      <c r="E3512" s="341">
        <f>+F3512-G3512</f>
        <v>-122724442</v>
      </c>
      <c r="F3512" s="405">
        <v>0</v>
      </c>
      <c r="G3512" s="346">
        <f>+F3511</f>
        <v>122724442</v>
      </c>
      <c r="H3512" s="404" t="str">
        <f>+H3511</f>
        <v>F.2973 EE.PP. N°12 TASCO</v>
      </c>
      <c r="I3512" s="403" t="s">
        <v>131</v>
      </c>
      <c r="K3512" s="370"/>
      <c r="N3512" s="370"/>
    </row>
    <row r="3513" spans="1:14" s="347" customFormat="1" x14ac:dyDescent="0.25">
      <c r="A3513" s="369"/>
      <c r="E3513" s="396"/>
      <c r="F3513" s="396"/>
      <c r="G3513" s="396"/>
      <c r="K3513" s="370"/>
      <c r="N3513" s="370"/>
    </row>
    <row r="3514" spans="1:14" s="347" customFormat="1" x14ac:dyDescent="0.25">
      <c r="A3514" s="339">
        <v>44397</v>
      </c>
      <c r="B3514" s="403">
        <f>+MONTH(A3514)</f>
        <v>7</v>
      </c>
      <c r="C3514" s="347">
        <v>138</v>
      </c>
      <c r="D3514" s="340" t="str">
        <f>VLOOKUP(C3514,Plan!A:B,2,0)</f>
        <v>Proyectos Especialidades</v>
      </c>
      <c r="E3514" s="341">
        <f>+F3514-G3514</f>
        <v>4307925</v>
      </c>
      <c r="F3514" s="405">
        <v>4307925</v>
      </c>
      <c r="G3514" s="405">
        <v>0</v>
      </c>
      <c r="H3514" t="s">
        <v>1785</v>
      </c>
      <c r="I3514" s="403" t="s">
        <v>131</v>
      </c>
      <c r="K3514" s="370"/>
      <c r="N3514" s="370"/>
    </row>
    <row r="3515" spans="1:14" s="347" customFormat="1" x14ac:dyDescent="0.25">
      <c r="A3515" s="369">
        <f>+A3514</f>
        <v>44397</v>
      </c>
      <c r="B3515" s="403">
        <f>+B3514</f>
        <v>7</v>
      </c>
      <c r="C3515" s="347">
        <v>116</v>
      </c>
      <c r="D3515" s="340" t="str">
        <f>VLOOKUP(C3515,Plan!A:B,2,0)</f>
        <v>Disponible CALI Security</v>
      </c>
      <c r="E3515" s="341">
        <f>+F3515-G3515</f>
        <v>-4307925</v>
      </c>
      <c r="F3515" s="405">
        <v>0</v>
      </c>
      <c r="G3515" s="405">
        <f>+F3514</f>
        <v>4307925</v>
      </c>
      <c r="H3515" t="str">
        <f>+H3514</f>
        <v>Fact. 6238 ITO Junio/21</v>
      </c>
      <c r="I3515" s="403" t="s">
        <v>131</v>
      </c>
      <c r="K3515" s="370"/>
      <c r="N3515" s="370"/>
    </row>
    <row r="3516" spans="1:14" s="347" customFormat="1" x14ac:dyDescent="0.25">
      <c r="A3516" s="369"/>
      <c r="E3516" s="396"/>
      <c r="F3516" s="396"/>
      <c r="G3516" s="396"/>
      <c r="K3516" s="370"/>
      <c r="N3516" s="370"/>
    </row>
    <row r="3517" spans="1:14" s="347" customFormat="1" x14ac:dyDescent="0.25">
      <c r="A3517" s="339">
        <v>44397</v>
      </c>
      <c r="B3517" s="403">
        <f>+MONTH(A3517)</f>
        <v>7</v>
      </c>
      <c r="C3517" s="347">
        <v>135</v>
      </c>
      <c r="D3517" s="340" t="str">
        <f>VLOOKUP(C3517,Plan!A:B,2,0)</f>
        <v>Arquitectura</v>
      </c>
      <c r="E3517" s="341">
        <f>+F3517-G3517</f>
        <v>3118185</v>
      </c>
      <c r="F3517" s="405">
        <v>3118185</v>
      </c>
      <c r="G3517" s="405">
        <v>0</v>
      </c>
      <c r="H3517" t="s">
        <v>1879</v>
      </c>
      <c r="I3517" s="403" t="s">
        <v>131</v>
      </c>
      <c r="K3517" s="370"/>
      <c r="N3517" s="370"/>
    </row>
    <row r="3518" spans="1:14" s="347" customFormat="1" x14ac:dyDescent="0.25">
      <c r="A3518" s="369">
        <f>+A3517</f>
        <v>44397</v>
      </c>
      <c r="B3518" s="403">
        <f>+B3517</f>
        <v>7</v>
      </c>
      <c r="C3518" s="347">
        <v>116</v>
      </c>
      <c r="D3518" s="340" t="str">
        <f>VLOOKUP(C3518,Plan!A:B,2,0)</f>
        <v>Disponible CALI Security</v>
      </c>
      <c r="E3518" s="341">
        <f>+F3518-G3518</f>
        <v>-3118185</v>
      </c>
      <c r="F3518" s="405">
        <v>0</v>
      </c>
      <c r="G3518" s="405">
        <f>+F3517</f>
        <v>3118185</v>
      </c>
      <c r="H3518" t="str">
        <f>+H3517</f>
        <v>Fact. 391  EE.PP.N°5</v>
      </c>
      <c r="I3518" s="403" t="s">
        <v>131</v>
      </c>
      <c r="K3518" s="370"/>
      <c r="N3518" s="370"/>
    </row>
    <row r="3519" spans="1:14" s="347" customFormat="1" x14ac:dyDescent="0.25">
      <c r="A3519" s="369"/>
      <c r="E3519" s="396"/>
      <c r="F3519" s="396"/>
      <c r="G3519" s="396"/>
      <c r="K3519" s="370"/>
      <c r="N3519" s="370"/>
    </row>
    <row r="3520" spans="1:14" s="347" customFormat="1" x14ac:dyDescent="0.25">
      <c r="A3520" s="339">
        <v>44389</v>
      </c>
      <c r="B3520" s="403">
        <f>+MONTH(A3520)</f>
        <v>7</v>
      </c>
      <c r="C3520" s="347">
        <v>4170</v>
      </c>
      <c r="D3520" s="340" t="str">
        <f>VLOOKUP(C3520,Plan!A:B,2,0)</f>
        <v>Cali otros</v>
      </c>
      <c r="E3520" s="341">
        <f>+F3520-G3520</f>
        <v>4942</v>
      </c>
      <c r="F3520" s="405">
        <v>4942</v>
      </c>
      <c r="G3520" s="405">
        <v>0</v>
      </c>
      <c r="H3520" t="s">
        <v>1883</v>
      </c>
      <c r="I3520" s="403" t="s">
        <v>131</v>
      </c>
      <c r="K3520" s="370"/>
      <c r="N3520" s="370"/>
    </row>
    <row r="3521" spans="1:14" s="347" customFormat="1" x14ac:dyDescent="0.25">
      <c r="A3521" s="369">
        <f>+A3520</f>
        <v>44389</v>
      </c>
      <c r="B3521" s="403">
        <f>+B3520</f>
        <v>7</v>
      </c>
      <c r="C3521" s="347">
        <v>117</v>
      </c>
      <c r="D3521" s="340" t="str">
        <f>VLOOKUP(C3521,Plan!A:B,2,0)</f>
        <v>Disponible CALI Santander</v>
      </c>
      <c r="E3521" s="341">
        <f>+F3521-G3521</f>
        <v>-4942</v>
      </c>
      <c r="F3521" s="405">
        <v>0</v>
      </c>
      <c r="G3521" s="405">
        <f>+F3520</f>
        <v>4942</v>
      </c>
      <c r="H3521" t="str">
        <f>+H3520</f>
        <v>COM.SERV.PAC JUNIO 2021 14 TRX.</v>
      </c>
      <c r="I3521" s="403" t="s">
        <v>131</v>
      </c>
      <c r="K3521" s="370"/>
      <c r="N3521" s="370"/>
    </row>
    <row r="3522" spans="1:14" s="347" customFormat="1" x14ac:dyDescent="0.25">
      <c r="A3522" s="369"/>
      <c r="E3522" s="396"/>
      <c r="F3522" s="396"/>
      <c r="G3522" s="396"/>
      <c r="K3522" s="370"/>
      <c r="N3522" s="370"/>
    </row>
    <row r="3523" spans="1:14" s="347" customFormat="1" x14ac:dyDescent="0.25">
      <c r="A3523" s="339">
        <v>44392</v>
      </c>
      <c r="B3523" s="403">
        <f>+MONTH(A3523)</f>
        <v>7</v>
      </c>
      <c r="C3523" s="347">
        <v>117</v>
      </c>
      <c r="D3523" s="340" t="str">
        <f>VLOOKUP(C3523,Plan!A:B,2,0)</f>
        <v>Disponible CALI Santander</v>
      </c>
      <c r="E3523" s="341">
        <f>+F3523-G3523</f>
        <v>255000</v>
      </c>
      <c r="F3523" s="405">
        <v>255000</v>
      </c>
      <c r="G3523" s="405">
        <v>0</v>
      </c>
      <c r="H3523" t="s">
        <v>1788</v>
      </c>
      <c r="I3523" s="403" t="s">
        <v>131</v>
      </c>
      <c r="K3523" s="370"/>
      <c r="N3523" s="370"/>
    </row>
    <row r="3524" spans="1:14" s="347" customFormat="1" x14ac:dyDescent="0.25">
      <c r="A3524" s="369">
        <f>+A3523</f>
        <v>44392</v>
      </c>
      <c r="B3524" s="403">
        <f>+B3523</f>
        <v>7</v>
      </c>
      <c r="C3524" s="347">
        <v>1222</v>
      </c>
      <c r="D3524" s="340" t="str">
        <f>VLOOKUP(C3524,Plan!A:B,2,0)</f>
        <v>Otros Valores -Oficina y Transferencias (249)</v>
      </c>
      <c r="E3524" s="341">
        <f>+F3524-G3524</f>
        <v>-255000</v>
      </c>
      <c r="F3524" s="405">
        <v>0</v>
      </c>
      <c r="G3524" s="405">
        <f>+F3523</f>
        <v>255000</v>
      </c>
      <c r="H3524" t="str">
        <f>+H3523</f>
        <v>ABONO RECAUDACION PAC</v>
      </c>
      <c r="I3524" s="403" t="s">
        <v>131</v>
      </c>
      <c r="K3524" s="370"/>
      <c r="N3524" s="370"/>
    </row>
    <row r="3525" spans="1:14" s="347" customFormat="1" x14ac:dyDescent="0.25">
      <c r="A3525" s="369"/>
      <c r="E3525" s="396"/>
      <c r="F3525" s="396"/>
      <c r="G3525" s="396"/>
      <c r="K3525" s="370"/>
      <c r="N3525" s="370"/>
    </row>
    <row r="3526" spans="1:14" s="347" customFormat="1" x14ac:dyDescent="0.25">
      <c r="A3526" s="339">
        <v>44400</v>
      </c>
      <c r="B3526" s="403">
        <f>+MONTH(A3526)</f>
        <v>7</v>
      </c>
      <c r="C3526" s="347">
        <v>117</v>
      </c>
      <c r="D3526" s="340" t="str">
        <f>VLOOKUP(C3526,Plan!A:B,2,0)</f>
        <v>Disponible CALI Santander</v>
      </c>
      <c r="E3526" s="341">
        <f>+F3526-G3526</f>
        <v>25000</v>
      </c>
      <c r="F3526" s="405">
        <v>25000</v>
      </c>
      <c r="G3526" s="405">
        <v>0</v>
      </c>
      <c r="H3526" t="s">
        <v>1788</v>
      </c>
      <c r="I3526" s="403" t="s">
        <v>131</v>
      </c>
      <c r="K3526" s="370"/>
      <c r="N3526" s="370"/>
    </row>
    <row r="3527" spans="1:14" s="347" customFormat="1" x14ac:dyDescent="0.25">
      <c r="A3527" s="369">
        <f>+A3526</f>
        <v>44400</v>
      </c>
      <c r="B3527" s="403">
        <f>+B3526</f>
        <v>7</v>
      </c>
      <c r="C3527" s="347">
        <v>1222</v>
      </c>
      <c r="D3527" s="340" t="str">
        <f>VLOOKUP(C3527,Plan!A:B,2,0)</f>
        <v>Otros Valores -Oficina y Transferencias (249)</v>
      </c>
      <c r="E3527" s="341">
        <f>+F3527-G3527</f>
        <v>-25000</v>
      </c>
      <c r="F3527" s="405">
        <v>0</v>
      </c>
      <c r="G3527" s="405">
        <f>+F3526</f>
        <v>25000</v>
      </c>
      <c r="H3527" t="str">
        <f>+H3526</f>
        <v>ABONO RECAUDACION PAC</v>
      </c>
      <c r="I3527" s="403" t="s">
        <v>131</v>
      </c>
      <c r="K3527" s="370"/>
      <c r="N3527" s="370"/>
    </row>
    <row r="3528" spans="1:14" s="347" customFormat="1" x14ac:dyDescent="0.25">
      <c r="A3528" s="369"/>
      <c r="E3528" s="396"/>
      <c r="F3528" s="396"/>
      <c r="G3528" s="396"/>
      <c r="K3528" s="370"/>
      <c r="N3528" s="370"/>
    </row>
    <row r="3529" spans="1:14" s="347" customFormat="1" x14ac:dyDescent="0.25">
      <c r="A3529" s="339">
        <v>44406</v>
      </c>
      <c r="B3529" s="403">
        <f>+MONTH(A3529)</f>
        <v>7</v>
      </c>
      <c r="C3529" s="347">
        <v>117</v>
      </c>
      <c r="D3529" s="340" t="str">
        <f>VLOOKUP(C3529,Plan!A:B,2,0)</f>
        <v>Disponible CALI Santander</v>
      </c>
      <c r="E3529" s="341">
        <f>+F3529-G3529</f>
        <v>100000</v>
      </c>
      <c r="F3529" s="405">
        <v>100000</v>
      </c>
      <c r="G3529" s="405">
        <v>0</v>
      </c>
      <c r="H3529" t="s">
        <v>1788</v>
      </c>
      <c r="I3529" s="403" t="s">
        <v>131</v>
      </c>
      <c r="K3529" s="370"/>
      <c r="N3529" s="370"/>
    </row>
    <row r="3530" spans="1:14" s="347" customFormat="1" x14ac:dyDescent="0.25">
      <c r="A3530" s="369">
        <f>+A3529</f>
        <v>44406</v>
      </c>
      <c r="B3530" s="403">
        <f>+B3529</f>
        <v>7</v>
      </c>
      <c r="C3530" s="347">
        <v>1222</v>
      </c>
      <c r="D3530" s="340" t="str">
        <f>VLOOKUP(C3530,Plan!A:B,2,0)</f>
        <v>Otros Valores -Oficina y Transferencias (249)</v>
      </c>
      <c r="E3530" s="341">
        <f>+F3530-G3530</f>
        <v>-100000</v>
      </c>
      <c r="F3530" s="405">
        <v>0</v>
      </c>
      <c r="G3530" s="405">
        <f>+F3529</f>
        <v>100000</v>
      </c>
      <c r="H3530" t="str">
        <f>+H3529</f>
        <v>ABONO RECAUDACION PAC</v>
      </c>
      <c r="I3530" s="403" t="s">
        <v>131</v>
      </c>
      <c r="K3530" s="370"/>
      <c r="N3530" s="370"/>
    </row>
    <row r="3531" spans="1:14" s="347" customFormat="1" x14ac:dyDescent="0.25">
      <c r="A3531" s="369"/>
      <c r="E3531" s="396"/>
      <c r="F3531" s="396"/>
      <c r="G3531" s="396"/>
      <c r="K3531" s="370"/>
      <c r="N3531" s="370"/>
    </row>
    <row r="3532" spans="1:14" s="347" customFormat="1" x14ac:dyDescent="0.25">
      <c r="A3532" s="339">
        <v>44408</v>
      </c>
      <c r="B3532" s="403">
        <f>+MONTH(A3532)</f>
        <v>7</v>
      </c>
      <c r="C3532" s="347">
        <v>141</v>
      </c>
      <c r="D3532" s="340" t="str">
        <f>VLOOKUP(C3532,Plan!A:B,2,0)</f>
        <v>Cuentas por Cobrar a Administración</v>
      </c>
      <c r="E3532" s="341">
        <f t="shared" ref="E3532:E3563" si="58">+F3532-G3532</f>
        <v>30000</v>
      </c>
      <c r="F3532" s="396">
        <v>30000</v>
      </c>
      <c r="G3532" s="347">
        <v>0</v>
      </c>
      <c r="H3532" t="s">
        <v>1641</v>
      </c>
      <c r="I3532" s="403" t="s">
        <v>131</v>
      </c>
      <c r="K3532" s="370"/>
      <c r="N3532" s="370"/>
    </row>
    <row r="3533" spans="1:14" s="347" customFormat="1" x14ac:dyDescent="0.25">
      <c r="A3533" s="339">
        <v>44408</v>
      </c>
      <c r="B3533" s="403">
        <f>+B3532</f>
        <v>7</v>
      </c>
      <c r="C3533" s="347">
        <v>141</v>
      </c>
      <c r="D3533" s="340" t="str">
        <f>VLOOKUP(C3533,Plan!A:B,2,0)</f>
        <v>Cuentas por Cobrar a Administración</v>
      </c>
      <c r="E3533" s="341">
        <f t="shared" si="58"/>
        <v>30000</v>
      </c>
      <c r="F3533" s="396">
        <v>30000</v>
      </c>
      <c r="G3533" s="347">
        <v>0</v>
      </c>
      <c r="H3533" t="s">
        <v>1647</v>
      </c>
      <c r="I3533" s="403" t="s">
        <v>131</v>
      </c>
      <c r="K3533" s="370"/>
      <c r="N3533" s="370"/>
    </row>
    <row r="3534" spans="1:14" s="347" customFormat="1" x14ac:dyDescent="0.25">
      <c r="A3534" s="339">
        <v>44408</v>
      </c>
      <c r="B3534" s="403">
        <f t="shared" ref="B3534:B3544" si="59">+MONTH(A3534)</f>
        <v>7</v>
      </c>
      <c r="C3534" s="347">
        <v>141</v>
      </c>
      <c r="D3534" s="340" t="str">
        <f>VLOOKUP(C3534,Plan!A:B,2,0)</f>
        <v>Cuentas por Cobrar a Administración</v>
      </c>
      <c r="E3534" s="341">
        <f t="shared" si="58"/>
        <v>30000</v>
      </c>
      <c r="F3534" s="396">
        <v>30000</v>
      </c>
      <c r="G3534" s="347">
        <v>0</v>
      </c>
      <c r="H3534" t="s">
        <v>747</v>
      </c>
      <c r="I3534" s="403" t="s">
        <v>131</v>
      </c>
      <c r="K3534" s="370"/>
      <c r="N3534" s="370"/>
    </row>
    <row r="3535" spans="1:14" s="347" customFormat="1" x14ac:dyDescent="0.25">
      <c r="A3535" s="339">
        <v>44408</v>
      </c>
      <c r="B3535" s="403">
        <f t="shared" si="59"/>
        <v>7</v>
      </c>
      <c r="C3535" s="347">
        <v>141</v>
      </c>
      <c r="D3535" s="340" t="str">
        <f>VLOOKUP(C3535,Plan!A:B,2,0)</f>
        <v>Cuentas por Cobrar a Administración</v>
      </c>
      <c r="E3535" s="341">
        <f t="shared" si="58"/>
        <v>20000</v>
      </c>
      <c r="F3535" s="396">
        <v>20000</v>
      </c>
      <c r="G3535" s="347">
        <v>0</v>
      </c>
      <c r="H3535" t="s">
        <v>1236</v>
      </c>
      <c r="I3535" s="403" t="s">
        <v>131</v>
      </c>
      <c r="K3535" s="370"/>
      <c r="N3535" s="370"/>
    </row>
    <row r="3536" spans="1:14" s="347" customFormat="1" x14ac:dyDescent="0.25">
      <c r="A3536" s="339">
        <v>44408</v>
      </c>
      <c r="B3536" s="403">
        <f t="shared" si="59"/>
        <v>7</v>
      </c>
      <c r="C3536" s="347">
        <v>141</v>
      </c>
      <c r="D3536" s="340" t="str">
        <f>VLOOKUP(C3536,Plan!A:B,2,0)</f>
        <v>Cuentas por Cobrar a Administración</v>
      </c>
      <c r="E3536" s="341">
        <f t="shared" si="58"/>
        <v>40000</v>
      </c>
      <c r="F3536" s="396">
        <v>40000</v>
      </c>
      <c r="G3536" s="347">
        <v>0</v>
      </c>
      <c r="H3536" t="s">
        <v>1631</v>
      </c>
      <c r="I3536" s="403" t="s">
        <v>131</v>
      </c>
      <c r="K3536" s="370"/>
      <c r="N3536" s="370"/>
    </row>
    <row r="3537" spans="1:14" s="347" customFormat="1" x14ac:dyDescent="0.25">
      <c r="A3537" s="339">
        <v>44408</v>
      </c>
      <c r="B3537" s="403">
        <f t="shared" si="59"/>
        <v>7</v>
      </c>
      <c r="C3537" s="347">
        <v>141</v>
      </c>
      <c r="D3537" s="340" t="str">
        <f>VLOOKUP(C3537,Plan!A:B,2,0)</f>
        <v>Cuentas por Cobrar a Administración</v>
      </c>
      <c r="E3537" s="341">
        <f t="shared" si="58"/>
        <v>1000000</v>
      </c>
      <c r="F3537" s="396">
        <v>1000000</v>
      </c>
      <c r="G3537" s="347">
        <v>0</v>
      </c>
      <c r="H3537" t="s">
        <v>1843</v>
      </c>
      <c r="I3537" s="403" t="s">
        <v>131</v>
      </c>
      <c r="K3537" s="370"/>
      <c r="N3537" s="370"/>
    </row>
    <row r="3538" spans="1:14" s="347" customFormat="1" x14ac:dyDescent="0.25">
      <c r="A3538" s="339">
        <v>44408</v>
      </c>
      <c r="B3538" s="403">
        <f t="shared" si="59"/>
        <v>7</v>
      </c>
      <c r="C3538" s="347">
        <v>141</v>
      </c>
      <c r="D3538" s="340" t="str">
        <f>VLOOKUP(C3538,Plan!A:B,2,0)</f>
        <v>Cuentas por Cobrar a Administración</v>
      </c>
      <c r="E3538" s="341">
        <f t="shared" si="58"/>
        <v>100000</v>
      </c>
      <c r="F3538" s="396">
        <v>100000</v>
      </c>
      <c r="G3538" s="347">
        <v>0</v>
      </c>
      <c r="H3538" t="s">
        <v>1581</v>
      </c>
      <c r="I3538" s="403" t="s">
        <v>131</v>
      </c>
      <c r="K3538" s="370"/>
      <c r="N3538" s="370"/>
    </row>
    <row r="3539" spans="1:14" s="347" customFormat="1" x14ac:dyDescent="0.25">
      <c r="A3539" s="339">
        <v>44408</v>
      </c>
      <c r="B3539" s="403">
        <f t="shared" si="59"/>
        <v>7</v>
      </c>
      <c r="C3539" s="347">
        <v>141</v>
      </c>
      <c r="D3539" s="340" t="str">
        <f>VLOOKUP(C3539,Plan!A:B,2,0)</f>
        <v>Cuentas por Cobrar a Administración</v>
      </c>
      <c r="E3539" s="341">
        <f t="shared" si="58"/>
        <v>120000</v>
      </c>
      <c r="F3539" s="396">
        <v>120000</v>
      </c>
      <c r="G3539" s="347">
        <v>0</v>
      </c>
      <c r="H3539" t="s">
        <v>987</v>
      </c>
      <c r="I3539" s="403" t="s">
        <v>131</v>
      </c>
      <c r="K3539" s="370"/>
      <c r="N3539" s="370"/>
    </row>
    <row r="3540" spans="1:14" s="347" customFormat="1" x14ac:dyDescent="0.25">
      <c r="A3540" s="339">
        <v>44408</v>
      </c>
      <c r="B3540" s="403">
        <f t="shared" si="59"/>
        <v>7</v>
      </c>
      <c r="C3540" s="347">
        <v>141</v>
      </c>
      <c r="D3540" s="340" t="str">
        <f>VLOOKUP(C3540,Plan!A:B,2,0)</f>
        <v>Cuentas por Cobrar a Administración</v>
      </c>
      <c r="E3540" s="341">
        <f t="shared" si="58"/>
        <v>-6596</v>
      </c>
      <c r="F3540" s="396">
        <v>0</v>
      </c>
      <c r="G3540" s="347">
        <v>6596</v>
      </c>
      <c r="H3540" t="s">
        <v>1650</v>
      </c>
      <c r="I3540" s="403" t="s">
        <v>131</v>
      </c>
      <c r="K3540" s="370"/>
      <c r="N3540" s="370"/>
    </row>
    <row r="3541" spans="1:14" s="347" customFormat="1" x14ac:dyDescent="0.25">
      <c r="A3541" s="339">
        <v>44408</v>
      </c>
      <c r="B3541" s="403">
        <f t="shared" si="59"/>
        <v>7</v>
      </c>
      <c r="C3541" s="347">
        <v>141</v>
      </c>
      <c r="D3541" s="340" t="str">
        <f>VLOOKUP(C3541,Plan!A:B,2,0)</f>
        <v>Cuentas por Cobrar a Administración</v>
      </c>
      <c r="E3541" s="341">
        <f t="shared" si="58"/>
        <v>10000</v>
      </c>
      <c r="F3541" s="396">
        <v>10000</v>
      </c>
      <c r="G3541" s="347">
        <v>0</v>
      </c>
      <c r="H3541" t="s">
        <v>1440</v>
      </c>
      <c r="I3541" s="403" t="s">
        <v>131</v>
      </c>
      <c r="K3541" s="370"/>
      <c r="N3541" s="370"/>
    </row>
    <row r="3542" spans="1:14" s="347" customFormat="1" x14ac:dyDescent="0.25">
      <c r="A3542" s="339">
        <v>44408</v>
      </c>
      <c r="B3542" s="403">
        <f t="shared" si="59"/>
        <v>7</v>
      </c>
      <c r="C3542" s="347">
        <v>141</v>
      </c>
      <c r="D3542" s="340" t="str">
        <f>VLOOKUP(C3542,Plan!A:B,2,0)</f>
        <v>Cuentas por Cobrar a Administración</v>
      </c>
      <c r="E3542" s="341">
        <f t="shared" si="58"/>
        <v>30000</v>
      </c>
      <c r="F3542" s="396">
        <v>30000</v>
      </c>
      <c r="G3542" s="347">
        <v>0</v>
      </c>
      <c r="H3542" t="s">
        <v>1319</v>
      </c>
      <c r="I3542" s="403" t="s">
        <v>131</v>
      </c>
      <c r="K3542" s="370"/>
      <c r="N3542" s="370"/>
    </row>
    <row r="3543" spans="1:14" s="347" customFormat="1" x14ac:dyDescent="0.25">
      <c r="A3543" s="339">
        <v>44408</v>
      </c>
      <c r="B3543" s="403">
        <f t="shared" si="59"/>
        <v>7</v>
      </c>
      <c r="C3543" s="347">
        <v>141</v>
      </c>
      <c r="D3543" s="340" t="str">
        <f>VLOOKUP(C3543,Plan!A:B,2,0)</f>
        <v>Cuentas por Cobrar a Administración</v>
      </c>
      <c r="E3543" s="341">
        <f t="shared" si="58"/>
        <v>21000</v>
      </c>
      <c r="F3543" s="396">
        <v>21000</v>
      </c>
      <c r="G3543" s="347">
        <v>0</v>
      </c>
      <c r="H3543" t="s">
        <v>1648</v>
      </c>
      <c r="I3543" s="403" t="s">
        <v>131</v>
      </c>
      <c r="K3543" s="370"/>
      <c r="N3543" s="370"/>
    </row>
    <row r="3544" spans="1:14" s="347" customFormat="1" x14ac:dyDescent="0.25">
      <c r="A3544" s="339">
        <v>44408</v>
      </c>
      <c r="B3544" s="403">
        <f t="shared" si="59"/>
        <v>7</v>
      </c>
      <c r="C3544" s="347">
        <v>141</v>
      </c>
      <c r="D3544" s="340" t="str">
        <f>VLOOKUP(C3544,Plan!A:B,2,0)</f>
        <v>Cuentas por Cobrar a Administración</v>
      </c>
      <c r="E3544" s="341">
        <f t="shared" si="58"/>
        <v>15000</v>
      </c>
      <c r="F3544" s="396">
        <v>15000</v>
      </c>
      <c r="G3544" s="347">
        <v>0</v>
      </c>
      <c r="H3544" t="s">
        <v>688</v>
      </c>
      <c r="I3544" s="403" t="s">
        <v>131</v>
      </c>
      <c r="K3544" s="370"/>
      <c r="N3544" s="370"/>
    </row>
    <row r="3545" spans="1:14" s="347" customFormat="1" x14ac:dyDescent="0.25">
      <c r="A3545" s="339">
        <v>44408</v>
      </c>
      <c r="B3545" s="403">
        <f>+B3544</f>
        <v>7</v>
      </c>
      <c r="C3545" s="347">
        <v>141</v>
      </c>
      <c r="D3545" s="340" t="str">
        <f>VLOOKUP(C3545,Plan!A:B,2,0)</f>
        <v>Cuentas por Cobrar a Administración</v>
      </c>
      <c r="E3545" s="341">
        <f t="shared" si="58"/>
        <v>50000</v>
      </c>
      <c r="F3545" s="396">
        <v>50000</v>
      </c>
      <c r="G3545" s="347">
        <v>0</v>
      </c>
      <c r="H3545" t="s">
        <v>1646</v>
      </c>
      <c r="I3545" s="403" t="s">
        <v>131</v>
      </c>
      <c r="K3545" s="370"/>
      <c r="N3545" s="370"/>
    </row>
    <row r="3546" spans="1:14" s="347" customFormat="1" x14ac:dyDescent="0.25">
      <c r="A3546" s="339">
        <v>44408</v>
      </c>
      <c r="B3546" s="403">
        <f t="shared" ref="B3546:B3563" si="60">+MONTH(A3546)</f>
        <v>7</v>
      </c>
      <c r="C3546" s="347">
        <v>141</v>
      </c>
      <c r="D3546" s="340" t="str">
        <f>VLOOKUP(C3546,Plan!A:B,2,0)</f>
        <v>Cuentas por Cobrar a Administración</v>
      </c>
      <c r="E3546" s="341">
        <f t="shared" si="58"/>
        <v>15000</v>
      </c>
      <c r="F3546" s="396">
        <v>15000</v>
      </c>
      <c r="G3546" s="347">
        <v>0</v>
      </c>
      <c r="H3546" t="s">
        <v>1644</v>
      </c>
      <c r="I3546" s="403" t="s">
        <v>131</v>
      </c>
      <c r="K3546" s="370"/>
      <c r="N3546" s="370"/>
    </row>
    <row r="3547" spans="1:14" s="347" customFormat="1" x14ac:dyDescent="0.25">
      <c r="A3547" s="339">
        <v>44408</v>
      </c>
      <c r="B3547" s="403">
        <f t="shared" si="60"/>
        <v>7</v>
      </c>
      <c r="C3547" s="347">
        <v>141</v>
      </c>
      <c r="D3547" s="340" t="str">
        <f>VLOOKUP(C3547,Plan!A:B,2,0)</f>
        <v>Cuentas por Cobrar a Administración</v>
      </c>
      <c r="E3547" s="341">
        <f t="shared" si="58"/>
        <v>30000</v>
      </c>
      <c r="F3547" s="396">
        <v>30000</v>
      </c>
      <c r="G3547" s="347">
        <v>0</v>
      </c>
      <c r="H3547" t="s">
        <v>675</v>
      </c>
      <c r="I3547" s="403" t="s">
        <v>131</v>
      </c>
      <c r="K3547" s="370"/>
      <c r="N3547" s="370"/>
    </row>
    <row r="3548" spans="1:14" s="347" customFormat="1" x14ac:dyDescent="0.25">
      <c r="A3548" s="339">
        <v>44408</v>
      </c>
      <c r="B3548" s="403">
        <f t="shared" si="60"/>
        <v>7</v>
      </c>
      <c r="C3548" s="347">
        <v>1216</v>
      </c>
      <c r="D3548" s="340" t="str">
        <f>VLOOKUP(C3548,Plan!A:B,2,0)</f>
        <v>Otros Valores Recaudadoras</v>
      </c>
      <c r="E3548" s="341">
        <f t="shared" si="58"/>
        <v>-30000</v>
      </c>
      <c r="F3548" s="347">
        <v>0</v>
      </c>
      <c r="G3548" s="396">
        <v>30000</v>
      </c>
      <c r="H3548" t="s">
        <v>1641</v>
      </c>
      <c r="I3548" s="403" t="s">
        <v>131</v>
      </c>
      <c r="K3548" s="370"/>
      <c r="N3548" s="370"/>
    </row>
    <row r="3549" spans="1:14" s="347" customFormat="1" x14ac:dyDescent="0.25">
      <c r="A3549" s="339">
        <v>44408</v>
      </c>
      <c r="B3549" s="403">
        <f t="shared" si="60"/>
        <v>7</v>
      </c>
      <c r="C3549" s="347">
        <v>1216</v>
      </c>
      <c r="D3549" s="340" t="str">
        <f>VLOOKUP(C3549,Plan!A:B,2,0)</f>
        <v>Otros Valores Recaudadoras</v>
      </c>
      <c r="E3549" s="341">
        <f t="shared" si="58"/>
        <v>-30000</v>
      </c>
      <c r="F3549" s="347">
        <v>0</v>
      </c>
      <c r="G3549" s="396">
        <v>30000</v>
      </c>
      <c r="H3549" t="s">
        <v>1647</v>
      </c>
      <c r="I3549" s="403" t="s">
        <v>131</v>
      </c>
      <c r="K3549" s="370"/>
      <c r="N3549" s="370"/>
    </row>
    <row r="3550" spans="1:14" s="347" customFormat="1" x14ac:dyDescent="0.25">
      <c r="A3550" s="339">
        <v>44408</v>
      </c>
      <c r="B3550" s="403">
        <f t="shared" si="60"/>
        <v>7</v>
      </c>
      <c r="C3550" s="347">
        <v>3210</v>
      </c>
      <c r="D3550" s="340" t="str">
        <f>VLOOKUP(C3550,Plan!A:B,2,0)</f>
        <v>Donacion Construccion</v>
      </c>
      <c r="E3550" s="341">
        <f t="shared" si="58"/>
        <v>-30000</v>
      </c>
      <c r="F3550" s="347">
        <v>0</v>
      </c>
      <c r="G3550" s="396">
        <v>30000</v>
      </c>
      <c r="H3550" t="s">
        <v>747</v>
      </c>
      <c r="I3550" s="403" t="s">
        <v>131</v>
      </c>
      <c r="K3550" s="370"/>
      <c r="N3550" s="370"/>
    </row>
    <row r="3551" spans="1:14" s="347" customFormat="1" x14ac:dyDescent="0.25">
      <c r="A3551" s="339">
        <v>44408</v>
      </c>
      <c r="B3551" s="403">
        <f t="shared" si="60"/>
        <v>7</v>
      </c>
      <c r="C3551" s="347">
        <v>3210</v>
      </c>
      <c r="D3551" s="340" t="str">
        <f>VLOOKUP(C3551,Plan!A:B,2,0)</f>
        <v>Donacion Construccion</v>
      </c>
      <c r="E3551" s="341">
        <f t="shared" si="58"/>
        <v>-20000</v>
      </c>
      <c r="F3551" s="347">
        <v>0</v>
      </c>
      <c r="G3551" s="396">
        <v>20000</v>
      </c>
      <c r="H3551" t="s">
        <v>1236</v>
      </c>
      <c r="I3551" s="403" t="s">
        <v>131</v>
      </c>
      <c r="K3551" s="370"/>
      <c r="N3551" s="370"/>
    </row>
    <row r="3552" spans="1:14" s="347" customFormat="1" x14ac:dyDescent="0.25">
      <c r="A3552" s="339">
        <v>44408</v>
      </c>
      <c r="B3552" s="403">
        <f t="shared" si="60"/>
        <v>7</v>
      </c>
      <c r="C3552" s="347">
        <v>1222</v>
      </c>
      <c r="D3552" s="340" t="str">
        <f>VLOOKUP(C3552,Plan!A:B,2,0)</f>
        <v>Otros Valores -Oficina y Transferencias (249)</v>
      </c>
      <c r="E3552" s="341">
        <f t="shared" si="58"/>
        <v>-40000</v>
      </c>
      <c r="F3552" s="347">
        <v>0</v>
      </c>
      <c r="G3552" s="396">
        <v>40000</v>
      </c>
      <c r="H3552" t="s">
        <v>1631</v>
      </c>
      <c r="I3552" s="403" t="s">
        <v>131</v>
      </c>
      <c r="K3552" s="370"/>
      <c r="N3552" s="370"/>
    </row>
    <row r="3553" spans="1:14" s="347" customFormat="1" x14ac:dyDescent="0.25">
      <c r="A3553" s="339">
        <v>44408</v>
      </c>
      <c r="B3553" s="403">
        <f t="shared" si="60"/>
        <v>7</v>
      </c>
      <c r="C3553" s="347">
        <v>3210</v>
      </c>
      <c r="D3553" s="340" t="str">
        <f>VLOOKUP(C3553,Plan!A:B,2,0)</f>
        <v>Donacion Construccion</v>
      </c>
      <c r="E3553" s="341">
        <f t="shared" si="58"/>
        <v>-1000000</v>
      </c>
      <c r="F3553" s="347">
        <v>0</v>
      </c>
      <c r="G3553" s="396">
        <v>1000000</v>
      </c>
      <c r="H3553" t="s">
        <v>1843</v>
      </c>
      <c r="I3553" s="403" t="s">
        <v>131</v>
      </c>
      <c r="K3553" s="370"/>
      <c r="N3553" s="370"/>
    </row>
    <row r="3554" spans="1:14" s="347" customFormat="1" x14ac:dyDescent="0.25">
      <c r="A3554" s="339">
        <v>44408</v>
      </c>
      <c r="B3554" s="403">
        <f t="shared" si="60"/>
        <v>7</v>
      </c>
      <c r="C3554" s="347">
        <v>1222</v>
      </c>
      <c r="D3554" s="340" t="str">
        <f>VLOOKUP(C3554,Plan!A:B,2,0)</f>
        <v>Otros Valores -Oficina y Transferencias (249)</v>
      </c>
      <c r="E3554" s="341">
        <f t="shared" si="58"/>
        <v>-100000</v>
      </c>
      <c r="F3554" s="347">
        <v>0</v>
      </c>
      <c r="G3554" s="396">
        <v>100000</v>
      </c>
      <c r="H3554" t="s">
        <v>1581</v>
      </c>
      <c r="I3554" s="403" t="s">
        <v>131</v>
      </c>
      <c r="K3554" s="370"/>
      <c r="N3554" s="370"/>
    </row>
    <row r="3555" spans="1:14" s="347" customFormat="1" x14ac:dyDescent="0.25">
      <c r="A3555" s="339">
        <v>44408</v>
      </c>
      <c r="B3555" s="403">
        <f t="shared" si="60"/>
        <v>7</v>
      </c>
      <c r="C3555" s="347">
        <v>1217</v>
      </c>
      <c r="D3555" s="340" t="str">
        <f>VLOOKUP(C3555,Plan!A:B,2,0)</f>
        <v>Otros Valores -Oficina y Transferencias (248)</v>
      </c>
      <c r="E3555" s="341">
        <f t="shared" si="58"/>
        <v>-120000</v>
      </c>
      <c r="F3555" s="347">
        <v>0</v>
      </c>
      <c r="G3555" s="396">
        <v>120000</v>
      </c>
      <c r="H3555" t="s">
        <v>987</v>
      </c>
      <c r="I3555" s="403" t="s">
        <v>131</v>
      </c>
      <c r="K3555" s="370"/>
      <c r="N3555" s="370"/>
    </row>
    <row r="3556" spans="1:14" s="347" customFormat="1" x14ac:dyDescent="0.25">
      <c r="A3556" s="339">
        <v>44408</v>
      </c>
      <c r="B3556" s="403">
        <f t="shared" si="60"/>
        <v>7</v>
      </c>
      <c r="C3556" s="347">
        <v>204</v>
      </c>
      <c r="D3556" s="340" t="str">
        <f>VLOOKUP(C3556,Plan!A:B,2,0)</f>
        <v>Retención Honorarios Cali</v>
      </c>
      <c r="E3556" s="341">
        <f t="shared" si="58"/>
        <v>6596</v>
      </c>
      <c r="F3556" s="347">
        <v>6596</v>
      </c>
      <c r="G3556" s="396">
        <v>0</v>
      </c>
      <c r="H3556" t="s">
        <v>1650</v>
      </c>
      <c r="I3556" s="403" t="s">
        <v>131</v>
      </c>
      <c r="K3556" s="370"/>
      <c r="N3556" s="370"/>
    </row>
    <row r="3557" spans="1:14" s="347" customFormat="1" x14ac:dyDescent="0.25">
      <c r="A3557" s="339">
        <v>44408</v>
      </c>
      <c r="B3557" s="403">
        <f t="shared" si="60"/>
        <v>7</v>
      </c>
      <c r="C3557" s="347">
        <v>3210</v>
      </c>
      <c r="D3557" s="340" t="str">
        <f>VLOOKUP(C3557,Plan!A:B,2,0)</f>
        <v>Donacion Construccion</v>
      </c>
      <c r="E3557" s="341">
        <f t="shared" si="58"/>
        <v>-10000</v>
      </c>
      <c r="F3557" s="347">
        <v>0</v>
      </c>
      <c r="G3557" s="396">
        <v>10000</v>
      </c>
      <c r="H3557" t="s">
        <v>1440</v>
      </c>
      <c r="I3557" s="403" t="s">
        <v>131</v>
      </c>
      <c r="K3557" s="370"/>
      <c r="N3557" s="370"/>
    </row>
    <row r="3558" spans="1:14" s="347" customFormat="1" x14ac:dyDescent="0.25">
      <c r="A3558" s="339">
        <v>44408</v>
      </c>
      <c r="B3558" s="403">
        <f t="shared" si="60"/>
        <v>7</v>
      </c>
      <c r="C3558" s="347">
        <v>1222</v>
      </c>
      <c r="D3558" s="340" t="str">
        <f>VLOOKUP(C3558,Plan!A:B,2,0)</f>
        <v>Otros Valores -Oficina y Transferencias (249)</v>
      </c>
      <c r="E3558" s="341">
        <f t="shared" si="58"/>
        <v>-30000</v>
      </c>
      <c r="F3558" s="347">
        <v>0</v>
      </c>
      <c r="G3558" s="396">
        <v>30000</v>
      </c>
      <c r="H3558" t="s">
        <v>1319</v>
      </c>
      <c r="I3558" s="403" t="s">
        <v>131</v>
      </c>
      <c r="K3558" s="370"/>
      <c r="N3558" s="370"/>
    </row>
    <row r="3559" spans="1:14" s="347" customFormat="1" x14ac:dyDescent="0.25">
      <c r="A3559" s="339">
        <v>44408</v>
      </c>
      <c r="B3559" s="403">
        <f t="shared" si="60"/>
        <v>7</v>
      </c>
      <c r="C3559" s="347">
        <v>1217</v>
      </c>
      <c r="D3559" s="340" t="str">
        <f>VLOOKUP(C3559,Plan!A:B,2,0)</f>
        <v>Otros Valores -Oficina y Transferencias (248)</v>
      </c>
      <c r="E3559" s="341">
        <f t="shared" si="58"/>
        <v>-21000</v>
      </c>
      <c r="F3559" s="347">
        <v>0</v>
      </c>
      <c r="G3559" s="396">
        <v>21000</v>
      </c>
      <c r="H3559" t="s">
        <v>1648</v>
      </c>
      <c r="I3559" s="403" t="s">
        <v>131</v>
      </c>
      <c r="K3559" s="370"/>
      <c r="N3559" s="370"/>
    </row>
    <row r="3560" spans="1:14" s="347" customFormat="1" x14ac:dyDescent="0.25">
      <c r="A3560" s="339">
        <v>44408</v>
      </c>
      <c r="B3560" s="403">
        <f t="shared" si="60"/>
        <v>7</v>
      </c>
      <c r="C3560" s="347">
        <v>1222</v>
      </c>
      <c r="D3560" s="340" t="str">
        <f>VLOOKUP(C3560,Plan!A:B,2,0)</f>
        <v>Otros Valores -Oficina y Transferencias (249)</v>
      </c>
      <c r="E3560" s="341">
        <f t="shared" si="58"/>
        <v>-15000</v>
      </c>
      <c r="F3560" s="347">
        <v>0</v>
      </c>
      <c r="G3560" s="396">
        <v>15000</v>
      </c>
      <c r="H3560" t="s">
        <v>688</v>
      </c>
      <c r="I3560" s="403" t="s">
        <v>131</v>
      </c>
      <c r="K3560" s="370"/>
      <c r="N3560" s="370"/>
    </row>
    <row r="3561" spans="1:14" s="347" customFormat="1" x14ac:dyDescent="0.25">
      <c r="A3561" s="339">
        <v>44408</v>
      </c>
      <c r="B3561" s="403">
        <f t="shared" si="60"/>
        <v>7</v>
      </c>
      <c r="C3561" s="347">
        <v>1222</v>
      </c>
      <c r="D3561" s="340" t="str">
        <f>VLOOKUP(C3561,Plan!A:B,2,0)</f>
        <v>Otros Valores -Oficina y Transferencias (249)</v>
      </c>
      <c r="E3561" s="341">
        <f t="shared" si="58"/>
        <v>-50000</v>
      </c>
      <c r="F3561" s="347">
        <v>0</v>
      </c>
      <c r="G3561" s="396">
        <v>50000</v>
      </c>
      <c r="H3561" t="s">
        <v>1646</v>
      </c>
      <c r="I3561" s="403" t="s">
        <v>131</v>
      </c>
      <c r="K3561" s="370"/>
      <c r="N3561" s="370"/>
    </row>
    <row r="3562" spans="1:14" s="347" customFormat="1" x14ac:dyDescent="0.25">
      <c r="A3562" s="339">
        <v>44408</v>
      </c>
      <c r="B3562" s="403">
        <f t="shared" si="60"/>
        <v>7</v>
      </c>
      <c r="C3562" s="347">
        <v>3210</v>
      </c>
      <c r="D3562" s="340" t="str">
        <f>VLOOKUP(C3562,Plan!A:B,2,0)</f>
        <v>Donacion Construccion</v>
      </c>
      <c r="E3562" s="341">
        <f t="shared" si="58"/>
        <v>-15000</v>
      </c>
      <c r="F3562" s="347">
        <v>0</v>
      </c>
      <c r="G3562" s="396">
        <v>15000</v>
      </c>
      <c r="H3562" t="s">
        <v>1644</v>
      </c>
      <c r="I3562" s="403" t="s">
        <v>131</v>
      </c>
      <c r="K3562" s="370"/>
      <c r="N3562" s="370"/>
    </row>
    <row r="3563" spans="1:14" s="347" customFormat="1" x14ac:dyDescent="0.25">
      <c r="A3563" s="339">
        <v>44408</v>
      </c>
      <c r="B3563" s="403">
        <f t="shared" si="60"/>
        <v>7</v>
      </c>
      <c r="C3563" s="347">
        <v>1222</v>
      </c>
      <c r="D3563" s="340" t="str">
        <f>VLOOKUP(C3563,Plan!A:B,2,0)</f>
        <v>Otros Valores -Oficina y Transferencias (249)</v>
      </c>
      <c r="E3563" s="341">
        <f t="shared" si="58"/>
        <v>-30000</v>
      </c>
      <c r="F3563" s="347">
        <v>0</v>
      </c>
      <c r="G3563" s="396">
        <v>30000</v>
      </c>
      <c r="H3563" t="s">
        <v>675</v>
      </c>
      <c r="I3563" s="403" t="s">
        <v>131</v>
      </c>
      <c r="K3563" s="370"/>
      <c r="N3563" s="370"/>
    </row>
    <row r="3564" spans="1:14" s="347" customFormat="1" x14ac:dyDescent="0.25">
      <c r="A3564" s="369"/>
      <c r="E3564" s="396"/>
      <c r="F3564" s="396"/>
      <c r="G3564" s="396"/>
      <c r="K3564" s="370"/>
      <c r="N3564" s="370"/>
    </row>
    <row r="3565" spans="1:14" s="347" customFormat="1" x14ac:dyDescent="0.25">
      <c r="A3565" s="339">
        <v>44408</v>
      </c>
      <c r="B3565" s="403">
        <f t="shared" ref="B3565:B3591" si="61">+MONTH(A3565)</f>
        <v>7</v>
      </c>
      <c r="C3565" s="352">
        <v>3620</v>
      </c>
      <c r="D3565" s="340" t="str">
        <f>VLOOKUP(C3565,Plan!A:B,2,0)</f>
        <v>Cali Recaudadores</v>
      </c>
      <c r="E3565" s="341">
        <f t="shared" ref="E3565:E3591" si="62">+F3565-G3565</f>
        <v>-679000</v>
      </c>
      <c r="F3565" s="353">
        <v>0</v>
      </c>
      <c r="G3565" s="353">
        <v>679000</v>
      </c>
      <c r="H3565" s="354" t="s">
        <v>1884</v>
      </c>
      <c r="I3565" s="355" t="s">
        <v>131</v>
      </c>
      <c r="K3565" s="370"/>
      <c r="N3565" s="370"/>
    </row>
    <row r="3566" spans="1:14" s="347" customFormat="1" x14ac:dyDescent="0.25">
      <c r="A3566" s="350">
        <f>+A3565</f>
        <v>44408</v>
      </c>
      <c r="B3566" s="403">
        <f t="shared" si="61"/>
        <v>7</v>
      </c>
      <c r="C3566" s="352">
        <v>3621</v>
      </c>
      <c r="D3566" s="340" t="str">
        <f>VLOOKUP(C3566,Plan!A:B,2,0)</f>
        <v>Cali Recaudadores (249)</v>
      </c>
      <c r="E3566" s="341">
        <f t="shared" si="62"/>
        <v>0</v>
      </c>
      <c r="F3566" s="353">
        <v>0</v>
      </c>
      <c r="G3566" s="353">
        <v>0</v>
      </c>
      <c r="H3566" s="354" t="str">
        <f t="shared" ref="H3566:H3573" si="63">+H3565</f>
        <v>Centralización Recaudación Julio</v>
      </c>
      <c r="I3566" s="355" t="s">
        <v>131</v>
      </c>
      <c r="K3566" s="370"/>
      <c r="N3566" s="370"/>
    </row>
    <row r="3567" spans="1:14" s="347" customFormat="1" x14ac:dyDescent="0.25">
      <c r="A3567" s="350">
        <f>+A3565</f>
        <v>44408</v>
      </c>
      <c r="B3567" s="403">
        <f t="shared" si="61"/>
        <v>7</v>
      </c>
      <c r="C3567" s="352">
        <v>3630</v>
      </c>
      <c r="D3567" s="340" t="str">
        <f>VLOOKUP(C3567,Plan!A:B,2,0)</f>
        <v>Cali Oficina Parroquial</v>
      </c>
      <c r="E3567" s="341">
        <f t="shared" si="62"/>
        <v>-879500</v>
      </c>
      <c r="F3567" s="353">
        <v>0</v>
      </c>
      <c r="G3567" s="353">
        <v>879500</v>
      </c>
      <c r="H3567" s="354" t="str">
        <f t="shared" si="63"/>
        <v>Centralización Recaudación Julio</v>
      </c>
      <c r="I3567" s="355" t="s">
        <v>131</v>
      </c>
      <c r="K3567" s="370"/>
      <c r="N3567" s="370"/>
    </row>
    <row r="3568" spans="1:14" s="347" customFormat="1" x14ac:dyDescent="0.25">
      <c r="A3568" s="350">
        <f>+A3566</f>
        <v>44408</v>
      </c>
      <c r="B3568" s="403">
        <f t="shared" si="61"/>
        <v>7</v>
      </c>
      <c r="C3568" s="352">
        <v>3631</v>
      </c>
      <c r="D3568" s="340" t="str">
        <f>VLOOKUP(C3568,Plan!A:B,2,0)</f>
        <v>Cali Oficina Parroquial (249)</v>
      </c>
      <c r="E3568" s="341">
        <f t="shared" si="62"/>
        <v>-2849000</v>
      </c>
      <c r="F3568" s="353">
        <v>0</v>
      </c>
      <c r="G3568" s="353">
        <v>2849000</v>
      </c>
      <c r="H3568" s="354" t="str">
        <f t="shared" si="63"/>
        <v>Centralización Recaudación Julio</v>
      </c>
      <c r="I3568" s="355" t="s">
        <v>131</v>
      </c>
      <c r="K3568" s="370"/>
      <c r="N3568" s="370"/>
    </row>
    <row r="3569" spans="1:14" s="347" customFormat="1" x14ac:dyDescent="0.25">
      <c r="A3569" s="350">
        <f>+A3567</f>
        <v>44408</v>
      </c>
      <c r="B3569" s="403">
        <f t="shared" si="61"/>
        <v>7</v>
      </c>
      <c r="C3569" s="352">
        <v>3640</v>
      </c>
      <c r="D3569" s="340" t="str">
        <f>VLOOKUP(C3569,Plan!A:B,2,0)</f>
        <v>Cali Tarjetas de Creditos</v>
      </c>
      <c r="E3569" s="341">
        <f t="shared" si="62"/>
        <v>-4140600</v>
      </c>
      <c r="F3569" s="353">
        <v>0</v>
      </c>
      <c r="G3569" s="353">
        <v>4140600</v>
      </c>
      <c r="H3569" s="354" t="str">
        <f t="shared" si="63"/>
        <v>Centralización Recaudación Julio</v>
      </c>
      <c r="I3569" s="355" t="s">
        <v>131</v>
      </c>
      <c r="K3569" s="370"/>
      <c r="N3569" s="370"/>
    </row>
    <row r="3570" spans="1:14" s="347" customFormat="1" x14ac:dyDescent="0.25">
      <c r="A3570" s="350">
        <f>+A3568</f>
        <v>44408</v>
      </c>
      <c r="B3570" s="403">
        <f t="shared" si="61"/>
        <v>7</v>
      </c>
      <c r="C3570" s="352">
        <v>3641</v>
      </c>
      <c r="D3570" s="340" t="str">
        <f>VLOOKUP(C3570,Plan!A:B,2,0)</f>
        <v>Cali Tarjetas de Creditos (249)</v>
      </c>
      <c r="E3570" s="341">
        <f t="shared" si="62"/>
        <v>-7542213</v>
      </c>
      <c r="F3570" s="353">
        <v>0</v>
      </c>
      <c r="G3570" s="353">
        <v>7542213</v>
      </c>
      <c r="H3570" s="354" t="str">
        <f t="shared" si="63"/>
        <v>Centralización Recaudación Julio</v>
      </c>
      <c r="I3570" s="355" t="s">
        <v>131</v>
      </c>
      <c r="K3570" s="370"/>
      <c r="N3570" s="370"/>
    </row>
    <row r="3571" spans="1:14" s="347" customFormat="1" x14ac:dyDescent="0.25">
      <c r="A3571" s="350">
        <f>+A3569</f>
        <v>44408</v>
      </c>
      <c r="B3571" s="403">
        <f t="shared" si="61"/>
        <v>7</v>
      </c>
      <c r="C3571" s="352">
        <v>1216</v>
      </c>
      <c r="D3571" s="340" t="str">
        <f>VLOOKUP(C3571,Plan!A:B,2,0)</f>
        <v>Otros Valores Recaudadoras</v>
      </c>
      <c r="E3571" s="341">
        <f t="shared" si="62"/>
        <v>679000</v>
      </c>
      <c r="F3571" s="353">
        <f>+G3565+G3566</f>
        <v>679000</v>
      </c>
      <c r="G3571" s="353">
        <v>0</v>
      </c>
      <c r="H3571" s="354" t="str">
        <f t="shared" si="63"/>
        <v>Centralización Recaudación Julio</v>
      </c>
      <c r="I3571" s="355" t="s">
        <v>131</v>
      </c>
      <c r="K3571" s="370"/>
      <c r="N3571" s="370"/>
    </row>
    <row r="3572" spans="1:14" s="347" customFormat="1" x14ac:dyDescent="0.25">
      <c r="A3572" s="350">
        <f>+A3571</f>
        <v>44408</v>
      </c>
      <c r="B3572" s="403">
        <f t="shared" si="61"/>
        <v>7</v>
      </c>
      <c r="C3572" s="352">
        <v>1217</v>
      </c>
      <c r="D3572" s="340" t="str">
        <f>VLOOKUP(C3572,Plan!A:B,2,0)</f>
        <v>Otros Valores -Oficina y Transferencias (248)</v>
      </c>
      <c r="E3572" s="341">
        <f t="shared" si="62"/>
        <v>879500</v>
      </c>
      <c r="F3572" s="353">
        <f>+G3567</f>
        <v>879500</v>
      </c>
      <c r="G3572" s="353">
        <v>0</v>
      </c>
      <c r="H3572" s="354" t="str">
        <f t="shared" si="63"/>
        <v>Centralización Recaudación Julio</v>
      </c>
      <c r="I3572" s="355" t="s">
        <v>131</v>
      </c>
      <c r="K3572" s="370"/>
      <c r="N3572" s="370"/>
    </row>
    <row r="3573" spans="1:14" s="347" customFormat="1" x14ac:dyDescent="0.25">
      <c r="A3573" s="350">
        <f>+A3572</f>
        <v>44408</v>
      </c>
      <c r="B3573" s="403">
        <f t="shared" si="61"/>
        <v>7</v>
      </c>
      <c r="C3573" s="352">
        <v>1222</v>
      </c>
      <c r="D3573" s="340" t="str">
        <f>VLOOKUP(C3573,Plan!A:B,2,0)</f>
        <v>Otros Valores -Oficina y Transferencias (249)</v>
      </c>
      <c r="E3573" s="341">
        <f t="shared" si="62"/>
        <v>2849000</v>
      </c>
      <c r="F3573" s="353">
        <f>+G3568</f>
        <v>2849000</v>
      </c>
      <c r="G3573" s="353">
        <v>0</v>
      </c>
      <c r="H3573" s="354" t="str">
        <f t="shared" si="63"/>
        <v>Centralización Recaudación Julio</v>
      </c>
      <c r="I3573" s="355" t="s">
        <v>131</v>
      </c>
      <c r="K3573" s="370"/>
      <c r="N3573" s="370"/>
    </row>
    <row r="3574" spans="1:14" s="347" customFormat="1" x14ac:dyDescent="0.25">
      <c r="A3574" s="350">
        <f>+A3572</f>
        <v>44408</v>
      </c>
      <c r="B3574" s="403">
        <f t="shared" si="61"/>
        <v>7</v>
      </c>
      <c r="C3574" s="352">
        <v>1218</v>
      </c>
      <c r="D3574" s="340" t="str">
        <f>VLOOKUP(C3574,Plan!A:B,2,0)</f>
        <v>Otros Valores Tarjeta de Credito</v>
      </c>
      <c r="E3574" s="341">
        <f t="shared" si="62"/>
        <v>11682813</v>
      </c>
      <c r="F3574" s="353">
        <f>+G3569+G3570</f>
        <v>11682813</v>
      </c>
      <c r="G3574" s="353">
        <v>0</v>
      </c>
      <c r="H3574" s="354" t="str">
        <f>+H3572</f>
        <v>Centralización Recaudación Julio</v>
      </c>
      <c r="I3574" s="355" t="s">
        <v>131</v>
      </c>
      <c r="K3574" s="370"/>
      <c r="N3574" s="370"/>
    </row>
    <row r="3575" spans="1:14" s="347" customFormat="1" x14ac:dyDescent="0.25">
      <c r="A3575" s="350">
        <f t="shared" ref="A3575:A3582" si="64">+A3574</f>
        <v>44408</v>
      </c>
      <c r="B3575" s="403">
        <f t="shared" si="61"/>
        <v>7</v>
      </c>
      <c r="C3575" s="352">
        <v>202</v>
      </c>
      <c r="D3575" s="340" t="str">
        <f>VLOOKUP(C3575,Plan!A:B,2,0)</f>
        <v>Arzobispado por pagar</v>
      </c>
      <c r="E3575" s="341">
        <f t="shared" si="62"/>
        <v>-2979034</v>
      </c>
      <c r="F3575" s="353">
        <v>0</v>
      </c>
      <c r="G3575" s="353">
        <f>+ROUND((((G3565+G3567+G3569)*0.99)*0.88)*0.6,0)</f>
        <v>2979034</v>
      </c>
      <c r="H3575" s="354" t="str">
        <f t="shared" ref="H3575:H3591" si="65">+H3574</f>
        <v>Centralización Recaudación Julio</v>
      </c>
      <c r="I3575" s="355" t="s">
        <v>131</v>
      </c>
      <c r="K3575" s="370"/>
      <c r="N3575" s="370"/>
    </row>
    <row r="3576" spans="1:14" s="347" customFormat="1" x14ac:dyDescent="0.25">
      <c r="A3576" s="350">
        <f t="shared" si="64"/>
        <v>44408</v>
      </c>
      <c r="B3576" s="403">
        <f t="shared" si="61"/>
        <v>7</v>
      </c>
      <c r="C3576" s="352">
        <v>4120</v>
      </c>
      <c r="D3576" s="340" t="str">
        <f>VLOOKUP(C3576,Plan!A:B,2,0)</f>
        <v>Aporte Arzobispado</v>
      </c>
      <c r="E3576" s="341">
        <f t="shared" si="62"/>
        <v>2979034</v>
      </c>
      <c r="F3576" s="353">
        <f>+G3575</f>
        <v>2979034</v>
      </c>
      <c r="G3576" s="353">
        <v>0</v>
      </c>
      <c r="H3576" s="354" t="str">
        <f t="shared" si="65"/>
        <v>Centralización Recaudación Julio</v>
      </c>
      <c r="I3576" s="355" t="s">
        <v>131</v>
      </c>
      <c r="K3576" s="370"/>
      <c r="N3576" s="370"/>
    </row>
    <row r="3577" spans="1:14" s="347" customFormat="1" x14ac:dyDescent="0.25">
      <c r="A3577" s="350">
        <f t="shared" si="64"/>
        <v>44408</v>
      </c>
      <c r="B3577" s="403">
        <f t="shared" si="61"/>
        <v>7</v>
      </c>
      <c r="C3577" s="352">
        <v>203</v>
      </c>
      <c r="D3577" s="340" t="str">
        <f>VLOOKUP(C3577,Plan!A:B,2,0)</f>
        <v>Recaudadoras por pagar</v>
      </c>
      <c r="E3577" s="341">
        <f t="shared" si="62"/>
        <v>-81480</v>
      </c>
      <c r="F3577" s="353">
        <v>0</v>
      </c>
      <c r="G3577" s="356">
        <f>+F3571*0.12</f>
        <v>81480</v>
      </c>
      <c r="H3577" s="354" t="str">
        <f t="shared" si="65"/>
        <v>Centralización Recaudación Julio</v>
      </c>
      <c r="I3577" s="355" t="s">
        <v>131</v>
      </c>
      <c r="K3577" s="370"/>
      <c r="N3577" s="370"/>
    </row>
    <row r="3578" spans="1:14" s="347" customFormat="1" x14ac:dyDescent="0.25">
      <c r="A3578" s="350">
        <f t="shared" si="64"/>
        <v>44408</v>
      </c>
      <c r="B3578" s="403">
        <f t="shared" si="61"/>
        <v>7</v>
      </c>
      <c r="C3578" s="352">
        <v>201</v>
      </c>
      <c r="D3578" s="340" t="str">
        <f>VLOOKUP(C3578,Plan!A:B,2,0)</f>
        <v>1% por pagar</v>
      </c>
      <c r="E3578" s="341">
        <f t="shared" si="62"/>
        <v>-160903</v>
      </c>
      <c r="F3578" s="353">
        <v>0</v>
      </c>
      <c r="G3578" s="356">
        <f>ROUND(SUM(G3565:G3570)*0.01,0)</f>
        <v>160903</v>
      </c>
      <c r="H3578" s="354" t="str">
        <f t="shared" si="65"/>
        <v>Centralización Recaudación Julio</v>
      </c>
      <c r="I3578" s="355" t="s">
        <v>131</v>
      </c>
      <c r="K3578" s="370"/>
      <c r="N3578" s="370"/>
    </row>
    <row r="3579" spans="1:14" s="347" customFormat="1" x14ac:dyDescent="0.25">
      <c r="A3579" s="350">
        <f t="shared" si="64"/>
        <v>44408</v>
      </c>
      <c r="B3579" s="403">
        <f t="shared" si="61"/>
        <v>7</v>
      </c>
      <c r="C3579" s="352">
        <v>4140</v>
      </c>
      <c r="D3579" s="340" t="str">
        <f>VLOOKUP(C3579,Plan!A:B,2,0)</f>
        <v>Comisiones Cali Recaudadores</v>
      </c>
      <c r="E3579" s="341">
        <f t="shared" si="62"/>
        <v>81480</v>
      </c>
      <c r="F3579" s="353">
        <f>+G3577</f>
        <v>81480</v>
      </c>
      <c r="G3579" s="353">
        <v>0</v>
      </c>
      <c r="H3579" s="354" t="str">
        <f t="shared" si="65"/>
        <v>Centralización Recaudación Julio</v>
      </c>
      <c r="I3579" s="355" t="s">
        <v>131</v>
      </c>
      <c r="K3579" s="370"/>
      <c r="N3579" s="370"/>
    </row>
    <row r="3580" spans="1:14" s="347" customFormat="1" x14ac:dyDescent="0.25">
      <c r="A3580" s="350">
        <f t="shared" si="64"/>
        <v>44408</v>
      </c>
      <c r="B3580" s="403">
        <f t="shared" si="61"/>
        <v>7</v>
      </c>
      <c r="C3580" s="352">
        <v>4110</v>
      </c>
      <c r="D3580" s="340" t="str">
        <f>VLOOKUP(C3580,Plan!A:B,2,0)</f>
        <v>Aporte Papal</v>
      </c>
      <c r="E3580" s="341">
        <f t="shared" si="62"/>
        <v>160903</v>
      </c>
      <c r="F3580" s="353">
        <f>+G3578</f>
        <v>160903</v>
      </c>
      <c r="G3580" s="353">
        <v>0</v>
      </c>
      <c r="H3580" s="354" t="str">
        <f t="shared" si="65"/>
        <v>Centralización Recaudación Julio</v>
      </c>
      <c r="I3580" s="355" t="s">
        <v>131</v>
      </c>
      <c r="K3580" s="370"/>
      <c r="N3580" s="370"/>
    </row>
    <row r="3581" spans="1:14" s="347" customFormat="1" x14ac:dyDescent="0.25">
      <c r="A3581" s="470">
        <f t="shared" si="64"/>
        <v>44408</v>
      </c>
      <c r="B3581" s="403">
        <f t="shared" si="61"/>
        <v>7</v>
      </c>
      <c r="C3581" s="471">
        <v>3610</v>
      </c>
      <c r="D3581" s="472" t="str">
        <f>VLOOKUP(C3581,Plan!A:B,2,0)</f>
        <v>Cali  Arzobispado</v>
      </c>
      <c r="E3581" s="341">
        <f t="shared" si="62"/>
        <v>-5958308</v>
      </c>
      <c r="F3581" s="473">
        <v>0</v>
      </c>
      <c r="G3581" s="473">
        <v>5958308</v>
      </c>
      <c r="H3581" s="474" t="str">
        <f t="shared" si="65"/>
        <v>Centralización Recaudación Julio</v>
      </c>
      <c r="I3581" s="474" t="s">
        <v>131</v>
      </c>
      <c r="K3581" s="370"/>
      <c r="N3581" s="370"/>
    </row>
    <row r="3582" spans="1:14" s="347" customFormat="1" x14ac:dyDescent="0.25">
      <c r="A3582" s="470">
        <f t="shared" si="64"/>
        <v>44408</v>
      </c>
      <c r="B3582" s="403">
        <f t="shared" si="61"/>
        <v>7</v>
      </c>
      <c r="C3582" s="471">
        <v>3611</v>
      </c>
      <c r="D3582" s="472" t="str">
        <f>VLOOKUP(C3582,Plan!A:B,2,0)</f>
        <v>Cali  Arzobispado (249)</v>
      </c>
      <c r="E3582" s="341">
        <f t="shared" si="62"/>
        <v>-2000500</v>
      </c>
      <c r="F3582" s="473">
        <v>0</v>
      </c>
      <c r="G3582" s="473">
        <v>2000500</v>
      </c>
      <c r="H3582" s="474" t="str">
        <f t="shared" si="65"/>
        <v>Centralización Recaudación Julio</v>
      </c>
      <c r="I3582" s="474" t="s">
        <v>131</v>
      </c>
      <c r="K3582" s="370"/>
      <c r="N3582" s="370"/>
    </row>
    <row r="3583" spans="1:14" s="347" customFormat="1" x14ac:dyDescent="0.25">
      <c r="A3583" s="470">
        <f>+A3581</f>
        <v>44408</v>
      </c>
      <c r="B3583" s="403">
        <f t="shared" si="61"/>
        <v>7</v>
      </c>
      <c r="C3583" s="471">
        <v>4160</v>
      </c>
      <c r="D3583" s="472" t="str">
        <f>VLOOKUP(C3583,Plan!A:B,2,0)</f>
        <v>Comisiones Cali Arzobispado</v>
      </c>
      <c r="E3583" s="341">
        <f t="shared" si="62"/>
        <v>411907</v>
      </c>
      <c r="F3583" s="473">
        <v>411907</v>
      </c>
      <c r="G3583" s="473">
        <v>0</v>
      </c>
      <c r="H3583" s="474" t="str">
        <f t="shared" si="65"/>
        <v>Centralización Recaudación Julio</v>
      </c>
      <c r="I3583" s="474" t="s">
        <v>131</v>
      </c>
      <c r="K3583" s="370"/>
      <c r="N3583" s="370"/>
    </row>
    <row r="3584" spans="1:14" s="347" customFormat="1" x14ac:dyDescent="0.25">
      <c r="A3584" s="470">
        <f>+A3582</f>
        <v>44408</v>
      </c>
      <c r="B3584" s="403">
        <f t="shared" si="61"/>
        <v>7</v>
      </c>
      <c r="C3584" s="471">
        <v>4160</v>
      </c>
      <c r="D3584" s="472" t="str">
        <f>VLOOKUP(C3584,Plan!A:B,2,0)</f>
        <v>Comisiones Cali Arzobispado</v>
      </c>
      <c r="E3584" s="341">
        <f t="shared" si="62"/>
        <v>50013</v>
      </c>
      <c r="F3584" s="473">
        <v>50013</v>
      </c>
      <c r="G3584" s="473">
        <v>0</v>
      </c>
      <c r="H3584" s="474" t="str">
        <f t="shared" si="65"/>
        <v>Centralización Recaudación Julio</v>
      </c>
      <c r="I3584" s="474" t="s">
        <v>131</v>
      </c>
      <c r="K3584" s="370"/>
      <c r="N3584" s="370"/>
    </row>
    <row r="3585" spans="1:14" s="347" customFormat="1" x14ac:dyDescent="0.25">
      <c r="A3585" s="350">
        <f>+A3583</f>
        <v>44408</v>
      </c>
      <c r="B3585" s="403">
        <f t="shared" si="61"/>
        <v>7</v>
      </c>
      <c r="C3585" s="352">
        <v>4120</v>
      </c>
      <c r="D3585" s="340" t="str">
        <f>VLOOKUP(C3585,Plan!A:B,2,0)</f>
        <v>Aporte Arzobispado</v>
      </c>
      <c r="E3585" s="341">
        <f t="shared" si="62"/>
        <v>3292091</v>
      </c>
      <c r="F3585" s="353">
        <f>ROUND((+G3581-F3583-F3586)*0.6,0)</f>
        <v>3292091</v>
      </c>
      <c r="G3585" s="353">
        <v>0</v>
      </c>
      <c r="H3585" s="354" t="str">
        <f t="shared" si="65"/>
        <v>Centralización Recaudación Julio</v>
      </c>
      <c r="I3585" s="355" t="s">
        <v>131</v>
      </c>
      <c r="K3585" s="370"/>
      <c r="N3585" s="370"/>
    </row>
    <row r="3586" spans="1:14" s="347" customFormat="1" x14ac:dyDescent="0.25">
      <c r="A3586" s="350">
        <f>+A3585</f>
        <v>44408</v>
      </c>
      <c r="B3586" s="403">
        <f t="shared" si="61"/>
        <v>7</v>
      </c>
      <c r="C3586" s="352">
        <v>4110</v>
      </c>
      <c r="D3586" s="340" t="str">
        <f>VLOOKUP(C3586,Plan!A:B,2,0)</f>
        <v>Aporte Papal</v>
      </c>
      <c r="E3586" s="341">
        <f t="shared" si="62"/>
        <v>59583</v>
      </c>
      <c r="F3586" s="353">
        <f>ROUND((+G3581)*0.01,0)</f>
        <v>59583</v>
      </c>
      <c r="G3586" s="353">
        <v>0</v>
      </c>
      <c r="H3586" s="354" t="str">
        <f t="shared" si="65"/>
        <v>Centralización Recaudación Julio</v>
      </c>
      <c r="I3586" s="355" t="s">
        <v>131</v>
      </c>
      <c r="K3586" s="370"/>
      <c r="N3586" s="370"/>
    </row>
    <row r="3587" spans="1:14" s="347" customFormat="1" x14ac:dyDescent="0.25">
      <c r="A3587" s="350">
        <f>+A3586</f>
        <v>44408</v>
      </c>
      <c r="B3587" s="403">
        <f t="shared" si="61"/>
        <v>7</v>
      </c>
      <c r="C3587" s="352">
        <v>4110</v>
      </c>
      <c r="D3587" s="340" t="str">
        <f>VLOOKUP(C3587,Plan!A:B,2,0)</f>
        <v>Aporte Papal</v>
      </c>
      <c r="E3587" s="341">
        <f t="shared" si="62"/>
        <v>20005</v>
      </c>
      <c r="F3587" s="353">
        <f>(+G3582)*0.01</f>
        <v>20005</v>
      </c>
      <c r="G3587" s="353">
        <v>0</v>
      </c>
      <c r="H3587" s="354" t="str">
        <f t="shared" si="65"/>
        <v>Centralización Recaudación Julio</v>
      </c>
      <c r="I3587" s="355" t="s">
        <v>131</v>
      </c>
      <c r="K3587" s="370"/>
      <c r="N3587" s="370"/>
    </row>
    <row r="3588" spans="1:14" s="347" customFormat="1" x14ac:dyDescent="0.25">
      <c r="A3588" s="350">
        <f>+A3586</f>
        <v>44408</v>
      </c>
      <c r="B3588" s="403">
        <f t="shared" si="61"/>
        <v>7</v>
      </c>
      <c r="C3588" s="352">
        <v>1219</v>
      </c>
      <c r="D3588" s="340" t="str">
        <f>VLOOKUP(C3588,Plan!A:B,2,0)</f>
        <v>Otros Valores Arzobispado (248)</v>
      </c>
      <c r="E3588" s="341">
        <f t="shared" si="62"/>
        <v>2194727</v>
      </c>
      <c r="F3588" s="353">
        <f>+G3581-F3583-F3585-F3586</f>
        <v>2194727</v>
      </c>
      <c r="G3588" s="353">
        <v>0</v>
      </c>
      <c r="H3588" s="354" t="str">
        <f t="shared" si="65"/>
        <v>Centralización Recaudación Julio</v>
      </c>
      <c r="I3588" s="355" t="s">
        <v>131</v>
      </c>
      <c r="K3588" s="370"/>
      <c r="N3588" s="370"/>
    </row>
    <row r="3589" spans="1:14" s="347" customFormat="1" x14ac:dyDescent="0.25">
      <c r="A3589" s="350">
        <f>+A3588</f>
        <v>44408</v>
      </c>
      <c r="B3589" s="403">
        <f t="shared" si="61"/>
        <v>7</v>
      </c>
      <c r="C3589" s="352">
        <v>1220</v>
      </c>
      <c r="D3589" s="340" t="str">
        <f>VLOOKUP(C3589,Plan!A:B,2,0)</f>
        <v>Otros Valores Arzobispado (249)</v>
      </c>
      <c r="E3589" s="341">
        <f t="shared" si="62"/>
        <v>1930482</v>
      </c>
      <c r="F3589" s="353">
        <f>+G3582-F3584-F3587</f>
        <v>1930482</v>
      </c>
      <c r="G3589" s="353">
        <v>0</v>
      </c>
      <c r="H3589" s="354" t="str">
        <f t="shared" si="65"/>
        <v>Centralización Recaudación Julio</v>
      </c>
      <c r="I3589" s="355" t="s">
        <v>131</v>
      </c>
      <c r="K3589" s="370"/>
      <c r="N3589" s="370"/>
    </row>
    <row r="3590" spans="1:14" s="347" customFormat="1" x14ac:dyDescent="0.25">
      <c r="A3590" s="350">
        <f>+A3588</f>
        <v>44408</v>
      </c>
      <c r="B3590" s="403">
        <f t="shared" si="61"/>
        <v>7</v>
      </c>
      <c r="C3590" s="352">
        <v>1218</v>
      </c>
      <c r="D3590" s="340" t="str">
        <f>VLOOKUP(C3590,Plan!A:B,2,0)</f>
        <v>Otros Valores Tarjeta de Credito</v>
      </c>
      <c r="E3590" s="341">
        <f t="shared" si="62"/>
        <v>-139025</v>
      </c>
      <c r="F3590" s="353">
        <f>+G3583+G3585</f>
        <v>0</v>
      </c>
      <c r="G3590" s="353">
        <f>+F3591</f>
        <v>139025</v>
      </c>
      <c r="H3590" s="354" t="str">
        <f t="shared" si="65"/>
        <v>Centralización Recaudación Julio</v>
      </c>
      <c r="I3590" s="355" t="s">
        <v>131</v>
      </c>
      <c r="K3590" s="370"/>
      <c r="N3590" s="370"/>
    </row>
    <row r="3591" spans="1:14" s="347" customFormat="1" x14ac:dyDescent="0.25">
      <c r="A3591" s="350">
        <f>+A3588</f>
        <v>44408</v>
      </c>
      <c r="B3591" s="403">
        <f t="shared" si="61"/>
        <v>7</v>
      </c>
      <c r="C3591" s="352">
        <v>4150</v>
      </c>
      <c r="D3591" s="340" t="str">
        <f>VLOOKUP(C3591,Plan!A:B,2,0)</f>
        <v>Comisiones Cali Tarjetas de Creditos</v>
      </c>
      <c r="E3591" s="341">
        <f t="shared" si="62"/>
        <v>139025</v>
      </c>
      <c r="F3591" s="353">
        <f>ROUND(+(G3570+G3569)*(1-0.9881),0)*1</f>
        <v>139025</v>
      </c>
      <c r="G3591" s="353">
        <v>0</v>
      </c>
      <c r="H3591" s="354" t="str">
        <f t="shared" si="65"/>
        <v>Centralización Recaudación Julio</v>
      </c>
      <c r="I3591" s="355" t="s">
        <v>131</v>
      </c>
      <c r="K3591" s="370"/>
      <c r="N3591" s="370"/>
    </row>
    <row r="3592" spans="1:14" s="347" customFormat="1" x14ac:dyDescent="0.25">
      <c r="A3592" s="350"/>
      <c r="B3592" s="403"/>
      <c r="C3592" s="352"/>
      <c r="D3592" s="340"/>
      <c r="E3592" s="341"/>
      <c r="F3592" s="353"/>
      <c r="G3592" s="353"/>
      <c r="H3592" s="354"/>
      <c r="I3592" s="355"/>
      <c r="K3592" s="370"/>
      <c r="N3592" s="370"/>
    </row>
    <row r="3593" spans="1:14" s="347" customFormat="1" x14ac:dyDescent="0.25">
      <c r="A3593" s="402">
        <f>+A3567</f>
        <v>44408</v>
      </c>
      <c r="B3593" s="403">
        <f>+B3567</f>
        <v>7</v>
      </c>
      <c r="C3593" s="338">
        <v>125</v>
      </c>
      <c r="D3593" s="340" t="str">
        <f>VLOOKUP(C3593,Plan!A:B,2,0)</f>
        <v>Depósito a plazo Cali</v>
      </c>
      <c r="E3593" s="341">
        <f>+F3593-G3593</f>
        <v>0</v>
      </c>
      <c r="F3593" s="346">
        <v>0</v>
      </c>
      <c r="G3593" s="346">
        <v>0</v>
      </c>
      <c r="H3593" s="343" t="s">
        <v>858</v>
      </c>
      <c r="I3593" s="340" t="s">
        <v>131</v>
      </c>
      <c r="K3593" s="370"/>
      <c r="N3593" s="370"/>
    </row>
    <row r="3594" spans="1:14" s="347" customFormat="1" x14ac:dyDescent="0.25">
      <c r="A3594" s="402">
        <f>+A3593</f>
        <v>44408</v>
      </c>
      <c r="B3594" s="403">
        <f>+B3593</f>
        <v>7</v>
      </c>
      <c r="C3594" s="338">
        <v>6002</v>
      </c>
      <c r="D3594" s="340" t="str">
        <f>VLOOKUP(C3594,Plan!A:B,2,0)</f>
        <v>Intereses Financieros Cali</v>
      </c>
      <c r="E3594" s="341">
        <f>+F3594-G3594</f>
        <v>0</v>
      </c>
      <c r="F3594" s="346">
        <v>0</v>
      </c>
      <c r="G3594" s="346">
        <f>+F3593</f>
        <v>0</v>
      </c>
      <c r="H3594" s="338" t="s">
        <v>858</v>
      </c>
      <c r="I3594" s="340" t="s">
        <v>131</v>
      </c>
      <c r="K3594" s="370"/>
      <c r="N3594" s="370"/>
    </row>
    <row r="3595" spans="1:14" s="347" customFormat="1" x14ac:dyDescent="0.25">
      <c r="A3595" s="339"/>
      <c r="B3595" s="340"/>
      <c r="C3595" s="338"/>
      <c r="D3595" s="340"/>
      <c r="E3595" s="396"/>
      <c r="F3595" s="396"/>
      <c r="G3595" s="396"/>
      <c r="H3595" s="338"/>
      <c r="I3595" s="340"/>
      <c r="K3595" s="370"/>
      <c r="N3595" s="370"/>
    </row>
    <row r="3596" spans="1:14" s="347" customFormat="1" x14ac:dyDescent="0.25">
      <c r="A3596" s="402">
        <f>+A3593</f>
        <v>44408</v>
      </c>
      <c r="B3596" s="403">
        <f>+B3593</f>
        <v>7</v>
      </c>
      <c r="C3596" s="338">
        <v>118</v>
      </c>
      <c r="D3596" s="340" t="str">
        <f>VLOOKUP(C3596,Plan!A:B,2,0)</f>
        <v>Depósito a plazo Cali Banco Security</v>
      </c>
      <c r="E3596" s="341">
        <f>+F3596-G3596</f>
        <v>0</v>
      </c>
      <c r="F3596" s="346">
        <v>0</v>
      </c>
      <c r="G3596" s="346">
        <v>0</v>
      </c>
      <c r="H3596" s="343" t="s">
        <v>859</v>
      </c>
      <c r="I3596" s="340" t="s">
        <v>131</v>
      </c>
      <c r="K3596" s="370"/>
      <c r="N3596" s="370"/>
    </row>
    <row r="3597" spans="1:14" s="347" customFormat="1" x14ac:dyDescent="0.25">
      <c r="A3597" s="402">
        <f>+A3596</f>
        <v>44408</v>
      </c>
      <c r="B3597" s="403">
        <f>+B3596</f>
        <v>7</v>
      </c>
      <c r="C3597" s="338">
        <v>6002</v>
      </c>
      <c r="D3597" s="340" t="str">
        <f>VLOOKUP(C3597,Plan!A:B,2,0)</f>
        <v>Intereses Financieros Cali</v>
      </c>
      <c r="E3597" s="341">
        <f>+F3597-G3597</f>
        <v>0</v>
      </c>
      <c r="F3597" s="346">
        <v>0</v>
      </c>
      <c r="G3597" s="346">
        <f>+F3596</f>
        <v>0</v>
      </c>
      <c r="H3597" s="338" t="s">
        <v>859</v>
      </c>
      <c r="I3597" s="340" t="s">
        <v>131</v>
      </c>
      <c r="K3597" s="370"/>
      <c r="N3597" s="370"/>
    </row>
    <row r="3598" spans="1:14" s="347" customFormat="1" x14ac:dyDescent="0.25">
      <c r="A3598" s="339"/>
      <c r="B3598" s="340"/>
      <c r="C3598" s="338"/>
      <c r="D3598" s="340"/>
      <c r="E3598" s="396"/>
      <c r="F3598" s="396"/>
      <c r="G3598" s="396"/>
      <c r="H3598" s="338"/>
      <c r="I3598" s="340"/>
      <c r="K3598" s="370"/>
      <c r="N3598" s="370"/>
    </row>
    <row r="3599" spans="1:14" s="347" customFormat="1" x14ac:dyDescent="0.25">
      <c r="A3599" s="402">
        <f>+A3596</f>
        <v>44408</v>
      </c>
      <c r="B3599" s="403">
        <f>+B3596</f>
        <v>7</v>
      </c>
      <c r="C3599" s="338">
        <v>119</v>
      </c>
      <c r="D3599" s="340" t="str">
        <f>VLOOKUP(C3599,Plan!A:B,2,0)</f>
        <v>FM Cali Banco Security</v>
      </c>
      <c r="E3599" s="341">
        <f>+F3599-G3599</f>
        <v>15187</v>
      </c>
      <c r="F3599" s="346">
        <v>15187</v>
      </c>
      <c r="G3599" s="346">
        <v>0</v>
      </c>
      <c r="H3599" s="343" t="s">
        <v>554</v>
      </c>
      <c r="I3599" s="340" t="s">
        <v>131</v>
      </c>
      <c r="K3599" s="370"/>
      <c r="N3599" s="370"/>
    </row>
    <row r="3600" spans="1:14" s="347" customFormat="1" x14ac:dyDescent="0.25">
      <c r="A3600" s="402">
        <f>+A3599</f>
        <v>44408</v>
      </c>
      <c r="B3600" s="403">
        <f>+B3599</f>
        <v>7</v>
      </c>
      <c r="C3600" s="338">
        <v>6002</v>
      </c>
      <c r="D3600" s="340" t="str">
        <f>VLOOKUP(C3600,Plan!A:B,2,0)</f>
        <v>Intereses Financieros Cali</v>
      </c>
      <c r="E3600" s="341">
        <f>+F3600-G3600</f>
        <v>-15187</v>
      </c>
      <c r="F3600" s="346">
        <v>0</v>
      </c>
      <c r="G3600" s="346">
        <f>+F3599</f>
        <v>15187</v>
      </c>
      <c r="H3600" s="338" t="s">
        <v>554</v>
      </c>
      <c r="I3600" s="340" t="s">
        <v>131</v>
      </c>
      <c r="K3600" s="370"/>
      <c r="N3600" s="370"/>
    </row>
    <row r="3601" spans="1:14" s="347" customFormat="1" x14ac:dyDescent="0.25">
      <c r="A3601" s="369"/>
      <c r="E3601" s="396"/>
      <c r="F3601" s="396"/>
      <c r="G3601" s="396"/>
      <c r="K3601" s="370"/>
      <c r="N3601" s="370"/>
    </row>
    <row r="3602" spans="1:14" s="347" customFormat="1" x14ac:dyDescent="0.25">
      <c r="A3602" s="402">
        <f>+A3599</f>
        <v>44408</v>
      </c>
      <c r="B3602" s="403">
        <f>+B3599</f>
        <v>7</v>
      </c>
      <c r="C3602" s="338">
        <v>113</v>
      </c>
      <c r="D3602" s="340" t="str">
        <f>VLOOKUP(C3602,Plan!A:B,2,0)</f>
        <v>Depósito a plazo Cali Banco Santander</v>
      </c>
      <c r="E3602" s="341">
        <f>+F3602-G3602</f>
        <v>215100</v>
      </c>
      <c r="F3602" s="346">
        <v>215100</v>
      </c>
      <c r="G3602" s="346">
        <v>0</v>
      </c>
      <c r="H3602" s="343" t="s">
        <v>2122</v>
      </c>
      <c r="I3602" s="340" t="s">
        <v>131</v>
      </c>
      <c r="K3602" s="370"/>
      <c r="N3602" s="370"/>
    </row>
    <row r="3603" spans="1:14" s="347" customFormat="1" x14ac:dyDescent="0.25">
      <c r="A3603" s="402">
        <f>+A3602</f>
        <v>44408</v>
      </c>
      <c r="B3603" s="403">
        <f>+B3602</f>
        <v>7</v>
      </c>
      <c r="C3603" s="338">
        <v>6002</v>
      </c>
      <c r="D3603" s="340" t="str">
        <f>VLOOKUP(C3603,Plan!A:B,2,0)</f>
        <v>Intereses Financieros Cali</v>
      </c>
      <c r="E3603" s="341">
        <f>+F3603-G3603</f>
        <v>-215100</v>
      </c>
      <c r="F3603" s="346">
        <v>0</v>
      </c>
      <c r="G3603" s="346">
        <f>+F3602</f>
        <v>215100</v>
      </c>
      <c r="H3603" s="338" t="str">
        <f>+H3602</f>
        <v>Intereses Devengados DAP Santander</v>
      </c>
      <c r="I3603" s="340" t="s">
        <v>131</v>
      </c>
      <c r="K3603" s="370"/>
      <c r="N3603" s="370"/>
    </row>
    <row r="3604" spans="1:14" s="347" customFormat="1" x14ac:dyDescent="0.25">
      <c r="A3604" s="369"/>
      <c r="E3604" s="396"/>
      <c r="F3604" s="396"/>
      <c r="G3604" s="396"/>
      <c r="K3604" s="370"/>
      <c r="N3604" s="370"/>
    </row>
    <row r="3605" spans="1:14" s="347" customFormat="1" x14ac:dyDescent="0.25">
      <c r="A3605" s="350">
        <f>+A3591</f>
        <v>44408</v>
      </c>
      <c r="B3605" s="403">
        <f>+MONTH(A3605)</f>
        <v>7</v>
      </c>
      <c r="C3605" s="352">
        <v>1130</v>
      </c>
      <c r="D3605" s="340" t="str">
        <f>VLOOKUP(C3605,Plan!A:B,2,0)</f>
        <v>Disponible Ch. Fecha</v>
      </c>
      <c r="E3605" s="341">
        <f>+F3605-G3605</f>
        <v>35000</v>
      </c>
      <c r="F3605" s="353">
        <v>35000</v>
      </c>
      <c r="G3605" s="353">
        <v>0</v>
      </c>
      <c r="H3605" s="354" t="s">
        <v>1887</v>
      </c>
      <c r="I3605" s="355" t="s">
        <v>131</v>
      </c>
      <c r="K3605" s="370"/>
      <c r="N3605" s="370"/>
    </row>
    <row r="3606" spans="1:14" s="347" customFormat="1" x14ac:dyDescent="0.25">
      <c r="A3606" s="350">
        <f>+A3591</f>
        <v>44408</v>
      </c>
      <c r="B3606" s="403">
        <f>+MONTH(A3606)</f>
        <v>7</v>
      </c>
      <c r="C3606" s="352">
        <v>1216</v>
      </c>
      <c r="D3606" s="340" t="str">
        <f>VLOOKUP(C3606,Plan!A:B,2,0)</f>
        <v>Otros Valores Recaudadoras</v>
      </c>
      <c r="E3606" s="341">
        <f>+F3606-G3606</f>
        <v>-35000</v>
      </c>
      <c r="F3606" s="353">
        <v>0</v>
      </c>
      <c r="G3606" s="353">
        <v>35000</v>
      </c>
      <c r="H3606" s="354" t="str">
        <f>+H3605</f>
        <v>CHEQUE A FECHA</v>
      </c>
      <c r="I3606" s="355" t="s">
        <v>131</v>
      </c>
      <c r="K3606" s="370"/>
      <c r="N3606" s="370"/>
    </row>
    <row r="3607" spans="1:14" s="347" customFormat="1" x14ac:dyDescent="0.25">
      <c r="A3607" s="369"/>
      <c r="E3607" s="396"/>
      <c r="F3607" s="396"/>
      <c r="G3607" s="396"/>
      <c r="K3607" s="370"/>
      <c r="N3607" s="370"/>
    </row>
    <row r="3608" spans="1:14" s="347" customFormat="1" x14ac:dyDescent="0.25">
      <c r="A3608" s="350">
        <v>44410</v>
      </c>
      <c r="B3608" s="403">
        <f>+MONTH(A3608)</f>
        <v>8</v>
      </c>
      <c r="C3608" s="352">
        <v>115</v>
      </c>
      <c r="D3608" s="340" t="str">
        <f>VLOOKUP(C3608,Plan!A:B,2,0)</f>
        <v>Disponible Cali B.Chile</v>
      </c>
      <c r="E3608" s="341">
        <f>+F3608-G3608</f>
        <v>25000</v>
      </c>
      <c r="F3608" s="353">
        <v>25000</v>
      </c>
      <c r="G3608" s="353">
        <f>+F3609</f>
        <v>0</v>
      </c>
      <c r="H3608" t="s">
        <v>1413</v>
      </c>
      <c r="I3608" s="355" t="s">
        <v>131</v>
      </c>
      <c r="K3608" s="370"/>
      <c r="N3608" s="370"/>
    </row>
    <row r="3609" spans="1:14" s="347" customFormat="1" x14ac:dyDescent="0.25">
      <c r="A3609" s="350">
        <f>+A3608</f>
        <v>44410</v>
      </c>
      <c r="B3609" s="403">
        <f>+MONTH(A3609)</f>
        <v>8</v>
      </c>
      <c r="C3609" s="352">
        <v>1217</v>
      </c>
      <c r="D3609" s="340" t="str">
        <f>VLOOKUP(C3609,Plan!A:B,2,0)</f>
        <v>Otros Valores -Oficina y Transferencias (248)</v>
      </c>
      <c r="E3609" s="341">
        <f>+F3609-G3609</f>
        <v>-25000</v>
      </c>
      <c r="F3609" s="353">
        <v>0</v>
      </c>
      <c r="G3609" s="353">
        <f>+F3608</f>
        <v>25000</v>
      </c>
      <c r="H3609" s="354" t="str">
        <f>+H3608</f>
        <v>María Macarena Besa Prieto/248</v>
      </c>
      <c r="I3609" s="355" t="s">
        <v>131</v>
      </c>
      <c r="K3609" s="370"/>
      <c r="N3609" s="370"/>
    </row>
    <row r="3610" spans="1:14" s="347" customFormat="1" x14ac:dyDescent="0.25">
      <c r="A3610" s="369"/>
      <c r="E3610" s="396"/>
      <c r="F3610" s="396"/>
      <c r="G3610" s="396"/>
      <c r="K3610" s="370"/>
      <c r="N3610" s="370"/>
    </row>
    <row r="3611" spans="1:14" s="347" customFormat="1" x14ac:dyDescent="0.25">
      <c r="A3611" s="350">
        <v>44410</v>
      </c>
      <c r="B3611" s="403">
        <f>+MONTH(A3611)</f>
        <v>8</v>
      </c>
      <c r="C3611" s="352">
        <v>115</v>
      </c>
      <c r="D3611" s="340" t="str">
        <f>VLOOKUP(C3611,Plan!A:B,2,0)</f>
        <v>Disponible Cali B.Chile</v>
      </c>
      <c r="E3611" s="341">
        <f>+F3611-G3611</f>
        <v>20000</v>
      </c>
      <c r="F3611" s="353">
        <v>20000</v>
      </c>
      <c r="G3611" s="353">
        <f>+F3612</f>
        <v>0</v>
      </c>
      <c r="H3611" t="s">
        <v>963</v>
      </c>
      <c r="I3611" s="355" t="s">
        <v>131</v>
      </c>
      <c r="K3611" s="370"/>
      <c r="N3611" s="370"/>
    </row>
    <row r="3612" spans="1:14" s="347" customFormat="1" x14ac:dyDescent="0.25">
      <c r="A3612" s="350">
        <f>+A3611</f>
        <v>44410</v>
      </c>
      <c r="B3612" s="403">
        <f>+MONTH(A3612)</f>
        <v>8</v>
      </c>
      <c r="C3612" s="352">
        <v>1222</v>
      </c>
      <c r="D3612" s="340" t="str">
        <f>VLOOKUP(C3612,Plan!A:B,2,0)</f>
        <v>Otros Valores -Oficina y Transferencias (249)</v>
      </c>
      <c r="E3612" s="341">
        <f>+F3612-G3612</f>
        <v>-20000</v>
      </c>
      <c r="F3612" s="353">
        <v>0</v>
      </c>
      <c r="G3612" s="353">
        <f>+F3611</f>
        <v>20000</v>
      </c>
      <c r="H3612" s="354" t="str">
        <f>+H3611</f>
        <v>Benjamín Gutierrez Perlwitz / 249</v>
      </c>
      <c r="I3612" s="355" t="s">
        <v>131</v>
      </c>
      <c r="K3612" s="370"/>
      <c r="N3612" s="370"/>
    </row>
    <row r="3613" spans="1:14" s="347" customFormat="1" x14ac:dyDescent="0.25">
      <c r="A3613" s="369"/>
      <c r="E3613" s="396"/>
      <c r="F3613" s="396"/>
      <c r="G3613" s="396"/>
      <c r="K3613" s="370"/>
      <c r="N3613" s="370"/>
    </row>
    <row r="3614" spans="1:14" s="347" customFormat="1" x14ac:dyDescent="0.25">
      <c r="A3614" s="350">
        <v>44410</v>
      </c>
      <c r="B3614" s="403">
        <f>+MONTH(A3614)</f>
        <v>8</v>
      </c>
      <c r="C3614" s="352">
        <v>115</v>
      </c>
      <c r="D3614" s="340" t="str">
        <f>VLOOKUP(C3614,Plan!A:B,2,0)</f>
        <v>Disponible Cali B.Chile</v>
      </c>
      <c r="E3614" s="341">
        <f>+F3614-G3614</f>
        <v>20000</v>
      </c>
      <c r="F3614" s="353">
        <v>20000</v>
      </c>
      <c r="G3614" s="353">
        <f>+F3615</f>
        <v>0</v>
      </c>
      <c r="H3614" t="s">
        <v>1026</v>
      </c>
      <c r="I3614" s="355" t="s">
        <v>131</v>
      </c>
      <c r="K3614" s="370"/>
      <c r="N3614" s="370"/>
    </row>
    <row r="3615" spans="1:14" s="347" customFormat="1" x14ac:dyDescent="0.25">
      <c r="A3615" s="350">
        <f>+A3614</f>
        <v>44410</v>
      </c>
      <c r="B3615" s="403">
        <f>+MONTH(A3615)</f>
        <v>8</v>
      </c>
      <c r="C3615" s="352">
        <v>3210</v>
      </c>
      <c r="D3615" s="340" t="str">
        <f>VLOOKUP(C3615,Plan!A:B,2,0)</f>
        <v>Donacion Construccion</v>
      </c>
      <c r="E3615" s="341">
        <f>+F3615-G3615</f>
        <v>-20000</v>
      </c>
      <c r="F3615" s="353">
        <v>0</v>
      </c>
      <c r="G3615" s="353">
        <f>+F3614</f>
        <v>20000</v>
      </c>
      <c r="H3615" s="354" t="str">
        <f>+H3614</f>
        <v>Daniela Lubiano/azul</v>
      </c>
      <c r="I3615" s="355" t="s">
        <v>131</v>
      </c>
      <c r="K3615" s="370"/>
      <c r="N3615" s="370"/>
    </row>
    <row r="3616" spans="1:14" s="347" customFormat="1" x14ac:dyDescent="0.25">
      <c r="A3616" s="369"/>
      <c r="E3616" s="396"/>
      <c r="F3616" s="396"/>
      <c r="G3616" s="396"/>
      <c r="K3616" s="370"/>
      <c r="N3616" s="370"/>
    </row>
    <row r="3617" spans="1:14" s="347" customFormat="1" x14ac:dyDescent="0.25">
      <c r="A3617" s="350">
        <v>44410</v>
      </c>
      <c r="B3617" s="403">
        <f>+MONTH(A3617)</f>
        <v>8</v>
      </c>
      <c r="C3617" s="352">
        <v>115</v>
      </c>
      <c r="D3617" s="340" t="str">
        <f>VLOOKUP(C3617,Plan!A:B,2,0)</f>
        <v>Disponible Cali B.Chile</v>
      </c>
      <c r="E3617" s="341">
        <f>+F3617-G3617</f>
        <v>120000</v>
      </c>
      <c r="F3617" s="353">
        <v>120000</v>
      </c>
      <c r="G3617" s="353">
        <f>+F3618</f>
        <v>0</v>
      </c>
      <c r="H3617" t="s">
        <v>1700</v>
      </c>
      <c r="I3617" s="355" t="s">
        <v>131</v>
      </c>
      <c r="K3617" s="370"/>
      <c r="N3617" s="370"/>
    </row>
    <row r="3618" spans="1:14" s="347" customFormat="1" x14ac:dyDescent="0.25">
      <c r="A3618" s="350">
        <f>+A3617</f>
        <v>44410</v>
      </c>
      <c r="B3618" s="403">
        <f>+MONTH(A3618)</f>
        <v>8</v>
      </c>
      <c r="C3618" s="352">
        <v>1217</v>
      </c>
      <c r="D3618" s="340" t="str">
        <f>VLOOKUP(C3618,Plan!A:B,2,0)</f>
        <v>Otros Valores -Oficina y Transferencias (248)</v>
      </c>
      <c r="E3618" s="341">
        <f>+F3618-G3618</f>
        <v>-120000</v>
      </c>
      <c r="F3618" s="353">
        <v>0</v>
      </c>
      <c r="G3618" s="353">
        <f>+F3617</f>
        <v>120000</v>
      </c>
      <c r="H3618" s="354" t="str">
        <f>+H3617</f>
        <v>Guillermo Rosende Álvarez / 248</v>
      </c>
      <c r="I3618" s="355" t="s">
        <v>131</v>
      </c>
      <c r="K3618" s="370"/>
      <c r="N3618" s="370"/>
    </row>
    <row r="3619" spans="1:14" s="347" customFormat="1" x14ac:dyDescent="0.25">
      <c r="A3619" s="369"/>
      <c r="E3619" s="396"/>
      <c r="F3619" s="396"/>
      <c r="G3619" s="396"/>
      <c r="K3619" s="370"/>
      <c r="N3619" s="370"/>
    </row>
    <row r="3620" spans="1:14" s="347" customFormat="1" x14ac:dyDescent="0.25">
      <c r="A3620" s="350">
        <v>44410</v>
      </c>
      <c r="B3620" s="403">
        <f>+MONTH(A3620)</f>
        <v>8</v>
      </c>
      <c r="C3620" s="352">
        <v>115</v>
      </c>
      <c r="D3620" s="340" t="str">
        <f>VLOOKUP(C3620,Plan!A:B,2,0)</f>
        <v>Disponible Cali B.Chile</v>
      </c>
      <c r="E3620" s="341">
        <f>+F3620-G3620</f>
        <v>50000</v>
      </c>
      <c r="F3620" s="353">
        <v>50000</v>
      </c>
      <c r="G3620" s="353">
        <f>+F3621</f>
        <v>0</v>
      </c>
      <c r="H3620" t="s">
        <v>1989</v>
      </c>
      <c r="I3620" s="355" t="s">
        <v>131</v>
      </c>
      <c r="K3620" s="370"/>
      <c r="N3620" s="370"/>
    </row>
    <row r="3621" spans="1:14" s="347" customFormat="1" x14ac:dyDescent="0.25">
      <c r="A3621" s="350">
        <f>+A3620</f>
        <v>44410</v>
      </c>
      <c r="B3621" s="403">
        <f>+MONTH(A3621)</f>
        <v>8</v>
      </c>
      <c r="C3621" s="352">
        <v>1217</v>
      </c>
      <c r="D3621" s="340" t="str">
        <f>VLOOKUP(C3621,Plan!A:B,2,0)</f>
        <v>Otros Valores -Oficina y Transferencias (248)</v>
      </c>
      <c r="E3621" s="341">
        <f>+F3621-G3621</f>
        <v>-50000</v>
      </c>
      <c r="F3621" s="353">
        <v>0</v>
      </c>
      <c r="G3621" s="353">
        <f>+F3620</f>
        <v>50000</v>
      </c>
      <c r="H3621" s="354" t="str">
        <f>+H3620</f>
        <v>Pedro Irarrázaval/248</v>
      </c>
      <c r="I3621" s="355" t="s">
        <v>131</v>
      </c>
      <c r="K3621" s="370"/>
      <c r="N3621" s="370"/>
    </row>
    <row r="3622" spans="1:14" s="347" customFormat="1" x14ac:dyDescent="0.25">
      <c r="A3622" s="369"/>
      <c r="E3622" s="396"/>
      <c r="F3622" s="396"/>
      <c r="G3622" s="396"/>
      <c r="K3622" s="370"/>
      <c r="N3622" s="370"/>
    </row>
    <row r="3623" spans="1:14" s="347" customFormat="1" x14ac:dyDescent="0.25">
      <c r="A3623" s="350">
        <v>44410</v>
      </c>
      <c r="B3623" s="403">
        <f>+MONTH(A3623)</f>
        <v>8</v>
      </c>
      <c r="C3623" s="352">
        <v>115</v>
      </c>
      <c r="D3623" s="340" t="str">
        <f>VLOOKUP(C3623,Plan!A:B,2,0)</f>
        <v>Disponible Cali B.Chile</v>
      </c>
      <c r="E3623" s="341">
        <f>+F3623-G3623</f>
        <v>48000</v>
      </c>
      <c r="F3623" s="353">
        <v>48000</v>
      </c>
      <c r="G3623" s="353">
        <f>+F3624</f>
        <v>0</v>
      </c>
      <c r="H3623" t="s">
        <v>975</v>
      </c>
      <c r="I3623" s="355" t="s">
        <v>131</v>
      </c>
      <c r="K3623" s="370"/>
      <c r="N3623" s="370"/>
    </row>
    <row r="3624" spans="1:14" s="347" customFormat="1" x14ac:dyDescent="0.25">
      <c r="A3624" s="350">
        <f>+A3623</f>
        <v>44410</v>
      </c>
      <c r="B3624" s="403">
        <f>+MONTH(A3624)</f>
        <v>8</v>
      </c>
      <c r="C3624" s="352">
        <v>1217</v>
      </c>
      <c r="D3624" s="340" t="str">
        <f>VLOOKUP(C3624,Plan!A:B,2,0)</f>
        <v>Otros Valores -Oficina y Transferencias (248)</v>
      </c>
      <c r="E3624" s="341">
        <f>+F3624-G3624</f>
        <v>-48000</v>
      </c>
      <c r="F3624" s="353">
        <v>0</v>
      </c>
      <c r="G3624" s="353">
        <f>+F3623</f>
        <v>48000</v>
      </c>
      <c r="H3624" s="354" t="str">
        <f>+H3623</f>
        <v>Enrique José Manuel Ferrer/248</v>
      </c>
      <c r="I3624" s="355" t="s">
        <v>131</v>
      </c>
      <c r="K3624" s="370"/>
      <c r="N3624" s="370"/>
    </row>
    <row r="3625" spans="1:14" s="347" customFormat="1" x14ac:dyDescent="0.25">
      <c r="A3625" s="369"/>
      <c r="E3625" s="396"/>
      <c r="F3625" s="396"/>
      <c r="G3625" s="396"/>
      <c r="K3625" s="370"/>
      <c r="N3625" s="370"/>
    </row>
    <row r="3626" spans="1:14" s="347" customFormat="1" x14ac:dyDescent="0.25">
      <c r="A3626" s="350">
        <v>44410</v>
      </c>
      <c r="B3626" s="403">
        <f>+MONTH(A3626)</f>
        <v>8</v>
      </c>
      <c r="C3626" s="352">
        <v>115</v>
      </c>
      <c r="D3626" s="340" t="str">
        <f>VLOOKUP(C3626,Plan!A:B,2,0)</f>
        <v>Disponible Cali B.Chile</v>
      </c>
      <c r="E3626" s="341">
        <f>+F3626-G3626</f>
        <v>20000</v>
      </c>
      <c r="F3626" s="353">
        <v>20000</v>
      </c>
      <c r="G3626" s="353">
        <f>+F3627</f>
        <v>0</v>
      </c>
      <c r="H3626" t="s">
        <v>977</v>
      </c>
      <c r="I3626" s="355" t="s">
        <v>131</v>
      </c>
      <c r="K3626" s="370"/>
      <c r="N3626" s="370"/>
    </row>
    <row r="3627" spans="1:14" s="347" customFormat="1" x14ac:dyDescent="0.25">
      <c r="A3627" s="350">
        <f>+A3626</f>
        <v>44410</v>
      </c>
      <c r="B3627" s="403">
        <f>+MONTH(A3627)</f>
        <v>8</v>
      </c>
      <c r="C3627" s="352">
        <v>3210</v>
      </c>
      <c r="D3627" s="340" t="str">
        <f>VLOOKUP(C3627,Plan!A:B,2,0)</f>
        <v>Donacion Construccion</v>
      </c>
      <c r="E3627" s="341">
        <f>+F3627-G3627</f>
        <v>-20000</v>
      </c>
      <c r="F3627" s="353">
        <v>0</v>
      </c>
      <c r="G3627" s="353">
        <f>+F3626</f>
        <v>20000</v>
      </c>
      <c r="H3627" s="354" t="str">
        <f>+H3626</f>
        <v>Fco.Javier Campos González/Azul</v>
      </c>
      <c r="I3627" s="355" t="s">
        <v>131</v>
      </c>
      <c r="K3627" s="370"/>
      <c r="N3627" s="370"/>
    </row>
    <row r="3628" spans="1:14" s="347" customFormat="1" x14ac:dyDescent="0.25">
      <c r="A3628" s="369"/>
      <c r="E3628" s="396"/>
      <c r="F3628" s="396"/>
      <c r="G3628" s="396"/>
      <c r="K3628" s="370"/>
      <c r="N3628" s="370"/>
    </row>
    <row r="3629" spans="1:14" s="347" customFormat="1" x14ac:dyDescent="0.25">
      <c r="A3629" s="350">
        <v>44410</v>
      </c>
      <c r="B3629" s="403">
        <f>+MONTH(A3629)</f>
        <v>8</v>
      </c>
      <c r="C3629" s="352">
        <v>115</v>
      </c>
      <c r="D3629" s="340" t="str">
        <f>VLOOKUP(C3629,Plan!A:B,2,0)</f>
        <v>Disponible Cali B.Chile</v>
      </c>
      <c r="E3629" s="341">
        <f>+F3629-G3629</f>
        <v>15000</v>
      </c>
      <c r="F3629" s="353">
        <v>15000</v>
      </c>
      <c r="G3629" s="353">
        <f>+F3630</f>
        <v>0</v>
      </c>
      <c r="H3629" t="s">
        <v>1756</v>
      </c>
      <c r="I3629" s="355" t="s">
        <v>131</v>
      </c>
      <c r="K3629" s="370"/>
      <c r="N3629" s="370"/>
    </row>
    <row r="3630" spans="1:14" s="347" customFormat="1" x14ac:dyDescent="0.25">
      <c r="A3630" s="350">
        <f>+A3629</f>
        <v>44410</v>
      </c>
      <c r="B3630" s="403">
        <f>+MONTH(A3630)</f>
        <v>8</v>
      </c>
      <c r="C3630" s="352">
        <v>1222</v>
      </c>
      <c r="D3630" s="340" t="str">
        <f>VLOOKUP(C3630,Plan!A:B,2,0)</f>
        <v>Otros Valores -Oficina y Transferencias (249)</v>
      </c>
      <c r="E3630" s="341">
        <f>+F3630-G3630</f>
        <v>-15000</v>
      </c>
      <c r="F3630" s="353">
        <v>0</v>
      </c>
      <c r="G3630" s="353">
        <f>+F3629</f>
        <v>15000</v>
      </c>
      <c r="H3630" s="354" t="str">
        <f>+H3629</f>
        <v>María José Valdés Valdés / 249</v>
      </c>
      <c r="I3630" s="355" t="s">
        <v>131</v>
      </c>
      <c r="K3630" s="370"/>
      <c r="N3630" s="370"/>
    </row>
    <row r="3631" spans="1:14" s="347" customFormat="1" x14ac:dyDescent="0.25">
      <c r="A3631" s="369"/>
      <c r="E3631" s="396"/>
      <c r="F3631" s="396"/>
      <c r="G3631" s="396"/>
      <c r="K3631" s="370"/>
      <c r="N3631" s="370"/>
    </row>
    <row r="3632" spans="1:14" s="347" customFormat="1" x14ac:dyDescent="0.25">
      <c r="A3632" s="350">
        <v>44410</v>
      </c>
      <c r="B3632" s="403">
        <f>+MONTH(A3632)</f>
        <v>8</v>
      </c>
      <c r="C3632" s="352">
        <v>115</v>
      </c>
      <c r="D3632" s="340" t="str">
        <f>VLOOKUP(C3632,Plan!A:B,2,0)</f>
        <v>Disponible Cali B.Chile</v>
      </c>
      <c r="E3632" s="341">
        <f>+F3632-G3632</f>
        <v>50000</v>
      </c>
      <c r="F3632" s="353">
        <v>50000</v>
      </c>
      <c r="G3632" s="353">
        <f>+F3633</f>
        <v>0</v>
      </c>
      <c r="H3632" t="s">
        <v>547</v>
      </c>
      <c r="I3632" s="355" t="s">
        <v>131</v>
      </c>
      <c r="K3632" s="370"/>
      <c r="N3632" s="370"/>
    </row>
    <row r="3633" spans="1:14" s="347" customFormat="1" x14ac:dyDescent="0.25">
      <c r="A3633" s="350">
        <f>+A3632</f>
        <v>44410</v>
      </c>
      <c r="B3633" s="403">
        <f>+MONTH(A3633)</f>
        <v>8</v>
      </c>
      <c r="C3633" s="352">
        <v>1222</v>
      </c>
      <c r="D3633" s="340" t="str">
        <f>VLOOKUP(C3633,Plan!A:B,2,0)</f>
        <v>Otros Valores -Oficina y Transferencias (249)</v>
      </c>
      <c r="E3633" s="341">
        <f>+F3633-G3633</f>
        <v>-50000</v>
      </c>
      <c r="F3633" s="353">
        <v>0</v>
      </c>
      <c r="G3633" s="353">
        <f>+F3632</f>
        <v>50000</v>
      </c>
      <c r="H3633" s="354" t="str">
        <f>+H3632</f>
        <v>Jorge Claude / 249</v>
      </c>
      <c r="I3633" s="355" t="s">
        <v>131</v>
      </c>
      <c r="K3633" s="370"/>
      <c r="N3633" s="370"/>
    </row>
    <row r="3634" spans="1:14" s="347" customFormat="1" x14ac:dyDescent="0.25">
      <c r="A3634" s="369"/>
      <c r="E3634" s="396"/>
      <c r="F3634" s="396"/>
      <c r="G3634" s="396"/>
      <c r="K3634" s="370"/>
      <c r="N3634" s="370"/>
    </row>
    <row r="3635" spans="1:14" s="347" customFormat="1" x14ac:dyDescent="0.25">
      <c r="A3635" s="350">
        <v>44410</v>
      </c>
      <c r="B3635" s="403">
        <f>+MONTH(A3635)</f>
        <v>8</v>
      </c>
      <c r="C3635" s="352">
        <v>115</v>
      </c>
      <c r="D3635" s="340" t="str">
        <f>VLOOKUP(C3635,Plan!A:B,2,0)</f>
        <v>Disponible Cali B.Chile</v>
      </c>
      <c r="E3635" s="341">
        <f>+F3635-G3635</f>
        <v>20000</v>
      </c>
      <c r="F3635" s="353">
        <v>20000</v>
      </c>
      <c r="G3635" s="353">
        <f>+F3636</f>
        <v>0</v>
      </c>
      <c r="H3635" t="s">
        <v>548</v>
      </c>
      <c r="I3635" s="355" t="s">
        <v>131</v>
      </c>
      <c r="K3635" s="370"/>
      <c r="N3635" s="370"/>
    </row>
    <row r="3636" spans="1:14" s="347" customFormat="1" x14ac:dyDescent="0.25">
      <c r="A3636" s="350">
        <f>+A3635</f>
        <v>44410</v>
      </c>
      <c r="B3636" s="403">
        <f>+MONTH(A3636)</f>
        <v>8</v>
      </c>
      <c r="C3636" s="352">
        <v>1222</v>
      </c>
      <c r="D3636" s="340" t="str">
        <f>VLOOKUP(C3636,Plan!A:B,2,0)</f>
        <v>Otros Valores -Oficina y Transferencias (249)</v>
      </c>
      <c r="E3636" s="341">
        <f>+F3636-G3636</f>
        <v>-20000</v>
      </c>
      <c r="F3636" s="353">
        <v>0</v>
      </c>
      <c r="G3636" s="353">
        <f>+F3635</f>
        <v>20000</v>
      </c>
      <c r="H3636" s="354" t="str">
        <f>+H3635</f>
        <v>Josefina Claude / 249</v>
      </c>
      <c r="I3636" s="355" t="s">
        <v>131</v>
      </c>
      <c r="K3636" s="370"/>
      <c r="N3636" s="370"/>
    </row>
    <row r="3637" spans="1:14" s="347" customFormat="1" x14ac:dyDescent="0.25">
      <c r="A3637" s="369"/>
      <c r="E3637" s="396"/>
      <c r="F3637" s="396"/>
      <c r="G3637" s="396"/>
      <c r="K3637" s="370"/>
      <c r="N3637" s="370"/>
    </row>
    <row r="3638" spans="1:14" s="347" customFormat="1" x14ac:dyDescent="0.25">
      <c r="A3638" s="350">
        <v>44410</v>
      </c>
      <c r="B3638" s="403">
        <f>+MONTH(A3638)</f>
        <v>8</v>
      </c>
      <c r="C3638" s="352">
        <v>115</v>
      </c>
      <c r="D3638" s="340" t="str">
        <f>VLOOKUP(C3638,Plan!A:B,2,0)</f>
        <v>Disponible Cali B.Chile</v>
      </c>
      <c r="E3638" s="341">
        <f>+F3638-G3638</f>
        <v>30000</v>
      </c>
      <c r="F3638" s="353">
        <v>30000</v>
      </c>
      <c r="G3638" s="353">
        <f>+F3639</f>
        <v>0</v>
      </c>
      <c r="H3638" t="s">
        <v>978</v>
      </c>
      <c r="I3638" s="355" t="s">
        <v>131</v>
      </c>
      <c r="K3638" s="370"/>
      <c r="N3638" s="370"/>
    </row>
    <row r="3639" spans="1:14" s="347" customFormat="1" x14ac:dyDescent="0.25">
      <c r="A3639" s="350">
        <f>+A3638</f>
        <v>44410</v>
      </c>
      <c r="B3639" s="403">
        <f>+MONTH(A3639)</f>
        <v>8</v>
      </c>
      <c r="C3639" s="352">
        <v>3210</v>
      </c>
      <c r="D3639" s="340" t="str">
        <f>VLOOKUP(C3639,Plan!A:B,2,0)</f>
        <v>Donacion Construccion</v>
      </c>
      <c r="E3639" s="341">
        <f>+F3639-G3639</f>
        <v>-30000</v>
      </c>
      <c r="F3639" s="353">
        <v>0</v>
      </c>
      <c r="G3639" s="353">
        <f>+F3638</f>
        <v>30000</v>
      </c>
      <c r="H3639" s="354" t="str">
        <f>+H3638</f>
        <v>Sergio Rodríguez Oro / Azul</v>
      </c>
      <c r="I3639" s="355" t="s">
        <v>131</v>
      </c>
      <c r="K3639" s="370"/>
      <c r="N3639" s="370"/>
    </row>
    <row r="3640" spans="1:14" s="347" customFormat="1" x14ac:dyDescent="0.25">
      <c r="A3640" s="369"/>
      <c r="E3640" s="396"/>
      <c r="F3640" s="396"/>
      <c r="G3640" s="396"/>
      <c r="K3640" s="370"/>
      <c r="N3640" s="370"/>
    </row>
    <row r="3641" spans="1:14" s="347" customFormat="1" x14ac:dyDescent="0.25">
      <c r="A3641" s="350">
        <v>44410</v>
      </c>
      <c r="B3641" s="403">
        <f>+MONTH(A3641)</f>
        <v>8</v>
      </c>
      <c r="C3641" s="352">
        <v>115</v>
      </c>
      <c r="D3641" s="340" t="str">
        <f>VLOOKUP(C3641,Plan!A:B,2,0)</f>
        <v>Disponible Cali B.Chile</v>
      </c>
      <c r="E3641" s="341">
        <f>+F3641-G3641</f>
        <v>15000</v>
      </c>
      <c r="F3641" s="353">
        <v>15000</v>
      </c>
      <c r="G3641" s="353">
        <f>+F3642</f>
        <v>0</v>
      </c>
      <c r="H3641" t="s">
        <v>1716</v>
      </c>
      <c r="I3641" s="355" t="s">
        <v>131</v>
      </c>
      <c r="K3641" s="370"/>
      <c r="N3641" s="370"/>
    </row>
    <row r="3642" spans="1:14" s="347" customFormat="1" x14ac:dyDescent="0.25">
      <c r="A3642" s="350">
        <f>+A3641</f>
        <v>44410</v>
      </c>
      <c r="B3642" s="403">
        <f>+MONTH(A3642)</f>
        <v>8</v>
      </c>
      <c r="C3642" s="352">
        <v>1222</v>
      </c>
      <c r="D3642" s="340" t="str">
        <f>VLOOKUP(C3642,Plan!A:B,2,0)</f>
        <v>Otros Valores -Oficina y Transferencias (249)</v>
      </c>
      <c r="E3642" s="341">
        <f>+F3642-G3642</f>
        <v>-15000</v>
      </c>
      <c r="F3642" s="353">
        <v>0</v>
      </c>
      <c r="G3642" s="353">
        <f>+F3641</f>
        <v>15000</v>
      </c>
      <c r="H3642" s="354" t="str">
        <f>+H3641</f>
        <v>María Carolina Marín Montes / 249</v>
      </c>
      <c r="I3642" s="355" t="s">
        <v>131</v>
      </c>
      <c r="K3642" s="370"/>
      <c r="N3642" s="370"/>
    </row>
    <row r="3643" spans="1:14" s="347" customFormat="1" x14ac:dyDescent="0.25">
      <c r="A3643" s="369"/>
      <c r="E3643" s="396"/>
      <c r="F3643" s="396"/>
      <c r="G3643" s="396"/>
      <c r="K3643" s="370"/>
      <c r="N3643" s="370"/>
    </row>
    <row r="3644" spans="1:14" s="347" customFormat="1" x14ac:dyDescent="0.25">
      <c r="A3644" s="350">
        <v>44410</v>
      </c>
      <c r="B3644" s="403">
        <f>+MONTH(A3644)</f>
        <v>8</v>
      </c>
      <c r="C3644" s="352">
        <v>115</v>
      </c>
      <c r="D3644" s="340" t="str">
        <f>VLOOKUP(C3644,Plan!A:B,2,0)</f>
        <v>Disponible Cali B.Chile</v>
      </c>
      <c r="E3644" s="341">
        <f>+F3644-G3644</f>
        <v>40000</v>
      </c>
      <c r="F3644" s="353">
        <v>40000</v>
      </c>
      <c r="G3644" s="353">
        <f>+F3645</f>
        <v>0</v>
      </c>
      <c r="H3644" t="s">
        <v>1001</v>
      </c>
      <c r="I3644" s="355" t="s">
        <v>131</v>
      </c>
      <c r="K3644" s="370"/>
      <c r="N3644" s="370"/>
    </row>
    <row r="3645" spans="1:14" s="347" customFormat="1" x14ac:dyDescent="0.25">
      <c r="A3645" s="350">
        <f>+A3644</f>
        <v>44410</v>
      </c>
      <c r="B3645" s="403">
        <f>+MONTH(A3645)</f>
        <v>8</v>
      </c>
      <c r="C3645" s="352">
        <v>3210</v>
      </c>
      <c r="D3645" s="340" t="str">
        <f>VLOOKUP(C3645,Plan!A:B,2,0)</f>
        <v>Donacion Construccion</v>
      </c>
      <c r="E3645" s="341">
        <f>+F3645-G3645</f>
        <v>-40000</v>
      </c>
      <c r="F3645" s="353">
        <v>0</v>
      </c>
      <c r="G3645" s="353">
        <f>+F3644</f>
        <v>40000</v>
      </c>
      <c r="H3645" s="354" t="str">
        <f>+H3644</f>
        <v>Karina Rabino de Alonso /Azul</v>
      </c>
      <c r="I3645" s="355" t="s">
        <v>131</v>
      </c>
      <c r="K3645" s="370"/>
      <c r="N3645" s="370"/>
    </row>
    <row r="3646" spans="1:14" s="347" customFormat="1" x14ac:dyDescent="0.25">
      <c r="A3646" s="369"/>
      <c r="E3646" s="396"/>
      <c r="F3646" s="396"/>
      <c r="G3646" s="396"/>
      <c r="K3646" s="370"/>
      <c r="N3646" s="370"/>
    </row>
    <row r="3647" spans="1:14" s="347" customFormat="1" x14ac:dyDescent="0.25">
      <c r="A3647" s="350">
        <v>44410</v>
      </c>
      <c r="B3647" s="403">
        <f>+MONTH(A3647)</f>
        <v>8</v>
      </c>
      <c r="C3647" s="352">
        <v>115</v>
      </c>
      <c r="D3647" s="340" t="str">
        <f>VLOOKUP(C3647,Plan!A:B,2,0)</f>
        <v>Disponible Cali B.Chile</v>
      </c>
      <c r="E3647" s="341">
        <f>+F3647-G3647</f>
        <v>40000</v>
      </c>
      <c r="F3647" s="353">
        <v>40000</v>
      </c>
      <c r="G3647" s="353">
        <f>+F3648</f>
        <v>0</v>
      </c>
      <c r="H3647" t="s">
        <v>976</v>
      </c>
      <c r="I3647" s="355" t="s">
        <v>131</v>
      </c>
      <c r="K3647" s="370"/>
      <c r="N3647" s="370"/>
    </row>
    <row r="3648" spans="1:14" s="347" customFormat="1" x14ac:dyDescent="0.25">
      <c r="A3648" s="350">
        <f>+A3647</f>
        <v>44410</v>
      </c>
      <c r="B3648" s="403">
        <f>+MONTH(A3648)</f>
        <v>8</v>
      </c>
      <c r="C3648" s="352">
        <v>1222</v>
      </c>
      <c r="D3648" s="340" t="str">
        <f>VLOOKUP(C3648,Plan!A:B,2,0)</f>
        <v>Otros Valores -Oficina y Transferencias (249)</v>
      </c>
      <c r="E3648" s="341">
        <f>+F3648-G3648</f>
        <v>-40000</v>
      </c>
      <c r="F3648" s="353">
        <v>0</v>
      </c>
      <c r="G3648" s="353">
        <f>+F3647</f>
        <v>40000</v>
      </c>
      <c r="H3648" s="354" t="str">
        <f>+H3647</f>
        <v>Ricardo Cañas Cambiaso / 249</v>
      </c>
      <c r="I3648" s="355" t="s">
        <v>131</v>
      </c>
      <c r="K3648" s="370"/>
      <c r="N3648" s="370"/>
    </row>
    <row r="3649" spans="1:14" s="347" customFormat="1" x14ac:dyDescent="0.25">
      <c r="A3649" s="369"/>
      <c r="E3649" s="396"/>
      <c r="F3649" s="396"/>
      <c r="G3649" s="396"/>
      <c r="K3649" s="370"/>
      <c r="N3649" s="370"/>
    </row>
    <row r="3650" spans="1:14" s="347" customFormat="1" x14ac:dyDescent="0.25">
      <c r="A3650" s="350">
        <v>44410</v>
      </c>
      <c r="B3650" s="403">
        <f>+MONTH(A3650)</f>
        <v>8</v>
      </c>
      <c r="C3650" s="352">
        <v>115</v>
      </c>
      <c r="D3650" s="340" t="str">
        <f>VLOOKUP(C3650,Plan!A:B,2,0)</f>
        <v>Disponible Cali B.Chile</v>
      </c>
      <c r="E3650" s="341">
        <f>+F3650-G3650</f>
        <v>15000</v>
      </c>
      <c r="F3650" s="353">
        <v>15000</v>
      </c>
      <c r="G3650" s="353">
        <f>+F3651</f>
        <v>0</v>
      </c>
      <c r="H3650" t="s">
        <v>979</v>
      </c>
      <c r="I3650" s="355" t="s">
        <v>131</v>
      </c>
      <c r="K3650" s="370"/>
      <c r="N3650" s="370"/>
    </row>
    <row r="3651" spans="1:14" s="347" customFormat="1" x14ac:dyDescent="0.25">
      <c r="A3651" s="350">
        <f>+A3650</f>
        <v>44410</v>
      </c>
      <c r="B3651" s="403">
        <f>+MONTH(A3651)</f>
        <v>8</v>
      </c>
      <c r="C3651" s="352">
        <v>1222</v>
      </c>
      <c r="D3651" s="340" t="str">
        <f>VLOOKUP(C3651,Plan!A:B,2,0)</f>
        <v>Otros Valores -Oficina y Transferencias (249)</v>
      </c>
      <c r="E3651" s="341">
        <f>+F3651-G3651</f>
        <v>-15000</v>
      </c>
      <c r="F3651" s="353">
        <v>0</v>
      </c>
      <c r="G3651" s="353">
        <f>+F3650</f>
        <v>15000</v>
      </c>
      <c r="H3651" s="354" t="str">
        <f>+H3650</f>
        <v>María Paulina Grez / 249</v>
      </c>
      <c r="I3651" s="355" t="s">
        <v>131</v>
      </c>
      <c r="K3651" s="370"/>
      <c r="N3651" s="370"/>
    </row>
    <row r="3652" spans="1:14" s="347" customFormat="1" x14ac:dyDescent="0.25">
      <c r="A3652" s="369"/>
      <c r="E3652" s="396"/>
      <c r="F3652" s="396"/>
      <c r="G3652" s="396"/>
      <c r="K3652" s="370"/>
      <c r="N3652" s="370"/>
    </row>
    <row r="3653" spans="1:14" s="347" customFormat="1" x14ac:dyDescent="0.25">
      <c r="A3653" s="350">
        <v>44410</v>
      </c>
      <c r="B3653" s="403">
        <f>+MONTH(A3653)</f>
        <v>8</v>
      </c>
      <c r="C3653" s="352">
        <v>115</v>
      </c>
      <c r="D3653" s="340" t="str">
        <f>VLOOKUP(C3653,Plan!A:B,2,0)</f>
        <v>Disponible Cali B.Chile</v>
      </c>
      <c r="E3653" s="341">
        <f>+F3653-G3653</f>
        <v>30000</v>
      </c>
      <c r="F3653" s="353">
        <v>30000</v>
      </c>
      <c r="G3653" s="353">
        <f>+F3654</f>
        <v>0</v>
      </c>
      <c r="H3653" t="s">
        <v>1990</v>
      </c>
      <c r="I3653" s="355" t="s">
        <v>131</v>
      </c>
      <c r="K3653" s="370"/>
      <c r="N3653" s="370"/>
    </row>
    <row r="3654" spans="1:14" s="347" customFormat="1" x14ac:dyDescent="0.25">
      <c r="A3654" s="350">
        <f>+A3653</f>
        <v>44410</v>
      </c>
      <c r="B3654" s="403">
        <f>+MONTH(A3654)</f>
        <v>8</v>
      </c>
      <c r="C3654" s="352">
        <v>1222</v>
      </c>
      <c r="D3654" s="340" t="str">
        <f>VLOOKUP(C3654,Plan!A:B,2,0)</f>
        <v>Otros Valores -Oficina y Transferencias (249)</v>
      </c>
      <c r="E3654" s="341">
        <f>+F3654-G3654</f>
        <v>-30000</v>
      </c>
      <c r="F3654" s="353">
        <v>0</v>
      </c>
      <c r="G3654" s="353">
        <f>+F3653</f>
        <v>30000</v>
      </c>
      <c r="H3654" s="354" t="str">
        <f>+H3653</f>
        <v>Renato Guidio Rezende de Castro/ 249</v>
      </c>
      <c r="I3654" s="355" t="s">
        <v>131</v>
      </c>
      <c r="K3654" s="370"/>
      <c r="N3654" s="370"/>
    </row>
    <row r="3655" spans="1:14" s="347" customFormat="1" x14ac:dyDescent="0.25">
      <c r="A3655" s="369"/>
      <c r="E3655" s="396"/>
      <c r="F3655" s="396"/>
      <c r="G3655" s="396"/>
      <c r="K3655" s="370"/>
      <c r="N3655" s="370"/>
    </row>
    <row r="3656" spans="1:14" s="347" customFormat="1" x14ac:dyDescent="0.25">
      <c r="A3656" s="350">
        <v>44410</v>
      </c>
      <c r="B3656" s="403">
        <f>+MONTH(A3656)</f>
        <v>8</v>
      </c>
      <c r="C3656" s="352">
        <v>115</v>
      </c>
      <c r="D3656" s="340" t="str">
        <f>VLOOKUP(C3656,Plan!A:B,2,0)</f>
        <v>Disponible Cali B.Chile</v>
      </c>
      <c r="E3656" s="341">
        <f>+F3656-G3656</f>
        <v>20000</v>
      </c>
      <c r="F3656" s="353">
        <v>20000</v>
      </c>
      <c r="G3656" s="353">
        <f>+F3657</f>
        <v>0</v>
      </c>
      <c r="H3656" t="s">
        <v>1670</v>
      </c>
      <c r="I3656" s="355" t="s">
        <v>131</v>
      </c>
      <c r="K3656" s="370"/>
      <c r="N3656" s="370"/>
    </row>
    <row r="3657" spans="1:14" s="347" customFormat="1" x14ac:dyDescent="0.25">
      <c r="A3657" s="350">
        <f>+A3656</f>
        <v>44410</v>
      </c>
      <c r="B3657" s="403">
        <f>+MONTH(A3657)</f>
        <v>8</v>
      </c>
      <c r="C3657" s="352">
        <v>1222</v>
      </c>
      <c r="D3657" s="340" t="str">
        <f>VLOOKUP(C3657,Plan!A:B,2,0)</f>
        <v>Otros Valores -Oficina y Transferencias (249)</v>
      </c>
      <c r="E3657" s="341">
        <f>+F3657-G3657</f>
        <v>-20000</v>
      </c>
      <c r="F3657" s="353">
        <v>0</v>
      </c>
      <c r="G3657" s="353">
        <f>+F3656</f>
        <v>20000</v>
      </c>
      <c r="H3657" s="354" t="str">
        <f>+H3656</f>
        <v>María Virginia Fernández Oyarzún / 249</v>
      </c>
      <c r="I3657" s="355" t="s">
        <v>131</v>
      </c>
      <c r="K3657" s="370"/>
      <c r="N3657" s="370"/>
    </row>
    <row r="3658" spans="1:14" s="347" customFormat="1" x14ac:dyDescent="0.25">
      <c r="A3658" s="369"/>
      <c r="E3658" s="396"/>
      <c r="F3658" s="396"/>
      <c r="G3658" s="396"/>
      <c r="K3658" s="370"/>
      <c r="N3658" s="370"/>
    </row>
    <row r="3659" spans="1:14" s="347" customFormat="1" x14ac:dyDescent="0.25">
      <c r="A3659" s="350">
        <v>44410</v>
      </c>
      <c r="B3659" s="403">
        <f>+MONTH(A3659)</f>
        <v>8</v>
      </c>
      <c r="C3659" s="352">
        <v>115</v>
      </c>
      <c r="D3659" s="340" t="str">
        <f>VLOOKUP(C3659,Plan!A:B,2,0)</f>
        <v>Disponible Cali B.Chile</v>
      </c>
      <c r="E3659" s="341">
        <f>+F3659-G3659</f>
        <v>160000</v>
      </c>
      <c r="F3659" s="353">
        <v>160000</v>
      </c>
      <c r="G3659" s="353">
        <f>+F3660</f>
        <v>0</v>
      </c>
      <c r="H3659" t="s">
        <v>797</v>
      </c>
      <c r="I3659" s="355" t="s">
        <v>131</v>
      </c>
      <c r="K3659" s="370"/>
      <c r="N3659" s="370"/>
    </row>
    <row r="3660" spans="1:14" s="347" customFormat="1" x14ac:dyDescent="0.25">
      <c r="A3660" s="350">
        <f>+A3659</f>
        <v>44410</v>
      </c>
      <c r="B3660" s="403">
        <f>+MONTH(A3660)</f>
        <v>8</v>
      </c>
      <c r="C3660" s="352">
        <v>1217</v>
      </c>
      <c r="D3660" s="340" t="str">
        <f>VLOOKUP(C3660,Plan!A:B,2,0)</f>
        <v>Otros Valores -Oficina y Transferencias (248)</v>
      </c>
      <c r="E3660" s="341">
        <f>+F3660-G3660</f>
        <v>-160000</v>
      </c>
      <c r="F3660" s="353">
        <v>0</v>
      </c>
      <c r="G3660" s="353">
        <f>+F3659</f>
        <v>160000</v>
      </c>
      <c r="H3660" s="354" t="str">
        <f>+H3659</f>
        <v>R. Casas del Valle / 248</v>
      </c>
      <c r="I3660" s="355" t="s">
        <v>131</v>
      </c>
      <c r="K3660" s="370"/>
      <c r="N3660" s="370"/>
    </row>
    <row r="3661" spans="1:14" s="347" customFormat="1" x14ac:dyDescent="0.25">
      <c r="A3661" s="369"/>
      <c r="E3661" s="396"/>
      <c r="F3661" s="396"/>
      <c r="G3661" s="396"/>
      <c r="K3661" s="370"/>
      <c r="N3661" s="370"/>
    </row>
    <row r="3662" spans="1:14" s="347" customFormat="1" x14ac:dyDescent="0.25">
      <c r="A3662" s="350">
        <v>44410</v>
      </c>
      <c r="B3662" s="403">
        <f>+MONTH(A3662)</f>
        <v>8</v>
      </c>
      <c r="C3662" s="352">
        <v>115</v>
      </c>
      <c r="D3662" s="340" t="str">
        <f>VLOOKUP(C3662,Plan!A:B,2,0)</f>
        <v>Disponible Cali B.Chile</v>
      </c>
      <c r="E3662" s="341">
        <f>+F3662-G3662</f>
        <v>40000</v>
      </c>
      <c r="F3662" s="353">
        <v>40000</v>
      </c>
      <c r="G3662" s="353">
        <f>+F3663</f>
        <v>0</v>
      </c>
      <c r="H3662" t="s">
        <v>787</v>
      </c>
      <c r="I3662" s="355" t="s">
        <v>131</v>
      </c>
      <c r="K3662" s="370"/>
      <c r="N3662" s="370"/>
    </row>
    <row r="3663" spans="1:14" s="347" customFormat="1" x14ac:dyDescent="0.25">
      <c r="A3663" s="350">
        <f>+A3662</f>
        <v>44410</v>
      </c>
      <c r="B3663" s="403">
        <f>+MONTH(A3663)</f>
        <v>8</v>
      </c>
      <c r="C3663" s="352">
        <v>1222</v>
      </c>
      <c r="D3663" s="340" t="str">
        <f>VLOOKUP(C3663,Plan!A:B,2,0)</f>
        <v>Otros Valores -Oficina y Transferencias (249)</v>
      </c>
      <c r="E3663" s="341">
        <f>+F3663-G3663</f>
        <v>-40000</v>
      </c>
      <c r="F3663" s="353">
        <v>0</v>
      </c>
      <c r="G3663" s="353">
        <f>+F3662</f>
        <v>40000</v>
      </c>
      <c r="H3663" s="354" t="str">
        <f>+H3662</f>
        <v>Juan Pablo Ríos Ross / 249</v>
      </c>
      <c r="I3663" s="355" t="s">
        <v>131</v>
      </c>
      <c r="K3663" s="370"/>
      <c r="N3663" s="370"/>
    </row>
    <row r="3664" spans="1:14" s="347" customFormat="1" x14ac:dyDescent="0.25">
      <c r="A3664" s="369"/>
      <c r="E3664" s="396"/>
      <c r="F3664" s="396"/>
      <c r="G3664" s="396"/>
      <c r="K3664" s="370"/>
      <c r="N3664" s="370"/>
    </row>
    <row r="3665" spans="1:14" s="347" customFormat="1" x14ac:dyDescent="0.25">
      <c r="A3665" s="350">
        <v>44410</v>
      </c>
      <c r="B3665" s="403">
        <f>+MONTH(A3665)</f>
        <v>8</v>
      </c>
      <c r="C3665" s="352">
        <v>115</v>
      </c>
      <c r="D3665" s="340" t="str">
        <f>VLOOKUP(C3665,Plan!A:B,2,0)</f>
        <v>Disponible Cali B.Chile</v>
      </c>
      <c r="E3665" s="341">
        <f>+F3665-G3665</f>
        <v>60000</v>
      </c>
      <c r="F3665" s="353">
        <v>60000</v>
      </c>
      <c r="G3665" s="353">
        <f>+F3666</f>
        <v>0</v>
      </c>
      <c r="H3665" t="s">
        <v>1991</v>
      </c>
      <c r="I3665" s="355" t="s">
        <v>131</v>
      </c>
      <c r="K3665" s="370"/>
      <c r="N3665" s="370"/>
    </row>
    <row r="3666" spans="1:14" s="347" customFormat="1" x14ac:dyDescent="0.25">
      <c r="A3666" s="350">
        <f>+A3665</f>
        <v>44410</v>
      </c>
      <c r="B3666" s="403">
        <f>+MONTH(A3666)</f>
        <v>8</v>
      </c>
      <c r="C3666" s="352">
        <v>3210</v>
      </c>
      <c r="D3666" s="340" t="str">
        <f>VLOOKUP(C3666,Plan!A:B,2,0)</f>
        <v>Donacion Construccion</v>
      </c>
      <c r="E3666" s="341">
        <f>+F3666-G3666</f>
        <v>-60000</v>
      </c>
      <c r="F3666" s="353">
        <v>0</v>
      </c>
      <c r="G3666" s="353">
        <f>+F3665</f>
        <v>60000</v>
      </c>
      <c r="H3666" s="354" t="str">
        <f>+H3665</f>
        <v>Juan Pablo Munita Morgan / Azul</v>
      </c>
      <c r="I3666" s="355" t="s">
        <v>131</v>
      </c>
      <c r="K3666" s="370"/>
      <c r="N3666" s="370"/>
    </row>
    <row r="3667" spans="1:14" s="347" customFormat="1" x14ac:dyDescent="0.25">
      <c r="A3667" s="369"/>
      <c r="E3667" s="396"/>
      <c r="F3667" s="396"/>
      <c r="G3667" s="396"/>
      <c r="K3667" s="370"/>
      <c r="N3667" s="370"/>
    </row>
    <row r="3668" spans="1:14" s="347" customFormat="1" x14ac:dyDescent="0.25">
      <c r="A3668" s="350">
        <v>44410</v>
      </c>
      <c r="B3668" s="403">
        <f>+MONTH(A3668)</f>
        <v>8</v>
      </c>
      <c r="C3668" s="352">
        <v>115</v>
      </c>
      <c r="D3668" s="340" t="str">
        <f>VLOOKUP(C3668,Plan!A:B,2,0)</f>
        <v>Disponible Cali B.Chile</v>
      </c>
      <c r="E3668" s="341">
        <f>+F3668-G3668</f>
        <v>45000</v>
      </c>
      <c r="F3668" s="353">
        <v>45000</v>
      </c>
      <c r="G3668" s="353">
        <f>+F3669</f>
        <v>0</v>
      </c>
      <c r="H3668" t="s">
        <v>993</v>
      </c>
      <c r="I3668" s="355" t="s">
        <v>131</v>
      </c>
      <c r="K3668" s="370"/>
      <c r="N3668" s="370"/>
    </row>
    <row r="3669" spans="1:14" s="347" customFormat="1" x14ac:dyDescent="0.25">
      <c r="A3669" s="350">
        <f>+A3668</f>
        <v>44410</v>
      </c>
      <c r="B3669" s="403">
        <f>+MONTH(A3669)</f>
        <v>8</v>
      </c>
      <c r="C3669" s="352">
        <v>3210</v>
      </c>
      <c r="D3669" s="340" t="str">
        <f>VLOOKUP(C3669,Plan!A:B,2,0)</f>
        <v>Donacion Construccion</v>
      </c>
      <c r="E3669" s="341">
        <f>+F3669-G3669</f>
        <v>-45000</v>
      </c>
      <c r="F3669" s="353">
        <v>0</v>
      </c>
      <c r="G3669" s="353">
        <f>+F3668</f>
        <v>45000</v>
      </c>
      <c r="H3669" s="354" t="str">
        <f>+H3668</f>
        <v>Patricia Romero Navarro / Azul</v>
      </c>
      <c r="I3669" s="355" t="s">
        <v>131</v>
      </c>
      <c r="K3669" s="370"/>
      <c r="N3669" s="370"/>
    </row>
    <row r="3670" spans="1:14" s="347" customFormat="1" x14ac:dyDescent="0.25">
      <c r="A3670" s="369"/>
      <c r="E3670" s="396"/>
      <c r="F3670" s="396"/>
      <c r="G3670" s="396"/>
      <c r="K3670" s="370"/>
      <c r="N3670" s="370"/>
    </row>
    <row r="3671" spans="1:14" s="347" customFormat="1" x14ac:dyDescent="0.25">
      <c r="A3671" s="350">
        <v>44410</v>
      </c>
      <c r="B3671" s="403">
        <f>+MONTH(A3671)</f>
        <v>8</v>
      </c>
      <c r="C3671" s="352">
        <v>115</v>
      </c>
      <c r="D3671" s="340" t="str">
        <f>VLOOKUP(C3671,Plan!A:B,2,0)</f>
        <v>Disponible Cali B.Chile</v>
      </c>
      <c r="E3671" s="341">
        <f>+F3671-G3671</f>
        <v>1500</v>
      </c>
      <c r="F3671" s="353">
        <v>1500</v>
      </c>
      <c r="G3671" s="353">
        <f>+F3672</f>
        <v>0</v>
      </c>
      <c r="H3671" t="s">
        <v>1010</v>
      </c>
      <c r="I3671" s="355" t="s">
        <v>131</v>
      </c>
      <c r="K3671" s="370"/>
      <c r="N3671" s="370"/>
    </row>
    <row r="3672" spans="1:14" s="347" customFormat="1" x14ac:dyDescent="0.25">
      <c r="A3672" s="350">
        <f>+A3671</f>
        <v>44410</v>
      </c>
      <c r="B3672" s="403">
        <f>+MONTH(A3672)</f>
        <v>8</v>
      </c>
      <c r="C3672" s="352">
        <v>216</v>
      </c>
      <c r="D3672" s="340" t="str">
        <f>VLOOKUP(C3672,Plan!A:B,2,0)</f>
        <v>Cuenta por Pagar a Administración Colectas</v>
      </c>
      <c r="E3672" s="341">
        <f>+F3672-G3672</f>
        <v>-1500</v>
      </c>
      <c r="F3672" s="353">
        <v>0</v>
      </c>
      <c r="G3672" s="353">
        <f>+F3671</f>
        <v>1500</v>
      </c>
      <c r="H3672" s="354" t="str">
        <f>+H3671</f>
        <v>Colecta Raimundo Barros</v>
      </c>
      <c r="I3672" s="355" t="s">
        <v>131</v>
      </c>
      <c r="K3672" s="370"/>
      <c r="N3672" s="370"/>
    </row>
    <row r="3673" spans="1:14" s="347" customFormat="1" x14ac:dyDescent="0.25">
      <c r="A3673" s="369"/>
      <c r="E3673" s="396"/>
      <c r="F3673" s="396"/>
      <c r="G3673" s="396"/>
      <c r="K3673" s="370"/>
      <c r="N3673" s="370"/>
    </row>
    <row r="3674" spans="1:14" s="347" customFormat="1" x14ac:dyDescent="0.25">
      <c r="A3674" s="350">
        <v>44410</v>
      </c>
      <c r="B3674" s="403">
        <f>+MONTH(A3674)</f>
        <v>8</v>
      </c>
      <c r="C3674" s="352">
        <v>115</v>
      </c>
      <c r="D3674" s="340" t="str">
        <f>VLOOKUP(C3674,Plan!A:B,2,0)</f>
        <v>Disponible Cali B.Chile</v>
      </c>
      <c r="E3674" s="341">
        <f>+F3674-G3674</f>
        <v>10000</v>
      </c>
      <c r="F3674" s="353">
        <v>10000</v>
      </c>
      <c r="G3674" s="353">
        <f>+F3675</f>
        <v>0</v>
      </c>
      <c r="H3674" t="s">
        <v>973</v>
      </c>
      <c r="I3674" s="355" t="s">
        <v>131</v>
      </c>
      <c r="K3674" s="370"/>
      <c r="N3674" s="370"/>
    </row>
    <row r="3675" spans="1:14" s="347" customFormat="1" x14ac:dyDescent="0.25">
      <c r="A3675" s="350">
        <f>+A3674</f>
        <v>44410</v>
      </c>
      <c r="B3675" s="403">
        <f>+MONTH(A3675)</f>
        <v>8</v>
      </c>
      <c r="C3675" s="352">
        <v>1222</v>
      </c>
      <c r="D3675" s="340" t="str">
        <f>VLOOKUP(C3675,Plan!A:B,2,0)</f>
        <v>Otros Valores -Oficina y Transferencias (249)</v>
      </c>
      <c r="E3675" s="341">
        <f>+F3675-G3675</f>
        <v>-10000</v>
      </c>
      <c r="F3675" s="353">
        <v>0</v>
      </c>
      <c r="G3675" s="353">
        <f>+F3674</f>
        <v>10000</v>
      </c>
      <c r="H3675" s="354" t="str">
        <f>+H3674</f>
        <v>Ana María Ugarte / 249</v>
      </c>
      <c r="I3675" s="355" t="s">
        <v>131</v>
      </c>
      <c r="K3675" s="370"/>
      <c r="N3675" s="370"/>
    </row>
    <row r="3676" spans="1:14" s="347" customFormat="1" x14ac:dyDescent="0.25">
      <c r="A3676" s="369"/>
      <c r="E3676" s="396"/>
      <c r="F3676" s="396"/>
      <c r="G3676" s="396"/>
      <c r="K3676" s="370"/>
      <c r="N3676" s="370"/>
    </row>
    <row r="3677" spans="1:14" s="347" customFormat="1" x14ac:dyDescent="0.25">
      <c r="A3677" s="350">
        <v>44410</v>
      </c>
      <c r="B3677" s="403">
        <f>+MONTH(A3677)</f>
        <v>8</v>
      </c>
      <c r="C3677" s="352">
        <v>115</v>
      </c>
      <c r="D3677" s="340" t="str">
        <f>VLOOKUP(C3677,Plan!A:B,2,0)</f>
        <v>Disponible Cali B.Chile</v>
      </c>
      <c r="E3677" s="341">
        <f>+F3677-G3677</f>
        <v>50000</v>
      </c>
      <c r="F3677" s="353">
        <v>50000</v>
      </c>
      <c r="G3677" s="353">
        <f>+F3678</f>
        <v>0</v>
      </c>
      <c r="H3677" t="s">
        <v>974</v>
      </c>
      <c r="I3677" s="355" t="s">
        <v>131</v>
      </c>
      <c r="K3677" s="370"/>
      <c r="N3677" s="370"/>
    </row>
    <row r="3678" spans="1:14" s="347" customFormat="1" x14ac:dyDescent="0.25">
      <c r="A3678" s="350">
        <f>+A3677</f>
        <v>44410</v>
      </c>
      <c r="B3678" s="403">
        <f>+MONTH(A3678)</f>
        <v>8</v>
      </c>
      <c r="C3678" s="352">
        <v>1222</v>
      </c>
      <c r="D3678" s="340" t="str">
        <f>VLOOKUP(C3678,Plan!A:B,2,0)</f>
        <v>Otros Valores -Oficina y Transferencias (249)</v>
      </c>
      <c r="E3678" s="341">
        <f>+F3678-G3678</f>
        <v>-50000</v>
      </c>
      <c r="F3678" s="353">
        <v>0</v>
      </c>
      <c r="G3678" s="353">
        <f>+F3677</f>
        <v>50000</v>
      </c>
      <c r="H3678" s="354" t="str">
        <f>+H3677</f>
        <v>Matías Rafael Ubilla Silva / 249</v>
      </c>
      <c r="I3678" s="355" t="s">
        <v>131</v>
      </c>
      <c r="K3678" s="370"/>
      <c r="N3678" s="370"/>
    </row>
    <row r="3679" spans="1:14" s="347" customFormat="1" x14ac:dyDescent="0.25">
      <c r="A3679" s="369"/>
      <c r="E3679" s="396"/>
      <c r="F3679" s="396"/>
      <c r="G3679" s="396"/>
      <c r="K3679" s="370"/>
      <c r="N3679" s="370"/>
    </row>
    <row r="3680" spans="1:14" s="347" customFormat="1" x14ac:dyDescent="0.25">
      <c r="A3680" s="350">
        <v>44410</v>
      </c>
      <c r="B3680" s="403">
        <f>+MONTH(A3680)</f>
        <v>8</v>
      </c>
      <c r="C3680" s="352">
        <v>115</v>
      </c>
      <c r="D3680" s="340" t="str">
        <f>VLOOKUP(C3680,Plan!A:B,2,0)</f>
        <v>Disponible Cali B.Chile</v>
      </c>
      <c r="E3680" s="341">
        <f>+F3680-G3680</f>
        <v>14000</v>
      </c>
      <c r="F3680" s="353">
        <v>14000</v>
      </c>
      <c r="G3680" s="353">
        <f>+F3681</f>
        <v>0</v>
      </c>
      <c r="H3680" t="s">
        <v>1104</v>
      </c>
      <c r="I3680" s="355" t="s">
        <v>131</v>
      </c>
      <c r="K3680" s="370"/>
      <c r="N3680" s="370"/>
    </row>
    <row r="3681" spans="1:14" s="347" customFormat="1" x14ac:dyDescent="0.25">
      <c r="A3681" s="350">
        <f>+A3680</f>
        <v>44410</v>
      </c>
      <c r="B3681" s="403">
        <f>+MONTH(A3681)</f>
        <v>8</v>
      </c>
      <c r="C3681" s="352">
        <v>3210</v>
      </c>
      <c r="D3681" s="340" t="str">
        <f>VLOOKUP(C3681,Plan!A:B,2,0)</f>
        <v>Donacion Construccion</v>
      </c>
      <c r="E3681" s="341">
        <f>+F3681-G3681</f>
        <v>-14000</v>
      </c>
      <c r="F3681" s="353">
        <v>0</v>
      </c>
      <c r="G3681" s="353">
        <f>+F3680</f>
        <v>14000</v>
      </c>
      <c r="H3681" s="354" t="str">
        <f>+H3680</f>
        <v>María Luisa Ilharreborde Illanes / Azul</v>
      </c>
      <c r="I3681" s="355" t="s">
        <v>131</v>
      </c>
      <c r="K3681" s="370"/>
      <c r="N3681" s="370"/>
    </row>
    <row r="3682" spans="1:14" s="347" customFormat="1" x14ac:dyDescent="0.25">
      <c r="A3682" s="369"/>
      <c r="E3682" s="396"/>
      <c r="F3682" s="396"/>
      <c r="G3682" s="396"/>
      <c r="K3682" s="370"/>
      <c r="N3682" s="370"/>
    </row>
    <row r="3683" spans="1:14" s="347" customFormat="1" x14ac:dyDescent="0.25">
      <c r="A3683" s="350">
        <v>44410</v>
      </c>
      <c r="B3683" s="403">
        <f>+MONTH(A3683)</f>
        <v>8</v>
      </c>
      <c r="C3683" s="352">
        <v>115</v>
      </c>
      <c r="D3683" s="340" t="str">
        <f>VLOOKUP(C3683,Plan!A:B,2,0)</f>
        <v>Disponible Cali B.Chile</v>
      </c>
      <c r="E3683" s="341">
        <f>+F3683-G3683</f>
        <v>133393</v>
      </c>
      <c r="F3683" s="353">
        <v>133393</v>
      </c>
      <c r="G3683" s="353">
        <f>+F3684</f>
        <v>0</v>
      </c>
      <c r="H3683" t="s">
        <v>1993</v>
      </c>
      <c r="I3683" s="355" t="s">
        <v>131</v>
      </c>
      <c r="K3683" s="370"/>
      <c r="N3683" s="370"/>
    </row>
    <row r="3684" spans="1:14" s="347" customFormat="1" x14ac:dyDescent="0.25">
      <c r="A3684" s="350">
        <f>+A3683</f>
        <v>44410</v>
      </c>
      <c r="B3684" s="403">
        <f>+MONTH(A3684)</f>
        <v>8</v>
      </c>
      <c r="C3684" s="352">
        <v>1218</v>
      </c>
      <c r="D3684" s="340" t="str">
        <f>VLOOKUP(C3684,Plan!A:B,2,0)</f>
        <v>Otros Valores Tarjeta de Credito</v>
      </c>
      <c r="E3684" s="341">
        <f>+F3684-G3684</f>
        <v>-133393</v>
      </c>
      <c r="F3684" s="353">
        <v>0</v>
      </c>
      <c r="G3684" s="353">
        <f>+F3683</f>
        <v>133393</v>
      </c>
      <c r="H3684" s="354" t="str">
        <f>+H3683</f>
        <v>248 y 249 julio 2021</v>
      </c>
      <c r="I3684" s="355" t="s">
        <v>131</v>
      </c>
      <c r="K3684" s="370"/>
      <c r="N3684" s="370"/>
    </row>
    <row r="3685" spans="1:14" s="347" customFormat="1" x14ac:dyDescent="0.25">
      <c r="A3685" s="369"/>
      <c r="E3685" s="396"/>
      <c r="F3685" s="396"/>
      <c r="G3685" s="396"/>
      <c r="K3685" s="370"/>
      <c r="N3685" s="370"/>
    </row>
    <row r="3686" spans="1:14" s="347" customFormat="1" x14ac:dyDescent="0.25">
      <c r="A3686" s="350">
        <v>44410</v>
      </c>
      <c r="B3686" s="403">
        <f>+MONTH(A3686)</f>
        <v>8</v>
      </c>
      <c r="C3686" s="352">
        <v>115</v>
      </c>
      <c r="D3686" s="340" t="str">
        <f>VLOOKUP(C3686,Plan!A:B,2,0)</f>
        <v>Disponible Cali B.Chile</v>
      </c>
      <c r="E3686" s="341">
        <f>+F3686-G3686</f>
        <v>100000</v>
      </c>
      <c r="F3686" s="353">
        <v>100000</v>
      </c>
      <c r="G3686" s="353">
        <f>+F3687</f>
        <v>0</v>
      </c>
      <c r="H3686" t="s">
        <v>1992</v>
      </c>
      <c r="I3686" s="355" t="s">
        <v>131</v>
      </c>
      <c r="K3686" s="370"/>
      <c r="N3686" s="370"/>
    </row>
    <row r="3687" spans="1:14" s="347" customFormat="1" x14ac:dyDescent="0.25">
      <c r="A3687" s="350">
        <f>+A3686</f>
        <v>44410</v>
      </c>
      <c r="B3687" s="403">
        <f>+MONTH(A3687)</f>
        <v>8</v>
      </c>
      <c r="C3687" s="352">
        <v>216</v>
      </c>
      <c r="D3687" s="340" t="str">
        <f>VLOOKUP(C3687,Plan!A:B,2,0)</f>
        <v>Cuenta por Pagar a Administración Colectas</v>
      </c>
      <c r="E3687" s="341">
        <f>+F3687-G3687</f>
        <v>-100000</v>
      </c>
      <c r="F3687" s="353">
        <v>0</v>
      </c>
      <c r="G3687" s="353">
        <f>+F3686</f>
        <v>100000</v>
      </c>
      <c r="H3687" s="354" t="str">
        <f>+H3686</f>
        <v>Colecta Arnaldo Gorziglia Balbi</v>
      </c>
      <c r="I3687" s="355" t="s">
        <v>131</v>
      </c>
      <c r="K3687" s="370"/>
      <c r="N3687" s="370"/>
    </row>
    <row r="3688" spans="1:14" s="347" customFormat="1" x14ac:dyDescent="0.25">
      <c r="A3688" s="369"/>
      <c r="E3688" s="396"/>
      <c r="F3688" s="396"/>
      <c r="G3688" s="396"/>
      <c r="K3688" s="370"/>
      <c r="N3688" s="370"/>
    </row>
    <row r="3689" spans="1:14" s="347" customFormat="1" x14ac:dyDescent="0.25">
      <c r="A3689" s="350">
        <v>44410</v>
      </c>
      <c r="B3689" s="403">
        <f>+MONTH(A3689)</f>
        <v>8</v>
      </c>
      <c r="C3689" s="352">
        <v>115</v>
      </c>
      <c r="D3689" s="340" t="str">
        <f>VLOOKUP(C3689,Plan!A:B,2,0)</f>
        <v>Disponible Cali B.Chile</v>
      </c>
      <c r="E3689" s="341">
        <f>+F3689-G3689</f>
        <v>30000</v>
      </c>
      <c r="F3689" s="353">
        <v>30000</v>
      </c>
      <c r="G3689" s="353">
        <f>+F3690</f>
        <v>0</v>
      </c>
      <c r="H3689" t="s">
        <v>1669</v>
      </c>
      <c r="I3689" s="355" t="s">
        <v>131</v>
      </c>
      <c r="K3689" s="370"/>
      <c r="N3689" s="370"/>
    </row>
    <row r="3690" spans="1:14" s="347" customFormat="1" x14ac:dyDescent="0.25">
      <c r="A3690" s="350">
        <f>+A3689</f>
        <v>44410</v>
      </c>
      <c r="B3690" s="403">
        <f>+MONTH(A3690)</f>
        <v>8</v>
      </c>
      <c r="C3690" s="352">
        <v>1222</v>
      </c>
      <c r="D3690" s="340" t="str">
        <f>VLOOKUP(C3690,Plan!A:B,2,0)</f>
        <v>Otros Valores -Oficina y Transferencias (249)</v>
      </c>
      <c r="E3690" s="341">
        <f>+F3690-G3690</f>
        <v>-30000</v>
      </c>
      <c r="F3690" s="353">
        <v>0</v>
      </c>
      <c r="G3690" s="353">
        <f>+F3689</f>
        <v>30000</v>
      </c>
      <c r="H3690" s="354" t="str">
        <f>+H3689</f>
        <v>Carlos Enrique Blanco Plummer / 249</v>
      </c>
      <c r="I3690" s="355" t="s">
        <v>131</v>
      </c>
      <c r="K3690" s="370"/>
      <c r="N3690" s="370"/>
    </row>
    <row r="3691" spans="1:14" s="347" customFormat="1" x14ac:dyDescent="0.25">
      <c r="A3691" s="369"/>
      <c r="E3691" s="396"/>
      <c r="F3691" s="396"/>
      <c r="G3691" s="396"/>
      <c r="K3691" s="370"/>
      <c r="N3691" s="370"/>
    </row>
    <row r="3692" spans="1:14" s="347" customFormat="1" x14ac:dyDescent="0.25">
      <c r="A3692" s="350">
        <v>44410</v>
      </c>
      <c r="B3692" s="403">
        <f>+MONTH(A3692)</f>
        <v>8</v>
      </c>
      <c r="C3692" s="352">
        <v>115</v>
      </c>
      <c r="D3692" s="340" t="str">
        <f>VLOOKUP(C3692,Plan!A:B,2,0)</f>
        <v>Disponible Cali B.Chile</v>
      </c>
      <c r="E3692" s="341">
        <f>+F3692-G3692</f>
        <v>200000</v>
      </c>
      <c r="F3692" s="353">
        <v>200000</v>
      </c>
      <c r="G3692" s="353">
        <f>+F3693</f>
        <v>0</v>
      </c>
      <c r="H3692" t="s">
        <v>1052</v>
      </c>
      <c r="I3692" s="355" t="s">
        <v>131</v>
      </c>
      <c r="K3692" s="370"/>
      <c r="N3692" s="370"/>
    </row>
    <row r="3693" spans="1:14" s="347" customFormat="1" x14ac:dyDescent="0.25">
      <c r="A3693" s="350">
        <f>+A3692</f>
        <v>44410</v>
      </c>
      <c r="B3693" s="403">
        <f>+MONTH(A3693)</f>
        <v>8</v>
      </c>
      <c r="C3693" s="352">
        <v>3210</v>
      </c>
      <c r="D3693" s="340" t="str">
        <f>VLOOKUP(C3693,Plan!A:B,2,0)</f>
        <v>Donacion Construccion</v>
      </c>
      <c r="E3693" s="341">
        <f>+F3693-G3693</f>
        <v>-200000</v>
      </c>
      <c r="F3693" s="353">
        <v>0</v>
      </c>
      <c r="G3693" s="353">
        <f>+F3692</f>
        <v>200000</v>
      </c>
      <c r="H3693" s="354" t="str">
        <f>+H3692</f>
        <v>Jorge Hernán Rodríguez Wilson/Azul</v>
      </c>
      <c r="I3693" s="355" t="s">
        <v>131</v>
      </c>
      <c r="K3693" s="370"/>
      <c r="N3693" s="370"/>
    </row>
    <row r="3694" spans="1:14" s="347" customFormat="1" x14ac:dyDescent="0.25">
      <c r="A3694" s="369"/>
      <c r="E3694" s="396"/>
      <c r="F3694" s="396"/>
      <c r="G3694" s="396"/>
      <c r="K3694" s="370"/>
      <c r="N3694" s="370"/>
    </row>
    <row r="3695" spans="1:14" s="347" customFormat="1" x14ac:dyDescent="0.25">
      <c r="A3695" s="350">
        <v>44411</v>
      </c>
      <c r="B3695" s="403">
        <f>+MONTH(A3695)</f>
        <v>8</v>
      </c>
      <c r="C3695" s="352">
        <v>115</v>
      </c>
      <c r="D3695" s="340" t="str">
        <f>VLOOKUP(C3695,Plan!A:B,2,0)</f>
        <v>Disponible Cali B.Chile</v>
      </c>
      <c r="E3695" s="341">
        <f>+F3695-G3695</f>
        <v>15000</v>
      </c>
      <c r="F3695" s="353">
        <v>15000</v>
      </c>
      <c r="G3695" s="353">
        <f>+F3696</f>
        <v>0</v>
      </c>
      <c r="H3695" t="s">
        <v>1035</v>
      </c>
      <c r="I3695" s="355" t="s">
        <v>131</v>
      </c>
      <c r="K3695" s="370"/>
      <c r="N3695" s="370"/>
    </row>
    <row r="3696" spans="1:14" s="347" customFormat="1" x14ac:dyDescent="0.25">
      <c r="A3696" s="350">
        <f>+A3695</f>
        <v>44411</v>
      </c>
      <c r="B3696" s="403">
        <f>+MONTH(A3696)</f>
        <v>8</v>
      </c>
      <c r="C3696" s="352">
        <v>1217</v>
      </c>
      <c r="D3696" s="340" t="str">
        <f>VLOOKUP(C3696,Plan!A:B,2,0)</f>
        <v>Otros Valores -Oficina y Transferencias (248)</v>
      </c>
      <c r="E3696" s="341">
        <f>+F3696-G3696</f>
        <v>-15000</v>
      </c>
      <c r="F3696" s="353">
        <v>0</v>
      </c>
      <c r="G3696" s="353">
        <f>+F3695</f>
        <v>15000</v>
      </c>
      <c r="H3696" s="354" t="str">
        <f>+H3695</f>
        <v xml:space="preserve">Fabián Rodríguez Ch. / 248 </v>
      </c>
      <c r="I3696" s="355" t="s">
        <v>131</v>
      </c>
      <c r="K3696" s="370"/>
      <c r="N3696" s="370"/>
    </row>
    <row r="3697" spans="1:14" s="347" customFormat="1" x14ac:dyDescent="0.25">
      <c r="A3697" s="369"/>
      <c r="E3697" s="396"/>
      <c r="F3697" s="396"/>
      <c r="G3697" s="396"/>
      <c r="K3697" s="370"/>
      <c r="N3697" s="370"/>
    </row>
    <row r="3698" spans="1:14" s="347" customFormat="1" x14ac:dyDescent="0.25">
      <c r="A3698" s="350">
        <v>44411</v>
      </c>
      <c r="B3698" s="403">
        <f>+MONTH(A3698)</f>
        <v>8</v>
      </c>
      <c r="C3698" s="352">
        <v>115</v>
      </c>
      <c r="D3698" s="340" t="str">
        <f>VLOOKUP(C3698,Plan!A:B,2,0)</f>
        <v>Disponible Cali B.Chile</v>
      </c>
      <c r="E3698" s="341">
        <f>+F3698-G3698</f>
        <v>60000</v>
      </c>
      <c r="F3698" s="353">
        <v>60000</v>
      </c>
      <c r="G3698" s="353">
        <f>+F3699</f>
        <v>0</v>
      </c>
      <c r="H3698" t="s">
        <v>992</v>
      </c>
      <c r="I3698" s="355" t="s">
        <v>131</v>
      </c>
      <c r="K3698" s="370"/>
      <c r="N3698" s="370"/>
    </row>
    <row r="3699" spans="1:14" s="347" customFormat="1" x14ac:dyDescent="0.25">
      <c r="A3699" s="350">
        <f>+A3698</f>
        <v>44411</v>
      </c>
      <c r="B3699" s="403">
        <f>+MONTH(A3699)</f>
        <v>8</v>
      </c>
      <c r="C3699" s="352">
        <v>1222</v>
      </c>
      <c r="D3699" s="340" t="str">
        <f>VLOOKUP(C3699,Plan!A:B,2,0)</f>
        <v>Otros Valores -Oficina y Transferencias (249)</v>
      </c>
      <c r="E3699" s="341">
        <f>+F3699-G3699</f>
        <v>-60000</v>
      </c>
      <c r="F3699" s="353">
        <v>0</v>
      </c>
      <c r="G3699" s="353">
        <f>+F3698</f>
        <v>60000</v>
      </c>
      <c r="H3699" s="354" t="str">
        <f>+H3698</f>
        <v>Enrique Brahm García / 249</v>
      </c>
      <c r="I3699" s="355" t="s">
        <v>131</v>
      </c>
      <c r="K3699" s="370"/>
      <c r="N3699" s="370"/>
    </row>
    <row r="3700" spans="1:14" s="347" customFormat="1" x14ac:dyDescent="0.25">
      <c r="A3700" s="369"/>
      <c r="E3700" s="396"/>
      <c r="F3700" s="396"/>
      <c r="G3700" s="396"/>
      <c r="K3700" s="370"/>
      <c r="N3700" s="370"/>
    </row>
    <row r="3701" spans="1:14" s="347" customFormat="1" x14ac:dyDescent="0.25">
      <c r="A3701" s="350">
        <v>44411</v>
      </c>
      <c r="B3701" s="403">
        <f>+MONTH(A3701)</f>
        <v>8</v>
      </c>
      <c r="C3701" s="352">
        <v>115</v>
      </c>
      <c r="D3701" s="340" t="str">
        <f>VLOOKUP(C3701,Plan!A:B,2,0)</f>
        <v>Disponible Cali B.Chile</v>
      </c>
      <c r="E3701" s="341">
        <f>+F3701-G3701</f>
        <v>40000</v>
      </c>
      <c r="F3701" s="353">
        <v>40000</v>
      </c>
      <c r="G3701" s="353">
        <f>+F3702</f>
        <v>0</v>
      </c>
      <c r="H3701" t="s">
        <v>989</v>
      </c>
      <c r="I3701" s="355" t="s">
        <v>131</v>
      </c>
      <c r="K3701" s="370"/>
      <c r="N3701" s="370"/>
    </row>
    <row r="3702" spans="1:14" s="347" customFormat="1" x14ac:dyDescent="0.25">
      <c r="A3702" s="350">
        <f>+A3701</f>
        <v>44411</v>
      </c>
      <c r="B3702" s="403">
        <f>+MONTH(A3702)</f>
        <v>8</v>
      </c>
      <c r="C3702" s="352">
        <v>1217</v>
      </c>
      <c r="D3702" s="340" t="str">
        <f>VLOOKUP(C3702,Plan!A:B,2,0)</f>
        <v>Otros Valores -Oficina y Transferencias (248)</v>
      </c>
      <c r="E3702" s="341">
        <f>+F3702-G3702</f>
        <v>-40000</v>
      </c>
      <c r="F3702" s="353">
        <v>0</v>
      </c>
      <c r="G3702" s="353">
        <f>+F3701</f>
        <v>40000</v>
      </c>
      <c r="H3702" s="354" t="str">
        <f>+H3701</f>
        <v>M. Domínguez / 248</v>
      </c>
      <c r="I3702" s="355" t="s">
        <v>131</v>
      </c>
      <c r="K3702" s="370"/>
      <c r="N3702" s="370"/>
    </row>
    <row r="3703" spans="1:14" s="347" customFormat="1" x14ac:dyDescent="0.25">
      <c r="A3703" s="369"/>
      <c r="E3703" s="396"/>
      <c r="F3703" s="396"/>
      <c r="G3703" s="396"/>
      <c r="K3703" s="370"/>
      <c r="N3703" s="370"/>
    </row>
    <row r="3704" spans="1:14" s="347" customFormat="1" x14ac:dyDescent="0.25">
      <c r="A3704" s="350">
        <v>44411</v>
      </c>
      <c r="B3704" s="403">
        <f>+MONTH(A3704)</f>
        <v>8</v>
      </c>
      <c r="C3704" s="352">
        <v>115</v>
      </c>
      <c r="D3704" s="340" t="str">
        <f>VLOOKUP(C3704,Plan!A:B,2,0)</f>
        <v>Disponible Cali B.Chile</v>
      </c>
      <c r="E3704" s="341">
        <f>+F3704-G3704</f>
        <v>15000</v>
      </c>
      <c r="F3704" s="353">
        <v>15000</v>
      </c>
      <c r="G3704" s="353">
        <f>+F3705</f>
        <v>0</v>
      </c>
      <c r="H3704" t="s">
        <v>1099</v>
      </c>
      <c r="I3704" s="355" t="s">
        <v>131</v>
      </c>
      <c r="K3704" s="370"/>
      <c r="N3704" s="370"/>
    </row>
    <row r="3705" spans="1:14" s="347" customFormat="1" x14ac:dyDescent="0.25">
      <c r="A3705" s="350">
        <f>+A3704</f>
        <v>44411</v>
      </c>
      <c r="B3705" s="403">
        <f>+MONTH(A3705)</f>
        <v>8</v>
      </c>
      <c r="C3705" s="352">
        <v>1222</v>
      </c>
      <c r="D3705" s="340" t="str">
        <f>VLOOKUP(C3705,Plan!A:B,2,0)</f>
        <v>Otros Valores -Oficina y Transferencias (249)</v>
      </c>
      <c r="E3705" s="341">
        <f>+F3705-G3705</f>
        <v>-15000</v>
      </c>
      <c r="F3705" s="353">
        <v>0</v>
      </c>
      <c r="G3705" s="353">
        <f>+F3704</f>
        <v>15000</v>
      </c>
      <c r="H3705" s="354" t="str">
        <f>+H3704</f>
        <v>María Consuelo Fuenzalida Walker/249</v>
      </c>
      <c r="I3705" s="355" t="s">
        <v>131</v>
      </c>
      <c r="K3705" s="370"/>
      <c r="N3705" s="370"/>
    </row>
    <row r="3706" spans="1:14" s="347" customFormat="1" x14ac:dyDescent="0.25">
      <c r="A3706" s="369"/>
      <c r="E3706" s="396"/>
      <c r="F3706" s="396"/>
      <c r="G3706" s="396"/>
      <c r="K3706" s="370"/>
      <c r="N3706" s="370"/>
    </row>
    <row r="3707" spans="1:14" s="347" customFormat="1" x14ac:dyDescent="0.25">
      <c r="A3707" s="350">
        <v>44411</v>
      </c>
      <c r="B3707" s="403">
        <f>+MONTH(A3707)</f>
        <v>8</v>
      </c>
      <c r="C3707" s="352">
        <v>115</v>
      </c>
      <c r="D3707" s="340" t="str">
        <f>VLOOKUP(C3707,Plan!A:B,2,0)</f>
        <v>Disponible Cali B.Chile</v>
      </c>
      <c r="E3707" s="341">
        <f>+F3707-G3707</f>
        <v>10000</v>
      </c>
      <c r="F3707" s="353">
        <v>10000</v>
      </c>
      <c r="G3707" s="353">
        <f>+F3708</f>
        <v>0</v>
      </c>
      <c r="H3707" t="s">
        <v>1020</v>
      </c>
      <c r="I3707" s="355" t="s">
        <v>131</v>
      </c>
      <c r="K3707" s="370"/>
      <c r="N3707" s="370"/>
    </row>
    <row r="3708" spans="1:14" s="347" customFormat="1" x14ac:dyDescent="0.25">
      <c r="A3708" s="350">
        <f>+A3707</f>
        <v>44411</v>
      </c>
      <c r="B3708" s="403">
        <f>+MONTH(A3708)</f>
        <v>8</v>
      </c>
      <c r="C3708" s="352">
        <v>1217</v>
      </c>
      <c r="D3708" s="340" t="str">
        <f>VLOOKUP(C3708,Plan!A:B,2,0)</f>
        <v>Otros Valores -Oficina y Transferencias (248)</v>
      </c>
      <c r="E3708" s="341">
        <f>+F3708-G3708</f>
        <v>-10000</v>
      </c>
      <c r="F3708" s="353">
        <v>0</v>
      </c>
      <c r="G3708" s="353">
        <f>+F3707</f>
        <v>10000</v>
      </c>
      <c r="H3708" s="354" t="str">
        <f>+H3707</f>
        <v xml:space="preserve">M.Cristina Valenzuela L./248 </v>
      </c>
      <c r="I3708" s="355" t="s">
        <v>131</v>
      </c>
      <c r="K3708" s="370"/>
      <c r="N3708" s="370"/>
    </row>
    <row r="3709" spans="1:14" s="347" customFormat="1" x14ac:dyDescent="0.25">
      <c r="A3709" s="369"/>
      <c r="E3709" s="396"/>
      <c r="F3709" s="396"/>
      <c r="G3709" s="396"/>
      <c r="K3709" s="370"/>
      <c r="N3709" s="370"/>
    </row>
    <row r="3710" spans="1:14" s="347" customFormat="1" x14ac:dyDescent="0.25">
      <c r="A3710" s="350">
        <v>44411</v>
      </c>
      <c r="B3710" s="403">
        <f>+MONTH(A3710)</f>
        <v>8</v>
      </c>
      <c r="C3710" s="352">
        <v>115</v>
      </c>
      <c r="D3710" s="340" t="str">
        <f>VLOOKUP(C3710,Plan!A:B,2,0)</f>
        <v>Disponible Cali B.Chile</v>
      </c>
      <c r="E3710" s="341">
        <f>+F3710-G3710</f>
        <v>50000</v>
      </c>
      <c r="F3710" s="353">
        <v>50000</v>
      </c>
      <c r="G3710" s="353">
        <f>+F3711</f>
        <v>0</v>
      </c>
      <c r="H3710" t="s">
        <v>995</v>
      </c>
      <c r="I3710" s="355" t="s">
        <v>131</v>
      </c>
      <c r="K3710" s="370"/>
      <c r="N3710" s="370"/>
    </row>
    <row r="3711" spans="1:14" s="347" customFormat="1" x14ac:dyDescent="0.25">
      <c r="A3711" s="350">
        <f>+A3710</f>
        <v>44411</v>
      </c>
      <c r="B3711" s="403">
        <f>+MONTH(A3711)</f>
        <v>8</v>
      </c>
      <c r="C3711" s="352">
        <v>1222</v>
      </c>
      <c r="D3711" s="340" t="str">
        <f>VLOOKUP(C3711,Plan!A:B,2,0)</f>
        <v>Otros Valores -Oficina y Transferencias (249)</v>
      </c>
      <c r="E3711" s="341">
        <f>+F3711-G3711</f>
        <v>-50000</v>
      </c>
      <c r="F3711" s="353">
        <v>0</v>
      </c>
      <c r="G3711" s="353">
        <f>+F3710</f>
        <v>50000</v>
      </c>
      <c r="H3711" s="354" t="str">
        <f>+H3710</f>
        <v>Francisco Salazar González / 249</v>
      </c>
      <c r="I3711" s="355" t="s">
        <v>131</v>
      </c>
      <c r="K3711" s="370"/>
      <c r="N3711" s="370"/>
    </row>
    <row r="3712" spans="1:14" s="347" customFormat="1" x14ac:dyDescent="0.25">
      <c r="A3712" s="369"/>
      <c r="E3712" s="396"/>
      <c r="F3712" s="396"/>
      <c r="G3712" s="396"/>
      <c r="K3712" s="370"/>
      <c r="N3712" s="370"/>
    </row>
    <row r="3713" spans="1:14" s="347" customFormat="1" x14ac:dyDescent="0.25">
      <c r="A3713" s="350">
        <v>44411</v>
      </c>
      <c r="B3713" s="403">
        <f>+MONTH(A3713)</f>
        <v>8</v>
      </c>
      <c r="C3713" s="352">
        <v>115</v>
      </c>
      <c r="D3713" s="340" t="str">
        <f>VLOOKUP(C3713,Plan!A:B,2,0)</f>
        <v>Disponible Cali B.Chile</v>
      </c>
      <c r="E3713" s="341">
        <f>+F3713-G3713</f>
        <v>120000</v>
      </c>
      <c r="F3713" s="353">
        <v>120000</v>
      </c>
      <c r="G3713" s="353">
        <f>+F3714</f>
        <v>0</v>
      </c>
      <c r="H3713" t="s">
        <v>987</v>
      </c>
      <c r="I3713" s="355" t="s">
        <v>131</v>
      </c>
      <c r="K3713" s="370"/>
      <c r="N3713" s="370"/>
    </row>
    <row r="3714" spans="1:14" s="347" customFormat="1" x14ac:dyDescent="0.25">
      <c r="A3714" s="350">
        <f>+A3713</f>
        <v>44411</v>
      </c>
      <c r="B3714" s="403">
        <f>+MONTH(A3714)</f>
        <v>8</v>
      </c>
      <c r="C3714" s="352">
        <v>1217</v>
      </c>
      <c r="D3714" s="340" t="str">
        <f>VLOOKUP(C3714,Plan!A:B,2,0)</f>
        <v>Otros Valores -Oficina y Transferencias (248)</v>
      </c>
      <c r="E3714" s="341">
        <f>+F3714-G3714</f>
        <v>-120000</v>
      </c>
      <c r="F3714" s="353">
        <v>0</v>
      </c>
      <c r="G3714" s="353">
        <f>+F3713</f>
        <v>120000</v>
      </c>
      <c r="H3714" s="354" t="str">
        <f>+H3713</f>
        <v xml:space="preserve">I. Ureta / 248 </v>
      </c>
      <c r="I3714" s="355" t="s">
        <v>131</v>
      </c>
      <c r="K3714" s="370"/>
      <c r="N3714" s="370"/>
    </row>
    <row r="3715" spans="1:14" s="347" customFormat="1" x14ac:dyDescent="0.25">
      <c r="A3715" s="369"/>
      <c r="E3715" s="396"/>
      <c r="F3715" s="396"/>
      <c r="G3715" s="396"/>
      <c r="K3715" s="370"/>
      <c r="N3715" s="370"/>
    </row>
    <row r="3716" spans="1:14" s="347" customFormat="1" x14ac:dyDescent="0.25">
      <c r="A3716" s="350">
        <v>44411</v>
      </c>
      <c r="B3716" s="403">
        <f>+MONTH(A3716)</f>
        <v>8</v>
      </c>
      <c r="C3716" s="352">
        <v>115</v>
      </c>
      <c r="D3716" s="340" t="str">
        <f>VLOOKUP(C3716,Plan!A:B,2,0)</f>
        <v>Disponible Cali B.Chile</v>
      </c>
      <c r="E3716" s="341">
        <f>+F3716-G3716</f>
        <v>60000</v>
      </c>
      <c r="F3716" s="353">
        <v>60000</v>
      </c>
      <c r="G3716" s="353">
        <f>+F3717</f>
        <v>0</v>
      </c>
      <c r="H3716" t="s">
        <v>1724</v>
      </c>
      <c r="I3716" s="355" t="s">
        <v>131</v>
      </c>
      <c r="K3716" s="370"/>
      <c r="N3716" s="370"/>
    </row>
    <row r="3717" spans="1:14" s="347" customFormat="1" x14ac:dyDescent="0.25">
      <c r="A3717" s="350">
        <f>+A3716</f>
        <v>44411</v>
      </c>
      <c r="B3717" s="403">
        <f>+MONTH(A3717)</f>
        <v>8</v>
      </c>
      <c r="C3717" s="352">
        <v>1222</v>
      </c>
      <c r="D3717" s="340" t="str">
        <f>VLOOKUP(C3717,Plan!A:B,2,0)</f>
        <v>Otros Valores -Oficina y Transferencias (249)</v>
      </c>
      <c r="E3717" s="341">
        <f>+F3717-G3717</f>
        <v>-60000</v>
      </c>
      <c r="F3717" s="353">
        <v>0</v>
      </c>
      <c r="G3717" s="353">
        <f>+F3716</f>
        <v>60000</v>
      </c>
      <c r="H3717" s="354" t="str">
        <f>+H3716</f>
        <v>Patricio Oelckers Álvarez / 249</v>
      </c>
      <c r="I3717" s="355" t="s">
        <v>131</v>
      </c>
      <c r="K3717" s="370"/>
      <c r="N3717" s="370"/>
    </row>
    <row r="3718" spans="1:14" s="347" customFormat="1" x14ac:dyDescent="0.25">
      <c r="A3718" s="369"/>
      <c r="E3718" s="396"/>
      <c r="F3718" s="396"/>
      <c r="G3718" s="396"/>
      <c r="K3718" s="370"/>
      <c r="N3718" s="370"/>
    </row>
    <row r="3719" spans="1:14" s="347" customFormat="1" x14ac:dyDescent="0.25">
      <c r="A3719" s="350">
        <v>44411</v>
      </c>
      <c r="B3719" s="403">
        <f>+MONTH(A3719)</f>
        <v>8</v>
      </c>
      <c r="C3719" s="352">
        <v>115</v>
      </c>
      <c r="D3719" s="340" t="str">
        <f>VLOOKUP(C3719,Plan!A:B,2,0)</f>
        <v>Disponible Cali B.Chile</v>
      </c>
      <c r="E3719" s="341">
        <f>+F3719-G3719</f>
        <v>12000</v>
      </c>
      <c r="F3719" s="353">
        <v>12000</v>
      </c>
      <c r="G3719" s="353">
        <f>+F3720</f>
        <v>0</v>
      </c>
      <c r="H3719" t="s">
        <v>1673</v>
      </c>
      <c r="I3719" s="355" t="s">
        <v>131</v>
      </c>
      <c r="K3719" s="370"/>
      <c r="N3719" s="370"/>
    </row>
    <row r="3720" spans="1:14" s="347" customFormat="1" x14ac:dyDescent="0.25">
      <c r="A3720" s="350">
        <f>+A3719</f>
        <v>44411</v>
      </c>
      <c r="B3720" s="403">
        <f>+MONTH(A3720)</f>
        <v>8</v>
      </c>
      <c r="C3720" s="352">
        <v>1222</v>
      </c>
      <c r="D3720" s="340" t="str">
        <f>VLOOKUP(C3720,Plan!A:B,2,0)</f>
        <v>Otros Valores -Oficina y Transferencias (249)</v>
      </c>
      <c r="E3720" s="341">
        <f>+F3720-G3720</f>
        <v>-12000</v>
      </c>
      <c r="F3720" s="353">
        <v>0</v>
      </c>
      <c r="G3720" s="353">
        <f>+F3719</f>
        <v>12000</v>
      </c>
      <c r="H3720" s="354" t="str">
        <f>+H3719</f>
        <v xml:space="preserve">Martín Fuenzalida Izquierdo / 249 </v>
      </c>
      <c r="I3720" s="355" t="s">
        <v>131</v>
      </c>
      <c r="K3720" s="370"/>
      <c r="N3720" s="370"/>
    </row>
    <row r="3721" spans="1:14" s="347" customFormat="1" x14ac:dyDescent="0.25">
      <c r="K3721" s="370"/>
      <c r="N3721" s="370"/>
    </row>
    <row r="3722" spans="1:14" s="347" customFormat="1" x14ac:dyDescent="0.25">
      <c r="A3722" s="350">
        <v>44411</v>
      </c>
      <c r="B3722" s="403">
        <f>+MONTH(A3722)</f>
        <v>8</v>
      </c>
      <c r="C3722" s="352">
        <v>115</v>
      </c>
      <c r="D3722" s="340" t="str">
        <f>VLOOKUP(C3722,Plan!A:B,2,0)</f>
        <v>Disponible Cali B.Chile</v>
      </c>
      <c r="E3722" s="341">
        <f>+F3722-G3722</f>
        <v>30000</v>
      </c>
      <c r="F3722" s="353">
        <v>30000</v>
      </c>
      <c r="G3722" s="353">
        <f>+F3723</f>
        <v>0</v>
      </c>
      <c r="H3722" t="s">
        <v>996</v>
      </c>
      <c r="I3722" s="355" t="s">
        <v>131</v>
      </c>
      <c r="K3722" s="370"/>
      <c r="N3722" s="370"/>
    </row>
    <row r="3723" spans="1:14" s="347" customFormat="1" x14ac:dyDescent="0.25">
      <c r="A3723" s="350">
        <f>+A3722</f>
        <v>44411</v>
      </c>
      <c r="B3723" s="403">
        <f>+MONTH(A3723)</f>
        <v>8</v>
      </c>
      <c r="C3723" s="352">
        <v>3210</v>
      </c>
      <c r="D3723" s="340" t="str">
        <f>VLOOKUP(C3723,Plan!A:B,2,0)</f>
        <v>Donacion Construccion</v>
      </c>
      <c r="E3723" s="341">
        <f>+F3723-G3723</f>
        <v>-30000</v>
      </c>
      <c r="F3723" s="353">
        <v>0</v>
      </c>
      <c r="G3723" s="353">
        <f>+F3722</f>
        <v>30000</v>
      </c>
      <c r="H3723" s="354" t="str">
        <f>+H3722</f>
        <v>Patrick Reginald Horn Garcia / Azul</v>
      </c>
      <c r="I3723" s="355" t="s">
        <v>131</v>
      </c>
      <c r="K3723" s="370"/>
      <c r="N3723" s="370"/>
    </row>
    <row r="3724" spans="1:14" s="347" customFormat="1" x14ac:dyDescent="0.25">
      <c r="A3724" s="369"/>
      <c r="E3724" s="396"/>
      <c r="F3724" s="396"/>
      <c r="G3724" s="396"/>
      <c r="K3724" s="370"/>
      <c r="N3724" s="370"/>
    </row>
    <row r="3725" spans="1:14" s="347" customFormat="1" x14ac:dyDescent="0.25">
      <c r="A3725" s="350">
        <v>44411</v>
      </c>
      <c r="B3725" s="403">
        <f>+MONTH(A3725)</f>
        <v>8</v>
      </c>
      <c r="C3725" s="352">
        <v>115</v>
      </c>
      <c r="D3725" s="340" t="str">
        <f>VLOOKUP(C3725,Plan!A:B,2,0)</f>
        <v>Disponible Cali B.Chile</v>
      </c>
      <c r="E3725" s="341">
        <f>+F3725-G3725</f>
        <v>59286</v>
      </c>
      <c r="F3725" s="353">
        <v>59286</v>
      </c>
      <c r="G3725" s="353">
        <f>+F3726</f>
        <v>0</v>
      </c>
      <c r="H3725" t="s">
        <v>1993</v>
      </c>
      <c r="I3725" s="355" t="s">
        <v>131</v>
      </c>
      <c r="K3725" s="370"/>
      <c r="N3725" s="370"/>
    </row>
    <row r="3726" spans="1:14" s="347" customFormat="1" x14ac:dyDescent="0.25">
      <c r="A3726" s="350">
        <f>+A3725</f>
        <v>44411</v>
      </c>
      <c r="B3726" s="403">
        <f>+MONTH(A3726)</f>
        <v>8</v>
      </c>
      <c r="C3726" s="352">
        <v>1218</v>
      </c>
      <c r="D3726" s="340" t="str">
        <f>VLOOKUP(C3726,Plan!A:B,2,0)</f>
        <v>Otros Valores Tarjeta de Credito</v>
      </c>
      <c r="E3726" s="341">
        <f>+F3726-G3726</f>
        <v>-59286</v>
      </c>
      <c r="F3726" s="353">
        <v>0</v>
      </c>
      <c r="G3726" s="353">
        <f>+F3725</f>
        <v>59286</v>
      </c>
      <c r="H3726" s="354" t="str">
        <f>+H3725</f>
        <v>248 y 249 julio 2021</v>
      </c>
      <c r="I3726" s="355" t="s">
        <v>131</v>
      </c>
      <c r="K3726" s="370"/>
      <c r="N3726" s="370"/>
    </row>
    <row r="3727" spans="1:14" s="347" customFormat="1" x14ac:dyDescent="0.25">
      <c r="A3727" s="369"/>
      <c r="E3727" s="396"/>
      <c r="F3727" s="396"/>
      <c r="G3727" s="396"/>
      <c r="K3727" s="370"/>
      <c r="N3727" s="370"/>
    </row>
    <row r="3728" spans="1:14" s="347" customFormat="1" x14ac:dyDescent="0.25">
      <c r="A3728" s="350">
        <v>44411</v>
      </c>
      <c r="B3728" s="403">
        <f>+MONTH(A3728)</f>
        <v>8</v>
      </c>
      <c r="C3728" s="352">
        <v>115</v>
      </c>
      <c r="D3728" s="340" t="str">
        <f>VLOOKUP(C3728,Plan!A:B,2,0)</f>
        <v>Disponible Cali B.Chile</v>
      </c>
      <c r="E3728" s="341">
        <f>+F3728-G3728</f>
        <v>30000</v>
      </c>
      <c r="F3728" s="353">
        <v>30000</v>
      </c>
      <c r="G3728" s="353">
        <f>+F3729</f>
        <v>0</v>
      </c>
      <c r="H3728" t="s">
        <v>1012</v>
      </c>
      <c r="I3728" s="355" t="s">
        <v>131</v>
      </c>
      <c r="K3728" s="370"/>
      <c r="N3728" s="370"/>
    </row>
    <row r="3729" spans="1:14" s="347" customFormat="1" x14ac:dyDescent="0.25">
      <c r="A3729" s="350">
        <f>+A3728</f>
        <v>44411</v>
      </c>
      <c r="B3729" s="403">
        <f>+MONTH(A3729)</f>
        <v>8</v>
      </c>
      <c r="C3729" s="352">
        <v>1222</v>
      </c>
      <c r="D3729" s="340" t="str">
        <f>VLOOKUP(C3729,Plan!A:B,2,0)</f>
        <v>Otros Valores -Oficina y Transferencias (249)</v>
      </c>
      <c r="E3729" s="341">
        <f>+F3729-G3729</f>
        <v>-30000</v>
      </c>
      <c r="F3729" s="353">
        <v>0</v>
      </c>
      <c r="G3729" s="353">
        <f>+F3728</f>
        <v>30000</v>
      </c>
      <c r="H3729" s="354" t="str">
        <f>+H3728</f>
        <v>María Luz Parodi Gil / 249</v>
      </c>
      <c r="I3729" s="355" t="s">
        <v>131</v>
      </c>
      <c r="K3729" s="370"/>
      <c r="N3729" s="370"/>
    </row>
    <row r="3730" spans="1:14" s="347" customFormat="1" x14ac:dyDescent="0.25">
      <c r="A3730" s="369"/>
      <c r="E3730" s="396"/>
      <c r="F3730" s="396"/>
      <c r="G3730" s="396"/>
      <c r="K3730" s="370"/>
      <c r="N3730" s="370"/>
    </row>
    <row r="3731" spans="1:14" s="347" customFormat="1" x14ac:dyDescent="0.25">
      <c r="A3731" s="350">
        <v>44411</v>
      </c>
      <c r="B3731" s="403">
        <f>+MONTH(A3731)</f>
        <v>8</v>
      </c>
      <c r="C3731" s="352">
        <v>115</v>
      </c>
      <c r="D3731" s="340" t="str">
        <f>VLOOKUP(C3731,Plan!A:B,2,0)</f>
        <v>Disponible Cali B.Chile</v>
      </c>
      <c r="E3731" s="341">
        <f>+F3731-G3731</f>
        <v>3000000</v>
      </c>
      <c r="F3731" s="353">
        <v>3000000</v>
      </c>
      <c r="G3731" s="353">
        <f>+F3732</f>
        <v>0</v>
      </c>
      <c r="H3731" t="s">
        <v>1668</v>
      </c>
      <c r="I3731" s="355" t="s">
        <v>131</v>
      </c>
      <c r="K3731" s="370"/>
      <c r="N3731" s="370"/>
    </row>
    <row r="3732" spans="1:14" s="347" customFormat="1" x14ac:dyDescent="0.25">
      <c r="A3732" s="350">
        <f>+A3731</f>
        <v>44411</v>
      </c>
      <c r="B3732" s="403">
        <f>+MONTH(A3732)</f>
        <v>8</v>
      </c>
      <c r="C3732" s="352">
        <v>3210</v>
      </c>
      <c r="D3732" s="340" t="str">
        <f>VLOOKUP(C3732,Plan!A:B,2,0)</f>
        <v>Donacion Construccion</v>
      </c>
      <c r="E3732" s="341">
        <f>+F3732-G3732</f>
        <v>-3000000</v>
      </c>
      <c r="F3732" s="353">
        <v>0</v>
      </c>
      <c r="G3732" s="353">
        <f>+F3731</f>
        <v>3000000</v>
      </c>
      <c r="H3732" s="354" t="str">
        <f>+H3731</f>
        <v>José Tomás Guzmán Rencoret / Azul</v>
      </c>
      <c r="I3732" s="355" t="s">
        <v>131</v>
      </c>
      <c r="K3732" s="370"/>
      <c r="N3732" s="370"/>
    </row>
    <row r="3733" spans="1:14" s="347" customFormat="1" x14ac:dyDescent="0.25">
      <c r="A3733" s="369"/>
      <c r="E3733" s="396"/>
      <c r="F3733" s="396"/>
      <c r="G3733" s="396"/>
      <c r="K3733" s="370"/>
      <c r="N3733" s="370"/>
    </row>
    <row r="3734" spans="1:14" s="347" customFormat="1" x14ac:dyDescent="0.25">
      <c r="A3734" s="350">
        <v>44412</v>
      </c>
      <c r="B3734" s="403">
        <f>+MONTH(A3734)</f>
        <v>8</v>
      </c>
      <c r="C3734" s="352">
        <v>115</v>
      </c>
      <c r="D3734" s="340" t="str">
        <f>VLOOKUP(C3734,Plan!A:B,2,0)</f>
        <v>Disponible Cali B.Chile</v>
      </c>
      <c r="E3734" s="341">
        <f>+F3734-G3734</f>
        <v>100000</v>
      </c>
      <c r="F3734" s="353">
        <v>100000</v>
      </c>
      <c r="G3734" s="353">
        <f>+F3735</f>
        <v>0</v>
      </c>
      <c r="H3734" t="s">
        <v>1726</v>
      </c>
      <c r="I3734" s="355" t="s">
        <v>131</v>
      </c>
      <c r="K3734" s="370"/>
      <c r="N3734" s="370"/>
    </row>
    <row r="3735" spans="1:14" s="347" customFormat="1" x14ac:dyDescent="0.25">
      <c r="A3735" s="350">
        <f>+A3734</f>
        <v>44412</v>
      </c>
      <c r="B3735" s="403">
        <f>+MONTH(A3735)</f>
        <v>8</v>
      </c>
      <c r="C3735" s="352">
        <v>3210</v>
      </c>
      <c r="D3735" s="340" t="str">
        <f>VLOOKUP(C3735,Plan!A:B,2,0)</f>
        <v>Donacion Construccion</v>
      </c>
      <c r="E3735" s="341">
        <f>+F3735-G3735</f>
        <v>-100000</v>
      </c>
      <c r="F3735" s="353">
        <v>0</v>
      </c>
      <c r="G3735" s="353">
        <f>+F3734</f>
        <v>100000</v>
      </c>
      <c r="H3735" s="354" t="str">
        <f>+H3734</f>
        <v>Juan Carlos Latorre Díaz / Azul</v>
      </c>
      <c r="I3735" s="355" t="s">
        <v>131</v>
      </c>
      <c r="K3735" s="370"/>
      <c r="N3735" s="370"/>
    </row>
    <row r="3736" spans="1:14" s="347" customFormat="1" x14ac:dyDescent="0.25">
      <c r="A3736" s="369"/>
      <c r="E3736" s="396"/>
      <c r="F3736" s="396"/>
      <c r="G3736" s="396"/>
      <c r="K3736" s="370"/>
      <c r="N3736" s="370"/>
    </row>
    <row r="3737" spans="1:14" s="347" customFormat="1" x14ac:dyDescent="0.25">
      <c r="A3737" s="350">
        <v>44412</v>
      </c>
      <c r="B3737" s="403">
        <f>+MONTH(A3737)</f>
        <v>8</v>
      </c>
      <c r="C3737" s="352">
        <v>115</v>
      </c>
      <c r="D3737" s="340" t="str">
        <f>VLOOKUP(C3737,Plan!A:B,2,0)</f>
        <v>Disponible Cali B.Chile</v>
      </c>
      <c r="E3737" s="341">
        <f>+F3737-G3737</f>
        <v>20000</v>
      </c>
      <c r="F3737" s="353">
        <v>20000</v>
      </c>
      <c r="G3737" s="353">
        <f>+F3738</f>
        <v>0</v>
      </c>
      <c r="H3737" t="s">
        <v>983</v>
      </c>
      <c r="I3737" s="355" t="s">
        <v>131</v>
      </c>
      <c r="K3737" s="370"/>
      <c r="N3737" s="370"/>
    </row>
    <row r="3738" spans="1:14" s="347" customFormat="1" x14ac:dyDescent="0.25">
      <c r="A3738" s="350">
        <f>+A3737</f>
        <v>44412</v>
      </c>
      <c r="B3738" s="403">
        <f>+MONTH(A3738)</f>
        <v>8</v>
      </c>
      <c r="C3738" s="352">
        <v>1222</v>
      </c>
      <c r="D3738" s="340" t="str">
        <f>VLOOKUP(C3738,Plan!A:B,2,0)</f>
        <v>Otros Valores -Oficina y Transferencias (249)</v>
      </c>
      <c r="E3738" s="341">
        <f>+F3738-G3738</f>
        <v>-20000</v>
      </c>
      <c r="F3738" s="353">
        <v>0</v>
      </c>
      <c r="G3738" s="353">
        <f>+F3737</f>
        <v>20000</v>
      </c>
      <c r="H3738" s="354" t="str">
        <f>+H3737</f>
        <v>Macarena Gálvez Roa / 249</v>
      </c>
      <c r="I3738" s="355" t="s">
        <v>131</v>
      </c>
      <c r="K3738" s="370"/>
      <c r="N3738" s="370"/>
    </row>
    <row r="3739" spans="1:14" s="347" customFormat="1" x14ac:dyDescent="0.25">
      <c r="A3739" s="369"/>
      <c r="E3739" s="396"/>
      <c r="F3739" s="396"/>
      <c r="G3739" s="396"/>
      <c r="K3739" s="370"/>
      <c r="N3739" s="370"/>
    </row>
    <row r="3740" spans="1:14" s="347" customFormat="1" x14ac:dyDescent="0.25">
      <c r="A3740" s="350">
        <v>44412</v>
      </c>
      <c r="B3740" s="403">
        <f>+MONTH(A3740)</f>
        <v>8</v>
      </c>
      <c r="C3740" s="352">
        <v>115</v>
      </c>
      <c r="D3740" s="340" t="str">
        <f>VLOOKUP(C3740,Plan!A:B,2,0)</f>
        <v>Disponible Cali B.Chile</v>
      </c>
      <c r="E3740" s="341">
        <f>+F3740-G3740</f>
        <v>40000</v>
      </c>
      <c r="F3740" s="353">
        <v>40000</v>
      </c>
      <c r="G3740" s="353">
        <f>+F3741</f>
        <v>0</v>
      </c>
      <c r="H3740" t="s">
        <v>1011</v>
      </c>
      <c r="I3740" s="355" t="s">
        <v>131</v>
      </c>
      <c r="K3740" s="370"/>
      <c r="N3740" s="370"/>
    </row>
    <row r="3741" spans="1:14" s="347" customFormat="1" x14ac:dyDescent="0.25">
      <c r="A3741" s="350">
        <f>+A3740</f>
        <v>44412</v>
      </c>
      <c r="B3741" s="403">
        <f>+MONTH(A3741)</f>
        <v>8</v>
      </c>
      <c r="C3741" s="352">
        <v>1222</v>
      </c>
      <c r="D3741" s="340" t="str">
        <f>VLOOKUP(C3741,Plan!A:B,2,0)</f>
        <v>Otros Valores -Oficina y Transferencias (249)</v>
      </c>
      <c r="E3741" s="341">
        <f>+F3741-G3741</f>
        <v>-40000</v>
      </c>
      <c r="F3741" s="353">
        <v>0</v>
      </c>
      <c r="G3741" s="353">
        <f>+F3740</f>
        <v>40000</v>
      </c>
      <c r="H3741" s="354" t="str">
        <f>+H3740</f>
        <v>Mauricio Hargous Larraín / 249</v>
      </c>
      <c r="I3741" s="355" t="s">
        <v>131</v>
      </c>
      <c r="K3741" s="370"/>
      <c r="N3741" s="370"/>
    </row>
    <row r="3742" spans="1:14" s="347" customFormat="1" x14ac:dyDescent="0.25">
      <c r="A3742" s="369"/>
      <c r="E3742" s="396"/>
      <c r="F3742" s="396"/>
      <c r="G3742" s="396"/>
      <c r="K3742" s="370"/>
      <c r="N3742" s="370"/>
    </row>
    <row r="3743" spans="1:14" s="347" customFormat="1" x14ac:dyDescent="0.25">
      <c r="A3743" s="350">
        <v>44412</v>
      </c>
      <c r="B3743" s="403">
        <f>+MONTH(A3743)</f>
        <v>8</v>
      </c>
      <c r="C3743" s="352">
        <v>115</v>
      </c>
      <c r="D3743" s="340" t="str">
        <f>VLOOKUP(C3743,Plan!A:B,2,0)</f>
        <v>Disponible Cali B.Chile</v>
      </c>
      <c r="E3743" s="341">
        <f>+F3743-G3743</f>
        <v>70000</v>
      </c>
      <c r="F3743" s="353">
        <v>70000</v>
      </c>
      <c r="G3743" s="353">
        <f>+F3744</f>
        <v>0</v>
      </c>
      <c r="H3743" t="s">
        <v>997</v>
      </c>
      <c r="I3743" s="355" t="s">
        <v>131</v>
      </c>
      <c r="K3743" s="370"/>
      <c r="N3743" s="370"/>
    </row>
    <row r="3744" spans="1:14" s="347" customFormat="1" x14ac:dyDescent="0.25">
      <c r="A3744" s="350">
        <f>+A3743</f>
        <v>44412</v>
      </c>
      <c r="B3744" s="403">
        <f>+MONTH(A3744)</f>
        <v>8</v>
      </c>
      <c r="C3744" s="352">
        <v>1222</v>
      </c>
      <c r="D3744" s="340" t="str">
        <f>VLOOKUP(C3744,Plan!A:B,2,0)</f>
        <v>Otros Valores -Oficina y Transferencias (249)</v>
      </c>
      <c r="E3744" s="341">
        <f>+F3744-G3744</f>
        <v>-70000</v>
      </c>
      <c r="F3744" s="353">
        <v>0</v>
      </c>
      <c r="G3744" s="353">
        <f>+F3743</f>
        <v>70000</v>
      </c>
      <c r="H3744" s="354" t="str">
        <f>+H3743</f>
        <v>Alberto Altermatt C. / 249</v>
      </c>
      <c r="I3744" s="355" t="s">
        <v>131</v>
      </c>
      <c r="K3744" s="370"/>
      <c r="N3744" s="370"/>
    </row>
    <row r="3745" spans="1:14" s="347" customFormat="1" x14ac:dyDescent="0.25">
      <c r="A3745" s="369"/>
      <c r="E3745" s="396"/>
      <c r="F3745" s="396"/>
      <c r="G3745" s="396"/>
      <c r="K3745" s="370"/>
      <c r="N3745" s="370"/>
    </row>
    <row r="3746" spans="1:14" s="347" customFormat="1" x14ac:dyDescent="0.25">
      <c r="A3746" s="350">
        <v>44412</v>
      </c>
      <c r="B3746" s="403">
        <f>+MONTH(A3746)</f>
        <v>8</v>
      </c>
      <c r="C3746" s="352">
        <v>115</v>
      </c>
      <c r="D3746" s="340" t="str">
        <f>VLOOKUP(C3746,Plan!A:B,2,0)</f>
        <v>Disponible Cali B.Chile</v>
      </c>
      <c r="E3746" s="341">
        <f>+F3746-G3746</f>
        <v>250000</v>
      </c>
      <c r="F3746" s="353">
        <v>250000</v>
      </c>
      <c r="G3746" s="353">
        <f>+F3747</f>
        <v>0</v>
      </c>
      <c r="H3746" t="s">
        <v>1994</v>
      </c>
      <c r="I3746" s="355" t="s">
        <v>131</v>
      </c>
      <c r="K3746" s="370"/>
      <c r="N3746" s="370"/>
    </row>
    <row r="3747" spans="1:14" s="347" customFormat="1" x14ac:dyDescent="0.25">
      <c r="A3747" s="350">
        <f>+A3746</f>
        <v>44412</v>
      </c>
      <c r="B3747" s="403">
        <f>+MONTH(A3747)</f>
        <v>8</v>
      </c>
      <c r="C3747" s="352">
        <v>3210</v>
      </c>
      <c r="D3747" s="340" t="str">
        <f>VLOOKUP(C3747,Plan!A:B,2,0)</f>
        <v>Donacion Construccion</v>
      </c>
      <c r="E3747" s="341">
        <f>+F3747-G3747</f>
        <v>-250000</v>
      </c>
      <c r="F3747" s="353">
        <v>0</v>
      </c>
      <c r="G3747" s="353">
        <f>+F3746</f>
        <v>250000</v>
      </c>
      <c r="H3747" s="354" t="str">
        <f>+H3746</f>
        <v>Rebeca Ayala Marfil / Azul</v>
      </c>
      <c r="I3747" s="355" t="s">
        <v>131</v>
      </c>
      <c r="K3747" s="370"/>
      <c r="N3747" s="370"/>
    </row>
    <row r="3748" spans="1:14" s="347" customFormat="1" x14ac:dyDescent="0.25">
      <c r="A3748" s="369"/>
      <c r="E3748" s="396"/>
      <c r="F3748" s="396"/>
      <c r="G3748" s="396"/>
      <c r="K3748" s="370"/>
      <c r="N3748" s="370"/>
    </row>
    <row r="3749" spans="1:14" s="347" customFormat="1" x14ac:dyDescent="0.25">
      <c r="A3749" s="350">
        <v>44412</v>
      </c>
      <c r="B3749" s="403">
        <f>+MONTH(A3749)</f>
        <v>8</v>
      </c>
      <c r="C3749" s="352">
        <v>115</v>
      </c>
      <c r="D3749" s="340" t="str">
        <f>VLOOKUP(C3749,Plan!A:B,2,0)</f>
        <v>Disponible Cali B.Chile</v>
      </c>
      <c r="E3749" s="341">
        <f>+F3749-G3749</f>
        <v>150000</v>
      </c>
      <c r="F3749" s="353">
        <v>150000</v>
      </c>
      <c r="G3749" s="353">
        <f>+F3750</f>
        <v>0</v>
      </c>
      <c r="H3749" t="s">
        <v>1002</v>
      </c>
      <c r="I3749" s="355" t="s">
        <v>131</v>
      </c>
      <c r="K3749" s="370"/>
      <c r="N3749" s="370"/>
    </row>
    <row r="3750" spans="1:14" s="347" customFormat="1" x14ac:dyDescent="0.25">
      <c r="A3750" s="350">
        <f>+A3749</f>
        <v>44412</v>
      </c>
      <c r="B3750" s="403">
        <f>+MONTH(A3750)</f>
        <v>8</v>
      </c>
      <c r="C3750" s="352">
        <v>1222</v>
      </c>
      <c r="D3750" s="340" t="str">
        <f>VLOOKUP(C3750,Plan!A:B,2,0)</f>
        <v>Otros Valores -Oficina y Transferencias (249)</v>
      </c>
      <c r="E3750" s="341">
        <f>+F3750-G3750</f>
        <v>-150000</v>
      </c>
      <c r="F3750" s="353">
        <v>0</v>
      </c>
      <c r="G3750" s="353">
        <f>+F3749</f>
        <v>150000</v>
      </c>
      <c r="H3750" s="354" t="str">
        <f>+H3749</f>
        <v>José Miguel Ureta Cardoen / 249</v>
      </c>
      <c r="I3750" s="355" t="s">
        <v>131</v>
      </c>
      <c r="K3750" s="370"/>
      <c r="N3750" s="370"/>
    </row>
    <row r="3751" spans="1:14" s="347" customFormat="1" x14ac:dyDescent="0.25">
      <c r="A3751" s="369"/>
      <c r="E3751" s="396"/>
      <c r="F3751" s="396"/>
      <c r="G3751" s="396"/>
      <c r="K3751" s="370"/>
      <c r="N3751" s="370"/>
    </row>
    <row r="3752" spans="1:14" s="347" customFormat="1" x14ac:dyDescent="0.25">
      <c r="A3752" s="350">
        <v>44412</v>
      </c>
      <c r="B3752" s="403">
        <f>+MONTH(A3752)</f>
        <v>8</v>
      </c>
      <c r="C3752" s="352">
        <v>115</v>
      </c>
      <c r="D3752" s="340" t="str">
        <f>VLOOKUP(C3752,Plan!A:B,2,0)</f>
        <v>Disponible Cali B.Chile</v>
      </c>
      <c r="E3752" s="341">
        <f>+F3752-G3752</f>
        <v>150000</v>
      </c>
      <c r="F3752" s="353">
        <v>150000</v>
      </c>
      <c r="G3752" s="353">
        <f>+F3753</f>
        <v>0</v>
      </c>
      <c r="H3752" t="s">
        <v>1061</v>
      </c>
      <c r="I3752" s="355" t="s">
        <v>131</v>
      </c>
      <c r="K3752" s="370"/>
      <c r="N3752" s="370"/>
    </row>
    <row r="3753" spans="1:14" s="347" customFormat="1" x14ac:dyDescent="0.25">
      <c r="A3753" s="350">
        <f>+A3752</f>
        <v>44412</v>
      </c>
      <c r="B3753" s="403">
        <f>+MONTH(A3753)</f>
        <v>8</v>
      </c>
      <c r="C3753" s="352">
        <v>1217</v>
      </c>
      <c r="D3753" s="340" t="str">
        <f>VLOOKUP(C3753,Plan!A:B,2,0)</f>
        <v>Otros Valores -Oficina y Transferencias (248)</v>
      </c>
      <c r="E3753" s="341">
        <f>+F3753-G3753</f>
        <v>-150000</v>
      </c>
      <c r="F3753" s="353">
        <v>0</v>
      </c>
      <c r="G3753" s="353">
        <f>+F3752</f>
        <v>150000</v>
      </c>
      <c r="H3753" s="354" t="str">
        <f>+H3752</f>
        <v>Patricio Abalos /248</v>
      </c>
      <c r="I3753" s="355" t="s">
        <v>131</v>
      </c>
      <c r="K3753" s="370"/>
      <c r="N3753" s="370"/>
    </row>
    <row r="3754" spans="1:14" s="347" customFormat="1" x14ac:dyDescent="0.25">
      <c r="A3754" s="369"/>
      <c r="E3754" s="396"/>
      <c r="F3754" s="396"/>
      <c r="G3754" s="396"/>
      <c r="K3754" s="370"/>
      <c r="N3754" s="370"/>
    </row>
    <row r="3755" spans="1:14" s="347" customFormat="1" x14ac:dyDescent="0.25">
      <c r="A3755" s="350">
        <v>44412</v>
      </c>
      <c r="B3755" s="403">
        <f>+MONTH(A3755)</f>
        <v>8</v>
      </c>
      <c r="C3755" s="352">
        <v>115</v>
      </c>
      <c r="D3755" s="340" t="str">
        <f>VLOOKUP(C3755,Plan!A:B,2,0)</f>
        <v>Disponible Cali B.Chile</v>
      </c>
      <c r="E3755" s="341">
        <f>+F3755-G3755</f>
        <v>15000</v>
      </c>
      <c r="F3755" s="353">
        <v>15000</v>
      </c>
      <c r="G3755" s="353">
        <f>+F3756</f>
        <v>0</v>
      </c>
      <c r="H3755" t="s">
        <v>940</v>
      </c>
      <c r="I3755" s="355" t="s">
        <v>131</v>
      </c>
      <c r="K3755" s="370"/>
      <c r="N3755" s="370"/>
    </row>
    <row r="3756" spans="1:14" s="347" customFormat="1" x14ac:dyDescent="0.25">
      <c r="A3756" s="350">
        <f>+A3755</f>
        <v>44412</v>
      </c>
      <c r="B3756" s="403">
        <f>+MONTH(A3756)</f>
        <v>8</v>
      </c>
      <c r="C3756" s="352">
        <v>1216</v>
      </c>
      <c r="D3756" s="340" t="str">
        <f>VLOOKUP(C3756,Plan!A:B,2,0)</f>
        <v>Otros Valores Recaudadoras</v>
      </c>
      <c r="E3756" s="341">
        <f>+F3756-G3756</f>
        <v>-15000</v>
      </c>
      <c r="F3756" s="353">
        <v>0</v>
      </c>
      <c r="G3756" s="353">
        <f>+F3755</f>
        <v>15000</v>
      </c>
      <c r="H3756" s="354" t="str">
        <f>+H3755</f>
        <v>Ana María Reyes Garín / 248</v>
      </c>
      <c r="I3756" s="355" t="s">
        <v>131</v>
      </c>
      <c r="K3756" s="370"/>
      <c r="N3756" s="370"/>
    </row>
    <row r="3757" spans="1:14" s="347" customFormat="1" x14ac:dyDescent="0.25">
      <c r="A3757" s="369"/>
      <c r="E3757" s="396"/>
      <c r="F3757" s="396"/>
      <c r="G3757" s="396"/>
      <c r="K3757" s="370"/>
      <c r="N3757" s="370"/>
    </row>
    <row r="3758" spans="1:14" s="347" customFormat="1" x14ac:dyDescent="0.25">
      <c r="A3758" s="350">
        <v>44412</v>
      </c>
      <c r="B3758" s="403">
        <f>+MONTH(A3758)</f>
        <v>8</v>
      </c>
      <c r="C3758" s="352">
        <v>115</v>
      </c>
      <c r="D3758" s="340" t="str">
        <f>VLOOKUP(C3758,Plan!A:B,2,0)</f>
        <v>Disponible Cali B.Chile</v>
      </c>
      <c r="E3758" s="341">
        <f>+F3758-G3758</f>
        <v>20000</v>
      </c>
      <c r="F3758" s="353">
        <v>20000</v>
      </c>
      <c r="G3758" s="353">
        <f>+F3759</f>
        <v>0</v>
      </c>
      <c r="H3758" t="s">
        <v>999</v>
      </c>
      <c r="I3758" s="355" t="s">
        <v>131</v>
      </c>
      <c r="K3758" s="370"/>
      <c r="N3758" s="370"/>
    </row>
    <row r="3759" spans="1:14" s="347" customFormat="1" x14ac:dyDescent="0.25">
      <c r="A3759" s="350">
        <f>+A3758</f>
        <v>44412</v>
      </c>
      <c r="B3759" s="403">
        <f>+MONTH(A3759)</f>
        <v>8</v>
      </c>
      <c r="C3759" s="352">
        <v>1222</v>
      </c>
      <c r="D3759" s="340" t="str">
        <f>VLOOKUP(C3759,Plan!A:B,2,0)</f>
        <v>Otros Valores -Oficina y Transferencias (249)</v>
      </c>
      <c r="E3759" s="341">
        <f>+F3759-G3759</f>
        <v>-20000</v>
      </c>
      <c r="F3759" s="353">
        <v>0</v>
      </c>
      <c r="G3759" s="353">
        <f>+F3758</f>
        <v>20000</v>
      </c>
      <c r="H3759" s="354" t="str">
        <f>+H3758</f>
        <v>Carmen Mónica Barañao Rojas/249</v>
      </c>
      <c r="I3759" s="355" t="s">
        <v>131</v>
      </c>
      <c r="K3759" s="370"/>
      <c r="N3759" s="370"/>
    </row>
    <row r="3760" spans="1:14" s="347" customFormat="1" x14ac:dyDescent="0.25">
      <c r="A3760" s="369"/>
      <c r="E3760" s="396"/>
      <c r="F3760" s="396"/>
      <c r="G3760" s="396"/>
      <c r="K3760" s="370"/>
      <c r="N3760" s="370"/>
    </row>
    <row r="3761" spans="1:14" s="347" customFormat="1" x14ac:dyDescent="0.25">
      <c r="A3761" s="350">
        <v>44413</v>
      </c>
      <c r="B3761" s="403">
        <f>+MONTH(A3761)</f>
        <v>8</v>
      </c>
      <c r="C3761" s="352">
        <v>4171</v>
      </c>
      <c r="D3761" s="340" t="str">
        <f>VLOOKUP(C3761,Plan!A:B,2,0)</f>
        <v xml:space="preserve">        Campaña 1%</v>
      </c>
      <c r="E3761" s="341">
        <f>+F3761-G3761</f>
        <v>352935</v>
      </c>
      <c r="F3761" s="353">
        <v>352935</v>
      </c>
      <c r="G3761" s="353">
        <f>+F3762</f>
        <v>0</v>
      </c>
      <c r="H3761" t="s">
        <v>1995</v>
      </c>
      <c r="I3761" s="355" t="s">
        <v>131</v>
      </c>
      <c r="K3761" s="370"/>
      <c r="N3761" s="370"/>
    </row>
    <row r="3762" spans="1:14" s="347" customFormat="1" x14ac:dyDescent="0.25">
      <c r="A3762" s="350">
        <f>+A3761</f>
        <v>44413</v>
      </c>
      <c r="B3762" s="403">
        <f>+MONTH(A3762)</f>
        <v>8</v>
      </c>
      <c r="C3762" s="352">
        <v>115</v>
      </c>
      <c r="D3762" s="340" t="str">
        <f>VLOOKUP(C3762,Plan!A:B,2,0)</f>
        <v>Disponible Cali B.Chile</v>
      </c>
      <c r="E3762" s="341">
        <f>+F3762-G3762</f>
        <v>-352935</v>
      </c>
      <c r="F3762" s="353">
        <v>0</v>
      </c>
      <c r="G3762" s="353">
        <f>+F3761</f>
        <v>352935</v>
      </c>
      <c r="H3762" s="354" t="str">
        <f>+H3761</f>
        <v>Saldo F.865, 150 letreros Campaña Hazte Parte</v>
      </c>
      <c r="I3762" s="355" t="s">
        <v>131</v>
      </c>
      <c r="K3762" s="370"/>
      <c r="N3762" s="370"/>
    </row>
    <row r="3763" spans="1:14" s="347" customFormat="1" x14ac:dyDescent="0.25">
      <c r="A3763" s="369"/>
      <c r="E3763" s="396"/>
      <c r="F3763" s="396"/>
      <c r="G3763" s="396"/>
      <c r="K3763" s="370"/>
      <c r="N3763" s="370"/>
    </row>
    <row r="3764" spans="1:14" s="347" customFormat="1" x14ac:dyDescent="0.25">
      <c r="A3764" s="350">
        <v>44413</v>
      </c>
      <c r="B3764" s="403">
        <f>+MONTH(A3764)</f>
        <v>8</v>
      </c>
      <c r="C3764" s="352">
        <v>115</v>
      </c>
      <c r="D3764" s="340" t="str">
        <f>VLOOKUP(C3764,Plan!A:B,2,0)</f>
        <v>Disponible Cali B.Chile</v>
      </c>
      <c r="E3764" s="341">
        <f>+F3764-G3764</f>
        <v>20000</v>
      </c>
      <c r="F3764" s="353">
        <v>20000</v>
      </c>
      <c r="G3764" s="353">
        <f>+F3765</f>
        <v>0</v>
      </c>
      <c r="H3764" t="s">
        <v>998</v>
      </c>
      <c r="I3764" s="355" t="s">
        <v>131</v>
      </c>
      <c r="K3764" s="370"/>
      <c r="N3764" s="370"/>
    </row>
    <row r="3765" spans="1:14" s="347" customFormat="1" x14ac:dyDescent="0.25">
      <c r="A3765" s="350">
        <f>+A3764</f>
        <v>44413</v>
      </c>
      <c r="B3765" s="403">
        <f>+MONTH(A3765)</f>
        <v>8</v>
      </c>
      <c r="C3765" s="352">
        <v>1222</v>
      </c>
      <c r="D3765" s="340" t="str">
        <f>VLOOKUP(C3765,Plan!A:B,2,0)</f>
        <v>Otros Valores -Oficina y Transferencias (249)</v>
      </c>
      <c r="E3765" s="341">
        <f>+F3765-G3765</f>
        <v>-20000</v>
      </c>
      <c r="F3765" s="353">
        <v>0</v>
      </c>
      <c r="G3765" s="353">
        <f>+F3764</f>
        <v>20000</v>
      </c>
      <c r="H3765" s="354" t="str">
        <f>+H3764</f>
        <v>Fca. Orrego/249</v>
      </c>
      <c r="I3765" s="355" t="s">
        <v>131</v>
      </c>
      <c r="K3765" s="370"/>
      <c r="N3765" s="370"/>
    </row>
    <row r="3766" spans="1:14" s="347" customFormat="1" x14ac:dyDescent="0.25">
      <c r="A3766" s="369"/>
      <c r="E3766" s="396"/>
      <c r="F3766" s="396"/>
      <c r="G3766" s="396"/>
      <c r="K3766" s="370"/>
      <c r="N3766" s="370"/>
    </row>
    <row r="3767" spans="1:14" s="347" customFormat="1" x14ac:dyDescent="0.25">
      <c r="A3767" s="350">
        <v>44413</v>
      </c>
      <c r="B3767" s="403">
        <f>+MONTH(A3767)</f>
        <v>8</v>
      </c>
      <c r="C3767" s="352">
        <v>115</v>
      </c>
      <c r="D3767" s="340" t="str">
        <f>VLOOKUP(C3767,Plan!A:B,2,0)</f>
        <v>Disponible Cali B.Chile</v>
      </c>
      <c r="E3767" s="341">
        <f>+F3767-G3767</f>
        <v>75000</v>
      </c>
      <c r="F3767" s="353">
        <v>75000</v>
      </c>
      <c r="G3767" s="353">
        <f>+F3768</f>
        <v>0</v>
      </c>
      <c r="H3767" t="s">
        <v>1679</v>
      </c>
      <c r="I3767" s="355" t="s">
        <v>131</v>
      </c>
      <c r="K3767" s="370"/>
      <c r="N3767" s="370"/>
    </row>
    <row r="3768" spans="1:14" s="347" customFormat="1" x14ac:dyDescent="0.25">
      <c r="A3768" s="350">
        <f>+A3767</f>
        <v>44413</v>
      </c>
      <c r="B3768" s="403">
        <f>+MONTH(A3768)</f>
        <v>8</v>
      </c>
      <c r="C3768" s="352">
        <v>1222</v>
      </c>
      <c r="D3768" s="340" t="str">
        <f>VLOOKUP(C3768,Plan!A:B,2,0)</f>
        <v>Otros Valores -Oficina y Transferencias (249)</v>
      </c>
      <c r="E3768" s="341">
        <f>+F3768-G3768</f>
        <v>-75000</v>
      </c>
      <c r="F3768" s="353">
        <v>0</v>
      </c>
      <c r="G3768" s="353">
        <f>+F3767</f>
        <v>75000</v>
      </c>
      <c r="H3768" s="354" t="str">
        <f>+H3767</f>
        <v>María Teresa Ibañez Vial / 249</v>
      </c>
      <c r="I3768" s="355" t="s">
        <v>131</v>
      </c>
      <c r="K3768" s="370"/>
      <c r="N3768" s="370"/>
    </row>
    <row r="3769" spans="1:14" s="347" customFormat="1" x14ac:dyDescent="0.25">
      <c r="A3769" s="369"/>
      <c r="E3769" s="396"/>
      <c r="F3769" s="396"/>
      <c r="G3769" s="396"/>
      <c r="K3769" s="370"/>
      <c r="N3769" s="370"/>
    </row>
    <row r="3770" spans="1:14" s="347" customFormat="1" x14ac:dyDescent="0.25">
      <c r="A3770" s="350">
        <v>44413</v>
      </c>
      <c r="B3770" s="403">
        <f>+MONTH(A3770)</f>
        <v>8</v>
      </c>
      <c r="C3770" s="352">
        <v>115</v>
      </c>
      <c r="D3770" s="340" t="str">
        <f>VLOOKUP(C3770,Plan!A:B,2,0)</f>
        <v>Disponible Cali B.Chile</v>
      </c>
      <c r="E3770" s="341">
        <f>+F3770-G3770</f>
        <v>100000</v>
      </c>
      <c r="F3770" s="353">
        <v>100000</v>
      </c>
      <c r="G3770" s="353">
        <f>+F3771</f>
        <v>0</v>
      </c>
      <c r="H3770" t="s">
        <v>1715</v>
      </c>
      <c r="I3770" s="355" t="s">
        <v>131</v>
      </c>
      <c r="K3770" s="370"/>
      <c r="N3770" s="370"/>
    </row>
    <row r="3771" spans="1:14" s="347" customFormat="1" x14ac:dyDescent="0.25">
      <c r="A3771" s="350">
        <f>+A3770</f>
        <v>44413</v>
      </c>
      <c r="B3771" s="403">
        <f>+MONTH(A3771)</f>
        <v>8</v>
      </c>
      <c r="C3771" s="352">
        <v>1222</v>
      </c>
      <c r="D3771" s="340" t="str">
        <f>VLOOKUP(C3771,Plan!A:B,2,0)</f>
        <v>Otros Valores -Oficina y Transferencias (249)</v>
      </c>
      <c r="E3771" s="341">
        <f>+F3771-G3771</f>
        <v>-100000</v>
      </c>
      <c r="F3771" s="353">
        <v>0</v>
      </c>
      <c r="G3771" s="353">
        <f>+F3770</f>
        <v>100000</v>
      </c>
      <c r="H3771" s="354" t="str">
        <f>+H3770</f>
        <v>Santiago Ireneo Doña Vial / 249</v>
      </c>
      <c r="I3771" s="355" t="s">
        <v>131</v>
      </c>
      <c r="K3771" s="370"/>
      <c r="N3771" s="370"/>
    </row>
    <row r="3772" spans="1:14" s="347" customFormat="1" x14ac:dyDescent="0.25">
      <c r="A3772" s="369"/>
      <c r="E3772" s="396"/>
      <c r="F3772" s="396"/>
      <c r="G3772" s="396"/>
      <c r="K3772" s="370"/>
      <c r="N3772" s="370"/>
    </row>
    <row r="3773" spans="1:14" s="347" customFormat="1" x14ac:dyDescent="0.25">
      <c r="A3773" s="350">
        <v>44413</v>
      </c>
      <c r="B3773" s="403">
        <f>+MONTH(A3773)</f>
        <v>8</v>
      </c>
      <c r="C3773" s="352">
        <v>115</v>
      </c>
      <c r="D3773" s="340" t="str">
        <f>VLOOKUP(C3773,Plan!A:B,2,0)</f>
        <v>Disponible Cali B.Chile</v>
      </c>
      <c r="E3773" s="341">
        <f>+F3773-G3773</f>
        <v>19612</v>
      </c>
      <c r="F3773" s="353">
        <v>19612</v>
      </c>
      <c r="G3773" s="353">
        <f>+F3775</f>
        <v>0</v>
      </c>
      <c r="H3773" t="s">
        <v>1858</v>
      </c>
      <c r="I3773" s="355" t="s">
        <v>131</v>
      </c>
      <c r="K3773" s="370"/>
      <c r="N3773" s="370"/>
    </row>
    <row r="3774" spans="1:14" s="347" customFormat="1" x14ac:dyDescent="0.25">
      <c r="A3774" s="350">
        <f>+A3773</f>
        <v>44413</v>
      </c>
      <c r="B3774" s="403">
        <f>+MONTH(A3774)</f>
        <v>8</v>
      </c>
      <c r="C3774" s="352">
        <v>4170</v>
      </c>
      <c r="D3774" s="340" t="str">
        <f>VLOOKUP(C3774,Plan!A:B,2,0)</f>
        <v>Cali otros</v>
      </c>
      <c r="E3774" s="341">
        <f>+F3774-G3774</f>
        <v>388</v>
      </c>
      <c r="F3774" s="353">
        <v>388</v>
      </c>
      <c r="G3774" s="353">
        <f>+F3772</f>
        <v>0</v>
      </c>
      <c r="H3774" s="354">
        <f>+H3772</f>
        <v>0</v>
      </c>
      <c r="I3774" s="355" t="s">
        <v>131</v>
      </c>
      <c r="K3774" s="370"/>
      <c r="N3774" s="370"/>
    </row>
    <row r="3775" spans="1:14" s="347" customFormat="1" x14ac:dyDescent="0.25">
      <c r="A3775" s="350">
        <f>+A3773</f>
        <v>44413</v>
      </c>
      <c r="B3775" s="403">
        <f>+MONTH(A3775)</f>
        <v>8</v>
      </c>
      <c r="C3775" s="352">
        <v>1222</v>
      </c>
      <c r="D3775" s="340" t="str">
        <f>VLOOKUP(C3775,Plan!A:B,2,0)</f>
        <v>Otros Valores -Oficina y Transferencias (249)</v>
      </c>
      <c r="E3775" s="341">
        <f>+F3775-G3775</f>
        <v>-20000</v>
      </c>
      <c r="F3775" s="353">
        <v>0</v>
      </c>
      <c r="G3775" s="353">
        <v>20000</v>
      </c>
      <c r="H3775" s="354" t="str">
        <f>+H3773</f>
        <v>Sofía Guerrero V. / 249 D.C.T.($20.000)</v>
      </c>
      <c r="I3775" s="355" t="s">
        <v>131</v>
      </c>
      <c r="K3775" s="370"/>
      <c r="N3775" s="370"/>
    </row>
    <row r="3776" spans="1:14" s="347" customFormat="1" x14ac:dyDescent="0.25">
      <c r="A3776" s="369"/>
      <c r="E3776" s="396"/>
      <c r="F3776" s="396"/>
      <c r="G3776" s="396"/>
      <c r="K3776" s="370"/>
      <c r="N3776" s="370"/>
    </row>
    <row r="3777" spans="1:14" s="347" customFormat="1" x14ac:dyDescent="0.25">
      <c r="A3777" s="350">
        <v>44413</v>
      </c>
      <c r="B3777" s="403">
        <f>+MONTH(A3777)</f>
        <v>8</v>
      </c>
      <c r="C3777" s="352">
        <v>115</v>
      </c>
      <c r="D3777" s="340" t="str">
        <f>VLOOKUP(C3777,Plan!A:B,2,0)</f>
        <v>Disponible Cali B.Chile</v>
      </c>
      <c r="E3777" s="341">
        <f>+F3777-G3777</f>
        <v>20000</v>
      </c>
      <c r="F3777" s="353">
        <v>20000</v>
      </c>
      <c r="G3777" s="353">
        <f>+F3778</f>
        <v>0</v>
      </c>
      <c r="H3777" t="s">
        <v>1996</v>
      </c>
      <c r="I3777" s="355" t="s">
        <v>131</v>
      </c>
      <c r="K3777" s="370"/>
      <c r="N3777" s="370"/>
    </row>
    <row r="3778" spans="1:14" s="347" customFormat="1" x14ac:dyDescent="0.25">
      <c r="A3778" s="350">
        <f>+A3777</f>
        <v>44413</v>
      </c>
      <c r="B3778" s="403">
        <f>+MONTH(A3778)</f>
        <v>8</v>
      </c>
      <c r="C3778" s="352">
        <v>1222</v>
      </c>
      <c r="D3778" s="340" t="str">
        <f>VLOOKUP(C3778,Plan!A:B,2,0)</f>
        <v>Otros Valores -Oficina y Transferencias (249)</v>
      </c>
      <c r="E3778" s="341">
        <f>+F3778-G3778</f>
        <v>-20000</v>
      </c>
      <c r="F3778" s="353">
        <v>0</v>
      </c>
      <c r="G3778" s="353">
        <f>+F3777</f>
        <v>20000</v>
      </c>
      <c r="H3778" s="354" t="str">
        <f>+H3777</f>
        <v>Patricia Romero Espinosa / 249</v>
      </c>
      <c r="I3778" s="355" t="s">
        <v>131</v>
      </c>
      <c r="K3778" s="370"/>
      <c r="N3778" s="370"/>
    </row>
    <row r="3779" spans="1:14" s="347" customFormat="1" x14ac:dyDescent="0.25">
      <c r="A3779" s="369"/>
      <c r="E3779" s="396"/>
      <c r="F3779" s="396"/>
      <c r="G3779" s="396"/>
      <c r="K3779" s="370"/>
      <c r="N3779" s="370"/>
    </row>
    <row r="3780" spans="1:14" s="347" customFormat="1" x14ac:dyDescent="0.25">
      <c r="A3780" s="350">
        <v>44413</v>
      </c>
      <c r="B3780" s="403">
        <f>+MONTH(A3780)</f>
        <v>8</v>
      </c>
      <c r="C3780" s="352">
        <v>115</v>
      </c>
      <c r="D3780" s="340" t="str">
        <f>VLOOKUP(C3780,Plan!A:B,2,0)</f>
        <v>Disponible Cali B.Chile</v>
      </c>
      <c r="E3780" s="341">
        <f>+F3780-G3780</f>
        <v>10000</v>
      </c>
      <c r="F3780" s="353">
        <v>10000</v>
      </c>
      <c r="G3780" s="353">
        <f>+F3781</f>
        <v>0</v>
      </c>
      <c r="H3780" t="s">
        <v>694</v>
      </c>
      <c r="I3780" s="355" t="s">
        <v>131</v>
      </c>
      <c r="K3780" s="370"/>
      <c r="N3780" s="370"/>
    </row>
    <row r="3781" spans="1:14" s="347" customFormat="1" x14ac:dyDescent="0.25">
      <c r="A3781" s="350">
        <f>+A3780</f>
        <v>44413</v>
      </c>
      <c r="B3781" s="403">
        <f>+MONTH(A3781)</f>
        <v>8</v>
      </c>
      <c r="C3781" s="352">
        <v>1222</v>
      </c>
      <c r="D3781" s="340" t="str">
        <f>VLOOKUP(C3781,Plan!A:B,2,0)</f>
        <v>Otros Valores -Oficina y Transferencias (249)</v>
      </c>
      <c r="E3781" s="341">
        <f>+F3781-G3781</f>
        <v>-10000</v>
      </c>
      <c r="F3781" s="353">
        <v>0</v>
      </c>
      <c r="G3781" s="353">
        <f>+F3780</f>
        <v>10000</v>
      </c>
      <c r="H3781" s="354" t="str">
        <f>+H3780</f>
        <v>Melania Espinosa / 249</v>
      </c>
      <c r="I3781" s="355" t="s">
        <v>131</v>
      </c>
      <c r="K3781" s="370"/>
      <c r="N3781" s="370"/>
    </row>
    <row r="3782" spans="1:14" s="347" customFormat="1" x14ac:dyDescent="0.25">
      <c r="A3782" s="369"/>
      <c r="E3782" s="396"/>
      <c r="F3782" s="396"/>
      <c r="G3782" s="396"/>
      <c r="K3782" s="370"/>
      <c r="N3782" s="370"/>
    </row>
    <row r="3783" spans="1:14" s="347" customFormat="1" x14ac:dyDescent="0.25">
      <c r="A3783" s="350">
        <v>44413</v>
      </c>
      <c r="B3783" s="403">
        <f>+MONTH(A3783)</f>
        <v>8</v>
      </c>
      <c r="C3783" s="352">
        <v>115</v>
      </c>
      <c r="D3783" s="340" t="str">
        <f>VLOOKUP(C3783,Plan!A:B,2,0)</f>
        <v>Disponible Cali B.Chile</v>
      </c>
      <c r="E3783" s="341">
        <f>+F3783-G3783</f>
        <v>20000</v>
      </c>
      <c r="F3783" s="353">
        <v>20000</v>
      </c>
      <c r="G3783" s="353">
        <f>+F3784</f>
        <v>0</v>
      </c>
      <c r="H3783" t="s">
        <v>693</v>
      </c>
      <c r="I3783" s="355" t="s">
        <v>131</v>
      </c>
      <c r="K3783" s="370"/>
      <c r="N3783" s="370"/>
    </row>
    <row r="3784" spans="1:14" s="347" customFormat="1" x14ac:dyDescent="0.25">
      <c r="A3784" s="350">
        <f>+A3783</f>
        <v>44413</v>
      </c>
      <c r="B3784" s="403">
        <f>+MONTH(A3784)</f>
        <v>8</v>
      </c>
      <c r="C3784" s="352">
        <v>1222</v>
      </c>
      <c r="D3784" s="340" t="str">
        <f>VLOOKUP(C3784,Plan!A:B,2,0)</f>
        <v>Otros Valores -Oficina y Transferencias (249)</v>
      </c>
      <c r="E3784" s="341">
        <f>+F3784-G3784</f>
        <v>-20000</v>
      </c>
      <c r="F3784" s="353">
        <v>0</v>
      </c>
      <c r="G3784" s="353">
        <f>+F3783</f>
        <v>20000</v>
      </c>
      <c r="H3784" s="354" t="str">
        <f>+H3783</f>
        <v>Marina Espinosa / 249</v>
      </c>
      <c r="I3784" s="355" t="s">
        <v>131</v>
      </c>
      <c r="K3784" s="370"/>
      <c r="N3784" s="370"/>
    </row>
    <row r="3785" spans="1:14" s="347" customFormat="1" x14ac:dyDescent="0.25">
      <c r="A3785" s="369"/>
      <c r="E3785" s="396"/>
      <c r="F3785" s="396"/>
      <c r="G3785" s="396"/>
      <c r="K3785" s="370"/>
      <c r="N3785" s="370"/>
    </row>
    <row r="3786" spans="1:14" s="347" customFormat="1" x14ac:dyDescent="0.25">
      <c r="A3786" s="350">
        <v>44414</v>
      </c>
      <c r="B3786" s="403">
        <f>+MONTH(A3786)</f>
        <v>8</v>
      </c>
      <c r="C3786" s="352">
        <v>115</v>
      </c>
      <c r="D3786" s="340" t="str">
        <f>VLOOKUP(C3786,Plan!A:B,2,0)</f>
        <v>Disponible Cali B.Chile</v>
      </c>
      <c r="E3786" s="341">
        <f>+F3786-G3786</f>
        <v>60000</v>
      </c>
      <c r="F3786" s="353">
        <v>60000</v>
      </c>
      <c r="G3786" s="353">
        <f>+F3787</f>
        <v>0</v>
      </c>
      <c r="H3786" t="s">
        <v>1031</v>
      </c>
      <c r="I3786" s="355" t="s">
        <v>131</v>
      </c>
      <c r="K3786" s="370"/>
      <c r="N3786" s="370"/>
    </row>
    <row r="3787" spans="1:14" s="347" customFormat="1" x14ac:dyDescent="0.25">
      <c r="A3787" s="350">
        <f>+A3786</f>
        <v>44414</v>
      </c>
      <c r="B3787" s="403">
        <f>+MONTH(A3787)</f>
        <v>8</v>
      </c>
      <c r="C3787" s="352">
        <v>1217</v>
      </c>
      <c r="D3787" s="340" t="str">
        <f>VLOOKUP(C3787,Plan!A:B,2,0)</f>
        <v>Otros Valores -Oficina y Transferencias (248)</v>
      </c>
      <c r="E3787" s="341">
        <f>+F3787-G3787</f>
        <v>-60000</v>
      </c>
      <c r="F3787" s="353">
        <v>0</v>
      </c>
      <c r="G3787" s="353">
        <f>+F3786</f>
        <v>60000</v>
      </c>
      <c r="H3787" s="354" t="str">
        <f>+H3786</f>
        <v xml:space="preserve">D. Vassiliu /248 </v>
      </c>
      <c r="I3787" s="355" t="s">
        <v>131</v>
      </c>
      <c r="K3787" s="370"/>
      <c r="N3787" s="370"/>
    </row>
    <row r="3788" spans="1:14" s="347" customFormat="1" x14ac:dyDescent="0.25">
      <c r="A3788" s="369"/>
      <c r="E3788" s="396"/>
      <c r="F3788" s="396"/>
      <c r="G3788" s="396"/>
      <c r="K3788" s="370"/>
      <c r="N3788" s="370"/>
    </row>
    <row r="3789" spans="1:14" s="347" customFormat="1" x14ac:dyDescent="0.25">
      <c r="A3789" s="350">
        <v>44414</v>
      </c>
      <c r="B3789" s="403">
        <f>+MONTH(A3789)</f>
        <v>8</v>
      </c>
      <c r="C3789" s="352">
        <v>115</v>
      </c>
      <c r="D3789" s="340" t="str">
        <f>VLOOKUP(C3789,Plan!A:B,2,0)</f>
        <v>Disponible Cali B.Chile</v>
      </c>
      <c r="E3789" s="341">
        <f>+F3789-G3789</f>
        <v>40000</v>
      </c>
      <c r="F3789" s="353">
        <v>40000</v>
      </c>
      <c r="G3789" s="353">
        <f>+F3790</f>
        <v>0</v>
      </c>
      <c r="H3789" t="s">
        <v>1009</v>
      </c>
      <c r="I3789" s="355" t="s">
        <v>131</v>
      </c>
      <c r="K3789" s="370"/>
      <c r="N3789" s="370"/>
    </row>
    <row r="3790" spans="1:14" s="347" customFormat="1" x14ac:dyDescent="0.25">
      <c r="A3790" s="350">
        <f>+A3789</f>
        <v>44414</v>
      </c>
      <c r="B3790" s="403">
        <f>+MONTH(A3790)</f>
        <v>8</v>
      </c>
      <c r="C3790" s="352">
        <v>1222</v>
      </c>
      <c r="D3790" s="340" t="str">
        <f>VLOOKUP(C3790,Plan!A:B,2,0)</f>
        <v>Otros Valores -Oficina y Transferencias (249)</v>
      </c>
      <c r="E3790" s="341">
        <f>+F3790-G3790</f>
        <v>-40000</v>
      </c>
      <c r="F3790" s="353">
        <v>0</v>
      </c>
      <c r="G3790" s="353">
        <f>+F3789</f>
        <v>40000</v>
      </c>
      <c r="H3790" s="354" t="str">
        <f>+H3789</f>
        <v>Juan Rafael Arnaiz Johnson / 249</v>
      </c>
      <c r="I3790" s="355" t="s">
        <v>131</v>
      </c>
      <c r="K3790" s="370"/>
      <c r="N3790" s="370"/>
    </row>
    <row r="3791" spans="1:14" s="347" customFormat="1" x14ac:dyDescent="0.25">
      <c r="A3791" s="369"/>
      <c r="E3791" s="396"/>
      <c r="F3791" s="396"/>
      <c r="G3791" s="396"/>
      <c r="K3791" s="370"/>
      <c r="N3791" s="370"/>
    </row>
    <row r="3792" spans="1:14" s="347" customFormat="1" x14ac:dyDescent="0.25">
      <c r="A3792" s="350">
        <v>44414</v>
      </c>
      <c r="B3792" s="403">
        <f>+MONTH(A3792)</f>
        <v>8</v>
      </c>
      <c r="C3792" s="352">
        <v>115</v>
      </c>
      <c r="D3792" s="340" t="str">
        <f>VLOOKUP(C3792,Plan!A:B,2,0)</f>
        <v>Disponible Cali B.Chile</v>
      </c>
      <c r="E3792" s="341">
        <f>+F3792-G3792</f>
        <v>25000</v>
      </c>
      <c r="F3792" s="353">
        <v>25000</v>
      </c>
      <c r="G3792" s="353">
        <f>+F3793</f>
        <v>0</v>
      </c>
      <c r="H3792" t="s">
        <v>981</v>
      </c>
      <c r="I3792" s="355" t="s">
        <v>131</v>
      </c>
      <c r="K3792" s="370"/>
      <c r="N3792" s="370"/>
    </row>
    <row r="3793" spans="1:14" s="347" customFormat="1" x14ac:dyDescent="0.25">
      <c r="A3793" s="350">
        <f>+A3792</f>
        <v>44414</v>
      </c>
      <c r="B3793" s="403">
        <f>+MONTH(A3793)</f>
        <v>8</v>
      </c>
      <c r="C3793" s="352">
        <v>1222</v>
      </c>
      <c r="D3793" s="340" t="str">
        <f>VLOOKUP(C3793,Plan!A:B,2,0)</f>
        <v>Otros Valores -Oficina y Transferencias (249)</v>
      </c>
      <c r="E3793" s="341">
        <f>+F3793-G3793</f>
        <v>-25000</v>
      </c>
      <c r="F3793" s="353">
        <v>0</v>
      </c>
      <c r="G3793" s="353">
        <f>+F3792</f>
        <v>25000</v>
      </c>
      <c r="H3793" t="s">
        <v>981</v>
      </c>
      <c r="I3793" s="355" t="s">
        <v>131</v>
      </c>
      <c r="K3793" s="370"/>
      <c r="N3793" s="370"/>
    </row>
    <row r="3794" spans="1:14" s="347" customFormat="1" x14ac:dyDescent="0.25">
      <c r="A3794" s="369"/>
      <c r="E3794" s="396"/>
      <c r="F3794" s="396"/>
      <c r="G3794" s="396"/>
      <c r="K3794" s="370"/>
      <c r="N3794" s="370"/>
    </row>
    <row r="3795" spans="1:14" s="347" customFormat="1" x14ac:dyDescent="0.25">
      <c r="A3795" s="350">
        <v>44414</v>
      </c>
      <c r="B3795" s="403">
        <f>+MONTH(A3795)</f>
        <v>8</v>
      </c>
      <c r="C3795" s="352">
        <v>4170</v>
      </c>
      <c r="D3795" s="340" t="str">
        <f>VLOOKUP(C3795,Plan!A:B,2,0)</f>
        <v>Cali otros</v>
      </c>
      <c r="E3795" s="341">
        <f>+F3795-G3795</f>
        <v>1771</v>
      </c>
      <c r="F3795" s="353">
        <v>1771</v>
      </c>
      <c r="G3795" s="353">
        <f>+F3796</f>
        <v>0</v>
      </c>
      <c r="H3795" t="s">
        <v>1005</v>
      </c>
      <c r="I3795" s="355" t="s">
        <v>131</v>
      </c>
      <c r="K3795" s="370"/>
      <c r="N3795" s="370"/>
    </row>
    <row r="3796" spans="1:14" s="347" customFormat="1" x14ac:dyDescent="0.25">
      <c r="A3796" s="350">
        <f>+A3795</f>
        <v>44414</v>
      </c>
      <c r="B3796" s="403">
        <f>+MONTH(A3796)</f>
        <v>8</v>
      </c>
      <c r="C3796" s="352">
        <v>115</v>
      </c>
      <c r="D3796" s="340" t="str">
        <f>VLOOKUP(C3796,Plan!A:B,2,0)</f>
        <v>Disponible Cali B.Chile</v>
      </c>
      <c r="E3796" s="341">
        <f>+F3796-G3796</f>
        <v>-1771</v>
      </c>
      <c r="F3796" s="353">
        <v>0</v>
      </c>
      <c r="G3796" s="353">
        <f>+F3795</f>
        <v>1771</v>
      </c>
      <c r="H3796" s="354" t="str">
        <f>+H3795</f>
        <v>Com.Bco.Chile</v>
      </c>
      <c r="I3796" s="355" t="s">
        <v>131</v>
      </c>
      <c r="K3796" s="370"/>
      <c r="N3796" s="370"/>
    </row>
    <row r="3797" spans="1:14" s="347" customFormat="1" x14ac:dyDescent="0.25">
      <c r="A3797" s="369"/>
      <c r="E3797" s="396"/>
      <c r="F3797" s="396"/>
      <c r="G3797" s="396"/>
      <c r="K3797" s="370"/>
      <c r="N3797" s="370"/>
    </row>
    <row r="3798" spans="1:14" s="347" customFormat="1" x14ac:dyDescent="0.25">
      <c r="A3798" s="350">
        <v>44417</v>
      </c>
      <c r="B3798" s="403">
        <f>+MONTH(A3798)</f>
        <v>8</v>
      </c>
      <c r="C3798" s="352">
        <v>115</v>
      </c>
      <c r="D3798" s="340" t="str">
        <f>VLOOKUP(C3798,Plan!A:B,2,0)</f>
        <v>Disponible Cali B.Chile</v>
      </c>
      <c r="E3798" s="341">
        <f>+F3798-G3798</f>
        <v>36000</v>
      </c>
      <c r="F3798" s="353">
        <v>36000</v>
      </c>
      <c r="G3798" s="353">
        <f>+F3799</f>
        <v>0</v>
      </c>
      <c r="H3798" t="s">
        <v>1997</v>
      </c>
      <c r="I3798" s="355" t="s">
        <v>131</v>
      </c>
      <c r="K3798" s="370"/>
      <c r="N3798" s="370"/>
    </row>
    <row r="3799" spans="1:14" s="347" customFormat="1" x14ac:dyDescent="0.25">
      <c r="A3799" s="350">
        <f>+A3798</f>
        <v>44417</v>
      </c>
      <c r="B3799" s="403">
        <f>+MONTH(A3799)</f>
        <v>8</v>
      </c>
      <c r="C3799" s="352">
        <v>1217</v>
      </c>
      <c r="D3799" s="340" t="str">
        <f>VLOOKUP(C3799,Plan!A:B,2,0)</f>
        <v>Otros Valores -Oficina y Transferencias (248)</v>
      </c>
      <c r="E3799" s="341">
        <f>+F3799-G3799</f>
        <v>-36000</v>
      </c>
      <c r="F3799" s="353">
        <v>0</v>
      </c>
      <c r="G3799" s="353">
        <f>+F3798</f>
        <v>36000</v>
      </c>
      <c r="H3799" s="354" t="str">
        <f>+H3798</f>
        <v>Pablo Eyzaguirre Chadwick/248 (J-A-S)</v>
      </c>
      <c r="I3799" s="355" t="s">
        <v>131</v>
      </c>
      <c r="K3799" s="370"/>
      <c r="N3799" s="370"/>
    </row>
    <row r="3800" spans="1:14" s="347" customFormat="1" x14ac:dyDescent="0.25">
      <c r="A3800" s="369"/>
      <c r="E3800" s="396"/>
      <c r="F3800" s="396"/>
      <c r="G3800" s="396"/>
      <c r="K3800" s="370"/>
      <c r="N3800" s="370"/>
    </row>
    <row r="3801" spans="1:14" s="347" customFormat="1" x14ac:dyDescent="0.25">
      <c r="A3801" s="350">
        <v>44417</v>
      </c>
      <c r="B3801" s="403">
        <f>+MONTH(A3801)</f>
        <v>8</v>
      </c>
      <c r="C3801" s="352">
        <v>115</v>
      </c>
      <c r="D3801" s="340" t="str">
        <f>VLOOKUP(C3801,Plan!A:B,2,0)</f>
        <v>Disponible Cali B.Chile</v>
      </c>
      <c r="E3801" s="341">
        <f>+F3801-G3801</f>
        <v>15000</v>
      </c>
      <c r="F3801" s="353">
        <v>15000</v>
      </c>
      <c r="G3801" s="353">
        <f>+F3802</f>
        <v>0</v>
      </c>
      <c r="H3801" t="s">
        <v>982</v>
      </c>
      <c r="I3801" s="355" t="s">
        <v>131</v>
      </c>
      <c r="K3801" s="370"/>
      <c r="N3801" s="370"/>
    </row>
    <row r="3802" spans="1:14" s="347" customFormat="1" x14ac:dyDescent="0.25">
      <c r="A3802" s="350">
        <f>+A3801</f>
        <v>44417</v>
      </c>
      <c r="B3802" s="403">
        <f>+MONTH(A3802)</f>
        <v>8</v>
      </c>
      <c r="C3802" s="352">
        <v>216</v>
      </c>
      <c r="D3802" s="340" t="str">
        <f>VLOOKUP(C3802,Plan!A:B,2,0)</f>
        <v>Cuenta por Pagar a Administración Colectas</v>
      </c>
      <c r="E3802" s="341">
        <f>+F3802-G3802</f>
        <v>-15000</v>
      </c>
      <c r="F3802" s="353">
        <v>0</v>
      </c>
      <c r="G3802" s="353">
        <f>+F3801</f>
        <v>15000</v>
      </c>
      <c r="H3802" s="354" t="str">
        <f>+H3801</f>
        <v>Colecta CELIS CELEDON MARIA SOLEDAD</v>
      </c>
      <c r="I3802" s="355" t="s">
        <v>131</v>
      </c>
      <c r="K3802" s="370"/>
      <c r="N3802" s="370"/>
    </row>
    <row r="3803" spans="1:14" s="347" customFormat="1" x14ac:dyDescent="0.25">
      <c r="A3803" s="369"/>
      <c r="E3803" s="396"/>
      <c r="F3803" s="396"/>
      <c r="G3803" s="396"/>
      <c r="K3803" s="370"/>
      <c r="N3803" s="370"/>
    </row>
    <row r="3804" spans="1:14" s="347" customFormat="1" x14ac:dyDescent="0.25">
      <c r="A3804" s="350">
        <v>44417</v>
      </c>
      <c r="B3804" s="403">
        <f>+MONTH(A3804)</f>
        <v>8</v>
      </c>
      <c r="C3804" s="352">
        <v>115</v>
      </c>
      <c r="D3804" s="340" t="str">
        <f>VLOOKUP(C3804,Plan!A:B,2,0)</f>
        <v>Disponible Cali B.Chile</v>
      </c>
      <c r="E3804" s="341">
        <f>+F3804-G3804</f>
        <v>100000</v>
      </c>
      <c r="F3804" s="353">
        <v>100000</v>
      </c>
      <c r="G3804" s="353">
        <f>+F3805</f>
        <v>0</v>
      </c>
      <c r="H3804" t="s">
        <v>1021</v>
      </c>
      <c r="I3804" s="355" t="s">
        <v>131</v>
      </c>
      <c r="K3804" s="370"/>
      <c r="N3804" s="370"/>
    </row>
    <row r="3805" spans="1:14" s="347" customFormat="1" x14ac:dyDescent="0.25">
      <c r="A3805" s="350">
        <f>+A3804</f>
        <v>44417</v>
      </c>
      <c r="B3805" s="403">
        <f>+MONTH(A3805)</f>
        <v>8</v>
      </c>
      <c r="C3805" s="352">
        <v>3210</v>
      </c>
      <c r="D3805" s="340" t="str">
        <f>VLOOKUP(C3805,Plan!A:B,2,0)</f>
        <v>Donacion Construccion</v>
      </c>
      <c r="E3805" s="341">
        <f>+F3805-G3805</f>
        <v>-100000</v>
      </c>
      <c r="F3805" s="353">
        <v>0</v>
      </c>
      <c r="G3805" s="353">
        <f>+F3804</f>
        <v>100000</v>
      </c>
      <c r="H3805" s="354" t="str">
        <f>+H3804</f>
        <v>Italo Lubiano Tassara/Azul</v>
      </c>
      <c r="I3805" s="355" t="s">
        <v>131</v>
      </c>
      <c r="K3805" s="370"/>
      <c r="N3805" s="370"/>
    </row>
    <row r="3806" spans="1:14" s="347" customFormat="1" x14ac:dyDescent="0.25">
      <c r="A3806" s="369"/>
      <c r="E3806" s="396"/>
      <c r="F3806" s="396"/>
      <c r="G3806" s="396"/>
      <c r="K3806" s="370"/>
      <c r="N3806" s="370"/>
    </row>
    <row r="3807" spans="1:14" s="347" customFormat="1" x14ac:dyDescent="0.25">
      <c r="A3807" s="350">
        <v>44417</v>
      </c>
      <c r="B3807" s="403">
        <f>+MONTH(A3807)</f>
        <v>8</v>
      </c>
      <c r="C3807" s="352">
        <v>115</v>
      </c>
      <c r="D3807" s="340" t="str">
        <f>VLOOKUP(C3807,Plan!A:B,2,0)</f>
        <v>Disponible Cali B.Chile</v>
      </c>
      <c r="E3807" s="341">
        <f>+F3807-G3807</f>
        <v>30000</v>
      </c>
      <c r="F3807" s="353">
        <v>30000</v>
      </c>
      <c r="G3807" s="353">
        <f>+F3808</f>
        <v>0</v>
      </c>
      <c r="H3807" t="s">
        <v>1766</v>
      </c>
      <c r="I3807" s="355" t="s">
        <v>131</v>
      </c>
      <c r="K3807" s="370"/>
      <c r="N3807" s="370"/>
    </row>
    <row r="3808" spans="1:14" s="347" customFormat="1" x14ac:dyDescent="0.25">
      <c r="A3808" s="350">
        <f>+A3807</f>
        <v>44417</v>
      </c>
      <c r="B3808" s="403">
        <f>+MONTH(A3808)</f>
        <v>8</v>
      </c>
      <c r="C3808" s="352">
        <v>1222</v>
      </c>
      <c r="D3808" s="340" t="str">
        <f>VLOOKUP(C3808,Plan!A:B,2,0)</f>
        <v>Otros Valores -Oficina y Transferencias (249)</v>
      </c>
      <c r="E3808" s="341">
        <f>+F3808-G3808</f>
        <v>-30000</v>
      </c>
      <c r="F3808" s="353">
        <v>0</v>
      </c>
      <c r="G3808" s="353">
        <f>+F3807</f>
        <v>30000</v>
      </c>
      <c r="H3808" s="354" t="str">
        <f>+H3807</f>
        <v>Raimundo Tocornal Laso / 249</v>
      </c>
      <c r="I3808" s="355" t="s">
        <v>131</v>
      </c>
      <c r="K3808" s="370"/>
      <c r="N3808" s="370"/>
    </row>
    <row r="3809" spans="1:14" s="347" customFormat="1" x14ac:dyDescent="0.25">
      <c r="A3809" s="369"/>
      <c r="E3809" s="396"/>
      <c r="F3809" s="396"/>
      <c r="G3809" s="396"/>
      <c r="K3809" s="370"/>
      <c r="N3809" s="370"/>
    </row>
    <row r="3810" spans="1:14" s="347" customFormat="1" x14ac:dyDescent="0.25">
      <c r="A3810" s="350">
        <v>44417</v>
      </c>
      <c r="B3810" s="403">
        <f>+MONTH(A3810)</f>
        <v>8</v>
      </c>
      <c r="C3810" s="352">
        <v>115</v>
      </c>
      <c r="D3810" s="340" t="str">
        <f>VLOOKUP(C3810,Plan!A:B,2,0)</f>
        <v>Disponible Cali B.Chile</v>
      </c>
      <c r="E3810" s="341">
        <f>+F3810-G3810</f>
        <v>2000</v>
      </c>
      <c r="F3810" s="353">
        <v>2000</v>
      </c>
      <c r="G3810" s="353">
        <f>+F3811</f>
        <v>0</v>
      </c>
      <c r="H3810" t="s">
        <v>1010</v>
      </c>
      <c r="I3810" s="355" t="s">
        <v>131</v>
      </c>
      <c r="K3810" s="370"/>
      <c r="N3810" s="370"/>
    </row>
    <row r="3811" spans="1:14" s="347" customFormat="1" x14ac:dyDescent="0.25">
      <c r="A3811" s="350">
        <f>+A3810</f>
        <v>44417</v>
      </c>
      <c r="B3811" s="403">
        <f>+MONTH(A3811)</f>
        <v>8</v>
      </c>
      <c r="C3811" s="352">
        <v>216</v>
      </c>
      <c r="D3811" s="340" t="str">
        <f>VLOOKUP(C3811,Plan!A:B,2,0)</f>
        <v>Cuenta por Pagar a Administración Colectas</v>
      </c>
      <c r="E3811" s="341">
        <f>+F3811-G3811</f>
        <v>-2000</v>
      </c>
      <c r="F3811" s="353">
        <v>0</v>
      </c>
      <c r="G3811" s="353">
        <f>+F3810</f>
        <v>2000</v>
      </c>
      <c r="H3811" s="354" t="str">
        <f>+H3810</f>
        <v>Colecta Raimundo Barros</v>
      </c>
      <c r="I3811" s="355" t="s">
        <v>131</v>
      </c>
      <c r="K3811" s="370"/>
      <c r="N3811" s="370"/>
    </row>
    <row r="3812" spans="1:14" s="347" customFormat="1" x14ac:dyDescent="0.25">
      <c r="A3812" s="369"/>
      <c r="E3812" s="396"/>
      <c r="F3812" s="396"/>
      <c r="G3812" s="396"/>
      <c r="K3812" s="370"/>
      <c r="N3812" s="370"/>
    </row>
    <row r="3813" spans="1:14" s="347" customFormat="1" x14ac:dyDescent="0.25">
      <c r="A3813" s="350">
        <v>44417</v>
      </c>
      <c r="B3813" s="403">
        <f>+MONTH(A3813)</f>
        <v>8</v>
      </c>
      <c r="C3813" s="352">
        <v>115</v>
      </c>
      <c r="D3813" s="340" t="str">
        <f>VLOOKUP(C3813,Plan!A:B,2,0)</f>
        <v>Disponible Cali B.Chile</v>
      </c>
      <c r="E3813" s="341">
        <f>+F3813-G3813</f>
        <v>14000</v>
      </c>
      <c r="F3813" s="353">
        <v>14000</v>
      </c>
      <c r="G3813" s="353">
        <f>+F3814</f>
        <v>0</v>
      </c>
      <c r="H3813" t="s">
        <v>824</v>
      </c>
      <c r="I3813" s="355" t="s">
        <v>131</v>
      </c>
      <c r="K3813" s="370"/>
      <c r="N3813" s="370"/>
    </row>
    <row r="3814" spans="1:14" s="347" customFormat="1" x14ac:dyDescent="0.25">
      <c r="A3814" s="350">
        <f>+A3813</f>
        <v>44417</v>
      </c>
      <c r="B3814" s="403">
        <f>+MONTH(A3814)</f>
        <v>8</v>
      </c>
      <c r="C3814" s="352">
        <v>1217</v>
      </c>
      <c r="D3814" s="340" t="str">
        <f>VLOOKUP(C3814,Plan!A:B,2,0)</f>
        <v>Otros Valores -Oficina y Transferencias (248)</v>
      </c>
      <c r="E3814" s="341">
        <f>+F3814-G3814</f>
        <v>-14000</v>
      </c>
      <c r="F3814" s="353">
        <v>0</v>
      </c>
      <c r="G3814" s="353">
        <f>+F3813</f>
        <v>14000</v>
      </c>
      <c r="H3814" s="354" t="str">
        <f>+H3813</f>
        <v>Maria Elisa Cruzat Silva / 248</v>
      </c>
      <c r="I3814" s="355" t="s">
        <v>131</v>
      </c>
      <c r="K3814" s="370"/>
      <c r="N3814" s="370"/>
    </row>
    <row r="3815" spans="1:14" s="347" customFormat="1" x14ac:dyDescent="0.25">
      <c r="A3815" s="369"/>
      <c r="E3815" s="396"/>
      <c r="F3815" s="396"/>
      <c r="G3815" s="396"/>
      <c r="K3815" s="370"/>
      <c r="N3815" s="370"/>
    </row>
    <row r="3816" spans="1:14" s="347" customFormat="1" x14ac:dyDescent="0.25">
      <c r="A3816" s="350">
        <v>44417</v>
      </c>
      <c r="B3816" s="403">
        <f>+MONTH(A3816)</f>
        <v>8</v>
      </c>
      <c r="C3816" s="352">
        <v>115</v>
      </c>
      <c r="D3816" s="340" t="str">
        <f>VLOOKUP(C3816,Plan!A:B,2,0)</f>
        <v>Disponible Cali B.Chile</v>
      </c>
      <c r="E3816" s="341">
        <f>+F3816-G3816</f>
        <v>25000</v>
      </c>
      <c r="F3816" s="353">
        <v>25000</v>
      </c>
      <c r="G3816" s="353">
        <f>+F3817</f>
        <v>0</v>
      </c>
      <c r="H3816" t="s">
        <v>980</v>
      </c>
      <c r="I3816" s="355" t="s">
        <v>131</v>
      </c>
      <c r="K3816" s="370"/>
      <c r="N3816" s="370"/>
    </row>
    <row r="3817" spans="1:14" s="347" customFormat="1" x14ac:dyDescent="0.25">
      <c r="A3817" s="350">
        <f>+A3816</f>
        <v>44417</v>
      </c>
      <c r="B3817" s="403">
        <f>+MONTH(A3817)</f>
        <v>8</v>
      </c>
      <c r="C3817" s="352">
        <v>1217</v>
      </c>
      <c r="D3817" s="340" t="str">
        <f>VLOOKUP(C3817,Plan!A:B,2,0)</f>
        <v>Otros Valores -Oficina y Transferencias (248)</v>
      </c>
      <c r="E3817" s="341">
        <f>+F3817-G3817</f>
        <v>-25000</v>
      </c>
      <c r="F3817" s="353">
        <v>0</v>
      </c>
      <c r="G3817" s="353">
        <f>+F3816</f>
        <v>25000</v>
      </c>
      <c r="H3817" s="354" t="str">
        <f>+H3816</f>
        <v xml:space="preserve">Florencia García /248 </v>
      </c>
      <c r="I3817" s="355" t="s">
        <v>131</v>
      </c>
      <c r="K3817" s="370"/>
      <c r="N3817" s="370"/>
    </row>
    <row r="3818" spans="1:14" s="347" customFormat="1" x14ac:dyDescent="0.25">
      <c r="A3818" s="369"/>
      <c r="E3818" s="396"/>
      <c r="F3818" s="396"/>
      <c r="G3818" s="396"/>
      <c r="K3818" s="370"/>
      <c r="N3818" s="370"/>
    </row>
    <row r="3819" spans="1:14" s="347" customFormat="1" x14ac:dyDescent="0.25">
      <c r="A3819" s="350">
        <v>44417</v>
      </c>
      <c r="B3819" s="403">
        <f>+MONTH(A3819)</f>
        <v>8</v>
      </c>
      <c r="C3819" s="352">
        <v>115</v>
      </c>
      <c r="D3819" s="340" t="str">
        <f>VLOOKUP(C3819,Plan!A:B,2,0)</f>
        <v>Disponible Cali B.Chile</v>
      </c>
      <c r="E3819" s="341">
        <f>+F3819-G3819</f>
        <v>15000</v>
      </c>
      <c r="F3819" s="353">
        <v>15000</v>
      </c>
      <c r="G3819" s="353">
        <f>+F3820</f>
        <v>0</v>
      </c>
      <c r="H3819" t="s">
        <v>1761</v>
      </c>
      <c r="I3819" s="355" t="s">
        <v>131</v>
      </c>
      <c r="K3819" s="370"/>
      <c r="N3819" s="370"/>
    </row>
    <row r="3820" spans="1:14" s="347" customFormat="1" x14ac:dyDescent="0.25">
      <c r="A3820" s="350">
        <f>+A3819</f>
        <v>44417</v>
      </c>
      <c r="B3820" s="403">
        <f>+MONTH(A3820)</f>
        <v>8</v>
      </c>
      <c r="C3820" s="352">
        <v>3210</v>
      </c>
      <c r="D3820" s="340" t="str">
        <f>VLOOKUP(C3820,Plan!A:B,2,0)</f>
        <v>Donacion Construccion</v>
      </c>
      <c r="E3820" s="341">
        <f>+F3820-G3820</f>
        <v>-15000</v>
      </c>
      <c r="F3820" s="353">
        <v>0</v>
      </c>
      <c r="G3820" s="353">
        <f>+F3819</f>
        <v>15000</v>
      </c>
      <c r="H3820" s="354" t="str">
        <f>+H3819</f>
        <v>Carlos Alberto Fonck Limann / Azul</v>
      </c>
      <c r="I3820" s="355" t="s">
        <v>131</v>
      </c>
      <c r="K3820" s="370"/>
      <c r="N3820" s="370"/>
    </row>
    <row r="3821" spans="1:14" s="347" customFormat="1" x14ac:dyDescent="0.25">
      <c r="A3821" s="369"/>
      <c r="E3821" s="396"/>
      <c r="F3821" s="396"/>
      <c r="G3821" s="396"/>
      <c r="K3821" s="370"/>
      <c r="N3821" s="370"/>
    </row>
    <row r="3822" spans="1:14" s="347" customFormat="1" x14ac:dyDescent="0.25">
      <c r="A3822" s="350">
        <v>44417</v>
      </c>
      <c r="B3822" s="403">
        <f>+MONTH(A3822)</f>
        <v>8</v>
      </c>
      <c r="C3822" s="352">
        <v>115</v>
      </c>
      <c r="D3822" s="340" t="str">
        <f>VLOOKUP(C3822,Plan!A:B,2,0)</f>
        <v>Disponible Cali B.Chile</v>
      </c>
      <c r="E3822" s="341">
        <f>+F3822-G3822</f>
        <v>20000</v>
      </c>
      <c r="F3822" s="353">
        <v>20000</v>
      </c>
      <c r="G3822" s="353">
        <f>+F3823</f>
        <v>0</v>
      </c>
      <c r="H3822" t="s">
        <v>1028</v>
      </c>
      <c r="I3822" s="355" t="s">
        <v>131</v>
      </c>
      <c r="K3822" s="370"/>
      <c r="N3822" s="370"/>
    </row>
    <row r="3823" spans="1:14" s="347" customFormat="1" x14ac:dyDescent="0.25">
      <c r="A3823" s="350">
        <f>+A3822</f>
        <v>44417</v>
      </c>
      <c r="B3823" s="403">
        <f>+MONTH(A3823)</f>
        <v>8</v>
      </c>
      <c r="C3823" s="352">
        <v>1217</v>
      </c>
      <c r="D3823" s="340" t="str">
        <f>VLOOKUP(C3823,Plan!A:B,2,0)</f>
        <v>Otros Valores -Oficina y Transferencias (248)</v>
      </c>
      <c r="E3823" s="341">
        <f>+F3823-G3823</f>
        <v>-20000</v>
      </c>
      <c r="F3823" s="353">
        <v>0</v>
      </c>
      <c r="G3823" s="353">
        <f>+F3822</f>
        <v>20000</v>
      </c>
      <c r="H3823" s="354" t="str">
        <f>+H3822</f>
        <v>Carmen Gloria Rivas Varas / 248</v>
      </c>
      <c r="I3823" s="355" t="s">
        <v>131</v>
      </c>
      <c r="K3823" s="370"/>
      <c r="N3823" s="370"/>
    </row>
    <row r="3824" spans="1:14" s="347" customFormat="1" x14ac:dyDescent="0.25">
      <c r="A3824" s="369"/>
      <c r="E3824" s="396"/>
      <c r="F3824" s="396"/>
      <c r="G3824" s="396"/>
      <c r="K3824" s="370"/>
      <c r="N3824" s="370"/>
    </row>
    <row r="3825" spans="1:14" s="347" customFormat="1" x14ac:dyDescent="0.25">
      <c r="A3825" s="350">
        <v>44418</v>
      </c>
      <c r="B3825" s="403">
        <f>+MONTH(A3825)</f>
        <v>8</v>
      </c>
      <c r="C3825" s="352">
        <v>115</v>
      </c>
      <c r="D3825" s="340" t="str">
        <f>VLOOKUP(C3825,Plan!A:B,2,0)</f>
        <v>Disponible Cali B.Chile</v>
      </c>
      <c r="E3825" s="341">
        <f>+F3825-G3825</f>
        <v>30000</v>
      </c>
      <c r="F3825" s="353">
        <v>30000</v>
      </c>
      <c r="G3825" s="353">
        <f>+F3826</f>
        <v>0</v>
      </c>
      <c r="H3825" t="s">
        <v>1015</v>
      </c>
      <c r="I3825" s="355" t="s">
        <v>131</v>
      </c>
      <c r="K3825" s="370"/>
      <c r="N3825" s="370"/>
    </row>
    <row r="3826" spans="1:14" s="347" customFormat="1" x14ac:dyDescent="0.25">
      <c r="A3826" s="350">
        <f>+A3825</f>
        <v>44418</v>
      </c>
      <c r="B3826" s="403">
        <f>+MONTH(A3826)</f>
        <v>8</v>
      </c>
      <c r="C3826" s="352">
        <v>1222</v>
      </c>
      <c r="D3826" s="340" t="str">
        <f>VLOOKUP(C3826,Plan!A:B,2,0)</f>
        <v>Otros Valores -Oficina y Transferencias (249)</v>
      </c>
      <c r="E3826" s="341">
        <f>+F3826-G3826</f>
        <v>-30000</v>
      </c>
      <c r="F3826" s="353">
        <v>0</v>
      </c>
      <c r="G3826" s="353">
        <f>+F3825</f>
        <v>30000</v>
      </c>
      <c r="H3826" s="354" t="str">
        <f>+H3825</f>
        <v>Enrique Hurtado Ruiz-Tagle / 249</v>
      </c>
      <c r="I3826" s="355" t="s">
        <v>131</v>
      </c>
      <c r="K3826" s="370"/>
      <c r="N3826" s="370"/>
    </row>
    <row r="3827" spans="1:14" s="347" customFormat="1" x14ac:dyDescent="0.25">
      <c r="A3827" s="369"/>
      <c r="E3827" s="396"/>
      <c r="F3827" s="396"/>
      <c r="G3827" s="396"/>
      <c r="K3827" s="370"/>
      <c r="N3827" s="370"/>
    </row>
    <row r="3828" spans="1:14" s="347" customFormat="1" x14ac:dyDescent="0.25">
      <c r="A3828" s="350">
        <v>44418</v>
      </c>
      <c r="B3828" s="403">
        <f>+MONTH(A3828)</f>
        <v>8</v>
      </c>
      <c r="C3828" s="352">
        <v>115</v>
      </c>
      <c r="D3828" s="340" t="str">
        <f>VLOOKUP(C3828,Plan!A:B,2,0)</f>
        <v>Disponible Cali B.Chile</v>
      </c>
      <c r="E3828" s="341">
        <f>+F3828-G3828</f>
        <v>17000</v>
      </c>
      <c r="F3828" s="353">
        <v>17000</v>
      </c>
      <c r="G3828" s="353">
        <f>+F3829</f>
        <v>0</v>
      </c>
      <c r="H3828" t="s">
        <v>1016</v>
      </c>
      <c r="I3828" s="355" t="s">
        <v>131</v>
      </c>
      <c r="K3828" s="370"/>
      <c r="N3828" s="370"/>
    </row>
    <row r="3829" spans="1:14" s="347" customFormat="1" x14ac:dyDescent="0.25">
      <c r="A3829" s="350">
        <f>+A3828</f>
        <v>44418</v>
      </c>
      <c r="B3829" s="403">
        <f>+MONTH(A3829)</f>
        <v>8</v>
      </c>
      <c r="C3829" s="352">
        <v>1222</v>
      </c>
      <c r="D3829" s="340" t="str">
        <f>VLOOKUP(C3829,Plan!A:B,2,0)</f>
        <v>Otros Valores -Oficina y Transferencias (249)</v>
      </c>
      <c r="E3829" s="341">
        <f>+F3829-G3829</f>
        <v>-17000</v>
      </c>
      <c r="F3829" s="353">
        <v>0</v>
      </c>
      <c r="G3829" s="353">
        <f>+F3828</f>
        <v>17000</v>
      </c>
      <c r="H3829" s="354" t="str">
        <f>+H3828</f>
        <v>Alejandra Pérez Fabres / 249</v>
      </c>
      <c r="I3829" s="355" t="s">
        <v>131</v>
      </c>
      <c r="K3829" s="370"/>
      <c r="N3829" s="370"/>
    </row>
    <row r="3830" spans="1:14" s="347" customFormat="1" x14ac:dyDescent="0.25">
      <c r="A3830" s="369"/>
      <c r="E3830" s="396"/>
      <c r="F3830" s="396"/>
      <c r="G3830" s="396"/>
      <c r="K3830" s="370"/>
      <c r="N3830" s="370"/>
    </row>
    <row r="3831" spans="1:14" s="347" customFormat="1" x14ac:dyDescent="0.25">
      <c r="A3831" s="350">
        <v>44418</v>
      </c>
      <c r="B3831" s="403">
        <f>+MONTH(A3831)</f>
        <v>8</v>
      </c>
      <c r="C3831" s="352">
        <v>115</v>
      </c>
      <c r="D3831" s="340" t="str">
        <f>VLOOKUP(C3831,Plan!A:B,2,0)</f>
        <v>Disponible Cali B.Chile</v>
      </c>
      <c r="E3831" s="341">
        <f>+F3831-G3831</f>
        <v>30000</v>
      </c>
      <c r="F3831" s="353">
        <v>30000</v>
      </c>
      <c r="G3831" s="353">
        <f>+F3832</f>
        <v>0</v>
      </c>
      <c r="H3831" t="s">
        <v>1003</v>
      </c>
      <c r="I3831" s="355" t="s">
        <v>131</v>
      </c>
      <c r="K3831" s="370"/>
      <c r="N3831" s="370"/>
    </row>
    <row r="3832" spans="1:14" s="347" customFormat="1" x14ac:dyDescent="0.25">
      <c r="A3832" s="350">
        <f>+A3831</f>
        <v>44418</v>
      </c>
      <c r="B3832" s="403">
        <f>+MONTH(A3832)</f>
        <v>8</v>
      </c>
      <c r="C3832" s="352">
        <v>3210</v>
      </c>
      <c r="D3832" s="340" t="str">
        <f>VLOOKUP(C3832,Plan!A:B,2,0)</f>
        <v>Donacion Construccion</v>
      </c>
      <c r="E3832" s="341">
        <f>+F3832-G3832</f>
        <v>-30000</v>
      </c>
      <c r="F3832" s="353">
        <v>0</v>
      </c>
      <c r="G3832" s="353">
        <f>+F3831</f>
        <v>30000</v>
      </c>
      <c r="H3832" s="354" t="str">
        <f>+H3831</f>
        <v>Marcela Rebeca Pinto Zepeda / Azul</v>
      </c>
      <c r="I3832" s="355" t="s">
        <v>131</v>
      </c>
      <c r="K3832" s="370"/>
      <c r="N3832" s="370"/>
    </row>
    <row r="3833" spans="1:14" s="347" customFormat="1" x14ac:dyDescent="0.25">
      <c r="A3833" s="369"/>
      <c r="E3833" s="396"/>
      <c r="F3833" s="396"/>
      <c r="G3833" s="396"/>
      <c r="K3833" s="370"/>
      <c r="N3833" s="370"/>
    </row>
    <row r="3834" spans="1:14" s="347" customFormat="1" x14ac:dyDescent="0.25">
      <c r="A3834" s="350">
        <v>44419</v>
      </c>
      <c r="B3834" s="403">
        <f>+MONTH(A3834)</f>
        <v>8</v>
      </c>
      <c r="C3834" s="352">
        <v>115</v>
      </c>
      <c r="D3834" s="340" t="str">
        <f>VLOOKUP(C3834,Plan!A:B,2,0)</f>
        <v>Disponible Cali B.Chile</v>
      </c>
      <c r="E3834" s="341">
        <f>+F3834-G3834</f>
        <v>30000</v>
      </c>
      <c r="F3834" s="353">
        <v>30000</v>
      </c>
      <c r="G3834" s="353">
        <f>+F3835</f>
        <v>0</v>
      </c>
      <c r="H3834" t="s">
        <v>1998</v>
      </c>
      <c r="I3834" s="355" t="s">
        <v>131</v>
      </c>
      <c r="K3834" s="370"/>
      <c r="N3834" s="370"/>
    </row>
    <row r="3835" spans="1:14" s="347" customFormat="1" x14ac:dyDescent="0.25">
      <c r="A3835" s="350">
        <f>+A3834</f>
        <v>44419</v>
      </c>
      <c r="B3835" s="403">
        <f>+MONTH(A3835)</f>
        <v>8</v>
      </c>
      <c r="C3835" s="352">
        <v>216</v>
      </c>
      <c r="D3835" s="340" t="str">
        <f>VLOOKUP(C3835,Plan!A:B,2,0)</f>
        <v>Cuenta por Pagar a Administración Colectas</v>
      </c>
      <c r="E3835" s="341">
        <f>+F3835-G3835</f>
        <v>-30000</v>
      </c>
      <c r="F3835" s="353">
        <v>0</v>
      </c>
      <c r="G3835" s="353">
        <f>+F3834</f>
        <v>30000</v>
      </c>
      <c r="H3835" s="354" t="str">
        <f>+H3834</f>
        <v>Colecta Marcela Rebeca Pinto Zepeda</v>
      </c>
      <c r="I3835" s="355" t="s">
        <v>131</v>
      </c>
      <c r="K3835" s="370"/>
      <c r="N3835" s="370"/>
    </row>
    <row r="3836" spans="1:14" s="347" customFormat="1" x14ac:dyDescent="0.25">
      <c r="A3836" s="369"/>
      <c r="E3836" s="396"/>
      <c r="F3836" s="396"/>
      <c r="G3836" s="396"/>
      <c r="K3836" s="370"/>
      <c r="N3836" s="370"/>
    </row>
    <row r="3837" spans="1:14" s="347" customFormat="1" x14ac:dyDescent="0.25">
      <c r="A3837" s="350">
        <v>44419</v>
      </c>
      <c r="B3837" s="403">
        <f>+MONTH(A3837)</f>
        <v>8</v>
      </c>
      <c r="C3837" s="352">
        <v>115</v>
      </c>
      <c r="D3837" s="340" t="str">
        <f>VLOOKUP(C3837,Plan!A:B,2,0)</f>
        <v>Disponible Cali B.Chile</v>
      </c>
      <c r="E3837" s="341">
        <f>+F3837-G3837</f>
        <v>30000</v>
      </c>
      <c r="F3837" s="353">
        <v>30000</v>
      </c>
      <c r="G3837" s="353">
        <f>+F3838</f>
        <v>0</v>
      </c>
      <c r="H3837" t="s">
        <v>1017</v>
      </c>
      <c r="I3837" s="355" t="s">
        <v>131</v>
      </c>
      <c r="K3837" s="370"/>
      <c r="N3837" s="370"/>
    </row>
    <row r="3838" spans="1:14" s="347" customFormat="1" x14ac:dyDescent="0.25">
      <c r="A3838" s="350">
        <f>+A3837</f>
        <v>44419</v>
      </c>
      <c r="B3838" s="403">
        <f>+MONTH(A3838)</f>
        <v>8</v>
      </c>
      <c r="C3838" s="352">
        <v>1216</v>
      </c>
      <c r="D3838" s="340" t="str">
        <f>VLOOKUP(C3838,Plan!A:B,2,0)</f>
        <v>Otros Valores Recaudadoras</v>
      </c>
      <c r="E3838" s="341">
        <f>+F3838-G3838</f>
        <v>-30000</v>
      </c>
      <c r="F3838" s="353">
        <v>0</v>
      </c>
      <c r="G3838" s="353">
        <f>+F3837</f>
        <v>30000</v>
      </c>
      <c r="H3838" s="354" t="str">
        <f>+H3837</f>
        <v>María Pía Laura Parodi Gil / 249</v>
      </c>
      <c r="I3838" s="355" t="s">
        <v>131</v>
      </c>
      <c r="K3838" s="370"/>
      <c r="N3838" s="370"/>
    </row>
    <row r="3839" spans="1:14" s="347" customFormat="1" x14ac:dyDescent="0.25">
      <c r="A3839" s="369"/>
      <c r="E3839" s="396"/>
      <c r="F3839" s="396"/>
      <c r="G3839" s="396"/>
      <c r="K3839" s="370"/>
      <c r="N3839" s="370"/>
    </row>
    <row r="3840" spans="1:14" s="347" customFormat="1" x14ac:dyDescent="0.25">
      <c r="A3840" s="350">
        <v>44420</v>
      </c>
      <c r="B3840" s="403">
        <f>+MONTH(A3840)</f>
        <v>8</v>
      </c>
      <c r="C3840" s="352">
        <v>115</v>
      </c>
      <c r="D3840" s="340" t="str">
        <f>VLOOKUP(C3840,Plan!A:B,2,0)</f>
        <v>Disponible Cali B.Chile</v>
      </c>
      <c r="E3840" s="341">
        <f>+F3840-G3840</f>
        <v>350000</v>
      </c>
      <c r="F3840" s="353">
        <v>350000</v>
      </c>
      <c r="G3840" s="353">
        <f>+F3841</f>
        <v>0</v>
      </c>
      <c r="H3840" t="s">
        <v>1999</v>
      </c>
      <c r="I3840" s="355" t="s">
        <v>131</v>
      </c>
      <c r="K3840" s="370"/>
      <c r="N3840" s="370"/>
    </row>
    <row r="3841" spans="1:14" s="347" customFormat="1" x14ac:dyDescent="0.25">
      <c r="A3841" s="350">
        <f>+A3840</f>
        <v>44420</v>
      </c>
      <c r="B3841" s="403">
        <f>+MONTH(A3841)</f>
        <v>8</v>
      </c>
      <c r="C3841" s="352">
        <v>3210</v>
      </c>
      <c r="D3841" s="340" t="str">
        <f>VLOOKUP(C3841,Plan!A:B,2,0)</f>
        <v>Donacion Construccion</v>
      </c>
      <c r="E3841" s="341">
        <f>+F3841-G3841</f>
        <v>-350000</v>
      </c>
      <c r="F3841" s="353">
        <v>0</v>
      </c>
      <c r="G3841" s="353">
        <f>+F3840</f>
        <v>350000</v>
      </c>
      <c r="H3841" s="354" t="str">
        <f>+H3840</f>
        <v>Macarena del Rosario Arriagada Álvarez/ Azul</v>
      </c>
      <c r="I3841" s="355" t="s">
        <v>131</v>
      </c>
      <c r="K3841" s="370"/>
      <c r="N3841" s="370"/>
    </row>
    <row r="3842" spans="1:14" s="347" customFormat="1" x14ac:dyDescent="0.25">
      <c r="A3842" s="369"/>
      <c r="E3842" s="396"/>
      <c r="F3842" s="396"/>
      <c r="G3842" s="396"/>
      <c r="K3842" s="370"/>
      <c r="N3842" s="370"/>
    </row>
    <row r="3843" spans="1:14" s="347" customFormat="1" x14ac:dyDescent="0.25">
      <c r="A3843" s="350">
        <v>44420</v>
      </c>
      <c r="B3843" s="403">
        <f>+MONTH(A3843)</f>
        <v>8</v>
      </c>
      <c r="C3843" s="352">
        <v>115</v>
      </c>
      <c r="D3843" s="340" t="str">
        <f>VLOOKUP(C3843,Plan!A:B,2,0)</f>
        <v>Disponible Cali B.Chile</v>
      </c>
      <c r="E3843" s="341">
        <f>+F3843-G3843</f>
        <v>1150000</v>
      </c>
      <c r="F3843" s="353">
        <v>1150000</v>
      </c>
      <c r="G3843" s="353">
        <f>+F3844</f>
        <v>0</v>
      </c>
      <c r="H3843" t="s">
        <v>1999</v>
      </c>
      <c r="I3843" s="355" t="s">
        <v>131</v>
      </c>
      <c r="K3843" s="370"/>
      <c r="N3843" s="370"/>
    </row>
    <row r="3844" spans="1:14" s="347" customFormat="1" x14ac:dyDescent="0.25">
      <c r="A3844" s="350">
        <f>+A3843</f>
        <v>44420</v>
      </c>
      <c r="B3844" s="403">
        <f>+MONTH(A3844)</f>
        <v>8</v>
      </c>
      <c r="C3844" s="352">
        <v>3210</v>
      </c>
      <c r="D3844" s="340" t="str">
        <f>VLOOKUP(C3844,Plan!A:B,2,0)</f>
        <v>Donacion Construccion</v>
      </c>
      <c r="E3844" s="341">
        <f>+F3844-G3844</f>
        <v>-1150000</v>
      </c>
      <c r="F3844" s="353">
        <v>0</v>
      </c>
      <c r="G3844" s="353">
        <f>+F3843</f>
        <v>1150000</v>
      </c>
      <c r="H3844" s="354" t="str">
        <f>+H3843</f>
        <v>Macarena del Rosario Arriagada Álvarez/ Azul</v>
      </c>
      <c r="I3844" s="355" t="s">
        <v>131</v>
      </c>
      <c r="K3844" s="370"/>
      <c r="N3844" s="370"/>
    </row>
    <row r="3845" spans="1:14" s="347" customFormat="1" x14ac:dyDescent="0.25">
      <c r="K3845" s="370"/>
      <c r="N3845" s="370"/>
    </row>
    <row r="3846" spans="1:14" s="347" customFormat="1" x14ac:dyDescent="0.25">
      <c r="A3846" s="350">
        <v>44420</v>
      </c>
      <c r="B3846" s="403">
        <f>+MONTH(A3846)</f>
        <v>8</v>
      </c>
      <c r="C3846" s="352">
        <v>115</v>
      </c>
      <c r="D3846" s="340" t="str">
        <f>VLOOKUP(C3846,Plan!A:B,2,0)</f>
        <v>Disponible Cali B.Chile</v>
      </c>
      <c r="E3846" s="341">
        <f>+F3846-G3846</f>
        <v>20000</v>
      </c>
      <c r="F3846" s="353">
        <v>20000</v>
      </c>
      <c r="G3846" s="353">
        <f>+F3847</f>
        <v>0</v>
      </c>
      <c r="H3846" t="s">
        <v>1056</v>
      </c>
      <c r="I3846" s="355" t="s">
        <v>131</v>
      </c>
      <c r="K3846" s="370"/>
      <c r="N3846" s="370"/>
    </row>
    <row r="3847" spans="1:14" s="347" customFormat="1" x14ac:dyDescent="0.25">
      <c r="A3847" s="350">
        <f>+A3846</f>
        <v>44420</v>
      </c>
      <c r="B3847" s="403">
        <f>+MONTH(A3847)</f>
        <v>8</v>
      </c>
      <c r="C3847" s="352">
        <v>1222</v>
      </c>
      <c r="D3847" s="340" t="str">
        <f>VLOOKUP(C3847,Plan!A:B,2,0)</f>
        <v>Otros Valores -Oficina y Transferencias (249)</v>
      </c>
      <c r="E3847" s="341">
        <f>+F3847-G3847</f>
        <v>-20000</v>
      </c>
      <c r="F3847" s="353">
        <v>0</v>
      </c>
      <c r="G3847" s="353">
        <f>+F3846</f>
        <v>20000</v>
      </c>
      <c r="H3847" s="354" t="str">
        <f>+H3846</f>
        <v>María José Muñoz Reinoso / 249</v>
      </c>
      <c r="I3847" s="355" t="s">
        <v>131</v>
      </c>
      <c r="K3847" s="370"/>
      <c r="N3847" s="370"/>
    </row>
    <row r="3848" spans="1:14" s="347" customFormat="1" x14ac:dyDescent="0.25">
      <c r="A3848" s="369"/>
      <c r="E3848" s="396"/>
      <c r="F3848" s="396"/>
      <c r="G3848" s="396"/>
      <c r="K3848" s="370"/>
      <c r="N3848" s="370"/>
    </row>
    <row r="3849" spans="1:14" s="347" customFormat="1" x14ac:dyDescent="0.25">
      <c r="A3849" s="350">
        <v>44421</v>
      </c>
      <c r="B3849" s="403">
        <f>+MONTH(A3849)</f>
        <v>8</v>
      </c>
      <c r="C3849" s="352">
        <v>115</v>
      </c>
      <c r="D3849" s="340" t="str">
        <f>VLOOKUP(C3849,Plan!A:B,2,0)</f>
        <v>Disponible Cali B.Chile</v>
      </c>
      <c r="E3849" s="341">
        <f>+F3849-G3849</f>
        <v>20000</v>
      </c>
      <c r="F3849" s="353">
        <v>20000</v>
      </c>
      <c r="G3849" s="353">
        <f>+F3850</f>
        <v>0</v>
      </c>
      <c r="H3849" t="s">
        <v>1022</v>
      </c>
      <c r="I3849" s="355" t="s">
        <v>131</v>
      </c>
      <c r="K3849" s="370"/>
      <c r="N3849" s="370"/>
    </row>
    <row r="3850" spans="1:14" s="347" customFormat="1" x14ac:dyDescent="0.25">
      <c r="A3850" s="350">
        <f>+A3849</f>
        <v>44421</v>
      </c>
      <c r="B3850" s="403">
        <f>+MONTH(A3850)</f>
        <v>8</v>
      </c>
      <c r="C3850" s="352">
        <v>3210</v>
      </c>
      <c r="D3850" s="340" t="str">
        <f>VLOOKUP(C3850,Plan!A:B,2,0)</f>
        <v>Donacion Construccion</v>
      </c>
      <c r="E3850" s="341">
        <f>+F3850-G3850</f>
        <v>-20000</v>
      </c>
      <c r="F3850" s="353">
        <v>0</v>
      </c>
      <c r="G3850" s="353">
        <f>+F3849</f>
        <v>20000</v>
      </c>
      <c r="H3850" s="354" t="str">
        <f>+H3849</f>
        <v>M.Graciela Garrido C. / Azul</v>
      </c>
      <c r="I3850" s="355" t="s">
        <v>131</v>
      </c>
      <c r="K3850" s="370"/>
      <c r="N3850" s="370"/>
    </row>
    <row r="3851" spans="1:14" s="347" customFormat="1" x14ac:dyDescent="0.25">
      <c r="A3851" s="369"/>
      <c r="E3851" s="396"/>
      <c r="F3851" s="396"/>
      <c r="G3851" s="396"/>
      <c r="K3851" s="370"/>
      <c r="N3851" s="370"/>
    </row>
    <row r="3852" spans="1:14" s="347" customFormat="1" x14ac:dyDescent="0.25">
      <c r="A3852" s="350">
        <v>44421</v>
      </c>
      <c r="B3852" s="403">
        <f>+MONTH(A3852)</f>
        <v>8</v>
      </c>
      <c r="C3852" s="352">
        <v>115</v>
      </c>
      <c r="D3852" s="340" t="str">
        <f>VLOOKUP(C3852,Plan!A:B,2,0)</f>
        <v>Disponible Cali B.Chile</v>
      </c>
      <c r="E3852" s="341">
        <f>+F3852-G3852</f>
        <v>25000</v>
      </c>
      <c r="F3852" s="353">
        <v>25000</v>
      </c>
      <c r="G3852" s="353">
        <f>+F3853</f>
        <v>0</v>
      </c>
      <c r="H3852" t="s">
        <v>1023</v>
      </c>
      <c r="I3852" s="355" t="s">
        <v>131</v>
      </c>
      <c r="K3852" s="370"/>
      <c r="N3852" s="370"/>
    </row>
    <row r="3853" spans="1:14" s="347" customFormat="1" x14ac:dyDescent="0.25">
      <c r="A3853" s="350">
        <f>+A3852</f>
        <v>44421</v>
      </c>
      <c r="B3853" s="403">
        <f>+MONTH(A3853)</f>
        <v>8</v>
      </c>
      <c r="C3853" s="352">
        <v>1222</v>
      </c>
      <c r="D3853" s="340" t="str">
        <f>VLOOKUP(C3853,Plan!A:B,2,0)</f>
        <v>Otros Valores -Oficina y Transferencias (249)</v>
      </c>
      <c r="E3853" s="341">
        <f>+F3853-G3853</f>
        <v>-25000</v>
      </c>
      <c r="F3853" s="353">
        <v>0</v>
      </c>
      <c r="G3853" s="353">
        <f>+F3852</f>
        <v>25000</v>
      </c>
      <c r="H3853" s="354" t="str">
        <f>+H3852</f>
        <v>M.Graciela Garrido C. / 249</v>
      </c>
      <c r="I3853" s="355" t="s">
        <v>131</v>
      </c>
      <c r="K3853" s="370"/>
      <c r="N3853" s="370"/>
    </row>
    <row r="3854" spans="1:14" s="347" customFormat="1" x14ac:dyDescent="0.25">
      <c r="A3854" s="369"/>
      <c r="E3854" s="396"/>
      <c r="F3854" s="396"/>
      <c r="G3854" s="396"/>
      <c r="K3854" s="370"/>
      <c r="N3854" s="370"/>
    </row>
    <row r="3855" spans="1:14" s="347" customFormat="1" x14ac:dyDescent="0.25">
      <c r="A3855" s="350">
        <v>44421</v>
      </c>
      <c r="B3855" s="403">
        <f>+MONTH(A3855)</f>
        <v>8</v>
      </c>
      <c r="C3855" s="352">
        <v>115</v>
      </c>
      <c r="D3855" s="340" t="str">
        <f>VLOOKUP(C3855,Plan!A:B,2,0)</f>
        <v>Disponible Cali B.Chile</v>
      </c>
      <c r="E3855" s="341">
        <f>+F3855-G3855</f>
        <v>7000</v>
      </c>
      <c r="F3855" s="353">
        <v>7000</v>
      </c>
      <c r="G3855" s="353">
        <f>+F3856</f>
        <v>0</v>
      </c>
      <c r="H3855" t="s">
        <v>1078</v>
      </c>
      <c r="I3855" s="355" t="s">
        <v>131</v>
      </c>
      <c r="K3855" s="370"/>
      <c r="N3855" s="370"/>
    </row>
    <row r="3856" spans="1:14" s="347" customFormat="1" x14ac:dyDescent="0.25">
      <c r="A3856" s="350">
        <f>+A3855</f>
        <v>44421</v>
      </c>
      <c r="B3856" s="403">
        <f>+MONTH(A3856)</f>
        <v>8</v>
      </c>
      <c r="C3856" s="352">
        <v>1222</v>
      </c>
      <c r="D3856" s="340" t="str">
        <f>VLOOKUP(C3856,Plan!A:B,2,0)</f>
        <v>Otros Valores -Oficina y Transferencias (249)</v>
      </c>
      <c r="E3856" s="341">
        <f>+F3856-G3856</f>
        <v>-7000</v>
      </c>
      <c r="F3856" s="353">
        <v>0</v>
      </c>
      <c r="G3856" s="353">
        <f>+F3855</f>
        <v>7000</v>
      </c>
      <c r="H3856" s="354" t="str">
        <f>+H3855</f>
        <v>Isabel Margarita Cortés Testart/249</v>
      </c>
      <c r="I3856" s="355" t="s">
        <v>131</v>
      </c>
      <c r="K3856" s="370"/>
      <c r="N3856" s="370"/>
    </row>
    <row r="3857" spans="1:14" s="347" customFormat="1" x14ac:dyDescent="0.25">
      <c r="A3857" s="369"/>
      <c r="E3857" s="396"/>
      <c r="F3857" s="396"/>
      <c r="G3857" s="396"/>
      <c r="K3857" s="370"/>
      <c r="N3857" s="370"/>
    </row>
    <row r="3858" spans="1:14" s="347" customFormat="1" x14ac:dyDescent="0.25">
      <c r="A3858" s="350">
        <v>44421</v>
      </c>
      <c r="B3858" s="403">
        <f>+MONTH(A3858)</f>
        <v>8</v>
      </c>
      <c r="C3858" s="352">
        <v>115</v>
      </c>
      <c r="D3858" s="340" t="str">
        <f>VLOOKUP(C3858,Plan!A:B,2,0)</f>
        <v>Disponible Cali B.Chile</v>
      </c>
      <c r="E3858" s="341">
        <f>+F3858-G3858</f>
        <v>691669</v>
      </c>
      <c r="F3858" s="353">
        <v>691669</v>
      </c>
      <c r="G3858" s="353">
        <f>+F3860</f>
        <v>0</v>
      </c>
      <c r="H3858" t="s">
        <v>2000</v>
      </c>
      <c r="I3858" s="355" t="s">
        <v>131</v>
      </c>
      <c r="K3858" s="370"/>
      <c r="N3858" s="370"/>
    </row>
    <row r="3859" spans="1:14" s="347" customFormat="1" x14ac:dyDescent="0.25">
      <c r="A3859" s="350">
        <f>+A3858</f>
        <v>44421</v>
      </c>
      <c r="B3859" s="403">
        <f>+MONTH(A3859)</f>
        <v>8</v>
      </c>
      <c r="C3859" s="352">
        <v>4170</v>
      </c>
      <c r="D3859" s="340" t="str">
        <f>VLOOKUP(C3859,Plan!A:B,2,0)</f>
        <v>Cali otros</v>
      </c>
      <c r="E3859" s="341">
        <f>+F3859-G3859</f>
        <v>8331</v>
      </c>
      <c r="F3859" s="353">
        <v>8331</v>
      </c>
      <c r="G3859" s="353">
        <f>+F3857</f>
        <v>0</v>
      </c>
      <c r="H3859" s="354" t="str">
        <f>+H3858</f>
        <v xml:space="preserve">Julian Elorrieta Decombe / 249 (16142091-3) </v>
      </c>
      <c r="I3859" s="355" t="s">
        <v>131</v>
      </c>
      <c r="K3859" s="370"/>
      <c r="N3859" s="370"/>
    </row>
    <row r="3860" spans="1:14" s="347" customFormat="1" x14ac:dyDescent="0.25">
      <c r="A3860" s="350">
        <f>+A3858</f>
        <v>44421</v>
      </c>
      <c r="B3860" s="403">
        <f>+MONTH(A3860)</f>
        <v>8</v>
      </c>
      <c r="C3860" s="352">
        <v>1222</v>
      </c>
      <c r="D3860" s="340" t="str">
        <f>VLOOKUP(C3860,Plan!A:B,2,0)</f>
        <v>Otros Valores -Oficina y Transferencias (249)</v>
      </c>
      <c r="E3860" s="341">
        <f>+F3860-G3860</f>
        <v>-700000</v>
      </c>
      <c r="F3860" s="353">
        <v>0</v>
      </c>
      <c r="G3860" s="353">
        <v>700000</v>
      </c>
      <c r="H3860" s="354" t="str">
        <f>+H3858</f>
        <v xml:space="preserve">Julian Elorrieta Decombe / 249 (16142091-3) </v>
      </c>
      <c r="I3860" s="355" t="s">
        <v>131</v>
      </c>
      <c r="K3860" s="370"/>
      <c r="N3860" s="370"/>
    </row>
    <row r="3861" spans="1:14" s="347" customFormat="1" x14ac:dyDescent="0.25">
      <c r="A3861" s="369"/>
      <c r="E3861" s="396"/>
      <c r="F3861" s="396"/>
      <c r="G3861" s="396"/>
      <c r="K3861" s="370"/>
      <c r="N3861" s="370"/>
    </row>
    <row r="3862" spans="1:14" s="347" customFormat="1" x14ac:dyDescent="0.25">
      <c r="A3862" s="350">
        <v>44424</v>
      </c>
      <c r="B3862" s="403">
        <f>+MONTH(A3862)</f>
        <v>8</v>
      </c>
      <c r="C3862" s="352">
        <v>201</v>
      </c>
      <c r="D3862" s="340" t="str">
        <f>VLOOKUP(C3862,Plan!A:B,2,0)</f>
        <v>1% por pagar</v>
      </c>
      <c r="E3862" s="341">
        <f>+F3862-G3862</f>
        <v>160903</v>
      </c>
      <c r="F3862" s="353">
        <v>160903</v>
      </c>
      <c r="G3862" s="353">
        <f>+F3864</f>
        <v>0</v>
      </c>
      <c r="H3862" t="s">
        <v>2001</v>
      </c>
      <c r="I3862" s="355" t="s">
        <v>131</v>
      </c>
      <c r="K3862" s="370"/>
      <c r="N3862" s="370"/>
    </row>
    <row r="3863" spans="1:14" s="347" customFormat="1" x14ac:dyDescent="0.25">
      <c r="A3863" s="350">
        <v>44424</v>
      </c>
      <c r="B3863" s="403">
        <f>+MONTH(A3863)</f>
        <v>8</v>
      </c>
      <c r="C3863" s="352">
        <v>202</v>
      </c>
      <c r="D3863" s="340" t="str">
        <f>VLOOKUP(C3863,Plan!A:B,2,0)</f>
        <v>Arzobispado por pagar</v>
      </c>
      <c r="E3863" s="341">
        <f>+F3863-G3863</f>
        <v>2979034</v>
      </c>
      <c r="F3863" s="353">
        <v>2979034</v>
      </c>
      <c r="G3863" s="353">
        <f>+F3865</f>
        <v>0</v>
      </c>
      <c r="H3863" t="s">
        <v>2001</v>
      </c>
      <c r="I3863" s="355" t="s">
        <v>131</v>
      </c>
      <c r="K3863" s="370"/>
      <c r="N3863" s="370"/>
    </row>
    <row r="3864" spans="1:14" s="347" customFormat="1" x14ac:dyDescent="0.25">
      <c r="A3864" s="350">
        <f>+A3862</f>
        <v>44424</v>
      </c>
      <c r="B3864" s="403">
        <f>+MONTH(A3864)</f>
        <v>8</v>
      </c>
      <c r="C3864" s="352">
        <v>115</v>
      </c>
      <c r="D3864" s="340" t="str">
        <f>VLOOKUP(C3864,Plan!A:B,2,0)</f>
        <v>Disponible Cali B.Chile</v>
      </c>
      <c r="E3864" s="341">
        <f>+F3864-G3864</f>
        <v>-3139937</v>
      </c>
      <c r="F3864" s="353">
        <v>0</v>
      </c>
      <c r="G3864" s="353">
        <v>3139937</v>
      </c>
      <c r="H3864" s="354" t="str">
        <f>+H3862</f>
        <v>Rend. CALI Julio/21</v>
      </c>
      <c r="I3864" s="355" t="s">
        <v>131</v>
      </c>
      <c r="K3864" s="370"/>
      <c r="N3864" s="370"/>
    </row>
    <row r="3865" spans="1:14" s="347" customFormat="1" x14ac:dyDescent="0.25">
      <c r="A3865" s="369"/>
      <c r="E3865" s="396"/>
      <c r="F3865" s="396"/>
      <c r="G3865" s="396"/>
      <c r="K3865" s="370"/>
      <c r="N3865" s="370"/>
    </row>
    <row r="3866" spans="1:14" s="347" customFormat="1" x14ac:dyDescent="0.25">
      <c r="A3866" s="350">
        <v>44424</v>
      </c>
      <c r="B3866" s="403">
        <f>+MONTH(A3866)</f>
        <v>8</v>
      </c>
      <c r="C3866" s="352">
        <v>4170</v>
      </c>
      <c r="D3866" s="340" t="str">
        <f>VLOOKUP(C3866,Plan!A:B,2,0)</f>
        <v>Cali otros</v>
      </c>
      <c r="E3866" s="341">
        <f>+F3866-G3866</f>
        <v>338983</v>
      </c>
      <c r="F3866" s="353">
        <f>+G3867+G3868</f>
        <v>338983</v>
      </c>
      <c r="G3866" s="353">
        <f>+F3867</f>
        <v>0</v>
      </c>
      <c r="H3866" t="s">
        <v>2002</v>
      </c>
      <c r="I3866" s="355" t="s">
        <v>131</v>
      </c>
      <c r="K3866" s="370"/>
      <c r="N3866" s="370"/>
    </row>
    <row r="3867" spans="1:14" s="347" customFormat="1" x14ac:dyDescent="0.25">
      <c r="A3867" s="350">
        <f>+A3866</f>
        <v>44424</v>
      </c>
      <c r="B3867" s="403">
        <f>+MONTH(A3867)</f>
        <v>8</v>
      </c>
      <c r="C3867" s="352">
        <v>115</v>
      </c>
      <c r="D3867" s="340" t="str">
        <f>VLOOKUP(C3867,Plan!A:B,2,0)</f>
        <v>Disponible Cali B.Chile</v>
      </c>
      <c r="E3867" s="341">
        <f>+F3867-G3867</f>
        <v>-300000</v>
      </c>
      <c r="F3867" s="353">
        <v>0</v>
      </c>
      <c r="G3867" s="353">
        <v>300000</v>
      </c>
      <c r="H3867" s="354" t="str">
        <f>+H3866</f>
        <v>BE-318 Guillermo de la Vega Ivovich</v>
      </c>
      <c r="I3867" s="355" t="s">
        <v>131</v>
      </c>
      <c r="K3867" s="370"/>
      <c r="N3867" s="370"/>
    </row>
    <row r="3868" spans="1:14" s="347" customFormat="1" x14ac:dyDescent="0.25">
      <c r="A3868" s="350">
        <f>+A3867</f>
        <v>44424</v>
      </c>
      <c r="B3868" s="403">
        <f>+MONTH(A3868)</f>
        <v>8</v>
      </c>
      <c r="C3868" s="352">
        <v>204</v>
      </c>
      <c r="D3868" s="340" t="str">
        <f>VLOOKUP(C3868,Plan!A:B,2,0)</f>
        <v>Retención Honorarios Cali</v>
      </c>
      <c r="E3868" s="341">
        <f>+F3868-G3868</f>
        <v>-38983</v>
      </c>
      <c r="F3868" s="353">
        <v>0</v>
      </c>
      <c r="G3868" s="353">
        <v>38983</v>
      </c>
      <c r="H3868" s="354" t="str">
        <f>+H3867</f>
        <v>BE-318 Guillermo de la Vega Ivovich</v>
      </c>
      <c r="I3868" s="355" t="s">
        <v>131</v>
      </c>
      <c r="K3868" s="370"/>
      <c r="N3868" s="370"/>
    </row>
    <row r="3869" spans="1:14" s="347" customFormat="1" x14ac:dyDescent="0.25">
      <c r="A3869" s="369"/>
      <c r="E3869" s="396"/>
      <c r="F3869" s="396"/>
      <c r="G3869" s="396"/>
      <c r="K3869" s="370"/>
      <c r="N3869" s="370"/>
    </row>
    <row r="3870" spans="1:14" s="347" customFormat="1" x14ac:dyDescent="0.25">
      <c r="A3870" s="350">
        <v>44424</v>
      </c>
      <c r="B3870" s="403">
        <f>+MONTH(A3870)</f>
        <v>8</v>
      </c>
      <c r="C3870" s="352">
        <v>203</v>
      </c>
      <c r="D3870" s="340" t="str">
        <f>VLOOKUP(C3870,Plan!A:B,2,0)</f>
        <v>Recaudadoras por pagar</v>
      </c>
      <c r="E3870" s="341">
        <f>+F3870-G3870</f>
        <v>81480</v>
      </c>
      <c r="F3870" s="353">
        <f>+G3871+G3872</f>
        <v>81480</v>
      </c>
      <c r="G3870" s="353">
        <f>+F3871</f>
        <v>0</v>
      </c>
      <c r="H3870" t="s">
        <v>2003</v>
      </c>
      <c r="I3870" s="355" t="s">
        <v>131</v>
      </c>
      <c r="K3870" s="370"/>
      <c r="N3870" s="370"/>
    </row>
    <row r="3871" spans="1:14" s="347" customFormat="1" x14ac:dyDescent="0.25">
      <c r="A3871" s="350">
        <f>+A3870</f>
        <v>44424</v>
      </c>
      <c r="B3871" s="403">
        <f>+MONTH(A3871)</f>
        <v>8</v>
      </c>
      <c r="C3871" s="352">
        <v>115</v>
      </c>
      <c r="D3871" s="340" t="str">
        <f>VLOOKUP(C3871,Plan!A:B,2,0)</f>
        <v>Disponible Cali B.Chile</v>
      </c>
      <c r="E3871" s="341">
        <f>+F3871-G3871</f>
        <v>-72110</v>
      </c>
      <c r="F3871" s="353">
        <v>0</v>
      </c>
      <c r="G3871" s="353">
        <v>72110</v>
      </c>
      <c r="H3871" s="354" t="str">
        <f>+H3870</f>
        <v>BE-492 Maria Angelica Sepulveda Toro</v>
      </c>
      <c r="I3871" s="355" t="s">
        <v>131</v>
      </c>
      <c r="K3871" s="370"/>
      <c r="N3871" s="370"/>
    </row>
    <row r="3872" spans="1:14" s="347" customFormat="1" x14ac:dyDescent="0.25">
      <c r="A3872" s="350">
        <f>+A3871</f>
        <v>44424</v>
      </c>
      <c r="B3872" s="403">
        <f>+MONTH(A3872)</f>
        <v>8</v>
      </c>
      <c r="C3872" s="352">
        <v>204</v>
      </c>
      <c r="D3872" s="340" t="str">
        <f>VLOOKUP(C3872,Plan!A:B,2,0)</f>
        <v>Retención Honorarios Cali</v>
      </c>
      <c r="E3872" s="341">
        <f>+F3872-G3872</f>
        <v>-9370</v>
      </c>
      <c r="F3872" s="353">
        <v>0</v>
      </c>
      <c r="G3872" s="353">
        <v>9370</v>
      </c>
      <c r="H3872" s="354" t="str">
        <f>+H3871</f>
        <v>BE-492 Maria Angelica Sepulveda Toro</v>
      </c>
      <c r="I3872" s="355" t="s">
        <v>131</v>
      </c>
      <c r="K3872" s="370"/>
      <c r="N3872" s="370"/>
    </row>
    <row r="3873" spans="1:14" s="347" customFormat="1" x14ac:dyDescent="0.25">
      <c r="A3873" s="369"/>
      <c r="E3873" s="396"/>
      <c r="F3873" s="396"/>
      <c r="G3873" s="396"/>
      <c r="K3873" s="370"/>
      <c r="N3873" s="370"/>
    </row>
    <row r="3874" spans="1:14" s="347" customFormat="1" x14ac:dyDescent="0.25">
      <c r="A3874" s="350">
        <v>44424</v>
      </c>
      <c r="B3874" s="403">
        <f>+MONTH(A3874)</f>
        <v>8</v>
      </c>
      <c r="C3874" s="352">
        <v>4171</v>
      </c>
      <c r="D3874" s="340" t="str">
        <f>VLOOKUP(C3874,Plan!A:B,2,0)</f>
        <v xml:space="preserve">        Campaña 1%</v>
      </c>
      <c r="E3874" s="341">
        <f>+F3874-G3874</f>
        <v>150000</v>
      </c>
      <c r="F3874" s="353">
        <v>150000</v>
      </c>
      <c r="G3874" s="353">
        <f>+F3875</f>
        <v>0</v>
      </c>
      <c r="H3874" t="s">
        <v>2004</v>
      </c>
      <c r="I3874" s="355" t="s">
        <v>131</v>
      </c>
      <c r="K3874" s="370"/>
      <c r="N3874" s="370"/>
    </row>
    <row r="3875" spans="1:14" s="347" customFormat="1" x14ac:dyDescent="0.25">
      <c r="A3875" s="350">
        <f>+A3874</f>
        <v>44424</v>
      </c>
      <c r="B3875" s="403">
        <f>+MONTH(A3875)</f>
        <v>8</v>
      </c>
      <c r="C3875" s="352">
        <v>115</v>
      </c>
      <c r="D3875" s="340" t="str">
        <f>VLOOKUP(C3875,Plan!A:B,2,0)</f>
        <v>Disponible Cali B.Chile</v>
      </c>
      <c r="E3875" s="341">
        <f>+F3875-G3875</f>
        <v>-150000</v>
      </c>
      <c r="F3875" s="353">
        <v>0</v>
      </c>
      <c r="G3875" s="353">
        <f>+F3874</f>
        <v>150000</v>
      </c>
      <c r="H3875" s="354" t="str">
        <f>+H3874</f>
        <v>3 Gift Card  Gastronomia del Alto SpA</v>
      </c>
      <c r="I3875" s="355" t="s">
        <v>131</v>
      </c>
      <c r="K3875" s="370"/>
      <c r="N3875" s="370"/>
    </row>
    <row r="3876" spans="1:14" s="347" customFormat="1" x14ac:dyDescent="0.25">
      <c r="A3876" s="369"/>
      <c r="E3876" s="396"/>
      <c r="F3876" s="396"/>
      <c r="G3876" s="396"/>
      <c r="K3876" s="370"/>
      <c r="N3876" s="370"/>
    </row>
    <row r="3877" spans="1:14" s="347" customFormat="1" x14ac:dyDescent="0.25">
      <c r="A3877" s="350">
        <v>44424</v>
      </c>
      <c r="B3877" s="403">
        <f>+MONTH(A3877)</f>
        <v>8</v>
      </c>
      <c r="C3877" s="352">
        <v>116</v>
      </c>
      <c r="D3877" s="340" t="str">
        <f>VLOOKUP(C3877,Plan!A:B,2,0)</f>
        <v>Disponible CALI Security</v>
      </c>
      <c r="E3877" s="341">
        <f>+F3877-G3877</f>
        <v>27000000</v>
      </c>
      <c r="F3877" s="353">
        <v>27000000</v>
      </c>
      <c r="G3877" s="353">
        <f>+F3878</f>
        <v>0</v>
      </c>
      <c r="H3877" t="s">
        <v>1768</v>
      </c>
      <c r="I3877" s="355" t="s">
        <v>131</v>
      </c>
      <c r="K3877" s="370"/>
      <c r="N3877" s="370"/>
    </row>
    <row r="3878" spans="1:14" s="347" customFormat="1" x14ac:dyDescent="0.25">
      <c r="A3878" s="350">
        <f>+A3877</f>
        <v>44424</v>
      </c>
      <c r="B3878" s="403">
        <f>+MONTH(A3878)</f>
        <v>8</v>
      </c>
      <c r="C3878" s="352">
        <v>115</v>
      </c>
      <c r="D3878" s="340" t="str">
        <f>VLOOKUP(C3878,Plan!A:B,2,0)</f>
        <v>Disponible Cali B.Chile</v>
      </c>
      <c r="E3878" s="341">
        <f>+F3878-G3878</f>
        <v>-27000000</v>
      </c>
      <c r="F3878" s="353">
        <v>0</v>
      </c>
      <c r="G3878" s="353">
        <f>+F3877</f>
        <v>27000000</v>
      </c>
      <c r="H3878" s="354" t="str">
        <f>+H3877</f>
        <v>Trasp.a Cta. Security</v>
      </c>
      <c r="I3878" s="355" t="s">
        <v>131</v>
      </c>
      <c r="K3878" s="370"/>
      <c r="N3878" s="370"/>
    </row>
    <row r="3879" spans="1:14" s="347" customFormat="1" x14ac:dyDescent="0.25">
      <c r="A3879" s="369"/>
      <c r="E3879" s="396"/>
      <c r="F3879" s="396"/>
      <c r="G3879" s="396"/>
      <c r="K3879" s="370"/>
      <c r="N3879" s="370"/>
    </row>
    <row r="3880" spans="1:14" s="347" customFormat="1" x14ac:dyDescent="0.25">
      <c r="A3880" s="350">
        <v>44424</v>
      </c>
      <c r="B3880" s="403">
        <f>+MONTH(A3880)</f>
        <v>8</v>
      </c>
      <c r="C3880" s="352">
        <v>115</v>
      </c>
      <c r="D3880" s="340" t="str">
        <f>VLOOKUP(C3880,Plan!A:B,2,0)</f>
        <v>Disponible Cali B.Chile</v>
      </c>
      <c r="E3880" s="341">
        <f>+F3880-G3880</f>
        <v>5000</v>
      </c>
      <c r="F3880" s="353">
        <v>5000</v>
      </c>
      <c r="G3880" s="353">
        <f>+F3881</f>
        <v>0</v>
      </c>
      <c r="H3880" s="156" t="s">
        <v>1861</v>
      </c>
      <c r="I3880" s="355" t="s">
        <v>131</v>
      </c>
      <c r="K3880" s="370"/>
      <c r="N3880" s="370"/>
    </row>
    <row r="3881" spans="1:14" s="347" customFormat="1" x14ac:dyDescent="0.25">
      <c r="A3881" s="350">
        <f>+A3880</f>
        <v>44424</v>
      </c>
      <c r="B3881" s="403">
        <f>+MONTH(A3881)</f>
        <v>8</v>
      </c>
      <c r="C3881" s="352">
        <v>216</v>
      </c>
      <c r="D3881" s="340" t="str">
        <f>VLOOKUP(C3881,Plan!A:B,2,0)</f>
        <v>Cuenta por Pagar a Administración Colectas</v>
      </c>
      <c r="E3881" s="341">
        <f>+F3881-G3881</f>
        <v>-5000</v>
      </c>
      <c r="F3881" s="353">
        <v>0</v>
      </c>
      <c r="G3881" s="353">
        <f>+F3880</f>
        <v>5000</v>
      </c>
      <c r="H3881" s="354" t="str">
        <f>+H3880</f>
        <v>Colecta Pilar Bustamante</v>
      </c>
      <c r="I3881" s="355" t="s">
        <v>131</v>
      </c>
      <c r="K3881" s="370"/>
      <c r="N3881" s="370"/>
    </row>
    <row r="3882" spans="1:14" s="347" customFormat="1" x14ac:dyDescent="0.25">
      <c r="A3882" s="369"/>
      <c r="E3882" s="396"/>
      <c r="F3882" s="396"/>
      <c r="G3882" s="396"/>
      <c r="K3882" s="370"/>
      <c r="N3882" s="370"/>
    </row>
    <row r="3883" spans="1:14" s="347" customFormat="1" x14ac:dyDescent="0.25">
      <c r="A3883" s="350">
        <v>44424</v>
      </c>
      <c r="B3883" s="403">
        <f>+MONTH(A3883)</f>
        <v>8</v>
      </c>
      <c r="C3883" s="352">
        <v>115</v>
      </c>
      <c r="D3883" s="340" t="str">
        <f>VLOOKUP(C3883,Plan!A:B,2,0)</f>
        <v>Disponible Cali B.Chile</v>
      </c>
      <c r="E3883" s="341">
        <f>+F3883-G3883</f>
        <v>20000</v>
      </c>
      <c r="F3883" s="353">
        <v>20000</v>
      </c>
      <c r="G3883" s="353">
        <f>+F3884</f>
        <v>0</v>
      </c>
      <c r="H3883" t="s">
        <v>1025</v>
      </c>
      <c r="I3883" s="355" t="s">
        <v>131</v>
      </c>
      <c r="K3883" s="370"/>
      <c r="N3883" s="370"/>
    </row>
    <row r="3884" spans="1:14" s="347" customFormat="1" x14ac:dyDescent="0.25">
      <c r="A3884" s="350">
        <f>+A3883</f>
        <v>44424</v>
      </c>
      <c r="B3884" s="403">
        <f>+MONTH(A3884)</f>
        <v>8</v>
      </c>
      <c r="C3884" s="352">
        <v>1222</v>
      </c>
      <c r="D3884" s="340" t="str">
        <f>VLOOKUP(C3884,Plan!A:B,2,0)</f>
        <v>Otros Valores -Oficina y Transferencias (249)</v>
      </c>
      <c r="E3884" s="341">
        <f>+F3884-G3884</f>
        <v>-20000</v>
      </c>
      <c r="F3884" s="353">
        <v>0</v>
      </c>
      <c r="G3884" s="353">
        <f>+F3883</f>
        <v>20000</v>
      </c>
      <c r="H3884" s="354" t="str">
        <f>+H3883</f>
        <v>Bernardita Egaña Baraona  / 249</v>
      </c>
      <c r="I3884" s="355" t="s">
        <v>131</v>
      </c>
      <c r="K3884" s="370"/>
      <c r="N3884" s="370"/>
    </row>
    <row r="3885" spans="1:14" s="347" customFormat="1" x14ac:dyDescent="0.25">
      <c r="A3885" s="369"/>
      <c r="E3885" s="396"/>
      <c r="F3885" s="396"/>
      <c r="G3885" s="396"/>
      <c r="K3885" s="370"/>
      <c r="N3885" s="370"/>
    </row>
    <row r="3886" spans="1:14" s="347" customFormat="1" x14ac:dyDescent="0.25">
      <c r="A3886" s="350">
        <v>44425</v>
      </c>
      <c r="B3886" s="403">
        <f>+MONTH(A3886)</f>
        <v>8</v>
      </c>
      <c r="C3886" s="352">
        <v>115</v>
      </c>
      <c r="D3886" s="340" t="str">
        <f>VLOOKUP(C3886,Plan!A:B,2,0)</f>
        <v>Disponible Cali B.Chile</v>
      </c>
      <c r="E3886" s="341">
        <f>+F3886-G3886</f>
        <v>50000</v>
      </c>
      <c r="F3886" s="353">
        <v>50000</v>
      </c>
      <c r="G3886" s="353">
        <f>+F3887</f>
        <v>0</v>
      </c>
      <c r="H3886" t="s">
        <v>2005</v>
      </c>
      <c r="I3886" s="355" t="s">
        <v>131</v>
      </c>
      <c r="K3886" s="370"/>
      <c r="N3886" s="370"/>
    </row>
    <row r="3887" spans="1:14" s="347" customFormat="1" x14ac:dyDescent="0.25">
      <c r="A3887" s="350">
        <f>+A3886</f>
        <v>44425</v>
      </c>
      <c r="B3887" s="403">
        <f>+MONTH(A3887)</f>
        <v>8</v>
      </c>
      <c r="C3887" s="352">
        <v>3210</v>
      </c>
      <c r="D3887" s="340" t="str">
        <f>VLOOKUP(C3887,Plan!A:B,2,0)</f>
        <v>Donacion Construccion</v>
      </c>
      <c r="E3887" s="341">
        <f>+F3887-G3887</f>
        <v>-50000</v>
      </c>
      <c r="F3887" s="353">
        <v>0</v>
      </c>
      <c r="G3887" s="353">
        <f>+F3886</f>
        <v>50000</v>
      </c>
      <c r="H3887" s="354" t="str">
        <f>+H3886</f>
        <v>Elena García Huidobro E. /Azul</v>
      </c>
      <c r="I3887" s="355" t="s">
        <v>131</v>
      </c>
      <c r="K3887" s="370"/>
      <c r="N3887" s="370"/>
    </row>
    <row r="3888" spans="1:14" s="347" customFormat="1" x14ac:dyDescent="0.25">
      <c r="A3888" s="369"/>
      <c r="E3888" s="396"/>
      <c r="F3888" s="396"/>
      <c r="G3888" s="396"/>
      <c r="K3888" s="370"/>
      <c r="N3888" s="370"/>
    </row>
    <row r="3889" spans="1:14" s="347" customFormat="1" x14ac:dyDescent="0.25">
      <c r="A3889" s="350">
        <v>44425</v>
      </c>
      <c r="B3889" s="403">
        <f>+MONTH(A3889)</f>
        <v>8</v>
      </c>
      <c r="C3889" s="352">
        <v>115</v>
      </c>
      <c r="D3889" s="340" t="str">
        <f>VLOOKUP(C3889,Plan!A:B,2,0)</f>
        <v>Disponible Cali B.Chile</v>
      </c>
      <c r="E3889" s="341">
        <f>+F3889-G3889</f>
        <v>1000000</v>
      </c>
      <c r="F3889" s="353">
        <v>1000000</v>
      </c>
      <c r="G3889" s="353">
        <f>+F3890</f>
        <v>0</v>
      </c>
      <c r="H3889" t="s">
        <v>1675</v>
      </c>
      <c r="I3889" s="355" t="s">
        <v>131</v>
      </c>
      <c r="K3889" s="370"/>
      <c r="N3889" s="370"/>
    </row>
    <row r="3890" spans="1:14" s="347" customFormat="1" x14ac:dyDescent="0.25">
      <c r="A3890" s="350">
        <f>+A3889</f>
        <v>44425</v>
      </c>
      <c r="B3890" s="403">
        <f>+MONTH(A3890)</f>
        <v>8</v>
      </c>
      <c r="C3890" s="352">
        <v>3210</v>
      </c>
      <c r="D3890" s="340" t="str">
        <f>VLOOKUP(C3890,Plan!A:B,2,0)</f>
        <v>Donacion Construccion</v>
      </c>
      <c r="E3890" s="341">
        <f>+F3890-G3890</f>
        <v>-1000000</v>
      </c>
      <c r="F3890" s="353">
        <v>0</v>
      </c>
      <c r="G3890" s="353">
        <f>+F3889</f>
        <v>1000000</v>
      </c>
      <c r="H3890" s="354" t="str">
        <f>+H3889</f>
        <v>Juan Gabriel Navarro Gutiérrez / Azul</v>
      </c>
      <c r="I3890" s="355" t="s">
        <v>131</v>
      </c>
      <c r="K3890" s="370"/>
      <c r="N3890" s="370"/>
    </row>
    <row r="3891" spans="1:14" s="347" customFormat="1" x14ac:dyDescent="0.25">
      <c r="A3891" s="369"/>
      <c r="E3891" s="396"/>
      <c r="F3891" s="396"/>
      <c r="G3891" s="396"/>
      <c r="K3891" s="370"/>
      <c r="N3891" s="370"/>
    </row>
    <row r="3892" spans="1:14" s="347" customFormat="1" x14ac:dyDescent="0.25">
      <c r="A3892" s="350">
        <v>44425</v>
      </c>
      <c r="B3892" s="403">
        <f>+MONTH(A3892)</f>
        <v>8</v>
      </c>
      <c r="C3892" s="352">
        <v>115</v>
      </c>
      <c r="D3892" s="340" t="str">
        <f>VLOOKUP(C3892,Plan!A:B,2,0)</f>
        <v>Disponible Cali B.Chile</v>
      </c>
      <c r="E3892" s="341">
        <f>+F3892-G3892</f>
        <v>15000</v>
      </c>
      <c r="F3892" s="353">
        <v>15000</v>
      </c>
      <c r="G3892" s="353">
        <f>+F3893</f>
        <v>0</v>
      </c>
      <c r="H3892" s="338" t="s">
        <v>1687</v>
      </c>
      <c r="I3892" s="355" t="s">
        <v>131</v>
      </c>
      <c r="K3892" s="370"/>
      <c r="N3892" s="370"/>
    </row>
    <row r="3893" spans="1:14" s="347" customFormat="1" x14ac:dyDescent="0.25">
      <c r="A3893" s="350">
        <f>+A3892</f>
        <v>44425</v>
      </c>
      <c r="B3893" s="403">
        <f>+MONTH(A3893)</f>
        <v>8</v>
      </c>
      <c r="C3893" s="352">
        <v>1216</v>
      </c>
      <c r="D3893" s="340" t="str">
        <f>VLOOKUP(C3893,Plan!A:B,2,0)</f>
        <v>Otros Valores Recaudadoras</v>
      </c>
      <c r="E3893" s="341">
        <f>+F3893-G3893</f>
        <v>-15000</v>
      </c>
      <c r="F3893" s="353">
        <v>0</v>
      </c>
      <c r="G3893" s="353">
        <f>+F3892</f>
        <v>15000</v>
      </c>
      <c r="H3893" s="338" t="s">
        <v>1687</v>
      </c>
      <c r="I3893" s="355" t="s">
        <v>131</v>
      </c>
      <c r="K3893" s="370"/>
      <c r="N3893" s="370"/>
    </row>
    <row r="3894" spans="1:14" s="347" customFormat="1" x14ac:dyDescent="0.25">
      <c r="A3894" s="369"/>
      <c r="E3894" s="396"/>
      <c r="F3894" s="396"/>
      <c r="G3894" s="396"/>
      <c r="K3894" s="370"/>
      <c r="N3894" s="370"/>
    </row>
    <row r="3895" spans="1:14" s="347" customFormat="1" x14ac:dyDescent="0.25">
      <c r="A3895" s="350">
        <v>44425</v>
      </c>
      <c r="B3895" s="403">
        <f>+MONTH(A3895)</f>
        <v>8</v>
      </c>
      <c r="C3895" s="352">
        <v>115</v>
      </c>
      <c r="D3895" s="340" t="str">
        <f>VLOOKUP(C3895,Plan!A:B,2,0)</f>
        <v>Disponible Cali B.Chile</v>
      </c>
      <c r="E3895" s="341">
        <f>+F3895-G3895</f>
        <v>80000</v>
      </c>
      <c r="F3895" s="353">
        <v>80000</v>
      </c>
      <c r="G3895" s="353">
        <f>+F3896</f>
        <v>0</v>
      </c>
      <c r="H3895" s="338" t="s">
        <v>1687</v>
      </c>
      <c r="I3895" s="355" t="s">
        <v>131</v>
      </c>
      <c r="K3895" s="370"/>
      <c r="N3895" s="370"/>
    </row>
    <row r="3896" spans="1:14" s="347" customFormat="1" x14ac:dyDescent="0.25">
      <c r="A3896" s="350">
        <f>+A3895</f>
        <v>44425</v>
      </c>
      <c r="B3896" s="403">
        <f>+MONTH(A3896)</f>
        <v>8</v>
      </c>
      <c r="C3896" s="352">
        <v>1216</v>
      </c>
      <c r="D3896" s="340" t="str">
        <f>VLOOKUP(C3896,Plan!A:B,2,0)</f>
        <v>Otros Valores Recaudadoras</v>
      </c>
      <c r="E3896" s="341">
        <f>+F3896-G3896</f>
        <v>-80000</v>
      </c>
      <c r="F3896" s="353">
        <v>0</v>
      </c>
      <c r="G3896" s="353">
        <f>+F3895</f>
        <v>80000</v>
      </c>
      <c r="H3896" s="338" t="s">
        <v>1687</v>
      </c>
      <c r="I3896" s="355" t="s">
        <v>131</v>
      </c>
      <c r="K3896" s="370"/>
      <c r="N3896" s="370"/>
    </row>
    <row r="3897" spans="1:14" s="347" customFormat="1" x14ac:dyDescent="0.25">
      <c r="A3897" s="369"/>
      <c r="E3897" s="396"/>
      <c r="F3897" s="396"/>
      <c r="G3897" s="396"/>
      <c r="K3897" s="370"/>
      <c r="N3897" s="370"/>
    </row>
    <row r="3898" spans="1:14" s="347" customFormat="1" x14ac:dyDescent="0.25">
      <c r="A3898" s="350">
        <v>44425</v>
      </c>
      <c r="B3898" s="403">
        <f>+MONTH(A3898)</f>
        <v>8</v>
      </c>
      <c r="C3898" s="352">
        <v>115</v>
      </c>
      <c r="D3898" s="340" t="str">
        <f>VLOOKUP(C3898,Plan!A:B,2,0)</f>
        <v>Disponible Cali B.Chile</v>
      </c>
      <c r="E3898" s="341">
        <f>+F3898-G3898</f>
        <v>225000</v>
      </c>
      <c r="F3898" s="353">
        <v>225000</v>
      </c>
      <c r="G3898" s="353">
        <f>+F3899</f>
        <v>0</v>
      </c>
      <c r="H3898" s="338" t="s">
        <v>1687</v>
      </c>
      <c r="I3898" s="355" t="s">
        <v>131</v>
      </c>
      <c r="K3898" s="370"/>
      <c r="N3898" s="370"/>
    </row>
    <row r="3899" spans="1:14" s="347" customFormat="1" x14ac:dyDescent="0.25">
      <c r="A3899" s="350">
        <f>+A3898</f>
        <v>44425</v>
      </c>
      <c r="B3899" s="403">
        <f>+MONTH(A3899)</f>
        <v>8</v>
      </c>
      <c r="C3899" s="352">
        <v>1216</v>
      </c>
      <c r="D3899" s="340" t="str">
        <f>VLOOKUP(C3899,Plan!A:B,2,0)</f>
        <v>Otros Valores Recaudadoras</v>
      </c>
      <c r="E3899" s="341">
        <f>+F3899-G3899</f>
        <v>-225000</v>
      </c>
      <c r="F3899" s="353">
        <v>0</v>
      </c>
      <c r="G3899" s="353">
        <f>+F3898</f>
        <v>225000</v>
      </c>
      <c r="H3899" s="338" t="s">
        <v>1687</v>
      </c>
      <c r="I3899" s="355" t="s">
        <v>131</v>
      </c>
      <c r="K3899" s="370"/>
      <c r="N3899" s="370"/>
    </row>
    <row r="3900" spans="1:14" s="347" customFormat="1" x14ac:dyDescent="0.25">
      <c r="A3900" s="369"/>
      <c r="E3900" s="396"/>
      <c r="F3900" s="396"/>
      <c r="G3900" s="396"/>
      <c r="K3900" s="370"/>
      <c r="N3900" s="370"/>
    </row>
    <row r="3901" spans="1:14" s="347" customFormat="1" x14ac:dyDescent="0.25">
      <c r="A3901" s="350">
        <v>44426</v>
      </c>
      <c r="B3901" s="403">
        <f>+MONTH(A3901)</f>
        <v>8</v>
      </c>
      <c r="C3901" s="352">
        <v>115</v>
      </c>
      <c r="D3901" s="340" t="str">
        <f>VLOOKUP(C3901,Plan!A:B,2,0)</f>
        <v>Disponible Cali B.Chile</v>
      </c>
      <c r="E3901" s="341">
        <f>+F3901-G3901</f>
        <v>40000</v>
      </c>
      <c r="F3901" s="353">
        <v>40000</v>
      </c>
      <c r="G3901" s="353">
        <f>+F3902</f>
        <v>0</v>
      </c>
      <c r="H3901" t="s">
        <v>787</v>
      </c>
      <c r="I3901" s="355" t="s">
        <v>131</v>
      </c>
      <c r="K3901" s="370"/>
      <c r="N3901" s="370"/>
    </row>
    <row r="3902" spans="1:14" s="347" customFormat="1" x14ac:dyDescent="0.25">
      <c r="A3902" s="350">
        <f>+A3901</f>
        <v>44426</v>
      </c>
      <c r="B3902" s="403">
        <f>+MONTH(A3902)</f>
        <v>8</v>
      </c>
      <c r="C3902" s="352">
        <v>1222</v>
      </c>
      <c r="D3902" s="340" t="str">
        <f>VLOOKUP(C3902,Plan!A:B,2,0)</f>
        <v>Otros Valores -Oficina y Transferencias (249)</v>
      </c>
      <c r="E3902" s="341">
        <f>+F3902-G3902</f>
        <v>-40000</v>
      </c>
      <c r="F3902" s="353">
        <v>0</v>
      </c>
      <c r="G3902" s="353">
        <f>+F3901</f>
        <v>40000</v>
      </c>
      <c r="H3902" s="354" t="str">
        <f>+H3901</f>
        <v>Juan Pablo Ríos Ross / 249</v>
      </c>
      <c r="I3902" s="355" t="s">
        <v>131</v>
      </c>
      <c r="K3902" s="370"/>
      <c r="N3902" s="370"/>
    </row>
    <row r="3903" spans="1:14" s="347" customFormat="1" x14ac:dyDescent="0.25">
      <c r="A3903" s="369"/>
      <c r="E3903" s="396"/>
      <c r="F3903" s="396"/>
      <c r="G3903" s="396"/>
      <c r="K3903" s="370"/>
      <c r="N3903" s="370"/>
    </row>
    <row r="3904" spans="1:14" s="347" customFormat="1" x14ac:dyDescent="0.25">
      <c r="A3904" s="350">
        <v>44426</v>
      </c>
      <c r="B3904" s="403">
        <f>+MONTH(A3904)</f>
        <v>8</v>
      </c>
      <c r="C3904" s="352">
        <v>115</v>
      </c>
      <c r="D3904" s="340" t="str">
        <f>VLOOKUP(C3904,Plan!A:B,2,0)</f>
        <v>Disponible Cali B.Chile</v>
      </c>
      <c r="E3904" s="341">
        <f>+F3904-G3904</f>
        <v>20000</v>
      </c>
      <c r="F3904" s="353">
        <v>20000</v>
      </c>
      <c r="G3904" s="353">
        <f>+F3905</f>
        <v>0</v>
      </c>
      <c r="H3904" t="s">
        <v>1030</v>
      </c>
      <c r="I3904" s="355" t="s">
        <v>131</v>
      </c>
      <c r="K3904" s="370"/>
      <c r="N3904" s="370"/>
    </row>
    <row r="3905" spans="1:14" s="347" customFormat="1" x14ac:dyDescent="0.25">
      <c r="A3905" s="350">
        <f>+A3904</f>
        <v>44426</v>
      </c>
      <c r="B3905" s="403">
        <f>+MONTH(A3905)</f>
        <v>8</v>
      </c>
      <c r="C3905" s="352">
        <v>1222</v>
      </c>
      <c r="D3905" s="340" t="str">
        <f>VLOOKUP(C3905,Plan!A:B,2,0)</f>
        <v>Otros Valores -Oficina y Transferencias (249)</v>
      </c>
      <c r="E3905" s="341">
        <f>+F3905-G3905</f>
        <v>-20000</v>
      </c>
      <c r="F3905" s="353">
        <v>0</v>
      </c>
      <c r="G3905" s="353">
        <f>+F3904</f>
        <v>20000</v>
      </c>
      <c r="H3905" s="354" t="str">
        <f>+H3904</f>
        <v>S. Villegas / 249</v>
      </c>
      <c r="I3905" s="355" t="s">
        <v>131</v>
      </c>
      <c r="K3905" s="370"/>
      <c r="N3905" s="370"/>
    </row>
    <row r="3906" spans="1:14" s="347" customFormat="1" x14ac:dyDescent="0.25">
      <c r="A3906" s="369"/>
      <c r="E3906" s="396"/>
      <c r="F3906" s="396"/>
      <c r="G3906" s="396"/>
      <c r="K3906" s="370"/>
      <c r="N3906" s="370"/>
    </row>
    <row r="3907" spans="1:14" s="347" customFormat="1" x14ac:dyDescent="0.25">
      <c r="A3907" s="350">
        <v>44427</v>
      </c>
      <c r="B3907" s="403">
        <f>+MONTH(A3907)</f>
        <v>8</v>
      </c>
      <c r="C3907" s="352">
        <v>115</v>
      </c>
      <c r="D3907" s="340" t="str">
        <f>VLOOKUP(C3907,Plan!A:B,2,0)</f>
        <v>Disponible Cali B.Chile</v>
      </c>
      <c r="E3907" s="341">
        <f>+F3907-G3907</f>
        <v>37000</v>
      </c>
      <c r="F3907" s="353">
        <v>37000</v>
      </c>
      <c r="G3907" s="353">
        <f>+F3908</f>
        <v>0</v>
      </c>
      <c r="H3907" s="338" t="s">
        <v>1687</v>
      </c>
      <c r="I3907" s="355" t="s">
        <v>131</v>
      </c>
      <c r="K3907" s="370"/>
      <c r="N3907" s="370"/>
    </row>
    <row r="3908" spans="1:14" s="347" customFormat="1" x14ac:dyDescent="0.25">
      <c r="A3908" s="350">
        <f>+A3907</f>
        <v>44427</v>
      </c>
      <c r="B3908" s="403">
        <f>+MONTH(A3908)</f>
        <v>8</v>
      </c>
      <c r="C3908" s="352">
        <v>1216</v>
      </c>
      <c r="D3908" s="340" t="str">
        <f>VLOOKUP(C3908,Plan!A:B,2,0)</f>
        <v>Otros Valores Recaudadoras</v>
      </c>
      <c r="E3908" s="341">
        <f>+F3908-G3908</f>
        <v>-37000</v>
      </c>
      <c r="F3908" s="353">
        <v>0</v>
      </c>
      <c r="G3908" s="353">
        <f>+F3907</f>
        <v>37000</v>
      </c>
      <c r="H3908" s="338" t="s">
        <v>1687</v>
      </c>
      <c r="I3908" s="355" t="s">
        <v>131</v>
      </c>
      <c r="K3908" s="370"/>
      <c r="N3908" s="370"/>
    </row>
    <row r="3909" spans="1:14" s="347" customFormat="1" x14ac:dyDescent="0.25">
      <c r="A3909" s="369"/>
      <c r="E3909" s="396"/>
      <c r="F3909" s="396"/>
      <c r="G3909" s="396"/>
      <c r="K3909" s="370"/>
      <c r="N3909" s="370"/>
    </row>
    <row r="3910" spans="1:14" s="347" customFormat="1" x14ac:dyDescent="0.25">
      <c r="A3910" s="350">
        <v>44427</v>
      </c>
      <c r="B3910" s="403">
        <f>+MONTH(A3910)</f>
        <v>8</v>
      </c>
      <c r="C3910" s="352">
        <v>115</v>
      </c>
      <c r="D3910" s="340" t="str">
        <f>VLOOKUP(C3910,Plan!A:B,2,0)</f>
        <v>Disponible Cali B.Chile</v>
      </c>
      <c r="E3910" s="341">
        <f>+F3910-G3910</f>
        <v>100000</v>
      </c>
      <c r="F3910" s="353">
        <v>100000</v>
      </c>
      <c r="G3910" s="353">
        <f>+F3911</f>
        <v>0</v>
      </c>
      <c r="H3910" t="s">
        <v>2006</v>
      </c>
      <c r="I3910" s="355" t="s">
        <v>131</v>
      </c>
      <c r="K3910" s="370"/>
      <c r="N3910" s="370"/>
    </row>
    <row r="3911" spans="1:14" s="347" customFormat="1" x14ac:dyDescent="0.25">
      <c r="A3911" s="350">
        <f>+A3910</f>
        <v>44427</v>
      </c>
      <c r="B3911" s="403">
        <f>+MONTH(A3911)</f>
        <v>8</v>
      </c>
      <c r="C3911" s="352">
        <v>3210</v>
      </c>
      <c r="D3911" s="340" t="str">
        <f>VLOOKUP(C3911,Plan!A:B,2,0)</f>
        <v>Donacion Construccion</v>
      </c>
      <c r="E3911" s="341">
        <f>+F3911-G3911</f>
        <v>-100000</v>
      </c>
      <c r="F3911" s="353">
        <v>0</v>
      </c>
      <c r="G3911" s="353">
        <f>+F3910</f>
        <v>100000</v>
      </c>
      <c r="H3911" s="354" t="str">
        <f>+H3910</f>
        <v>Mónica Harseim /azul</v>
      </c>
      <c r="I3911" s="355" t="s">
        <v>131</v>
      </c>
      <c r="K3911" s="370"/>
      <c r="N3911" s="370"/>
    </row>
    <row r="3912" spans="1:14" s="347" customFormat="1" x14ac:dyDescent="0.25">
      <c r="A3912" s="369"/>
      <c r="E3912" s="396"/>
      <c r="F3912" s="396"/>
      <c r="G3912" s="396"/>
      <c r="K3912" s="370"/>
      <c r="N3912" s="370"/>
    </row>
    <row r="3913" spans="1:14" s="347" customFormat="1" x14ac:dyDescent="0.25">
      <c r="A3913" s="350">
        <v>44428</v>
      </c>
      <c r="B3913" s="403">
        <f>+MONTH(A3913)</f>
        <v>8</v>
      </c>
      <c r="C3913" s="352">
        <v>115</v>
      </c>
      <c r="D3913" s="340" t="str">
        <f>VLOOKUP(C3913,Plan!A:B,2,0)</f>
        <v>Disponible Cali B.Chile</v>
      </c>
      <c r="E3913" s="341">
        <f>+F3913-G3913</f>
        <v>150000</v>
      </c>
      <c r="F3913" s="353">
        <v>150000</v>
      </c>
      <c r="G3913" s="353">
        <f>+F3914</f>
        <v>0</v>
      </c>
      <c r="H3913" t="s">
        <v>1770</v>
      </c>
      <c r="I3913" s="355" t="s">
        <v>131</v>
      </c>
      <c r="K3913" s="370"/>
      <c r="N3913" s="370"/>
    </row>
    <row r="3914" spans="1:14" s="347" customFormat="1" x14ac:dyDescent="0.25">
      <c r="A3914" s="350">
        <f>+A3913</f>
        <v>44428</v>
      </c>
      <c r="B3914" s="403">
        <f>+MONTH(A3914)</f>
        <v>8</v>
      </c>
      <c r="C3914" s="352">
        <v>1222</v>
      </c>
      <c r="D3914" s="340" t="str">
        <f>VLOOKUP(C3914,Plan!A:B,2,0)</f>
        <v>Otros Valores -Oficina y Transferencias (249)</v>
      </c>
      <c r="E3914" s="341">
        <f>+F3914-G3914</f>
        <v>-150000</v>
      </c>
      <c r="F3914" s="353">
        <v>0</v>
      </c>
      <c r="G3914" s="353">
        <f>+F3913</f>
        <v>150000</v>
      </c>
      <c r="H3914" s="354" t="str">
        <f>+H3913</f>
        <v>Luis Felipe Zanolli De Solminihac/249</v>
      </c>
      <c r="I3914" s="355" t="s">
        <v>131</v>
      </c>
      <c r="K3914" s="370"/>
      <c r="N3914" s="370"/>
    </row>
    <row r="3915" spans="1:14" s="347" customFormat="1" x14ac:dyDescent="0.25">
      <c r="A3915" s="369"/>
      <c r="E3915" s="396"/>
      <c r="F3915" s="396"/>
      <c r="G3915" s="396"/>
      <c r="K3915" s="370"/>
      <c r="N3915" s="370"/>
    </row>
    <row r="3916" spans="1:14" s="347" customFormat="1" x14ac:dyDescent="0.25">
      <c r="A3916" s="350">
        <v>44431</v>
      </c>
      <c r="B3916" s="403">
        <f>+MONTH(A3916)</f>
        <v>8</v>
      </c>
      <c r="C3916" s="352">
        <v>115</v>
      </c>
      <c r="D3916" s="340" t="str">
        <f>VLOOKUP(C3916,Plan!A:B,2,0)</f>
        <v>Disponible Cali B.Chile</v>
      </c>
      <c r="E3916" s="341">
        <f>+F3916-G3916</f>
        <v>30000</v>
      </c>
      <c r="F3916" s="353">
        <v>30000</v>
      </c>
      <c r="G3916" s="353">
        <f>+F3917</f>
        <v>0</v>
      </c>
      <c r="H3916" t="s">
        <v>970</v>
      </c>
      <c r="I3916" s="355" t="s">
        <v>131</v>
      </c>
      <c r="K3916" s="370"/>
      <c r="N3916" s="370"/>
    </row>
    <row r="3917" spans="1:14" s="347" customFormat="1" x14ac:dyDescent="0.25">
      <c r="A3917" s="350">
        <f>+A3916</f>
        <v>44431</v>
      </c>
      <c r="B3917" s="403">
        <f>+MONTH(A3917)</f>
        <v>8</v>
      </c>
      <c r="C3917" s="352">
        <v>1222</v>
      </c>
      <c r="D3917" s="340" t="str">
        <f>VLOOKUP(C3917,Plan!A:B,2,0)</f>
        <v>Otros Valores -Oficina y Transferencias (249)</v>
      </c>
      <c r="E3917" s="341">
        <f>+F3917-G3917</f>
        <v>-30000</v>
      </c>
      <c r="F3917" s="353">
        <v>0</v>
      </c>
      <c r="G3917" s="353">
        <f>+F3916</f>
        <v>30000</v>
      </c>
      <c r="H3917" s="354" t="str">
        <f>+H3916</f>
        <v>Horacio Cartagena Fagerstrom/249</v>
      </c>
      <c r="I3917" s="355" t="s">
        <v>131</v>
      </c>
      <c r="K3917" s="370"/>
      <c r="N3917" s="370"/>
    </row>
    <row r="3918" spans="1:14" s="347" customFormat="1" x14ac:dyDescent="0.25">
      <c r="A3918" s="369"/>
      <c r="E3918" s="396"/>
      <c r="F3918" s="396"/>
      <c r="G3918" s="396"/>
      <c r="K3918" s="370"/>
      <c r="N3918" s="370"/>
    </row>
    <row r="3919" spans="1:14" s="347" customFormat="1" x14ac:dyDescent="0.25">
      <c r="A3919" s="350">
        <v>44431</v>
      </c>
      <c r="B3919" s="403">
        <f>+MONTH(A3919)</f>
        <v>8</v>
      </c>
      <c r="C3919" s="352">
        <v>115</v>
      </c>
      <c r="D3919" s="340" t="str">
        <f>VLOOKUP(C3919,Plan!A:B,2,0)</f>
        <v>Disponible Cali B.Chile</v>
      </c>
      <c r="E3919" s="341">
        <f>+F3919-G3919</f>
        <v>10000</v>
      </c>
      <c r="F3919" s="353">
        <v>10000</v>
      </c>
      <c r="G3919" s="353">
        <f>+F3920</f>
        <v>0</v>
      </c>
      <c r="H3919" t="s">
        <v>1517</v>
      </c>
      <c r="I3919" s="355" t="s">
        <v>131</v>
      </c>
      <c r="K3919" s="370"/>
      <c r="N3919" s="370"/>
    </row>
    <row r="3920" spans="1:14" s="347" customFormat="1" x14ac:dyDescent="0.25">
      <c r="A3920" s="350">
        <f>+A3919</f>
        <v>44431</v>
      </c>
      <c r="B3920" s="403">
        <f>+MONTH(A3920)</f>
        <v>8</v>
      </c>
      <c r="C3920" s="352">
        <v>1222</v>
      </c>
      <c r="D3920" s="340" t="str">
        <f>VLOOKUP(C3920,Plan!A:B,2,0)</f>
        <v>Otros Valores -Oficina y Transferencias (249)</v>
      </c>
      <c r="E3920" s="341">
        <f>+F3920-G3920</f>
        <v>-10000</v>
      </c>
      <c r="F3920" s="353">
        <v>0</v>
      </c>
      <c r="G3920" s="353">
        <f>+F3919</f>
        <v>10000</v>
      </c>
      <c r="H3920" s="354" t="str">
        <f>+H3919</f>
        <v>Jacqueline Dale / 249</v>
      </c>
      <c r="I3920" s="355" t="s">
        <v>131</v>
      </c>
      <c r="K3920" s="370"/>
      <c r="N3920" s="370"/>
    </row>
    <row r="3921" spans="1:14" s="347" customFormat="1" x14ac:dyDescent="0.25">
      <c r="A3921" s="369"/>
      <c r="E3921" s="396"/>
      <c r="F3921" s="396"/>
      <c r="G3921" s="396"/>
      <c r="K3921" s="370"/>
      <c r="N3921" s="370"/>
    </row>
    <row r="3922" spans="1:14" s="347" customFormat="1" x14ac:dyDescent="0.25">
      <c r="A3922" s="350">
        <v>44431</v>
      </c>
      <c r="B3922" s="403">
        <f>+MONTH(A3922)</f>
        <v>8</v>
      </c>
      <c r="C3922" s="352">
        <v>115</v>
      </c>
      <c r="D3922" s="340" t="str">
        <f>VLOOKUP(C3922,Plan!A:B,2,0)</f>
        <v>Disponible Cali B.Chile</v>
      </c>
      <c r="E3922" s="341">
        <f>+F3922-G3922</f>
        <v>60000</v>
      </c>
      <c r="F3922" s="353">
        <v>60000</v>
      </c>
      <c r="G3922" s="353">
        <f>+F3923</f>
        <v>0</v>
      </c>
      <c r="H3922" t="s">
        <v>1042</v>
      </c>
      <c r="I3922" s="355" t="s">
        <v>131</v>
      </c>
      <c r="K3922" s="370"/>
      <c r="N3922" s="370"/>
    </row>
    <row r="3923" spans="1:14" s="347" customFormat="1" x14ac:dyDescent="0.25">
      <c r="A3923" s="350">
        <f>+A3922</f>
        <v>44431</v>
      </c>
      <c r="B3923" s="403">
        <f>+MONTH(A3923)</f>
        <v>8</v>
      </c>
      <c r="C3923" s="352">
        <v>1216</v>
      </c>
      <c r="D3923" s="340" t="str">
        <f>VLOOKUP(C3923,Plan!A:B,2,0)</f>
        <v>Otros Valores Recaudadoras</v>
      </c>
      <c r="E3923" s="341">
        <f>+F3923-G3923</f>
        <v>-60000</v>
      </c>
      <c r="F3923" s="353">
        <v>0</v>
      </c>
      <c r="G3923" s="353">
        <f>+F3922</f>
        <v>60000</v>
      </c>
      <c r="H3923" s="354" t="str">
        <f>+H3922</f>
        <v>José Tomás Poblete Jara / 248</v>
      </c>
      <c r="I3923" s="355" t="s">
        <v>131</v>
      </c>
      <c r="K3923" s="370"/>
      <c r="N3923" s="370"/>
    </row>
    <row r="3924" spans="1:14" s="347" customFormat="1" x14ac:dyDescent="0.25">
      <c r="A3924" s="369"/>
      <c r="E3924" s="396"/>
      <c r="F3924" s="396"/>
      <c r="G3924" s="396"/>
      <c r="K3924" s="370"/>
      <c r="N3924" s="370"/>
    </row>
    <row r="3925" spans="1:14" s="347" customFormat="1" x14ac:dyDescent="0.25">
      <c r="A3925" s="350">
        <v>44431</v>
      </c>
      <c r="B3925" s="403">
        <f>+MONTH(A3925)</f>
        <v>8</v>
      </c>
      <c r="C3925" s="352">
        <v>115</v>
      </c>
      <c r="D3925" s="340" t="str">
        <f>VLOOKUP(C3925,Plan!A:B,2,0)</f>
        <v>Disponible Cali B.Chile</v>
      </c>
      <c r="E3925" s="341">
        <f>+F3925-G3925</f>
        <v>5000</v>
      </c>
      <c r="F3925" s="353">
        <v>5000</v>
      </c>
      <c r="G3925" s="353">
        <f>+F3926</f>
        <v>0</v>
      </c>
      <c r="H3925" t="s">
        <v>2007</v>
      </c>
      <c r="I3925" s="355" t="s">
        <v>131</v>
      </c>
      <c r="K3925" s="370"/>
      <c r="N3925" s="370"/>
    </row>
    <row r="3926" spans="1:14" s="347" customFormat="1" x14ac:dyDescent="0.25">
      <c r="A3926" s="350">
        <f>+A3925</f>
        <v>44431</v>
      </c>
      <c r="B3926" s="403">
        <f>+MONTH(A3926)</f>
        <v>8</v>
      </c>
      <c r="C3926" s="352">
        <v>216</v>
      </c>
      <c r="D3926" s="340" t="str">
        <f>VLOOKUP(C3926,Plan!A:B,2,0)</f>
        <v>Cuenta por Pagar a Administración Colectas</v>
      </c>
      <c r="E3926" s="341">
        <f>+F3926-G3926</f>
        <v>-5000</v>
      </c>
      <c r="F3926" s="353">
        <v>0</v>
      </c>
      <c r="G3926" s="353">
        <f>+F3925</f>
        <v>5000</v>
      </c>
      <c r="H3926" s="354" t="str">
        <f>+H3925</f>
        <v>Colecta Carlos Gerardo Anwandter Grallert</v>
      </c>
      <c r="I3926" s="355" t="s">
        <v>131</v>
      </c>
      <c r="K3926" s="370"/>
      <c r="N3926" s="370"/>
    </row>
    <row r="3927" spans="1:14" s="347" customFormat="1" x14ac:dyDescent="0.25">
      <c r="A3927" s="369"/>
      <c r="E3927" s="396"/>
      <c r="F3927" s="396"/>
      <c r="G3927" s="396"/>
      <c r="K3927" s="370"/>
      <c r="N3927" s="370"/>
    </row>
    <row r="3928" spans="1:14" s="347" customFormat="1" x14ac:dyDescent="0.25">
      <c r="A3928" s="350">
        <v>44431</v>
      </c>
      <c r="B3928" s="403">
        <f>+MONTH(A3928)</f>
        <v>8</v>
      </c>
      <c r="C3928" s="352">
        <v>115</v>
      </c>
      <c r="D3928" s="340" t="str">
        <f>VLOOKUP(C3928,Plan!A:B,2,0)</f>
        <v>Disponible Cali B.Chile</v>
      </c>
      <c r="E3928" s="341">
        <f>+F3928-G3928</f>
        <v>150000</v>
      </c>
      <c r="F3928" s="353">
        <v>150000</v>
      </c>
      <c r="G3928" s="353">
        <f>+F3929</f>
        <v>0</v>
      </c>
      <c r="H3928" t="s">
        <v>1021</v>
      </c>
      <c r="I3928" s="355" t="s">
        <v>131</v>
      </c>
      <c r="K3928" s="370"/>
      <c r="N3928" s="370"/>
    </row>
    <row r="3929" spans="1:14" s="347" customFormat="1" x14ac:dyDescent="0.25">
      <c r="A3929" s="350">
        <f>+A3928</f>
        <v>44431</v>
      </c>
      <c r="B3929" s="403">
        <f>+MONTH(A3929)</f>
        <v>8</v>
      </c>
      <c r="C3929" s="352">
        <v>3210</v>
      </c>
      <c r="D3929" s="340" t="str">
        <f>VLOOKUP(C3929,Plan!A:B,2,0)</f>
        <v>Donacion Construccion</v>
      </c>
      <c r="E3929" s="341">
        <f>+F3929-G3929</f>
        <v>-150000</v>
      </c>
      <c r="F3929" s="353">
        <v>0</v>
      </c>
      <c r="G3929" s="353">
        <f>+F3928</f>
        <v>150000</v>
      </c>
      <c r="H3929" s="354" t="str">
        <f>+H3928</f>
        <v>Italo Lubiano Tassara/Azul</v>
      </c>
      <c r="I3929" s="355" t="s">
        <v>131</v>
      </c>
      <c r="K3929" s="370"/>
      <c r="N3929" s="370"/>
    </row>
    <row r="3930" spans="1:14" s="347" customFormat="1" x14ac:dyDescent="0.25">
      <c r="A3930" s="369"/>
      <c r="E3930" s="396"/>
      <c r="F3930" s="396"/>
      <c r="G3930" s="396"/>
      <c r="K3930" s="370"/>
      <c r="N3930" s="370"/>
    </row>
    <row r="3931" spans="1:14" s="347" customFormat="1" x14ac:dyDescent="0.25">
      <c r="A3931" s="350">
        <v>44431</v>
      </c>
      <c r="B3931" s="403">
        <f>+MONTH(A3931)</f>
        <v>8</v>
      </c>
      <c r="C3931" s="352">
        <v>115</v>
      </c>
      <c r="D3931" s="340" t="str">
        <f>VLOOKUP(C3931,Plan!A:B,2,0)</f>
        <v>Disponible Cali B.Chile</v>
      </c>
      <c r="E3931" s="341">
        <f>+F3931-G3931</f>
        <v>30000</v>
      </c>
      <c r="F3931" s="353">
        <v>30000</v>
      </c>
      <c r="G3931" s="353">
        <f>+F3932</f>
        <v>0</v>
      </c>
      <c r="H3931" t="s">
        <v>1032</v>
      </c>
      <c r="I3931" s="355" t="s">
        <v>131</v>
      </c>
      <c r="K3931" s="370"/>
      <c r="N3931" s="370"/>
    </row>
    <row r="3932" spans="1:14" s="347" customFormat="1" x14ac:dyDescent="0.25">
      <c r="A3932" s="350">
        <f>+A3931</f>
        <v>44431</v>
      </c>
      <c r="B3932" s="403">
        <f>+MONTH(A3932)</f>
        <v>8</v>
      </c>
      <c r="C3932" s="352">
        <v>1217</v>
      </c>
      <c r="D3932" s="340" t="str">
        <f>VLOOKUP(C3932,Plan!A:B,2,0)</f>
        <v>Otros Valores -Oficina y Transferencias (248)</v>
      </c>
      <c r="E3932" s="341">
        <f>+F3932-G3932</f>
        <v>-30000</v>
      </c>
      <c r="F3932" s="353">
        <v>0</v>
      </c>
      <c r="G3932" s="353">
        <f>+F3931</f>
        <v>30000</v>
      </c>
      <c r="H3932" s="354" t="str">
        <f>+H3931</f>
        <v>Luis  E. Domínguez / 248</v>
      </c>
      <c r="I3932" s="355" t="s">
        <v>131</v>
      </c>
      <c r="K3932" s="370"/>
      <c r="N3932" s="370"/>
    </row>
    <row r="3933" spans="1:14" s="347" customFormat="1" x14ac:dyDescent="0.25">
      <c r="A3933" s="369"/>
      <c r="E3933" s="396"/>
      <c r="F3933" s="396"/>
      <c r="G3933" s="396"/>
      <c r="K3933" s="370"/>
      <c r="N3933" s="370"/>
    </row>
    <row r="3934" spans="1:14" s="347" customFormat="1" x14ac:dyDescent="0.25">
      <c r="A3934" s="350">
        <v>44431</v>
      </c>
      <c r="B3934" s="403">
        <f>+MONTH(A3934)</f>
        <v>8</v>
      </c>
      <c r="C3934" s="352">
        <v>115</v>
      </c>
      <c r="D3934" s="340" t="str">
        <f>VLOOKUP(C3934,Plan!A:B,2,0)</f>
        <v>Disponible Cali B.Chile</v>
      </c>
      <c r="E3934" s="341">
        <f>+F3934-G3934</f>
        <v>100000</v>
      </c>
      <c r="F3934" s="353">
        <v>100000</v>
      </c>
      <c r="G3934" s="353">
        <f>+F3935</f>
        <v>0</v>
      </c>
      <c r="H3934" t="s">
        <v>1695</v>
      </c>
      <c r="I3934" s="355" t="s">
        <v>131</v>
      </c>
      <c r="K3934" s="370"/>
      <c r="N3934" s="370"/>
    </row>
    <row r="3935" spans="1:14" s="347" customFormat="1" x14ac:dyDescent="0.25">
      <c r="A3935" s="350">
        <f>+A3934</f>
        <v>44431</v>
      </c>
      <c r="B3935" s="403">
        <f>+MONTH(A3935)</f>
        <v>8</v>
      </c>
      <c r="C3935" s="352">
        <v>3210</v>
      </c>
      <c r="D3935" s="340" t="str">
        <f>VLOOKUP(C3935,Plan!A:B,2,0)</f>
        <v>Donacion Construccion</v>
      </c>
      <c r="E3935" s="341">
        <f>+F3935-G3935</f>
        <v>-100000</v>
      </c>
      <c r="F3935" s="353">
        <v>0</v>
      </c>
      <c r="G3935" s="353">
        <f>+F3934</f>
        <v>100000</v>
      </c>
      <c r="H3935" s="354" t="str">
        <f>+H3934</f>
        <v>Ricardo Cruzat Ochagavia / Azul</v>
      </c>
      <c r="I3935" s="355" t="s">
        <v>131</v>
      </c>
      <c r="K3935" s="370"/>
      <c r="N3935" s="370"/>
    </row>
    <row r="3936" spans="1:14" s="347" customFormat="1" x14ac:dyDescent="0.25">
      <c r="A3936" s="369"/>
      <c r="E3936" s="396"/>
      <c r="F3936" s="396"/>
      <c r="G3936" s="396"/>
      <c r="K3936" s="370"/>
      <c r="N3936" s="370"/>
    </row>
    <row r="3937" spans="1:14" s="347" customFormat="1" x14ac:dyDescent="0.25">
      <c r="A3937" s="350">
        <v>44431</v>
      </c>
      <c r="B3937" s="403">
        <f>+MONTH(A3937)</f>
        <v>8</v>
      </c>
      <c r="C3937" s="352">
        <v>115</v>
      </c>
      <c r="D3937" s="340" t="str">
        <f>VLOOKUP(C3937,Plan!A:B,2,0)</f>
        <v>Disponible Cali B.Chile</v>
      </c>
      <c r="E3937" s="341">
        <f>+F3937-G3937</f>
        <v>20000</v>
      </c>
      <c r="F3937" s="353">
        <v>20000</v>
      </c>
      <c r="G3937" s="353">
        <f>+F3938</f>
        <v>0</v>
      </c>
      <c r="H3937" t="s">
        <v>1033</v>
      </c>
      <c r="I3937" s="355" t="s">
        <v>131</v>
      </c>
      <c r="K3937" s="370"/>
      <c r="N3937" s="370"/>
    </row>
    <row r="3938" spans="1:14" s="347" customFormat="1" x14ac:dyDescent="0.25">
      <c r="A3938" s="350">
        <f>+A3937</f>
        <v>44431</v>
      </c>
      <c r="B3938" s="403">
        <f>+MONTH(A3938)</f>
        <v>8</v>
      </c>
      <c r="C3938" s="352">
        <v>1222</v>
      </c>
      <c r="D3938" s="340" t="str">
        <f>VLOOKUP(C3938,Plan!A:B,2,0)</f>
        <v>Otros Valores -Oficina y Transferencias (249)</v>
      </c>
      <c r="E3938" s="341">
        <f>+F3938-G3938</f>
        <v>-20000</v>
      </c>
      <c r="F3938" s="353">
        <v>0</v>
      </c>
      <c r="G3938" s="353">
        <f>+F3937</f>
        <v>20000</v>
      </c>
      <c r="H3938" s="354" t="str">
        <f>+H3937</f>
        <v>Verónica Sapag Puelma / 249</v>
      </c>
      <c r="I3938" s="355" t="s">
        <v>131</v>
      </c>
      <c r="K3938" s="370"/>
      <c r="N3938" s="370"/>
    </row>
    <row r="3939" spans="1:14" s="347" customFormat="1" x14ac:dyDescent="0.25">
      <c r="A3939" s="369"/>
      <c r="E3939" s="396"/>
      <c r="F3939" s="396"/>
      <c r="G3939" s="396"/>
      <c r="K3939" s="370"/>
      <c r="N3939" s="370"/>
    </row>
    <row r="3940" spans="1:14" s="347" customFormat="1" x14ac:dyDescent="0.25">
      <c r="A3940" s="350">
        <v>44431</v>
      </c>
      <c r="B3940" s="403">
        <f>+MONTH(A3940)</f>
        <v>8</v>
      </c>
      <c r="C3940" s="352">
        <v>115</v>
      </c>
      <c r="D3940" s="340" t="str">
        <f>VLOOKUP(C3940,Plan!A:B,2,0)</f>
        <v>Disponible Cali B.Chile</v>
      </c>
      <c r="E3940" s="341">
        <f>+F3940-G3940</f>
        <v>20000</v>
      </c>
      <c r="F3940" s="353">
        <v>20000</v>
      </c>
      <c r="G3940" s="353">
        <f>+F3941</f>
        <v>0</v>
      </c>
      <c r="H3940" t="s">
        <v>1083</v>
      </c>
      <c r="I3940" s="355" t="s">
        <v>131</v>
      </c>
      <c r="K3940" s="370"/>
      <c r="N3940" s="370"/>
    </row>
    <row r="3941" spans="1:14" s="347" customFormat="1" x14ac:dyDescent="0.25">
      <c r="A3941" s="350">
        <f>+A3940</f>
        <v>44431</v>
      </c>
      <c r="B3941" s="403">
        <f>+MONTH(A3941)</f>
        <v>8</v>
      </c>
      <c r="C3941" s="352">
        <v>1222</v>
      </c>
      <c r="D3941" s="340" t="str">
        <f>VLOOKUP(C3941,Plan!A:B,2,0)</f>
        <v>Otros Valores -Oficina y Transferencias (249)</v>
      </c>
      <c r="E3941" s="341">
        <f>+F3941-G3941</f>
        <v>-20000</v>
      </c>
      <c r="F3941" s="353">
        <v>0</v>
      </c>
      <c r="G3941" s="353">
        <f>+F3940</f>
        <v>20000</v>
      </c>
      <c r="H3941" s="354" t="str">
        <f>+H3940</f>
        <v xml:space="preserve">Raúl Strappa Varas / 249 </v>
      </c>
      <c r="I3941" s="355" t="s">
        <v>131</v>
      </c>
      <c r="K3941" s="370"/>
      <c r="N3941" s="370"/>
    </row>
    <row r="3942" spans="1:14" s="347" customFormat="1" x14ac:dyDescent="0.25">
      <c r="A3942" s="369"/>
      <c r="E3942" s="396"/>
      <c r="F3942" s="396"/>
      <c r="G3942" s="396"/>
      <c r="K3942" s="370"/>
      <c r="N3942" s="370"/>
    </row>
    <row r="3943" spans="1:14" s="347" customFormat="1" x14ac:dyDescent="0.25">
      <c r="A3943" s="350">
        <v>44431</v>
      </c>
      <c r="B3943" s="403">
        <f>+MONTH(A3943)</f>
        <v>8</v>
      </c>
      <c r="C3943" s="352">
        <v>115</v>
      </c>
      <c r="D3943" s="340" t="str">
        <f>VLOOKUP(C3943,Plan!A:B,2,0)</f>
        <v>Disponible Cali B.Chile</v>
      </c>
      <c r="E3943" s="341">
        <f>+F3943-G3943</f>
        <v>10000</v>
      </c>
      <c r="F3943" s="353">
        <v>10000</v>
      </c>
      <c r="G3943" s="353">
        <f>+F3944</f>
        <v>0</v>
      </c>
      <c r="H3943" t="s">
        <v>1027</v>
      </c>
      <c r="I3943" s="355" t="s">
        <v>131</v>
      </c>
      <c r="K3943" s="370"/>
      <c r="N3943" s="370"/>
    </row>
    <row r="3944" spans="1:14" s="347" customFormat="1" x14ac:dyDescent="0.25">
      <c r="A3944" s="350">
        <f>+A3943</f>
        <v>44431</v>
      </c>
      <c r="B3944" s="403">
        <f>+MONTH(A3944)</f>
        <v>8</v>
      </c>
      <c r="C3944" s="352">
        <v>1217</v>
      </c>
      <c r="D3944" s="340" t="str">
        <f>VLOOKUP(C3944,Plan!A:B,2,0)</f>
        <v>Otros Valores -Oficina y Transferencias (248)</v>
      </c>
      <c r="E3944" s="341">
        <f>+F3944-G3944</f>
        <v>-10000</v>
      </c>
      <c r="F3944" s="353">
        <v>0</v>
      </c>
      <c r="G3944" s="353">
        <f>+F3943</f>
        <v>10000</v>
      </c>
      <c r="H3944" s="354" t="str">
        <f>+H3943</f>
        <v>GODOY CAMUS CARLOS IGNACIO/248</v>
      </c>
      <c r="I3944" s="355" t="s">
        <v>131</v>
      </c>
      <c r="K3944" s="370"/>
      <c r="N3944" s="370"/>
    </row>
    <row r="3945" spans="1:14" s="347" customFormat="1" x14ac:dyDescent="0.25">
      <c r="A3945" s="369"/>
      <c r="E3945" s="396"/>
      <c r="F3945" s="396"/>
      <c r="G3945" s="396"/>
      <c r="K3945" s="370"/>
      <c r="N3945" s="370"/>
    </row>
    <row r="3946" spans="1:14" s="347" customFormat="1" x14ac:dyDescent="0.25">
      <c r="A3946" s="350">
        <v>44431</v>
      </c>
      <c r="B3946" s="403">
        <f>+MONTH(A3946)</f>
        <v>8</v>
      </c>
      <c r="C3946" s="352">
        <v>115</v>
      </c>
      <c r="D3946" s="340" t="str">
        <f>VLOOKUP(C3946,Plan!A:B,2,0)</f>
        <v>Disponible Cali B.Chile</v>
      </c>
      <c r="E3946" s="341">
        <f>+F3946-G3946</f>
        <v>50000</v>
      </c>
      <c r="F3946" s="353">
        <v>50000</v>
      </c>
      <c r="G3946" s="353">
        <f>+F3947</f>
        <v>0</v>
      </c>
      <c r="H3946" t="s">
        <v>2008</v>
      </c>
      <c r="I3946" s="355" t="s">
        <v>131</v>
      </c>
      <c r="K3946" s="370"/>
      <c r="N3946" s="370"/>
    </row>
    <row r="3947" spans="1:14" s="347" customFormat="1" x14ac:dyDescent="0.25">
      <c r="A3947" s="350">
        <f>+A3946</f>
        <v>44431</v>
      </c>
      <c r="B3947" s="403">
        <f>+MONTH(A3947)</f>
        <v>8</v>
      </c>
      <c r="C3947" s="352">
        <v>3210</v>
      </c>
      <c r="D3947" s="340" t="str">
        <f>VLOOKUP(C3947,Plan!A:B,2,0)</f>
        <v>Donacion Construccion</v>
      </c>
      <c r="E3947" s="341">
        <f>+F3947-G3947</f>
        <v>-50000</v>
      </c>
      <c r="F3947" s="353">
        <v>0</v>
      </c>
      <c r="G3947" s="353">
        <f>+F3946</f>
        <v>50000</v>
      </c>
      <c r="H3947" s="354" t="str">
        <f>+H3946</f>
        <v>Maria Cristina Prieto Larrain / Azul</v>
      </c>
      <c r="I3947" s="355" t="s">
        <v>131</v>
      </c>
      <c r="K3947" s="370"/>
      <c r="N3947" s="370"/>
    </row>
    <row r="3948" spans="1:14" s="347" customFormat="1" x14ac:dyDescent="0.25">
      <c r="A3948" s="369"/>
      <c r="E3948" s="396"/>
      <c r="F3948" s="396"/>
      <c r="G3948" s="396"/>
      <c r="K3948" s="370"/>
      <c r="N3948" s="370"/>
    </row>
    <row r="3949" spans="1:14" s="347" customFormat="1" x14ac:dyDescent="0.25">
      <c r="A3949" s="350">
        <v>44432</v>
      </c>
      <c r="B3949" s="403">
        <f>+MONTH(A3949)</f>
        <v>8</v>
      </c>
      <c r="C3949" s="352">
        <v>115</v>
      </c>
      <c r="D3949" s="340" t="str">
        <f>VLOOKUP(C3949,Plan!A:B,2,0)</f>
        <v>Disponible Cali B.Chile</v>
      </c>
      <c r="E3949" s="341">
        <f>+F3949-G3949</f>
        <v>30000</v>
      </c>
      <c r="F3949" s="353">
        <v>30000</v>
      </c>
      <c r="G3949" s="353">
        <f>+F3950</f>
        <v>0</v>
      </c>
      <c r="H3949" t="s">
        <v>988</v>
      </c>
      <c r="I3949" s="355" t="s">
        <v>131</v>
      </c>
      <c r="K3949" s="370"/>
      <c r="N3949" s="370"/>
    </row>
    <row r="3950" spans="1:14" s="347" customFormat="1" x14ac:dyDescent="0.25">
      <c r="A3950" s="350">
        <f>+A3949</f>
        <v>44432</v>
      </c>
      <c r="B3950" s="403">
        <f>+MONTH(A3950)</f>
        <v>8</v>
      </c>
      <c r="C3950" s="352">
        <v>1222</v>
      </c>
      <c r="D3950" s="340" t="str">
        <f>VLOOKUP(C3950,Plan!A:B,2,0)</f>
        <v>Otros Valores -Oficina y Transferencias (249)</v>
      </c>
      <c r="E3950" s="341">
        <f>+F3950-G3950</f>
        <v>-30000</v>
      </c>
      <c r="F3950" s="353">
        <v>0</v>
      </c>
      <c r="G3950" s="353">
        <f>+F3949</f>
        <v>30000</v>
      </c>
      <c r="H3950" s="354" t="str">
        <f>+H3949</f>
        <v>María Luz Montt Díaz / 249</v>
      </c>
      <c r="I3950" s="355" t="s">
        <v>131</v>
      </c>
      <c r="K3950" s="370"/>
      <c r="N3950" s="370"/>
    </row>
    <row r="3951" spans="1:14" s="347" customFormat="1" x14ac:dyDescent="0.25">
      <c r="A3951" s="369"/>
      <c r="E3951" s="396"/>
      <c r="F3951" s="396"/>
      <c r="G3951" s="396"/>
      <c r="K3951" s="370"/>
      <c r="N3951" s="370"/>
    </row>
    <row r="3952" spans="1:14" s="347" customFormat="1" x14ac:dyDescent="0.25">
      <c r="A3952" s="350">
        <v>44432</v>
      </c>
      <c r="B3952" s="403">
        <f>+MONTH(A3952)</f>
        <v>8</v>
      </c>
      <c r="C3952" s="352">
        <v>115</v>
      </c>
      <c r="D3952" s="340" t="str">
        <f>VLOOKUP(C3952,Plan!A:B,2,0)</f>
        <v>Disponible Cali B.Chile</v>
      </c>
      <c r="E3952" s="341">
        <f>+F3952-G3952</f>
        <v>100000</v>
      </c>
      <c r="F3952" s="353">
        <v>100000</v>
      </c>
      <c r="G3952" s="353">
        <f>+F3953</f>
        <v>0</v>
      </c>
      <c r="H3952" t="s">
        <v>1024</v>
      </c>
      <c r="I3952" s="355" t="s">
        <v>131</v>
      </c>
      <c r="K3952" s="370"/>
      <c r="N3952" s="370"/>
    </row>
    <row r="3953" spans="1:14" s="347" customFormat="1" x14ac:dyDescent="0.25">
      <c r="A3953" s="350">
        <f>+A3952</f>
        <v>44432</v>
      </c>
      <c r="B3953" s="403">
        <f>+MONTH(A3953)</f>
        <v>8</v>
      </c>
      <c r="C3953" s="352">
        <v>1222</v>
      </c>
      <c r="D3953" s="340" t="str">
        <f>VLOOKUP(C3953,Plan!A:B,2,0)</f>
        <v>Otros Valores -Oficina y Transferencias (249)</v>
      </c>
      <c r="E3953" s="341">
        <f>+F3953-G3953</f>
        <v>-100000</v>
      </c>
      <c r="F3953" s="353">
        <v>0</v>
      </c>
      <c r="G3953" s="353">
        <f>+F3952</f>
        <v>100000</v>
      </c>
      <c r="H3953" s="354" t="str">
        <f>+H3952</f>
        <v>Bernardita Mujica Gutierrez  / 249</v>
      </c>
      <c r="I3953" s="355" t="s">
        <v>131</v>
      </c>
      <c r="K3953" s="370"/>
      <c r="N3953" s="370"/>
    </row>
    <row r="3954" spans="1:14" s="347" customFormat="1" x14ac:dyDescent="0.25">
      <c r="A3954" s="369"/>
      <c r="E3954" s="396"/>
      <c r="F3954" s="396"/>
      <c r="G3954" s="396"/>
      <c r="K3954" s="370"/>
      <c r="N3954" s="370"/>
    </row>
    <row r="3955" spans="1:14" s="347" customFormat="1" x14ac:dyDescent="0.25">
      <c r="A3955" s="350">
        <v>44432</v>
      </c>
      <c r="B3955" s="403">
        <f>+MONTH(A3955)</f>
        <v>8</v>
      </c>
      <c r="C3955" s="352">
        <v>115</v>
      </c>
      <c r="D3955" s="340" t="str">
        <f>VLOOKUP(C3955,Plan!A:B,2,0)</f>
        <v>Disponible Cali B.Chile</v>
      </c>
      <c r="E3955" s="341">
        <f>+F3955-G3955</f>
        <v>30000</v>
      </c>
      <c r="F3955" s="353">
        <v>30000</v>
      </c>
      <c r="G3955" s="353">
        <f>+F3956</f>
        <v>0</v>
      </c>
      <c r="H3955" t="s">
        <v>1082</v>
      </c>
      <c r="I3955" s="355" t="s">
        <v>131</v>
      </c>
      <c r="K3955" s="370"/>
      <c r="N3955" s="370"/>
    </row>
    <row r="3956" spans="1:14" s="347" customFormat="1" x14ac:dyDescent="0.25">
      <c r="A3956" s="350">
        <f>+A3955</f>
        <v>44432</v>
      </c>
      <c r="B3956" s="403">
        <f>+MONTH(A3956)</f>
        <v>8</v>
      </c>
      <c r="C3956" s="352">
        <v>1222</v>
      </c>
      <c r="D3956" s="340" t="str">
        <f>VLOOKUP(C3956,Plan!A:B,2,0)</f>
        <v>Otros Valores -Oficina y Transferencias (249)</v>
      </c>
      <c r="E3956" s="341">
        <f>+F3956-G3956</f>
        <v>-30000</v>
      </c>
      <c r="F3956" s="353">
        <v>0</v>
      </c>
      <c r="G3956" s="353">
        <f>+F3955</f>
        <v>30000</v>
      </c>
      <c r="H3956" s="354" t="str">
        <f>+H3955</f>
        <v>Carmen Gloria Ovalle de la Cuadra/ 249</v>
      </c>
      <c r="I3956" s="355" t="s">
        <v>131</v>
      </c>
      <c r="K3956" s="370"/>
      <c r="N3956" s="370"/>
    </row>
    <row r="3957" spans="1:14" s="347" customFormat="1" x14ac:dyDescent="0.25">
      <c r="A3957" s="369"/>
      <c r="E3957" s="396"/>
      <c r="F3957" s="396"/>
      <c r="G3957" s="396"/>
      <c r="K3957" s="370"/>
      <c r="N3957" s="370"/>
    </row>
    <row r="3958" spans="1:14" s="347" customFormat="1" x14ac:dyDescent="0.25">
      <c r="A3958" s="350">
        <v>44433</v>
      </c>
      <c r="B3958" s="403">
        <f>+MONTH(A3958)</f>
        <v>8</v>
      </c>
      <c r="C3958" s="352">
        <v>115</v>
      </c>
      <c r="D3958" s="340" t="str">
        <f>VLOOKUP(C3958,Plan!A:B,2,0)</f>
        <v>Disponible Cali B.Chile</v>
      </c>
      <c r="E3958" s="341">
        <f>+F3958-G3958</f>
        <v>10000</v>
      </c>
      <c r="F3958" s="353">
        <v>10000</v>
      </c>
      <c r="G3958" s="353">
        <f>+F3959</f>
        <v>0</v>
      </c>
      <c r="H3958" t="s">
        <v>1036</v>
      </c>
      <c r="I3958" s="355" t="s">
        <v>131</v>
      </c>
      <c r="K3958" s="370"/>
      <c r="N3958" s="370"/>
    </row>
    <row r="3959" spans="1:14" s="347" customFormat="1" x14ac:dyDescent="0.25">
      <c r="A3959" s="350">
        <f>+A3958</f>
        <v>44433</v>
      </c>
      <c r="B3959" s="403">
        <f>+MONTH(A3959)</f>
        <v>8</v>
      </c>
      <c r="C3959" s="352">
        <v>3210</v>
      </c>
      <c r="D3959" s="340" t="str">
        <f>VLOOKUP(C3959,Plan!A:B,2,0)</f>
        <v>Donacion Construccion</v>
      </c>
      <c r="E3959" s="341">
        <f>+F3959-G3959</f>
        <v>-10000</v>
      </c>
      <c r="F3959" s="353">
        <v>0</v>
      </c>
      <c r="G3959" s="353">
        <f>+F3958</f>
        <v>10000</v>
      </c>
      <c r="H3959" s="354" t="str">
        <f>+H3958</f>
        <v>Francisco Sanhueza /Azul</v>
      </c>
      <c r="I3959" s="355" t="s">
        <v>131</v>
      </c>
      <c r="K3959" s="370"/>
      <c r="N3959" s="370"/>
    </row>
    <row r="3960" spans="1:14" s="347" customFormat="1" x14ac:dyDescent="0.25">
      <c r="A3960" s="369"/>
      <c r="E3960" s="396"/>
      <c r="F3960" s="396"/>
      <c r="G3960" s="396"/>
      <c r="K3960" s="370"/>
      <c r="N3960" s="370"/>
    </row>
    <row r="3961" spans="1:14" s="347" customFormat="1" x14ac:dyDescent="0.25">
      <c r="A3961" s="350">
        <v>44433</v>
      </c>
      <c r="B3961" s="403">
        <f>+MONTH(A3961)</f>
        <v>8</v>
      </c>
      <c r="C3961" s="352">
        <v>115</v>
      </c>
      <c r="D3961" s="340" t="str">
        <f>VLOOKUP(C3961,Plan!A:B,2,0)</f>
        <v>Disponible Cali B.Chile</v>
      </c>
      <c r="E3961" s="341">
        <f>+F3961-G3961</f>
        <v>49404</v>
      </c>
      <c r="F3961" s="353">
        <v>49404</v>
      </c>
      <c r="G3961" s="353">
        <f>+F3962</f>
        <v>0</v>
      </c>
      <c r="H3961" t="s">
        <v>2009</v>
      </c>
      <c r="I3961" s="355" t="s">
        <v>131</v>
      </c>
      <c r="K3961" s="370"/>
      <c r="N3961" s="370"/>
    </row>
    <row r="3962" spans="1:14" s="347" customFormat="1" x14ac:dyDescent="0.25">
      <c r="A3962" s="350">
        <f>+A3961</f>
        <v>44433</v>
      </c>
      <c r="B3962" s="403">
        <f>+MONTH(A3962)</f>
        <v>8</v>
      </c>
      <c r="C3962" s="352">
        <v>3210</v>
      </c>
      <c r="D3962" s="340" t="str">
        <f>VLOOKUP(C3962,Plan!A:B,2,0)</f>
        <v>Donacion Construccion</v>
      </c>
      <c r="E3962" s="341">
        <f>+F3962-G3962</f>
        <v>-49404</v>
      </c>
      <c r="F3962" s="353">
        <v>0</v>
      </c>
      <c r="G3962" s="353">
        <f>+F3961</f>
        <v>49404</v>
      </c>
      <c r="H3962" s="354" t="str">
        <f>+H3961</f>
        <v>Germán Undurraga Ossa / Azul (M$50)</v>
      </c>
      <c r="I3962" s="355" t="s">
        <v>131</v>
      </c>
      <c r="K3962" s="370"/>
      <c r="N3962" s="370"/>
    </row>
    <row r="3963" spans="1:14" s="347" customFormat="1" x14ac:dyDescent="0.25">
      <c r="A3963" s="369"/>
      <c r="E3963" s="396"/>
      <c r="F3963" s="396"/>
      <c r="G3963" s="396"/>
      <c r="K3963" s="370"/>
      <c r="N3963" s="370"/>
    </row>
    <row r="3964" spans="1:14" s="347" customFormat="1" x14ac:dyDescent="0.25">
      <c r="A3964" s="350">
        <v>44434</v>
      </c>
      <c r="B3964" s="403">
        <f>+MONTH(A3964)</f>
        <v>8</v>
      </c>
      <c r="C3964" s="352">
        <v>115</v>
      </c>
      <c r="D3964" s="340" t="str">
        <f>VLOOKUP(C3964,Plan!A:B,2,0)</f>
        <v>Disponible Cali B.Chile</v>
      </c>
      <c r="E3964" s="341">
        <f>+F3964-G3964</f>
        <v>11672239</v>
      </c>
      <c r="F3964" s="353">
        <v>11672239</v>
      </c>
      <c r="G3964" s="353">
        <f>+F3965</f>
        <v>0</v>
      </c>
      <c r="H3964" s="155" t="s">
        <v>2010</v>
      </c>
      <c r="I3964" s="355" t="s">
        <v>131</v>
      </c>
      <c r="K3964" s="370"/>
      <c r="N3964" s="370"/>
    </row>
    <row r="3965" spans="1:14" s="347" customFormat="1" x14ac:dyDescent="0.25">
      <c r="A3965" s="350">
        <f>+A3964</f>
        <v>44434</v>
      </c>
      <c r="B3965" s="403">
        <f>+MONTH(A3965)</f>
        <v>8</v>
      </c>
      <c r="C3965" s="352">
        <v>1218</v>
      </c>
      <c r="D3965" s="340" t="str">
        <f>VLOOKUP(C3965,Plan!A:B,2,0)</f>
        <v>Otros Valores Tarjeta de Credito</v>
      </c>
      <c r="E3965" s="341">
        <f>+F3965-G3965</f>
        <v>-11672239</v>
      </c>
      <c r="F3965" s="353">
        <v>0</v>
      </c>
      <c r="G3965" s="353">
        <f>+F3964</f>
        <v>11672239</v>
      </c>
      <c r="H3965" s="354" t="str">
        <f>+H3964</f>
        <v>248 y 249 agosto 2021</v>
      </c>
      <c r="I3965" s="355" t="s">
        <v>131</v>
      </c>
      <c r="K3965" s="370"/>
      <c r="N3965" s="370"/>
    </row>
    <row r="3966" spans="1:14" s="347" customFormat="1" x14ac:dyDescent="0.25">
      <c r="A3966" s="369"/>
      <c r="E3966" s="396"/>
      <c r="F3966" s="396"/>
      <c r="G3966" s="396"/>
      <c r="K3966" s="370"/>
      <c r="N3966" s="370"/>
    </row>
    <row r="3967" spans="1:14" s="347" customFormat="1" x14ac:dyDescent="0.25">
      <c r="A3967" s="350">
        <v>44434</v>
      </c>
      <c r="B3967" s="403">
        <f>+MONTH(A3967)</f>
        <v>8</v>
      </c>
      <c r="C3967" s="352">
        <v>115</v>
      </c>
      <c r="D3967" s="340" t="str">
        <f>VLOOKUP(C3967,Plan!A:B,2,0)</f>
        <v>Disponible Cali B.Chile</v>
      </c>
      <c r="E3967" s="341">
        <f>+F3967-G3967</f>
        <v>1327685</v>
      </c>
      <c r="F3967" s="353">
        <v>1327685</v>
      </c>
      <c r="G3967" s="353">
        <f>+F3968</f>
        <v>0</v>
      </c>
      <c r="H3967" t="s">
        <v>2011</v>
      </c>
      <c r="I3967" s="355" t="s">
        <v>131</v>
      </c>
      <c r="K3967" s="370"/>
      <c r="N3967" s="370"/>
    </row>
    <row r="3968" spans="1:14" s="347" customFormat="1" x14ac:dyDescent="0.25">
      <c r="A3968" s="350">
        <f>+A3967</f>
        <v>44434</v>
      </c>
      <c r="B3968" s="403">
        <f>+MONTH(A3968)</f>
        <v>8</v>
      </c>
      <c r="C3968" s="352">
        <v>3210</v>
      </c>
      <c r="D3968" s="340" t="str">
        <f>VLOOKUP(C3968,Plan!A:B,2,0)</f>
        <v>Donacion Construccion</v>
      </c>
      <c r="E3968" s="341">
        <f>+F3968-G3968</f>
        <v>-1327685</v>
      </c>
      <c r="F3968" s="353">
        <v>0</v>
      </c>
      <c r="G3968" s="353">
        <f>+F3967</f>
        <v>1327685</v>
      </c>
      <c r="H3968" s="354" t="str">
        <f>+H3967</f>
        <v>T/C Azules Agosto 2021</v>
      </c>
      <c r="I3968" s="355" t="s">
        <v>131</v>
      </c>
      <c r="K3968" s="370"/>
      <c r="N3968" s="370"/>
    </row>
    <row r="3969" spans="1:14" s="347" customFormat="1" x14ac:dyDescent="0.25">
      <c r="A3969" s="369"/>
      <c r="E3969" s="396"/>
      <c r="F3969" s="396"/>
      <c r="G3969" s="396"/>
      <c r="K3969" s="370"/>
      <c r="N3969" s="370"/>
    </row>
    <row r="3970" spans="1:14" s="347" customFormat="1" x14ac:dyDescent="0.25">
      <c r="A3970" s="350">
        <v>44434</v>
      </c>
      <c r="B3970" s="403">
        <f>+MONTH(A3970)</f>
        <v>8</v>
      </c>
      <c r="C3970" s="352">
        <v>115</v>
      </c>
      <c r="D3970" s="340" t="str">
        <f>VLOOKUP(C3970,Plan!A:B,2,0)</f>
        <v>Disponible Cali B.Chile</v>
      </c>
      <c r="E3970" s="341">
        <f>+F3970-G3970</f>
        <v>65000</v>
      </c>
      <c r="F3970" s="353">
        <v>65000</v>
      </c>
      <c r="G3970" s="353">
        <f>+F3971</f>
        <v>0</v>
      </c>
      <c r="H3970" t="s">
        <v>550</v>
      </c>
      <c r="I3970" s="355" t="s">
        <v>131</v>
      </c>
      <c r="K3970" s="370"/>
      <c r="N3970" s="370"/>
    </row>
    <row r="3971" spans="1:14" s="347" customFormat="1" x14ac:dyDescent="0.25">
      <c r="A3971" s="350">
        <f>+A3970</f>
        <v>44434</v>
      </c>
      <c r="B3971" s="403">
        <f>+MONTH(A3971)</f>
        <v>8</v>
      </c>
      <c r="C3971" s="352">
        <v>1217</v>
      </c>
      <c r="D3971" s="340" t="str">
        <f>VLOOKUP(C3971,Plan!A:B,2,0)</f>
        <v>Otros Valores -Oficina y Transferencias (248)</v>
      </c>
      <c r="E3971" s="341">
        <f>+F3971-G3971</f>
        <v>-65000</v>
      </c>
      <c r="F3971" s="353">
        <v>0</v>
      </c>
      <c r="G3971" s="353">
        <f>+F3970</f>
        <v>65000</v>
      </c>
      <c r="H3971" s="354" t="str">
        <f>+H3970</f>
        <v>Leonardo Robles / 248</v>
      </c>
      <c r="I3971" s="355" t="s">
        <v>131</v>
      </c>
      <c r="K3971" s="370"/>
      <c r="N3971" s="370"/>
    </row>
    <row r="3972" spans="1:14" s="347" customFormat="1" x14ac:dyDescent="0.25">
      <c r="A3972" s="369"/>
      <c r="E3972" s="396"/>
      <c r="F3972" s="396"/>
      <c r="G3972" s="396"/>
      <c r="K3972" s="370"/>
      <c r="N3972" s="370"/>
    </row>
    <row r="3973" spans="1:14" s="347" customFormat="1" x14ac:dyDescent="0.25">
      <c r="A3973" s="350">
        <v>44434</v>
      </c>
      <c r="B3973" s="403">
        <f>+MONTH(A3973)</f>
        <v>8</v>
      </c>
      <c r="C3973" s="352">
        <v>115</v>
      </c>
      <c r="D3973" s="340" t="str">
        <f>VLOOKUP(C3973,Plan!A:B,2,0)</f>
        <v>Disponible Cali B.Chile</v>
      </c>
      <c r="E3973" s="341">
        <f>+F3973-G3973</f>
        <v>5000</v>
      </c>
      <c r="F3973" s="353">
        <v>5000</v>
      </c>
      <c r="G3973" s="353">
        <f>+F3974</f>
        <v>0</v>
      </c>
      <c r="H3973" t="s">
        <v>1719</v>
      </c>
      <c r="I3973" s="355" t="s">
        <v>131</v>
      </c>
      <c r="K3973" s="370"/>
      <c r="N3973" s="370"/>
    </row>
    <row r="3974" spans="1:14" s="347" customFormat="1" x14ac:dyDescent="0.25">
      <c r="A3974" s="350">
        <f>+A3973</f>
        <v>44434</v>
      </c>
      <c r="B3974" s="403">
        <f>+MONTH(A3974)</f>
        <v>8</v>
      </c>
      <c r="C3974" s="352">
        <v>1222</v>
      </c>
      <c r="D3974" s="340" t="str">
        <f>VLOOKUP(C3974,Plan!A:B,2,0)</f>
        <v>Otros Valores -Oficina y Transferencias (249)</v>
      </c>
      <c r="E3974" s="341">
        <f>+F3974-G3974</f>
        <v>-5000</v>
      </c>
      <c r="F3974" s="353">
        <v>0</v>
      </c>
      <c r="G3974" s="353">
        <f>+F3973</f>
        <v>5000</v>
      </c>
      <c r="H3974" s="354" t="str">
        <f>+H3973</f>
        <v>María Angélica Pérez-Villamil /249</v>
      </c>
      <c r="I3974" s="355" t="s">
        <v>131</v>
      </c>
      <c r="K3974" s="370"/>
      <c r="N3974" s="370"/>
    </row>
    <row r="3975" spans="1:14" s="347" customFormat="1" x14ac:dyDescent="0.25">
      <c r="A3975" s="369"/>
      <c r="E3975" s="396"/>
      <c r="F3975" s="396"/>
      <c r="G3975" s="396"/>
      <c r="K3975" s="370"/>
      <c r="N3975" s="370"/>
    </row>
    <row r="3976" spans="1:14" s="347" customFormat="1" x14ac:dyDescent="0.25">
      <c r="A3976" s="350">
        <v>44435</v>
      </c>
      <c r="B3976" s="403">
        <f>+MONTH(A3976)</f>
        <v>8</v>
      </c>
      <c r="C3976" s="352">
        <v>115</v>
      </c>
      <c r="D3976" s="340" t="str">
        <f>VLOOKUP(C3976,Plan!A:B,2,0)</f>
        <v>Disponible Cali B.Chile</v>
      </c>
      <c r="E3976" s="341">
        <f>+F3976-G3976</f>
        <v>2267294</v>
      </c>
      <c r="F3976" s="353">
        <v>2267294</v>
      </c>
      <c r="G3976" s="353">
        <f>+F3977</f>
        <v>0</v>
      </c>
      <c r="H3976" t="s">
        <v>2012</v>
      </c>
      <c r="I3976" s="355" t="s">
        <v>131</v>
      </c>
      <c r="K3976" s="370"/>
      <c r="N3976" s="370"/>
    </row>
    <row r="3977" spans="1:14" s="347" customFormat="1" x14ac:dyDescent="0.25">
      <c r="A3977" s="350">
        <f>+A3976</f>
        <v>44435</v>
      </c>
      <c r="B3977" s="403">
        <f>+MONTH(A3977)</f>
        <v>8</v>
      </c>
      <c r="C3977" s="352">
        <v>1219</v>
      </c>
      <c r="D3977" s="340" t="str">
        <f>VLOOKUP(C3977,Plan!A:B,2,0)</f>
        <v>Otros Valores Arzobispado (248)</v>
      </c>
      <c r="E3977" s="341">
        <f>+F3977-G3977</f>
        <v>-2267294</v>
      </c>
      <c r="F3977" s="353">
        <v>0</v>
      </c>
      <c r="G3977" s="353">
        <f>+F3976</f>
        <v>2267294</v>
      </c>
      <c r="H3977" s="354" t="str">
        <f>+H3976</f>
        <v>Arzobispado de Stgo Julio / 248</v>
      </c>
      <c r="I3977" s="355" t="s">
        <v>131</v>
      </c>
      <c r="K3977" s="370"/>
      <c r="N3977" s="370"/>
    </row>
    <row r="3978" spans="1:14" s="347" customFormat="1" x14ac:dyDescent="0.25">
      <c r="A3978" s="369"/>
      <c r="E3978" s="396"/>
      <c r="F3978" s="396"/>
      <c r="G3978" s="396"/>
      <c r="K3978" s="370"/>
      <c r="N3978" s="370"/>
    </row>
    <row r="3979" spans="1:14" s="347" customFormat="1" x14ac:dyDescent="0.25">
      <c r="A3979" s="350">
        <v>44435</v>
      </c>
      <c r="B3979" s="403">
        <f>+MONTH(A3979)</f>
        <v>8</v>
      </c>
      <c r="C3979" s="352">
        <v>115</v>
      </c>
      <c r="D3979" s="340" t="str">
        <f>VLOOKUP(C3979,Plan!A:B,2,0)</f>
        <v>Disponible Cali B.Chile</v>
      </c>
      <c r="E3979" s="341">
        <f>+F3979-G3979</f>
        <v>1906358</v>
      </c>
      <c r="F3979" s="353">
        <v>1906358</v>
      </c>
      <c r="G3979" s="353">
        <f>+F3980</f>
        <v>0</v>
      </c>
      <c r="H3979" t="s">
        <v>2013</v>
      </c>
      <c r="I3979" s="355" t="s">
        <v>131</v>
      </c>
      <c r="K3979" s="370"/>
      <c r="N3979" s="370"/>
    </row>
    <row r="3980" spans="1:14" s="347" customFormat="1" x14ac:dyDescent="0.25">
      <c r="A3980" s="350">
        <f>+A3979</f>
        <v>44435</v>
      </c>
      <c r="B3980" s="403">
        <f>+MONTH(A3980)</f>
        <v>8</v>
      </c>
      <c r="C3980" s="352">
        <v>1220</v>
      </c>
      <c r="D3980" s="340" t="str">
        <f>VLOOKUP(C3980,Plan!A:B,2,0)</f>
        <v>Otros Valores Arzobispado (249)</v>
      </c>
      <c r="E3980" s="341">
        <f>+F3980-G3980</f>
        <v>-1906358</v>
      </c>
      <c r="F3980" s="353">
        <v>0</v>
      </c>
      <c r="G3980" s="353">
        <f>+F3979</f>
        <v>1906358</v>
      </c>
      <c r="H3980" s="354" t="str">
        <f>+H3979</f>
        <v>Arzobispado de Stgo Julio / 249</v>
      </c>
      <c r="I3980" s="355" t="s">
        <v>131</v>
      </c>
      <c r="K3980" s="370"/>
      <c r="N3980" s="370"/>
    </row>
    <row r="3981" spans="1:14" s="347" customFormat="1" x14ac:dyDescent="0.25">
      <c r="A3981" s="369"/>
      <c r="E3981" s="396"/>
      <c r="F3981" s="396"/>
      <c r="G3981" s="396"/>
      <c r="K3981" s="370"/>
      <c r="N3981" s="370"/>
    </row>
    <row r="3982" spans="1:14" s="347" customFormat="1" x14ac:dyDescent="0.25">
      <c r="A3982" s="350">
        <v>44438</v>
      </c>
      <c r="B3982" s="403">
        <f>+MONTH(A3982)</f>
        <v>8</v>
      </c>
      <c r="C3982" s="352">
        <v>141</v>
      </c>
      <c r="D3982" s="340" t="str">
        <f>VLOOKUP(C3982,Plan!A:B,2,0)</f>
        <v>Cuentas por Cobrar a Administración</v>
      </c>
      <c r="E3982" s="341">
        <f>+F3982-G3982</f>
        <v>3000000</v>
      </c>
      <c r="F3982" s="353">
        <v>3000000</v>
      </c>
      <c r="G3982" s="353">
        <f>+F3983</f>
        <v>0</v>
      </c>
      <c r="H3982" s="469" t="s">
        <v>1397</v>
      </c>
      <c r="I3982" s="355" t="s">
        <v>131</v>
      </c>
      <c r="K3982" s="370"/>
      <c r="N3982" s="370"/>
    </row>
    <row r="3983" spans="1:14" s="347" customFormat="1" x14ac:dyDescent="0.25">
      <c r="A3983" s="350">
        <f>+A3982</f>
        <v>44438</v>
      </c>
      <c r="B3983" s="403">
        <f>+MONTH(A3983)</f>
        <v>8</v>
      </c>
      <c r="C3983" s="352">
        <v>115</v>
      </c>
      <c r="D3983" s="340" t="str">
        <f>VLOOKUP(C3983,Plan!A:B,2,0)</f>
        <v>Disponible Cali B.Chile</v>
      </c>
      <c r="E3983" s="341">
        <f>+F3983-G3983</f>
        <v>-3000000</v>
      </c>
      <c r="F3983" s="353">
        <v>0</v>
      </c>
      <c r="G3983" s="353">
        <f>+F3982</f>
        <v>3000000</v>
      </c>
      <c r="H3983" s="354" t="str">
        <f>+H3982</f>
        <v>Traspaso Cta. CALI a Adm</v>
      </c>
      <c r="I3983" s="355" t="s">
        <v>131</v>
      </c>
      <c r="K3983" s="370"/>
      <c r="N3983" s="370"/>
    </row>
    <row r="3984" spans="1:14" s="347" customFormat="1" x14ac:dyDescent="0.25">
      <c r="A3984" s="369"/>
      <c r="E3984" s="396"/>
      <c r="F3984" s="396"/>
      <c r="G3984" s="396"/>
      <c r="K3984" s="370"/>
      <c r="N3984" s="370"/>
    </row>
    <row r="3985" spans="1:14" s="347" customFormat="1" x14ac:dyDescent="0.25">
      <c r="A3985" s="350">
        <v>44438</v>
      </c>
      <c r="B3985" s="403">
        <f>+MONTH(A3985)</f>
        <v>8</v>
      </c>
      <c r="C3985" s="352">
        <v>115</v>
      </c>
      <c r="D3985" s="340" t="str">
        <f>VLOOKUP(C3985,Plan!A:B,2,0)</f>
        <v>Disponible Cali B.Chile</v>
      </c>
      <c r="E3985" s="341">
        <f>+F3985-G3985</f>
        <v>50000</v>
      </c>
      <c r="F3985" s="353">
        <v>50000</v>
      </c>
      <c r="G3985" s="353">
        <f>+F3986</f>
        <v>0</v>
      </c>
      <c r="H3985" s="469" t="s">
        <v>787</v>
      </c>
      <c r="I3985" s="355" t="s">
        <v>131</v>
      </c>
      <c r="K3985" s="370"/>
      <c r="N3985" s="370"/>
    </row>
    <row r="3986" spans="1:14" s="347" customFormat="1" x14ac:dyDescent="0.25">
      <c r="A3986" s="350">
        <f>+A3985</f>
        <v>44438</v>
      </c>
      <c r="B3986" s="403">
        <f>+MONTH(A3986)</f>
        <v>8</v>
      </c>
      <c r="C3986" s="352">
        <v>1222</v>
      </c>
      <c r="D3986" s="340" t="str">
        <f>VLOOKUP(C3986,Plan!A:B,2,0)</f>
        <v>Otros Valores -Oficina y Transferencias (249)</v>
      </c>
      <c r="E3986" s="341">
        <f>+F3986-G3986</f>
        <v>-50000</v>
      </c>
      <c r="F3986" s="353">
        <v>0</v>
      </c>
      <c r="G3986" s="353">
        <f>+F3985</f>
        <v>50000</v>
      </c>
      <c r="H3986" s="354" t="str">
        <f>+H3985</f>
        <v>Juan Pablo Ríos Ross / 249</v>
      </c>
      <c r="I3986" s="355" t="s">
        <v>131</v>
      </c>
      <c r="K3986" s="370"/>
      <c r="N3986" s="370"/>
    </row>
    <row r="3987" spans="1:14" s="347" customFormat="1" x14ac:dyDescent="0.25">
      <c r="A3987" s="369"/>
      <c r="E3987" s="396"/>
      <c r="F3987" s="396"/>
      <c r="G3987" s="396"/>
      <c r="K3987" s="370"/>
      <c r="N3987" s="370"/>
    </row>
    <row r="3988" spans="1:14" s="347" customFormat="1" x14ac:dyDescent="0.25">
      <c r="A3988" s="350">
        <v>44438</v>
      </c>
      <c r="B3988" s="403">
        <f>+MONTH(A3988)</f>
        <v>8</v>
      </c>
      <c r="C3988" s="352">
        <v>115</v>
      </c>
      <c r="D3988" s="340" t="str">
        <f>VLOOKUP(C3988,Plan!A:B,2,0)</f>
        <v>Disponible Cali B.Chile</v>
      </c>
      <c r="E3988" s="341">
        <f>+F3988-G3988</f>
        <v>20000</v>
      </c>
      <c r="F3988" s="353">
        <v>20000</v>
      </c>
      <c r="G3988" s="353">
        <f>+F3989</f>
        <v>0</v>
      </c>
      <c r="H3988" s="469" t="s">
        <v>1046</v>
      </c>
      <c r="I3988" s="355" t="s">
        <v>131</v>
      </c>
      <c r="J3988" s="396"/>
      <c r="K3988"/>
      <c r="L3988" s="264"/>
      <c r="N3988" s="370"/>
    </row>
    <row r="3989" spans="1:14" s="347" customFormat="1" x14ac:dyDescent="0.25">
      <c r="A3989" s="350">
        <f>+A3988</f>
        <v>44438</v>
      </c>
      <c r="B3989" s="403">
        <f>+MONTH(A3989)</f>
        <v>8</v>
      </c>
      <c r="C3989" s="352">
        <v>216</v>
      </c>
      <c r="D3989" s="340" t="str">
        <f>VLOOKUP(C3989,Plan!A:B,2,0)</f>
        <v>Cuenta por Pagar a Administración Colectas</v>
      </c>
      <c r="E3989" s="341">
        <f>+F3989-G3989</f>
        <v>-20000</v>
      </c>
      <c r="F3989" s="353">
        <v>0</v>
      </c>
      <c r="G3989" s="353">
        <f>+F3988</f>
        <v>20000</v>
      </c>
      <c r="H3989" s="354" t="str">
        <f>+H3988</f>
        <v>Colecta Jorge Claude</v>
      </c>
      <c r="I3989" s="355" t="s">
        <v>131</v>
      </c>
      <c r="J3989" s="396"/>
      <c r="K3989"/>
      <c r="L3989" s="264"/>
      <c r="N3989" s="370"/>
    </row>
    <row r="3990" spans="1:14" s="347" customFormat="1" x14ac:dyDescent="0.25">
      <c r="A3990" s="369"/>
      <c r="E3990" s="396"/>
      <c r="F3990" s="396"/>
      <c r="G3990" s="396"/>
      <c r="J3990" s="396"/>
      <c r="K3990"/>
      <c r="L3990" s="380"/>
      <c r="N3990" s="370"/>
    </row>
    <row r="3991" spans="1:14" s="347" customFormat="1" x14ac:dyDescent="0.25">
      <c r="A3991" s="350">
        <v>44438</v>
      </c>
      <c r="B3991" s="403">
        <f>+MONTH(A3991)</f>
        <v>8</v>
      </c>
      <c r="C3991" s="352">
        <v>115</v>
      </c>
      <c r="D3991" s="340" t="str">
        <f>VLOOKUP(C3991,Plan!A:B,2,0)</f>
        <v>Disponible Cali B.Chile</v>
      </c>
      <c r="E3991" s="341">
        <f>+F3991-G3991</f>
        <v>10000</v>
      </c>
      <c r="F3991" s="353">
        <v>10000</v>
      </c>
      <c r="G3991" s="353">
        <f>+F3992</f>
        <v>0</v>
      </c>
      <c r="H3991" t="s">
        <v>1045</v>
      </c>
      <c r="I3991" s="355" t="s">
        <v>131</v>
      </c>
      <c r="J3991" s="396"/>
      <c r="K3991"/>
      <c r="L3991" s="264"/>
      <c r="N3991" s="370"/>
    </row>
    <row r="3992" spans="1:14" s="347" customFormat="1" x14ac:dyDescent="0.25">
      <c r="A3992" s="350">
        <f>+A3991</f>
        <v>44438</v>
      </c>
      <c r="B3992" s="403">
        <f>+MONTH(A3992)</f>
        <v>8</v>
      </c>
      <c r="C3992" s="352">
        <v>1222</v>
      </c>
      <c r="D3992" s="340" t="str">
        <f>VLOOKUP(C3992,Plan!A:B,2,0)</f>
        <v>Otros Valores -Oficina y Transferencias (249)</v>
      </c>
      <c r="E3992" s="341">
        <f>+F3992-G3992</f>
        <v>-10000</v>
      </c>
      <c r="F3992" s="353">
        <v>0</v>
      </c>
      <c r="G3992" s="353">
        <f>+F3991</f>
        <v>10000</v>
      </c>
      <c r="H3992" s="354" t="str">
        <f>+H3991</f>
        <v>Isabel Margarita Guarda Larrañaga/249</v>
      </c>
      <c r="I3992" s="355" t="s">
        <v>131</v>
      </c>
      <c r="J3992" s="396"/>
      <c r="K3992"/>
      <c r="L3992" s="264"/>
      <c r="N3992" s="370"/>
    </row>
    <row r="3993" spans="1:14" s="347" customFormat="1" x14ac:dyDescent="0.25">
      <c r="A3993" s="369"/>
      <c r="E3993" s="396"/>
      <c r="F3993" s="396"/>
      <c r="G3993" s="396"/>
      <c r="J3993" s="396"/>
      <c r="K3993"/>
      <c r="L3993" s="264"/>
      <c r="N3993" s="370"/>
    </row>
    <row r="3994" spans="1:14" s="347" customFormat="1" x14ac:dyDescent="0.25">
      <c r="A3994" s="350">
        <v>44438</v>
      </c>
      <c r="B3994" s="403">
        <f>+MONTH(A3994)</f>
        <v>8</v>
      </c>
      <c r="C3994" s="352">
        <v>115</v>
      </c>
      <c r="D3994" s="340" t="str">
        <f>VLOOKUP(C3994,Plan!A:B,2,0)</f>
        <v>Disponible Cali B.Chile</v>
      </c>
      <c r="E3994" s="341">
        <f>+F3994-G3994</f>
        <v>125000</v>
      </c>
      <c r="F3994" s="353">
        <v>125000</v>
      </c>
      <c r="G3994" s="353">
        <f>+F3995</f>
        <v>0</v>
      </c>
      <c r="H3994" t="s">
        <v>967</v>
      </c>
      <c r="I3994" s="355" t="s">
        <v>131</v>
      </c>
      <c r="J3994" s="396"/>
      <c r="K3994"/>
      <c r="L3994" s="380"/>
      <c r="N3994" s="370"/>
    </row>
    <row r="3995" spans="1:14" s="347" customFormat="1" x14ac:dyDescent="0.25">
      <c r="A3995" s="350">
        <f>+A3994</f>
        <v>44438</v>
      </c>
      <c r="B3995" s="403">
        <f>+MONTH(A3995)</f>
        <v>8</v>
      </c>
      <c r="C3995" s="352">
        <v>3210</v>
      </c>
      <c r="D3995" s="340" t="str">
        <f>VLOOKUP(C3995,Plan!A:B,2,0)</f>
        <v>Donacion Construccion</v>
      </c>
      <c r="E3995" s="341">
        <f>+F3995-G3995</f>
        <v>-125000</v>
      </c>
      <c r="F3995" s="353">
        <v>0</v>
      </c>
      <c r="G3995" s="353">
        <f>+F3994</f>
        <v>125000</v>
      </c>
      <c r="H3995" s="354" t="str">
        <f>+H3994</f>
        <v>Henry Comber Sigall / Azul</v>
      </c>
      <c r="I3995" s="355" t="s">
        <v>131</v>
      </c>
      <c r="J3995" s="396"/>
      <c r="K3995"/>
      <c r="L3995" s="264"/>
      <c r="N3995" s="370"/>
    </row>
    <row r="3996" spans="1:14" s="347" customFormat="1" x14ac:dyDescent="0.25">
      <c r="A3996" s="369"/>
      <c r="E3996" s="396"/>
      <c r="F3996" s="396"/>
      <c r="G3996" s="396"/>
      <c r="J3996" s="396"/>
      <c r="K3996"/>
      <c r="L3996" s="264"/>
      <c r="N3996" s="370"/>
    </row>
    <row r="3997" spans="1:14" s="347" customFormat="1" x14ac:dyDescent="0.25">
      <c r="A3997" s="350">
        <v>44438</v>
      </c>
      <c r="B3997" s="403">
        <f>+MONTH(A3997)</f>
        <v>8</v>
      </c>
      <c r="C3997" s="352">
        <v>115</v>
      </c>
      <c r="D3997" s="340" t="str">
        <f>VLOOKUP(C3997,Plan!A:B,2,0)</f>
        <v>Disponible Cali B.Chile</v>
      </c>
      <c r="E3997" s="341">
        <f>+F3997-G3997</f>
        <v>60000</v>
      </c>
      <c r="F3997" s="353">
        <v>60000</v>
      </c>
      <c r="G3997" s="353">
        <f>+F3998</f>
        <v>0</v>
      </c>
      <c r="H3997" t="s">
        <v>1047</v>
      </c>
      <c r="I3997" s="355" t="s">
        <v>131</v>
      </c>
      <c r="J3997" s="396"/>
      <c r="K3997"/>
      <c r="L3997" s="264"/>
      <c r="N3997" s="370"/>
    </row>
    <row r="3998" spans="1:14" s="347" customFormat="1" x14ac:dyDescent="0.25">
      <c r="A3998" s="350">
        <f>+A3997</f>
        <v>44438</v>
      </c>
      <c r="B3998" s="403">
        <f>+MONTH(A3998)</f>
        <v>8</v>
      </c>
      <c r="C3998" s="352">
        <v>1222</v>
      </c>
      <c r="D3998" s="340" t="str">
        <f>VLOOKUP(C3998,Plan!A:B,2,0)</f>
        <v>Otros Valores -Oficina y Transferencias (249)</v>
      </c>
      <c r="E3998" s="341">
        <f>+F3998-G3998</f>
        <v>-60000</v>
      </c>
      <c r="F3998" s="353">
        <v>0</v>
      </c>
      <c r="G3998" s="353">
        <f>+F3997</f>
        <v>60000</v>
      </c>
      <c r="H3998" s="354" t="str">
        <f>+H3997</f>
        <v>Carlos Lecaros Price / 249</v>
      </c>
      <c r="I3998" s="355" t="s">
        <v>131</v>
      </c>
      <c r="J3998" s="396"/>
      <c r="K3998"/>
      <c r="L3998" s="264"/>
      <c r="N3998" s="370"/>
    </row>
    <row r="3999" spans="1:14" s="347" customFormat="1" x14ac:dyDescent="0.25">
      <c r="J3999" s="396"/>
      <c r="K3999"/>
      <c r="L3999" s="264"/>
      <c r="N3999" s="370"/>
    </row>
    <row r="4000" spans="1:14" s="347" customFormat="1" x14ac:dyDescent="0.25">
      <c r="A4000" s="350">
        <v>44438</v>
      </c>
      <c r="B4000" s="403">
        <f>+MONTH(A4000)</f>
        <v>8</v>
      </c>
      <c r="C4000" s="352">
        <v>115</v>
      </c>
      <c r="D4000" s="340" t="str">
        <f>VLOOKUP(C4000,Plan!A:B,2,0)</f>
        <v>Disponible Cali B.Chile</v>
      </c>
      <c r="E4000" s="341">
        <f>+F4000-G4000</f>
        <v>1500</v>
      </c>
      <c r="F4000" s="353">
        <v>1500</v>
      </c>
      <c r="G4000" s="353">
        <f>+F4001</f>
        <v>0</v>
      </c>
      <c r="H4000" t="s">
        <v>1010</v>
      </c>
      <c r="I4000" s="355" t="s">
        <v>131</v>
      </c>
      <c r="J4000" s="396"/>
      <c r="K4000"/>
      <c r="L4000" s="264"/>
      <c r="N4000" s="370"/>
    </row>
    <row r="4001" spans="1:14" s="347" customFormat="1" x14ac:dyDescent="0.25">
      <c r="A4001" s="350">
        <f>+A4000</f>
        <v>44438</v>
      </c>
      <c r="B4001" s="403">
        <f>+MONTH(A4001)</f>
        <v>8</v>
      </c>
      <c r="C4001" s="352">
        <v>216</v>
      </c>
      <c r="D4001" s="340" t="str">
        <f>VLOOKUP(C4001,Plan!A:B,2,0)</f>
        <v>Cuenta por Pagar a Administración Colectas</v>
      </c>
      <c r="E4001" s="341">
        <f>+F4001-G4001</f>
        <v>-1500</v>
      </c>
      <c r="F4001" s="353">
        <v>0</v>
      </c>
      <c r="G4001" s="353">
        <f>+F4000</f>
        <v>1500</v>
      </c>
      <c r="H4001" s="354" t="str">
        <f>+H4000</f>
        <v>Colecta Raimundo Barros</v>
      </c>
      <c r="I4001" s="355" t="s">
        <v>131</v>
      </c>
      <c r="J4001" s="396"/>
      <c r="K4001"/>
      <c r="L4001" s="264"/>
      <c r="N4001" s="370"/>
    </row>
    <row r="4002" spans="1:14" s="347" customFormat="1" x14ac:dyDescent="0.25">
      <c r="A4002" s="369"/>
      <c r="E4002" s="396"/>
      <c r="F4002" s="396"/>
      <c r="G4002" s="396"/>
      <c r="J4002" s="396"/>
      <c r="K4002"/>
      <c r="L4002" s="380"/>
      <c r="N4002" s="370"/>
    </row>
    <row r="4003" spans="1:14" s="347" customFormat="1" x14ac:dyDescent="0.25">
      <c r="A4003" s="350">
        <v>44438</v>
      </c>
      <c r="B4003" s="403">
        <f>+MONTH(A4003)</f>
        <v>8</v>
      </c>
      <c r="C4003" s="352">
        <v>115</v>
      </c>
      <c r="D4003" s="340" t="str">
        <f>VLOOKUP(C4003,Plan!A:B,2,0)</f>
        <v>Disponible Cali B.Chile</v>
      </c>
      <c r="E4003" s="341">
        <f>+F4003-G4003</f>
        <v>30000</v>
      </c>
      <c r="F4003" s="353">
        <v>30000</v>
      </c>
      <c r="G4003" s="353">
        <f>+F4004</f>
        <v>0</v>
      </c>
      <c r="H4003" t="s">
        <v>1876</v>
      </c>
      <c r="I4003" s="355" t="s">
        <v>131</v>
      </c>
      <c r="J4003" s="396"/>
      <c r="K4003"/>
      <c r="L4003" s="264"/>
      <c r="N4003" s="370"/>
    </row>
    <row r="4004" spans="1:14" s="347" customFormat="1" x14ac:dyDescent="0.25">
      <c r="A4004" s="350">
        <f>+A4003</f>
        <v>44438</v>
      </c>
      <c r="B4004" s="403">
        <f>+MONTH(A4004)</f>
        <v>8</v>
      </c>
      <c r="C4004" s="352">
        <v>1222</v>
      </c>
      <c r="D4004" s="340" t="str">
        <f>VLOOKUP(C4004,Plan!A:B,2,0)</f>
        <v>Otros Valores -Oficina y Transferencias (249)</v>
      </c>
      <c r="E4004" s="341">
        <f>+F4004-G4004</f>
        <v>-30000</v>
      </c>
      <c r="F4004" s="353">
        <v>0</v>
      </c>
      <c r="G4004" s="353">
        <f>+F4003</f>
        <v>30000</v>
      </c>
      <c r="H4004" s="354" t="str">
        <f>+H4003</f>
        <v>Selim Guillermo Abara Elías / 249</v>
      </c>
      <c r="I4004" s="355" t="s">
        <v>131</v>
      </c>
      <c r="J4004" s="396"/>
      <c r="K4004"/>
      <c r="L4004" s="264"/>
      <c r="N4004" s="370"/>
    </row>
    <row r="4005" spans="1:14" s="347" customFormat="1" x14ac:dyDescent="0.25">
      <c r="A4005" s="369"/>
      <c r="E4005" s="396"/>
      <c r="F4005" s="396"/>
      <c r="G4005" s="396"/>
      <c r="J4005" s="396"/>
      <c r="K4005"/>
      <c r="L4005" s="464"/>
      <c r="N4005" s="370"/>
    </row>
    <row r="4006" spans="1:14" s="347" customFormat="1" x14ac:dyDescent="0.25">
      <c r="A4006" s="350">
        <v>44438</v>
      </c>
      <c r="B4006" s="403">
        <f>+MONTH(A4006)</f>
        <v>8</v>
      </c>
      <c r="C4006" s="352">
        <v>115</v>
      </c>
      <c r="D4006" s="340" t="str">
        <f>VLOOKUP(C4006,Plan!A:B,2,0)</f>
        <v>Disponible Cali B.Chile</v>
      </c>
      <c r="E4006" s="341">
        <f>+F4006-G4006</f>
        <v>73000</v>
      </c>
      <c r="F4006" s="353">
        <v>73000</v>
      </c>
      <c r="G4006" s="353">
        <f>+F4007</f>
        <v>0</v>
      </c>
      <c r="H4006" t="s">
        <v>1050</v>
      </c>
      <c r="I4006" s="355" t="s">
        <v>131</v>
      </c>
      <c r="K4006" s="370"/>
      <c r="N4006" s="370"/>
    </row>
    <row r="4007" spans="1:14" s="347" customFormat="1" x14ac:dyDescent="0.25">
      <c r="A4007" s="350">
        <f>+A4006</f>
        <v>44438</v>
      </c>
      <c r="B4007" s="403">
        <f>+MONTH(A4007)</f>
        <v>8</v>
      </c>
      <c r="C4007" s="352">
        <v>3210</v>
      </c>
      <c r="D4007" s="340" t="str">
        <f>VLOOKUP(C4007,Plan!A:B,2,0)</f>
        <v>Donacion Construccion</v>
      </c>
      <c r="E4007" s="341">
        <f>+F4007-G4007</f>
        <v>-73000</v>
      </c>
      <c r="F4007" s="353">
        <v>0</v>
      </c>
      <c r="G4007" s="353">
        <f>+F4006</f>
        <v>73000</v>
      </c>
      <c r="H4007" s="354" t="str">
        <f>+H4006</f>
        <v>Matías Silva Olmos / Azul</v>
      </c>
      <c r="I4007" s="355" t="s">
        <v>131</v>
      </c>
      <c r="K4007" s="370"/>
      <c r="N4007" s="370"/>
    </row>
    <row r="4008" spans="1:14" s="347" customFormat="1" x14ac:dyDescent="0.25">
      <c r="A4008" s="369"/>
      <c r="E4008" s="396"/>
      <c r="F4008" s="396"/>
      <c r="G4008" s="396"/>
      <c r="K4008" s="370"/>
      <c r="N4008" s="370"/>
    </row>
    <row r="4009" spans="1:14" s="347" customFormat="1" x14ac:dyDescent="0.25">
      <c r="A4009" s="350">
        <v>44438</v>
      </c>
      <c r="B4009" s="403">
        <f>+MONTH(A4009)</f>
        <v>8</v>
      </c>
      <c r="C4009" s="352">
        <v>115</v>
      </c>
      <c r="D4009" s="340" t="str">
        <f>VLOOKUP(C4009,Plan!A:B,2,0)</f>
        <v>Disponible Cali B.Chile</v>
      </c>
      <c r="E4009" s="341">
        <f>+F4009-G4009</f>
        <v>40000</v>
      </c>
      <c r="F4009" s="353">
        <v>40000</v>
      </c>
      <c r="G4009" s="353">
        <f>+F4010</f>
        <v>0</v>
      </c>
      <c r="H4009" t="s">
        <v>1051</v>
      </c>
      <c r="I4009" s="355" t="s">
        <v>131</v>
      </c>
      <c r="K4009" s="370"/>
      <c r="N4009" s="370"/>
    </row>
    <row r="4010" spans="1:14" s="347" customFormat="1" x14ac:dyDescent="0.25">
      <c r="A4010" s="350">
        <f>+A4009</f>
        <v>44438</v>
      </c>
      <c r="B4010" s="403">
        <f>+MONTH(A4010)</f>
        <v>8</v>
      </c>
      <c r="C4010" s="352">
        <v>3210</v>
      </c>
      <c r="D4010" s="340" t="str">
        <f>VLOOKUP(C4010,Plan!A:B,2,0)</f>
        <v>Donacion Construccion</v>
      </c>
      <c r="E4010" s="341">
        <f>+F4010-G4010</f>
        <v>-40000</v>
      </c>
      <c r="F4010" s="353">
        <v>0</v>
      </c>
      <c r="G4010" s="353">
        <f>+F4009</f>
        <v>40000</v>
      </c>
      <c r="H4010" s="354" t="str">
        <f>+H4009</f>
        <v>Pedro Vicuña Illanes / Azul</v>
      </c>
      <c r="I4010" s="355" t="s">
        <v>131</v>
      </c>
      <c r="K4010" s="370"/>
      <c r="N4010" s="370"/>
    </row>
    <row r="4011" spans="1:14" s="347" customFormat="1" x14ac:dyDescent="0.25">
      <c r="A4011" s="369"/>
      <c r="E4011" s="396"/>
      <c r="F4011" s="396"/>
      <c r="G4011" s="396"/>
      <c r="K4011" s="370"/>
      <c r="N4011" s="370"/>
    </row>
    <row r="4012" spans="1:14" s="347" customFormat="1" x14ac:dyDescent="0.25">
      <c r="A4012" s="350">
        <v>44438</v>
      </c>
      <c r="B4012" s="403">
        <f>+MONTH(A4012)</f>
        <v>8</v>
      </c>
      <c r="C4012" s="352">
        <v>115</v>
      </c>
      <c r="D4012" s="340" t="str">
        <f>VLOOKUP(C4012,Plan!A:B,2,0)</f>
        <v>Disponible Cali B.Chile</v>
      </c>
      <c r="E4012" s="341">
        <f>+F4012-G4012</f>
        <v>36000</v>
      </c>
      <c r="F4012" s="353">
        <v>36000</v>
      </c>
      <c r="G4012" s="353">
        <f>+F4013</f>
        <v>0</v>
      </c>
      <c r="H4012" t="s">
        <v>964</v>
      </c>
      <c r="I4012" s="355" t="s">
        <v>131</v>
      </c>
      <c r="K4012" s="370"/>
      <c r="N4012" s="370"/>
    </row>
    <row r="4013" spans="1:14" s="347" customFormat="1" x14ac:dyDescent="0.25">
      <c r="A4013" s="350">
        <f>+A4012</f>
        <v>44438</v>
      </c>
      <c r="B4013" s="403">
        <f>+MONTH(A4013)</f>
        <v>8</v>
      </c>
      <c r="C4013" s="352">
        <v>1222</v>
      </c>
      <c r="D4013" s="340" t="str">
        <f>VLOOKUP(C4013,Plan!A:B,2,0)</f>
        <v>Otros Valores -Oficina y Transferencias (249)</v>
      </c>
      <c r="E4013" s="341">
        <f>+F4013-G4013</f>
        <v>-36000</v>
      </c>
      <c r="F4013" s="353">
        <v>0</v>
      </c>
      <c r="G4013" s="353">
        <f>+F4012</f>
        <v>36000</v>
      </c>
      <c r="H4013" s="354" t="str">
        <f>+H4012</f>
        <v>Raimundo Barros / 249</v>
      </c>
      <c r="I4013" s="355" t="s">
        <v>131</v>
      </c>
      <c r="K4013" s="370"/>
      <c r="N4013" s="370"/>
    </row>
    <row r="4014" spans="1:14" s="347" customFormat="1" x14ac:dyDescent="0.25">
      <c r="A4014" s="369"/>
      <c r="E4014" s="396"/>
      <c r="F4014" s="396"/>
      <c r="G4014" s="396"/>
      <c r="K4014" s="370"/>
      <c r="N4014" s="370"/>
    </row>
    <row r="4015" spans="1:14" s="347" customFormat="1" x14ac:dyDescent="0.25">
      <c r="A4015" s="350">
        <v>44438</v>
      </c>
      <c r="B4015" s="403">
        <f>+MONTH(A4015)</f>
        <v>8</v>
      </c>
      <c r="C4015" s="352">
        <v>115</v>
      </c>
      <c r="D4015" s="340" t="str">
        <f>VLOOKUP(C4015,Plan!A:B,2,0)</f>
        <v>Disponible Cali B.Chile</v>
      </c>
      <c r="E4015" s="341">
        <f>+F4015-G4015</f>
        <v>100000</v>
      </c>
      <c r="F4015" s="353">
        <v>100000</v>
      </c>
      <c r="G4015" s="353">
        <f>+F4016</f>
        <v>0</v>
      </c>
      <c r="H4015" t="s">
        <v>965</v>
      </c>
      <c r="I4015" s="355" t="s">
        <v>131</v>
      </c>
      <c r="K4015" s="370"/>
      <c r="N4015" s="370"/>
    </row>
    <row r="4016" spans="1:14" s="347" customFormat="1" x14ac:dyDescent="0.25">
      <c r="A4016" s="350">
        <f>+A4015</f>
        <v>44438</v>
      </c>
      <c r="B4016" s="403">
        <f>+MONTH(A4016)</f>
        <v>8</v>
      </c>
      <c r="C4016" s="352">
        <v>3210</v>
      </c>
      <c r="D4016" s="340" t="str">
        <f>VLOOKUP(C4016,Plan!A:B,2,0)</f>
        <v>Donacion Construccion</v>
      </c>
      <c r="E4016" s="341">
        <f>+F4016-G4016</f>
        <v>-100000</v>
      </c>
      <c r="F4016" s="353">
        <v>0</v>
      </c>
      <c r="G4016" s="353">
        <f>+F4015</f>
        <v>100000</v>
      </c>
      <c r="H4016" s="354" t="str">
        <f>+H4015</f>
        <v>Rafael Marín Jordán/azul</v>
      </c>
      <c r="I4016" s="355" t="s">
        <v>131</v>
      </c>
      <c r="K4016" s="370"/>
      <c r="N4016" s="370"/>
    </row>
    <row r="4017" spans="1:14" s="347" customFormat="1" x14ac:dyDescent="0.25">
      <c r="A4017" s="369"/>
      <c r="E4017" s="396"/>
      <c r="F4017" s="396"/>
      <c r="G4017" s="396"/>
      <c r="K4017" s="370"/>
      <c r="N4017" s="370"/>
    </row>
    <row r="4018" spans="1:14" s="347" customFormat="1" x14ac:dyDescent="0.25">
      <c r="A4018" s="350">
        <v>44438</v>
      </c>
      <c r="B4018" s="403">
        <f>+MONTH(A4018)</f>
        <v>8</v>
      </c>
      <c r="C4018" s="352">
        <v>115</v>
      </c>
      <c r="D4018" s="340" t="str">
        <f>VLOOKUP(C4018,Plan!A:B,2,0)</f>
        <v>Disponible Cali B.Chile</v>
      </c>
      <c r="E4018" s="341">
        <f>+F4018-G4018</f>
        <v>20000</v>
      </c>
      <c r="F4018" s="353">
        <v>20000</v>
      </c>
      <c r="G4018" s="353">
        <f>+F4019</f>
        <v>0</v>
      </c>
      <c r="H4018" t="s">
        <v>1007</v>
      </c>
      <c r="I4018" s="355" t="s">
        <v>131</v>
      </c>
      <c r="K4018" s="370"/>
      <c r="N4018" s="370"/>
    </row>
    <row r="4019" spans="1:14" s="347" customFormat="1" x14ac:dyDescent="0.25">
      <c r="A4019" s="350">
        <f>+A4018</f>
        <v>44438</v>
      </c>
      <c r="B4019" s="403">
        <f>+MONTH(A4019)</f>
        <v>8</v>
      </c>
      <c r="C4019" s="352">
        <v>1222</v>
      </c>
      <c r="D4019" s="340" t="str">
        <f>VLOOKUP(C4019,Plan!A:B,2,0)</f>
        <v>Otros Valores -Oficina y Transferencias (249)</v>
      </c>
      <c r="E4019" s="341">
        <f>+F4019-G4019</f>
        <v>-20000</v>
      </c>
      <c r="F4019" s="353">
        <v>0</v>
      </c>
      <c r="G4019" s="353">
        <f>+F4018</f>
        <v>20000</v>
      </c>
      <c r="H4019" s="354" t="str">
        <f>+H4018</f>
        <v>Oscar Guarda Barros / 249</v>
      </c>
      <c r="I4019" s="355" t="s">
        <v>131</v>
      </c>
      <c r="K4019" s="370"/>
      <c r="N4019" s="370"/>
    </row>
    <row r="4020" spans="1:14" s="347" customFormat="1" x14ac:dyDescent="0.25">
      <c r="A4020" s="369"/>
      <c r="E4020" s="396"/>
      <c r="F4020" s="396"/>
      <c r="G4020" s="396"/>
      <c r="K4020" s="370"/>
      <c r="N4020" s="370"/>
    </row>
    <row r="4021" spans="1:14" s="347" customFormat="1" x14ac:dyDescent="0.25">
      <c r="A4021" s="350">
        <v>44438</v>
      </c>
      <c r="B4021" s="403">
        <f>+MONTH(A4021)</f>
        <v>8</v>
      </c>
      <c r="C4021" s="352">
        <v>115</v>
      </c>
      <c r="D4021" s="340" t="str">
        <f>VLOOKUP(C4021,Plan!A:B,2,0)</f>
        <v>Disponible Cali B.Chile</v>
      </c>
      <c r="E4021" s="341">
        <f>+F4021-G4021</f>
        <v>50000</v>
      </c>
      <c r="F4021" s="353">
        <v>50000</v>
      </c>
      <c r="G4021" s="353">
        <f>+F4022</f>
        <v>0</v>
      </c>
      <c r="H4021" t="s">
        <v>966</v>
      </c>
      <c r="I4021" s="355" t="s">
        <v>131</v>
      </c>
      <c r="K4021" s="370"/>
      <c r="N4021" s="370"/>
    </row>
    <row r="4022" spans="1:14" s="347" customFormat="1" x14ac:dyDescent="0.25">
      <c r="A4022" s="350">
        <f>+A4021</f>
        <v>44438</v>
      </c>
      <c r="B4022" s="403">
        <f>+MONTH(A4022)</f>
        <v>8</v>
      </c>
      <c r="C4022" s="352">
        <v>3210</v>
      </c>
      <c r="D4022" s="340" t="str">
        <f>VLOOKUP(C4022,Plan!A:B,2,0)</f>
        <v>Donacion Construccion</v>
      </c>
      <c r="E4022" s="341">
        <f>+F4022-G4022</f>
        <v>-50000</v>
      </c>
      <c r="F4022" s="353">
        <v>0</v>
      </c>
      <c r="G4022" s="353">
        <f>+F4021</f>
        <v>50000</v>
      </c>
      <c r="H4022" s="354" t="str">
        <f>+H4021</f>
        <v xml:space="preserve">Ricardo Fernández Oyarzún / Azul </v>
      </c>
      <c r="I4022" s="355" t="s">
        <v>131</v>
      </c>
      <c r="K4022" s="370"/>
      <c r="N4022" s="370"/>
    </row>
    <row r="4023" spans="1:14" s="347" customFormat="1" x14ac:dyDescent="0.25">
      <c r="A4023" s="369"/>
      <c r="E4023" s="396"/>
      <c r="F4023" s="396"/>
      <c r="G4023" s="396"/>
      <c r="K4023" s="370"/>
      <c r="N4023" s="370"/>
    </row>
    <row r="4024" spans="1:14" s="347" customFormat="1" x14ac:dyDescent="0.25">
      <c r="A4024" s="350">
        <v>44438</v>
      </c>
      <c r="B4024" s="403">
        <f>+MONTH(A4024)</f>
        <v>8</v>
      </c>
      <c r="C4024" s="352">
        <v>115</v>
      </c>
      <c r="D4024" s="340" t="str">
        <f>VLOOKUP(C4024,Plan!A:B,2,0)</f>
        <v>Disponible Cali B.Chile</v>
      </c>
      <c r="E4024" s="341">
        <f>+F4024-G4024</f>
        <v>25000</v>
      </c>
      <c r="F4024" s="353">
        <v>25000</v>
      </c>
      <c r="G4024" s="353">
        <f>+F4025</f>
        <v>0</v>
      </c>
      <c r="H4024" t="s">
        <v>969</v>
      </c>
      <c r="I4024" s="355" t="s">
        <v>131</v>
      </c>
      <c r="K4024" s="370"/>
      <c r="N4024" s="370"/>
    </row>
    <row r="4025" spans="1:14" s="347" customFormat="1" x14ac:dyDescent="0.25">
      <c r="A4025" s="350">
        <f>+A4024</f>
        <v>44438</v>
      </c>
      <c r="B4025" s="403">
        <f>+MONTH(A4025)</f>
        <v>8</v>
      </c>
      <c r="C4025" s="352">
        <v>1217</v>
      </c>
      <c r="D4025" s="340" t="str">
        <f>VLOOKUP(C4025,Plan!A:B,2,0)</f>
        <v>Otros Valores -Oficina y Transferencias (248)</v>
      </c>
      <c r="E4025" s="341">
        <f>+F4025-G4025</f>
        <v>-25000</v>
      </c>
      <c r="F4025" s="353">
        <v>0</v>
      </c>
      <c r="G4025" s="353">
        <f>+F4024</f>
        <v>25000</v>
      </c>
      <c r="H4025" s="354" t="str">
        <f>+H4024</f>
        <v>José L. Barros / 248</v>
      </c>
      <c r="I4025" s="355" t="s">
        <v>131</v>
      </c>
      <c r="K4025" s="370"/>
      <c r="N4025" s="370"/>
    </row>
    <row r="4026" spans="1:14" s="347" customFormat="1" x14ac:dyDescent="0.25">
      <c r="A4026" s="369"/>
      <c r="E4026" s="396"/>
      <c r="F4026" s="396"/>
      <c r="G4026" s="396"/>
      <c r="K4026" s="370"/>
      <c r="N4026" s="370"/>
    </row>
    <row r="4027" spans="1:14" s="347" customFormat="1" x14ac:dyDescent="0.25">
      <c r="A4027" s="350">
        <v>44438</v>
      </c>
      <c r="B4027" s="403">
        <f>+MONTH(A4027)</f>
        <v>8</v>
      </c>
      <c r="C4027" s="352">
        <v>115</v>
      </c>
      <c r="D4027" s="340" t="str">
        <f>VLOOKUP(C4027,Plan!A:B,2,0)</f>
        <v>Disponible Cali B.Chile</v>
      </c>
      <c r="E4027" s="341">
        <f>+F4027-G4027</f>
        <v>10000</v>
      </c>
      <c r="F4027" s="353">
        <v>10000</v>
      </c>
      <c r="G4027" s="353">
        <f>+F4028</f>
        <v>0</v>
      </c>
      <c r="H4027" t="s">
        <v>1093</v>
      </c>
      <c r="I4027" s="355" t="s">
        <v>131</v>
      </c>
      <c r="K4027" s="370"/>
      <c r="N4027" s="370"/>
    </row>
    <row r="4028" spans="1:14" s="347" customFormat="1" x14ac:dyDescent="0.25">
      <c r="A4028" s="350">
        <f>+A4027</f>
        <v>44438</v>
      </c>
      <c r="B4028" s="403">
        <f>+MONTH(A4028)</f>
        <v>8</v>
      </c>
      <c r="C4028" s="352">
        <v>1222</v>
      </c>
      <c r="D4028" s="340" t="str">
        <f>VLOOKUP(C4028,Plan!A:B,2,0)</f>
        <v>Otros Valores -Oficina y Transferencias (249)</v>
      </c>
      <c r="E4028" s="341">
        <f>+F4028-G4028</f>
        <v>-10000</v>
      </c>
      <c r="F4028" s="353">
        <v>0</v>
      </c>
      <c r="G4028" s="353">
        <f>+F4027</f>
        <v>10000</v>
      </c>
      <c r="H4028" s="354" t="str">
        <f>+H4027</f>
        <v>José Miguel Pérez de Castro Z./249</v>
      </c>
      <c r="I4028" s="355" t="s">
        <v>131</v>
      </c>
      <c r="K4028" s="370"/>
      <c r="N4028" s="370"/>
    </row>
    <row r="4029" spans="1:14" s="347" customFormat="1" x14ac:dyDescent="0.25">
      <c r="A4029" s="369"/>
      <c r="E4029" s="396"/>
      <c r="F4029" s="396"/>
      <c r="G4029" s="396"/>
      <c r="K4029" s="370"/>
      <c r="N4029" s="370"/>
    </row>
    <row r="4030" spans="1:14" s="347" customFormat="1" x14ac:dyDescent="0.25">
      <c r="A4030" s="350">
        <v>44438</v>
      </c>
      <c r="B4030" s="403">
        <f>+MONTH(A4030)</f>
        <v>8</v>
      </c>
      <c r="C4030" s="352">
        <v>115</v>
      </c>
      <c r="D4030" s="340" t="str">
        <f>VLOOKUP(C4030,Plan!A:B,2,0)</f>
        <v>Disponible Cali B.Chile</v>
      </c>
      <c r="E4030" s="341">
        <f>+F4030-G4030</f>
        <v>200000</v>
      </c>
      <c r="F4030" s="353">
        <v>200000</v>
      </c>
      <c r="G4030" s="353">
        <f>+F4031</f>
        <v>0</v>
      </c>
      <c r="H4030" t="s">
        <v>2014</v>
      </c>
      <c r="I4030" s="355" t="s">
        <v>131</v>
      </c>
      <c r="K4030" s="370"/>
      <c r="N4030" s="370"/>
    </row>
    <row r="4031" spans="1:14" s="347" customFormat="1" x14ac:dyDescent="0.25">
      <c r="A4031" s="350">
        <f>+A4030</f>
        <v>44438</v>
      </c>
      <c r="B4031" s="403">
        <f>+MONTH(A4031)</f>
        <v>8</v>
      </c>
      <c r="C4031" s="352">
        <v>3210</v>
      </c>
      <c r="D4031" s="340" t="str">
        <f>VLOOKUP(C4031,Plan!A:B,2,0)</f>
        <v>Donacion Construccion</v>
      </c>
      <c r="E4031" s="341">
        <f>+F4031-G4031</f>
        <v>-200000</v>
      </c>
      <c r="F4031" s="353">
        <v>0</v>
      </c>
      <c r="G4031" s="353">
        <f>+F4030</f>
        <v>200000</v>
      </c>
      <c r="H4031" s="354" t="str">
        <f>+H4030</f>
        <v>Ana María Larraín Cruz / Azul</v>
      </c>
      <c r="I4031" s="355" t="s">
        <v>131</v>
      </c>
      <c r="K4031" s="370"/>
      <c r="N4031" s="370"/>
    </row>
    <row r="4032" spans="1:14" s="347" customFormat="1" x14ac:dyDescent="0.25">
      <c r="A4032" s="369"/>
      <c r="E4032" s="396"/>
      <c r="F4032" s="396"/>
      <c r="G4032" s="396"/>
      <c r="K4032" s="370"/>
      <c r="N4032" s="370"/>
    </row>
    <row r="4033" spans="1:14" s="347" customFormat="1" x14ac:dyDescent="0.25">
      <c r="A4033" s="350">
        <v>44439</v>
      </c>
      <c r="B4033" s="403">
        <f>+MONTH(A4033)</f>
        <v>8</v>
      </c>
      <c r="C4033" s="352">
        <v>115</v>
      </c>
      <c r="D4033" s="340" t="str">
        <f>VLOOKUP(C4033,Plan!A:B,2,0)</f>
        <v>Disponible Cali B.Chile</v>
      </c>
      <c r="E4033" s="341">
        <f>+F4033-G4033</f>
        <v>1300000</v>
      </c>
      <c r="F4033" s="353">
        <v>1300000</v>
      </c>
      <c r="G4033" s="353">
        <f>+F4034</f>
        <v>0</v>
      </c>
      <c r="H4033" t="s">
        <v>2014</v>
      </c>
      <c r="I4033" s="355" t="s">
        <v>131</v>
      </c>
      <c r="K4033" s="370"/>
      <c r="N4033" s="370"/>
    </row>
    <row r="4034" spans="1:14" s="347" customFormat="1" x14ac:dyDescent="0.25">
      <c r="A4034" s="350">
        <f>+A4033</f>
        <v>44439</v>
      </c>
      <c r="B4034" s="403">
        <f>+MONTH(A4034)</f>
        <v>8</v>
      </c>
      <c r="C4034" s="352">
        <v>3210</v>
      </c>
      <c r="D4034" s="340" t="str">
        <f>VLOOKUP(C4034,Plan!A:B,2,0)</f>
        <v>Donacion Construccion</v>
      </c>
      <c r="E4034" s="341">
        <f>+F4034-G4034</f>
        <v>-1300000</v>
      </c>
      <c r="F4034" s="353">
        <v>0</v>
      </c>
      <c r="G4034" s="353">
        <f>+F4033</f>
        <v>1300000</v>
      </c>
      <c r="H4034" s="354" t="str">
        <f>+H4033</f>
        <v>Ana María Larraín Cruz / Azul</v>
      </c>
      <c r="I4034" s="355" t="s">
        <v>131</v>
      </c>
      <c r="K4034" s="370"/>
      <c r="N4034" s="370"/>
    </row>
    <row r="4035" spans="1:14" s="347" customFormat="1" x14ac:dyDescent="0.25">
      <c r="A4035" s="369"/>
      <c r="E4035" s="396"/>
      <c r="F4035" s="396"/>
      <c r="G4035" s="396"/>
      <c r="K4035" s="370"/>
      <c r="N4035" s="370"/>
    </row>
    <row r="4036" spans="1:14" s="347" customFormat="1" x14ac:dyDescent="0.25">
      <c r="A4036" s="350">
        <v>44439</v>
      </c>
      <c r="B4036" s="403">
        <f>+MONTH(A4036)</f>
        <v>8</v>
      </c>
      <c r="C4036" s="352">
        <v>115</v>
      </c>
      <c r="D4036" s="340" t="str">
        <f>VLOOKUP(C4036,Plan!A:B,2,0)</f>
        <v>Disponible Cali B.Chile</v>
      </c>
      <c r="E4036" s="341">
        <f>+F4036-G4036</f>
        <v>20000</v>
      </c>
      <c r="F4036" s="353">
        <v>20000</v>
      </c>
      <c r="G4036" s="353">
        <f>+F4037</f>
        <v>0</v>
      </c>
      <c r="H4036" t="s">
        <v>963</v>
      </c>
      <c r="I4036" s="355" t="s">
        <v>131</v>
      </c>
      <c r="K4036" s="370"/>
      <c r="N4036" s="370"/>
    </row>
    <row r="4037" spans="1:14" s="347" customFormat="1" x14ac:dyDescent="0.25">
      <c r="A4037" s="350">
        <f>+A4036</f>
        <v>44439</v>
      </c>
      <c r="B4037" s="403">
        <f>+MONTH(A4037)</f>
        <v>8</v>
      </c>
      <c r="C4037" s="352">
        <v>1222</v>
      </c>
      <c r="D4037" s="340" t="str">
        <f>VLOOKUP(C4037,Plan!A:B,2,0)</f>
        <v>Otros Valores -Oficina y Transferencias (249)</v>
      </c>
      <c r="E4037" s="341">
        <f>+F4037-G4037</f>
        <v>-20000</v>
      </c>
      <c r="F4037" s="353">
        <v>0</v>
      </c>
      <c r="G4037" s="353">
        <f>+F4036</f>
        <v>20000</v>
      </c>
      <c r="H4037" s="354" t="str">
        <f>+H4036</f>
        <v>Benjamín Gutierrez Perlwitz / 249</v>
      </c>
      <c r="I4037" s="355" t="s">
        <v>131</v>
      </c>
      <c r="K4037" s="370"/>
      <c r="N4037" s="370"/>
    </row>
    <row r="4038" spans="1:14" s="347" customFormat="1" x14ac:dyDescent="0.25">
      <c r="A4038" s="369"/>
      <c r="E4038" s="396"/>
      <c r="F4038" s="396"/>
      <c r="G4038" s="396"/>
      <c r="K4038" s="370"/>
      <c r="N4038" s="370"/>
    </row>
    <row r="4039" spans="1:14" s="347" customFormat="1" x14ac:dyDescent="0.25">
      <c r="A4039" s="350">
        <v>44439</v>
      </c>
      <c r="B4039" s="403">
        <f>+MONTH(A4039)</f>
        <v>8</v>
      </c>
      <c r="C4039" s="352">
        <v>115</v>
      </c>
      <c r="D4039" s="340" t="str">
        <f>VLOOKUP(C4039,Plan!A:B,2,0)</f>
        <v>Disponible Cali B.Chile</v>
      </c>
      <c r="E4039" s="341">
        <f>+F4039-G4039</f>
        <v>14000</v>
      </c>
      <c r="F4039" s="353">
        <v>14000</v>
      </c>
      <c r="G4039" s="353">
        <f>+F4040</f>
        <v>0</v>
      </c>
      <c r="H4039" t="s">
        <v>1104</v>
      </c>
      <c r="I4039" s="355" t="s">
        <v>131</v>
      </c>
      <c r="K4039" s="370"/>
      <c r="N4039" s="370"/>
    </row>
    <row r="4040" spans="1:14" s="347" customFormat="1" x14ac:dyDescent="0.25">
      <c r="A4040" s="350">
        <f>+A4039</f>
        <v>44439</v>
      </c>
      <c r="B4040" s="403">
        <f>+MONTH(A4040)</f>
        <v>8</v>
      </c>
      <c r="C4040" s="352">
        <v>3210</v>
      </c>
      <c r="D4040" s="340" t="str">
        <f>VLOOKUP(C4040,Plan!A:B,2,0)</f>
        <v>Donacion Construccion</v>
      </c>
      <c r="E4040" s="341">
        <f>+F4040-G4040</f>
        <v>-14000</v>
      </c>
      <c r="F4040" s="353">
        <v>0</v>
      </c>
      <c r="G4040" s="353">
        <f>+F4039</f>
        <v>14000</v>
      </c>
      <c r="H4040" s="354" t="str">
        <f>+H4039</f>
        <v>María Luisa Ilharreborde Illanes / Azul</v>
      </c>
      <c r="I4040" s="355" t="s">
        <v>131</v>
      </c>
      <c r="K4040" s="370"/>
      <c r="N4040" s="370"/>
    </row>
    <row r="4041" spans="1:14" s="347" customFormat="1" x14ac:dyDescent="0.25">
      <c r="A4041" s="369"/>
      <c r="E4041" s="396"/>
      <c r="F4041" s="396"/>
      <c r="G4041" s="396"/>
      <c r="K4041" s="370"/>
      <c r="N4041" s="370"/>
    </row>
    <row r="4042" spans="1:14" s="347" customFormat="1" x14ac:dyDescent="0.25">
      <c r="A4042" s="350">
        <v>44439</v>
      </c>
      <c r="B4042" s="403">
        <f>+MONTH(A4042)</f>
        <v>8</v>
      </c>
      <c r="C4042" s="352">
        <v>115</v>
      </c>
      <c r="D4042" s="340" t="str">
        <f>VLOOKUP(C4042,Plan!A:B,2,0)</f>
        <v>Disponible Cali B.Chile</v>
      </c>
      <c r="E4042" s="341">
        <f>+F4042-G4042</f>
        <v>55000</v>
      </c>
      <c r="F4042" s="353">
        <v>55000</v>
      </c>
      <c r="G4042" s="353">
        <f>+F4043</f>
        <v>0</v>
      </c>
      <c r="H4042" s="338" t="s">
        <v>1687</v>
      </c>
      <c r="I4042" s="355" t="s">
        <v>131</v>
      </c>
      <c r="K4042" s="370"/>
      <c r="N4042" s="370"/>
    </row>
    <row r="4043" spans="1:14" s="347" customFormat="1" x14ac:dyDescent="0.25">
      <c r="A4043" s="350">
        <f>+A4042</f>
        <v>44439</v>
      </c>
      <c r="B4043" s="403">
        <f>+MONTH(A4043)</f>
        <v>8</v>
      </c>
      <c r="C4043" s="352">
        <v>1216</v>
      </c>
      <c r="D4043" s="340" t="str">
        <f>VLOOKUP(C4043,Plan!A:B,2,0)</f>
        <v>Otros Valores Recaudadoras</v>
      </c>
      <c r="E4043" s="341">
        <f>+F4043-G4043</f>
        <v>-55000</v>
      </c>
      <c r="F4043" s="353">
        <v>0</v>
      </c>
      <c r="G4043" s="353">
        <f>+F4042</f>
        <v>55000</v>
      </c>
      <c r="H4043" s="338" t="s">
        <v>1687</v>
      </c>
      <c r="I4043" s="355" t="s">
        <v>131</v>
      </c>
      <c r="K4043" s="370"/>
      <c r="N4043" s="370"/>
    </row>
    <row r="4044" spans="1:14" s="347" customFormat="1" x14ac:dyDescent="0.25">
      <c r="A4044" s="369"/>
      <c r="E4044" s="396"/>
      <c r="F4044" s="396"/>
      <c r="G4044" s="396"/>
      <c r="K4044" s="370"/>
      <c r="N4044" s="370"/>
    </row>
    <row r="4045" spans="1:14" s="347" customFormat="1" x14ac:dyDescent="0.25">
      <c r="A4045" s="350">
        <v>44439</v>
      </c>
      <c r="B4045" s="403">
        <f>+MONTH(A4045)</f>
        <v>8</v>
      </c>
      <c r="C4045" s="352">
        <v>115</v>
      </c>
      <c r="D4045" s="340" t="str">
        <f>VLOOKUP(C4045,Plan!A:B,2,0)</f>
        <v>Disponible Cali B.Chile</v>
      </c>
      <c r="E4045" s="341">
        <f>+F4045-G4045</f>
        <v>20000</v>
      </c>
      <c r="F4045" s="353">
        <v>20000</v>
      </c>
      <c r="G4045" s="353">
        <f>+F4046</f>
        <v>0</v>
      </c>
      <c r="H4045" s="338" t="s">
        <v>1687</v>
      </c>
      <c r="I4045" s="355" t="s">
        <v>131</v>
      </c>
      <c r="K4045" s="370"/>
      <c r="N4045" s="370"/>
    </row>
    <row r="4046" spans="1:14" s="347" customFormat="1" x14ac:dyDescent="0.25">
      <c r="A4046" s="350">
        <f>+A4045</f>
        <v>44439</v>
      </c>
      <c r="B4046" s="403">
        <f>+MONTH(A4046)</f>
        <v>8</v>
      </c>
      <c r="C4046" s="352">
        <v>1216</v>
      </c>
      <c r="D4046" s="340" t="str">
        <f>VLOOKUP(C4046,Plan!A:B,2,0)</f>
        <v>Otros Valores Recaudadoras</v>
      </c>
      <c r="E4046" s="341">
        <f>+F4046-G4046</f>
        <v>-20000</v>
      </c>
      <c r="F4046" s="353">
        <v>0</v>
      </c>
      <c r="G4046" s="353">
        <f>+F4045</f>
        <v>20000</v>
      </c>
      <c r="H4046" s="338" t="s">
        <v>1687</v>
      </c>
      <c r="I4046" s="355" t="s">
        <v>131</v>
      </c>
      <c r="K4046" s="370"/>
      <c r="N4046" s="370"/>
    </row>
    <row r="4047" spans="1:14" s="347" customFormat="1" x14ac:dyDescent="0.25">
      <c r="A4047" s="369"/>
      <c r="E4047" s="396"/>
      <c r="F4047" s="396"/>
      <c r="G4047" s="396"/>
      <c r="K4047" s="370"/>
      <c r="N4047" s="370"/>
    </row>
    <row r="4048" spans="1:14" s="347" customFormat="1" x14ac:dyDescent="0.25">
      <c r="A4048" s="369"/>
      <c r="E4048" s="396"/>
      <c r="F4048" s="396"/>
      <c r="G4048" s="396"/>
      <c r="K4048" s="370"/>
      <c r="N4048" s="370"/>
    </row>
    <row r="4049" spans="1:14" s="347" customFormat="1" x14ac:dyDescent="0.25">
      <c r="A4049" s="369"/>
      <c r="E4049" s="396"/>
      <c r="F4049" s="396"/>
      <c r="G4049" s="396"/>
      <c r="K4049" s="370"/>
      <c r="N4049" s="370"/>
    </row>
    <row r="4050" spans="1:14" s="347" customFormat="1" x14ac:dyDescent="0.25">
      <c r="A4050" s="350">
        <v>44439</v>
      </c>
      <c r="B4050" s="403">
        <f t="shared" ref="B4050:B4085" si="66">+MONTH(A4050)</f>
        <v>8</v>
      </c>
      <c r="C4050" s="352">
        <v>141</v>
      </c>
      <c r="D4050" s="340" t="str">
        <f>VLOOKUP(C4050,Plan!A:B,2,0)</f>
        <v>Cuentas por Cobrar a Administración</v>
      </c>
      <c r="E4050" s="341">
        <f t="shared" ref="E4050:E4085" si="67">+F4050-G4050</f>
        <v>30000</v>
      </c>
      <c r="F4050" s="353">
        <v>30000</v>
      </c>
      <c r="G4050" s="353">
        <v>0</v>
      </c>
      <c r="H4050" t="s">
        <v>1641</v>
      </c>
      <c r="I4050" s="355" t="s">
        <v>131</v>
      </c>
      <c r="K4050" s="370"/>
      <c r="N4050" s="370"/>
    </row>
    <row r="4051" spans="1:14" s="347" customFormat="1" x14ac:dyDescent="0.25">
      <c r="A4051" s="350">
        <v>44439</v>
      </c>
      <c r="B4051" s="403">
        <f t="shared" si="66"/>
        <v>8</v>
      </c>
      <c r="C4051" s="352">
        <v>141</v>
      </c>
      <c r="D4051" s="340" t="str">
        <f>VLOOKUP(C4051,Plan!A:B,2,0)</f>
        <v>Cuentas por Cobrar a Administración</v>
      </c>
      <c r="E4051" s="341">
        <f t="shared" si="67"/>
        <v>1000000</v>
      </c>
      <c r="F4051" s="353">
        <v>1000000</v>
      </c>
      <c r="G4051" s="353">
        <v>0</v>
      </c>
      <c r="H4051" t="s">
        <v>1988</v>
      </c>
      <c r="I4051" s="355" t="s">
        <v>131</v>
      </c>
      <c r="K4051" s="370"/>
      <c r="N4051" s="370"/>
    </row>
    <row r="4052" spans="1:14" s="347" customFormat="1" x14ac:dyDescent="0.25">
      <c r="A4052" s="350">
        <v>44439</v>
      </c>
      <c r="B4052" s="403">
        <f t="shared" si="66"/>
        <v>8</v>
      </c>
      <c r="C4052" s="352">
        <v>141</v>
      </c>
      <c r="D4052" s="340" t="str">
        <f>VLOOKUP(C4052,Plan!A:B,2,0)</f>
        <v>Cuentas por Cobrar a Administración</v>
      </c>
      <c r="E4052" s="341">
        <f t="shared" si="67"/>
        <v>30000</v>
      </c>
      <c r="F4052" s="353">
        <v>30000</v>
      </c>
      <c r="G4052" s="353">
        <v>0</v>
      </c>
      <c r="H4052" t="s">
        <v>747</v>
      </c>
      <c r="I4052" s="355" t="s">
        <v>131</v>
      </c>
      <c r="K4052" s="370"/>
      <c r="N4052" s="370"/>
    </row>
    <row r="4053" spans="1:14" s="347" customFormat="1" x14ac:dyDescent="0.25">
      <c r="A4053" s="350">
        <v>44439</v>
      </c>
      <c r="B4053" s="403">
        <f t="shared" si="66"/>
        <v>8</v>
      </c>
      <c r="C4053" s="352">
        <v>141</v>
      </c>
      <c r="D4053" s="340" t="str">
        <f>VLOOKUP(C4053,Plan!A:B,2,0)</f>
        <v>Cuentas por Cobrar a Administración</v>
      </c>
      <c r="E4053" s="341">
        <f t="shared" si="67"/>
        <v>500000</v>
      </c>
      <c r="F4053" s="353">
        <v>500000</v>
      </c>
      <c r="G4053" s="353">
        <v>0</v>
      </c>
      <c r="H4053" t="s">
        <v>1940</v>
      </c>
      <c r="I4053" s="355" t="s">
        <v>131</v>
      </c>
      <c r="K4053" s="370"/>
      <c r="N4053" s="370"/>
    </row>
    <row r="4054" spans="1:14" s="347" customFormat="1" x14ac:dyDescent="0.25">
      <c r="A4054" s="350">
        <v>44439</v>
      </c>
      <c r="B4054" s="403">
        <f t="shared" si="66"/>
        <v>8</v>
      </c>
      <c r="C4054" s="352">
        <v>141</v>
      </c>
      <c r="D4054" s="340" t="str">
        <f>VLOOKUP(C4054,Plan!A:B,2,0)</f>
        <v>Cuentas por Cobrar a Administración</v>
      </c>
      <c r="E4054" s="341">
        <f t="shared" si="67"/>
        <v>20000</v>
      </c>
      <c r="F4054" s="353">
        <v>20000</v>
      </c>
      <c r="G4054" s="353">
        <v>0</v>
      </c>
      <c r="H4054" t="s">
        <v>1236</v>
      </c>
      <c r="I4054" s="355" t="s">
        <v>131</v>
      </c>
      <c r="K4054" s="370"/>
      <c r="N4054" s="370"/>
    </row>
    <row r="4055" spans="1:14" s="347" customFormat="1" x14ac:dyDescent="0.25">
      <c r="A4055" s="350">
        <v>44439</v>
      </c>
      <c r="B4055" s="403">
        <f t="shared" si="66"/>
        <v>8</v>
      </c>
      <c r="C4055" s="352">
        <v>141</v>
      </c>
      <c r="D4055" s="340" t="str">
        <f>VLOOKUP(C4055,Plan!A:B,2,0)</f>
        <v>Cuentas por Cobrar a Administración</v>
      </c>
      <c r="E4055" s="341">
        <f t="shared" si="67"/>
        <v>90000</v>
      </c>
      <c r="F4055" s="353">
        <v>90000</v>
      </c>
      <c r="G4055" s="353">
        <v>0</v>
      </c>
      <c r="H4055" t="s">
        <v>1631</v>
      </c>
      <c r="I4055" s="355" t="s">
        <v>131</v>
      </c>
      <c r="K4055" s="370"/>
      <c r="N4055" s="370"/>
    </row>
    <row r="4056" spans="1:14" s="347" customFormat="1" x14ac:dyDescent="0.25">
      <c r="A4056" s="350">
        <v>44439</v>
      </c>
      <c r="B4056" s="403">
        <f t="shared" si="66"/>
        <v>8</v>
      </c>
      <c r="C4056" s="352">
        <v>141</v>
      </c>
      <c r="D4056" s="340" t="str">
        <f>VLOOKUP(C4056,Plan!A:B,2,0)</f>
        <v>Cuentas por Cobrar a Administración</v>
      </c>
      <c r="E4056" s="341">
        <f t="shared" si="67"/>
        <v>50000</v>
      </c>
      <c r="F4056" s="353">
        <v>50000</v>
      </c>
      <c r="G4056" s="353">
        <v>0</v>
      </c>
      <c r="H4056" t="s">
        <v>733</v>
      </c>
      <c r="I4056" s="355" t="s">
        <v>131</v>
      </c>
      <c r="K4056" s="370"/>
      <c r="N4056" s="370"/>
    </row>
    <row r="4057" spans="1:14" s="347" customFormat="1" x14ac:dyDescent="0.25">
      <c r="A4057" s="350">
        <v>44439</v>
      </c>
      <c r="B4057" s="403">
        <f t="shared" si="66"/>
        <v>8</v>
      </c>
      <c r="C4057" s="352">
        <v>141</v>
      </c>
      <c r="D4057" s="340" t="str">
        <f>VLOOKUP(C4057,Plan!A:B,2,0)</f>
        <v>Cuentas por Cobrar a Administración</v>
      </c>
      <c r="E4057" s="341">
        <f t="shared" si="67"/>
        <v>100000</v>
      </c>
      <c r="F4057" s="353">
        <v>100000</v>
      </c>
      <c r="G4057" s="353">
        <v>0</v>
      </c>
      <c r="H4057" t="s">
        <v>743</v>
      </c>
      <c r="I4057" s="355" t="s">
        <v>131</v>
      </c>
      <c r="K4057" s="370"/>
      <c r="N4057" s="370"/>
    </row>
    <row r="4058" spans="1:14" s="347" customFormat="1" x14ac:dyDescent="0.25">
      <c r="A4058" s="350">
        <v>44439</v>
      </c>
      <c r="B4058" s="403">
        <f t="shared" si="66"/>
        <v>8</v>
      </c>
      <c r="C4058" s="352">
        <v>141</v>
      </c>
      <c r="D4058" s="340" t="str">
        <f>VLOOKUP(C4058,Plan!A:B,2,0)</f>
        <v>Cuentas por Cobrar a Administración</v>
      </c>
      <c r="E4058" s="341">
        <f t="shared" si="67"/>
        <v>-46890</v>
      </c>
      <c r="F4058" s="353">
        <v>-46890</v>
      </c>
      <c r="G4058" s="353">
        <v>0</v>
      </c>
      <c r="H4058" t="s">
        <v>1930</v>
      </c>
      <c r="I4058" s="355" t="s">
        <v>131</v>
      </c>
      <c r="K4058" s="370"/>
      <c r="N4058" s="370"/>
    </row>
    <row r="4059" spans="1:14" s="347" customFormat="1" x14ac:dyDescent="0.25">
      <c r="A4059" s="350">
        <v>44439</v>
      </c>
      <c r="B4059" s="403">
        <f t="shared" si="66"/>
        <v>8</v>
      </c>
      <c r="C4059" s="352">
        <v>141</v>
      </c>
      <c r="D4059" s="340" t="str">
        <f>VLOOKUP(C4059,Plan!A:B,2,0)</f>
        <v>Cuentas por Cobrar a Administración</v>
      </c>
      <c r="E4059" s="341">
        <f t="shared" si="67"/>
        <v>30000</v>
      </c>
      <c r="F4059" s="353">
        <v>30000</v>
      </c>
      <c r="G4059" s="353">
        <v>0</v>
      </c>
      <c r="H4059" t="s">
        <v>737</v>
      </c>
      <c r="I4059" s="355" t="s">
        <v>131</v>
      </c>
      <c r="K4059" s="370"/>
      <c r="N4059" s="370"/>
    </row>
    <row r="4060" spans="1:14" s="347" customFormat="1" x14ac:dyDescent="0.25">
      <c r="A4060" s="350">
        <v>44439</v>
      </c>
      <c r="B4060" s="403">
        <f t="shared" si="66"/>
        <v>8</v>
      </c>
      <c r="C4060" s="352">
        <v>141</v>
      </c>
      <c r="D4060" s="340" t="str">
        <f>VLOOKUP(C4060,Plan!A:B,2,0)</f>
        <v>Cuentas por Cobrar a Administración</v>
      </c>
      <c r="E4060" s="341">
        <f t="shared" si="67"/>
        <v>20000</v>
      </c>
      <c r="F4060" s="353">
        <v>20000</v>
      </c>
      <c r="G4060" s="353">
        <v>0</v>
      </c>
      <c r="H4060" t="s">
        <v>1697</v>
      </c>
      <c r="I4060" s="355" t="s">
        <v>131</v>
      </c>
      <c r="K4060" s="370"/>
      <c r="N4060" s="370"/>
    </row>
    <row r="4061" spans="1:14" s="347" customFormat="1" x14ac:dyDescent="0.25">
      <c r="A4061" s="350">
        <v>44439</v>
      </c>
      <c r="B4061" s="403">
        <f t="shared" si="66"/>
        <v>8</v>
      </c>
      <c r="C4061" s="352">
        <v>141</v>
      </c>
      <c r="D4061" s="340" t="str">
        <f>VLOOKUP(C4061,Plan!A:B,2,0)</f>
        <v>Cuentas por Cobrar a Administración</v>
      </c>
      <c r="E4061" s="341">
        <f t="shared" si="67"/>
        <v>70000</v>
      </c>
      <c r="F4061" s="353">
        <v>70000</v>
      </c>
      <c r="G4061" s="353">
        <v>0</v>
      </c>
      <c r="H4061" t="s">
        <v>1906</v>
      </c>
      <c r="I4061" s="355" t="s">
        <v>131</v>
      </c>
      <c r="K4061" s="370"/>
      <c r="N4061" s="370"/>
    </row>
    <row r="4062" spans="1:14" s="347" customFormat="1" x14ac:dyDescent="0.25">
      <c r="A4062" s="350">
        <v>44439</v>
      </c>
      <c r="B4062" s="403">
        <f t="shared" si="66"/>
        <v>8</v>
      </c>
      <c r="C4062" s="352">
        <v>141</v>
      </c>
      <c r="D4062" s="340" t="str">
        <f>VLOOKUP(C4062,Plan!A:B,2,0)</f>
        <v>Cuentas por Cobrar a Administración</v>
      </c>
      <c r="E4062" s="341">
        <f t="shared" si="67"/>
        <v>21000</v>
      </c>
      <c r="F4062" s="353">
        <v>21000</v>
      </c>
      <c r="G4062" s="353">
        <v>0</v>
      </c>
      <c r="H4062" t="s">
        <v>1938</v>
      </c>
      <c r="I4062" s="355" t="s">
        <v>131</v>
      </c>
      <c r="K4062" s="370"/>
      <c r="N4062" s="370"/>
    </row>
    <row r="4063" spans="1:14" s="347" customFormat="1" x14ac:dyDescent="0.25">
      <c r="A4063" s="350">
        <v>44439</v>
      </c>
      <c r="B4063" s="403">
        <f t="shared" si="66"/>
        <v>8</v>
      </c>
      <c r="C4063" s="352">
        <v>141</v>
      </c>
      <c r="D4063" s="340" t="str">
        <f>VLOOKUP(C4063,Plan!A:B,2,0)</f>
        <v>Cuentas por Cobrar a Administración</v>
      </c>
      <c r="E4063" s="341">
        <f t="shared" si="67"/>
        <v>70000</v>
      </c>
      <c r="F4063" s="353">
        <v>70000</v>
      </c>
      <c r="G4063" s="353">
        <v>0</v>
      </c>
      <c r="H4063" t="s">
        <v>1902</v>
      </c>
      <c r="I4063" s="355" t="s">
        <v>131</v>
      </c>
      <c r="K4063" s="370"/>
      <c r="N4063" s="370"/>
    </row>
    <row r="4064" spans="1:14" s="347" customFormat="1" x14ac:dyDescent="0.25">
      <c r="A4064" s="350">
        <v>44439</v>
      </c>
      <c r="B4064" s="403">
        <f t="shared" si="66"/>
        <v>8</v>
      </c>
      <c r="C4064" s="352">
        <v>141</v>
      </c>
      <c r="D4064" s="340" t="str">
        <f>VLOOKUP(C4064,Plan!A:B,2,0)</f>
        <v>Cuentas por Cobrar a Administración</v>
      </c>
      <c r="E4064" s="341">
        <f t="shared" si="67"/>
        <v>15000</v>
      </c>
      <c r="F4064" s="353">
        <v>15000</v>
      </c>
      <c r="G4064" s="353">
        <v>0</v>
      </c>
      <c r="H4064" t="s">
        <v>688</v>
      </c>
      <c r="I4064" s="355" t="s">
        <v>131</v>
      </c>
      <c r="K4064" s="370"/>
      <c r="N4064" s="370"/>
    </row>
    <row r="4065" spans="1:14" s="347" customFormat="1" x14ac:dyDescent="0.25">
      <c r="A4065" s="350">
        <v>44439</v>
      </c>
      <c r="B4065" s="403">
        <f t="shared" si="66"/>
        <v>8</v>
      </c>
      <c r="C4065" s="352">
        <v>141</v>
      </c>
      <c r="D4065" s="340" t="str">
        <f>VLOOKUP(C4065,Plan!A:B,2,0)</f>
        <v>Cuentas por Cobrar a Administración</v>
      </c>
      <c r="E4065" s="341">
        <f t="shared" si="67"/>
        <v>50000</v>
      </c>
      <c r="F4065" s="353">
        <v>50000</v>
      </c>
      <c r="G4065" s="353">
        <v>0</v>
      </c>
      <c r="H4065" t="s">
        <v>1459</v>
      </c>
      <c r="I4065" s="355" t="s">
        <v>131</v>
      </c>
      <c r="J4065" s="403" t="s">
        <v>588</v>
      </c>
      <c r="K4065" s="208" t="str">
        <f>IF(J4065&lt;&gt;"",VLOOKUP(J4065,'Libro De Compras 2021'!D:E,2,0),"")</f>
        <v>PROYECTOS Y CONSTRUCCIONES TASCO LIMITADA</v>
      </c>
      <c r="L4065">
        <v>2995</v>
      </c>
      <c r="N4065" s="370"/>
    </row>
    <row r="4066" spans="1:14" s="347" customFormat="1" x14ac:dyDescent="0.25">
      <c r="A4066" s="350">
        <v>44439</v>
      </c>
      <c r="B4066" s="403">
        <f t="shared" si="66"/>
        <v>8</v>
      </c>
      <c r="C4066" s="352">
        <v>141</v>
      </c>
      <c r="D4066" s="340" t="str">
        <f>VLOOKUP(C4066,Plan!A:B,2,0)</f>
        <v>Cuentas por Cobrar a Administración</v>
      </c>
      <c r="E4066" s="341">
        <f t="shared" si="67"/>
        <v>35000</v>
      </c>
      <c r="F4066" s="353">
        <v>35000</v>
      </c>
      <c r="G4066" s="353">
        <v>0</v>
      </c>
      <c r="H4066" t="s">
        <v>1923</v>
      </c>
      <c r="I4066" s="355" t="s">
        <v>131</v>
      </c>
      <c r="J4066" s="403" t="s">
        <v>588</v>
      </c>
      <c r="K4066" s="208" t="str">
        <f>IF(J4066&lt;&gt;"",VLOOKUP(J4066,'Libro De Compras 2021'!D:E,2,0),"")</f>
        <v>PROYECTOS Y CONSTRUCCIONES TASCO LIMITADA</v>
      </c>
      <c r="L4066" s="403">
        <f>+L4065</f>
        <v>2995</v>
      </c>
      <c r="N4066" s="370"/>
    </row>
    <row r="4067" spans="1:14" s="347" customFormat="1" x14ac:dyDescent="0.25">
      <c r="A4067" s="350">
        <v>44439</v>
      </c>
      <c r="B4067" s="403">
        <f t="shared" si="66"/>
        <v>8</v>
      </c>
      <c r="C4067" s="352">
        <v>141</v>
      </c>
      <c r="D4067" s="340" t="str">
        <f>VLOOKUP(C4067,Plan!A:B,2,0)</f>
        <v>Cuentas por Cobrar a Administración</v>
      </c>
      <c r="E4067" s="341">
        <f t="shared" si="67"/>
        <v>30000</v>
      </c>
      <c r="F4067" s="353">
        <v>30000</v>
      </c>
      <c r="G4067" s="353">
        <v>0</v>
      </c>
      <c r="H4067" t="s">
        <v>675</v>
      </c>
      <c r="I4067" s="355" t="s">
        <v>131</v>
      </c>
      <c r="J4067" s="403" t="s">
        <v>588</v>
      </c>
      <c r="K4067" s="208" t="str">
        <f>IF(J4067&lt;&gt;"",VLOOKUP(J4067,'Libro De Compras 2021'!D:E,2,0),"")</f>
        <v>PROYECTOS Y CONSTRUCCIONES TASCO LIMITADA</v>
      </c>
      <c r="L4067" s="403">
        <f>+L4066</f>
        <v>2995</v>
      </c>
      <c r="N4067" s="370"/>
    </row>
    <row r="4068" spans="1:14" s="347" customFormat="1" x14ac:dyDescent="0.25">
      <c r="A4068" s="350">
        <v>44439</v>
      </c>
      <c r="B4068" s="403">
        <f t="shared" si="66"/>
        <v>8</v>
      </c>
      <c r="C4068" s="352">
        <v>1216</v>
      </c>
      <c r="D4068" s="340" t="str">
        <f>VLOOKUP(C4068,Plan!A:B,2,0)</f>
        <v>Otros Valores Recaudadoras</v>
      </c>
      <c r="E4068" s="341">
        <f t="shared" si="67"/>
        <v>-30000</v>
      </c>
      <c r="F4068" s="353">
        <v>0</v>
      </c>
      <c r="G4068" s="353">
        <v>30000</v>
      </c>
      <c r="H4068" t="s">
        <v>1641</v>
      </c>
      <c r="I4068" s="355" t="s">
        <v>131</v>
      </c>
      <c r="J4068" s="403" t="s">
        <v>588</v>
      </c>
      <c r="K4068" s="208" t="str">
        <f>IF(J4068&lt;&gt;"",VLOOKUP(J4068,'Libro De Compras 2021'!D:E,2,0),"")</f>
        <v>PROYECTOS Y CONSTRUCCIONES TASCO LIMITADA</v>
      </c>
      <c r="L4068" s="403">
        <f>+L4067</f>
        <v>2995</v>
      </c>
      <c r="N4068" s="370"/>
    </row>
    <row r="4069" spans="1:14" x14ac:dyDescent="0.25">
      <c r="A4069" s="350">
        <v>44439</v>
      </c>
      <c r="B4069" s="403">
        <f t="shared" si="66"/>
        <v>8</v>
      </c>
      <c r="C4069" s="352">
        <v>3210</v>
      </c>
      <c r="D4069" s="340" t="str">
        <f>VLOOKUP(C4069,Plan!A:B,2,0)</f>
        <v>Donacion Construccion</v>
      </c>
      <c r="E4069" s="341">
        <f t="shared" si="67"/>
        <v>-1000000</v>
      </c>
      <c r="F4069" s="353">
        <v>0</v>
      </c>
      <c r="G4069" s="353">
        <v>1000000</v>
      </c>
      <c r="H4069" t="s">
        <v>1988</v>
      </c>
      <c r="I4069" s="355" t="s">
        <v>131</v>
      </c>
      <c r="J4069" s="338"/>
      <c r="K4069"/>
      <c r="L4069" s="338"/>
    </row>
    <row r="4070" spans="1:14" s="347" customFormat="1" x14ac:dyDescent="0.25">
      <c r="A4070" s="350">
        <v>44439</v>
      </c>
      <c r="B4070" s="403">
        <f t="shared" si="66"/>
        <v>8</v>
      </c>
      <c r="C4070" s="352">
        <v>3210</v>
      </c>
      <c r="D4070" s="340" t="str">
        <f>VLOOKUP(C4070,Plan!A:B,2,0)</f>
        <v>Donacion Construccion</v>
      </c>
      <c r="E4070" s="341">
        <f t="shared" si="67"/>
        <v>-30000</v>
      </c>
      <c r="F4070" s="353">
        <v>0</v>
      </c>
      <c r="G4070" s="353">
        <v>30000</v>
      </c>
      <c r="H4070" t="s">
        <v>747</v>
      </c>
      <c r="I4070" s="355" t="s">
        <v>131</v>
      </c>
      <c r="J4070" s="403" t="s">
        <v>588</v>
      </c>
      <c r="K4070" s="208" t="str">
        <f>IF(J4070&lt;&gt;"",VLOOKUP(J4070,'Libro De Compras 2021'!D:E,2,0),"")</f>
        <v>PROYECTOS Y CONSTRUCCIONES TASCO LIMITADA</v>
      </c>
      <c r="L4070">
        <v>2995</v>
      </c>
      <c r="N4070" s="370"/>
    </row>
    <row r="4071" spans="1:14" s="347" customFormat="1" x14ac:dyDescent="0.25">
      <c r="A4071" s="350">
        <v>44439</v>
      </c>
      <c r="B4071" s="403">
        <f t="shared" si="66"/>
        <v>8</v>
      </c>
      <c r="C4071" s="352">
        <v>3210</v>
      </c>
      <c r="D4071" s="340" t="str">
        <f>VLOOKUP(C4071,Plan!A:B,2,0)</f>
        <v>Donacion Construccion</v>
      </c>
      <c r="E4071" s="341">
        <f t="shared" si="67"/>
        <v>-500000</v>
      </c>
      <c r="F4071" s="353">
        <v>0</v>
      </c>
      <c r="G4071" s="353">
        <v>500000</v>
      </c>
      <c r="H4071" t="s">
        <v>1940</v>
      </c>
      <c r="I4071" s="355" t="s">
        <v>131</v>
      </c>
      <c r="J4071" s="403" t="s">
        <v>588</v>
      </c>
      <c r="K4071" s="208" t="str">
        <f>IF(J4071&lt;&gt;"",VLOOKUP(J4071,'Libro De Compras 2021'!D:E,2,0),"")</f>
        <v>PROYECTOS Y CONSTRUCCIONES TASCO LIMITADA</v>
      </c>
      <c r="L4071" s="403">
        <f>+L4070</f>
        <v>2995</v>
      </c>
      <c r="N4071" s="370"/>
    </row>
    <row r="4072" spans="1:14" s="347" customFormat="1" x14ac:dyDescent="0.25">
      <c r="A4072" s="350">
        <v>44439</v>
      </c>
      <c r="B4072" s="403">
        <f t="shared" si="66"/>
        <v>8</v>
      </c>
      <c r="C4072" s="352">
        <v>3210</v>
      </c>
      <c r="D4072" s="340" t="str">
        <f>VLOOKUP(C4072,Plan!A:B,2,0)</f>
        <v>Donacion Construccion</v>
      </c>
      <c r="E4072" s="341">
        <f t="shared" si="67"/>
        <v>-20000</v>
      </c>
      <c r="F4072" s="353">
        <v>0</v>
      </c>
      <c r="G4072" s="353">
        <v>20000</v>
      </c>
      <c r="H4072" t="s">
        <v>1236</v>
      </c>
      <c r="I4072" s="355" t="s">
        <v>131</v>
      </c>
      <c r="K4072" s="370"/>
      <c r="N4072" s="370"/>
    </row>
    <row r="4073" spans="1:14" s="347" customFormat="1" x14ac:dyDescent="0.25">
      <c r="A4073" s="350">
        <v>44439</v>
      </c>
      <c r="B4073" s="403">
        <f t="shared" si="66"/>
        <v>8</v>
      </c>
      <c r="C4073" s="352">
        <v>1222</v>
      </c>
      <c r="D4073" s="340" t="str">
        <f>VLOOKUP(C4073,Plan!A:B,2,0)</f>
        <v>Otros Valores -Oficina y Transferencias (249)</v>
      </c>
      <c r="E4073" s="341">
        <f t="shared" si="67"/>
        <v>-90000</v>
      </c>
      <c r="F4073" s="353">
        <v>0</v>
      </c>
      <c r="G4073" s="353">
        <v>90000</v>
      </c>
      <c r="H4073" t="s">
        <v>1631</v>
      </c>
      <c r="I4073" s="355" t="s">
        <v>131</v>
      </c>
      <c r="J4073" t="s">
        <v>605</v>
      </c>
      <c r="K4073" t="s">
        <v>606</v>
      </c>
      <c r="L4073">
        <v>6271</v>
      </c>
      <c r="M4073" s="343" t="s">
        <v>614</v>
      </c>
      <c r="N4073" t="str">
        <f>IF(M4073&lt;&gt;"",VLOOKUP(M4073,[1]Plan!F$1:G$65536,2,0),"")</f>
        <v>ITO</v>
      </c>
    </row>
    <row r="4074" spans="1:14" s="347" customFormat="1" x14ac:dyDescent="0.25">
      <c r="A4074" s="350">
        <v>44439</v>
      </c>
      <c r="B4074" s="403">
        <f t="shared" si="66"/>
        <v>8</v>
      </c>
      <c r="C4074" s="352">
        <v>3210</v>
      </c>
      <c r="D4074" s="340" t="str">
        <f>VLOOKUP(C4074,Plan!A:B,2,0)</f>
        <v>Donacion Construccion</v>
      </c>
      <c r="E4074" s="341">
        <f t="shared" si="67"/>
        <v>-50000</v>
      </c>
      <c r="F4074" s="353">
        <v>0</v>
      </c>
      <c r="G4074" s="353">
        <v>50000</v>
      </c>
      <c r="H4074" t="s">
        <v>733</v>
      </c>
      <c r="I4074" s="355" t="s">
        <v>131</v>
      </c>
      <c r="J4074" t="s">
        <v>605</v>
      </c>
      <c r="K4074" t="s">
        <v>606</v>
      </c>
      <c r="L4074">
        <f>+L4073</f>
        <v>6271</v>
      </c>
      <c r="M4074" s="343" t="s">
        <v>614</v>
      </c>
      <c r="N4074" t="str">
        <f>IF(M4074&lt;&gt;"",VLOOKUP(M4074,[1]Plan!F$1:G$65536,2,0),"")</f>
        <v>ITO</v>
      </c>
    </row>
    <row r="4075" spans="1:14" s="347" customFormat="1" x14ac:dyDescent="0.25">
      <c r="A4075" s="350">
        <v>44439</v>
      </c>
      <c r="B4075" s="403">
        <f t="shared" si="66"/>
        <v>8</v>
      </c>
      <c r="C4075" s="352">
        <v>1222</v>
      </c>
      <c r="D4075" s="340" t="str">
        <f>VLOOKUP(C4075,Plan!A:B,2,0)</f>
        <v>Otros Valores -Oficina y Transferencias (249)</v>
      </c>
      <c r="E4075" s="341">
        <f t="shared" si="67"/>
        <v>-100000</v>
      </c>
      <c r="F4075" s="353">
        <v>0</v>
      </c>
      <c r="G4075" s="353">
        <v>100000</v>
      </c>
      <c r="H4075" t="s">
        <v>743</v>
      </c>
      <c r="I4075" s="355" t="s">
        <v>131</v>
      </c>
      <c r="K4075" s="370"/>
      <c r="N4075" s="370"/>
    </row>
    <row r="4076" spans="1:14" s="347" customFormat="1" x14ac:dyDescent="0.25">
      <c r="A4076" s="350">
        <v>44439</v>
      </c>
      <c r="B4076" s="403">
        <f t="shared" si="66"/>
        <v>8</v>
      </c>
      <c r="C4076" s="352">
        <v>204</v>
      </c>
      <c r="D4076" s="340" t="str">
        <f>VLOOKUP(C4076,Plan!A:B,2,0)</f>
        <v>Retención Honorarios Cali</v>
      </c>
      <c r="E4076" s="341">
        <f t="shared" si="67"/>
        <v>46890</v>
      </c>
      <c r="F4076" s="353">
        <v>0</v>
      </c>
      <c r="G4076" s="353">
        <v>-46890</v>
      </c>
      <c r="H4076" t="s">
        <v>1930</v>
      </c>
      <c r="I4076" s="355" t="s">
        <v>131</v>
      </c>
      <c r="K4076" s="370"/>
      <c r="N4076" s="370"/>
    </row>
    <row r="4077" spans="1:14" s="347" customFormat="1" x14ac:dyDescent="0.25">
      <c r="A4077" s="350">
        <v>44439</v>
      </c>
      <c r="B4077" s="403">
        <f t="shared" si="66"/>
        <v>8</v>
      </c>
      <c r="C4077" s="352">
        <v>1222</v>
      </c>
      <c r="D4077" s="340" t="str">
        <f>VLOOKUP(C4077,Plan!A:B,2,0)</f>
        <v>Otros Valores -Oficina y Transferencias (249)</v>
      </c>
      <c r="E4077" s="341">
        <f t="shared" si="67"/>
        <v>-30000</v>
      </c>
      <c r="F4077" s="353">
        <v>0</v>
      </c>
      <c r="G4077" s="353">
        <v>30000</v>
      </c>
      <c r="H4077" t="s">
        <v>737</v>
      </c>
      <c r="I4077" s="355" t="s">
        <v>131</v>
      </c>
      <c r="K4077" s="370"/>
      <c r="N4077" s="370"/>
    </row>
    <row r="4078" spans="1:14" s="347" customFormat="1" x14ac:dyDescent="0.25">
      <c r="A4078" s="350">
        <v>44439</v>
      </c>
      <c r="B4078" s="403">
        <f t="shared" si="66"/>
        <v>8</v>
      </c>
      <c r="C4078" s="352">
        <v>3210</v>
      </c>
      <c r="D4078" s="340" t="str">
        <f>VLOOKUP(C4078,Plan!A:B,2,0)</f>
        <v>Donacion Construccion</v>
      </c>
      <c r="E4078" s="341">
        <f t="shared" si="67"/>
        <v>-20000</v>
      </c>
      <c r="F4078" s="353">
        <v>0</v>
      </c>
      <c r="G4078" s="353">
        <v>20000</v>
      </c>
      <c r="H4078" t="s">
        <v>1697</v>
      </c>
      <c r="I4078" s="355" t="s">
        <v>131</v>
      </c>
      <c r="K4078" s="370"/>
      <c r="N4078" s="370"/>
    </row>
    <row r="4079" spans="1:14" s="347" customFormat="1" x14ac:dyDescent="0.25">
      <c r="A4079" s="350">
        <v>44439</v>
      </c>
      <c r="B4079" s="403">
        <f t="shared" si="66"/>
        <v>8</v>
      </c>
      <c r="C4079" s="352">
        <v>1222</v>
      </c>
      <c r="D4079" s="340" t="str">
        <f>VLOOKUP(C4079,Plan!A:B,2,0)</f>
        <v>Otros Valores -Oficina y Transferencias (249)</v>
      </c>
      <c r="E4079" s="341">
        <f t="shared" si="67"/>
        <v>-70000</v>
      </c>
      <c r="F4079" s="353">
        <v>0</v>
      </c>
      <c r="G4079" s="353">
        <v>70000</v>
      </c>
      <c r="H4079" t="s">
        <v>1906</v>
      </c>
      <c r="I4079" s="355" t="s">
        <v>131</v>
      </c>
      <c r="K4079" s="370"/>
      <c r="N4079" s="370"/>
    </row>
    <row r="4080" spans="1:14" s="347" customFormat="1" x14ac:dyDescent="0.25">
      <c r="A4080" s="350">
        <v>44439</v>
      </c>
      <c r="B4080" s="403">
        <f t="shared" si="66"/>
        <v>8</v>
      </c>
      <c r="C4080" s="352">
        <v>1217</v>
      </c>
      <c r="D4080" s="340" t="str">
        <f>VLOOKUP(C4080,Plan!A:B,2,0)</f>
        <v>Otros Valores -Oficina y Transferencias (248)</v>
      </c>
      <c r="E4080" s="341">
        <f t="shared" si="67"/>
        <v>-21000</v>
      </c>
      <c r="F4080" s="353">
        <v>0</v>
      </c>
      <c r="G4080" s="353">
        <v>21000</v>
      </c>
      <c r="H4080" t="s">
        <v>1938</v>
      </c>
      <c r="I4080" s="355" t="s">
        <v>131</v>
      </c>
      <c r="K4080" s="370"/>
      <c r="N4080" s="370"/>
    </row>
    <row r="4081" spans="1:14" s="347" customFormat="1" x14ac:dyDescent="0.25">
      <c r="A4081" s="350">
        <v>44439</v>
      </c>
      <c r="B4081" s="403">
        <f t="shared" si="66"/>
        <v>8</v>
      </c>
      <c r="C4081" s="352">
        <v>1222</v>
      </c>
      <c r="D4081" s="340" t="str">
        <f>VLOOKUP(C4081,Plan!A:B,2,0)</f>
        <v>Otros Valores -Oficina y Transferencias (249)</v>
      </c>
      <c r="E4081" s="341">
        <f t="shared" si="67"/>
        <v>-70000</v>
      </c>
      <c r="F4081" s="353">
        <v>0</v>
      </c>
      <c r="G4081" s="353">
        <v>70000</v>
      </c>
      <c r="H4081" t="s">
        <v>1902</v>
      </c>
      <c r="I4081" s="355" t="s">
        <v>131</v>
      </c>
      <c r="K4081" s="370"/>
      <c r="N4081" s="370"/>
    </row>
    <row r="4082" spans="1:14" s="347" customFormat="1" x14ac:dyDescent="0.25">
      <c r="A4082" s="350">
        <v>44439</v>
      </c>
      <c r="B4082" s="403">
        <f t="shared" si="66"/>
        <v>8</v>
      </c>
      <c r="C4082" s="352">
        <v>1222</v>
      </c>
      <c r="D4082" s="340" t="str">
        <f>VLOOKUP(C4082,Plan!A:B,2,0)</f>
        <v>Otros Valores -Oficina y Transferencias (249)</v>
      </c>
      <c r="E4082" s="341">
        <f t="shared" si="67"/>
        <v>-15000</v>
      </c>
      <c r="F4082" s="353">
        <v>0</v>
      </c>
      <c r="G4082" s="353">
        <v>15000</v>
      </c>
      <c r="H4082" t="s">
        <v>688</v>
      </c>
      <c r="I4082" s="355" t="s">
        <v>131</v>
      </c>
      <c r="K4082" s="370"/>
      <c r="N4082" s="370"/>
    </row>
    <row r="4083" spans="1:14" s="347" customFormat="1" x14ac:dyDescent="0.25">
      <c r="A4083" s="350">
        <v>44439</v>
      </c>
      <c r="B4083" s="403">
        <f t="shared" si="66"/>
        <v>8</v>
      </c>
      <c r="C4083" s="352">
        <v>1222</v>
      </c>
      <c r="D4083" s="340" t="str">
        <f>VLOOKUP(C4083,Plan!A:B,2,0)</f>
        <v>Otros Valores -Oficina y Transferencias (249)</v>
      </c>
      <c r="E4083" s="341">
        <f t="shared" si="67"/>
        <v>-50000</v>
      </c>
      <c r="F4083" s="353">
        <v>0</v>
      </c>
      <c r="G4083" s="353">
        <v>50000</v>
      </c>
      <c r="H4083" t="s">
        <v>1459</v>
      </c>
      <c r="I4083" s="355" t="s">
        <v>131</v>
      </c>
      <c r="K4083" s="370"/>
      <c r="N4083" s="370"/>
    </row>
    <row r="4084" spans="1:14" s="347" customFormat="1" x14ac:dyDescent="0.25">
      <c r="A4084" s="350">
        <v>44439</v>
      </c>
      <c r="B4084" s="403">
        <f t="shared" si="66"/>
        <v>8</v>
      </c>
      <c r="C4084" s="352">
        <v>1216</v>
      </c>
      <c r="D4084" s="340" t="str">
        <f>VLOOKUP(C4084,Plan!A:B,2,0)</f>
        <v>Otros Valores Recaudadoras</v>
      </c>
      <c r="E4084" s="341">
        <f t="shared" si="67"/>
        <v>-35000</v>
      </c>
      <c r="F4084" s="353">
        <v>0</v>
      </c>
      <c r="G4084" s="353">
        <v>35000</v>
      </c>
      <c r="H4084" t="s">
        <v>1923</v>
      </c>
      <c r="I4084" s="355" t="s">
        <v>131</v>
      </c>
      <c r="K4084" s="370"/>
      <c r="N4084" s="370"/>
    </row>
    <row r="4085" spans="1:14" s="347" customFormat="1" x14ac:dyDescent="0.25">
      <c r="A4085" s="350">
        <v>44439</v>
      </c>
      <c r="B4085" s="403">
        <f t="shared" si="66"/>
        <v>8</v>
      </c>
      <c r="C4085" s="352">
        <v>1222</v>
      </c>
      <c r="D4085" s="340" t="str">
        <f>VLOOKUP(C4085,Plan!A:B,2,0)</f>
        <v>Otros Valores -Oficina y Transferencias (249)</v>
      </c>
      <c r="E4085" s="341">
        <f t="shared" si="67"/>
        <v>-30000</v>
      </c>
      <c r="F4085" s="353">
        <v>0</v>
      </c>
      <c r="G4085" s="353">
        <v>30000</v>
      </c>
      <c r="H4085" t="s">
        <v>675</v>
      </c>
      <c r="I4085" s="355" t="s">
        <v>131</v>
      </c>
      <c r="K4085" s="370"/>
      <c r="N4085" s="370"/>
    </row>
    <row r="4086" spans="1:14" s="347" customFormat="1" x14ac:dyDescent="0.25">
      <c r="A4086" s="350"/>
      <c r="B4086" s="403"/>
      <c r="C4086" s="352"/>
      <c r="D4086" s="340"/>
      <c r="E4086" s="341"/>
      <c r="F4086" s="353"/>
      <c r="G4086" s="353"/>
      <c r="H4086"/>
      <c r="I4086" s="355"/>
      <c r="K4086" s="370"/>
      <c r="N4086" s="370"/>
    </row>
    <row r="4087" spans="1:14" s="347" customFormat="1" x14ac:dyDescent="0.25">
      <c r="A4087" s="339">
        <v>44439</v>
      </c>
      <c r="B4087" s="403">
        <f t="shared" ref="B4087:B4113" si="68">+MONTH(A4087)</f>
        <v>8</v>
      </c>
      <c r="C4087" s="352">
        <v>3620</v>
      </c>
      <c r="D4087" s="340" t="str">
        <f>VLOOKUP(C4087,Plan!A:B,2,0)</f>
        <v>Cali Recaudadores</v>
      </c>
      <c r="E4087" s="341">
        <f t="shared" ref="E4087:E4113" si="69">+F4087-G4087</f>
        <v>-602000</v>
      </c>
      <c r="F4087" s="353">
        <v>0</v>
      </c>
      <c r="G4087" s="353">
        <v>602000</v>
      </c>
      <c r="H4087" s="354" t="s">
        <v>2102</v>
      </c>
      <c r="I4087" s="355" t="s">
        <v>131</v>
      </c>
      <c r="K4087" s="370"/>
      <c r="N4087" s="370"/>
    </row>
    <row r="4088" spans="1:14" s="347" customFormat="1" x14ac:dyDescent="0.25">
      <c r="A4088" s="350">
        <f>+A4087</f>
        <v>44439</v>
      </c>
      <c r="B4088" s="403">
        <f t="shared" si="68"/>
        <v>8</v>
      </c>
      <c r="C4088" s="352">
        <v>3621</v>
      </c>
      <c r="D4088" s="340" t="str">
        <f>VLOOKUP(C4088,Plan!A:B,2,0)</f>
        <v>Cali Recaudadores (249)</v>
      </c>
      <c r="E4088" s="341">
        <f t="shared" si="69"/>
        <v>0</v>
      </c>
      <c r="F4088" s="353">
        <v>0</v>
      </c>
      <c r="G4088" s="353">
        <v>0</v>
      </c>
      <c r="H4088" s="354" t="str">
        <f t="shared" ref="H4088:H4095" si="70">+H4087</f>
        <v>Centralización Recaudación Agosto</v>
      </c>
      <c r="I4088" s="355" t="s">
        <v>131</v>
      </c>
      <c r="K4088" s="370"/>
      <c r="N4088" s="370"/>
    </row>
    <row r="4089" spans="1:14" s="347" customFormat="1" x14ac:dyDescent="0.25">
      <c r="A4089" s="350">
        <f>+A4087</f>
        <v>44439</v>
      </c>
      <c r="B4089" s="403">
        <f t="shared" si="68"/>
        <v>8</v>
      </c>
      <c r="C4089" s="352">
        <v>3630</v>
      </c>
      <c r="D4089" s="340" t="str">
        <f>VLOOKUP(C4089,Plan!A:B,2,0)</f>
        <v>Cali Oficina Parroquial</v>
      </c>
      <c r="E4089" s="341">
        <f t="shared" si="69"/>
        <v>-1044000</v>
      </c>
      <c r="F4089" s="353">
        <v>0</v>
      </c>
      <c r="G4089" s="353">
        <v>1044000</v>
      </c>
      <c r="H4089" s="354" t="str">
        <f t="shared" si="70"/>
        <v>Centralización Recaudación Agosto</v>
      </c>
      <c r="I4089" s="355" t="s">
        <v>131</v>
      </c>
      <c r="K4089" s="370"/>
      <c r="N4089" s="370"/>
    </row>
    <row r="4090" spans="1:14" s="347" customFormat="1" x14ac:dyDescent="0.25">
      <c r="A4090" s="350">
        <f>+A4088</f>
        <v>44439</v>
      </c>
      <c r="B4090" s="403">
        <f t="shared" si="68"/>
        <v>8</v>
      </c>
      <c r="C4090" s="352">
        <v>3631</v>
      </c>
      <c r="D4090" s="340" t="str">
        <f>VLOOKUP(C4090,Plan!A:B,2,0)</f>
        <v>Cali Oficina Parroquial (249)</v>
      </c>
      <c r="E4090" s="341">
        <f t="shared" si="69"/>
        <v>-3787000</v>
      </c>
      <c r="F4090" s="353">
        <v>0</v>
      </c>
      <c r="G4090" s="353">
        <v>3787000</v>
      </c>
      <c r="H4090" s="354" t="str">
        <f t="shared" si="70"/>
        <v>Centralización Recaudación Agosto</v>
      </c>
      <c r="I4090" s="355" t="s">
        <v>131</v>
      </c>
      <c r="K4090" s="370"/>
      <c r="N4090" s="370"/>
    </row>
    <row r="4091" spans="1:14" s="347" customFormat="1" x14ac:dyDescent="0.25">
      <c r="A4091" s="350">
        <f>+A4089</f>
        <v>44439</v>
      </c>
      <c r="B4091" s="403">
        <f t="shared" si="68"/>
        <v>8</v>
      </c>
      <c r="C4091" s="352">
        <v>3640</v>
      </c>
      <c r="D4091" s="340" t="str">
        <f>VLOOKUP(C4091,Plan!A:B,2,0)</f>
        <v>Cali Tarjetas de Creditos</v>
      </c>
      <c r="E4091" s="341">
        <f t="shared" si="69"/>
        <v>-4190600</v>
      </c>
      <c r="F4091" s="353">
        <v>0</v>
      </c>
      <c r="G4091" s="353">
        <v>4190600</v>
      </c>
      <c r="H4091" s="354" t="str">
        <f t="shared" si="70"/>
        <v>Centralización Recaudación Agosto</v>
      </c>
      <c r="I4091" s="355" t="s">
        <v>131</v>
      </c>
      <c r="K4091" s="370"/>
      <c r="N4091" s="370"/>
    </row>
    <row r="4092" spans="1:14" s="347" customFormat="1" x14ac:dyDescent="0.25">
      <c r="A4092" s="350">
        <f>+A4090</f>
        <v>44439</v>
      </c>
      <c r="B4092" s="403">
        <f t="shared" si="68"/>
        <v>8</v>
      </c>
      <c r="C4092" s="352">
        <v>3641</v>
      </c>
      <c r="D4092" s="340" t="str">
        <f>VLOOKUP(C4092,Plan!A:B,2,0)</f>
        <v>Cali Tarjetas de Creditos (249)</v>
      </c>
      <c r="E4092" s="341">
        <f t="shared" si="69"/>
        <v>-7622213</v>
      </c>
      <c r="F4092" s="353">
        <v>0</v>
      </c>
      <c r="G4092" s="353">
        <v>7622213</v>
      </c>
      <c r="H4092" s="354" t="str">
        <f t="shared" si="70"/>
        <v>Centralización Recaudación Agosto</v>
      </c>
      <c r="I4092" s="355" t="s">
        <v>131</v>
      </c>
      <c r="K4092" s="370"/>
      <c r="N4092" s="370"/>
    </row>
    <row r="4093" spans="1:14" s="347" customFormat="1" x14ac:dyDescent="0.25">
      <c r="A4093" s="350">
        <f>+A4091</f>
        <v>44439</v>
      </c>
      <c r="B4093" s="403">
        <f t="shared" si="68"/>
        <v>8</v>
      </c>
      <c r="C4093" s="352">
        <v>1216</v>
      </c>
      <c r="D4093" s="340" t="str">
        <f>VLOOKUP(C4093,Plan!A:B,2,0)</f>
        <v>Otros Valores Recaudadoras</v>
      </c>
      <c r="E4093" s="341">
        <f t="shared" si="69"/>
        <v>602000</v>
      </c>
      <c r="F4093" s="353">
        <f>+G4087+G4088</f>
        <v>602000</v>
      </c>
      <c r="G4093" s="353">
        <v>0</v>
      </c>
      <c r="H4093" s="354" t="str">
        <f t="shared" si="70"/>
        <v>Centralización Recaudación Agosto</v>
      </c>
      <c r="I4093" s="355" t="s">
        <v>131</v>
      </c>
      <c r="K4093" s="370"/>
      <c r="N4093" s="370"/>
    </row>
    <row r="4094" spans="1:14" s="347" customFormat="1" x14ac:dyDescent="0.25">
      <c r="A4094" s="350">
        <f>+A4093</f>
        <v>44439</v>
      </c>
      <c r="B4094" s="403">
        <f t="shared" si="68"/>
        <v>8</v>
      </c>
      <c r="C4094" s="352">
        <v>1217</v>
      </c>
      <c r="D4094" s="340" t="str">
        <f>VLOOKUP(C4094,Plan!A:B,2,0)</f>
        <v>Otros Valores -Oficina y Transferencias (248)</v>
      </c>
      <c r="E4094" s="341">
        <f t="shared" si="69"/>
        <v>1044000</v>
      </c>
      <c r="F4094" s="353">
        <f>+G4089</f>
        <v>1044000</v>
      </c>
      <c r="G4094" s="353">
        <v>0</v>
      </c>
      <c r="H4094" s="354" t="str">
        <f t="shared" si="70"/>
        <v>Centralización Recaudación Agosto</v>
      </c>
      <c r="I4094" s="355" t="s">
        <v>131</v>
      </c>
      <c r="K4094" s="370"/>
      <c r="N4094" s="370"/>
    </row>
    <row r="4095" spans="1:14" s="347" customFormat="1" x14ac:dyDescent="0.25">
      <c r="A4095" s="350">
        <f>+A4094</f>
        <v>44439</v>
      </c>
      <c r="B4095" s="403">
        <f t="shared" si="68"/>
        <v>8</v>
      </c>
      <c r="C4095" s="352">
        <v>1222</v>
      </c>
      <c r="D4095" s="340" t="str">
        <f>VLOOKUP(C4095,Plan!A:B,2,0)</f>
        <v>Otros Valores -Oficina y Transferencias (249)</v>
      </c>
      <c r="E4095" s="341">
        <f t="shared" si="69"/>
        <v>3787000</v>
      </c>
      <c r="F4095" s="353">
        <f>+G4090</f>
        <v>3787000</v>
      </c>
      <c r="G4095" s="353">
        <v>0</v>
      </c>
      <c r="H4095" s="354" t="str">
        <f t="shared" si="70"/>
        <v>Centralización Recaudación Agosto</v>
      </c>
      <c r="I4095" s="355" t="s">
        <v>131</v>
      </c>
      <c r="K4095" s="370"/>
      <c r="N4095" s="370"/>
    </row>
    <row r="4096" spans="1:14" s="347" customFormat="1" x14ac:dyDescent="0.25">
      <c r="A4096" s="350">
        <f>+A4094</f>
        <v>44439</v>
      </c>
      <c r="B4096" s="403">
        <f t="shared" si="68"/>
        <v>8</v>
      </c>
      <c r="C4096" s="352">
        <v>1218</v>
      </c>
      <c r="D4096" s="340" t="str">
        <f>VLOOKUP(C4096,Plan!A:B,2,0)</f>
        <v>Otros Valores Tarjeta de Credito</v>
      </c>
      <c r="E4096" s="341">
        <f t="shared" si="69"/>
        <v>11812813</v>
      </c>
      <c r="F4096" s="353">
        <f>+G4091+G4092</f>
        <v>11812813</v>
      </c>
      <c r="G4096" s="353">
        <v>0</v>
      </c>
      <c r="H4096" s="354" t="str">
        <f>+H4094</f>
        <v>Centralización Recaudación Agosto</v>
      </c>
      <c r="I4096" s="355" t="s">
        <v>131</v>
      </c>
      <c r="K4096" s="370"/>
      <c r="N4096" s="370"/>
    </row>
    <row r="4097" spans="1:14" s="347" customFormat="1" x14ac:dyDescent="0.25">
      <c r="A4097" s="350">
        <f t="shared" ref="A4097:A4104" si="71">+A4096</f>
        <v>44439</v>
      </c>
      <c r="B4097" s="403">
        <f t="shared" si="68"/>
        <v>8</v>
      </c>
      <c r="C4097" s="352">
        <v>202</v>
      </c>
      <c r="D4097" s="340" t="str">
        <f>VLOOKUP(C4097,Plan!A:B,2,0)</f>
        <v>Arzobispado por pagar</v>
      </c>
      <c r="E4097" s="341">
        <f t="shared" si="69"/>
        <v>-3050908</v>
      </c>
      <c r="F4097" s="353">
        <v>0</v>
      </c>
      <c r="G4097" s="353">
        <f>+ROUND((((G4087+G4089+G4091)*0.99)*0.88)*0.6,0)</f>
        <v>3050908</v>
      </c>
      <c r="H4097" s="354" t="str">
        <f t="shared" ref="H4097:H4113" si="72">+H4096</f>
        <v>Centralización Recaudación Agosto</v>
      </c>
      <c r="I4097" s="355" t="s">
        <v>131</v>
      </c>
      <c r="K4097" s="370"/>
      <c r="N4097" s="370"/>
    </row>
    <row r="4098" spans="1:14" s="347" customFormat="1" x14ac:dyDescent="0.25">
      <c r="A4098" s="350">
        <f t="shared" si="71"/>
        <v>44439</v>
      </c>
      <c r="B4098" s="403">
        <f t="shared" si="68"/>
        <v>8</v>
      </c>
      <c r="C4098" s="352">
        <v>4120</v>
      </c>
      <c r="D4098" s="340" t="str">
        <f>VLOOKUP(C4098,Plan!A:B,2,0)</f>
        <v>Aporte Arzobispado</v>
      </c>
      <c r="E4098" s="341">
        <f t="shared" si="69"/>
        <v>3050908</v>
      </c>
      <c r="F4098" s="353">
        <f>+G4097</f>
        <v>3050908</v>
      </c>
      <c r="G4098" s="353">
        <v>0</v>
      </c>
      <c r="H4098" s="354" t="str">
        <f t="shared" si="72"/>
        <v>Centralización Recaudación Agosto</v>
      </c>
      <c r="I4098" s="355" t="s">
        <v>131</v>
      </c>
      <c r="K4098" s="370"/>
      <c r="N4098" s="370"/>
    </row>
    <row r="4099" spans="1:14" s="347" customFormat="1" x14ac:dyDescent="0.25">
      <c r="A4099" s="350">
        <f t="shared" si="71"/>
        <v>44439</v>
      </c>
      <c r="B4099" s="403">
        <f t="shared" si="68"/>
        <v>8</v>
      </c>
      <c r="C4099" s="352">
        <v>203</v>
      </c>
      <c r="D4099" s="340" t="str">
        <f>VLOOKUP(C4099,Plan!A:B,2,0)</f>
        <v>Recaudadoras por pagar</v>
      </c>
      <c r="E4099" s="341">
        <f t="shared" si="69"/>
        <v>-72240</v>
      </c>
      <c r="F4099" s="353">
        <v>0</v>
      </c>
      <c r="G4099" s="356">
        <f>+F4093*0.12</f>
        <v>72240</v>
      </c>
      <c r="H4099" s="354" t="str">
        <f t="shared" si="72"/>
        <v>Centralización Recaudación Agosto</v>
      </c>
      <c r="I4099" s="355" t="s">
        <v>131</v>
      </c>
      <c r="K4099" s="370"/>
      <c r="N4099" s="370"/>
    </row>
    <row r="4100" spans="1:14" s="347" customFormat="1" x14ac:dyDescent="0.25">
      <c r="A4100" s="350">
        <f t="shared" si="71"/>
        <v>44439</v>
      </c>
      <c r="B4100" s="403">
        <f t="shared" si="68"/>
        <v>8</v>
      </c>
      <c r="C4100" s="352">
        <v>201</v>
      </c>
      <c r="D4100" s="340" t="str">
        <f>VLOOKUP(C4100,Plan!A:B,2,0)</f>
        <v>1% por pagar</v>
      </c>
      <c r="E4100" s="341">
        <f t="shared" si="69"/>
        <v>-172458</v>
      </c>
      <c r="F4100" s="353">
        <v>0</v>
      </c>
      <c r="G4100" s="356">
        <f>ROUND(SUM(G4087:G4092)*0.01,0)</f>
        <v>172458</v>
      </c>
      <c r="H4100" s="354" t="str">
        <f t="shared" si="72"/>
        <v>Centralización Recaudación Agosto</v>
      </c>
      <c r="I4100" s="355" t="s">
        <v>131</v>
      </c>
      <c r="K4100" s="370"/>
      <c r="N4100" s="370"/>
    </row>
    <row r="4101" spans="1:14" s="347" customFormat="1" x14ac:dyDescent="0.25">
      <c r="A4101" s="350">
        <f t="shared" si="71"/>
        <v>44439</v>
      </c>
      <c r="B4101" s="403">
        <f t="shared" si="68"/>
        <v>8</v>
      </c>
      <c r="C4101" s="352">
        <v>4140</v>
      </c>
      <c r="D4101" s="340" t="str">
        <f>VLOOKUP(C4101,Plan!A:B,2,0)</f>
        <v>Comisiones Cali Recaudadores</v>
      </c>
      <c r="E4101" s="341">
        <f t="shared" si="69"/>
        <v>72240</v>
      </c>
      <c r="F4101" s="353">
        <f>+G4099</f>
        <v>72240</v>
      </c>
      <c r="G4101" s="353">
        <v>0</v>
      </c>
      <c r="H4101" s="354" t="str">
        <f t="shared" si="72"/>
        <v>Centralización Recaudación Agosto</v>
      </c>
      <c r="I4101" s="355" t="s">
        <v>131</v>
      </c>
      <c r="K4101" s="370"/>
      <c r="N4101" s="370"/>
    </row>
    <row r="4102" spans="1:14" s="347" customFormat="1" x14ac:dyDescent="0.25">
      <c r="A4102" s="350">
        <f t="shared" si="71"/>
        <v>44439</v>
      </c>
      <c r="B4102" s="403">
        <f t="shared" si="68"/>
        <v>8</v>
      </c>
      <c r="C4102" s="352">
        <v>4110</v>
      </c>
      <c r="D4102" s="340" t="str">
        <f>VLOOKUP(C4102,Plan!A:B,2,0)</f>
        <v>Aporte Papal</v>
      </c>
      <c r="E4102" s="341">
        <f t="shared" si="69"/>
        <v>172458</v>
      </c>
      <c r="F4102" s="353">
        <f>+G4100</f>
        <v>172458</v>
      </c>
      <c r="G4102" s="353">
        <v>0</v>
      </c>
      <c r="H4102" s="354" t="str">
        <f t="shared" si="72"/>
        <v>Centralización Recaudación Agosto</v>
      </c>
      <c r="I4102" s="355" t="s">
        <v>131</v>
      </c>
      <c r="K4102" s="370"/>
      <c r="N4102" s="370"/>
    </row>
    <row r="4103" spans="1:14" s="347" customFormat="1" x14ac:dyDescent="0.25">
      <c r="A4103" s="470">
        <f t="shared" si="71"/>
        <v>44439</v>
      </c>
      <c r="B4103" s="403">
        <f t="shared" si="68"/>
        <v>8</v>
      </c>
      <c r="C4103" s="471">
        <v>3610</v>
      </c>
      <c r="D4103" s="472" t="str">
        <f>VLOOKUP(C4103,Plan!A:B,2,0)</f>
        <v>Cali  Arzobispado</v>
      </c>
      <c r="E4103" s="341">
        <f t="shared" si="69"/>
        <v>-6153463</v>
      </c>
      <c r="F4103" s="473">
        <v>0</v>
      </c>
      <c r="G4103" s="473">
        <v>6153463</v>
      </c>
      <c r="H4103" s="474" t="str">
        <f t="shared" si="72"/>
        <v>Centralización Recaudación Agosto</v>
      </c>
      <c r="I4103" s="474" t="s">
        <v>131</v>
      </c>
      <c r="K4103" s="370"/>
      <c r="N4103" s="370"/>
    </row>
    <row r="4104" spans="1:14" s="347" customFormat="1" x14ac:dyDescent="0.25">
      <c r="A4104" s="470">
        <f t="shared" si="71"/>
        <v>44439</v>
      </c>
      <c r="B4104" s="403">
        <f t="shared" si="68"/>
        <v>8</v>
      </c>
      <c r="C4104" s="471">
        <v>3611</v>
      </c>
      <c r="D4104" s="472" t="str">
        <f>VLOOKUP(C4104,Plan!A:B,2,0)</f>
        <v>Cali  Arzobispado (249)</v>
      </c>
      <c r="E4104" s="341">
        <f t="shared" si="69"/>
        <v>-1975500</v>
      </c>
      <c r="F4104" s="473">
        <v>0</v>
      </c>
      <c r="G4104" s="473">
        <v>1975500</v>
      </c>
      <c r="H4104" s="474" t="str">
        <f t="shared" si="72"/>
        <v>Centralización Recaudación Agosto</v>
      </c>
      <c r="I4104" s="474" t="s">
        <v>131</v>
      </c>
      <c r="K4104" s="370"/>
      <c r="N4104" s="370"/>
    </row>
    <row r="4105" spans="1:14" s="347" customFormat="1" x14ac:dyDescent="0.25">
      <c r="A4105" s="470">
        <f>+A4103</f>
        <v>44439</v>
      </c>
      <c r="B4105" s="403">
        <f t="shared" si="68"/>
        <v>8</v>
      </c>
      <c r="C4105" s="471">
        <v>4160</v>
      </c>
      <c r="D4105" s="472" t="str">
        <f>VLOOKUP(C4105,Plan!A:B,2,0)</f>
        <v>Comisiones Cali Arzobispado</v>
      </c>
      <c r="E4105" s="341">
        <f t="shared" si="69"/>
        <v>423695</v>
      </c>
      <c r="F4105" s="473">
        <v>423695</v>
      </c>
      <c r="G4105" s="473">
        <v>0</v>
      </c>
      <c r="H4105" s="474" t="str">
        <f t="shared" si="72"/>
        <v>Centralización Recaudación Agosto</v>
      </c>
      <c r="I4105" s="474" t="s">
        <v>131</v>
      </c>
      <c r="K4105" s="370"/>
      <c r="N4105" s="370"/>
    </row>
    <row r="4106" spans="1:14" s="347" customFormat="1" x14ac:dyDescent="0.25">
      <c r="A4106" s="470">
        <f>+A4104</f>
        <v>44439</v>
      </c>
      <c r="B4106" s="403">
        <f t="shared" si="68"/>
        <v>8</v>
      </c>
      <c r="C4106" s="471">
        <v>4160</v>
      </c>
      <c r="D4106" s="472" t="str">
        <f>VLOOKUP(C4106,Plan!A:B,2,0)</f>
        <v>Comisiones Cali Arzobispado</v>
      </c>
      <c r="E4106" s="341">
        <f t="shared" si="69"/>
        <v>49388</v>
      </c>
      <c r="F4106" s="473">
        <v>49388</v>
      </c>
      <c r="G4106" s="473">
        <v>0</v>
      </c>
      <c r="H4106" s="474" t="str">
        <f t="shared" si="72"/>
        <v>Centralización Recaudación Agosto</v>
      </c>
      <c r="I4106" s="474" t="s">
        <v>131</v>
      </c>
      <c r="K4106" s="370"/>
      <c r="N4106" s="370"/>
    </row>
    <row r="4107" spans="1:14" s="347" customFormat="1" x14ac:dyDescent="0.25">
      <c r="A4107" s="350">
        <f>+A4105</f>
        <v>44439</v>
      </c>
      <c r="B4107" s="403">
        <f t="shared" si="68"/>
        <v>8</v>
      </c>
      <c r="C4107" s="352">
        <v>4120</v>
      </c>
      <c r="D4107" s="340" t="str">
        <f>VLOOKUP(C4107,Plan!A:B,2,0)</f>
        <v>Aporte Arzobispado</v>
      </c>
      <c r="E4107" s="341">
        <f t="shared" si="69"/>
        <v>3400940</v>
      </c>
      <c r="F4107" s="353">
        <f>ROUND((+G4103-F4105-F4108)*0.6,0)</f>
        <v>3400940</v>
      </c>
      <c r="G4107" s="353">
        <v>0</v>
      </c>
      <c r="H4107" s="354" t="str">
        <f t="shared" si="72"/>
        <v>Centralización Recaudación Agosto</v>
      </c>
      <c r="I4107" s="355" t="s">
        <v>131</v>
      </c>
      <c r="K4107" s="370"/>
      <c r="N4107" s="370"/>
    </row>
    <row r="4108" spans="1:14" s="347" customFormat="1" x14ac:dyDescent="0.25">
      <c r="A4108" s="350">
        <f>+A4107</f>
        <v>44439</v>
      </c>
      <c r="B4108" s="403">
        <f t="shared" si="68"/>
        <v>8</v>
      </c>
      <c r="C4108" s="352">
        <v>4110</v>
      </c>
      <c r="D4108" s="340" t="str">
        <f>VLOOKUP(C4108,Plan!A:B,2,0)</f>
        <v>Aporte Papal</v>
      </c>
      <c r="E4108" s="341">
        <f t="shared" si="69"/>
        <v>61535</v>
      </c>
      <c r="F4108" s="353">
        <f>ROUND((+G4103)*0.01,0)</f>
        <v>61535</v>
      </c>
      <c r="G4108" s="353">
        <v>0</v>
      </c>
      <c r="H4108" s="354" t="str">
        <f t="shared" si="72"/>
        <v>Centralización Recaudación Agosto</v>
      </c>
      <c r="I4108" s="355" t="s">
        <v>131</v>
      </c>
      <c r="K4108" s="370"/>
      <c r="N4108" s="370"/>
    </row>
    <row r="4109" spans="1:14" s="347" customFormat="1" x14ac:dyDescent="0.25">
      <c r="A4109" s="350">
        <f>+A4108</f>
        <v>44439</v>
      </c>
      <c r="B4109" s="403">
        <f t="shared" si="68"/>
        <v>8</v>
      </c>
      <c r="C4109" s="352">
        <v>4110</v>
      </c>
      <c r="D4109" s="340" t="str">
        <f>VLOOKUP(C4109,Plan!A:B,2,0)</f>
        <v>Aporte Papal</v>
      </c>
      <c r="E4109" s="341">
        <f t="shared" si="69"/>
        <v>19755</v>
      </c>
      <c r="F4109" s="353">
        <f>(+G4104)*0.01</f>
        <v>19755</v>
      </c>
      <c r="G4109" s="353">
        <v>0</v>
      </c>
      <c r="H4109" s="354" t="str">
        <f t="shared" si="72"/>
        <v>Centralización Recaudación Agosto</v>
      </c>
      <c r="I4109" s="355" t="s">
        <v>131</v>
      </c>
      <c r="K4109" s="370"/>
      <c r="N4109" s="370"/>
    </row>
    <row r="4110" spans="1:14" s="347" customFormat="1" x14ac:dyDescent="0.25">
      <c r="A4110" s="350">
        <f>+A4108</f>
        <v>44439</v>
      </c>
      <c r="B4110" s="403">
        <f t="shared" si="68"/>
        <v>8</v>
      </c>
      <c r="C4110" s="352">
        <v>1219</v>
      </c>
      <c r="D4110" s="340" t="str">
        <f>VLOOKUP(C4110,Plan!A:B,2,0)</f>
        <v>Otros Valores Arzobispado (248)</v>
      </c>
      <c r="E4110" s="341">
        <f t="shared" si="69"/>
        <v>2267293</v>
      </c>
      <c r="F4110" s="353">
        <f>+G4103-F4105-F4107-F4108</f>
        <v>2267293</v>
      </c>
      <c r="G4110" s="353">
        <v>0</v>
      </c>
      <c r="H4110" s="354" t="str">
        <f t="shared" si="72"/>
        <v>Centralización Recaudación Agosto</v>
      </c>
      <c r="I4110" s="355" t="s">
        <v>131</v>
      </c>
      <c r="K4110" s="370"/>
      <c r="N4110" s="370"/>
    </row>
    <row r="4111" spans="1:14" s="347" customFormat="1" x14ac:dyDescent="0.25">
      <c r="A4111" s="350">
        <f>+A4110</f>
        <v>44439</v>
      </c>
      <c r="B4111" s="403">
        <f t="shared" si="68"/>
        <v>8</v>
      </c>
      <c r="C4111" s="352">
        <v>1220</v>
      </c>
      <c r="D4111" s="340" t="str">
        <f>VLOOKUP(C4111,Plan!A:B,2,0)</f>
        <v>Otros Valores Arzobispado (249)</v>
      </c>
      <c r="E4111" s="341">
        <f t="shared" si="69"/>
        <v>1906357</v>
      </c>
      <c r="F4111" s="353">
        <f>+G4104-F4106-F4109</f>
        <v>1906357</v>
      </c>
      <c r="G4111" s="353">
        <v>0</v>
      </c>
      <c r="H4111" s="354" t="str">
        <f t="shared" si="72"/>
        <v>Centralización Recaudación Agosto</v>
      </c>
      <c r="I4111" s="355" t="s">
        <v>131</v>
      </c>
      <c r="K4111" s="370"/>
      <c r="N4111" s="370"/>
    </row>
    <row r="4112" spans="1:14" s="347" customFormat="1" x14ac:dyDescent="0.25">
      <c r="A4112" s="350">
        <f>+A4110</f>
        <v>44439</v>
      </c>
      <c r="B4112" s="403">
        <f t="shared" si="68"/>
        <v>8</v>
      </c>
      <c r="C4112" s="352">
        <v>1218</v>
      </c>
      <c r="D4112" s="340" t="str">
        <f>VLOOKUP(C4112,Plan!A:B,2,0)</f>
        <v>Otros Valores Tarjeta de Credito</v>
      </c>
      <c r="E4112" s="341">
        <f t="shared" si="69"/>
        <v>-140572</v>
      </c>
      <c r="F4112" s="353">
        <f>+G4105+G4107</f>
        <v>0</v>
      </c>
      <c r="G4112" s="353">
        <f>+F4113</f>
        <v>140572</v>
      </c>
      <c r="H4112" s="354" t="str">
        <f t="shared" si="72"/>
        <v>Centralización Recaudación Agosto</v>
      </c>
      <c r="I4112" s="355" t="s">
        <v>131</v>
      </c>
      <c r="K4112" s="370"/>
      <c r="N4112" s="370"/>
    </row>
    <row r="4113" spans="1:14" s="347" customFormat="1" x14ac:dyDescent="0.25">
      <c r="A4113" s="350">
        <f>+A4110</f>
        <v>44439</v>
      </c>
      <c r="B4113" s="403">
        <f t="shared" si="68"/>
        <v>8</v>
      </c>
      <c r="C4113" s="352">
        <v>4150</v>
      </c>
      <c r="D4113" s="340" t="str">
        <f>VLOOKUP(C4113,Plan!A:B,2,0)</f>
        <v>Comisiones Cali Tarjetas de Creditos</v>
      </c>
      <c r="E4113" s="341">
        <f t="shared" si="69"/>
        <v>140572</v>
      </c>
      <c r="F4113" s="353">
        <f>ROUND(+(G4092+G4091)*(1-0.9881),0)*1</f>
        <v>140572</v>
      </c>
      <c r="G4113" s="353">
        <v>0</v>
      </c>
      <c r="H4113" s="354" t="str">
        <f t="shared" si="72"/>
        <v>Centralización Recaudación Agosto</v>
      </c>
      <c r="I4113" s="355" t="s">
        <v>131</v>
      </c>
      <c r="K4113" s="370"/>
      <c r="N4113" s="370"/>
    </row>
    <row r="4114" spans="1:14" s="347" customFormat="1" x14ac:dyDescent="0.25">
      <c r="A4114" s="369"/>
      <c r="E4114" s="396"/>
      <c r="F4114" s="396"/>
      <c r="G4114" s="396"/>
      <c r="K4114" s="370"/>
      <c r="N4114" s="370"/>
    </row>
    <row r="4115" spans="1:14" s="347" customFormat="1" x14ac:dyDescent="0.25">
      <c r="A4115" s="350">
        <v>44414</v>
      </c>
      <c r="B4115" s="403">
        <f>+MONTH(A4115)</f>
        <v>8</v>
      </c>
      <c r="C4115" s="352">
        <v>116</v>
      </c>
      <c r="D4115" s="340" t="str">
        <f>VLOOKUP(C4115,Plan!A:B,2,0)</f>
        <v>Disponible CALI Security</v>
      </c>
      <c r="E4115" s="341">
        <f>+F4115-G4115</f>
        <v>26701746</v>
      </c>
      <c r="F4115" s="353">
        <v>26701746</v>
      </c>
      <c r="G4115" s="353">
        <v>0</v>
      </c>
      <c r="H4115" t="s">
        <v>1787</v>
      </c>
      <c r="I4115" s="355" t="s">
        <v>131</v>
      </c>
      <c r="K4115" s="370"/>
      <c r="N4115" s="370"/>
    </row>
    <row r="4116" spans="1:14" s="347" customFormat="1" x14ac:dyDescent="0.25">
      <c r="A4116" s="350">
        <f>+A4115</f>
        <v>44414</v>
      </c>
      <c r="B4116" s="403">
        <f>+MONTH(A4116)</f>
        <v>8</v>
      </c>
      <c r="C4116" s="352">
        <v>138</v>
      </c>
      <c r="D4116" s="340" t="str">
        <f>VLOOKUP(C4116,Plan!A:B,2,0)</f>
        <v>Proyectos Especialidades</v>
      </c>
      <c r="E4116" s="341">
        <f>+F4116-G4116</f>
        <v>-26701746</v>
      </c>
      <c r="F4116" s="353">
        <v>0</v>
      </c>
      <c r="G4116" s="353">
        <f>+F4115</f>
        <v>26701746</v>
      </c>
      <c r="H4116" t="str">
        <f>+H4115</f>
        <v xml:space="preserve">Empalme Enel(p/rendir TASCO) </v>
      </c>
      <c r="I4116" s="355" t="s">
        <v>131</v>
      </c>
      <c r="K4116" s="370"/>
      <c r="N4116" s="370"/>
    </row>
    <row r="4117" spans="1:14" s="347" customFormat="1" x14ac:dyDescent="0.25">
      <c r="A4117" s="369"/>
      <c r="E4117" s="396"/>
      <c r="F4117" s="396"/>
      <c r="G4117" s="396"/>
      <c r="K4117" s="370"/>
      <c r="N4117" s="370"/>
    </row>
    <row r="4118" spans="1:14" s="347" customFormat="1" x14ac:dyDescent="0.25">
      <c r="A4118" s="350">
        <v>44414</v>
      </c>
      <c r="B4118" s="403">
        <f>+MONTH(A4118)</f>
        <v>8</v>
      </c>
      <c r="C4118" s="352">
        <v>4170</v>
      </c>
      <c r="D4118" s="340" t="str">
        <f>VLOOKUP(C4118,Plan!A:B,2,0)</f>
        <v>Cali otros</v>
      </c>
      <c r="E4118" s="341">
        <f>+F4118-G4118</f>
        <v>1607</v>
      </c>
      <c r="F4118" s="353">
        <v>1607</v>
      </c>
      <c r="G4118" s="353">
        <v>0</v>
      </c>
      <c r="H4118" t="s">
        <v>1068</v>
      </c>
      <c r="I4118" s="355" t="s">
        <v>131</v>
      </c>
      <c r="K4118" s="370"/>
      <c r="N4118" s="370"/>
    </row>
    <row r="4119" spans="1:14" s="347" customFormat="1" x14ac:dyDescent="0.25">
      <c r="A4119" s="350">
        <f>+A4118</f>
        <v>44414</v>
      </c>
      <c r="B4119" s="403">
        <f>+MONTH(A4119)</f>
        <v>8</v>
      </c>
      <c r="C4119" s="352">
        <v>116</v>
      </c>
      <c r="D4119" s="340" t="str">
        <f>VLOOKUP(C4119,Plan!A:B,2,0)</f>
        <v>Disponible CALI Security</v>
      </c>
      <c r="E4119" s="341">
        <f>+F4119-G4119</f>
        <v>-1607</v>
      </c>
      <c r="F4119" s="353">
        <v>0</v>
      </c>
      <c r="G4119" s="353">
        <f>+F4118</f>
        <v>1607</v>
      </c>
      <c r="H4119" t="str">
        <f>+H4118</f>
        <v>COM.PAGOS MASIVOS OTROS BANCOS</v>
      </c>
      <c r="I4119" s="355" t="s">
        <v>131</v>
      </c>
      <c r="K4119" s="370"/>
      <c r="N4119" s="370"/>
    </row>
    <row r="4120" spans="1:14" s="347" customFormat="1" x14ac:dyDescent="0.25">
      <c r="A4120" s="369"/>
      <c r="E4120" s="396"/>
      <c r="F4120" s="396"/>
      <c r="G4120" s="396"/>
      <c r="K4120" s="370"/>
      <c r="N4120" s="370"/>
    </row>
    <row r="4121" spans="1:14" s="347" customFormat="1" x14ac:dyDescent="0.25">
      <c r="A4121" s="350">
        <v>44414</v>
      </c>
      <c r="B4121" s="403">
        <f>+MONTH(A4121)</f>
        <v>8</v>
      </c>
      <c r="C4121" s="352">
        <v>4170</v>
      </c>
      <c r="D4121" s="340" t="str">
        <f>VLOOKUP(C4121,Plan!A:B,2,0)</f>
        <v>Cali otros</v>
      </c>
      <c r="E4121" s="341">
        <f>+F4121-G4121</f>
        <v>305</v>
      </c>
      <c r="F4121" s="353">
        <v>305</v>
      </c>
      <c r="G4121" s="353">
        <v>0</v>
      </c>
      <c r="H4121" t="s">
        <v>1068</v>
      </c>
      <c r="I4121" s="355" t="s">
        <v>131</v>
      </c>
      <c r="K4121" s="370"/>
      <c r="N4121" s="370"/>
    </row>
    <row r="4122" spans="1:14" s="347" customFormat="1" x14ac:dyDescent="0.25">
      <c r="A4122" s="350">
        <f>+A4121</f>
        <v>44414</v>
      </c>
      <c r="B4122" s="403">
        <f>+MONTH(A4122)</f>
        <v>8</v>
      </c>
      <c r="C4122" s="352">
        <v>116</v>
      </c>
      <c r="D4122" s="340" t="str">
        <f>VLOOKUP(C4122,Plan!A:B,2,0)</f>
        <v>Disponible CALI Security</v>
      </c>
      <c r="E4122" s="341">
        <f>+F4122-G4122</f>
        <v>-305</v>
      </c>
      <c r="F4122" s="353">
        <v>0</v>
      </c>
      <c r="G4122" s="353">
        <f>+F4121</f>
        <v>305</v>
      </c>
      <c r="H4122" t="str">
        <f>+H4121</f>
        <v>COM.PAGOS MASIVOS OTROS BANCOS</v>
      </c>
      <c r="I4122" s="355" t="s">
        <v>131</v>
      </c>
      <c r="K4122" s="370"/>
      <c r="N4122" s="370"/>
    </row>
    <row r="4123" spans="1:14" s="347" customFormat="1" x14ac:dyDescent="0.25">
      <c r="A4123" s="369"/>
      <c r="E4123" s="396"/>
      <c r="F4123" s="396"/>
      <c r="G4123" s="396"/>
      <c r="K4123" s="370"/>
      <c r="N4123" s="370"/>
    </row>
    <row r="4124" spans="1:14" s="347" customFormat="1" x14ac:dyDescent="0.25">
      <c r="A4124" s="350">
        <v>44424</v>
      </c>
      <c r="B4124" s="403">
        <f>+MONTH(A4124)</f>
        <v>8</v>
      </c>
      <c r="C4124" s="352">
        <v>116</v>
      </c>
      <c r="D4124" s="340" t="str">
        <f>VLOOKUP(C4124,Plan!A:B,2,0)</f>
        <v>Disponible CALI Security</v>
      </c>
      <c r="E4124" s="341">
        <f>+F4124-G4124</f>
        <v>55000000</v>
      </c>
      <c r="F4124" s="353">
        <v>55000000</v>
      </c>
      <c r="G4124" s="353">
        <v>0</v>
      </c>
      <c r="H4124" t="s">
        <v>1878</v>
      </c>
      <c r="I4124" s="355" t="s">
        <v>131</v>
      </c>
      <c r="K4124" s="370"/>
      <c r="N4124" s="370"/>
    </row>
    <row r="4125" spans="1:14" s="347" customFormat="1" x14ac:dyDescent="0.25">
      <c r="A4125" s="350">
        <f>+A4124</f>
        <v>44424</v>
      </c>
      <c r="B4125" s="403">
        <f>+MONTH(A4125)</f>
        <v>8</v>
      </c>
      <c r="C4125" s="352">
        <v>119</v>
      </c>
      <c r="D4125" s="340" t="str">
        <f>VLOOKUP(C4125,Plan!A:B,2,0)</f>
        <v>FM Cali Banco Security</v>
      </c>
      <c r="E4125" s="341">
        <f>+F4125-G4125</f>
        <v>-55000000</v>
      </c>
      <c r="F4125" s="353">
        <v>0</v>
      </c>
      <c r="G4125" s="353">
        <f>+F4124</f>
        <v>55000000</v>
      </c>
      <c r="H4125" t="str">
        <f>+H4124</f>
        <v>Rescate FF.MM</v>
      </c>
      <c r="I4125" s="355" t="s">
        <v>131</v>
      </c>
      <c r="K4125" s="370"/>
      <c r="N4125" s="370"/>
    </row>
    <row r="4126" spans="1:14" s="347" customFormat="1" x14ac:dyDescent="0.25">
      <c r="A4126" s="369"/>
      <c r="E4126" s="396"/>
      <c r="F4126" s="396"/>
      <c r="G4126" s="396"/>
      <c r="K4126" s="370"/>
      <c r="N4126" s="370"/>
    </row>
    <row r="4127" spans="1:14" s="347" customFormat="1" x14ac:dyDescent="0.25">
      <c r="A4127" s="402">
        <v>44426</v>
      </c>
      <c r="B4127" s="403">
        <f>+MONTH(A4127)</f>
        <v>8</v>
      </c>
      <c r="C4127" s="338">
        <v>137</v>
      </c>
      <c r="D4127" s="340" t="str">
        <f>VLOOKUP(C4127,Plan!A:B,2,0)</f>
        <v>Anticipo Construcción</v>
      </c>
      <c r="E4127" s="341">
        <f>+F4127-G4127</f>
        <v>-14840291</v>
      </c>
      <c r="F4127" s="465">
        <v>0</v>
      </c>
      <c r="G4127" s="465">
        <v>14840291</v>
      </c>
      <c r="H4127" s="429" t="s">
        <v>2103</v>
      </c>
      <c r="I4127" s="403" t="s">
        <v>131</v>
      </c>
      <c r="K4127" s="370"/>
      <c r="N4127" s="370"/>
    </row>
    <row r="4128" spans="1:14" s="347" customFormat="1" x14ac:dyDescent="0.25">
      <c r="A4128" s="402">
        <f t="shared" ref="A4128:B4130" si="73">+A4127</f>
        <v>44426</v>
      </c>
      <c r="B4128" s="403">
        <f t="shared" si="73"/>
        <v>8</v>
      </c>
      <c r="C4128" s="338">
        <v>136</v>
      </c>
      <c r="D4128" s="340" t="str">
        <f>VLOOKUP(C4128,Plan!A:B,2,0)</f>
        <v>Obras en Construcción</v>
      </c>
      <c r="E4128" s="341">
        <f>+F4128-G4128</f>
        <v>126186115</v>
      </c>
      <c r="F4128" s="465">
        <v>126186115</v>
      </c>
      <c r="G4128" s="465">
        <v>0</v>
      </c>
      <c r="H4128" s="429" t="s">
        <v>589</v>
      </c>
      <c r="I4128" s="403" t="s">
        <v>131</v>
      </c>
      <c r="K4128" s="370"/>
      <c r="N4128" s="370"/>
    </row>
    <row r="4129" spans="1:14" s="347" customFormat="1" x14ac:dyDescent="0.25">
      <c r="A4129" s="402">
        <f t="shared" si="73"/>
        <v>44426</v>
      </c>
      <c r="B4129" s="403">
        <f t="shared" si="73"/>
        <v>8</v>
      </c>
      <c r="C4129" s="338">
        <v>210</v>
      </c>
      <c r="D4129" s="340" t="str">
        <f>VLOOKUP(C4129,Plan!A:B,2,0)</f>
        <v>Retenciones Construcción</v>
      </c>
      <c r="E4129" s="341">
        <f>+F4129-G4129</f>
        <v>-5463800</v>
      </c>
      <c r="F4129" s="465">
        <v>0</v>
      </c>
      <c r="G4129" s="465">
        <v>5463800</v>
      </c>
      <c r="H4129" s="429" t="s">
        <v>2104</v>
      </c>
      <c r="I4129" s="403" t="s">
        <v>131</v>
      </c>
      <c r="K4129" s="370"/>
      <c r="N4129" s="370"/>
    </row>
    <row r="4130" spans="1:14" s="347" customFormat="1" x14ac:dyDescent="0.25">
      <c r="A4130" s="402">
        <f t="shared" si="73"/>
        <v>44426</v>
      </c>
      <c r="B4130" s="403">
        <f t="shared" si="73"/>
        <v>8</v>
      </c>
      <c r="C4130" s="338">
        <v>228</v>
      </c>
      <c r="D4130" s="340" t="str">
        <f>VLOOKUP(C4130,Plan!A:B,2,0)</f>
        <v>Proveedores CALI</v>
      </c>
      <c r="E4130" s="341">
        <f>+F4130-G4130</f>
        <v>-105882024</v>
      </c>
      <c r="F4130" s="465">
        <v>0</v>
      </c>
      <c r="G4130" s="465">
        <v>105882024</v>
      </c>
      <c r="H4130" s="429" t="s">
        <v>2105</v>
      </c>
      <c r="I4130" s="403" t="s">
        <v>131</v>
      </c>
      <c r="K4130" s="370"/>
      <c r="N4130" s="370"/>
    </row>
    <row r="4131" spans="1:14" s="347" customFormat="1" x14ac:dyDescent="0.25">
      <c r="A4131" s="402"/>
      <c r="B4131" s="404"/>
      <c r="C4131" s="338"/>
      <c r="D4131" s="338"/>
      <c r="E4131" s="345"/>
      <c r="F4131" s="405"/>
      <c r="G4131" s="405"/>
      <c r="H4131" s="404"/>
      <c r="I4131" s="404"/>
      <c r="K4131" s="370"/>
      <c r="N4131" s="370"/>
    </row>
    <row r="4132" spans="1:14" s="347" customFormat="1" x14ac:dyDescent="0.25">
      <c r="A4132" s="350">
        <v>44426</v>
      </c>
      <c r="B4132" s="403">
        <f>+MONTH(A4132)</f>
        <v>8</v>
      </c>
      <c r="C4132" s="352">
        <v>228</v>
      </c>
      <c r="D4132" s="340" t="str">
        <f>VLOOKUP(C4132,Plan!A:B,2,0)</f>
        <v>Proveedores CALI</v>
      </c>
      <c r="E4132" s="341">
        <f>+F4132-G4132</f>
        <v>105882024</v>
      </c>
      <c r="F4132" s="353">
        <v>105882024</v>
      </c>
      <c r="G4132" s="353">
        <v>0</v>
      </c>
      <c r="H4132" t="s">
        <v>2015</v>
      </c>
      <c r="I4132" s="355" t="s">
        <v>131</v>
      </c>
      <c r="K4132" s="370"/>
      <c r="N4132" s="370"/>
    </row>
    <row r="4133" spans="1:14" s="347" customFormat="1" x14ac:dyDescent="0.25">
      <c r="A4133" s="350">
        <f>+A4132</f>
        <v>44426</v>
      </c>
      <c r="B4133" s="403">
        <f>+MONTH(A4133)</f>
        <v>8</v>
      </c>
      <c r="C4133" s="352">
        <v>116</v>
      </c>
      <c r="D4133" s="340" t="str">
        <f>VLOOKUP(C4133,Plan!A:B,2,0)</f>
        <v>Disponible CALI Security</v>
      </c>
      <c r="E4133" s="341">
        <f>+F4133-G4133</f>
        <v>-105882024</v>
      </c>
      <c r="F4133" s="353">
        <v>0</v>
      </c>
      <c r="G4133" s="353">
        <f>+F4132</f>
        <v>105882024</v>
      </c>
      <c r="H4133" t="str">
        <f>+H4132</f>
        <v>Fact. 2995  EE.PP.N°13</v>
      </c>
      <c r="I4133" s="355" t="s">
        <v>131</v>
      </c>
      <c r="K4133" s="370"/>
      <c r="N4133" s="370"/>
    </row>
    <row r="4134" spans="1:14" s="347" customFormat="1" x14ac:dyDescent="0.25">
      <c r="A4134" s="369"/>
      <c r="E4134" s="396"/>
      <c r="F4134" s="396"/>
      <c r="G4134" s="396"/>
      <c r="K4134" s="370"/>
      <c r="N4134" s="370"/>
    </row>
    <row r="4135" spans="1:14" s="347" customFormat="1" x14ac:dyDescent="0.25">
      <c r="A4135" s="350">
        <v>44426</v>
      </c>
      <c r="B4135" s="403">
        <f>+MONTH(A4135)</f>
        <v>8</v>
      </c>
      <c r="C4135" s="352">
        <v>138</v>
      </c>
      <c r="D4135" s="340" t="str">
        <f>VLOOKUP(C4135,Plan!A:B,2,0)</f>
        <v>Proyectos Especialidades</v>
      </c>
      <c r="E4135" s="341">
        <f>+F4135-G4135</f>
        <v>4314301</v>
      </c>
      <c r="F4135" s="353">
        <v>4314301</v>
      </c>
      <c r="G4135" s="353">
        <v>0</v>
      </c>
      <c r="H4135" t="s">
        <v>2016</v>
      </c>
      <c r="I4135" s="355" t="s">
        <v>131</v>
      </c>
      <c r="K4135" s="370"/>
      <c r="N4135" s="370"/>
    </row>
    <row r="4136" spans="1:14" s="347" customFormat="1" x14ac:dyDescent="0.25">
      <c r="A4136" s="350">
        <f>+A4135</f>
        <v>44426</v>
      </c>
      <c r="B4136" s="403">
        <f>+MONTH(A4136)</f>
        <v>8</v>
      </c>
      <c r="C4136" s="352">
        <v>116</v>
      </c>
      <c r="D4136" s="340" t="str">
        <f>VLOOKUP(C4136,Plan!A:B,2,0)</f>
        <v>Disponible CALI Security</v>
      </c>
      <c r="E4136" s="341">
        <f>+F4136-G4136</f>
        <v>-4314301</v>
      </c>
      <c r="F4136" s="353">
        <v>0</v>
      </c>
      <c r="G4136" s="353">
        <f>+F4135</f>
        <v>4314301</v>
      </c>
      <c r="H4136" t="str">
        <f>+H4135</f>
        <v>Fact. 6271 ITO Julio/21</v>
      </c>
      <c r="I4136" s="355" t="s">
        <v>131</v>
      </c>
      <c r="K4136" s="370"/>
      <c r="N4136" s="370"/>
    </row>
    <row r="4137" spans="1:14" s="347" customFormat="1" x14ac:dyDescent="0.25">
      <c r="A4137" s="369"/>
      <c r="E4137" s="396"/>
      <c r="F4137" s="396"/>
      <c r="G4137" s="396"/>
      <c r="K4137" s="370"/>
      <c r="N4137" s="370"/>
    </row>
    <row r="4138" spans="1:14" s="347" customFormat="1" x14ac:dyDescent="0.25">
      <c r="A4138" s="350">
        <v>44435</v>
      </c>
      <c r="B4138" s="403">
        <f>+MONTH(A4138)</f>
        <v>8</v>
      </c>
      <c r="C4138" s="352">
        <v>116</v>
      </c>
      <c r="D4138" s="340" t="str">
        <f>VLOOKUP(C4138,Plan!A:B,2,0)</f>
        <v>Disponible CALI Security</v>
      </c>
      <c r="E4138" s="341">
        <f>+F4138-G4138</f>
        <v>5000000</v>
      </c>
      <c r="F4138" s="353">
        <v>5000000</v>
      </c>
      <c r="G4138" s="353">
        <v>0</v>
      </c>
      <c r="H4138" t="s">
        <v>1878</v>
      </c>
      <c r="I4138" s="355" t="s">
        <v>131</v>
      </c>
      <c r="K4138" s="370"/>
      <c r="N4138" s="370"/>
    </row>
    <row r="4139" spans="1:14" s="347" customFormat="1" x14ac:dyDescent="0.25">
      <c r="A4139" s="350">
        <f>+A4138</f>
        <v>44435</v>
      </c>
      <c r="B4139" s="403">
        <f>+MONTH(A4139)</f>
        <v>8</v>
      </c>
      <c r="C4139" s="352">
        <v>119</v>
      </c>
      <c r="D4139" s="340" t="str">
        <f>VLOOKUP(C4139,Plan!A:B,2,0)</f>
        <v>FM Cali Banco Security</v>
      </c>
      <c r="E4139" s="341">
        <f>+F4139-G4139</f>
        <v>-5000000</v>
      </c>
      <c r="F4139" s="353">
        <v>0</v>
      </c>
      <c r="G4139" s="353">
        <f>+F4138</f>
        <v>5000000</v>
      </c>
      <c r="H4139" t="str">
        <f>+H4138</f>
        <v>Rescate FF.MM</v>
      </c>
      <c r="I4139" s="355" t="s">
        <v>131</v>
      </c>
      <c r="K4139" s="370"/>
      <c r="N4139" s="370"/>
    </row>
    <row r="4140" spans="1:14" s="347" customFormat="1" x14ac:dyDescent="0.25">
      <c r="A4140" s="369"/>
      <c r="E4140" s="396"/>
      <c r="F4140" s="396"/>
      <c r="G4140" s="396"/>
      <c r="K4140" s="370"/>
      <c r="N4140" s="370"/>
    </row>
    <row r="4141" spans="1:14" s="347" customFormat="1" x14ac:dyDescent="0.25">
      <c r="A4141" s="350">
        <v>44418</v>
      </c>
      <c r="B4141" s="403">
        <f>+MONTH(A4141)</f>
        <v>8</v>
      </c>
      <c r="C4141" s="352">
        <v>4170</v>
      </c>
      <c r="D4141" s="340" t="str">
        <f>VLOOKUP(C4141,Plan!A:B,2,0)</f>
        <v>Cali otros</v>
      </c>
      <c r="E4141" s="341">
        <f>+F4141-G4141</f>
        <v>6725</v>
      </c>
      <c r="F4141" s="353">
        <v>6725</v>
      </c>
      <c r="G4141" s="353">
        <v>0</v>
      </c>
      <c r="H4141" t="s">
        <v>2017</v>
      </c>
      <c r="I4141" s="355" t="s">
        <v>131</v>
      </c>
      <c r="K4141" s="370"/>
      <c r="N4141" s="370"/>
    </row>
    <row r="4142" spans="1:14" s="347" customFormat="1" x14ac:dyDescent="0.25">
      <c r="A4142" s="350">
        <f>+A4141</f>
        <v>44418</v>
      </c>
      <c r="B4142" s="403">
        <f>+MONTH(A4142)</f>
        <v>8</v>
      </c>
      <c r="C4142" s="352">
        <v>117</v>
      </c>
      <c r="D4142" s="340" t="str">
        <f>VLOOKUP(C4142,Plan!A:B,2,0)</f>
        <v>Disponible CALI Santander</v>
      </c>
      <c r="E4142" s="341">
        <f>+F4142-G4142</f>
        <v>-6725</v>
      </c>
      <c r="F4142" s="353">
        <v>0</v>
      </c>
      <c r="G4142" s="353">
        <f>+F4141</f>
        <v>6725</v>
      </c>
      <c r="H4142" t="str">
        <f>+H4141</f>
        <v>COM.SERV.PAC JULIO 2021 19 TRX.</v>
      </c>
      <c r="I4142" s="355" t="s">
        <v>131</v>
      </c>
      <c r="K4142" s="370"/>
      <c r="N4142" s="370"/>
    </row>
    <row r="4143" spans="1:14" s="347" customFormat="1" x14ac:dyDescent="0.25">
      <c r="A4143" s="369"/>
      <c r="E4143" s="396"/>
      <c r="F4143" s="396"/>
      <c r="G4143" s="396"/>
      <c r="K4143" s="370"/>
      <c r="N4143" s="370"/>
    </row>
    <row r="4144" spans="1:14" s="347" customFormat="1" x14ac:dyDescent="0.25">
      <c r="A4144" s="350">
        <v>44432</v>
      </c>
      <c r="B4144" s="403">
        <f>+MONTH(A4144)</f>
        <v>8</v>
      </c>
      <c r="C4144" s="352">
        <v>117</v>
      </c>
      <c r="D4144" s="340" t="str">
        <f>VLOOKUP(C4144,Plan!A:B,2,0)</f>
        <v>Disponible CALI Santander</v>
      </c>
      <c r="E4144" s="341">
        <f>+F4144-G4144</f>
        <v>580000</v>
      </c>
      <c r="F4144" s="353">
        <v>580000</v>
      </c>
      <c r="G4144" s="353">
        <v>0</v>
      </c>
      <c r="H4144" t="s">
        <v>2018</v>
      </c>
      <c r="I4144" s="355" t="s">
        <v>131</v>
      </c>
      <c r="K4144" s="370"/>
      <c r="N4144" s="370"/>
    </row>
    <row r="4145" spans="1:14" s="347" customFormat="1" x14ac:dyDescent="0.25">
      <c r="A4145" s="350">
        <f>+A4144</f>
        <v>44432</v>
      </c>
      <c r="B4145" s="403">
        <f>+MONTH(A4145)</f>
        <v>8</v>
      </c>
      <c r="C4145" s="352">
        <v>1222</v>
      </c>
      <c r="D4145" s="340" t="str">
        <f>VLOOKUP(C4145,Plan!A:B,2,0)</f>
        <v>Otros Valores -Oficina y Transferencias (249)</v>
      </c>
      <c r="E4145" s="341">
        <f>+F4145-G4145</f>
        <v>-580000</v>
      </c>
      <c r="F4145" s="353">
        <v>0</v>
      </c>
      <c r="G4145" s="353">
        <f>+F4144</f>
        <v>580000</v>
      </c>
      <c r="H4145" t="str">
        <f>+H4144</f>
        <v xml:space="preserve">ABONO RECAUDACION PAC /249 </v>
      </c>
      <c r="I4145" s="355" t="s">
        <v>131</v>
      </c>
      <c r="K4145" s="370"/>
      <c r="N4145" s="370"/>
    </row>
    <row r="4146" spans="1:14" s="347" customFormat="1" x14ac:dyDescent="0.25">
      <c r="A4146" s="369"/>
      <c r="E4146" s="396"/>
      <c r="F4146" s="396"/>
      <c r="G4146" s="396"/>
      <c r="K4146" s="370"/>
      <c r="N4146" s="370"/>
    </row>
    <row r="4147" spans="1:14" s="347" customFormat="1" x14ac:dyDescent="0.25">
      <c r="A4147" s="350">
        <v>44439</v>
      </c>
      <c r="B4147" s="403">
        <f>+MONTH(A4147)</f>
        <v>8</v>
      </c>
      <c r="C4147" s="352">
        <v>228</v>
      </c>
      <c r="D4147" s="340" t="str">
        <f>VLOOKUP(C4147,Plan!A:B,2,0)</f>
        <v>Proveedores CALI</v>
      </c>
      <c r="E4147" s="341">
        <f>+F4147-G4147</f>
        <v>224</v>
      </c>
      <c r="F4147" s="353">
        <v>224</v>
      </c>
      <c r="G4147" s="353">
        <v>0</v>
      </c>
      <c r="H4147" t="s">
        <v>2020</v>
      </c>
      <c r="I4147" s="355" t="s">
        <v>131</v>
      </c>
      <c r="K4147" s="370"/>
      <c r="N4147" s="370"/>
    </row>
    <row r="4148" spans="1:14" s="347" customFormat="1" x14ac:dyDescent="0.25">
      <c r="A4148" s="350">
        <f>+A4147</f>
        <v>44439</v>
      </c>
      <c r="B4148" s="403">
        <f>+MONTH(A4148)</f>
        <v>8</v>
      </c>
      <c r="C4148" s="352">
        <v>4170</v>
      </c>
      <c r="D4148" s="340" t="str">
        <f>VLOOKUP(C4148,Plan!A:B,2,0)</f>
        <v>Cali otros</v>
      </c>
      <c r="E4148" s="341">
        <f>+F4148-G4148</f>
        <v>-224</v>
      </c>
      <c r="F4148" s="353">
        <v>0</v>
      </c>
      <c r="G4148" s="353">
        <f>+F4147</f>
        <v>224</v>
      </c>
      <c r="H4148" t="str">
        <f>+H4147</f>
        <v xml:space="preserve">Regulariza Proveedores </v>
      </c>
      <c r="I4148" s="355" t="s">
        <v>131</v>
      </c>
      <c r="K4148" s="370"/>
      <c r="N4148" s="370"/>
    </row>
    <row r="4149" spans="1:14" s="347" customFormat="1" x14ac:dyDescent="0.25">
      <c r="A4149" s="350"/>
      <c r="B4149" s="403"/>
      <c r="C4149" s="352"/>
      <c r="D4149" s="340"/>
      <c r="E4149" s="341"/>
      <c r="F4149" s="353"/>
      <c r="G4149" s="353"/>
      <c r="H4149"/>
      <c r="I4149" s="355"/>
      <c r="K4149" s="370"/>
      <c r="N4149" s="370"/>
    </row>
    <row r="4150" spans="1:14" s="347" customFormat="1" x14ac:dyDescent="0.25">
      <c r="A4150" s="402">
        <f>+A4148</f>
        <v>44439</v>
      </c>
      <c r="B4150" s="403">
        <f>+B4148</f>
        <v>8</v>
      </c>
      <c r="C4150" s="338">
        <v>125</v>
      </c>
      <c r="D4150" s="340" t="str">
        <f>VLOOKUP(C4150,Plan!A:B,2,0)</f>
        <v>Depósito a plazo Cali</v>
      </c>
      <c r="E4150" s="341">
        <f>+F4150-G4150</f>
        <v>0</v>
      </c>
      <c r="F4150" s="346">
        <v>0</v>
      </c>
      <c r="G4150" s="346">
        <v>0</v>
      </c>
      <c r="H4150" s="343" t="s">
        <v>858</v>
      </c>
      <c r="I4150" s="340" t="s">
        <v>131</v>
      </c>
      <c r="K4150" s="370"/>
      <c r="N4150" s="370"/>
    </row>
    <row r="4151" spans="1:14" s="347" customFormat="1" x14ac:dyDescent="0.25">
      <c r="A4151" s="402">
        <f>+A4150</f>
        <v>44439</v>
      </c>
      <c r="B4151" s="403">
        <f>+B4150</f>
        <v>8</v>
      </c>
      <c r="C4151" s="338">
        <v>6002</v>
      </c>
      <c r="D4151" s="340" t="str">
        <f>VLOOKUP(C4151,Plan!A:B,2,0)</f>
        <v>Intereses Financieros Cali</v>
      </c>
      <c r="E4151" s="341">
        <f>+F4151-G4151</f>
        <v>0</v>
      </c>
      <c r="F4151" s="346">
        <v>0</v>
      </c>
      <c r="G4151" s="346">
        <f>+F4150</f>
        <v>0</v>
      </c>
      <c r="H4151" s="338" t="s">
        <v>858</v>
      </c>
      <c r="I4151" s="340" t="s">
        <v>131</v>
      </c>
      <c r="K4151" s="370"/>
      <c r="N4151" s="370"/>
    </row>
    <row r="4152" spans="1:14" s="347" customFormat="1" x14ac:dyDescent="0.25">
      <c r="A4152" s="339"/>
      <c r="B4152" s="340"/>
      <c r="C4152" s="338"/>
      <c r="D4152" s="340"/>
      <c r="E4152" s="396"/>
      <c r="F4152" s="396"/>
      <c r="G4152" s="396"/>
      <c r="H4152" s="338"/>
      <c r="I4152" s="340"/>
      <c r="K4152" s="370"/>
      <c r="N4152" s="370"/>
    </row>
    <row r="4153" spans="1:14" s="347" customFormat="1" x14ac:dyDescent="0.25">
      <c r="A4153" s="402">
        <f>+A4150</f>
        <v>44439</v>
      </c>
      <c r="B4153" s="403">
        <f>+B4150</f>
        <v>8</v>
      </c>
      <c r="C4153" s="338">
        <v>118</v>
      </c>
      <c r="D4153" s="340" t="str">
        <f>VLOOKUP(C4153,Plan!A:B,2,0)</f>
        <v>Depósito a plazo Cali Banco Security</v>
      </c>
      <c r="E4153" s="341">
        <f>+F4153-G4153</f>
        <v>0</v>
      </c>
      <c r="F4153" s="346">
        <v>0</v>
      </c>
      <c r="G4153" s="346">
        <v>0</v>
      </c>
      <c r="H4153" s="343" t="s">
        <v>859</v>
      </c>
      <c r="I4153" s="340" t="s">
        <v>131</v>
      </c>
      <c r="K4153" s="370"/>
      <c r="N4153" s="370"/>
    </row>
    <row r="4154" spans="1:14" s="347" customFormat="1" x14ac:dyDescent="0.25">
      <c r="A4154" s="402">
        <f>+A4153</f>
        <v>44439</v>
      </c>
      <c r="B4154" s="403">
        <f>+B4153</f>
        <v>8</v>
      </c>
      <c r="C4154" s="338">
        <v>6002</v>
      </c>
      <c r="D4154" s="340" t="str">
        <f>VLOOKUP(C4154,Plan!A:B,2,0)</f>
        <v>Intereses Financieros Cali</v>
      </c>
      <c r="E4154" s="341">
        <f>+F4154-G4154</f>
        <v>0</v>
      </c>
      <c r="F4154" s="346">
        <v>0</v>
      </c>
      <c r="G4154" s="346">
        <f>+F4153</f>
        <v>0</v>
      </c>
      <c r="H4154" s="338" t="s">
        <v>859</v>
      </c>
      <c r="I4154" s="340" t="s">
        <v>131</v>
      </c>
      <c r="K4154" s="370"/>
      <c r="N4154" s="370"/>
    </row>
    <row r="4155" spans="1:14" s="347" customFormat="1" x14ac:dyDescent="0.25">
      <c r="A4155" s="339"/>
      <c r="B4155" s="340"/>
      <c r="C4155" s="338"/>
      <c r="D4155" s="340"/>
      <c r="E4155" s="396"/>
      <c r="F4155" s="396"/>
      <c r="G4155" s="396"/>
      <c r="H4155" s="338"/>
      <c r="I4155" s="340"/>
      <c r="K4155" s="370"/>
      <c r="N4155" s="370"/>
    </row>
    <row r="4156" spans="1:14" s="347" customFormat="1" x14ac:dyDescent="0.25">
      <c r="A4156" s="402">
        <f>+A4153</f>
        <v>44439</v>
      </c>
      <c r="B4156" s="403">
        <f>+B4153</f>
        <v>8</v>
      </c>
      <c r="C4156" s="338">
        <v>119</v>
      </c>
      <c r="D4156" s="340" t="str">
        <f>VLOOKUP(C4156,Plan!A:B,2,0)</f>
        <v>FM Cali Banco Security</v>
      </c>
      <c r="E4156" s="341">
        <f>+F4156-G4156</f>
        <v>23143</v>
      </c>
      <c r="F4156" s="346">
        <v>23143</v>
      </c>
      <c r="G4156" s="346">
        <v>0</v>
      </c>
      <c r="H4156" s="343" t="s">
        <v>554</v>
      </c>
      <c r="I4156" s="340" t="s">
        <v>131</v>
      </c>
      <c r="K4156" s="370"/>
      <c r="N4156" s="370"/>
    </row>
    <row r="4157" spans="1:14" s="347" customFormat="1" x14ac:dyDescent="0.25">
      <c r="A4157" s="402">
        <f>+A4156</f>
        <v>44439</v>
      </c>
      <c r="B4157" s="403">
        <f>+B4156</f>
        <v>8</v>
      </c>
      <c r="C4157" s="338">
        <v>6002</v>
      </c>
      <c r="D4157" s="340" t="str">
        <f>VLOOKUP(C4157,Plan!A:B,2,0)</f>
        <v>Intereses Financieros Cali</v>
      </c>
      <c r="E4157" s="341">
        <f>+F4157-G4157</f>
        <v>-23143</v>
      </c>
      <c r="F4157" s="346">
        <v>0</v>
      </c>
      <c r="G4157" s="346">
        <f>+F4156</f>
        <v>23143</v>
      </c>
      <c r="H4157" s="338" t="s">
        <v>554</v>
      </c>
      <c r="I4157" s="340" t="s">
        <v>131</v>
      </c>
      <c r="K4157" s="370"/>
      <c r="N4157" s="370"/>
    </row>
    <row r="4158" spans="1:14" s="347" customFormat="1" x14ac:dyDescent="0.25">
      <c r="A4158" s="369"/>
      <c r="E4158" s="396"/>
      <c r="F4158" s="396"/>
      <c r="G4158" s="396"/>
      <c r="K4158" s="370"/>
      <c r="N4158" s="370"/>
    </row>
    <row r="4159" spans="1:14" s="347" customFormat="1" x14ac:dyDescent="0.25">
      <c r="A4159" s="402">
        <f>+A4156</f>
        <v>44439</v>
      </c>
      <c r="B4159" s="403">
        <f>+B4156</f>
        <v>8</v>
      </c>
      <c r="C4159" s="338">
        <v>113</v>
      </c>
      <c r="D4159" s="340" t="str">
        <f>VLOOKUP(C4159,Plan!A:B,2,0)</f>
        <v>Depósito a plazo Cali Banco Santander</v>
      </c>
      <c r="E4159" s="341">
        <f>+F4159-G4159</f>
        <v>0</v>
      </c>
      <c r="F4159" s="346">
        <v>0</v>
      </c>
      <c r="G4159" s="346">
        <v>0</v>
      </c>
      <c r="H4159" s="343" t="s">
        <v>2122</v>
      </c>
      <c r="I4159" s="340" t="s">
        <v>131</v>
      </c>
      <c r="K4159" s="370"/>
      <c r="N4159" s="370"/>
    </row>
    <row r="4160" spans="1:14" s="347" customFormat="1" x14ac:dyDescent="0.25">
      <c r="A4160" s="402">
        <f>+A4159</f>
        <v>44439</v>
      </c>
      <c r="B4160" s="403">
        <f>+B4159</f>
        <v>8</v>
      </c>
      <c r="C4160" s="338">
        <v>6002</v>
      </c>
      <c r="D4160" s="340" t="str">
        <f>VLOOKUP(C4160,Plan!A:B,2,0)</f>
        <v>Intereses Financieros Cali</v>
      </c>
      <c r="E4160" s="341">
        <f>+F4160-G4160</f>
        <v>0</v>
      </c>
      <c r="F4160" s="346">
        <v>0</v>
      </c>
      <c r="G4160" s="346">
        <f>+F4159</f>
        <v>0</v>
      </c>
      <c r="H4160" s="338" t="str">
        <f>+H4159</f>
        <v>Intereses Devengados DAP Santander</v>
      </c>
      <c r="I4160" s="340" t="s">
        <v>131</v>
      </c>
      <c r="K4160" s="370"/>
      <c r="N4160" s="370"/>
    </row>
    <row r="4161" spans="1:14" s="347" customFormat="1" x14ac:dyDescent="0.25">
      <c r="A4161" s="369"/>
      <c r="E4161" s="396"/>
      <c r="F4161" s="396"/>
      <c r="G4161" s="396"/>
      <c r="K4161" s="370"/>
      <c r="N4161" s="370"/>
    </row>
    <row r="4162" spans="1:14" s="347" customFormat="1" x14ac:dyDescent="0.25">
      <c r="A4162" s="350">
        <f>+A4147</f>
        <v>44439</v>
      </c>
      <c r="B4162" s="403">
        <f>+MONTH(A4162)</f>
        <v>8</v>
      </c>
      <c r="C4162" s="352">
        <v>1130</v>
      </c>
      <c r="D4162" s="340" t="str">
        <f>VLOOKUP(C4162,Plan!A:B,2,0)</f>
        <v>Disponible Ch. Fecha</v>
      </c>
      <c r="E4162" s="341">
        <f>+F4162-G4162</f>
        <v>0</v>
      </c>
      <c r="F4162" s="353">
        <v>0</v>
      </c>
      <c r="G4162" s="353">
        <v>0</v>
      </c>
      <c r="H4162" s="354" t="s">
        <v>1887</v>
      </c>
      <c r="I4162" s="355" t="s">
        <v>131</v>
      </c>
      <c r="K4162" s="370"/>
      <c r="N4162" s="370"/>
    </row>
    <row r="4163" spans="1:14" s="347" customFormat="1" x14ac:dyDescent="0.25">
      <c r="A4163" s="350">
        <f>+A4147</f>
        <v>44439</v>
      </c>
      <c r="B4163" s="403">
        <f>+MONTH(A4163)</f>
        <v>8</v>
      </c>
      <c r="C4163" s="352">
        <v>1216</v>
      </c>
      <c r="D4163" s="340" t="str">
        <f>VLOOKUP(C4163,Plan!A:B,2,0)</f>
        <v>Otros Valores Recaudadoras</v>
      </c>
      <c r="E4163" s="341">
        <f>+F4163-G4163</f>
        <v>0</v>
      </c>
      <c r="F4163" s="353">
        <v>0</v>
      </c>
      <c r="G4163" s="353">
        <v>0</v>
      </c>
      <c r="H4163" s="354" t="str">
        <f>+H4162</f>
        <v>CHEQUE A FECHA</v>
      </c>
      <c r="I4163" s="355" t="s">
        <v>131</v>
      </c>
      <c r="K4163" s="370"/>
      <c r="N4163" s="370"/>
    </row>
    <row r="4164" spans="1:14" s="347" customFormat="1" x14ac:dyDescent="0.25">
      <c r="A4164" s="369"/>
      <c r="E4164" s="396"/>
      <c r="F4164" s="396"/>
      <c r="G4164" s="396"/>
      <c r="K4164" s="370"/>
      <c r="N4164" s="370"/>
    </row>
    <row r="4165" spans="1:14" s="347" customFormat="1" x14ac:dyDescent="0.25">
      <c r="A4165" s="369">
        <v>44439</v>
      </c>
      <c r="B4165" s="340">
        <f>+MONTH(A4165)</f>
        <v>8</v>
      </c>
      <c r="C4165" s="347">
        <v>4170</v>
      </c>
      <c r="D4165" s="340" t="str">
        <f>VLOOKUP(C4165,Plan!A$1:B$65542,2,0)</f>
        <v>Cali otros</v>
      </c>
      <c r="E4165" s="341">
        <f>+F4165-G4165</f>
        <v>4</v>
      </c>
      <c r="F4165" s="396">
        <v>4</v>
      </c>
      <c r="G4165" s="396">
        <v>0</v>
      </c>
      <c r="H4165" t="s">
        <v>2019</v>
      </c>
      <c r="I4165" s="347" t="s">
        <v>131</v>
      </c>
      <c r="K4165" s="370"/>
      <c r="N4165" s="370"/>
    </row>
    <row r="4166" spans="1:14" s="347" customFormat="1" x14ac:dyDescent="0.25">
      <c r="A4166" s="369">
        <f>+A4165</f>
        <v>44439</v>
      </c>
      <c r="B4166" s="347">
        <f>+B4165</f>
        <v>8</v>
      </c>
      <c r="C4166" s="347">
        <v>1219</v>
      </c>
      <c r="D4166" s="340" t="str">
        <f>VLOOKUP(C4166,Plan!A$1:B$65542,2,0)</f>
        <v>Otros Valores Arzobispado (248)</v>
      </c>
      <c r="E4166" s="341">
        <f>+F4166-G4166</f>
        <v>-10</v>
      </c>
      <c r="F4166" s="396">
        <v>0</v>
      </c>
      <c r="G4166" s="396">
        <v>10</v>
      </c>
      <c r="H4166" t="str">
        <f>+H4165</f>
        <v>Regularizacion Diferencia Arzobispado</v>
      </c>
      <c r="I4166" s="347" t="s">
        <v>131</v>
      </c>
      <c r="K4166" s="370"/>
      <c r="N4166" s="370"/>
    </row>
    <row r="4167" spans="1:14" s="347" customFormat="1" x14ac:dyDescent="0.25">
      <c r="A4167" s="369">
        <f>+A4166</f>
        <v>44439</v>
      </c>
      <c r="B4167" s="347">
        <f>+B4166</f>
        <v>8</v>
      </c>
      <c r="C4167" s="347">
        <v>1220</v>
      </c>
      <c r="D4167" s="340" t="str">
        <f>VLOOKUP(C4167,Plan!A$1:B$65542,2,0)</f>
        <v>Otros Valores Arzobispado (249)</v>
      </c>
      <c r="E4167" s="341">
        <f>+F4167-G4167</f>
        <v>6</v>
      </c>
      <c r="F4167" s="396">
        <v>6</v>
      </c>
      <c r="G4167" s="396">
        <v>0</v>
      </c>
      <c r="H4167" t="str">
        <f>+H4166</f>
        <v>Regularizacion Diferencia Arzobispado</v>
      </c>
      <c r="I4167" s="347" t="s">
        <v>131</v>
      </c>
      <c r="K4167" s="370"/>
      <c r="N4167" s="370"/>
    </row>
    <row r="4168" spans="1:14" s="347" customFormat="1" x14ac:dyDescent="0.25">
      <c r="A4168" s="369"/>
      <c r="E4168" s="396"/>
      <c r="F4168" s="396"/>
      <c r="G4168" s="396"/>
      <c r="K4168" s="370"/>
      <c r="N4168" s="370"/>
    </row>
    <row r="4169" spans="1:14" s="347" customFormat="1" x14ac:dyDescent="0.25">
      <c r="A4169" s="369">
        <v>44440</v>
      </c>
      <c r="B4169" s="347">
        <f>+MONTH(A4169)</f>
        <v>9</v>
      </c>
      <c r="C4169" s="347">
        <v>115</v>
      </c>
      <c r="D4169" s="340" t="str">
        <f>VLOOKUP(C4169,Plan!A$1:B$65542,2,0)</f>
        <v>Disponible Cali B.Chile</v>
      </c>
      <c r="E4169" s="341">
        <f>+F4169-G4169</f>
        <v>20000</v>
      </c>
      <c r="F4169" s="396">
        <v>20000</v>
      </c>
      <c r="G4169" s="396">
        <v>0</v>
      </c>
      <c r="H4169" t="s">
        <v>983</v>
      </c>
      <c r="I4169" s="347" t="s">
        <v>131</v>
      </c>
      <c r="K4169" s="370"/>
      <c r="N4169" s="370"/>
    </row>
    <row r="4170" spans="1:14" s="347" customFormat="1" x14ac:dyDescent="0.25">
      <c r="A4170" s="369">
        <f>+A4169</f>
        <v>44440</v>
      </c>
      <c r="B4170" s="347">
        <f>+B4169</f>
        <v>9</v>
      </c>
      <c r="C4170" s="347">
        <v>1222</v>
      </c>
      <c r="D4170" s="340" t="str">
        <f>VLOOKUP(C4170,Plan!A$1:B$65542,2,0)</f>
        <v>Otros Valores -Oficina y Transferencias (249)</v>
      </c>
      <c r="E4170" s="341">
        <f>+F4170-G4170</f>
        <v>-20000</v>
      </c>
      <c r="F4170" s="396">
        <v>0</v>
      </c>
      <c r="G4170" s="396">
        <f>+F4169</f>
        <v>20000</v>
      </c>
      <c r="H4170" t="str">
        <f>+H4169</f>
        <v>Macarena Gálvez Roa / 249</v>
      </c>
      <c r="I4170" s="347" t="s">
        <v>131</v>
      </c>
      <c r="K4170" s="370"/>
      <c r="N4170" s="370"/>
    </row>
    <row r="4171" spans="1:14" s="347" customFormat="1" x14ac:dyDescent="0.25">
      <c r="A4171" s="369"/>
      <c r="E4171" s="396"/>
      <c r="F4171" s="396"/>
      <c r="G4171" s="396"/>
      <c r="K4171" s="370"/>
      <c r="N4171" s="370"/>
    </row>
    <row r="4172" spans="1:14" s="347" customFormat="1" x14ac:dyDescent="0.25">
      <c r="A4172" s="369">
        <v>44440</v>
      </c>
      <c r="B4172" s="347">
        <f>+MONTH(A4172)</f>
        <v>9</v>
      </c>
      <c r="C4172" s="347">
        <v>115</v>
      </c>
      <c r="D4172" s="340" t="str">
        <f>VLOOKUP(C4172,Plan!A$1:B$65542,2,0)</f>
        <v>Disponible Cali B.Chile</v>
      </c>
      <c r="E4172" s="341">
        <f>+F4172-G4172</f>
        <v>20000</v>
      </c>
      <c r="F4172" s="396">
        <v>20000</v>
      </c>
      <c r="G4172" s="396">
        <v>0</v>
      </c>
      <c r="H4172" t="s">
        <v>1670</v>
      </c>
      <c r="I4172" s="347" t="s">
        <v>131</v>
      </c>
      <c r="K4172" s="370"/>
      <c r="N4172" s="370"/>
    </row>
    <row r="4173" spans="1:14" s="347" customFormat="1" x14ac:dyDescent="0.25">
      <c r="A4173" s="369">
        <f>+A4172</f>
        <v>44440</v>
      </c>
      <c r="B4173" s="347">
        <f>+B4172</f>
        <v>9</v>
      </c>
      <c r="C4173" s="347">
        <v>1222</v>
      </c>
      <c r="D4173" s="340" t="str">
        <f>VLOOKUP(C4173,Plan!A$1:B$65542,2,0)</f>
        <v>Otros Valores -Oficina y Transferencias (249)</v>
      </c>
      <c r="E4173" s="341">
        <f>+F4173-G4173</f>
        <v>-20000</v>
      </c>
      <c r="F4173" s="396">
        <v>0</v>
      </c>
      <c r="G4173" s="396">
        <f>+F4172</f>
        <v>20000</v>
      </c>
      <c r="H4173" t="str">
        <f>+H4172</f>
        <v>María Virginia Fernández Oyarzún / 249</v>
      </c>
      <c r="I4173" s="347" t="s">
        <v>131</v>
      </c>
      <c r="K4173" s="370"/>
      <c r="N4173" s="370"/>
    </row>
    <row r="4174" spans="1:14" s="347" customFormat="1" x14ac:dyDescent="0.25">
      <c r="A4174" s="369"/>
      <c r="E4174" s="396"/>
      <c r="F4174" s="396"/>
      <c r="G4174" s="396"/>
      <c r="K4174" s="370"/>
      <c r="N4174" s="370"/>
    </row>
    <row r="4175" spans="1:14" s="347" customFormat="1" x14ac:dyDescent="0.25">
      <c r="A4175" s="369">
        <v>44440</v>
      </c>
      <c r="B4175" s="347">
        <f>+MONTH(A4175)</f>
        <v>9</v>
      </c>
      <c r="C4175" s="347">
        <v>115</v>
      </c>
      <c r="D4175" s="340" t="str">
        <f>VLOOKUP(C4175,Plan!A$1:B$65542,2,0)</f>
        <v>Disponible Cali B.Chile</v>
      </c>
      <c r="E4175" s="341">
        <f>+F4175-G4175</f>
        <v>30000</v>
      </c>
      <c r="F4175" s="396">
        <v>30000</v>
      </c>
      <c r="G4175" s="396">
        <v>0</v>
      </c>
      <c r="H4175" t="s">
        <v>1671</v>
      </c>
      <c r="I4175" s="347" t="s">
        <v>131</v>
      </c>
      <c r="K4175" s="370"/>
      <c r="N4175" s="370"/>
    </row>
    <row r="4176" spans="1:14" s="347" customFormat="1" x14ac:dyDescent="0.25">
      <c r="A4176" s="369">
        <f>+A4175</f>
        <v>44440</v>
      </c>
      <c r="B4176" s="347">
        <f>+B4175</f>
        <v>9</v>
      </c>
      <c r="C4176" s="347">
        <v>3210</v>
      </c>
      <c r="D4176" s="340" t="str">
        <f>VLOOKUP(C4176,Plan!A$1:B$65542,2,0)</f>
        <v>Donacion Construccion</v>
      </c>
      <c r="E4176" s="341">
        <f>+F4176-G4176</f>
        <v>-30000</v>
      </c>
      <c r="F4176" s="396">
        <v>0</v>
      </c>
      <c r="G4176" s="396">
        <f>+F4175</f>
        <v>30000</v>
      </c>
      <c r="H4176" t="str">
        <f>+H4175</f>
        <v>Carlos Enrique Celis Celedón / Azul</v>
      </c>
      <c r="I4176" s="347" t="s">
        <v>131</v>
      </c>
      <c r="K4176" s="370"/>
      <c r="N4176" s="370"/>
    </row>
    <row r="4177" spans="1:14" s="347" customFormat="1" x14ac:dyDescent="0.25">
      <c r="A4177" s="369"/>
      <c r="E4177" s="396"/>
      <c r="F4177" s="396"/>
      <c r="G4177" s="396"/>
      <c r="K4177" s="370"/>
      <c r="N4177" s="370"/>
    </row>
    <row r="4178" spans="1:14" s="347" customFormat="1" x14ac:dyDescent="0.25">
      <c r="A4178" s="369">
        <v>44440</v>
      </c>
      <c r="B4178" s="347">
        <f>+MONTH(A4178)</f>
        <v>9</v>
      </c>
      <c r="C4178" s="347">
        <v>115</v>
      </c>
      <c r="D4178" s="340" t="str">
        <f>VLOOKUP(C4178,Plan!A$1:B$65542,2,0)</f>
        <v>Disponible Cali B.Chile</v>
      </c>
      <c r="E4178" s="341">
        <f>+F4178-G4178</f>
        <v>10000</v>
      </c>
      <c r="F4178" s="396">
        <v>10000</v>
      </c>
      <c r="G4178" s="396">
        <v>0</v>
      </c>
      <c r="H4178" t="s">
        <v>973</v>
      </c>
      <c r="I4178" s="347" t="s">
        <v>131</v>
      </c>
      <c r="K4178" s="370"/>
      <c r="N4178" s="370"/>
    </row>
    <row r="4179" spans="1:14" s="347" customFormat="1" x14ac:dyDescent="0.25">
      <c r="A4179" s="369">
        <f>+A4178</f>
        <v>44440</v>
      </c>
      <c r="B4179" s="347">
        <f>+B4178</f>
        <v>9</v>
      </c>
      <c r="C4179" s="347">
        <v>1222</v>
      </c>
      <c r="D4179" s="340" t="str">
        <f>VLOOKUP(C4179,Plan!A$1:B$65542,2,0)</f>
        <v>Otros Valores -Oficina y Transferencias (249)</v>
      </c>
      <c r="E4179" s="341">
        <f>+F4179-G4179</f>
        <v>-10000</v>
      </c>
      <c r="F4179" s="396">
        <v>0</v>
      </c>
      <c r="G4179" s="396">
        <f>+F4178</f>
        <v>10000</v>
      </c>
      <c r="H4179" t="str">
        <f>+H4178</f>
        <v>Ana María Ugarte / 249</v>
      </c>
      <c r="I4179" s="347" t="s">
        <v>131</v>
      </c>
      <c r="K4179" s="370"/>
      <c r="N4179" s="370"/>
    </row>
    <row r="4180" spans="1:14" s="347" customFormat="1" x14ac:dyDescent="0.25">
      <c r="K4180" s="370"/>
      <c r="N4180" s="370"/>
    </row>
    <row r="4181" spans="1:14" s="347" customFormat="1" x14ac:dyDescent="0.25">
      <c r="A4181" s="369">
        <v>44440</v>
      </c>
      <c r="B4181" s="347">
        <f>+MONTH(A4181)</f>
        <v>9</v>
      </c>
      <c r="C4181" s="347">
        <v>115</v>
      </c>
      <c r="D4181" s="340" t="str">
        <f>VLOOKUP(C4181,Plan!A$1:B$65542,2,0)</f>
        <v>Disponible Cali B.Chile</v>
      </c>
      <c r="E4181" s="341">
        <f>+F4181-G4181</f>
        <v>50000</v>
      </c>
      <c r="F4181" s="396">
        <v>50000</v>
      </c>
      <c r="G4181" s="396">
        <v>0</v>
      </c>
      <c r="H4181" t="s">
        <v>974</v>
      </c>
      <c r="I4181" s="347" t="s">
        <v>131</v>
      </c>
      <c r="K4181" s="370"/>
      <c r="N4181" s="370"/>
    </row>
    <row r="4182" spans="1:14" s="347" customFormat="1" x14ac:dyDescent="0.25">
      <c r="A4182" s="369">
        <f>+A4181</f>
        <v>44440</v>
      </c>
      <c r="B4182" s="347">
        <f>+B4181</f>
        <v>9</v>
      </c>
      <c r="C4182" s="347">
        <v>1222</v>
      </c>
      <c r="D4182" s="340" t="str">
        <f>VLOOKUP(C4182,Plan!A$1:B$65542,2,0)</f>
        <v>Otros Valores -Oficina y Transferencias (249)</v>
      </c>
      <c r="E4182" s="341">
        <f>+F4182-G4182</f>
        <v>-50000</v>
      </c>
      <c r="F4182" s="396">
        <v>0</v>
      </c>
      <c r="G4182" s="396">
        <f>+F4181</f>
        <v>50000</v>
      </c>
      <c r="H4182" t="str">
        <f>+H4181</f>
        <v>Matías Rafael Ubilla Silva / 249</v>
      </c>
      <c r="I4182" s="347" t="s">
        <v>131</v>
      </c>
      <c r="K4182" s="370"/>
      <c r="N4182" s="370"/>
    </row>
    <row r="4183" spans="1:14" s="347" customFormat="1" x14ac:dyDescent="0.25">
      <c r="A4183" s="369"/>
      <c r="E4183" s="396"/>
      <c r="F4183" s="396"/>
      <c r="G4183" s="396"/>
      <c r="K4183" s="370"/>
      <c r="N4183" s="370"/>
    </row>
    <row r="4184" spans="1:14" s="347" customFormat="1" x14ac:dyDescent="0.25">
      <c r="A4184" s="369">
        <v>44440</v>
      </c>
      <c r="B4184" s="347">
        <f>+MONTH(A4184)</f>
        <v>9</v>
      </c>
      <c r="C4184" s="347">
        <v>115</v>
      </c>
      <c r="D4184" s="340" t="str">
        <f>VLOOKUP(C4184,Plan!A$1:B$65542,2,0)</f>
        <v>Disponible Cali B.Chile</v>
      </c>
      <c r="E4184" s="341">
        <f>+F4184-G4184</f>
        <v>48000</v>
      </c>
      <c r="F4184" s="396">
        <v>48000</v>
      </c>
      <c r="G4184" s="396">
        <v>0</v>
      </c>
      <c r="H4184" t="s">
        <v>975</v>
      </c>
      <c r="I4184" s="347" t="s">
        <v>131</v>
      </c>
      <c r="K4184" s="370"/>
      <c r="N4184" s="370"/>
    </row>
    <row r="4185" spans="1:14" s="347" customFormat="1" x14ac:dyDescent="0.25">
      <c r="A4185" s="369">
        <f>+A4184</f>
        <v>44440</v>
      </c>
      <c r="B4185" s="347">
        <f>+B4184</f>
        <v>9</v>
      </c>
      <c r="C4185" s="347">
        <v>1217</v>
      </c>
      <c r="D4185" s="340" t="str">
        <f>VLOOKUP(C4185,Plan!A$1:B$65542,2,0)</f>
        <v>Otros Valores -Oficina y Transferencias (248)</v>
      </c>
      <c r="E4185" s="341">
        <f>+F4185-G4185</f>
        <v>-48000</v>
      </c>
      <c r="F4185" s="396">
        <v>0</v>
      </c>
      <c r="G4185" s="396">
        <f>+F4184</f>
        <v>48000</v>
      </c>
      <c r="H4185" t="str">
        <f>+H4184</f>
        <v>Enrique José Manuel Ferrer/248</v>
      </c>
      <c r="I4185" s="347" t="s">
        <v>131</v>
      </c>
      <c r="K4185" s="370"/>
      <c r="N4185" s="370"/>
    </row>
    <row r="4186" spans="1:14" s="347" customFormat="1" x14ac:dyDescent="0.25">
      <c r="A4186" s="369"/>
      <c r="E4186" s="396"/>
      <c r="F4186" s="396"/>
      <c r="G4186" s="396"/>
      <c r="K4186" s="370"/>
      <c r="N4186" s="370"/>
    </row>
    <row r="4187" spans="1:14" s="347" customFormat="1" x14ac:dyDescent="0.25">
      <c r="A4187" s="369">
        <v>44440</v>
      </c>
      <c r="B4187" s="347">
        <f>+MONTH(A4187)</f>
        <v>9</v>
      </c>
      <c r="C4187" s="347">
        <v>115</v>
      </c>
      <c r="D4187" s="340" t="str">
        <f>VLOOKUP(C4187,Plan!A$1:B$65542,2,0)</f>
        <v>Disponible Cali B.Chile</v>
      </c>
      <c r="E4187" s="341">
        <f>+F4187-G4187</f>
        <v>40000</v>
      </c>
      <c r="F4187" s="396">
        <v>40000</v>
      </c>
      <c r="G4187" s="396">
        <v>0</v>
      </c>
      <c r="H4187" t="s">
        <v>976</v>
      </c>
      <c r="I4187" s="347" t="s">
        <v>131</v>
      </c>
      <c r="K4187" s="370"/>
      <c r="N4187" s="370"/>
    </row>
    <row r="4188" spans="1:14" s="347" customFormat="1" x14ac:dyDescent="0.25">
      <c r="A4188" s="369">
        <f>+A4187</f>
        <v>44440</v>
      </c>
      <c r="B4188" s="347">
        <f>+B4187</f>
        <v>9</v>
      </c>
      <c r="C4188" s="347">
        <v>1222</v>
      </c>
      <c r="D4188" s="340" t="str">
        <f>VLOOKUP(C4188,Plan!A$1:B$65542,2,0)</f>
        <v>Otros Valores -Oficina y Transferencias (249)</v>
      </c>
      <c r="E4188" s="341">
        <f>+F4188-G4188</f>
        <v>-40000</v>
      </c>
      <c r="F4188" s="396">
        <v>0</v>
      </c>
      <c r="G4188" s="396">
        <f>+F4187</f>
        <v>40000</v>
      </c>
      <c r="H4188" t="str">
        <f>+H4187</f>
        <v>Ricardo Cañas Cambiaso / 249</v>
      </c>
      <c r="I4188" s="347" t="s">
        <v>131</v>
      </c>
      <c r="K4188" s="370"/>
      <c r="N4188" s="370"/>
    </row>
    <row r="4189" spans="1:14" s="347" customFormat="1" x14ac:dyDescent="0.25">
      <c r="A4189" s="369"/>
      <c r="E4189" s="396"/>
      <c r="F4189" s="396"/>
      <c r="G4189" s="396"/>
      <c r="K4189" s="370"/>
      <c r="N4189" s="370"/>
    </row>
    <row r="4190" spans="1:14" s="347" customFormat="1" x14ac:dyDescent="0.25">
      <c r="A4190" s="369">
        <v>44440</v>
      </c>
      <c r="B4190" s="347">
        <f>+MONTH(A4190)</f>
        <v>9</v>
      </c>
      <c r="C4190" s="347">
        <v>115</v>
      </c>
      <c r="D4190" s="340" t="str">
        <f>VLOOKUP(C4190,Plan!A$1:B$65542,2,0)</f>
        <v>Disponible Cali B.Chile</v>
      </c>
      <c r="E4190" s="341">
        <f>+F4190-G4190</f>
        <v>20000</v>
      </c>
      <c r="F4190" s="396">
        <v>20000</v>
      </c>
      <c r="G4190" s="396">
        <v>0</v>
      </c>
      <c r="H4190" t="s">
        <v>548</v>
      </c>
      <c r="I4190" s="347" t="s">
        <v>131</v>
      </c>
      <c r="K4190" s="370"/>
      <c r="N4190" s="370"/>
    </row>
    <row r="4191" spans="1:14" s="347" customFormat="1" x14ac:dyDescent="0.25">
      <c r="A4191" s="369">
        <f>+A4190</f>
        <v>44440</v>
      </c>
      <c r="B4191" s="347">
        <f>+B4190</f>
        <v>9</v>
      </c>
      <c r="C4191" s="347">
        <v>1222</v>
      </c>
      <c r="D4191" s="340" t="str">
        <f>VLOOKUP(C4191,Plan!A$1:B$65542,2,0)</f>
        <v>Otros Valores -Oficina y Transferencias (249)</v>
      </c>
      <c r="E4191" s="341">
        <f>+F4191-G4191</f>
        <v>-20000</v>
      </c>
      <c r="F4191" s="396">
        <v>0</v>
      </c>
      <c r="G4191" s="396">
        <f>+F4190</f>
        <v>20000</v>
      </c>
      <c r="H4191" t="str">
        <f>+H4190</f>
        <v>Josefina Claude / 249</v>
      </c>
      <c r="I4191" s="347" t="s">
        <v>131</v>
      </c>
      <c r="K4191" s="370"/>
      <c r="N4191" s="370"/>
    </row>
    <row r="4192" spans="1:14" s="347" customFormat="1" x14ac:dyDescent="0.25">
      <c r="A4192" s="369"/>
      <c r="E4192" s="396"/>
      <c r="F4192" s="396"/>
      <c r="G4192" s="396"/>
      <c r="K4192" s="370"/>
      <c r="N4192" s="370"/>
    </row>
    <row r="4193" spans="1:14" s="347" customFormat="1" x14ac:dyDescent="0.25">
      <c r="A4193" s="369">
        <v>44440</v>
      </c>
      <c r="B4193" s="347">
        <f>+MONTH(A4193)</f>
        <v>9</v>
      </c>
      <c r="C4193" s="347">
        <v>115</v>
      </c>
      <c r="D4193" s="340" t="str">
        <f>VLOOKUP(C4193,Plan!A$1:B$65542,2,0)</f>
        <v>Disponible Cali B.Chile</v>
      </c>
      <c r="E4193" s="341">
        <f>+F4193-G4193</f>
        <v>40000</v>
      </c>
      <c r="F4193" s="396">
        <v>40000</v>
      </c>
      <c r="G4193" s="396">
        <v>0</v>
      </c>
      <c r="H4193" t="s">
        <v>1001</v>
      </c>
      <c r="I4193" s="347" t="s">
        <v>131</v>
      </c>
      <c r="K4193" s="370"/>
      <c r="N4193" s="370"/>
    </row>
    <row r="4194" spans="1:14" s="347" customFormat="1" x14ac:dyDescent="0.25">
      <c r="A4194" s="369">
        <f>+A4193</f>
        <v>44440</v>
      </c>
      <c r="B4194" s="347">
        <f>+B4193</f>
        <v>9</v>
      </c>
      <c r="C4194" s="347">
        <v>3210</v>
      </c>
      <c r="D4194" s="340" t="str">
        <f>VLOOKUP(C4194,Plan!A$1:B$65542,2,0)</f>
        <v>Donacion Construccion</v>
      </c>
      <c r="E4194" s="341">
        <f>+F4194-G4194</f>
        <v>-40000</v>
      </c>
      <c r="F4194" s="396">
        <v>0</v>
      </c>
      <c r="G4194" s="396">
        <f>+F4193</f>
        <v>40000</v>
      </c>
      <c r="H4194" t="str">
        <f>+H4193</f>
        <v>Karina Rabino de Alonso /Azul</v>
      </c>
      <c r="I4194" s="347" t="s">
        <v>131</v>
      </c>
      <c r="K4194" s="370"/>
      <c r="N4194" s="370"/>
    </row>
    <row r="4195" spans="1:14" s="347" customFormat="1" x14ac:dyDescent="0.25">
      <c r="A4195" s="369"/>
      <c r="E4195" s="396"/>
      <c r="F4195" s="396"/>
      <c r="G4195" s="396"/>
      <c r="K4195" s="370"/>
      <c r="N4195" s="370"/>
    </row>
    <row r="4196" spans="1:14" s="347" customFormat="1" x14ac:dyDescent="0.25">
      <c r="A4196" s="369">
        <v>44440</v>
      </c>
      <c r="B4196" s="347">
        <f>+MONTH(A4196)</f>
        <v>9</v>
      </c>
      <c r="C4196" s="347">
        <v>115</v>
      </c>
      <c r="D4196" s="340" t="str">
        <f>VLOOKUP(C4196,Plan!A$1:B$65542,2,0)</f>
        <v>Disponible Cali B.Chile</v>
      </c>
      <c r="E4196" s="341">
        <f>+F4196-G4196</f>
        <v>30000</v>
      </c>
      <c r="F4196" s="396">
        <v>30000</v>
      </c>
      <c r="G4196" s="396">
        <v>0</v>
      </c>
      <c r="H4196" t="s">
        <v>978</v>
      </c>
      <c r="I4196" s="347" t="s">
        <v>131</v>
      </c>
      <c r="K4196" s="370"/>
      <c r="N4196" s="370"/>
    </row>
    <row r="4197" spans="1:14" s="347" customFormat="1" x14ac:dyDescent="0.25">
      <c r="A4197" s="369">
        <f>+A4196</f>
        <v>44440</v>
      </c>
      <c r="B4197" s="347">
        <f>+B4196</f>
        <v>9</v>
      </c>
      <c r="C4197" s="347">
        <v>3210</v>
      </c>
      <c r="D4197" s="340" t="str">
        <f>VLOOKUP(C4197,Plan!A$1:B$65542,2,0)</f>
        <v>Donacion Construccion</v>
      </c>
      <c r="E4197" s="341">
        <f>+F4197-G4197</f>
        <v>-30000</v>
      </c>
      <c r="F4197" s="396">
        <v>0</v>
      </c>
      <c r="G4197" s="396">
        <f>+F4196</f>
        <v>30000</v>
      </c>
      <c r="H4197" t="str">
        <f>+H4196</f>
        <v>Sergio Rodríguez Oro / Azul</v>
      </c>
      <c r="I4197" s="347" t="s">
        <v>131</v>
      </c>
      <c r="K4197" s="370"/>
      <c r="N4197" s="370"/>
    </row>
    <row r="4198" spans="1:14" s="347" customFormat="1" x14ac:dyDescent="0.25">
      <c r="A4198" s="369"/>
      <c r="E4198" s="396"/>
      <c r="F4198" s="396"/>
      <c r="G4198" s="396"/>
      <c r="K4198" s="370"/>
      <c r="N4198" s="370"/>
    </row>
    <row r="4199" spans="1:14" s="347" customFormat="1" x14ac:dyDescent="0.25">
      <c r="A4199" s="369">
        <v>44440</v>
      </c>
      <c r="B4199" s="347">
        <f>+MONTH(A4199)</f>
        <v>9</v>
      </c>
      <c r="C4199" s="347">
        <v>115</v>
      </c>
      <c r="D4199" s="340" t="str">
        <f>VLOOKUP(C4199,Plan!A$1:B$65542,2,0)</f>
        <v>Disponible Cali B.Chile</v>
      </c>
      <c r="E4199" s="341">
        <f>+F4199-G4199</f>
        <v>20000</v>
      </c>
      <c r="F4199" s="396">
        <v>20000</v>
      </c>
      <c r="G4199" s="396">
        <v>0</v>
      </c>
      <c r="H4199" t="s">
        <v>977</v>
      </c>
      <c r="I4199" s="347" t="s">
        <v>131</v>
      </c>
      <c r="K4199" s="370"/>
      <c r="N4199" s="370"/>
    </row>
    <row r="4200" spans="1:14" s="347" customFormat="1" x14ac:dyDescent="0.25">
      <c r="A4200" s="369">
        <f>+A4199</f>
        <v>44440</v>
      </c>
      <c r="B4200" s="347">
        <f>+B4199</f>
        <v>9</v>
      </c>
      <c r="C4200" s="347">
        <v>3210</v>
      </c>
      <c r="D4200" s="340" t="str">
        <f>VLOOKUP(C4200,Plan!A$1:B$65542,2,0)</f>
        <v>Donacion Construccion</v>
      </c>
      <c r="E4200" s="341">
        <f>+F4200-G4200</f>
        <v>-20000</v>
      </c>
      <c r="F4200" s="396">
        <v>0</v>
      </c>
      <c r="G4200" s="396">
        <f>+F4199</f>
        <v>20000</v>
      </c>
      <c r="H4200" t="str">
        <f>+H4199</f>
        <v>Fco.Javier Campos González/Azul</v>
      </c>
      <c r="I4200" s="347" t="s">
        <v>131</v>
      </c>
      <c r="K4200" s="370"/>
      <c r="N4200" s="370"/>
    </row>
    <row r="4201" spans="1:14" s="347" customFormat="1" x14ac:dyDescent="0.25">
      <c r="A4201" s="369"/>
      <c r="E4201" s="396"/>
      <c r="F4201" s="396"/>
      <c r="G4201" s="396"/>
      <c r="K4201" s="370"/>
      <c r="N4201" s="370"/>
    </row>
    <row r="4202" spans="1:14" s="347" customFormat="1" x14ac:dyDescent="0.25">
      <c r="A4202" s="369">
        <v>44440</v>
      </c>
      <c r="B4202" s="347">
        <f>+MONTH(A4202)</f>
        <v>9</v>
      </c>
      <c r="C4202" s="347">
        <v>115</v>
      </c>
      <c r="D4202" s="340" t="str">
        <f>VLOOKUP(C4202,Plan!A$1:B$65542,2,0)</f>
        <v>Disponible Cali B.Chile</v>
      </c>
      <c r="E4202" s="341">
        <f>+F4202-G4202</f>
        <v>15000</v>
      </c>
      <c r="F4202" s="396">
        <v>15000</v>
      </c>
      <c r="G4202" s="396">
        <v>0</v>
      </c>
      <c r="H4202" t="s">
        <v>1756</v>
      </c>
      <c r="I4202" s="347" t="s">
        <v>131</v>
      </c>
      <c r="K4202" s="370"/>
      <c r="N4202" s="370"/>
    </row>
    <row r="4203" spans="1:14" s="347" customFormat="1" x14ac:dyDescent="0.25">
      <c r="A4203" s="369">
        <f>+A4202</f>
        <v>44440</v>
      </c>
      <c r="B4203" s="347">
        <f>+B4202</f>
        <v>9</v>
      </c>
      <c r="C4203" s="347">
        <v>1222</v>
      </c>
      <c r="D4203" s="340" t="str">
        <f>VLOOKUP(C4203,Plan!A$1:B$65542,2,0)</f>
        <v>Otros Valores -Oficina y Transferencias (249)</v>
      </c>
      <c r="E4203" s="341">
        <f>+F4203-G4203</f>
        <v>-15000</v>
      </c>
      <c r="F4203" s="396">
        <v>0</v>
      </c>
      <c r="G4203" s="396">
        <f>+F4202</f>
        <v>15000</v>
      </c>
      <c r="H4203" t="str">
        <f>+H4202</f>
        <v>María José Valdés Valdés / 249</v>
      </c>
      <c r="I4203" s="347" t="s">
        <v>131</v>
      </c>
      <c r="K4203" s="370"/>
      <c r="N4203" s="370"/>
    </row>
    <row r="4204" spans="1:14" s="347" customFormat="1" x14ac:dyDescent="0.25">
      <c r="A4204" s="369"/>
      <c r="E4204" s="396"/>
      <c r="F4204" s="396"/>
      <c r="G4204" s="396"/>
      <c r="K4204" s="370"/>
      <c r="N4204" s="370"/>
    </row>
    <row r="4205" spans="1:14" s="347" customFormat="1" x14ac:dyDescent="0.25">
      <c r="A4205" s="369">
        <v>44440</v>
      </c>
      <c r="B4205" s="347">
        <f>+MONTH(A4205)</f>
        <v>9</v>
      </c>
      <c r="C4205" s="347">
        <v>115</v>
      </c>
      <c r="D4205" s="340" t="str">
        <f>VLOOKUP(C4205,Plan!A$1:B$65542,2,0)</f>
        <v>Disponible Cali B.Chile</v>
      </c>
      <c r="E4205" s="341">
        <f>+F4205-G4205</f>
        <v>70000</v>
      </c>
      <c r="F4205" s="396">
        <v>70000</v>
      </c>
      <c r="G4205" s="396">
        <v>0</v>
      </c>
      <c r="H4205" t="s">
        <v>1991</v>
      </c>
      <c r="I4205" s="347" t="s">
        <v>131</v>
      </c>
      <c r="K4205" s="370"/>
      <c r="N4205" s="370"/>
    </row>
    <row r="4206" spans="1:14" s="347" customFormat="1" x14ac:dyDescent="0.25">
      <c r="A4206" s="369">
        <f>+A4205</f>
        <v>44440</v>
      </c>
      <c r="B4206" s="347">
        <f>+B4205</f>
        <v>9</v>
      </c>
      <c r="C4206" s="347">
        <v>3210</v>
      </c>
      <c r="D4206" s="340" t="str">
        <f>VLOOKUP(C4206,Plan!A$1:B$65542,2,0)</f>
        <v>Donacion Construccion</v>
      </c>
      <c r="E4206" s="341">
        <f>+F4206-G4206</f>
        <v>-70000</v>
      </c>
      <c r="F4206" s="396">
        <v>0</v>
      </c>
      <c r="G4206" s="396">
        <f>+F4205</f>
        <v>70000</v>
      </c>
      <c r="H4206" t="str">
        <f>+H4205</f>
        <v>Juan Pablo Munita Morgan / Azul</v>
      </c>
      <c r="I4206" s="347" t="s">
        <v>131</v>
      </c>
      <c r="K4206" s="370"/>
      <c r="N4206" s="370"/>
    </row>
    <row r="4207" spans="1:14" s="347" customFormat="1" x14ac:dyDescent="0.25">
      <c r="A4207" s="369"/>
      <c r="E4207" s="396"/>
      <c r="F4207" s="396"/>
      <c r="G4207" s="396"/>
      <c r="K4207" s="370"/>
      <c r="N4207" s="370"/>
    </row>
    <row r="4208" spans="1:14" s="347" customFormat="1" x14ac:dyDescent="0.25">
      <c r="A4208" s="369">
        <v>44440</v>
      </c>
      <c r="B4208" s="347">
        <f>+MONTH(A4208)</f>
        <v>9</v>
      </c>
      <c r="C4208" s="347">
        <v>115</v>
      </c>
      <c r="D4208" s="340" t="str">
        <f>VLOOKUP(C4208,Plan!A$1:B$65542,2,0)</f>
        <v>Disponible Cali B.Chile</v>
      </c>
      <c r="E4208" s="341">
        <f>+F4208-G4208</f>
        <v>15000</v>
      </c>
      <c r="F4208" s="396">
        <v>15000</v>
      </c>
      <c r="G4208" s="396">
        <v>0</v>
      </c>
      <c r="H4208" t="s">
        <v>1716</v>
      </c>
      <c r="I4208" s="347" t="s">
        <v>131</v>
      </c>
      <c r="K4208" s="370"/>
      <c r="N4208" s="370"/>
    </row>
    <row r="4209" spans="1:14" s="347" customFormat="1" x14ac:dyDescent="0.25">
      <c r="A4209" s="369">
        <f>+A4208</f>
        <v>44440</v>
      </c>
      <c r="B4209" s="347">
        <f>+B4208</f>
        <v>9</v>
      </c>
      <c r="C4209" s="347">
        <v>1222</v>
      </c>
      <c r="D4209" s="340" t="str">
        <f>VLOOKUP(C4209,Plan!A$1:B$65542,2,0)</f>
        <v>Otros Valores -Oficina y Transferencias (249)</v>
      </c>
      <c r="E4209" s="341">
        <f>+F4209-G4209</f>
        <v>-15000</v>
      </c>
      <c r="F4209" s="396">
        <v>0</v>
      </c>
      <c r="G4209" s="396">
        <f>+F4208</f>
        <v>15000</v>
      </c>
      <c r="H4209" t="str">
        <f>+H4208</f>
        <v>María Carolina Marín Montes / 249</v>
      </c>
      <c r="I4209" s="347" t="s">
        <v>131</v>
      </c>
      <c r="K4209" s="370"/>
      <c r="N4209" s="370"/>
    </row>
    <row r="4210" spans="1:14" s="347" customFormat="1" x14ac:dyDescent="0.25">
      <c r="A4210" s="369"/>
      <c r="E4210" s="396"/>
      <c r="F4210" s="396"/>
      <c r="G4210" s="396"/>
      <c r="K4210" s="370"/>
      <c r="N4210" s="370"/>
    </row>
    <row r="4211" spans="1:14" s="347" customFormat="1" x14ac:dyDescent="0.25">
      <c r="A4211" s="369">
        <v>44440</v>
      </c>
      <c r="B4211" s="347">
        <f>+MONTH(A4211)</f>
        <v>9</v>
      </c>
      <c r="C4211" s="347">
        <v>115</v>
      </c>
      <c r="D4211" s="340" t="str">
        <f>VLOOKUP(C4211,Plan!A$1:B$65542,2,0)</f>
        <v>Disponible Cali B.Chile</v>
      </c>
      <c r="E4211" s="341">
        <f>+F4211-G4211</f>
        <v>15000</v>
      </c>
      <c r="F4211" s="396">
        <v>15000</v>
      </c>
      <c r="G4211" s="396">
        <v>0</v>
      </c>
      <c r="H4211" t="s">
        <v>979</v>
      </c>
      <c r="I4211" s="347" t="s">
        <v>131</v>
      </c>
      <c r="K4211" s="370"/>
      <c r="N4211" s="370"/>
    </row>
    <row r="4212" spans="1:14" s="347" customFormat="1" x14ac:dyDescent="0.25">
      <c r="A4212" s="369">
        <f>+A4211</f>
        <v>44440</v>
      </c>
      <c r="B4212" s="347">
        <f>+B4211</f>
        <v>9</v>
      </c>
      <c r="C4212" s="347">
        <v>1222</v>
      </c>
      <c r="D4212" s="340" t="str">
        <f>VLOOKUP(C4212,Plan!A$1:B$65542,2,0)</f>
        <v>Otros Valores -Oficina y Transferencias (249)</v>
      </c>
      <c r="E4212" s="341">
        <f>+F4212-G4212</f>
        <v>-15000</v>
      </c>
      <c r="F4212" s="396">
        <v>0</v>
      </c>
      <c r="G4212" s="396">
        <f>+F4211</f>
        <v>15000</v>
      </c>
      <c r="H4212" t="str">
        <f>+H4211</f>
        <v>María Paulina Grez / 249</v>
      </c>
      <c r="I4212" s="347" t="s">
        <v>131</v>
      </c>
      <c r="K4212" s="370"/>
      <c r="N4212" s="370"/>
    </row>
    <row r="4213" spans="1:14" s="347" customFormat="1" x14ac:dyDescent="0.25">
      <c r="A4213" s="369"/>
      <c r="E4213" s="396"/>
      <c r="F4213" s="396"/>
      <c r="G4213" s="396"/>
      <c r="K4213" s="370"/>
      <c r="N4213" s="370"/>
    </row>
    <row r="4214" spans="1:14" s="347" customFormat="1" x14ac:dyDescent="0.25">
      <c r="A4214" s="369">
        <v>44440</v>
      </c>
      <c r="B4214" s="347">
        <f>+MONTH(A4214)</f>
        <v>9</v>
      </c>
      <c r="C4214" s="347">
        <v>115</v>
      </c>
      <c r="D4214" s="340" t="str">
        <f>VLOOKUP(C4214,Plan!A$1:B$65542,2,0)</f>
        <v>Disponible Cali B.Chile</v>
      </c>
      <c r="E4214" s="341">
        <f>+F4214-G4214</f>
        <v>30000</v>
      </c>
      <c r="F4214" s="396">
        <v>30000</v>
      </c>
      <c r="G4214" s="396">
        <v>0</v>
      </c>
      <c r="H4214" t="s">
        <v>1990</v>
      </c>
      <c r="I4214" s="347" t="s">
        <v>131</v>
      </c>
      <c r="K4214" s="370"/>
      <c r="N4214" s="370"/>
    </row>
    <row r="4215" spans="1:14" s="347" customFormat="1" x14ac:dyDescent="0.25">
      <c r="A4215" s="369">
        <f>+A4214</f>
        <v>44440</v>
      </c>
      <c r="B4215" s="347">
        <f>+B4214</f>
        <v>9</v>
      </c>
      <c r="C4215" s="347">
        <v>1222</v>
      </c>
      <c r="D4215" s="340" t="str">
        <f>VLOOKUP(C4215,Plan!A$1:B$65542,2,0)</f>
        <v>Otros Valores -Oficina y Transferencias (249)</v>
      </c>
      <c r="E4215" s="341">
        <f>+F4215-G4215</f>
        <v>-30000</v>
      </c>
      <c r="F4215" s="396">
        <v>0</v>
      </c>
      <c r="G4215" s="396">
        <f>+F4214</f>
        <v>30000</v>
      </c>
      <c r="H4215" t="str">
        <f>+H4214</f>
        <v>Renato Guidio Rezende de Castro/ 249</v>
      </c>
      <c r="I4215" s="347" t="s">
        <v>131</v>
      </c>
      <c r="K4215" s="370"/>
      <c r="N4215" s="370"/>
    </row>
    <row r="4216" spans="1:14" s="347" customFormat="1" x14ac:dyDescent="0.25">
      <c r="A4216" s="369"/>
      <c r="E4216" s="396"/>
      <c r="F4216" s="396"/>
      <c r="G4216" s="396"/>
      <c r="K4216" s="370"/>
      <c r="N4216" s="370"/>
    </row>
    <row r="4217" spans="1:14" s="347" customFormat="1" x14ac:dyDescent="0.25">
      <c r="A4217" s="369">
        <v>44440</v>
      </c>
      <c r="B4217" s="347">
        <f>+MONTH(A4217)</f>
        <v>9</v>
      </c>
      <c r="C4217" s="347">
        <v>115</v>
      </c>
      <c r="D4217" s="340" t="str">
        <f>VLOOKUP(C4217,Plan!A$1:B$65542,2,0)</f>
        <v>Disponible Cali B.Chile</v>
      </c>
      <c r="E4217" s="341">
        <f>+F4217-G4217</f>
        <v>30000</v>
      </c>
      <c r="F4217" s="396">
        <v>30000</v>
      </c>
      <c r="G4217" s="396">
        <v>0</v>
      </c>
      <c r="H4217" t="s">
        <v>1669</v>
      </c>
      <c r="I4217" s="347" t="s">
        <v>131</v>
      </c>
      <c r="K4217" s="370"/>
      <c r="N4217" s="370"/>
    </row>
    <row r="4218" spans="1:14" s="347" customFormat="1" x14ac:dyDescent="0.25">
      <c r="A4218" s="369">
        <f>+A4217</f>
        <v>44440</v>
      </c>
      <c r="B4218" s="347">
        <f>+B4217</f>
        <v>9</v>
      </c>
      <c r="C4218" s="347">
        <v>1222</v>
      </c>
      <c r="D4218" s="340" t="str">
        <f>VLOOKUP(C4218,Plan!A$1:B$65542,2,0)</f>
        <v>Otros Valores -Oficina y Transferencias (249)</v>
      </c>
      <c r="E4218" s="341">
        <f>+F4218-G4218</f>
        <v>-30000</v>
      </c>
      <c r="F4218" s="396">
        <v>0</v>
      </c>
      <c r="G4218" s="396">
        <f>+F4217</f>
        <v>30000</v>
      </c>
      <c r="H4218" t="str">
        <f>+H4217</f>
        <v>Carlos Enrique Blanco Plummer / 249</v>
      </c>
      <c r="I4218" s="347" t="s">
        <v>131</v>
      </c>
      <c r="K4218" s="370"/>
      <c r="N4218" s="370"/>
    </row>
    <row r="4219" spans="1:14" s="347" customFormat="1" x14ac:dyDescent="0.25">
      <c r="A4219" s="369"/>
      <c r="E4219" s="396"/>
      <c r="F4219" s="396"/>
      <c r="G4219" s="396"/>
      <c r="K4219" s="370"/>
      <c r="N4219" s="370"/>
    </row>
    <row r="4220" spans="1:14" s="347" customFormat="1" x14ac:dyDescent="0.25">
      <c r="A4220" s="369">
        <v>44440</v>
      </c>
      <c r="B4220" s="347">
        <f>+MONTH(A4220)</f>
        <v>9</v>
      </c>
      <c r="C4220" s="347">
        <v>115</v>
      </c>
      <c r="D4220" s="340" t="str">
        <f>VLOOKUP(C4220,Plan!A$1:B$65542,2,0)</f>
        <v>Disponible Cali B.Chile</v>
      </c>
      <c r="E4220" s="341">
        <f>+F4220-G4220</f>
        <v>80000</v>
      </c>
      <c r="F4220" s="396">
        <v>80000</v>
      </c>
      <c r="G4220" s="396">
        <v>0</v>
      </c>
      <c r="H4220" t="s">
        <v>1992</v>
      </c>
      <c r="I4220" s="347" t="s">
        <v>131</v>
      </c>
      <c r="K4220" s="370"/>
      <c r="N4220" s="370"/>
    </row>
    <row r="4221" spans="1:14" s="347" customFormat="1" x14ac:dyDescent="0.25">
      <c r="A4221" s="369">
        <f>+A4220</f>
        <v>44440</v>
      </c>
      <c r="B4221" s="347">
        <f>+B4220</f>
        <v>9</v>
      </c>
      <c r="C4221" s="347">
        <v>216</v>
      </c>
      <c r="D4221" s="340" t="str">
        <f>VLOOKUP(C4221,Plan!A$1:B$65542,2,0)</f>
        <v>Cuenta por Pagar a Administración Colectas</v>
      </c>
      <c r="E4221" s="341">
        <f>+F4221-G4221</f>
        <v>-80000</v>
      </c>
      <c r="F4221" s="396">
        <v>0</v>
      </c>
      <c r="G4221" s="396">
        <f>+F4220</f>
        <v>80000</v>
      </c>
      <c r="H4221" t="str">
        <f>+H4220</f>
        <v>Colecta Arnaldo Gorziglia Balbi</v>
      </c>
      <c r="I4221" s="347" t="s">
        <v>131</v>
      </c>
      <c r="K4221" s="370"/>
      <c r="N4221" s="370"/>
    </row>
    <row r="4222" spans="1:14" s="347" customFormat="1" x14ac:dyDescent="0.25">
      <c r="A4222" s="369"/>
      <c r="E4222" s="396"/>
      <c r="F4222" s="396"/>
      <c r="G4222" s="396"/>
      <c r="K4222" s="370"/>
      <c r="N4222" s="370"/>
    </row>
    <row r="4223" spans="1:14" s="347" customFormat="1" x14ac:dyDescent="0.25">
      <c r="A4223" s="369">
        <v>44440</v>
      </c>
      <c r="B4223" s="347">
        <f>+MONTH(A4223)</f>
        <v>9</v>
      </c>
      <c r="C4223" s="347">
        <v>115</v>
      </c>
      <c r="D4223" s="340" t="str">
        <f>VLOOKUP(C4223,Plan!A$1:B$65542,2,0)</f>
        <v>Disponible Cali B.Chile</v>
      </c>
      <c r="E4223" s="341">
        <f>+F4223-G4223</f>
        <v>40000</v>
      </c>
      <c r="F4223" s="396">
        <v>40000</v>
      </c>
      <c r="G4223" s="396">
        <v>0</v>
      </c>
      <c r="H4223" t="s">
        <v>2075</v>
      </c>
      <c r="I4223" s="347" t="s">
        <v>131</v>
      </c>
      <c r="K4223" s="370"/>
      <c r="N4223" s="370"/>
    </row>
    <row r="4224" spans="1:14" s="347" customFormat="1" x14ac:dyDescent="0.25">
      <c r="A4224" s="369">
        <f>+A4223</f>
        <v>44440</v>
      </c>
      <c r="B4224" s="347">
        <f>+B4223</f>
        <v>9</v>
      </c>
      <c r="C4224" s="347">
        <v>1217</v>
      </c>
      <c r="D4224" s="340" t="str">
        <f>VLOOKUP(C4224,Plan!A$1:B$65542,2,0)</f>
        <v>Otros Valores -Oficina y Transferencias (248)</v>
      </c>
      <c r="E4224" s="341">
        <f>+F4224-G4224</f>
        <v>-40000</v>
      </c>
      <c r="F4224" s="396">
        <v>0</v>
      </c>
      <c r="G4224" s="396">
        <f>+F4223</f>
        <v>40000</v>
      </c>
      <c r="H4224" t="str">
        <f>+H4223</f>
        <v>M. Dominguez /248</v>
      </c>
      <c r="I4224" s="347" t="s">
        <v>131</v>
      </c>
      <c r="K4224" s="370"/>
      <c r="N4224" s="370"/>
    </row>
    <row r="4225" spans="1:14" s="347" customFormat="1" x14ac:dyDescent="0.25">
      <c r="A4225" s="369"/>
      <c r="E4225" s="396"/>
      <c r="F4225" s="396"/>
      <c r="G4225" s="396"/>
      <c r="K4225" s="370"/>
      <c r="N4225" s="370"/>
    </row>
    <row r="4226" spans="1:14" s="347" customFormat="1" x14ac:dyDescent="0.25">
      <c r="A4226" s="369">
        <v>44440</v>
      </c>
      <c r="B4226" s="347">
        <f>+MONTH(A4226)</f>
        <v>9</v>
      </c>
      <c r="C4226" s="347">
        <v>115</v>
      </c>
      <c r="D4226" s="340" t="str">
        <f>VLOOKUP(C4226,Plan!A$1:B$65542,2,0)</f>
        <v>Disponible Cali B.Chile</v>
      </c>
      <c r="E4226" s="341">
        <f>+F4226-G4226</f>
        <v>45000</v>
      </c>
      <c r="F4226" s="396">
        <v>45000</v>
      </c>
      <c r="G4226" s="396">
        <v>0</v>
      </c>
      <c r="H4226" t="s">
        <v>993</v>
      </c>
      <c r="I4226" s="347" t="s">
        <v>131</v>
      </c>
      <c r="K4226" s="370"/>
      <c r="N4226" s="370"/>
    </row>
    <row r="4227" spans="1:14" s="347" customFormat="1" x14ac:dyDescent="0.25">
      <c r="A4227" s="369">
        <f>+A4226</f>
        <v>44440</v>
      </c>
      <c r="B4227" s="347">
        <f>+B4226</f>
        <v>9</v>
      </c>
      <c r="C4227" s="347">
        <v>3210</v>
      </c>
      <c r="D4227" s="340" t="str">
        <f>VLOOKUP(C4227,Plan!A$1:B$65542,2,0)</f>
        <v>Donacion Construccion</v>
      </c>
      <c r="E4227" s="341">
        <f>+F4227-G4227</f>
        <v>-45000</v>
      </c>
      <c r="F4227" s="396">
        <v>0</v>
      </c>
      <c r="G4227" s="396">
        <f>+F4226</f>
        <v>45000</v>
      </c>
      <c r="H4227" t="str">
        <f>+H4226</f>
        <v>Patricia Romero Navarro / Azul</v>
      </c>
      <c r="I4227" s="347" t="s">
        <v>131</v>
      </c>
      <c r="K4227" s="370"/>
      <c r="N4227" s="370"/>
    </row>
    <row r="4228" spans="1:14" s="347" customFormat="1" x14ac:dyDescent="0.25">
      <c r="A4228" s="369"/>
      <c r="E4228" s="396"/>
      <c r="F4228" s="396"/>
      <c r="G4228" s="396"/>
      <c r="K4228" s="370"/>
      <c r="N4228" s="370"/>
    </row>
    <row r="4229" spans="1:14" s="347" customFormat="1" x14ac:dyDescent="0.25">
      <c r="A4229" s="369">
        <v>44440</v>
      </c>
      <c r="B4229" s="347">
        <f>+MONTH(A4229)</f>
        <v>9</v>
      </c>
      <c r="C4229" s="347">
        <v>115</v>
      </c>
      <c r="D4229" s="340" t="str">
        <f>VLOOKUP(C4229,Plan!A$1:B$65542,2,0)</f>
        <v>Disponible Cali B.Chile</v>
      </c>
      <c r="E4229" s="341">
        <f>+F4229-G4229</f>
        <v>20000</v>
      </c>
      <c r="F4229" s="396">
        <v>20000</v>
      </c>
      <c r="G4229" s="396">
        <v>0</v>
      </c>
      <c r="H4229" t="s">
        <v>1056</v>
      </c>
      <c r="I4229" s="347" t="s">
        <v>131</v>
      </c>
      <c r="K4229" s="370"/>
      <c r="N4229" s="370"/>
    </row>
    <row r="4230" spans="1:14" s="347" customFormat="1" x14ac:dyDescent="0.25">
      <c r="A4230" s="369">
        <f>+A4229</f>
        <v>44440</v>
      </c>
      <c r="B4230" s="347">
        <f>+B4229</f>
        <v>9</v>
      </c>
      <c r="C4230" s="347">
        <v>1222</v>
      </c>
      <c r="D4230" s="340" t="str">
        <f>VLOOKUP(C4230,Plan!A$1:B$65542,2,0)</f>
        <v>Otros Valores -Oficina y Transferencias (249)</v>
      </c>
      <c r="E4230" s="341">
        <f>+F4230-G4230</f>
        <v>-20000</v>
      </c>
      <c r="F4230" s="396">
        <v>0</v>
      </c>
      <c r="G4230" s="396">
        <f>+F4229</f>
        <v>20000</v>
      </c>
      <c r="H4230" t="str">
        <f>+H4229</f>
        <v>María José Muñoz Reinoso / 249</v>
      </c>
      <c r="I4230" s="347" t="s">
        <v>131</v>
      </c>
      <c r="K4230" s="370"/>
      <c r="N4230" s="370"/>
    </row>
    <row r="4231" spans="1:14" s="347" customFormat="1" x14ac:dyDescent="0.25">
      <c r="A4231" s="369"/>
      <c r="E4231" s="396"/>
      <c r="F4231" s="396"/>
      <c r="G4231" s="396"/>
      <c r="K4231" s="370"/>
      <c r="N4231" s="370"/>
    </row>
    <row r="4232" spans="1:14" s="347" customFormat="1" x14ac:dyDescent="0.25">
      <c r="A4232" s="369">
        <v>44441</v>
      </c>
      <c r="B4232" s="347">
        <f>+MONTH(A4232)</f>
        <v>9</v>
      </c>
      <c r="C4232" s="347">
        <v>115</v>
      </c>
      <c r="D4232" s="340" t="str">
        <f>VLOOKUP(C4232,Plan!A$1:B$65542,2,0)</f>
        <v>Disponible Cali B.Chile</v>
      </c>
      <c r="E4232" s="341">
        <f>+F4232-G4232</f>
        <v>200000</v>
      </c>
      <c r="F4232" s="396">
        <v>200000</v>
      </c>
      <c r="G4232" s="396">
        <v>0</v>
      </c>
      <c r="H4232" t="s">
        <v>1052</v>
      </c>
      <c r="I4232" s="347" t="s">
        <v>131</v>
      </c>
      <c r="K4232" s="370"/>
      <c r="N4232" s="370"/>
    </row>
    <row r="4233" spans="1:14" s="347" customFormat="1" x14ac:dyDescent="0.25">
      <c r="A4233" s="369">
        <f>+A4232</f>
        <v>44441</v>
      </c>
      <c r="B4233" s="347">
        <f>+B4232</f>
        <v>9</v>
      </c>
      <c r="C4233" s="347">
        <v>3210</v>
      </c>
      <c r="D4233" s="340" t="str">
        <f>VLOOKUP(C4233,Plan!A$1:B$65542,2,0)</f>
        <v>Donacion Construccion</v>
      </c>
      <c r="E4233" s="341">
        <f>+F4233-G4233</f>
        <v>-200000</v>
      </c>
      <c r="F4233" s="396">
        <v>0</v>
      </c>
      <c r="G4233" s="396">
        <f>+F4232</f>
        <v>200000</v>
      </c>
      <c r="H4233" t="str">
        <f>+H4232</f>
        <v>Jorge Hernán Rodríguez Wilson/Azul</v>
      </c>
      <c r="I4233" s="347" t="s">
        <v>131</v>
      </c>
      <c r="K4233" s="370"/>
      <c r="N4233" s="370"/>
    </row>
    <row r="4234" spans="1:14" s="347" customFormat="1" x14ac:dyDescent="0.25">
      <c r="A4234" s="369"/>
      <c r="E4234" s="396"/>
      <c r="F4234" s="396"/>
      <c r="G4234" s="396"/>
      <c r="K4234" s="370"/>
      <c r="N4234" s="370"/>
    </row>
    <row r="4235" spans="1:14" s="347" customFormat="1" x14ac:dyDescent="0.25">
      <c r="A4235" s="369">
        <v>44441</v>
      </c>
      <c r="B4235" s="347">
        <f>+MONTH(A4235)</f>
        <v>9</v>
      </c>
      <c r="C4235" s="347">
        <v>115</v>
      </c>
      <c r="D4235" s="340" t="str">
        <f>VLOOKUP(C4235,Plan!A$1:B$65542,2,0)</f>
        <v>Disponible Cali B.Chile</v>
      </c>
      <c r="E4235" s="341">
        <f>+F4235-G4235</f>
        <v>20000</v>
      </c>
      <c r="F4235" s="396">
        <v>20000</v>
      </c>
      <c r="G4235" s="396">
        <v>0</v>
      </c>
      <c r="H4235" t="s">
        <v>1035</v>
      </c>
      <c r="I4235" s="347" t="s">
        <v>131</v>
      </c>
      <c r="K4235" s="370"/>
      <c r="N4235" s="370"/>
    </row>
    <row r="4236" spans="1:14" s="347" customFormat="1" x14ac:dyDescent="0.25">
      <c r="A4236" s="369">
        <f>+A4235</f>
        <v>44441</v>
      </c>
      <c r="B4236" s="347">
        <f>+B4235</f>
        <v>9</v>
      </c>
      <c r="C4236" s="347">
        <v>1217</v>
      </c>
      <c r="D4236" s="340" t="str">
        <f>VLOOKUP(C4236,Plan!A$1:B$65542,2,0)</f>
        <v>Otros Valores -Oficina y Transferencias (248)</v>
      </c>
      <c r="E4236" s="341">
        <f>+F4236-G4236</f>
        <v>-20000</v>
      </c>
      <c r="F4236" s="396">
        <v>0</v>
      </c>
      <c r="G4236" s="396">
        <f>+F4235</f>
        <v>20000</v>
      </c>
      <c r="H4236" t="str">
        <f>+H4235</f>
        <v xml:space="preserve">Fabián Rodríguez Ch. / 248 </v>
      </c>
      <c r="I4236" s="347" t="s">
        <v>131</v>
      </c>
      <c r="K4236" s="370"/>
      <c r="N4236" s="370"/>
    </row>
    <row r="4237" spans="1:14" s="347" customFormat="1" x14ac:dyDescent="0.25">
      <c r="A4237" s="369"/>
      <c r="E4237" s="396"/>
      <c r="F4237" s="396"/>
      <c r="G4237" s="396"/>
      <c r="K4237" s="370"/>
      <c r="N4237" s="370"/>
    </row>
    <row r="4238" spans="1:14" s="347" customFormat="1" x14ac:dyDescent="0.25">
      <c r="A4238" s="369">
        <v>44441</v>
      </c>
      <c r="B4238" s="347">
        <f>+MONTH(A4238)</f>
        <v>9</v>
      </c>
      <c r="C4238" s="347">
        <v>115</v>
      </c>
      <c r="D4238" s="340" t="str">
        <f>VLOOKUP(C4238,Plan!A$1:B$65542,2,0)</f>
        <v>Disponible Cali B.Chile</v>
      </c>
      <c r="E4238" s="341">
        <f>+F4238-G4238</f>
        <v>20000</v>
      </c>
      <c r="F4238" s="396">
        <v>20000</v>
      </c>
      <c r="G4238" s="396">
        <v>0</v>
      </c>
      <c r="H4238" t="s">
        <v>998</v>
      </c>
      <c r="I4238" s="347" t="s">
        <v>131</v>
      </c>
      <c r="K4238" s="370"/>
      <c r="N4238" s="370"/>
    </row>
    <row r="4239" spans="1:14" s="347" customFormat="1" x14ac:dyDescent="0.25">
      <c r="A4239" s="369">
        <f>+A4238</f>
        <v>44441</v>
      </c>
      <c r="B4239" s="347">
        <f>+B4238</f>
        <v>9</v>
      </c>
      <c r="C4239" s="347">
        <v>1222</v>
      </c>
      <c r="D4239" s="340" t="str">
        <f>VLOOKUP(C4239,Plan!A$1:B$65542,2,0)</f>
        <v>Otros Valores -Oficina y Transferencias (249)</v>
      </c>
      <c r="E4239" s="341">
        <f>+F4239-G4239</f>
        <v>-20000</v>
      </c>
      <c r="F4239" s="396">
        <v>0</v>
      </c>
      <c r="G4239" s="396">
        <f>+F4238</f>
        <v>20000</v>
      </c>
      <c r="H4239" t="str">
        <f>+H4238</f>
        <v>Fca. Orrego/249</v>
      </c>
      <c r="I4239" s="347" t="s">
        <v>131</v>
      </c>
      <c r="K4239" s="370"/>
      <c r="N4239" s="370"/>
    </row>
    <row r="4240" spans="1:14" s="347" customFormat="1" x14ac:dyDescent="0.25">
      <c r="A4240" s="369"/>
      <c r="E4240" s="396"/>
      <c r="F4240" s="396"/>
      <c r="G4240" s="396"/>
      <c r="K4240" s="370"/>
      <c r="N4240" s="370"/>
    </row>
    <row r="4241" spans="1:14" s="347" customFormat="1" x14ac:dyDescent="0.25">
      <c r="A4241" s="369">
        <v>44441</v>
      </c>
      <c r="B4241" s="347">
        <f>+MONTH(A4241)</f>
        <v>9</v>
      </c>
      <c r="C4241" s="347">
        <v>115</v>
      </c>
      <c r="D4241" s="340" t="str">
        <f>VLOOKUP(C4241,Plan!A$1:B$65542,2,0)</f>
        <v>Disponible Cali B.Chile</v>
      </c>
      <c r="E4241" s="341">
        <f>+F4241-G4241</f>
        <v>20000</v>
      </c>
      <c r="F4241" s="396">
        <v>20000</v>
      </c>
      <c r="G4241" s="396">
        <v>0</v>
      </c>
      <c r="H4241" t="s">
        <v>968</v>
      </c>
      <c r="I4241" s="347" t="s">
        <v>131</v>
      </c>
      <c r="K4241" s="370"/>
      <c r="N4241" s="370"/>
    </row>
    <row r="4242" spans="1:14" s="347" customFormat="1" x14ac:dyDescent="0.25">
      <c r="A4242" s="369">
        <f>+A4241</f>
        <v>44441</v>
      </c>
      <c r="B4242" s="347">
        <f>+B4241</f>
        <v>9</v>
      </c>
      <c r="C4242" s="347">
        <v>3210</v>
      </c>
      <c r="D4242" s="340" t="str">
        <f>VLOOKUP(C4242,Plan!A$1:B$65542,2,0)</f>
        <v>Donacion Construccion</v>
      </c>
      <c r="E4242" s="341">
        <f>+F4242-G4242</f>
        <v>-20000</v>
      </c>
      <c r="F4242" s="396">
        <v>0</v>
      </c>
      <c r="G4242" s="396">
        <f>+F4241</f>
        <v>20000</v>
      </c>
      <c r="H4242" t="str">
        <f>+H4241</f>
        <v xml:space="preserve">María del Pilar Herrera/ azul </v>
      </c>
      <c r="I4242" s="347" t="s">
        <v>131</v>
      </c>
      <c r="K4242" s="370"/>
      <c r="N4242" s="370"/>
    </row>
    <row r="4243" spans="1:14" s="347" customFormat="1" x14ac:dyDescent="0.25">
      <c r="A4243" s="369"/>
      <c r="E4243" s="396"/>
      <c r="F4243" s="396"/>
      <c r="G4243" s="396"/>
      <c r="K4243" s="370"/>
      <c r="N4243" s="370"/>
    </row>
    <row r="4244" spans="1:14" s="347" customFormat="1" x14ac:dyDescent="0.25">
      <c r="A4244" s="369">
        <v>44441</v>
      </c>
      <c r="B4244" s="347">
        <f>+MONTH(A4244)</f>
        <v>9</v>
      </c>
      <c r="C4244" s="347">
        <v>115</v>
      </c>
      <c r="D4244" s="340" t="str">
        <f>VLOOKUP(C4244,Plan!A$1:B$65542,2,0)</f>
        <v>Disponible Cali B.Chile</v>
      </c>
      <c r="E4244" s="341">
        <f>+F4244-G4244</f>
        <v>20000</v>
      </c>
      <c r="F4244" s="396">
        <v>20000</v>
      </c>
      <c r="G4244" s="396">
        <v>0</v>
      </c>
      <c r="H4244" t="s">
        <v>1008</v>
      </c>
      <c r="I4244" s="347" t="s">
        <v>131</v>
      </c>
      <c r="K4244" s="370"/>
      <c r="N4244" s="370"/>
    </row>
    <row r="4245" spans="1:14" s="347" customFormat="1" x14ac:dyDescent="0.25">
      <c r="A4245" s="369">
        <f>+A4244</f>
        <v>44441</v>
      </c>
      <c r="B4245" s="347">
        <f>+B4244</f>
        <v>9</v>
      </c>
      <c r="C4245" s="347">
        <v>1222</v>
      </c>
      <c r="D4245" s="340" t="str">
        <f>VLOOKUP(C4245,Plan!A$1:B$65542,2,0)</f>
        <v>Otros Valores -Oficina y Transferencias (249)</v>
      </c>
      <c r="E4245" s="341">
        <f>+F4245-G4245</f>
        <v>-20000</v>
      </c>
      <c r="F4245" s="396">
        <v>0</v>
      </c>
      <c r="G4245" s="396">
        <f>+F4244</f>
        <v>20000</v>
      </c>
      <c r="H4245" t="str">
        <f>+H4244</f>
        <v>M.Alejandra de la Lastra J./249</v>
      </c>
      <c r="I4245" s="347" t="s">
        <v>131</v>
      </c>
      <c r="K4245" s="370"/>
      <c r="N4245" s="370"/>
    </row>
    <row r="4246" spans="1:14" s="347" customFormat="1" x14ac:dyDescent="0.25">
      <c r="A4246" s="369"/>
      <c r="E4246" s="396"/>
      <c r="F4246" s="396"/>
      <c r="G4246" s="396"/>
      <c r="K4246" s="370"/>
      <c r="N4246" s="370"/>
    </row>
    <row r="4247" spans="1:14" s="347" customFormat="1" x14ac:dyDescent="0.25">
      <c r="A4247" s="369">
        <v>44441</v>
      </c>
      <c r="B4247" s="347">
        <f>+MONTH(A4247)</f>
        <v>9</v>
      </c>
      <c r="C4247" s="347">
        <v>115</v>
      </c>
      <c r="D4247" s="340" t="str">
        <f>VLOOKUP(C4247,Plan!A$1:B$65542,2,0)</f>
        <v>Disponible Cali B.Chile</v>
      </c>
      <c r="E4247" s="341">
        <f>+F4247-G4247</f>
        <v>160000</v>
      </c>
      <c r="F4247" s="396">
        <v>160000</v>
      </c>
      <c r="G4247" s="396">
        <v>0</v>
      </c>
      <c r="H4247" t="s">
        <v>797</v>
      </c>
      <c r="I4247" s="347" t="s">
        <v>131</v>
      </c>
      <c r="K4247" s="370"/>
      <c r="N4247" s="370"/>
    </row>
    <row r="4248" spans="1:14" s="347" customFormat="1" x14ac:dyDescent="0.25">
      <c r="A4248" s="369">
        <f>+A4247</f>
        <v>44441</v>
      </c>
      <c r="B4248" s="347">
        <f>+B4247</f>
        <v>9</v>
      </c>
      <c r="C4248" s="347">
        <v>1217</v>
      </c>
      <c r="D4248" s="340" t="str">
        <f>VLOOKUP(C4248,Plan!A$1:B$65542,2,0)</f>
        <v>Otros Valores -Oficina y Transferencias (248)</v>
      </c>
      <c r="E4248" s="341">
        <f>+F4248-G4248</f>
        <v>-160000</v>
      </c>
      <c r="F4248" s="396">
        <v>0</v>
      </c>
      <c r="G4248" s="396">
        <f>+F4247</f>
        <v>160000</v>
      </c>
      <c r="H4248" t="str">
        <f>+H4247</f>
        <v>R. Casas del Valle / 248</v>
      </c>
      <c r="I4248" s="347" t="s">
        <v>131</v>
      </c>
      <c r="K4248" s="370"/>
      <c r="N4248" s="370"/>
    </row>
    <row r="4249" spans="1:14" s="347" customFormat="1" x14ac:dyDescent="0.25">
      <c r="A4249" s="369"/>
      <c r="E4249" s="396"/>
      <c r="F4249" s="396"/>
      <c r="G4249" s="396"/>
      <c r="K4249" s="370"/>
      <c r="N4249" s="370"/>
    </row>
    <row r="4250" spans="1:14" s="347" customFormat="1" x14ac:dyDescent="0.25">
      <c r="A4250" s="369">
        <v>44441</v>
      </c>
      <c r="B4250" s="347">
        <f>+MONTH(A4250)</f>
        <v>9</v>
      </c>
      <c r="C4250" s="347">
        <v>115</v>
      </c>
      <c r="D4250" s="340" t="str">
        <f>VLOOKUP(C4250,Plan!A$1:B$65542,2,0)</f>
        <v>Disponible Cali B.Chile</v>
      </c>
      <c r="E4250" s="341">
        <f>+F4250-G4250</f>
        <v>60000</v>
      </c>
      <c r="F4250" s="396">
        <v>60000</v>
      </c>
      <c r="G4250" s="396">
        <v>0</v>
      </c>
      <c r="H4250" t="s">
        <v>1724</v>
      </c>
      <c r="I4250" s="347" t="s">
        <v>131</v>
      </c>
      <c r="K4250" s="370"/>
      <c r="N4250" s="370"/>
    </row>
    <row r="4251" spans="1:14" s="347" customFormat="1" x14ac:dyDescent="0.25">
      <c r="A4251" s="369">
        <f>+A4250</f>
        <v>44441</v>
      </c>
      <c r="B4251" s="347">
        <f>+B4250</f>
        <v>9</v>
      </c>
      <c r="C4251" s="347">
        <v>1222</v>
      </c>
      <c r="D4251" s="340" t="str">
        <f>VLOOKUP(C4251,Plan!A$1:B$65542,2,0)</f>
        <v>Otros Valores -Oficina y Transferencias (249)</v>
      </c>
      <c r="E4251" s="341">
        <f>+F4251-G4251</f>
        <v>-60000</v>
      </c>
      <c r="F4251" s="396">
        <v>0</v>
      </c>
      <c r="G4251" s="396">
        <f>+F4250</f>
        <v>60000</v>
      </c>
      <c r="H4251" t="str">
        <f>+H4250</f>
        <v>Patricio Oelckers Álvarez / 249</v>
      </c>
      <c r="I4251" s="347" t="s">
        <v>131</v>
      </c>
      <c r="K4251" s="370"/>
      <c r="N4251" s="370"/>
    </row>
    <row r="4252" spans="1:14" s="347" customFormat="1" x14ac:dyDescent="0.25">
      <c r="A4252" s="369"/>
      <c r="E4252" s="396"/>
      <c r="F4252" s="396"/>
      <c r="G4252" s="396"/>
      <c r="K4252" s="370"/>
      <c r="N4252" s="370"/>
    </row>
    <row r="4253" spans="1:14" s="347" customFormat="1" x14ac:dyDescent="0.25">
      <c r="A4253" s="369">
        <v>44442</v>
      </c>
      <c r="B4253" s="347">
        <f>+MONTH(A4253)</f>
        <v>9</v>
      </c>
      <c r="C4253" s="347">
        <v>115</v>
      </c>
      <c r="D4253" s="340" t="str">
        <f>VLOOKUP(C4253,Plan!A$1:B$65542,2,0)</f>
        <v>Disponible Cali B.Chile</v>
      </c>
      <c r="E4253" s="341">
        <f>+F4253-G4253</f>
        <v>12000</v>
      </c>
      <c r="F4253" s="396">
        <v>12000</v>
      </c>
      <c r="G4253" s="396">
        <v>0</v>
      </c>
      <c r="H4253" t="s">
        <v>1673</v>
      </c>
      <c r="I4253" s="347" t="s">
        <v>131</v>
      </c>
      <c r="K4253" s="370"/>
      <c r="N4253" s="370"/>
    </row>
    <row r="4254" spans="1:14" s="347" customFormat="1" x14ac:dyDescent="0.25">
      <c r="A4254" s="369">
        <f>+A4253</f>
        <v>44442</v>
      </c>
      <c r="B4254" s="347">
        <f>+B4253</f>
        <v>9</v>
      </c>
      <c r="C4254" s="347">
        <v>1222</v>
      </c>
      <c r="D4254" s="340" t="str">
        <f>VLOOKUP(C4254,Plan!A$1:B$65542,2,0)</f>
        <v>Otros Valores -Oficina y Transferencias (249)</v>
      </c>
      <c r="E4254" s="341">
        <f>+F4254-G4254</f>
        <v>-12000</v>
      </c>
      <c r="F4254" s="396">
        <v>0</v>
      </c>
      <c r="G4254" s="396">
        <f>+F4253</f>
        <v>12000</v>
      </c>
      <c r="H4254" t="str">
        <f>+H4253</f>
        <v xml:space="preserve">Martín Fuenzalida Izquierdo / 249 </v>
      </c>
      <c r="I4254" s="347" t="s">
        <v>131</v>
      </c>
      <c r="K4254" s="370"/>
      <c r="N4254" s="370"/>
    </row>
    <row r="4255" spans="1:14" s="347" customFormat="1" x14ac:dyDescent="0.25">
      <c r="A4255" s="369"/>
      <c r="E4255" s="396"/>
      <c r="F4255" s="396"/>
      <c r="G4255" s="396"/>
      <c r="K4255" s="370"/>
      <c r="N4255" s="370"/>
    </row>
    <row r="4256" spans="1:14" s="347" customFormat="1" x14ac:dyDescent="0.25">
      <c r="A4256" s="369">
        <v>44442</v>
      </c>
      <c r="B4256" s="347">
        <f>+MONTH(A4256)</f>
        <v>9</v>
      </c>
      <c r="C4256" s="347">
        <v>115</v>
      </c>
      <c r="D4256" s="340" t="str">
        <f>VLOOKUP(C4256,Plan!A$1:B$65542,2,0)</f>
        <v>Disponible Cali B.Chile</v>
      </c>
      <c r="E4256" s="341">
        <f>+F4256-G4256</f>
        <v>30000</v>
      </c>
      <c r="F4256" s="396">
        <v>30000</v>
      </c>
      <c r="G4256" s="396">
        <v>0</v>
      </c>
      <c r="H4256" t="s">
        <v>996</v>
      </c>
      <c r="I4256" s="347" t="s">
        <v>131</v>
      </c>
      <c r="K4256" s="370"/>
      <c r="N4256" s="370"/>
    </row>
    <row r="4257" spans="1:14" s="347" customFormat="1" x14ac:dyDescent="0.25">
      <c r="A4257" s="369">
        <f>+A4256</f>
        <v>44442</v>
      </c>
      <c r="B4257" s="347">
        <f>+B4256</f>
        <v>9</v>
      </c>
      <c r="C4257" s="347">
        <v>3210</v>
      </c>
      <c r="D4257" s="340" t="str">
        <f>VLOOKUP(C4257,Plan!A$1:B$65542,2,0)</f>
        <v>Donacion Construccion</v>
      </c>
      <c r="E4257" s="341">
        <f>+F4257-G4257</f>
        <v>-30000</v>
      </c>
      <c r="F4257" s="396">
        <v>0</v>
      </c>
      <c r="G4257" s="396">
        <f>+F4256</f>
        <v>30000</v>
      </c>
      <c r="H4257" t="str">
        <f>+H4256</f>
        <v>Patrick Reginald Horn Garcia / Azul</v>
      </c>
      <c r="I4257" s="347" t="s">
        <v>131</v>
      </c>
      <c r="K4257" s="370"/>
      <c r="N4257" s="370"/>
    </row>
    <row r="4258" spans="1:14" s="347" customFormat="1" x14ac:dyDescent="0.25">
      <c r="A4258" s="369"/>
      <c r="E4258" s="396"/>
      <c r="F4258" s="396"/>
      <c r="G4258" s="396"/>
      <c r="K4258" s="370"/>
      <c r="N4258" s="370"/>
    </row>
    <row r="4259" spans="1:14" s="347" customFormat="1" x14ac:dyDescent="0.25">
      <c r="A4259" s="369">
        <v>44442</v>
      </c>
      <c r="B4259" s="347">
        <f>+MONTH(A4259)</f>
        <v>9</v>
      </c>
      <c r="C4259" s="347">
        <v>115</v>
      </c>
      <c r="D4259" s="340" t="str">
        <f>VLOOKUP(C4259,Plan!A$1:B$65542,2,0)</f>
        <v>Disponible Cali B.Chile</v>
      </c>
      <c r="E4259" s="341">
        <f>+F4259-G4259</f>
        <v>20000</v>
      </c>
      <c r="F4259" s="396">
        <v>20000</v>
      </c>
      <c r="G4259" s="396">
        <v>0</v>
      </c>
      <c r="H4259" t="s">
        <v>1028</v>
      </c>
      <c r="I4259" s="347" t="s">
        <v>131</v>
      </c>
      <c r="K4259" s="370"/>
      <c r="N4259" s="370"/>
    </row>
    <row r="4260" spans="1:14" s="347" customFormat="1" x14ac:dyDescent="0.25">
      <c r="A4260" s="369">
        <f>+A4259</f>
        <v>44442</v>
      </c>
      <c r="B4260" s="347">
        <f>+B4259</f>
        <v>9</v>
      </c>
      <c r="C4260" s="347">
        <v>1217</v>
      </c>
      <c r="D4260" s="340" t="str">
        <f>VLOOKUP(C4260,Plan!A$1:B$65542,2,0)</f>
        <v>Otros Valores -Oficina y Transferencias (248)</v>
      </c>
      <c r="E4260" s="341">
        <f>+F4260-G4260</f>
        <v>-20000</v>
      </c>
      <c r="F4260" s="396">
        <v>0</v>
      </c>
      <c r="G4260" s="396">
        <f>+F4259</f>
        <v>20000</v>
      </c>
      <c r="H4260" t="str">
        <f>+H4259</f>
        <v>Carmen Gloria Rivas Varas / 248</v>
      </c>
      <c r="I4260" s="347" t="s">
        <v>131</v>
      </c>
      <c r="K4260" s="370"/>
      <c r="N4260" s="370"/>
    </row>
    <row r="4261" spans="1:14" s="347" customFormat="1" x14ac:dyDescent="0.25">
      <c r="A4261" s="369"/>
      <c r="E4261" s="396"/>
      <c r="F4261" s="396"/>
      <c r="G4261" s="396"/>
      <c r="K4261" s="370"/>
      <c r="N4261" s="370"/>
    </row>
    <row r="4262" spans="1:14" s="347" customFormat="1" x14ac:dyDescent="0.25">
      <c r="A4262" s="369">
        <v>44442</v>
      </c>
      <c r="B4262" s="347">
        <f>+MONTH(A4262)</f>
        <v>9</v>
      </c>
      <c r="C4262" s="347">
        <v>115</v>
      </c>
      <c r="D4262" s="340" t="str">
        <f>VLOOKUP(C4262,Plan!A$1:B$65542,2,0)</f>
        <v>Disponible Cali B.Chile</v>
      </c>
      <c r="E4262" s="341">
        <f>+F4262-G4262</f>
        <v>29382</v>
      </c>
      <c r="F4262" s="396">
        <v>29382</v>
      </c>
      <c r="G4262" s="396">
        <v>0</v>
      </c>
      <c r="H4262" t="s">
        <v>1057</v>
      </c>
      <c r="I4262" s="347" t="s">
        <v>131</v>
      </c>
      <c r="K4262" s="370"/>
      <c r="N4262" s="370"/>
    </row>
    <row r="4263" spans="1:14" s="347" customFormat="1" x14ac:dyDescent="0.25">
      <c r="A4263" s="369">
        <f>+A4262</f>
        <v>44442</v>
      </c>
      <c r="B4263" s="347">
        <f>+B4262</f>
        <v>9</v>
      </c>
      <c r="C4263" s="347">
        <v>3210</v>
      </c>
      <c r="D4263" s="340" t="str">
        <f>VLOOKUP(C4263,Plan!A$1:B$65542,2,0)</f>
        <v>Donacion Construccion</v>
      </c>
      <c r="E4263" s="341">
        <f>+F4263-G4263</f>
        <v>-29382</v>
      </c>
      <c r="F4263" s="396">
        <v>0</v>
      </c>
      <c r="G4263" s="396">
        <f>+F4262</f>
        <v>29382</v>
      </c>
      <c r="H4263" t="str">
        <f>+H4262</f>
        <v>Jorge Manzur Araya /Azul (M$20)</v>
      </c>
      <c r="I4263" s="347" t="s">
        <v>131</v>
      </c>
      <c r="K4263" s="370"/>
      <c r="N4263" s="370"/>
    </row>
    <row r="4264" spans="1:14" s="347" customFormat="1" x14ac:dyDescent="0.25">
      <c r="A4264" s="369"/>
      <c r="E4264" s="396"/>
      <c r="F4264" s="396"/>
      <c r="G4264" s="396"/>
      <c r="K4264" s="370"/>
      <c r="N4264" s="370"/>
    </row>
    <row r="4265" spans="1:14" s="347" customFormat="1" x14ac:dyDescent="0.25">
      <c r="A4265" s="369">
        <v>44442</v>
      </c>
      <c r="B4265" s="347">
        <f>+MONTH(A4265)</f>
        <v>9</v>
      </c>
      <c r="C4265" s="347">
        <v>115</v>
      </c>
      <c r="D4265" s="340" t="str">
        <f>VLOOKUP(C4265,Plan!A$1:B$65542,2,0)</f>
        <v>Disponible Cali B.Chile</v>
      </c>
      <c r="E4265" s="341">
        <f>+F4265-G4265</f>
        <v>70000</v>
      </c>
      <c r="F4265" s="396">
        <v>70000</v>
      </c>
      <c r="G4265" s="396">
        <v>0</v>
      </c>
      <c r="H4265" t="s">
        <v>997</v>
      </c>
      <c r="I4265" s="347" t="s">
        <v>131</v>
      </c>
      <c r="K4265" s="370"/>
      <c r="N4265" s="370"/>
    </row>
    <row r="4266" spans="1:14" s="347" customFormat="1" x14ac:dyDescent="0.25">
      <c r="A4266" s="369">
        <f>+A4265</f>
        <v>44442</v>
      </c>
      <c r="B4266" s="347">
        <f>+B4265</f>
        <v>9</v>
      </c>
      <c r="C4266" s="347">
        <v>1222</v>
      </c>
      <c r="D4266" s="340" t="str">
        <f>VLOOKUP(C4266,Plan!A$1:B$65542,2,0)</f>
        <v>Otros Valores -Oficina y Transferencias (249)</v>
      </c>
      <c r="E4266" s="341">
        <f>+F4266-G4266</f>
        <v>-70000</v>
      </c>
      <c r="F4266" s="396">
        <v>0</v>
      </c>
      <c r="G4266" s="396">
        <f>+F4265</f>
        <v>70000</v>
      </c>
      <c r="H4266" t="str">
        <f>+H4265</f>
        <v>Alberto Altermatt C. / 249</v>
      </c>
      <c r="I4266" s="347" t="s">
        <v>131</v>
      </c>
      <c r="K4266" s="370"/>
      <c r="N4266" s="370"/>
    </row>
    <row r="4267" spans="1:14" s="347" customFormat="1" x14ac:dyDescent="0.25">
      <c r="A4267" s="369"/>
      <c r="E4267" s="396"/>
      <c r="F4267" s="396"/>
      <c r="G4267" s="396"/>
      <c r="K4267" s="370"/>
      <c r="N4267" s="370"/>
    </row>
    <row r="4268" spans="1:14" s="347" customFormat="1" x14ac:dyDescent="0.25">
      <c r="A4268" s="369">
        <v>44442</v>
      </c>
      <c r="B4268" s="347">
        <f>+MONTH(A4268)</f>
        <v>9</v>
      </c>
      <c r="C4268" s="347">
        <v>115</v>
      </c>
      <c r="D4268" s="340" t="str">
        <f>VLOOKUP(C4268,Plan!A$1:B$65542,2,0)</f>
        <v>Disponible Cali B.Chile</v>
      </c>
      <c r="E4268" s="341">
        <f>+F4268-G4268</f>
        <v>25000</v>
      </c>
      <c r="F4268" s="396">
        <v>25000</v>
      </c>
      <c r="G4268" s="396">
        <v>0</v>
      </c>
      <c r="H4268" t="s">
        <v>981</v>
      </c>
      <c r="I4268" s="347" t="s">
        <v>131</v>
      </c>
      <c r="K4268" s="370"/>
      <c r="N4268" s="370"/>
    </row>
    <row r="4269" spans="1:14" s="347" customFormat="1" x14ac:dyDescent="0.25">
      <c r="A4269" s="369">
        <f>+A4268</f>
        <v>44442</v>
      </c>
      <c r="B4269" s="347">
        <f>+B4268</f>
        <v>9</v>
      </c>
      <c r="C4269" s="347">
        <v>1222</v>
      </c>
      <c r="D4269" s="340" t="str">
        <f>VLOOKUP(C4269,Plan!A$1:B$65542,2,0)</f>
        <v>Otros Valores -Oficina y Transferencias (249)</v>
      </c>
      <c r="E4269" s="341">
        <f>+F4269-G4269</f>
        <v>-25000</v>
      </c>
      <c r="F4269" s="396">
        <v>0</v>
      </c>
      <c r="G4269" s="396">
        <f>+F4268</f>
        <v>25000</v>
      </c>
      <c r="H4269" t="s">
        <v>981</v>
      </c>
      <c r="I4269" s="347" t="s">
        <v>131</v>
      </c>
      <c r="K4269" s="370"/>
      <c r="N4269" s="370"/>
    </row>
    <row r="4270" spans="1:14" s="347" customFormat="1" x14ac:dyDescent="0.25">
      <c r="A4270" s="369"/>
      <c r="E4270" s="396"/>
      <c r="F4270" s="396"/>
      <c r="G4270" s="396"/>
      <c r="K4270" s="370"/>
      <c r="N4270" s="370"/>
    </row>
    <row r="4271" spans="1:14" s="347" customFormat="1" x14ac:dyDescent="0.25">
      <c r="A4271" s="369">
        <v>44442</v>
      </c>
      <c r="B4271" s="347">
        <f>+MONTH(A4271)</f>
        <v>9</v>
      </c>
      <c r="C4271" s="347">
        <v>115</v>
      </c>
      <c r="D4271" s="340" t="str">
        <f>VLOOKUP(C4271,Plan!A$1:B$65542,2,0)</f>
        <v>Disponible Cali B.Chile</v>
      </c>
      <c r="E4271" s="341">
        <f>+F4271-G4271</f>
        <v>15000</v>
      </c>
      <c r="F4271" s="396">
        <v>15000</v>
      </c>
      <c r="G4271" s="396">
        <v>0</v>
      </c>
      <c r="H4271" t="s">
        <v>982</v>
      </c>
      <c r="I4271" s="347" t="s">
        <v>131</v>
      </c>
      <c r="K4271" s="370"/>
      <c r="N4271" s="370"/>
    </row>
    <row r="4272" spans="1:14" s="347" customFormat="1" x14ac:dyDescent="0.25">
      <c r="A4272" s="369">
        <f>+A4271</f>
        <v>44442</v>
      </c>
      <c r="B4272" s="347">
        <f>+B4271</f>
        <v>9</v>
      </c>
      <c r="C4272" s="347">
        <v>216</v>
      </c>
      <c r="D4272" s="340" t="str">
        <f>VLOOKUP(C4272,Plan!A$1:B$65542,2,0)</f>
        <v>Cuenta por Pagar a Administración Colectas</v>
      </c>
      <c r="E4272" s="341">
        <f>+F4272-G4272</f>
        <v>-15000</v>
      </c>
      <c r="F4272" s="396">
        <v>0</v>
      </c>
      <c r="G4272" s="396">
        <f>+F4271</f>
        <v>15000</v>
      </c>
      <c r="H4272" t="str">
        <f>+H4271</f>
        <v>Colecta CELIS CELEDON MARIA SOLEDAD</v>
      </c>
      <c r="I4272" s="347" t="s">
        <v>131</v>
      </c>
      <c r="K4272" s="370"/>
      <c r="N4272" s="370"/>
    </row>
    <row r="4273" spans="1:14" s="347" customFormat="1" x14ac:dyDescent="0.25">
      <c r="A4273" s="369"/>
      <c r="E4273" s="396"/>
      <c r="F4273" s="396"/>
      <c r="G4273" s="396"/>
      <c r="K4273" s="370"/>
      <c r="N4273" s="370"/>
    </row>
    <row r="4274" spans="1:14" s="347" customFormat="1" x14ac:dyDescent="0.25">
      <c r="A4274" s="369">
        <v>44442</v>
      </c>
      <c r="B4274" s="347">
        <f>+MONTH(A4274)</f>
        <v>9</v>
      </c>
      <c r="C4274" s="347">
        <v>115</v>
      </c>
      <c r="D4274" s="340" t="str">
        <f>VLOOKUP(C4274,Plan!A$1:B$65542,2,0)</f>
        <v>Disponible Cali B.Chile</v>
      </c>
      <c r="E4274" s="341">
        <f>+F4274-G4274</f>
        <v>120000</v>
      </c>
      <c r="F4274" s="396">
        <v>120000</v>
      </c>
      <c r="G4274" s="396">
        <v>0</v>
      </c>
      <c r="H4274" t="s">
        <v>987</v>
      </c>
      <c r="I4274" s="347" t="s">
        <v>131</v>
      </c>
      <c r="K4274" s="370"/>
      <c r="N4274" s="370"/>
    </row>
    <row r="4275" spans="1:14" s="347" customFormat="1" x14ac:dyDescent="0.25">
      <c r="A4275" s="369">
        <f>+A4274</f>
        <v>44442</v>
      </c>
      <c r="B4275" s="347">
        <f>+B4274</f>
        <v>9</v>
      </c>
      <c r="C4275" s="347">
        <v>1217</v>
      </c>
      <c r="D4275" s="340" t="str">
        <f>VLOOKUP(C4275,Plan!A$1:B$65542,2,0)</f>
        <v>Otros Valores -Oficina y Transferencias (248)</v>
      </c>
      <c r="E4275" s="341">
        <f>+F4275-G4275</f>
        <v>-120000</v>
      </c>
      <c r="F4275" s="396">
        <v>0</v>
      </c>
      <c r="G4275" s="396">
        <f>+F4274</f>
        <v>120000</v>
      </c>
      <c r="H4275" t="str">
        <f>+H4274</f>
        <v xml:space="preserve">I. Ureta / 248 </v>
      </c>
      <c r="I4275" s="347" t="s">
        <v>131</v>
      </c>
      <c r="K4275" s="370"/>
      <c r="N4275" s="370"/>
    </row>
    <row r="4276" spans="1:14" s="347" customFormat="1" x14ac:dyDescent="0.25">
      <c r="A4276" s="369"/>
      <c r="E4276" s="396"/>
      <c r="F4276" s="396"/>
      <c r="G4276" s="396"/>
      <c r="K4276" s="370"/>
      <c r="N4276" s="370"/>
    </row>
    <row r="4277" spans="1:14" s="347" customFormat="1" x14ac:dyDescent="0.25">
      <c r="A4277" s="369">
        <v>44442</v>
      </c>
      <c r="B4277" s="347">
        <f>+MONTH(A4277)</f>
        <v>9</v>
      </c>
      <c r="C4277" s="347">
        <v>4170</v>
      </c>
      <c r="D4277" s="340" t="str">
        <f>VLOOKUP(C4277,Plan!A$1:B$65542,2,0)</f>
        <v>Cali otros</v>
      </c>
      <c r="E4277" s="341">
        <f>+F4277-G4277</f>
        <v>1425</v>
      </c>
      <c r="F4277" s="396">
        <v>1425</v>
      </c>
      <c r="G4277" s="396">
        <v>0</v>
      </c>
      <c r="H4277" t="s">
        <v>1005</v>
      </c>
      <c r="I4277" s="347" t="s">
        <v>131</v>
      </c>
      <c r="K4277" s="370"/>
      <c r="N4277" s="370"/>
    </row>
    <row r="4278" spans="1:14" s="347" customFormat="1" x14ac:dyDescent="0.25">
      <c r="A4278" s="369">
        <f>+A4277</f>
        <v>44442</v>
      </c>
      <c r="B4278" s="347">
        <f>+B4277</f>
        <v>9</v>
      </c>
      <c r="C4278" s="347">
        <v>115</v>
      </c>
      <c r="D4278" s="340" t="str">
        <f>VLOOKUP(C4278,Plan!A$1:B$65542,2,0)</f>
        <v>Disponible Cali B.Chile</v>
      </c>
      <c r="E4278" s="341">
        <f>+F4278-G4278</f>
        <v>-1425</v>
      </c>
      <c r="F4278" s="396">
        <v>0</v>
      </c>
      <c r="G4278" s="396">
        <f>+F4277</f>
        <v>1425</v>
      </c>
      <c r="H4278" t="str">
        <f>+H4277</f>
        <v>Com.Bco.Chile</v>
      </c>
      <c r="I4278" s="347" t="s">
        <v>131</v>
      </c>
      <c r="K4278" s="370"/>
      <c r="N4278" s="370"/>
    </row>
    <row r="4279" spans="1:14" s="347" customFormat="1" x14ac:dyDescent="0.25">
      <c r="A4279" s="369"/>
      <c r="E4279" s="396"/>
      <c r="F4279" s="396"/>
      <c r="G4279" s="396"/>
      <c r="K4279" s="370"/>
      <c r="N4279" s="370"/>
    </row>
    <row r="4280" spans="1:14" s="347" customFormat="1" x14ac:dyDescent="0.25">
      <c r="A4280" s="369">
        <v>44445</v>
      </c>
      <c r="B4280" s="347">
        <f>+MONTH(A4280)</f>
        <v>9</v>
      </c>
      <c r="C4280" s="347">
        <v>115</v>
      </c>
      <c r="D4280" s="340" t="str">
        <f>VLOOKUP(C4280,Plan!A$1:B$65542,2,0)</f>
        <v>Disponible Cali B.Chile</v>
      </c>
      <c r="E4280" s="341">
        <f>+F4280-G4280</f>
        <v>150000</v>
      </c>
      <c r="F4280" s="396">
        <v>150000</v>
      </c>
      <c r="G4280" s="396">
        <v>0</v>
      </c>
      <c r="H4280" t="s">
        <v>1002</v>
      </c>
      <c r="I4280" s="347" t="s">
        <v>131</v>
      </c>
      <c r="K4280" s="370"/>
      <c r="N4280" s="370"/>
    </row>
    <row r="4281" spans="1:14" s="347" customFormat="1" x14ac:dyDescent="0.25">
      <c r="A4281" s="369">
        <f>+A4280</f>
        <v>44445</v>
      </c>
      <c r="B4281" s="347">
        <f>+B4280</f>
        <v>9</v>
      </c>
      <c r="C4281" s="347">
        <v>1222</v>
      </c>
      <c r="D4281" s="340" t="str">
        <f>VLOOKUP(C4281,Plan!A$1:B$65542,2,0)</f>
        <v>Otros Valores -Oficina y Transferencias (249)</v>
      </c>
      <c r="E4281" s="341">
        <f>+F4281-G4281</f>
        <v>-150000</v>
      </c>
      <c r="F4281" s="396">
        <v>0</v>
      </c>
      <c r="G4281" s="396">
        <f>+F4280</f>
        <v>150000</v>
      </c>
      <c r="H4281" t="str">
        <f>+H4280</f>
        <v>José Miguel Ureta Cardoen / 249</v>
      </c>
      <c r="I4281" s="347" t="s">
        <v>131</v>
      </c>
      <c r="K4281" s="370"/>
      <c r="N4281" s="370"/>
    </row>
    <row r="4282" spans="1:14" s="347" customFormat="1" x14ac:dyDescent="0.25">
      <c r="A4282" s="369"/>
      <c r="E4282" s="396"/>
      <c r="F4282" s="396"/>
      <c r="G4282" s="396"/>
      <c r="K4282" s="370"/>
      <c r="N4282" s="370"/>
    </row>
    <row r="4283" spans="1:14" s="347" customFormat="1" x14ac:dyDescent="0.25">
      <c r="A4283" s="369">
        <v>44445</v>
      </c>
      <c r="B4283" s="347">
        <f>+MONTH(A4283)</f>
        <v>9</v>
      </c>
      <c r="C4283" s="347">
        <v>115</v>
      </c>
      <c r="D4283" s="340" t="str">
        <f>VLOOKUP(C4283,Plan!A$1:B$65542,2,0)</f>
        <v>Disponible Cali B.Chile</v>
      </c>
      <c r="E4283" s="341">
        <f>+F4283-G4283</f>
        <v>100000</v>
      </c>
      <c r="F4283" s="396">
        <v>100000</v>
      </c>
      <c r="G4283" s="396">
        <v>0</v>
      </c>
      <c r="H4283" t="s">
        <v>1715</v>
      </c>
      <c r="I4283" s="347" t="s">
        <v>131</v>
      </c>
      <c r="K4283" s="370"/>
      <c r="N4283" s="370"/>
    </row>
    <row r="4284" spans="1:14" s="347" customFormat="1" x14ac:dyDescent="0.25">
      <c r="A4284" s="369">
        <f>+A4283</f>
        <v>44445</v>
      </c>
      <c r="B4284" s="347">
        <f>+B4283</f>
        <v>9</v>
      </c>
      <c r="C4284" s="347">
        <v>1222</v>
      </c>
      <c r="D4284" s="340" t="str">
        <f>VLOOKUP(C4284,Plan!A$1:B$65542,2,0)</f>
        <v>Otros Valores -Oficina y Transferencias (249)</v>
      </c>
      <c r="E4284" s="341">
        <f>+F4284-G4284</f>
        <v>-100000</v>
      </c>
      <c r="F4284" s="396">
        <v>0</v>
      </c>
      <c r="G4284" s="396">
        <f>+F4283</f>
        <v>100000</v>
      </c>
      <c r="H4284" s="428" t="str">
        <f>+H4283</f>
        <v>Santiago Ireneo Doña Vial / 249</v>
      </c>
      <c r="I4284" s="347" t="s">
        <v>131</v>
      </c>
      <c r="K4284" s="370"/>
      <c r="N4284" s="370"/>
    </row>
    <row r="4285" spans="1:14" s="347" customFormat="1" x14ac:dyDescent="0.25">
      <c r="A4285" s="369"/>
      <c r="E4285" s="396"/>
      <c r="F4285" s="396"/>
      <c r="G4285" s="396"/>
      <c r="K4285" s="370"/>
      <c r="N4285" s="370"/>
    </row>
    <row r="4286" spans="1:14" s="347" customFormat="1" x14ac:dyDescent="0.25">
      <c r="A4286" s="369">
        <v>44445</v>
      </c>
      <c r="B4286" s="347">
        <f>+MONTH(A4286)</f>
        <v>9</v>
      </c>
      <c r="C4286" s="347">
        <v>115</v>
      </c>
      <c r="D4286" s="340" t="str">
        <f>VLOOKUP(C4286,Plan!A$1:B$65542,2,0)</f>
        <v>Disponible Cali B.Chile</v>
      </c>
      <c r="E4286" s="341">
        <f>+F4286-G4286</f>
        <v>75000</v>
      </c>
      <c r="F4286" s="396">
        <v>75000</v>
      </c>
      <c r="G4286" s="396">
        <v>0</v>
      </c>
      <c r="H4286" t="s">
        <v>1679</v>
      </c>
      <c r="I4286" s="347" t="s">
        <v>131</v>
      </c>
      <c r="K4286" s="370"/>
      <c r="N4286" s="370"/>
    </row>
    <row r="4287" spans="1:14" s="347" customFormat="1" x14ac:dyDescent="0.25">
      <c r="A4287" s="369">
        <f>+A4286</f>
        <v>44445</v>
      </c>
      <c r="B4287" s="347">
        <f>+B4286</f>
        <v>9</v>
      </c>
      <c r="C4287" s="347">
        <v>1222</v>
      </c>
      <c r="D4287" s="340" t="str">
        <f>VLOOKUP(C4287,Plan!A$1:B$65542,2,0)</f>
        <v>Otros Valores -Oficina y Transferencias (249)</v>
      </c>
      <c r="E4287" s="341">
        <f>+F4287-G4287</f>
        <v>-75000</v>
      </c>
      <c r="F4287" s="396">
        <v>0</v>
      </c>
      <c r="G4287" s="396">
        <f>+F4286</f>
        <v>75000</v>
      </c>
      <c r="H4287" t="str">
        <f>+H4286</f>
        <v>María Teresa Ibañez Vial / 249</v>
      </c>
      <c r="I4287" s="347" t="s">
        <v>131</v>
      </c>
      <c r="K4287" s="370"/>
      <c r="N4287" s="370"/>
    </row>
    <row r="4288" spans="1:14" s="347" customFormat="1" x14ac:dyDescent="0.25">
      <c r="A4288" s="369"/>
      <c r="E4288" s="396"/>
      <c r="F4288" s="396"/>
      <c r="G4288" s="396"/>
      <c r="K4288" s="370"/>
      <c r="N4288" s="370"/>
    </row>
    <row r="4289" spans="1:14" s="347" customFormat="1" x14ac:dyDescent="0.25">
      <c r="A4289" s="369">
        <v>44445</v>
      </c>
      <c r="B4289" s="347">
        <f>+MONTH(A4289)</f>
        <v>9</v>
      </c>
      <c r="C4289" s="347">
        <v>115</v>
      </c>
      <c r="D4289" s="340" t="str">
        <f>VLOOKUP(C4289,Plan!A$1:B$65542,2,0)</f>
        <v>Disponible Cali B.Chile</v>
      </c>
      <c r="E4289" s="341">
        <f>+F4289-G4289</f>
        <v>2000</v>
      </c>
      <c r="F4289" s="396">
        <v>2000</v>
      </c>
      <c r="G4289" s="396">
        <v>0</v>
      </c>
      <c r="H4289" t="s">
        <v>1010</v>
      </c>
      <c r="I4289" s="347" t="s">
        <v>131</v>
      </c>
      <c r="K4289" s="370"/>
      <c r="N4289" s="370"/>
    </row>
    <row r="4290" spans="1:14" s="347" customFormat="1" x14ac:dyDescent="0.25">
      <c r="A4290" s="369">
        <f>+A4289</f>
        <v>44445</v>
      </c>
      <c r="B4290" s="347">
        <f>+B4289</f>
        <v>9</v>
      </c>
      <c r="C4290" s="347">
        <v>216</v>
      </c>
      <c r="D4290" s="340" t="str">
        <f>VLOOKUP(C4290,Plan!A$1:B$65542,2,0)</f>
        <v>Cuenta por Pagar a Administración Colectas</v>
      </c>
      <c r="E4290" s="341">
        <f>+F4290-G4290</f>
        <v>-2000</v>
      </c>
      <c r="F4290" s="396">
        <v>0</v>
      </c>
      <c r="G4290" s="396">
        <f>+F4289</f>
        <v>2000</v>
      </c>
      <c r="H4290" t="str">
        <f>+H4289</f>
        <v>Colecta Raimundo Barros</v>
      </c>
      <c r="I4290" s="347" t="s">
        <v>131</v>
      </c>
      <c r="K4290" s="370"/>
      <c r="N4290" s="370"/>
    </row>
    <row r="4291" spans="1:14" s="347" customFormat="1" x14ac:dyDescent="0.25">
      <c r="A4291" s="369"/>
      <c r="E4291" s="396"/>
      <c r="F4291" s="396"/>
      <c r="G4291" s="396"/>
      <c r="K4291" s="370"/>
      <c r="N4291" s="370"/>
    </row>
    <row r="4292" spans="1:14" s="347" customFormat="1" x14ac:dyDescent="0.25">
      <c r="A4292" s="369">
        <v>44445</v>
      </c>
      <c r="B4292" s="347">
        <f>+MONTH(A4292)</f>
        <v>9</v>
      </c>
      <c r="C4292" s="347">
        <v>115</v>
      </c>
      <c r="D4292" s="340" t="str">
        <f>VLOOKUP(C4292,Plan!A$1:B$65542,2,0)</f>
        <v>Disponible Cali B.Chile</v>
      </c>
      <c r="E4292" s="341">
        <f>+F4292-G4292</f>
        <v>50000</v>
      </c>
      <c r="F4292" s="396">
        <v>50000</v>
      </c>
      <c r="G4292" s="396">
        <v>0</v>
      </c>
      <c r="H4292" t="s">
        <v>1021</v>
      </c>
      <c r="I4292" s="347" t="s">
        <v>131</v>
      </c>
      <c r="K4292" s="370"/>
      <c r="N4292" s="370"/>
    </row>
    <row r="4293" spans="1:14" s="347" customFormat="1" x14ac:dyDescent="0.25">
      <c r="A4293" s="369">
        <f>+A4292</f>
        <v>44445</v>
      </c>
      <c r="B4293" s="347">
        <f>+B4292</f>
        <v>9</v>
      </c>
      <c r="C4293" s="347">
        <v>3210</v>
      </c>
      <c r="D4293" s="340" t="str">
        <f>VLOOKUP(C4293,Plan!A$1:B$65542,2,0)</f>
        <v>Donacion Construccion</v>
      </c>
      <c r="E4293" s="341">
        <f>+F4293-G4293</f>
        <v>-50000</v>
      </c>
      <c r="F4293" s="396">
        <v>0</v>
      </c>
      <c r="G4293" s="396">
        <f>+F4292</f>
        <v>50000</v>
      </c>
      <c r="H4293" t="str">
        <f>+H4292</f>
        <v>Italo Lubiano Tassara/Azul</v>
      </c>
      <c r="I4293" s="347" t="s">
        <v>131</v>
      </c>
      <c r="K4293" s="370"/>
      <c r="N4293" s="370"/>
    </row>
    <row r="4294" spans="1:14" s="347" customFormat="1" x14ac:dyDescent="0.25">
      <c r="A4294" s="369"/>
      <c r="E4294" s="396"/>
      <c r="F4294" s="396"/>
      <c r="G4294" s="396"/>
      <c r="K4294" s="370"/>
      <c r="N4294" s="370"/>
    </row>
    <row r="4295" spans="1:14" s="347" customFormat="1" x14ac:dyDescent="0.25">
      <c r="A4295" s="369">
        <v>44445</v>
      </c>
      <c r="B4295" s="347">
        <f>+MONTH(A4295)</f>
        <v>9</v>
      </c>
      <c r="C4295" s="347">
        <v>115</v>
      </c>
      <c r="D4295" s="340" t="str">
        <f>VLOOKUP(C4295,Plan!A$1:B$65542,2,0)</f>
        <v>Disponible Cali B.Chile</v>
      </c>
      <c r="E4295" s="341">
        <f>+F4295-G4295</f>
        <v>40000</v>
      </c>
      <c r="F4295" s="396">
        <v>40000</v>
      </c>
      <c r="G4295" s="396">
        <v>0</v>
      </c>
      <c r="H4295" t="s">
        <v>1009</v>
      </c>
      <c r="I4295" s="347" t="s">
        <v>131</v>
      </c>
      <c r="K4295" s="370"/>
      <c r="N4295" s="370"/>
    </row>
    <row r="4296" spans="1:14" s="347" customFormat="1" x14ac:dyDescent="0.25">
      <c r="A4296" s="369">
        <f>+A4295</f>
        <v>44445</v>
      </c>
      <c r="B4296" s="347">
        <f>+B4295</f>
        <v>9</v>
      </c>
      <c r="C4296" s="347">
        <v>1222</v>
      </c>
      <c r="D4296" s="340" t="str">
        <f>VLOOKUP(C4296,Plan!A$1:B$65542,2,0)</f>
        <v>Otros Valores -Oficina y Transferencias (249)</v>
      </c>
      <c r="E4296" s="341">
        <f>+F4296-G4296</f>
        <v>-40000</v>
      </c>
      <c r="F4296" s="396">
        <v>0</v>
      </c>
      <c r="G4296" s="396">
        <f>+F4295</f>
        <v>40000</v>
      </c>
      <c r="H4296" t="str">
        <f>+H4295</f>
        <v>Juan Rafael Arnaiz Johnson / 249</v>
      </c>
      <c r="I4296" s="347" t="s">
        <v>131</v>
      </c>
      <c r="K4296" s="370"/>
      <c r="N4296" s="370"/>
    </row>
    <row r="4297" spans="1:14" s="347" customFormat="1" x14ac:dyDescent="0.25">
      <c r="A4297" s="369"/>
      <c r="E4297" s="396"/>
      <c r="F4297" s="396"/>
      <c r="G4297" s="396"/>
      <c r="K4297" s="370"/>
      <c r="N4297" s="370"/>
    </row>
    <row r="4298" spans="1:14" s="347" customFormat="1" x14ac:dyDescent="0.25">
      <c r="A4298" s="369">
        <v>44445</v>
      </c>
      <c r="B4298" s="347">
        <f>+MONTH(A4298)</f>
        <v>9</v>
      </c>
      <c r="C4298" s="347">
        <v>115</v>
      </c>
      <c r="D4298" s="340" t="str">
        <f>VLOOKUP(C4298,Plan!A$1:B$65542,2,0)</f>
        <v>Disponible Cali B.Chile</v>
      </c>
      <c r="E4298" s="341">
        <f>+F4298-G4298</f>
        <v>50000</v>
      </c>
      <c r="F4298" s="396">
        <v>50000</v>
      </c>
      <c r="G4298" s="396">
        <v>0</v>
      </c>
      <c r="H4298" t="s">
        <v>547</v>
      </c>
      <c r="I4298" s="347" t="s">
        <v>131</v>
      </c>
      <c r="K4298" s="370"/>
      <c r="N4298" s="370"/>
    </row>
    <row r="4299" spans="1:14" s="347" customFormat="1" x14ac:dyDescent="0.25">
      <c r="A4299" s="369">
        <f>+A4298</f>
        <v>44445</v>
      </c>
      <c r="B4299" s="347">
        <f>+B4298</f>
        <v>9</v>
      </c>
      <c r="C4299" s="347">
        <v>1222</v>
      </c>
      <c r="D4299" s="340" t="str">
        <f>VLOOKUP(C4299,Plan!A$1:B$65542,2,0)</f>
        <v>Otros Valores -Oficina y Transferencias (249)</v>
      </c>
      <c r="E4299" s="341">
        <f>+F4299-G4299</f>
        <v>-50000</v>
      </c>
      <c r="F4299" s="396">
        <v>0</v>
      </c>
      <c r="G4299" s="396">
        <f>+F4298</f>
        <v>50000</v>
      </c>
      <c r="H4299" t="str">
        <f>+H4298</f>
        <v>Jorge Claude / 249</v>
      </c>
      <c r="I4299" s="347" t="s">
        <v>131</v>
      </c>
      <c r="K4299" s="370"/>
      <c r="N4299" s="370"/>
    </row>
    <row r="4300" spans="1:14" s="347" customFormat="1" x14ac:dyDescent="0.25">
      <c r="A4300" s="369"/>
      <c r="E4300" s="396"/>
      <c r="F4300" s="396"/>
      <c r="G4300" s="396"/>
      <c r="K4300" s="370"/>
      <c r="N4300" s="370"/>
    </row>
    <row r="4301" spans="1:14" s="347" customFormat="1" x14ac:dyDescent="0.25">
      <c r="A4301" s="369">
        <v>44445</v>
      </c>
      <c r="B4301" s="347">
        <f>+MONTH(A4301)</f>
        <v>9</v>
      </c>
      <c r="C4301" s="347">
        <v>115</v>
      </c>
      <c r="D4301" s="340" t="str">
        <f>VLOOKUP(C4301,Plan!A$1:B$65542,2,0)</f>
        <v>Disponible Cali B.Chile</v>
      </c>
      <c r="E4301" s="341">
        <f>+F4301-G4301</f>
        <v>100000</v>
      </c>
      <c r="F4301" s="396">
        <v>100000</v>
      </c>
      <c r="G4301" s="396">
        <v>0</v>
      </c>
      <c r="H4301" t="s">
        <v>1726</v>
      </c>
      <c r="I4301" s="347" t="s">
        <v>131</v>
      </c>
      <c r="K4301" s="370"/>
      <c r="N4301" s="370"/>
    </row>
    <row r="4302" spans="1:14" s="347" customFormat="1" x14ac:dyDescent="0.25">
      <c r="A4302" s="369">
        <f>+A4301</f>
        <v>44445</v>
      </c>
      <c r="B4302" s="347">
        <f>+B4301</f>
        <v>9</v>
      </c>
      <c r="C4302" s="347">
        <v>3210</v>
      </c>
      <c r="D4302" s="340" t="str">
        <f>VLOOKUP(C4302,Plan!A$1:B$65542,2,0)</f>
        <v>Donacion Construccion</v>
      </c>
      <c r="E4302" s="341">
        <f>+F4302-G4302</f>
        <v>-100000</v>
      </c>
      <c r="F4302" s="396">
        <v>0</v>
      </c>
      <c r="G4302" s="396">
        <f>+F4301</f>
        <v>100000</v>
      </c>
      <c r="H4302" t="str">
        <f>+H4301</f>
        <v>Juan Carlos Latorre Díaz / Azul</v>
      </c>
      <c r="I4302" s="347" t="s">
        <v>131</v>
      </c>
      <c r="K4302" s="370"/>
      <c r="N4302" s="370"/>
    </row>
    <row r="4303" spans="1:14" s="347" customFormat="1" x14ac:dyDescent="0.25">
      <c r="A4303" s="369"/>
      <c r="E4303" s="396"/>
      <c r="F4303" s="396"/>
      <c r="G4303" s="396"/>
      <c r="K4303" s="370"/>
      <c r="N4303" s="370"/>
    </row>
    <row r="4304" spans="1:14" s="347" customFormat="1" x14ac:dyDescent="0.25">
      <c r="A4304" s="369">
        <v>44446</v>
      </c>
      <c r="B4304" s="347">
        <f>+MONTH(A4304)</f>
        <v>9</v>
      </c>
      <c r="C4304" s="347">
        <v>115</v>
      </c>
      <c r="D4304" s="340" t="str">
        <f>VLOOKUP(C4304,Plan!A$1:B$65542,2,0)</f>
        <v>Disponible Cali B.Chile</v>
      </c>
      <c r="E4304" s="341">
        <f>+F4304-G4304</f>
        <v>15000</v>
      </c>
      <c r="F4304" s="396">
        <v>15000</v>
      </c>
      <c r="G4304" s="396">
        <v>0</v>
      </c>
      <c r="H4304" t="s">
        <v>1099</v>
      </c>
      <c r="I4304" s="347" t="s">
        <v>131</v>
      </c>
      <c r="K4304" s="370"/>
      <c r="N4304" s="370"/>
    </row>
    <row r="4305" spans="1:14" s="347" customFormat="1" x14ac:dyDescent="0.25">
      <c r="A4305" s="369">
        <f>+A4304</f>
        <v>44446</v>
      </c>
      <c r="B4305" s="347">
        <f>+B4304</f>
        <v>9</v>
      </c>
      <c r="C4305" s="347">
        <v>1222</v>
      </c>
      <c r="D4305" s="340" t="str">
        <f>VLOOKUP(C4305,Plan!A$1:B$65542,2,0)</f>
        <v>Otros Valores -Oficina y Transferencias (249)</v>
      </c>
      <c r="E4305" s="341">
        <f>+F4305-G4305</f>
        <v>-15000</v>
      </c>
      <c r="F4305" s="396">
        <v>0</v>
      </c>
      <c r="G4305" s="396">
        <f>+F4304</f>
        <v>15000</v>
      </c>
      <c r="H4305" t="str">
        <f>+H4304</f>
        <v>María Consuelo Fuenzalida Walker/249</v>
      </c>
      <c r="I4305" s="347" t="s">
        <v>131</v>
      </c>
      <c r="K4305" s="370"/>
      <c r="N4305" s="370"/>
    </row>
    <row r="4306" spans="1:14" s="347" customFormat="1" x14ac:dyDescent="0.25">
      <c r="A4306" s="369"/>
      <c r="E4306" s="396"/>
      <c r="F4306" s="396"/>
      <c r="G4306" s="396"/>
      <c r="K4306" s="370"/>
      <c r="N4306" s="370"/>
    </row>
    <row r="4307" spans="1:14" s="347" customFormat="1" x14ac:dyDescent="0.25">
      <c r="A4307" s="369">
        <v>44446</v>
      </c>
      <c r="B4307" s="347">
        <f>+MONTH(A4307)</f>
        <v>9</v>
      </c>
      <c r="C4307" s="347">
        <v>115</v>
      </c>
      <c r="D4307" s="340" t="str">
        <f>VLOOKUP(C4307,Plan!A$1:B$65542,2,0)</f>
        <v>Disponible Cali B.Chile</v>
      </c>
      <c r="E4307" s="341">
        <f>+F4307-G4307</f>
        <v>99289</v>
      </c>
      <c r="F4307" s="396">
        <v>99289</v>
      </c>
      <c r="G4307" s="396">
        <v>0</v>
      </c>
      <c r="H4307" t="s">
        <v>1740</v>
      </c>
      <c r="I4307" s="347" t="s">
        <v>131</v>
      </c>
      <c r="K4307" s="370"/>
      <c r="N4307" s="370"/>
    </row>
    <row r="4308" spans="1:14" s="347" customFormat="1" x14ac:dyDescent="0.25">
      <c r="A4308" s="369">
        <f>+A4307</f>
        <v>44446</v>
      </c>
      <c r="B4308" s="347">
        <f>+B4307</f>
        <v>9</v>
      </c>
      <c r="C4308" s="347">
        <v>1217</v>
      </c>
      <c r="D4308" s="340" t="str">
        <f>VLOOKUP(C4308,Plan!A$1:B$65542,2,0)</f>
        <v>Otros Valores -Oficina y Transferencias (248)</v>
      </c>
      <c r="E4308" s="341">
        <f>+F4308-G4308</f>
        <v>-99289</v>
      </c>
      <c r="F4308" s="396">
        <v>0</v>
      </c>
      <c r="G4308" s="396">
        <f>+F4307</f>
        <v>99289</v>
      </c>
      <c r="H4308" t="str">
        <f>+H4307</f>
        <v>José Eugenio Figueroa Basaure/248</v>
      </c>
      <c r="I4308" s="347" t="s">
        <v>131</v>
      </c>
      <c r="K4308" s="370"/>
      <c r="N4308" s="370"/>
    </row>
    <row r="4309" spans="1:14" s="347" customFormat="1" x14ac:dyDescent="0.25">
      <c r="A4309" s="369"/>
      <c r="E4309" s="396"/>
      <c r="F4309" s="396"/>
      <c r="G4309" s="396"/>
      <c r="K4309" s="370"/>
      <c r="N4309" s="370"/>
    </row>
    <row r="4310" spans="1:14" s="347" customFormat="1" x14ac:dyDescent="0.25">
      <c r="A4310" s="369">
        <v>44446</v>
      </c>
      <c r="B4310" s="347">
        <f>+MONTH(A4310)</f>
        <v>9</v>
      </c>
      <c r="C4310" s="347">
        <v>115</v>
      </c>
      <c r="D4310" s="340" t="str">
        <f>VLOOKUP(C4310,Plan!A$1:B$65542,2,0)</f>
        <v>Disponible Cali B.Chile</v>
      </c>
      <c r="E4310" s="341">
        <f>+F4310-G4310</f>
        <v>30000</v>
      </c>
      <c r="F4310" s="396">
        <v>30000</v>
      </c>
      <c r="G4310" s="396">
        <v>0</v>
      </c>
      <c r="H4310" t="s">
        <v>1048</v>
      </c>
      <c r="I4310" s="347" t="s">
        <v>131</v>
      </c>
      <c r="K4310" s="370"/>
      <c r="N4310" s="370"/>
    </row>
    <row r="4311" spans="1:14" s="347" customFormat="1" x14ac:dyDescent="0.25">
      <c r="A4311" s="369">
        <f>+A4310</f>
        <v>44446</v>
      </c>
      <c r="B4311" s="347">
        <f>+B4310</f>
        <v>9</v>
      </c>
      <c r="C4311" s="347">
        <v>1217</v>
      </c>
      <c r="D4311" s="340" t="str">
        <f>VLOOKUP(C4311,Plan!A$1:B$65542,2,0)</f>
        <v>Otros Valores -Oficina y Transferencias (248)</v>
      </c>
      <c r="E4311" s="341">
        <f>+F4311-G4311</f>
        <v>-30000</v>
      </c>
      <c r="F4311" s="396">
        <v>0</v>
      </c>
      <c r="G4311" s="396">
        <f>+F4310</f>
        <v>30000</v>
      </c>
      <c r="H4311" t="str">
        <f>+H4310</f>
        <v>José Miguel Guzmán Morandé/248</v>
      </c>
      <c r="I4311" s="347" t="s">
        <v>131</v>
      </c>
      <c r="K4311" s="370"/>
      <c r="N4311" s="370"/>
    </row>
    <row r="4312" spans="1:14" s="347" customFormat="1" x14ac:dyDescent="0.25">
      <c r="A4312" s="369"/>
      <c r="E4312" s="396"/>
      <c r="F4312" s="396"/>
      <c r="G4312" s="396"/>
      <c r="K4312" s="370"/>
      <c r="N4312" s="370"/>
    </row>
    <row r="4313" spans="1:14" s="347" customFormat="1" x14ac:dyDescent="0.25">
      <c r="A4313" s="369">
        <v>44446</v>
      </c>
      <c r="B4313" s="347">
        <f>+MONTH(A4313)</f>
        <v>9</v>
      </c>
      <c r="C4313" s="347">
        <v>115</v>
      </c>
      <c r="D4313" s="340" t="str">
        <f>VLOOKUP(C4313,Plan!A$1:B$65542,2,0)</f>
        <v>Disponible Cali B.Chile</v>
      </c>
      <c r="E4313" s="341">
        <f>+F4313-G4313</f>
        <v>60000</v>
      </c>
      <c r="F4313" s="396">
        <v>60000</v>
      </c>
      <c r="G4313" s="396">
        <v>0</v>
      </c>
      <c r="H4313" t="s">
        <v>992</v>
      </c>
      <c r="I4313" s="347" t="s">
        <v>131</v>
      </c>
      <c r="K4313" s="370"/>
      <c r="N4313" s="370"/>
    </row>
    <row r="4314" spans="1:14" s="347" customFormat="1" x14ac:dyDescent="0.25">
      <c r="A4314" s="369">
        <f>+A4313</f>
        <v>44446</v>
      </c>
      <c r="B4314" s="347">
        <f>+B4313</f>
        <v>9</v>
      </c>
      <c r="C4314" s="347">
        <v>1222</v>
      </c>
      <c r="D4314" s="340" t="str">
        <f>VLOOKUP(C4314,Plan!A$1:B$65542,2,0)</f>
        <v>Otros Valores -Oficina y Transferencias (249)</v>
      </c>
      <c r="E4314" s="341">
        <f>+F4314-G4314</f>
        <v>-60000</v>
      </c>
      <c r="F4314" s="396">
        <v>0</v>
      </c>
      <c r="G4314" s="396">
        <f>+F4313</f>
        <v>60000</v>
      </c>
      <c r="H4314" t="str">
        <f>+H4313</f>
        <v>Enrique Brahm García / 249</v>
      </c>
      <c r="I4314" s="347" t="s">
        <v>131</v>
      </c>
      <c r="K4314" s="370"/>
      <c r="N4314" s="370"/>
    </row>
    <row r="4315" spans="1:14" s="347" customFormat="1" x14ac:dyDescent="0.25">
      <c r="A4315" s="369"/>
      <c r="E4315" s="396"/>
      <c r="F4315" s="396"/>
      <c r="G4315" s="396"/>
      <c r="K4315" s="370"/>
      <c r="N4315" s="370"/>
    </row>
    <row r="4316" spans="1:14" s="347" customFormat="1" x14ac:dyDescent="0.25">
      <c r="A4316" s="369">
        <v>44446</v>
      </c>
      <c r="B4316" s="347">
        <f>+MONTH(A4316)</f>
        <v>9</v>
      </c>
      <c r="C4316" s="347">
        <v>115</v>
      </c>
      <c r="D4316" s="340" t="str">
        <f>VLOOKUP(C4316,Plan!A$1:B$65542,2,0)</f>
        <v>Disponible Cali B.Chile</v>
      </c>
      <c r="E4316" s="341">
        <f>+F4316-G4316</f>
        <v>30000</v>
      </c>
      <c r="F4316" s="396">
        <v>30000</v>
      </c>
      <c r="G4316" s="396">
        <v>0</v>
      </c>
      <c r="H4316" t="s">
        <v>1012</v>
      </c>
      <c r="I4316" s="347" t="s">
        <v>131</v>
      </c>
      <c r="K4316" s="370"/>
      <c r="N4316" s="370"/>
    </row>
    <row r="4317" spans="1:14" s="347" customFormat="1" x14ac:dyDescent="0.25">
      <c r="A4317" s="369">
        <f>+A4316</f>
        <v>44446</v>
      </c>
      <c r="B4317" s="347">
        <f>+B4316</f>
        <v>9</v>
      </c>
      <c r="C4317" s="347">
        <v>1222</v>
      </c>
      <c r="D4317" s="340" t="str">
        <f>VLOOKUP(C4317,Plan!A$1:B$65542,2,0)</f>
        <v>Otros Valores -Oficina y Transferencias (249)</v>
      </c>
      <c r="E4317" s="341">
        <f>+F4317-G4317</f>
        <v>-30000</v>
      </c>
      <c r="F4317" s="396">
        <v>0</v>
      </c>
      <c r="G4317" s="396">
        <f>+F4316</f>
        <v>30000</v>
      </c>
      <c r="H4317" t="str">
        <f>+H4316</f>
        <v>María Luz Parodi Gil / 249</v>
      </c>
      <c r="I4317" s="347" t="s">
        <v>131</v>
      </c>
      <c r="K4317" s="370"/>
      <c r="N4317" s="370"/>
    </row>
    <row r="4318" spans="1:14" s="347" customFormat="1" x14ac:dyDescent="0.25">
      <c r="A4318" s="369"/>
      <c r="E4318" s="396"/>
      <c r="F4318" s="396"/>
      <c r="G4318" s="396"/>
      <c r="K4318" s="370"/>
      <c r="N4318" s="370"/>
    </row>
    <row r="4319" spans="1:14" s="347" customFormat="1" x14ac:dyDescent="0.25">
      <c r="A4319" s="369">
        <v>44447</v>
      </c>
      <c r="B4319" s="347">
        <f>+MONTH(A4319)</f>
        <v>9</v>
      </c>
      <c r="C4319" s="347">
        <v>115</v>
      </c>
      <c r="D4319" s="340" t="str">
        <f>VLOOKUP(C4319,Plan!A$1:B$65542,2,0)</f>
        <v>Disponible Cali B.Chile</v>
      </c>
      <c r="E4319" s="341">
        <f>+F4319-G4319</f>
        <v>12000</v>
      </c>
      <c r="F4319" s="396">
        <v>12000</v>
      </c>
      <c r="G4319" s="396">
        <v>0</v>
      </c>
      <c r="H4319" t="s">
        <v>1020</v>
      </c>
      <c r="I4319" s="347" t="s">
        <v>131</v>
      </c>
      <c r="K4319" s="370"/>
      <c r="N4319" s="370"/>
    </row>
    <row r="4320" spans="1:14" s="347" customFormat="1" x14ac:dyDescent="0.25">
      <c r="A4320" s="369">
        <f>+A4319</f>
        <v>44447</v>
      </c>
      <c r="B4320" s="347">
        <f>+B4319</f>
        <v>9</v>
      </c>
      <c r="C4320" s="347">
        <v>1217</v>
      </c>
      <c r="D4320" s="340" t="str">
        <f>VLOOKUP(C4320,Plan!A$1:B$65542,2,0)</f>
        <v>Otros Valores -Oficina y Transferencias (248)</v>
      </c>
      <c r="E4320" s="341">
        <f>+F4320-G4320</f>
        <v>-12000</v>
      </c>
      <c r="F4320" s="396">
        <v>0</v>
      </c>
      <c r="G4320" s="396">
        <f>+F4319</f>
        <v>12000</v>
      </c>
      <c r="H4320" t="str">
        <f>+H4319</f>
        <v xml:space="preserve">M.Cristina Valenzuela L./248 </v>
      </c>
      <c r="I4320" s="347" t="s">
        <v>131</v>
      </c>
      <c r="K4320" s="370"/>
      <c r="N4320" s="370"/>
    </row>
    <row r="4321" spans="1:14" s="347" customFormat="1" x14ac:dyDescent="0.25">
      <c r="A4321" s="369"/>
      <c r="E4321" s="396"/>
      <c r="F4321" s="396"/>
      <c r="G4321" s="396"/>
      <c r="K4321" s="370"/>
      <c r="N4321" s="370"/>
    </row>
    <row r="4322" spans="1:14" s="347" customFormat="1" x14ac:dyDescent="0.25">
      <c r="A4322" s="369">
        <v>44447</v>
      </c>
      <c r="B4322" s="347">
        <f>+MONTH(A4322)</f>
        <v>9</v>
      </c>
      <c r="C4322" s="347">
        <v>115</v>
      </c>
      <c r="D4322" s="340" t="str">
        <f>VLOOKUP(C4322,Plan!A$1:B$65542,2,0)</f>
        <v>Disponible Cali B.Chile</v>
      </c>
      <c r="E4322" s="341">
        <f>+F4322-G4322</f>
        <v>135000</v>
      </c>
      <c r="F4322" s="396">
        <v>135000</v>
      </c>
      <c r="G4322" s="396">
        <v>0</v>
      </c>
      <c r="H4322" s="338" t="s">
        <v>1687</v>
      </c>
      <c r="I4322" s="347" t="s">
        <v>131</v>
      </c>
      <c r="K4322" s="370"/>
      <c r="N4322" s="370"/>
    </row>
    <row r="4323" spans="1:14" s="347" customFormat="1" x14ac:dyDescent="0.25">
      <c r="A4323" s="369">
        <f>+A4322</f>
        <v>44447</v>
      </c>
      <c r="B4323" s="347">
        <f>+B4322</f>
        <v>9</v>
      </c>
      <c r="C4323" s="347">
        <v>1216</v>
      </c>
      <c r="D4323" s="340" t="str">
        <f>VLOOKUP(C4323,Plan!A$1:B$65542,2,0)</f>
        <v>Otros Valores Recaudadoras</v>
      </c>
      <c r="E4323" s="341">
        <f>+F4323-G4323</f>
        <v>-135000</v>
      </c>
      <c r="F4323" s="396">
        <v>0</v>
      </c>
      <c r="G4323" s="396">
        <f>+F4322</f>
        <v>135000</v>
      </c>
      <c r="H4323" s="338" t="s">
        <v>1687</v>
      </c>
      <c r="I4323" s="347" t="s">
        <v>131</v>
      </c>
      <c r="K4323" s="370"/>
      <c r="N4323" s="370"/>
    </row>
    <row r="4324" spans="1:14" s="347" customFormat="1" x14ac:dyDescent="0.25">
      <c r="A4324" s="369"/>
      <c r="E4324" s="396"/>
      <c r="F4324" s="396"/>
      <c r="G4324" s="396"/>
      <c r="K4324" s="370"/>
      <c r="N4324" s="370"/>
    </row>
    <row r="4325" spans="1:14" s="347" customFormat="1" x14ac:dyDescent="0.25">
      <c r="A4325" s="369">
        <v>44447</v>
      </c>
      <c r="B4325" s="347">
        <f>+MONTH(A4325)</f>
        <v>9</v>
      </c>
      <c r="C4325" s="347">
        <v>115</v>
      </c>
      <c r="D4325" s="340" t="str">
        <f>VLOOKUP(C4325,Plan!A$1:B$65542,2,0)</f>
        <v>Disponible Cali B.Chile</v>
      </c>
      <c r="E4325" s="341">
        <f>+F4325-G4325</f>
        <v>35000</v>
      </c>
      <c r="F4325" s="396">
        <v>35000</v>
      </c>
      <c r="G4325" s="396">
        <v>0</v>
      </c>
      <c r="H4325" s="338" t="s">
        <v>1687</v>
      </c>
      <c r="I4325" s="347" t="s">
        <v>131</v>
      </c>
      <c r="K4325" s="370"/>
      <c r="N4325" s="370"/>
    </row>
    <row r="4326" spans="1:14" s="347" customFormat="1" x14ac:dyDescent="0.25">
      <c r="A4326" s="369">
        <f>+A4325</f>
        <v>44447</v>
      </c>
      <c r="B4326" s="347">
        <f>+B4325</f>
        <v>9</v>
      </c>
      <c r="C4326" s="347">
        <v>1130</v>
      </c>
      <c r="D4326" s="340" t="str">
        <f>VLOOKUP(C4326,Plan!A$1:B$65542,2,0)</f>
        <v>Disponible Ch. Fecha</v>
      </c>
      <c r="E4326" s="341">
        <f>+F4326-G4326</f>
        <v>-35000</v>
      </c>
      <c r="F4326" s="396">
        <v>0</v>
      </c>
      <c r="G4326" s="396">
        <f>+F4325</f>
        <v>35000</v>
      </c>
      <c r="H4326" s="338" t="s">
        <v>1687</v>
      </c>
      <c r="I4326" s="347" t="s">
        <v>131</v>
      </c>
      <c r="K4326" s="370"/>
      <c r="N4326" s="370"/>
    </row>
    <row r="4327" spans="1:14" s="347" customFormat="1" x14ac:dyDescent="0.25">
      <c r="A4327" s="369"/>
      <c r="E4327" s="396"/>
      <c r="F4327" s="396"/>
      <c r="G4327" s="396"/>
      <c r="K4327" s="370"/>
      <c r="N4327" s="370"/>
    </row>
    <row r="4328" spans="1:14" s="347" customFormat="1" x14ac:dyDescent="0.25">
      <c r="A4328" s="369">
        <v>44447</v>
      </c>
      <c r="B4328" s="347">
        <f>+MONTH(A4328)</f>
        <v>9</v>
      </c>
      <c r="C4328" s="347">
        <v>115</v>
      </c>
      <c r="D4328" s="340" t="str">
        <f>VLOOKUP(C4328,Plan!A$1:B$65542,2,0)</f>
        <v>Disponible Cali B.Chile</v>
      </c>
      <c r="E4328" s="341">
        <f>+F4328-G4328</f>
        <v>20000</v>
      </c>
      <c r="F4328" s="396">
        <v>20000</v>
      </c>
      <c r="G4328" s="396">
        <v>0</v>
      </c>
      <c r="H4328" s="338" t="s">
        <v>1687</v>
      </c>
      <c r="I4328" s="347" t="s">
        <v>131</v>
      </c>
      <c r="K4328" s="370"/>
      <c r="N4328" s="370"/>
    </row>
    <row r="4329" spans="1:14" s="347" customFormat="1" x14ac:dyDescent="0.25">
      <c r="A4329" s="369">
        <f>+A4328</f>
        <v>44447</v>
      </c>
      <c r="B4329" s="347">
        <f>+B4328</f>
        <v>9</v>
      </c>
      <c r="C4329" s="347">
        <v>1216</v>
      </c>
      <c r="D4329" s="340" t="str">
        <f>VLOOKUP(C4329,Plan!A$1:B$65542,2,0)</f>
        <v>Otros Valores Recaudadoras</v>
      </c>
      <c r="E4329" s="341">
        <f>+F4329-G4329</f>
        <v>-20000</v>
      </c>
      <c r="F4329" s="396">
        <v>0</v>
      </c>
      <c r="G4329" s="396">
        <f>+F4328</f>
        <v>20000</v>
      </c>
      <c r="H4329" s="338" t="s">
        <v>1687</v>
      </c>
      <c r="I4329" s="347" t="s">
        <v>131</v>
      </c>
      <c r="K4329" s="370"/>
      <c r="N4329" s="370"/>
    </row>
    <row r="4330" spans="1:14" s="347" customFormat="1" x14ac:dyDescent="0.25">
      <c r="A4330" s="369"/>
      <c r="E4330" s="396"/>
      <c r="F4330" s="396"/>
      <c r="G4330" s="396"/>
      <c r="K4330" s="370"/>
      <c r="N4330" s="370"/>
    </row>
    <row r="4331" spans="1:14" s="347" customFormat="1" x14ac:dyDescent="0.25">
      <c r="A4331" s="369">
        <v>44448</v>
      </c>
      <c r="B4331" s="347">
        <f>+MONTH(A4331)</f>
        <v>9</v>
      </c>
      <c r="C4331" s="347">
        <v>115</v>
      </c>
      <c r="D4331" s="340" t="str">
        <f>VLOOKUP(C4331,Plan!A$1:B$65542,2,0)</f>
        <v>Disponible Cali B.Chile</v>
      </c>
      <c r="E4331" s="341">
        <f>+F4331-G4331</f>
        <v>150000</v>
      </c>
      <c r="F4331" s="396">
        <v>150000</v>
      </c>
      <c r="G4331" s="396">
        <v>0</v>
      </c>
      <c r="H4331" t="s">
        <v>1061</v>
      </c>
      <c r="I4331" s="347" t="s">
        <v>131</v>
      </c>
      <c r="K4331" s="370"/>
      <c r="N4331" s="370"/>
    </row>
    <row r="4332" spans="1:14" s="347" customFormat="1" x14ac:dyDescent="0.25">
      <c r="A4332" s="369">
        <f>+A4331</f>
        <v>44448</v>
      </c>
      <c r="B4332" s="347">
        <f>+B4331</f>
        <v>9</v>
      </c>
      <c r="C4332" s="347">
        <v>1217</v>
      </c>
      <c r="D4332" s="340" t="str">
        <f>VLOOKUP(C4332,Plan!A$1:B$65542,2,0)</f>
        <v>Otros Valores -Oficina y Transferencias (248)</v>
      </c>
      <c r="E4332" s="341">
        <f>+F4332-G4332</f>
        <v>-150000</v>
      </c>
      <c r="F4332" s="396">
        <v>0</v>
      </c>
      <c r="G4332" s="396">
        <f>+F4331</f>
        <v>150000</v>
      </c>
      <c r="H4332" t="str">
        <f>+H4331</f>
        <v>Patricio Abalos /248</v>
      </c>
      <c r="I4332" s="347" t="s">
        <v>131</v>
      </c>
      <c r="K4332" s="370"/>
      <c r="N4332" s="370"/>
    </row>
    <row r="4333" spans="1:14" s="347" customFormat="1" x14ac:dyDescent="0.25">
      <c r="A4333" s="369"/>
      <c r="E4333" s="396"/>
      <c r="F4333" s="396"/>
      <c r="G4333" s="396"/>
      <c r="K4333" s="370"/>
      <c r="N4333" s="370"/>
    </row>
    <row r="4334" spans="1:14" s="347" customFormat="1" x14ac:dyDescent="0.25">
      <c r="A4334" s="369">
        <v>44448</v>
      </c>
      <c r="B4334" s="347">
        <f>+MONTH(A4334)</f>
        <v>9</v>
      </c>
      <c r="C4334" s="347">
        <v>115</v>
      </c>
      <c r="D4334" s="340" t="str">
        <f>VLOOKUP(C4334,Plan!A$1:B$65542,2,0)</f>
        <v>Disponible Cali B.Chile</v>
      </c>
      <c r="E4334" s="341">
        <f>+F4334-G4334</f>
        <v>15000</v>
      </c>
      <c r="F4334" s="396">
        <v>15000</v>
      </c>
      <c r="G4334" s="396">
        <v>0</v>
      </c>
      <c r="H4334" t="s">
        <v>1761</v>
      </c>
      <c r="I4334" s="347" t="s">
        <v>131</v>
      </c>
      <c r="K4334" s="370"/>
      <c r="N4334" s="370"/>
    </row>
    <row r="4335" spans="1:14" s="347" customFormat="1" x14ac:dyDescent="0.25">
      <c r="A4335" s="369">
        <f>+A4334</f>
        <v>44448</v>
      </c>
      <c r="B4335" s="347">
        <f>+B4334</f>
        <v>9</v>
      </c>
      <c r="C4335" s="347">
        <v>3210</v>
      </c>
      <c r="D4335" s="340" t="str">
        <f>VLOOKUP(C4335,Plan!A$1:B$65542,2,0)</f>
        <v>Donacion Construccion</v>
      </c>
      <c r="E4335" s="341">
        <f>+F4335-G4335</f>
        <v>-15000</v>
      </c>
      <c r="F4335" s="396">
        <v>0</v>
      </c>
      <c r="G4335" s="396">
        <f>+F4334</f>
        <v>15000</v>
      </c>
      <c r="H4335" t="str">
        <f>+H4334</f>
        <v>Carlos Alberto Fonck Limann / Azul</v>
      </c>
      <c r="I4335" s="347" t="s">
        <v>131</v>
      </c>
      <c r="K4335" s="370"/>
      <c r="N4335" s="370"/>
    </row>
    <row r="4336" spans="1:14" s="347" customFormat="1" x14ac:dyDescent="0.25">
      <c r="A4336" s="369"/>
      <c r="E4336" s="396"/>
      <c r="F4336" s="396"/>
      <c r="G4336" s="396"/>
      <c r="K4336" s="370"/>
      <c r="N4336" s="370"/>
    </row>
    <row r="4337" spans="1:14" s="347" customFormat="1" x14ac:dyDescent="0.25">
      <c r="A4337" s="369">
        <v>44448</v>
      </c>
      <c r="B4337" s="347">
        <f>+MONTH(A4337)</f>
        <v>9</v>
      </c>
      <c r="C4337" s="347">
        <v>115</v>
      </c>
      <c r="D4337" s="340" t="str">
        <f>VLOOKUP(C4337,Plan!A$1:B$65542,2,0)</f>
        <v>Disponible Cali B.Chile</v>
      </c>
      <c r="E4337" s="341">
        <f>+F4337-G4337</f>
        <v>60000</v>
      </c>
      <c r="F4337" s="396">
        <v>60000</v>
      </c>
      <c r="G4337" s="396">
        <v>0</v>
      </c>
      <c r="H4337" t="s">
        <v>1031</v>
      </c>
      <c r="I4337" s="347" t="s">
        <v>131</v>
      </c>
      <c r="K4337" s="370"/>
      <c r="N4337" s="370"/>
    </row>
    <row r="4338" spans="1:14" s="347" customFormat="1" x14ac:dyDescent="0.25">
      <c r="A4338" s="369">
        <f>+A4337</f>
        <v>44448</v>
      </c>
      <c r="B4338" s="347">
        <f>+B4337</f>
        <v>9</v>
      </c>
      <c r="C4338" s="347">
        <v>1217</v>
      </c>
      <c r="D4338" s="340" t="str">
        <f>VLOOKUP(C4338,Plan!A$1:B$65542,2,0)</f>
        <v>Otros Valores -Oficina y Transferencias (248)</v>
      </c>
      <c r="E4338" s="341">
        <f>+F4338-G4338</f>
        <v>-60000</v>
      </c>
      <c r="F4338" s="396">
        <v>0</v>
      </c>
      <c r="G4338" s="396">
        <f>+F4337</f>
        <v>60000</v>
      </c>
      <c r="H4338" t="str">
        <f>+H4337</f>
        <v xml:space="preserve">D. Vassiliu /248 </v>
      </c>
      <c r="I4338" s="347" t="s">
        <v>131</v>
      </c>
      <c r="K4338" s="370"/>
      <c r="N4338" s="370"/>
    </row>
    <row r="4339" spans="1:14" s="347" customFormat="1" x14ac:dyDescent="0.25">
      <c r="A4339" s="369"/>
      <c r="E4339" s="396"/>
      <c r="F4339" s="396"/>
      <c r="G4339" s="396"/>
      <c r="K4339" s="370"/>
      <c r="N4339" s="370"/>
    </row>
    <row r="4340" spans="1:14" s="347" customFormat="1" x14ac:dyDescent="0.25">
      <c r="A4340" s="369">
        <v>44448</v>
      </c>
      <c r="B4340" s="347">
        <f>+MONTH(A4340)</f>
        <v>9</v>
      </c>
      <c r="C4340" s="347">
        <v>115</v>
      </c>
      <c r="D4340" s="340" t="str">
        <f>VLOOKUP(C4340,Plan!A$1:B$65542,2,0)</f>
        <v>Disponible Cali B.Chile</v>
      </c>
      <c r="E4340" s="341">
        <f>+F4340-G4340</f>
        <v>120000</v>
      </c>
      <c r="F4340" s="396">
        <v>120000</v>
      </c>
      <c r="G4340" s="396">
        <v>0</v>
      </c>
      <c r="H4340" t="s">
        <v>2076</v>
      </c>
      <c r="I4340" s="347" t="s">
        <v>131</v>
      </c>
      <c r="K4340" s="370"/>
      <c r="N4340" s="370"/>
    </row>
    <row r="4341" spans="1:14" s="347" customFormat="1" x14ac:dyDescent="0.25">
      <c r="A4341" s="369">
        <f>+A4340</f>
        <v>44448</v>
      </c>
      <c r="B4341" s="347">
        <f>+B4340</f>
        <v>9</v>
      </c>
      <c r="C4341" s="347">
        <v>3210</v>
      </c>
      <c r="D4341" s="340" t="str">
        <f>VLOOKUP(C4341,Plan!A$1:B$65542,2,0)</f>
        <v>Donacion Construccion</v>
      </c>
      <c r="E4341" s="341">
        <f>+F4341-G4341</f>
        <v>-120000</v>
      </c>
      <c r="F4341" s="396">
        <v>0</v>
      </c>
      <c r="G4341" s="396">
        <f>+F4340</f>
        <v>120000</v>
      </c>
      <c r="H4341" t="str">
        <f>+H4340</f>
        <v>María Verónica Letelier Benítez / Azul</v>
      </c>
      <c r="I4341" s="347" t="s">
        <v>131</v>
      </c>
      <c r="K4341" s="370"/>
      <c r="N4341" s="370"/>
    </row>
    <row r="4342" spans="1:14" s="347" customFormat="1" x14ac:dyDescent="0.25">
      <c r="A4342" s="369"/>
      <c r="E4342" s="396"/>
      <c r="F4342" s="396"/>
      <c r="G4342" s="396"/>
      <c r="K4342" s="370"/>
      <c r="N4342" s="370"/>
    </row>
    <row r="4343" spans="1:14" s="347" customFormat="1" x14ac:dyDescent="0.25">
      <c r="A4343" s="369">
        <v>44449</v>
      </c>
      <c r="B4343" s="347">
        <f>+MONTH(A4343)</f>
        <v>9</v>
      </c>
      <c r="C4343" s="347">
        <v>115</v>
      </c>
      <c r="D4343" s="340" t="str">
        <f>VLOOKUP(C4343,Plan!A$1:B$65542,2,0)</f>
        <v>Disponible Cali B.Chile</v>
      </c>
      <c r="E4343" s="341">
        <f>+F4343-G4343</f>
        <v>1000000</v>
      </c>
      <c r="F4343" s="396">
        <v>1000000</v>
      </c>
      <c r="G4343" s="396">
        <v>0</v>
      </c>
      <c r="H4343" t="s">
        <v>2077</v>
      </c>
      <c r="I4343" s="347" t="s">
        <v>131</v>
      </c>
      <c r="K4343" s="370"/>
      <c r="N4343" s="370"/>
    </row>
    <row r="4344" spans="1:14" s="347" customFormat="1" x14ac:dyDescent="0.25">
      <c r="A4344" s="369">
        <f>+A4343</f>
        <v>44449</v>
      </c>
      <c r="B4344" s="347">
        <f>+B4343</f>
        <v>9</v>
      </c>
      <c r="C4344" s="347">
        <v>3210</v>
      </c>
      <c r="D4344" s="340" t="str">
        <f>VLOOKUP(C4344,Plan!A$1:B$65542,2,0)</f>
        <v>Donacion Construccion</v>
      </c>
      <c r="E4344" s="341">
        <f>+F4344-G4344</f>
        <v>-1000000</v>
      </c>
      <c r="F4344" s="396">
        <v>0</v>
      </c>
      <c r="G4344" s="396">
        <f>+F4343</f>
        <v>1000000</v>
      </c>
      <c r="H4344" t="str">
        <f>+H4343</f>
        <v>Pedro Armando Alvarez Marin/250</v>
      </c>
      <c r="I4344" s="347" t="s">
        <v>131</v>
      </c>
      <c r="K4344" s="370"/>
      <c r="N4344" s="370"/>
    </row>
    <row r="4345" spans="1:14" s="347" customFormat="1" x14ac:dyDescent="0.25">
      <c r="A4345" s="369"/>
      <c r="E4345" s="396"/>
      <c r="F4345" s="396"/>
      <c r="G4345" s="396"/>
      <c r="K4345" s="370"/>
      <c r="N4345" s="370"/>
    </row>
    <row r="4346" spans="1:14" s="347" customFormat="1" x14ac:dyDescent="0.25">
      <c r="A4346" s="369">
        <v>44449</v>
      </c>
      <c r="B4346" s="347">
        <f>+MONTH(A4346)</f>
        <v>9</v>
      </c>
      <c r="C4346" s="347">
        <v>115</v>
      </c>
      <c r="D4346" s="340" t="str">
        <f>VLOOKUP(C4346,Plan!A$1:B$65542,2,0)</f>
        <v>Disponible Cali B.Chile</v>
      </c>
      <c r="E4346" s="341">
        <f>+F4346-G4346</f>
        <v>40000</v>
      </c>
      <c r="F4346" s="396">
        <v>40000</v>
      </c>
      <c r="G4346" s="396">
        <v>0</v>
      </c>
      <c r="H4346" t="s">
        <v>1003</v>
      </c>
      <c r="I4346" s="347" t="s">
        <v>131</v>
      </c>
      <c r="K4346" s="370"/>
      <c r="N4346" s="370"/>
    </row>
    <row r="4347" spans="1:14" s="347" customFormat="1" x14ac:dyDescent="0.25">
      <c r="A4347" s="369">
        <f>+A4346</f>
        <v>44449</v>
      </c>
      <c r="B4347" s="347">
        <f>+B4346</f>
        <v>9</v>
      </c>
      <c r="C4347" s="347">
        <v>3210</v>
      </c>
      <c r="D4347" s="340" t="str">
        <f>VLOOKUP(C4347,Plan!A$1:B$65542,2,0)</f>
        <v>Donacion Construccion</v>
      </c>
      <c r="E4347" s="341">
        <f>+F4347-G4347</f>
        <v>-40000</v>
      </c>
      <c r="F4347" s="396">
        <v>0</v>
      </c>
      <c r="G4347" s="396">
        <f>+F4346</f>
        <v>40000</v>
      </c>
      <c r="H4347" t="str">
        <f>+H4346</f>
        <v>Marcela Rebeca Pinto Zepeda / Azul</v>
      </c>
      <c r="I4347" s="347" t="s">
        <v>131</v>
      </c>
      <c r="K4347" s="370"/>
      <c r="N4347" s="370"/>
    </row>
    <row r="4348" spans="1:14" s="347" customFormat="1" x14ac:dyDescent="0.25">
      <c r="A4348" s="369"/>
      <c r="E4348" s="396"/>
      <c r="F4348" s="396"/>
      <c r="G4348" s="396"/>
      <c r="K4348" s="370"/>
      <c r="N4348" s="370"/>
    </row>
    <row r="4349" spans="1:14" s="347" customFormat="1" x14ac:dyDescent="0.25">
      <c r="A4349" s="369">
        <v>44449</v>
      </c>
      <c r="B4349" s="347">
        <f>+MONTH(A4349)</f>
        <v>9</v>
      </c>
      <c r="C4349" s="347">
        <v>115</v>
      </c>
      <c r="D4349" s="340" t="str">
        <f>VLOOKUP(C4349,Plan!A$1:B$65542,2,0)</f>
        <v>Disponible Cali B.Chile</v>
      </c>
      <c r="E4349" s="341">
        <f>+F4349-G4349</f>
        <v>60000</v>
      </c>
      <c r="F4349" s="396">
        <v>60000</v>
      </c>
      <c r="G4349" s="396">
        <v>0</v>
      </c>
      <c r="H4349" t="s">
        <v>1998</v>
      </c>
      <c r="I4349" s="347" t="s">
        <v>131</v>
      </c>
      <c r="K4349" s="370"/>
      <c r="N4349" s="370"/>
    </row>
    <row r="4350" spans="1:14" s="347" customFormat="1" x14ac:dyDescent="0.25">
      <c r="A4350" s="369">
        <f>+A4349</f>
        <v>44449</v>
      </c>
      <c r="B4350" s="347">
        <f>+B4349</f>
        <v>9</v>
      </c>
      <c r="C4350" s="347">
        <v>216</v>
      </c>
      <c r="D4350" s="340" t="str">
        <f>VLOOKUP(C4350,Plan!A$1:B$65542,2,0)</f>
        <v>Cuenta por Pagar a Administración Colectas</v>
      </c>
      <c r="E4350" s="341">
        <f>+F4350-G4350</f>
        <v>-60000</v>
      </c>
      <c r="F4350" s="396">
        <v>0</v>
      </c>
      <c r="G4350" s="396">
        <f>+F4349</f>
        <v>60000</v>
      </c>
      <c r="H4350" t="str">
        <f>+H4349</f>
        <v>Colecta Marcela Rebeca Pinto Zepeda</v>
      </c>
      <c r="I4350" s="347" t="s">
        <v>131</v>
      </c>
      <c r="K4350" s="370"/>
      <c r="N4350" s="370"/>
    </row>
    <row r="4351" spans="1:14" s="347" customFormat="1" x14ac:dyDescent="0.25">
      <c r="A4351" s="369"/>
      <c r="E4351" s="396"/>
      <c r="F4351" s="396"/>
      <c r="G4351" s="396"/>
      <c r="K4351" s="370"/>
      <c r="N4351" s="370"/>
    </row>
    <row r="4352" spans="1:14" s="347" customFormat="1" x14ac:dyDescent="0.25">
      <c r="A4352" s="369">
        <v>44449</v>
      </c>
      <c r="B4352" s="347">
        <f>+MONTH(A4352)</f>
        <v>9</v>
      </c>
      <c r="C4352" s="347">
        <v>115</v>
      </c>
      <c r="D4352" s="340" t="str">
        <f>VLOOKUP(C4352,Plan!A$1:B$65542,2,0)</f>
        <v>Disponible Cali B.Chile</v>
      </c>
      <c r="E4352" s="341">
        <f>+F4352-G4352</f>
        <v>30000</v>
      </c>
      <c r="F4352" s="396">
        <v>30000</v>
      </c>
      <c r="G4352" s="396">
        <v>0</v>
      </c>
      <c r="H4352" s="428" t="s">
        <v>1066</v>
      </c>
      <c r="I4352" s="347" t="s">
        <v>131</v>
      </c>
      <c r="K4352" s="370"/>
      <c r="N4352" s="370"/>
    </row>
    <row r="4353" spans="1:14" s="347" customFormat="1" x14ac:dyDescent="0.25">
      <c r="A4353" s="369">
        <f>+A4352</f>
        <v>44449</v>
      </c>
      <c r="B4353" s="347">
        <f>+B4352</f>
        <v>9</v>
      </c>
      <c r="C4353" s="347">
        <v>1222</v>
      </c>
      <c r="D4353" s="340" t="str">
        <f>VLOOKUP(C4353,Plan!A$1:B$65542,2,0)</f>
        <v>Otros Valores -Oficina y Transferencias (249)</v>
      </c>
      <c r="E4353" s="341">
        <f>+F4353-G4353</f>
        <v>-30000</v>
      </c>
      <c r="F4353" s="396">
        <v>0</v>
      </c>
      <c r="G4353" s="396">
        <f>+F4352</f>
        <v>30000</v>
      </c>
      <c r="H4353" s="428" t="str">
        <f>+H4352</f>
        <v>Marie Solange Vinet Homar / 249</v>
      </c>
      <c r="I4353" s="347" t="s">
        <v>131</v>
      </c>
      <c r="K4353" s="370"/>
      <c r="N4353" s="370"/>
    </row>
    <row r="4354" spans="1:14" s="347" customFormat="1" x14ac:dyDescent="0.25">
      <c r="A4354" s="369"/>
      <c r="E4354" s="396"/>
      <c r="F4354" s="396"/>
      <c r="G4354" s="396"/>
      <c r="K4354" s="370"/>
      <c r="N4354" s="370"/>
    </row>
    <row r="4355" spans="1:14" s="347" customFormat="1" x14ac:dyDescent="0.25">
      <c r="A4355" s="369">
        <v>44449</v>
      </c>
      <c r="B4355" s="347">
        <f>+MONTH(A4355)</f>
        <v>9</v>
      </c>
      <c r="C4355" s="347">
        <v>115</v>
      </c>
      <c r="D4355" s="340" t="str">
        <f>VLOOKUP(C4355,Plan!A$1:B$65542,2,0)</f>
        <v>Disponible Cali B.Chile</v>
      </c>
      <c r="E4355" s="341">
        <f>+F4355-G4355</f>
        <v>30000</v>
      </c>
      <c r="F4355" s="396">
        <v>30000</v>
      </c>
      <c r="G4355" s="396">
        <v>0</v>
      </c>
      <c r="H4355" t="s">
        <v>1015</v>
      </c>
      <c r="I4355" s="347" t="s">
        <v>131</v>
      </c>
      <c r="K4355" s="370"/>
      <c r="N4355" s="370"/>
    </row>
    <row r="4356" spans="1:14" s="347" customFormat="1" x14ac:dyDescent="0.25">
      <c r="A4356" s="369">
        <f>+A4355</f>
        <v>44449</v>
      </c>
      <c r="B4356" s="347">
        <f>+B4355</f>
        <v>9</v>
      </c>
      <c r="C4356" s="347">
        <v>1222</v>
      </c>
      <c r="D4356" s="340" t="str">
        <f>VLOOKUP(C4356,Plan!A$1:B$65542,2,0)</f>
        <v>Otros Valores -Oficina y Transferencias (249)</v>
      </c>
      <c r="E4356" s="341">
        <f>+F4356-G4356</f>
        <v>-30000</v>
      </c>
      <c r="F4356" s="396">
        <v>0</v>
      </c>
      <c r="G4356" s="396">
        <f>+F4355</f>
        <v>30000</v>
      </c>
      <c r="H4356" t="str">
        <f>+H4355</f>
        <v>Enrique Hurtado Ruiz-Tagle / 249</v>
      </c>
      <c r="I4356" s="347" t="s">
        <v>131</v>
      </c>
      <c r="K4356" s="370"/>
      <c r="N4356" s="370"/>
    </row>
    <row r="4357" spans="1:14" s="347" customFormat="1" x14ac:dyDescent="0.25">
      <c r="A4357" s="369"/>
      <c r="E4357" s="396"/>
      <c r="F4357" s="396"/>
      <c r="G4357" s="396"/>
      <c r="K4357" s="370"/>
      <c r="N4357" s="370"/>
    </row>
    <row r="4358" spans="1:14" s="347" customFormat="1" x14ac:dyDescent="0.25">
      <c r="A4358" s="369">
        <v>44449</v>
      </c>
      <c r="B4358" s="347">
        <f>+MONTH(A4358)</f>
        <v>9</v>
      </c>
      <c r="C4358" s="347">
        <v>115</v>
      </c>
      <c r="D4358" s="340" t="str">
        <f>VLOOKUP(C4358,Plan!A$1:B$65542,2,0)</f>
        <v>Disponible Cali B.Chile</v>
      </c>
      <c r="E4358" s="341">
        <f>+F4358-G4358</f>
        <v>17000</v>
      </c>
      <c r="F4358" s="396">
        <v>17000</v>
      </c>
      <c r="G4358" s="396">
        <v>0</v>
      </c>
      <c r="H4358" t="s">
        <v>1016</v>
      </c>
      <c r="I4358" s="347" t="s">
        <v>131</v>
      </c>
      <c r="K4358" s="370"/>
      <c r="N4358" s="370"/>
    </row>
    <row r="4359" spans="1:14" s="347" customFormat="1" x14ac:dyDescent="0.25">
      <c r="A4359" s="369">
        <f>+A4358</f>
        <v>44449</v>
      </c>
      <c r="B4359" s="347">
        <f>+B4358</f>
        <v>9</v>
      </c>
      <c r="C4359" s="347">
        <v>1222</v>
      </c>
      <c r="D4359" s="340" t="str">
        <f>VLOOKUP(C4359,Plan!A$1:B$65542,2,0)</f>
        <v>Otros Valores -Oficina y Transferencias (249)</v>
      </c>
      <c r="E4359" s="341">
        <f>+F4359-G4359</f>
        <v>-17000</v>
      </c>
      <c r="F4359" s="396">
        <v>0</v>
      </c>
      <c r="G4359" s="396">
        <f>+F4358</f>
        <v>17000</v>
      </c>
      <c r="H4359" t="str">
        <f>+H4358</f>
        <v>Alejandra Pérez Fabres / 249</v>
      </c>
      <c r="I4359" s="347" t="s">
        <v>131</v>
      </c>
      <c r="K4359" s="370"/>
      <c r="N4359" s="370"/>
    </row>
    <row r="4360" spans="1:14" s="347" customFormat="1" x14ac:dyDescent="0.25">
      <c r="A4360" s="369"/>
      <c r="E4360" s="396"/>
      <c r="F4360" s="396"/>
      <c r="G4360" s="396"/>
      <c r="K4360" s="370"/>
      <c r="N4360" s="370"/>
    </row>
    <row r="4361" spans="1:14" s="347" customFormat="1" x14ac:dyDescent="0.25">
      <c r="A4361" s="369">
        <v>44449</v>
      </c>
      <c r="B4361" s="347">
        <f>+MONTH(A4361)</f>
        <v>9</v>
      </c>
      <c r="C4361" s="347">
        <v>115</v>
      </c>
      <c r="D4361" s="340" t="str">
        <f>VLOOKUP(C4361,Plan!A$1:B$65542,2,0)</f>
        <v>Disponible Cali B.Chile</v>
      </c>
      <c r="E4361" s="341">
        <f>+F4361-G4361</f>
        <v>65000</v>
      </c>
      <c r="F4361" s="396">
        <v>65000</v>
      </c>
      <c r="G4361" s="396">
        <v>0</v>
      </c>
      <c r="H4361" t="s">
        <v>550</v>
      </c>
      <c r="I4361" s="347" t="s">
        <v>131</v>
      </c>
      <c r="K4361" s="370"/>
      <c r="N4361" s="370"/>
    </row>
    <row r="4362" spans="1:14" s="347" customFormat="1" x14ac:dyDescent="0.25">
      <c r="A4362" s="369">
        <f>+A4361</f>
        <v>44449</v>
      </c>
      <c r="B4362" s="347">
        <f>+B4361</f>
        <v>9</v>
      </c>
      <c r="C4362" s="347">
        <v>1217</v>
      </c>
      <c r="D4362" s="340" t="str">
        <f>VLOOKUP(C4362,Plan!A$1:B$65542,2,0)</f>
        <v>Otros Valores -Oficina y Transferencias (248)</v>
      </c>
      <c r="E4362" s="341">
        <f>+F4362-G4362</f>
        <v>-65000</v>
      </c>
      <c r="F4362" s="396">
        <v>0</v>
      </c>
      <c r="G4362" s="396">
        <f>+F4361</f>
        <v>65000</v>
      </c>
      <c r="H4362" t="str">
        <f>+H4361</f>
        <v>Leonardo Robles / 248</v>
      </c>
      <c r="I4362" s="347" t="s">
        <v>131</v>
      </c>
      <c r="K4362" s="370"/>
      <c r="N4362" s="370"/>
    </row>
    <row r="4363" spans="1:14" s="347" customFormat="1" x14ac:dyDescent="0.25">
      <c r="A4363" s="369"/>
      <c r="E4363" s="396"/>
      <c r="F4363" s="396"/>
      <c r="G4363" s="396"/>
      <c r="K4363" s="370"/>
      <c r="N4363" s="370"/>
    </row>
    <row r="4364" spans="1:14" s="347" customFormat="1" x14ac:dyDescent="0.25">
      <c r="A4364" s="369">
        <v>44452</v>
      </c>
      <c r="B4364" s="347">
        <f>+MONTH(A4364)</f>
        <v>9</v>
      </c>
      <c r="C4364" s="347">
        <v>115</v>
      </c>
      <c r="D4364" s="340" t="str">
        <f>VLOOKUP(C4364,Plan!A$1:B$65542,2,0)</f>
        <v>Disponible Cali B.Chile</v>
      </c>
      <c r="E4364" s="341">
        <f>+F4364-G4364</f>
        <v>50000</v>
      </c>
      <c r="F4364" s="396">
        <v>50000</v>
      </c>
      <c r="G4364" s="396">
        <v>0</v>
      </c>
      <c r="H4364" t="s">
        <v>995</v>
      </c>
      <c r="I4364" s="347" t="s">
        <v>131</v>
      </c>
      <c r="K4364" s="370"/>
      <c r="N4364" s="370"/>
    </row>
    <row r="4365" spans="1:14" s="347" customFormat="1" x14ac:dyDescent="0.25">
      <c r="A4365" s="369">
        <f>+A4364</f>
        <v>44452</v>
      </c>
      <c r="B4365" s="347">
        <f>+B4364</f>
        <v>9</v>
      </c>
      <c r="C4365" s="347">
        <v>1222</v>
      </c>
      <c r="D4365" s="340" t="str">
        <f>VLOOKUP(C4365,Plan!A$1:B$65542,2,0)</f>
        <v>Otros Valores -Oficina y Transferencias (249)</v>
      </c>
      <c r="E4365" s="341">
        <f>+F4365-G4365</f>
        <v>-50000</v>
      </c>
      <c r="F4365" s="396">
        <v>0</v>
      </c>
      <c r="G4365" s="396">
        <f>+F4364</f>
        <v>50000</v>
      </c>
      <c r="H4365" t="str">
        <f>+H4364</f>
        <v>Francisco Salazar González / 249</v>
      </c>
      <c r="I4365" s="347" t="s">
        <v>131</v>
      </c>
      <c r="K4365" s="370"/>
      <c r="N4365" s="370"/>
    </row>
    <row r="4366" spans="1:14" s="347" customFormat="1" x14ac:dyDescent="0.25">
      <c r="A4366" s="369"/>
      <c r="E4366" s="396"/>
      <c r="F4366" s="396"/>
      <c r="G4366" s="396"/>
      <c r="K4366" s="370"/>
      <c r="N4366" s="370"/>
    </row>
    <row r="4367" spans="1:14" s="347" customFormat="1" x14ac:dyDescent="0.25">
      <c r="A4367" s="369">
        <v>44452</v>
      </c>
      <c r="B4367" s="347">
        <f>+MONTH(A4367)</f>
        <v>9</v>
      </c>
      <c r="C4367" s="347">
        <v>115</v>
      </c>
      <c r="D4367" s="340" t="str">
        <f>VLOOKUP(C4367,Plan!A$1:B$65542,2,0)</f>
        <v>Disponible Cali B.Chile</v>
      </c>
      <c r="E4367" s="341">
        <f>+F4367-G4367</f>
        <v>200000</v>
      </c>
      <c r="F4367" s="396">
        <v>200000</v>
      </c>
      <c r="G4367" s="396">
        <v>0</v>
      </c>
      <c r="H4367" t="s">
        <v>1994</v>
      </c>
      <c r="I4367" s="347" t="s">
        <v>131</v>
      </c>
      <c r="K4367" s="370"/>
      <c r="N4367" s="370"/>
    </row>
    <row r="4368" spans="1:14" s="347" customFormat="1" x14ac:dyDescent="0.25">
      <c r="A4368" s="369">
        <f>+A4367</f>
        <v>44452</v>
      </c>
      <c r="B4368" s="347">
        <f>+B4367</f>
        <v>9</v>
      </c>
      <c r="C4368" s="347">
        <v>3210</v>
      </c>
      <c r="D4368" s="340" t="str">
        <f>VLOOKUP(C4368,Plan!A$1:B$65542,2,0)</f>
        <v>Donacion Construccion</v>
      </c>
      <c r="E4368" s="341">
        <f>+F4368-G4368</f>
        <v>-200000</v>
      </c>
      <c r="F4368" s="396">
        <v>0</v>
      </c>
      <c r="G4368" s="396">
        <f>+F4367</f>
        <v>200000</v>
      </c>
      <c r="H4368" t="str">
        <f>+H4367</f>
        <v>Rebeca Ayala Marfil / Azul</v>
      </c>
      <c r="I4368" s="347" t="s">
        <v>131</v>
      </c>
      <c r="K4368" s="370"/>
      <c r="N4368" s="370"/>
    </row>
    <row r="4369" spans="1:14" s="347" customFormat="1" x14ac:dyDescent="0.25">
      <c r="A4369" s="369"/>
      <c r="E4369" s="396"/>
      <c r="F4369" s="396"/>
      <c r="G4369" s="396"/>
      <c r="K4369" s="370"/>
      <c r="N4369" s="370"/>
    </row>
    <row r="4370" spans="1:14" s="347" customFormat="1" x14ac:dyDescent="0.25">
      <c r="A4370" s="369">
        <v>44452</v>
      </c>
      <c r="B4370" s="347">
        <f>+MONTH(A4370)</f>
        <v>9</v>
      </c>
      <c r="C4370" s="347">
        <v>115</v>
      </c>
      <c r="D4370" s="340" t="str">
        <f>VLOOKUP(C4370,Plan!A$1:B$65542,2,0)</f>
        <v>Disponible Cali B.Chile</v>
      </c>
      <c r="E4370" s="341">
        <f>+F4370-G4370</f>
        <v>50000</v>
      </c>
      <c r="F4370" s="396">
        <v>50000</v>
      </c>
      <c r="G4370" s="396">
        <v>0</v>
      </c>
      <c r="H4370" t="s">
        <v>2078</v>
      </c>
      <c r="I4370" s="347" t="s">
        <v>131</v>
      </c>
      <c r="K4370" s="370"/>
      <c r="N4370" s="370"/>
    </row>
    <row r="4371" spans="1:14" s="347" customFormat="1" x14ac:dyDescent="0.25">
      <c r="A4371" s="369">
        <f>+A4370</f>
        <v>44452</v>
      </c>
      <c r="B4371" s="347">
        <f>+B4370</f>
        <v>9</v>
      </c>
      <c r="C4371" s="347">
        <v>3210</v>
      </c>
      <c r="D4371" s="340" t="str">
        <f>VLOOKUP(C4371,Plan!A$1:B$65542,2,0)</f>
        <v>Donacion Construccion</v>
      </c>
      <c r="E4371" s="341">
        <f>+F4371-G4371</f>
        <v>-50000</v>
      </c>
      <c r="F4371" s="396">
        <v>0</v>
      </c>
      <c r="G4371" s="396">
        <f>+F4370</f>
        <v>50000</v>
      </c>
      <c r="H4371" t="str">
        <f>+H4370</f>
        <v>María Soledad Errázuriz Cortés / Azul</v>
      </c>
      <c r="I4371" s="347" t="s">
        <v>131</v>
      </c>
      <c r="K4371" s="370"/>
      <c r="N4371" s="370"/>
    </row>
    <row r="4372" spans="1:14" s="347" customFormat="1" x14ac:dyDescent="0.25">
      <c r="A4372" s="369"/>
      <c r="E4372" s="396"/>
      <c r="F4372" s="396"/>
      <c r="G4372" s="396"/>
      <c r="K4372" s="370"/>
      <c r="N4372" s="370"/>
    </row>
    <row r="4373" spans="1:14" s="347" customFormat="1" x14ac:dyDescent="0.25">
      <c r="A4373" s="369">
        <v>44452</v>
      </c>
      <c r="B4373" s="347">
        <f>+MONTH(A4373)</f>
        <v>9</v>
      </c>
      <c r="C4373" s="347">
        <v>115</v>
      </c>
      <c r="D4373" s="340" t="str">
        <f>VLOOKUP(C4373,Plan!A$1:B$65542,2,0)</f>
        <v>Disponible Cali B.Chile</v>
      </c>
      <c r="E4373" s="341">
        <f>+F4373-G4373</f>
        <v>40000</v>
      </c>
      <c r="F4373" s="396">
        <v>40000</v>
      </c>
      <c r="G4373" s="396">
        <v>0</v>
      </c>
      <c r="H4373" t="s">
        <v>1011</v>
      </c>
      <c r="I4373" s="347" t="s">
        <v>131</v>
      </c>
      <c r="K4373" s="370"/>
      <c r="N4373" s="370"/>
    </row>
    <row r="4374" spans="1:14" s="347" customFormat="1" x14ac:dyDescent="0.25">
      <c r="A4374" s="369">
        <f>+A4373</f>
        <v>44452</v>
      </c>
      <c r="B4374" s="347">
        <f>+B4373</f>
        <v>9</v>
      </c>
      <c r="C4374" s="347">
        <v>1222</v>
      </c>
      <c r="D4374" s="340" t="str">
        <f>VLOOKUP(C4374,Plan!A$1:B$65542,2,0)</f>
        <v>Otros Valores -Oficina y Transferencias (249)</v>
      </c>
      <c r="E4374" s="341">
        <f>+F4374-G4374</f>
        <v>-40000</v>
      </c>
      <c r="F4374" s="396">
        <v>0</v>
      </c>
      <c r="G4374" s="396">
        <f>+F4373</f>
        <v>40000</v>
      </c>
      <c r="H4374" t="str">
        <f>+H4373</f>
        <v>Mauricio Hargous Larraín / 249</v>
      </c>
      <c r="I4374" s="347" t="s">
        <v>131</v>
      </c>
      <c r="K4374" s="370"/>
      <c r="N4374" s="370"/>
    </row>
    <row r="4375" spans="1:14" s="347" customFormat="1" x14ac:dyDescent="0.25">
      <c r="A4375" s="369"/>
      <c r="E4375" s="396"/>
      <c r="F4375" s="396"/>
      <c r="G4375" s="396"/>
      <c r="K4375" s="370"/>
      <c r="N4375" s="370"/>
    </row>
    <row r="4376" spans="1:14" s="347" customFormat="1" x14ac:dyDescent="0.25">
      <c r="A4376" s="369">
        <v>44452</v>
      </c>
      <c r="B4376" s="347">
        <f>+MONTH(A4376)</f>
        <v>9</v>
      </c>
      <c r="C4376" s="347">
        <v>115</v>
      </c>
      <c r="D4376" s="340" t="str">
        <f>VLOOKUP(C4376,Plan!A$1:B$65542,2,0)</f>
        <v>Disponible Cali B.Chile</v>
      </c>
      <c r="E4376" s="341">
        <f>+F4376-G4376</f>
        <v>2000</v>
      </c>
      <c r="F4376" s="396">
        <v>2000</v>
      </c>
      <c r="G4376" s="396">
        <v>0</v>
      </c>
      <c r="H4376" t="s">
        <v>1010</v>
      </c>
      <c r="I4376" s="347" t="s">
        <v>131</v>
      </c>
      <c r="K4376" s="370"/>
      <c r="N4376" s="370"/>
    </row>
    <row r="4377" spans="1:14" s="347" customFormat="1" x14ac:dyDescent="0.25">
      <c r="A4377" s="369">
        <f>+A4376</f>
        <v>44452</v>
      </c>
      <c r="B4377" s="347">
        <f>+B4376</f>
        <v>9</v>
      </c>
      <c r="C4377" s="347">
        <v>216</v>
      </c>
      <c r="D4377" s="340" t="str">
        <f>VLOOKUP(C4377,Plan!A$1:B$65542,2,0)</f>
        <v>Cuenta por Pagar a Administración Colectas</v>
      </c>
      <c r="E4377" s="341">
        <f>+F4377-G4377</f>
        <v>-2000</v>
      </c>
      <c r="F4377" s="396">
        <v>0</v>
      </c>
      <c r="G4377" s="396">
        <f>+F4376</f>
        <v>2000</v>
      </c>
      <c r="H4377" t="str">
        <f>+H4376</f>
        <v>Colecta Raimundo Barros</v>
      </c>
      <c r="I4377" s="347" t="s">
        <v>131</v>
      </c>
      <c r="K4377" s="370"/>
      <c r="N4377" s="370"/>
    </row>
    <row r="4378" spans="1:14" s="347" customFormat="1" x14ac:dyDescent="0.25">
      <c r="A4378" s="369"/>
      <c r="E4378" s="396"/>
      <c r="F4378" s="396"/>
      <c r="G4378" s="396"/>
      <c r="K4378" s="370"/>
      <c r="N4378" s="370"/>
    </row>
    <row r="4379" spans="1:14" s="347" customFormat="1" x14ac:dyDescent="0.25">
      <c r="A4379" s="369">
        <v>44452</v>
      </c>
      <c r="B4379" s="347">
        <f>+MONTH(A4379)</f>
        <v>9</v>
      </c>
      <c r="C4379" s="347">
        <v>115</v>
      </c>
      <c r="D4379" s="340" t="str">
        <f>VLOOKUP(C4379,Plan!A$1:B$65542,2,0)</f>
        <v>Disponible Cali B.Chile</v>
      </c>
      <c r="E4379" s="341">
        <f>+F4379-G4379</f>
        <v>20000</v>
      </c>
      <c r="F4379" s="396">
        <v>20000</v>
      </c>
      <c r="G4379" s="396">
        <v>0</v>
      </c>
      <c r="H4379" t="s">
        <v>1022</v>
      </c>
      <c r="I4379" s="347" t="s">
        <v>131</v>
      </c>
      <c r="K4379" s="370"/>
      <c r="N4379" s="370"/>
    </row>
    <row r="4380" spans="1:14" s="347" customFormat="1" x14ac:dyDescent="0.25">
      <c r="A4380" s="369">
        <f>+A4379</f>
        <v>44452</v>
      </c>
      <c r="B4380" s="347">
        <f>+B4379</f>
        <v>9</v>
      </c>
      <c r="C4380" s="347">
        <v>3210</v>
      </c>
      <c r="D4380" s="340" t="str">
        <f>VLOOKUP(C4380,Plan!A$1:B$65542,2,0)</f>
        <v>Donacion Construccion</v>
      </c>
      <c r="E4380" s="341">
        <f>+F4380-G4380</f>
        <v>-20000</v>
      </c>
      <c r="F4380" s="396">
        <v>0</v>
      </c>
      <c r="G4380" s="396">
        <f>+F4379</f>
        <v>20000</v>
      </c>
      <c r="H4380" t="str">
        <f>+H4379</f>
        <v>M.Graciela Garrido C. / Azul</v>
      </c>
      <c r="I4380" s="347" t="s">
        <v>131</v>
      </c>
      <c r="K4380" s="370"/>
      <c r="N4380" s="370"/>
    </row>
    <row r="4381" spans="1:14" s="347" customFormat="1" x14ac:dyDescent="0.25">
      <c r="A4381" s="369"/>
      <c r="E4381" s="396"/>
      <c r="F4381" s="396"/>
      <c r="G4381" s="396"/>
      <c r="K4381" s="370"/>
      <c r="N4381" s="370"/>
    </row>
    <row r="4382" spans="1:14" s="347" customFormat="1" x14ac:dyDescent="0.25">
      <c r="A4382" s="369">
        <v>44452</v>
      </c>
      <c r="B4382" s="347">
        <f>+MONTH(A4382)</f>
        <v>9</v>
      </c>
      <c r="C4382" s="347">
        <v>115</v>
      </c>
      <c r="D4382" s="340" t="str">
        <f>VLOOKUP(C4382,Plan!A$1:B$65542,2,0)</f>
        <v>Disponible Cali B.Chile</v>
      </c>
      <c r="E4382" s="341">
        <f>+F4382-G4382</f>
        <v>25000</v>
      </c>
      <c r="F4382" s="396">
        <v>25000</v>
      </c>
      <c r="G4382" s="396">
        <v>0</v>
      </c>
      <c r="H4382" t="s">
        <v>1023</v>
      </c>
      <c r="I4382" s="347" t="s">
        <v>131</v>
      </c>
      <c r="K4382" s="370"/>
      <c r="N4382" s="370"/>
    </row>
    <row r="4383" spans="1:14" s="347" customFormat="1" x14ac:dyDescent="0.25">
      <c r="A4383" s="369">
        <f>+A4382</f>
        <v>44452</v>
      </c>
      <c r="B4383" s="347">
        <f>+B4382</f>
        <v>9</v>
      </c>
      <c r="C4383" s="347">
        <v>1222</v>
      </c>
      <c r="D4383" s="340" t="str">
        <f>VLOOKUP(C4383,Plan!A$1:B$65542,2,0)</f>
        <v>Otros Valores -Oficina y Transferencias (249)</v>
      </c>
      <c r="E4383" s="341">
        <f>+F4383-G4383</f>
        <v>-25000</v>
      </c>
      <c r="F4383" s="396">
        <v>0</v>
      </c>
      <c r="G4383" s="396">
        <f>+F4382</f>
        <v>25000</v>
      </c>
      <c r="H4383" t="str">
        <f>+H4382</f>
        <v>M.Graciela Garrido C. / 249</v>
      </c>
      <c r="I4383" s="347" t="s">
        <v>131</v>
      </c>
      <c r="K4383" s="370"/>
      <c r="N4383" s="370"/>
    </row>
    <row r="4384" spans="1:14" s="347" customFormat="1" x14ac:dyDescent="0.25">
      <c r="A4384" s="369"/>
      <c r="E4384" s="396"/>
      <c r="F4384" s="396"/>
      <c r="G4384" s="396"/>
      <c r="K4384" s="370"/>
      <c r="N4384" s="370"/>
    </row>
    <row r="4385" spans="1:14" s="347" customFormat="1" x14ac:dyDescent="0.25">
      <c r="A4385" s="369">
        <v>44452</v>
      </c>
      <c r="B4385" s="347">
        <f>+MONTH(A4385)</f>
        <v>9</v>
      </c>
      <c r="C4385" s="347">
        <v>115</v>
      </c>
      <c r="D4385" s="340" t="str">
        <f>VLOOKUP(C4385,Plan!A$1:B$65542,2,0)</f>
        <v>Disponible Cali B.Chile</v>
      </c>
      <c r="E4385" s="341">
        <f>+F4385-G4385</f>
        <v>7000</v>
      </c>
      <c r="F4385" s="396">
        <v>7000</v>
      </c>
      <c r="G4385" s="396">
        <v>0</v>
      </c>
      <c r="H4385" t="s">
        <v>1078</v>
      </c>
      <c r="I4385" s="347" t="s">
        <v>131</v>
      </c>
      <c r="K4385" s="370"/>
      <c r="N4385" s="370"/>
    </row>
    <row r="4386" spans="1:14" s="347" customFormat="1" x14ac:dyDescent="0.25">
      <c r="A4386" s="369">
        <f>+A4385</f>
        <v>44452</v>
      </c>
      <c r="B4386" s="347">
        <f>+B4385</f>
        <v>9</v>
      </c>
      <c r="C4386" s="347">
        <v>1222</v>
      </c>
      <c r="D4386" s="340" t="str">
        <f>VLOOKUP(C4386,Plan!A$1:B$65542,2,0)</f>
        <v>Otros Valores -Oficina y Transferencias (249)</v>
      </c>
      <c r="E4386" s="341">
        <f>+F4386-G4386</f>
        <v>-7000</v>
      </c>
      <c r="F4386" s="396">
        <v>0</v>
      </c>
      <c r="G4386" s="396">
        <f>+F4385</f>
        <v>7000</v>
      </c>
      <c r="H4386" t="str">
        <f>+H4385</f>
        <v>Isabel Margarita Cortés Testart/249</v>
      </c>
      <c r="I4386" s="347" t="s">
        <v>131</v>
      </c>
      <c r="K4386" s="370"/>
      <c r="N4386" s="370"/>
    </row>
    <row r="4387" spans="1:14" s="347" customFormat="1" x14ac:dyDescent="0.25">
      <c r="A4387" s="369"/>
      <c r="E4387" s="396"/>
      <c r="F4387" s="396"/>
      <c r="G4387" s="396"/>
      <c r="K4387" s="370"/>
      <c r="N4387" s="370"/>
    </row>
    <row r="4388" spans="1:14" s="347" customFormat="1" x14ac:dyDescent="0.25">
      <c r="A4388" s="369">
        <v>44452</v>
      </c>
      <c r="B4388" s="347">
        <f>+MONTH(A4388)</f>
        <v>9</v>
      </c>
      <c r="C4388" s="347">
        <v>115</v>
      </c>
      <c r="D4388" s="340" t="str">
        <f>VLOOKUP(C4388,Plan!A$1:B$65542,2,0)</f>
        <v>Disponible Cali B.Chile</v>
      </c>
      <c r="E4388" s="341">
        <f>+F4388-G4388</f>
        <v>1000000</v>
      </c>
      <c r="F4388" s="396">
        <v>1000000</v>
      </c>
      <c r="G4388" s="396">
        <v>0</v>
      </c>
      <c r="H4388" t="s">
        <v>1063</v>
      </c>
      <c r="I4388" s="347" t="s">
        <v>131</v>
      </c>
      <c r="K4388" s="370"/>
      <c r="N4388" s="370"/>
    </row>
    <row r="4389" spans="1:14" s="347" customFormat="1" x14ac:dyDescent="0.25">
      <c r="A4389" s="369">
        <f>+A4388</f>
        <v>44452</v>
      </c>
      <c r="B4389" s="347">
        <f>+B4388</f>
        <v>9</v>
      </c>
      <c r="C4389" s="347">
        <v>3210</v>
      </c>
      <c r="D4389" s="340" t="str">
        <f>VLOOKUP(C4389,Plan!A$1:B$65542,2,0)</f>
        <v>Donacion Construccion</v>
      </c>
      <c r="E4389" s="341">
        <f>+F4389-G4389</f>
        <v>-1000000</v>
      </c>
      <c r="F4389" s="396">
        <v>0</v>
      </c>
      <c r="G4389" s="396">
        <f>+F4388</f>
        <v>1000000</v>
      </c>
      <c r="H4389" t="str">
        <f>+H4388</f>
        <v>Jorge Awad M. / Azul</v>
      </c>
      <c r="I4389" s="347" t="s">
        <v>131</v>
      </c>
      <c r="K4389" s="370"/>
      <c r="N4389" s="370"/>
    </row>
    <row r="4390" spans="1:14" s="347" customFormat="1" x14ac:dyDescent="0.25">
      <c r="A4390" s="369"/>
      <c r="E4390" s="396"/>
      <c r="F4390" s="396"/>
      <c r="G4390" s="396"/>
      <c r="K4390" s="370"/>
      <c r="N4390" s="370"/>
    </row>
    <row r="4391" spans="1:14" s="347" customFormat="1" x14ac:dyDescent="0.25">
      <c r="A4391" s="369">
        <v>44452</v>
      </c>
      <c r="B4391" s="347">
        <f>+MONTH(A4391)</f>
        <v>9</v>
      </c>
      <c r="C4391" s="347">
        <v>115</v>
      </c>
      <c r="D4391" s="340" t="str">
        <f>VLOOKUP(C4391,Plan!A$1:B$65542,2,0)</f>
        <v>Disponible Cali B.Chile</v>
      </c>
      <c r="E4391" s="341">
        <f>+F4391-G4391</f>
        <v>25000</v>
      </c>
      <c r="F4391" s="396">
        <v>25000</v>
      </c>
      <c r="G4391" s="396">
        <v>0</v>
      </c>
      <c r="H4391" t="s">
        <v>980</v>
      </c>
      <c r="I4391" s="347" t="s">
        <v>131</v>
      </c>
      <c r="K4391" s="370"/>
      <c r="N4391" s="370"/>
    </row>
    <row r="4392" spans="1:14" s="347" customFormat="1" x14ac:dyDescent="0.25">
      <c r="A4392" s="369">
        <f>+A4391</f>
        <v>44452</v>
      </c>
      <c r="B4392" s="347">
        <f>+B4391</f>
        <v>9</v>
      </c>
      <c r="C4392" s="347">
        <v>1217</v>
      </c>
      <c r="D4392" s="340" t="str">
        <f>VLOOKUP(C4392,Plan!A$1:B$65542,2,0)</f>
        <v>Otros Valores -Oficina y Transferencias (248)</v>
      </c>
      <c r="E4392" s="341">
        <f>+F4392-G4392</f>
        <v>-25000</v>
      </c>
      <c r="F4392" s="396">
        <v>0</v>
      </c>
      <c r="G4392" s="396">
        <f>+F4391</f>
        <v>25000</v>
      </c>
      <c r="H4392" t="str">
        <f>+H4391</f>
        <v xml:space="preserve">Florencia García /248 </v>
      </c>
      <c r="I4392" s="347" t="s">
        <v>131</v>
      </c>
      <c r="K4392" s="370"/>
      <c r="N4392" s="370"/>
    </row>
    <row r="4393" spans="1:14" s="347" customFormat="1" x14ac:dyDescent="0.25">
      <c r="A4393" s="369"/>
      <c r="E4393" s="396"/>
      <c r="F4393" s="396"/>
      <c r="G4393" s="396"/>
      <c r="K4393" s="370"/>
      <c r="N4393" s="370"/>
    </row>
    <row r="4394" spans="1:14" s="347" customFormat="1" x14ac:dyDescent="0.25">
      <c r="A4394" s="369">
        <v>44453</v>
      </c>
      <c r="B4394" s="347">
        <f>+MONTH(A4394)</f>
        <v>9</v>
      </c>
      <c r="C4394" s="347">
        <v>115</v>
      </c>
      <c r="D4394" s="340" t="str">
        <f>VLOOKUP(C4394,Plan!A$1:B$65542,2,0)</f>
        <v>Disponible Cali B.Chile</v>
      </c>
      <c r="E4394" s="341">
        <f>+F4394-G4394</f>
        <v>16650</v>
      </c>
      <c r="F4394" s="396">
        <v>16650</v>
      </c>
      <c r="G4394" s="396">
        <v>0</v>
      </c>
      <c r="H4394" t="s">
        <v>2079</v>
      </c>
      <c r="I4394" s="347" t="s">
        <v>131</v>
      </c>
      <c r="K4394" s="370"/>
      <c r="N4394" s="370"/>
    </row>
    <row r="4395" spans="1:14" s="347" customFormat="1" x14ac:dyDescent="0.25">
      <c r="A4395" s="369">
        <f>+A4394</f>
        <v>44453</v>
      </c>
      <c r="B4395" s="347">
        <f>+B4394</f>
        <v>9</v>
      </c>
      <c r="C4395" s="347">
        <v>4170</v>
      </c>
      <c r="D4395" s="340" t="str">
        <f>VLOOKUP(C4395,Plan!A$1:B$65542,2,0)</f>
        <v>Cali otros</v>
      </c>
      <c r="E4395" s="341">
        <f>+F4395-G4395</f>
        <v>350</v>
      </c>
      <c r="F4395" s="396">
        <v>350</v>
      </c>
      <c r="G4395" s="396">
        <f>+F4393</f>
        <v>0</v>
      </c>
      <c r="H4395">
        <f>+H4393</f>
        <v>0</v>
      </c>
      <c r="I4395" s="347" t="s">
        <v>131</v>
      </c>
      <c r="K4395" s="370"/>
      <c r="N4395" s="370"/>
    </row>
    <row r="4396" spans="1:14" s="347" customFormat="1" x14ac:dyDescent="0.25">
      <c r="A4396" s="369">
        <f>+A4394</f>
        <v>44453</v>
      </c>
      <c r="B4396" s="347">
        <f>+B4394</f>
        <v>9</v>
      </c>
      <c r="C4396" s="347">
        <v>1222</v>
      </c>
      <c r="D4396" s="340" t="str">
        <f>VLOOKUP(C4396,Plan!A$1:B$65542,2,0)</f>
        <v>Otros Valores -Oficina y Transferencias (249)</v>
      </c>
      <c r="E4396" s="341">
        <f>+F4396-G4396</f>
        <v>-17000</v>
      </c>
      <c r="F4396" s="396">
        <v>0</v>
      </c>
      <c r="G4396" s="396">
        <v>17000</v>
      </c>
      <c r="H4396" t="str">
        <f>+H4394</f>
        <v>Carolina Reyes Dermer / 249 D.C.T.(M$17)10306033-8</v>
      </c>
      <c r="I4396" s="347" t="s">
        <v>131</v>
      </c>
      <c r="K4396" s="370"/>
      <c r="N4396" s="370"/>
    </row>
    <row r="4397" spans="1:14" s="347" customFormat="1" x14ac:dyDescent="0.25">
      <c r="A4397" s="369"/>
      <c r="E4397" s="396"/>
      <c r="F4397" s="396"/>
      <c r="G4397" s="396"/>
      <c r="K4397" s="370"/>
      <c r="N4397" s="370"/>
    </row>
    <row r="4398" spans="1:14" s="347" customFormat="1" x14ac:dyDescent="0.25">
      <c r="A4398" s="369">
        <v>44453</v>
      </c>
      <c r="B4398" s="347">
        <f>+MONTH(A4398)</f>
        <v>9</v>
      </c>
      <c r="C4398" s="347">
        <v>115</v>
      </c>
      <c r="D4398" s="340" t="str">
        <f>VLOOKUP(C4398,Plan!A$1:B$65542,2,0)</f>
        <v>Disponible Cali B.Chile</v>
      </c>
      <c r="E4398" s="341">
        <f>+F4398-G4398</f>
        <v>12732</v>
      </c>
      <c r="F4398" s="396">
        <v>12732</v>
      </c>
      <c r="G4398" s="396">
        <v>0</v>
      </c>
      <c r="H4398" t="s">
        <v>2080</v>
      </c>
      <c r="I4398" s="347" t="s">
        <v>131</v>
      </c>
      <c r="K4398" s="370"/>
      <c r="N4398" s="370"/>
    </row>
    <row r="4399" spans="1:14" s="347" customFormat="1" x14ac:dyDescent="0.25">
      <c r="A4399" s="369">
        <f>+A4398</f>
        <v>44453</v>
      </c>
      <c r="B4399" s="347">
        <f>+B4398</f>
        <v>9</v>
      </c>
      <c r="C4399" s="347">
        <v>4170</v>
      </c>
      <c r="D4399" s="340" t="str">
        <f>VLOOKUP(C4399,Plan!A$1:B$65542,2,0)</f>
        <v>Cali otros</v>
      </c>
      <c r="E4399" s="341">
        <f>+F4399-G4399</f>
        <v>268</v>
      </c>
      <c r="F4399" s="396">
        <v>268</v>
      </c>
      <c r="G4399" s="396">
        <f>+F4397</f>
        <v>0</v>
      </c>
      <c r="H4399" t="str">
        <f>+H4398</f>
        <v>M.Soledad Errázuriz Cortés/249  DCT(M$13)13658366-2</v>
      </c>
      <c r="I4399" s="347" t="s">
        <v>131</v>
      </c>
      <c r="K4399" s="370"/>
      <c r="N4399" s="370"/>
    </row>
    <row r="4400" spans="1:14" s="347" customFormat="1" x14ac:dyDescent="0.25">
      <c r="A4400" s="369">
        <f>+A4398</f>
        <v>44453</v>
      </c>
      <c r="B4400" s="347">
        <f>+B4398</f>
        <v>9</v>
      </c>
      <c r="C4400" s="347">
        <v>1222</v>
      </c>
      <c r="D4400" s="340" t="str">
        <f>VLOOKUP(C4400,Plan!A$1:B$65542,2,0)</f>
        <v>Otros Valores -Oficina y Transferencias (249)</v>
      </c>
      <c r="E4400" s="341">
        <f>+F4400-G4400</f>
        <v>-13000</v>
      </c>
      <c r="F4400" s="396">
        <v>0</v>
      </c>
      <c r="G4400" s="396">
        <v>13000</v>
      </c>
      <c r="H4400" t="str">
        <f>+H4398</f>
        <v>M.Soledad Errázuriz Cortés/249  DCT(M$13)13658366-2</v>
      </c>
      <c r="I4400" s="347" t="s">
        <v>131</v>
      </c>
      <c r="K4400" s="370"/>
      <c r="N4400" s="370"/>
    </row>
    <row r="4401" spans="1:14" s="347" customFormat="1" x14ac:dyDescent="0.25">
      <c r="A4401" s="369"/>
      <c r="E4401" s="396"/>
      <c r="F4401" s="396"/>
      <c r="G4401" s="396"/>
      <c r="K4401" s="370"/>
      <c r="N4401" s="370"/>
    </row>
    <row r="4402" spans="1:14" s="347" customFormat="1" x14ac:dyDescent="0.25">
      <c r="A4402" s="369">
        <v>44453</v>
      </c>
      <c r="B4402" s="347">
        <f>+MONTH(A4402)</f>
        <v>9</v>
      </c>
      <c r="C4402" s="347">
        <v>115</v>
      </c>
      <c r="D4402" s="340" t="str">
        <f>VLOOKUP(C4402,Plan!A$1:B$65542,2,0)</f>
        <v>Disponible Cali B.Chile</v>
      </c>
      <c r="E4402" s="341">
        <f>+F4402-G4402</f>
        <v>97941</v>
      </c>
      <c r="F4402" s="396">
        <v>97941</v>
      </c>
      <c r="G4402" s="396">
        <v>0</v>
      </c>
      <c r="H4402" t="s">
        <v>2081</v>
      </c>
      <c r="I4402" s="347" t="s">
        <v>131</v>
      </c>
      <c r="K4402" s="370"/>
      <c r="N4402" s="370"/>
    </row>
    <row r="4403" spans="1:14" s="347" customFormat="1" x14ac:dyDescent="0.25">
      <c r="A4403" s="369">
        <f>+A4402</f>
        <v>44453</v>
      </c>
      <c r="B4403" s="347">
        <f>+B4402</f>
        <v>9</v>
      </c>
      <c r="C4403" s="347">
        <v>3210</v>
      </c>
      <c r="D4403" s="340" t="str">
        <f>VLOOKUP(C4403,Plan!A$1:B$65542,2,0)</f>
        <v>Donacion Construccion</v>
      </c>
      <c r="E4403" s="341">
        <f>+F4403-G4403</f>
        <v>-97941</v>
      </c>
      <c r="F4403" s="396">
        <v>0</v>
      </c>
      <c r="G4403" s="396">
        <f>+F4402</f>
        <v>97941</v>
      </c>
      <c r="H4403" t="str">
        <f>+H4402</f>
        <v>Juan Guillermo Rodríguez Aris/DCT Azul(M$100)8868030-8</v>
      </c>
      <c r="I4403" s="347" t="s">
        <v>131</v>
      </c>
      <c r="K4403" s="370"/>
      <c r="N4403" s="370"/>
    </row>
    <row r="4404" spans="1:14" s="347" customFormat="1" x14ac:dyDescent="0.25">
      <c r="A4404" s="369"/>
      <c r="E4404" s="396"/>
      <c r="F4404" s="396"/>
      <c r="G4404" s="396"/>
      <c r="K4404" s="370"/>
      <c r="N4404" s="370"/>
    </row>
    <row r="4405" spans="1:14" s="347" customFormat="1" x14ac:dyDescent="0.25">
      <c r="A4405" s="369">
        <v>44453</v>
      </c>
      <c r="B4405" s="347">
        <f>+MONTH(A4405)</f>
        <v>9</v>
      </c>
      <c r="C4405" s="347">
        <v>115</v>
      </c>
      <c r="D4405" s="340" t="str">
        <f>VLOOKUP(C4405,Plan!A$1:B$65542,2,0)</f>
        <v>Disponible Cali B.Chile</v>
      </c>
      <c r="E4405" s="341">
        <f>+F4405-G4405</f>
        <v>4000</v>
      </c>
      <c r="F4405" s="396">
        <v>4000</v>
      </c>
      <c r="G4405" s="396">
        <v>0</v>
      </c>
      <c r="H4405" t="s">
        <v>2082</v>
      </c>
      <c r="I4405" s="347" t="s">
        <v>131</v>
      </c>
      <c r="K4405" s="370"/>
      <c r="N4405" s="370"/>
    </row>
    <row r="4406" spans="1:14" s="347" customFormat="1" x14ac:dyDescent="0.25">
      <c r="A4406" s="369">
        <f>+A4405</f>
        <v>44453</v>
      </c>
      <c r="B4406" s="347">
        <f>+B4405</f>
        <v>9</v>
      </c>
      <c r="C4406" s="347">
        <v>1222</v>
      </c>
      <c r="D4406" s="340" t="str">
        <f>VLOOKUP(C4406,Plan!A$1:B$65542,2,0)</f>
        <v>Otros Valores -Oficina y Transferencias (249)</v>
      </c>
      <c r="E4406" s="341">
        <f>+F4406-G4406</f>
        <v>-4000</v>
      </c>
      <c r="F4406" s="396">
        <v>0</v>
      </c>
      <c r="G4406" s="396">
        <f>+F4405</f>
        <v>4000</v>
      </c>
      <c r="H4406" t="str">
        <f>+H4405</f>
        <v>Blanca Lira Correa / 249</v>
      </c>
      <c r="I4406" s="347" t="s">
        <v>131</v>
      </c>
      <c r="K4406" s="370"/>
      <c r="N4406" s="370"/>
    </row>
    <row r="4407" spans="1:14" s="347" customFormat="1" x14ac:dyDescent="0.25">
      <c r="A4407" s="369"/>
      <c r="E4407" s="396"/>
      <c r="F4407" s="396"/>
      <c r="G4407" s="396"/>
      <c r="K4407" s="370"/>
      <c r="N4407" s="370"/>
    </row>
    <row r="4408" spans="1:14" s="347" customFormat="1" x14ac:dyDescent="0.25">
      <c r="A4408" s="369">
        <v>44454</v>
      </c>
      <c r="B4408" s="347">
        <f>+MONTH(A4408)</f>
        <v>9</v>
      </c>
      <c r="C4408" s="347">
        <v>115</v>
      </c>
      <c r="D4408" s="340" t="str">
        <f>VLOOKUP(C4408,Plan!A$1:B$65542,2,0)</f>
        <v>Disponible Cali B.Chile</v>
      </c>
      <c r="E4408" s="341">
        <f>+F4408-G4408</f>
        <v>50000</v>
      </c>
      <c r="F4408" s="396">
        <v>50000</v>
      </c>
      <c r="G4408" s="396">
        <v>0</v>
      </c>
      <c r="H4408" t="s">
        <v>1024</v>
      </c>
      <c r="I4408" s="347" t="s">
        <v>131</v>
      </c>
      <c r="K4408" s="370"/>
      <c r="N4408" s="370"/>
    </row>
    <row r="4409" spans="1:14" s="347" customFormat="1" x14ac:dyDescent="0.25">
      <c r="A4409" s="369">
        <f>+A4408</f>
        <v>44454</v>
      </c>
      <c r="B4409" s="347">
        <f>+B4408</f>
        <v>9</v>
      </c>
      <c r="C4409" s="347">
        <v>1222</v>
      </c>
      <c r="D4409" s="340" t="str">
        <f>VLOOKUP(C4409,Plan!A$1:B$65542,2,0)</f>
        <v>Otros Valores -Oficina y Transferencias (249)</v>
      </c>
      <c r="E4409" s="341">
        <f>+F4409-G4409</f>
        <v>-50000</v>
      </c>
      <c r="F4409" s="396">
        <v>0</v>
      </c>
      <c r="G4409" s="396">
        <f>+F4408</f>
        <v>50000</v>
      </c>
      <c r="H4409" t="str">
        <f>+H4408</f>
        <v>Bernardita Mujica Gutierrez  / 249</v>
      </c>
      <c r="I4409" s="347" t="s">
        <v>131</v>
      </c>
      <c r="K4409" s="370"/>
      <c r="N4409" s="370"/>
    </row>
    <row r="4410" spans="1:14" s="347" customFormat="1" x14ac:dyDescent="0.25">
      <c r="A4410" s="369"/>
      <c r="E4410" s="396"/>
      <c r="F4410" s="396"/>
      <c r="G4410" s="396"/>
      <c r="K4410" s="370"/>
      <c r="N4410" s="370"/>
    </row>
    <row r="4411" spans="1:14" s="347" customFormat="1" x14ac:dyDescent="0.25">
      <c r="A4411" s="369">
        <v>44454</v>
      </c>
      <c r="B4411" s="347">
        <f>+MONTH(A4411)</f>
        <v>9</v>
      </c>
      <c r="C4411" s="347">
        <v>115</v>
      </c>
      <c r="D4411" s="340" t="str">
        <f>VLOOKUP(C4411,Plan!A$1:B$65542,2,0)</f>
        <v>Disponible Cali B.Chile</v>
      </c>
      <c r="E4411" s="341">
        <f>+F4411-G4411</f>
        <v>5000</v>
      </c>
      <c r="F4411" s="396">
        <v>5000</v>
      </c>
      <c r="G4411" s="396">
        <v>0</v>
      </c>
      <c r="H4411" t="s">
        <v>1861</v>
      </c>
      <c r="I4411" s="347" t="s">
        <v>131</v>
      </c>
      <c r="K4411" s="370"/>
      <c r="N4411" s="370"/>
    </row>
    <row r="4412" spans="1:14" s="347" customFormat="1" x14ac:dyDescent="0.25">
      <c r="A4412" s="369">
        <f>+A4411</f>
        <v>44454</v>
      </c>
      <c r="B4412" s="347">
        <f>+B4411</f>
        <v>9</v>
      </c>
      <c r="C4412" s="347">
        <v>216</v>
      </c>
      <c r="D4412" s="340" t="str">
        <f>VLOOKUP(C4412,Plan!A$1:B$65542,2,0)</f>
        <v>Cuenta por Pagar a Administración Colectas</v>
      </c>
      <c r="E4412" s="341">
        <f>+F4412-G4412</f>
        <v>-5000</v>
      </c>
      <c r="F4412" s="396">
        <v>0</v>
      </c>
      <c r="G4412" s="396">
        <f>+F4411</f>
        <v>5000</v>
      </c>
      <c r="H4412" t="str">
        <f>+H4411</f>
        <v>Colecta Pilar Bustamante</v>
      </c>
      <c r="I4412" s="347" t="s">
        <v>131</v>
      </c>
      <c r="K4412" s="370"/>
      <c r="N4412" s="370"/>
    </row>
    <row r="4413" spans="1:14" s="347" customFormat="1" x14ac:dyDescent="0.25">
      <c r="A4413" s="369"/>
      <c r="E4413" s="396"/>
      <c r="F4413" s="396"/>
      <c r="G4413" s="396"/>
      <c r="K4413" s="370"/>
      <c r="N4413" s="370"/>
    </row>
    <row r="4414" spans="1:14" s="347" customFormat="1" x14ac:dyDescent="0.25">
      <c r="A4414" s="369">
        <v>44454</v>
      </c>
      <c r="B4414" s="347">
        <f>+MONTH(A4414)</f>
        <v>9</v>
      </c>
      <c r="C4414" s="347">
        <v>115</v>
      </c>
      <c r="D4414" s="340" t="str">
        <f>VLOOKUP(C4414,Plan!A$1:B$65542,2,0)</f>
        <v>Disponible Cali B.Chile</v>
      </c>
      <c r="E4414" s="341">
        <f>+F4414-G4414</f>
        <v>20000</v>
      </c>
      <c r="F4414" s="396">
        <v>20000</v>
      </c>
      <c r="G4414" s="396">
        <v>0</v>
      </c>
      <c r="H4414" t="s">
        <v>1025</v>
      </c>
      <c r="I4414" s="347" t="s">
        <v>131</v>
      </c>
      <c r="K4414" s="370"/>
      <c r="N4414" s="370"/>
    </row>
    <row r="4415" spans="1:14" s="347" customFormat="1" x14ac:dyDescent="0.25">
      <c r="A4415" s="369">
        <f>+A4414</f>
        <v>44454</v>
      </c>
      <c r="B4415" s="347">
        <f>+B4414</f>
        <v>9</v>
      </c>
      <c r="C4415" s="347">
        <v>1222</v>
      </c>
      <c r="D4415" s="340" t="str">
        <f>VLOOKUP(C4415,Plan!A$1:B$65542,2,0)</f>
        <v>Otros Valores -Oficina y Transferencias (249)</v>
      </c>
      <c r="E4415" s="341">
        <f>+F4415-G4415</f>
        <v>-20000</v>
      </c>
      <c r="F4415" s="396">
        <v>0</v>
      </c>
      <c r="G4415" s="396">
        <f>+F4414</f>
        <v>20000</v>
      </c>
      <c r="H4415" t="str">
        <f>+H4414</f>
        <v>Bernardita Egaña Baraona  / 249</v>
      </c>
      <c r="I4415" s="347" t="s">
        <v>131</v>
      </c>
      <c r="K4415" s="370"/>
      <c r="N4415" s="370"/>
    </row>
    <row r="4416" spans="1:14" s="347" customFormat="1" x14ac:dyDescent="0.25">
      <c r="A4416" s="369"/>
      <c r="E4416" s="396"/>
      <c r="F4416" s="396"/>
      <c r="G4416" s="396"/>
      <c r="K4416" s="370"/>
      <c r="N4416" s="370"/>
    </row>
    <row r="4417" spans="1:14" s="347" customFormat="1" x14ac:dyDescent="0.25">
      <c r="A4417" s="369">
        <v>44455</v>
      </c>
      <c r="B4417" s="347">
        <f>+MONTH(A4417)</f>
        <v>9</v>
      </c>
      <c r="C4417" s="347">
        <v>201</v>
      </c>
      <c r="D4417" s="340" t="str">
        <f>VLOOKUP(C4417,Plan!A$1:B$65542,2,0)</f>
        <v>1% por pagar</v>
      </c>
      <c r="E4417" s="341">
        <f>+F4417-G4417</f>
        <v>172458</v>
      </c>
      <c r="F4417" s="396">
        <v>172458</v>
      </c>
      <c r="G4417" s="396">
        <v>0</v>
      </c>
      <c r="H4417" t="s">
        <v>2083</v>
      </c>
      <c r="I4417" s="347" t="s">
        <v>131</v>
      </c>
      <c r="K4417" s="370"/>
      <c r="N4417" s="370"/>
    </row>
    <row r="4418" spans="1:14" s="347" customFormat="1" x14ac:dyDescent="0.25">
      <c r="A4418" s="369">
        <v>44455</v>
      </c>
      <c r="B4418" s="347">
        <f>+MONTH(A4418)</f>
        <v>9</v>
      </c>
      <c r="C4418" s="347">
        <v>202</v>
      </c>
      <c r="D4418" s="340" t="str">
        <f>VLOOKUP(C4418,Plan!A$1:B$65542,2,0)</f>
        <v>Arzobispado por pagar</v>
      </c>
      <c r="E4418" s="341">
        <f>+F4418-G4418</f>
        <v>3050908</v>
      </c>
      <c r="F4418" s="396">
        <v>3050908</v>
      </c>
      <c r="G4418" s="396">
        <v>0</v>
      </c>
      <c r="H4418" t="s">
        <v>2083</v>
      </c>
      <c r="I4418" s="347" t="s">
        <v>131</v>
      </c>
      <c r="K4418" s="370"/>
      <c r="N4418" s="370"/>
    </row>
    <row r="4419" spans="1:14" s="347" customFormat="1" x14ac:dyDescent="0.25">
      <c r="A4419" s="369">
        <f>+A4417</f>
        <v>44455</v>
      </c>
      <c r="B4419" s="347">
        <f>+B4417</f>
        <v>9</v>
      </c>
      <c r="C4419" s="347">
        <v>115</v>
      </c>
      <c r="D4419" s="340" t="str">
        <f>VLOOKUP(C4419,Plan!A$1:B$65542,2,0)</f>
        <v>Disponible Cali B.Chile</v>
      </c>
      <c r="E4419" s="341">
        <f>+F4419-G4419</f>
        <v>-3223366</v>
      </c>
      <c r="F4419" s="396">
        <v>0</v>
      </c>
      <c r="G4419" s="396">
        <v>3223366</v>
      </c>
      <c r="H4419" t="str">
        <f>+H4417</f>
        <v>Rend. CALI Agosto/21 Arzobispado de Santiago</v>
      </c>
      <c r="I4419" s="347" t="s">
        <v>131</v>
      </c>
      <c r="K4419" s="370"/>
      <c r="N4419" s="370"/>
    </row>
    <row r="4420" spans="1:14" s="347" customFormat="1" x14ac:dyDescent="0.25">
      <c r="A4420" s="369"/>
      <c r="E4420" s="396"/>
      <c r="F4420" s="396"/>
      <c r="G4420" s="396"/>
      <c r="K4420" s="370"/>
      <c r="N4420" s="370"/>
    </row>
    <row r="4421" spans="1:14" s="347" customFormat="1" x14ac:dyDescent="0.25">
      <c r="A4421" s="369">
        <v>44455</v>
      </c>
      <c r="B4421" s="347">
        <f>+MONTH(A4421)</f>
        <v>9</v>
      </c>
      <c r="C4421" s="347">
        <v>4170</v>
      </c>
      <c r="D4421" s="340" t="str">
        <f>VLOOKUP(C4421,Plan!A$1:B$65542,2,0)</f>
        <v>Cali otros</v>
      </c>
      <c r="E4421" s="341">
        <f>+F4421-G4421</f>
        <v>338983</v>
      </c>
      <c r="F4421" s="396">
        <f>+G4422+G4423</f>
        <v>338983</v>
      </c>
      <c r="G4421" s="396">
        <v>0</v>
      </c>
      <c r="H4421" t="s">
        <v>2084</v>
      </c>
      <c r="I4421" s="347" t="s">
        <v>131</v>
      </c>
      <c r="K4421" s="370"/>
      <c r="N4421" s="370"/>
    </row>
    <row r="4422" spans="1:14" s="347" customFormat="1" x14ac:dyDescent="0.25">
      <c r="A4422" s="369">
        <f>+A4421</f>
        <v>44455</v>
      </c>
      <c r="B4422" s="347">
        <f>+B4421</f>
        <v>9</v>
      </c>
      <c r="C4422" s="347">
        <v>205</v>
      </c>
      <c r="D4422" s="340" t="str">
        <f>VLOOKUP(C4422,Plan!A$1:B$65542,2,0)</f>
        <v>Honorarios por pagar Cali</v>
      </c>
      <c r="E4422" s="341">
        <f>+F4422-G4422</f>
        <v>-300000</v>
      </c>
      <c r="F4422" s="396">
        <v>0</v>
      </c>
      <c r="G4422" s="396">
        <v>300000</v>
      </c>
      <c r="H4422" t="str">
        <f>+H4421</f>
        <v>BE-318 GUILLERMO DE LA VEGA ASESORIA 1% AGOSTO 2021</v>
      </c>
      <c r="I4422" s="347" t="s">
        <v>131</v>
      </c>
      <c r="K4422" s="370"/>
      <c r="N4422" s="370"/>
    </row>
    <row r="4423" spans="1:14" s="347" customFormat="1" x14ac:dyDescent="0.25">
      <c r="A4423" s="369">
        <f>+A4422</f>
        <v>44455</v>
      </c>
      <c r="B4423" s="347">
        <f>+B4422</f>
        <v>9</v>
      </c>
      <c r="C4423" s="347">
        <v>204</v>
      </c>
      <c r="D4423" s="340" t="str">
        <f>VLOOKUP(C4423,Plan!A$1:B$65542,2,0)</f>
        <v>Retención Honorarios Cali</v>
      </c>
      <c r="E4423" s="341">
        <f>+F4423-G4423</f>
        <v>-38983</v>
      </c>
      <c r="F4423" s="396">
        <v>0</v>
      </c>
      <c r="G4423" s="396">
        <v>38983</v>
      </c>
      <c r="H4423" t="str">
        <f>+H4422</f>
        <v>BE-318 GUILLERMO DE LA VEGA ASESORIA 1% AGOSTO 2021</v>
      </c>
      <c r="I4423" s="347" t="s">
        <v>131</v>
      </c>
      <c r="K4423" s="370"/>
      <c r="N4423" s="370"/>
    </row>
    <row r="4424" spans="1:14" s="347" customFormat="1" x14ac:dyDescent="0.25">
      <c r="A4424" s="369"/>
      <c r="E4424" s="396"/>
      <c r="F4424" s="396"/>
      <c r="G4424" s="396"/>
      <c r="K4424" s="370"/>
      <c r="N4424" s="370"/>
    </row>
    <row r="4425" spans="1:14" s="347" customFormat="1" x14ac:dyDescent="0.25">
      <c r="A4425" s="369">
        <v>44455</v>
      </c>
      <c r="B4425" s="347">
        <f>+MONTH(A4425)</f>
        <v>9</v>
      </c>
      <c r="C4425" s="347">
        <v>205</v>
      </c>
      <c r="D4425" s="340" t="str">
        <f>VLOOKUP(C4425,Plan!A$1:B$65542,2,0)</f>
        <v>Honorarios por pagar Cali</v>
      </c>
      <c r="E4425" s="341">
        <f>+F4425-G4425</f>
        <v>150000</v>
      </c>
      <c r="F4425" s="396">
        <v>150000</v>
      </c>
      <c r="G4425" s="396">
        <v>0</v>
      </c>
      <c r="H4425" t="s">
        <v>2084</v>
      </c>
      <c r="I4425" s="347" t="s">
        <v>131</v>
      </c>
      <c r="K4425" s="370"/>
      <c r="N4425" s="370"/>
    </row>
    <row r="4426" spans="1:14" s="347" customFormat="1" x14ac:dyDescent="0.25">
      <c r="A4426" s="369">
        <f>+A4425</f>
        <v>44455</v>
      </c>
      <c r="B4426" s="347">
        <f>+B4425</f>
        <v>9</v>
      </c>
      <c r="C4426" s="347">
        <v>115</v>
      </c>
      <c r="D4426" s="340" t="str">
        <f>VLOOKUP(C4426,Plan!A$1:B$65542,2,0)</f>
        <v>Disponible Cali B.Chile</v>
      </c>
      <c r="E4426" s="341">
        <f>+F4426-G4426</f>
        <v>-150000</v>
      </c>
      <c r="F4426" s="396">
        <v>0</v>
      </c>
      <c r="G4426" s="396">
        <f>+F4425</f>
        <v>150000</v>
      </c>
      <c r="H4426" t="str">
        <f>+H4425</f>
        <v>BE-318 GUILLERMO DE LA VEGA ASESORIA 1% AGOSTO 2021</v>
      </c>
      <c r="I4426" s="347" t="s">
        <v>131</v>
      </c>
      <c r="K4426" s="370"/>
      <c r="N4426" s="370"/>
    </row>
    <row r="4427" spans="1:14" s="347" customFormat="1" x14ac:dyDescent="0.25">
      <c r="A4427" s="369"/>
      <c r="E4427" s="396"/>
      <c r="F4427" s="396"/>
      <c r="G4427" s="396"/>
      <c r="K4427" s="370"/>
      <c r="N4427" s="370"/>
    </row>
    <row r="4428" spans="1:14" s="347" customFormat="1" x14ac:dyDescent="0.25">
      <c r="A4428" s="369">
        <v>44455</v>
      </c>
      <c r="B4428" s="347">
        <f>+MONTH(A4428)</f>
        <v>9</v>
      </c>
      <c r="C4428" s="347">
        <v>203</v>
      </c>
      <c r="D4428" s="340" t="str">
        <f>VLOOKUP(C4428,Plan!A$1:B$65542,2,0)</f>
        <v>Recaudadoras por pagar</v>
      </c>
      <c r="E4428" s="341">
        <f>+F4428-G4428</f>
        <v>72240</v>
      </c>
      <c r="F4428" s="396">
        <f>+G4429+G4430</f>
        <v>72240</v>
      </c>
      <c r="G4428" s="396">
        <v>0</v>
      </c>
      <c r="H4428" t="s">
        <v>2085</v>
      </c>
      <c r="I4428" s="347" t="s">
        <v>131</v>
      </c>
      <c r="K4428" s="370"/>
      <c r="N4428" s="370"/>
    </row>
    <row r="4429" spans="1:14" s="347" customFormat="1" x14ac:dyDescent="0.25">
      <c r="A4429" s="369">
        <f>+A4428</f>
        <v>44455</v>
      </c>
      <c r="B4429" s="347">
        <f>+B4428</f>
        <v>9</v>
      </c>
      <c r="C4429" s="347">
        <v>115</v>
      </c>
      <c r="D4429" s="340" t="str">
        <f>VLOOKUP(C4429,Plan!A$1:B$65542,2,0)</f>
        <v>Disponible Cali B.Chile</v>
      </c>
      <c r="E4429" s="341">
        <f>+F4429-G4429</f>
        <v>-63932</v>
      </c>
      <c r="F4429" s="396">
        <v>0</v>
      </c>
      <c r="G4429" s="396">
        <v>63932</v>
      </c>
      <c r="H4429" t="str">
        <f>+H4428</f>
        <v>BE-492 Maria Angelica Sepulveda Toro COMISION CALI JUL 21</v>
      </c>
      <c r="I4429" s="347" t="s">
        <v>131</v>
      </c>
      <c r="K4429" s="370"/>
      <c r="N4429" s="370"/>
    </row>
    <row r="4430" spans="1:14" s="347" customFormat="1" x14ac:dyDescent="0.25">
      <c r="A4430" s="369">
        <f>+A4429</f>
        <v>44455</v>
      </c>
      <c r="B4430" s="347">
        <f>+B4429</f>
        <v>9</v>
      </c>
      <c r="C4430" s="347">
        <v>204</v>
      </c>
      <c r="D4430" s="340" t="str">
        <f>VLOOKUP(C4430,Plan!A$1:B$65542,2,0)</f>
        <v>Retención Honorarios Cali</v>
      </c>
      <c r="E4430" s="341">
        <f>+F4430-G4430</f>
        <v>-8308</v>
      </c>
      <c r="F4430" s="396">
        <v>0</v>
      </c>
      <c r="G4430" s="396">
        <v>8308</v>
      </c>
      <c r="H4430" t="str">
        <f>+H4429</f>
        <v>BE-492 Maria Angelica Sepulveda Toro COMISION CALI JUL 21</v>
      </c>
      <c r="I4430" s="347" t="s">
        <v>131</v>
      </c>
      <c r="K4430" s="370"/>
      <c r="N4430" s="370"/>
    </row>
    <row r="4431" spans="1:14" s="347" customFormat="1" x14ac:dyDescent="0.25">
      <c r="A4431" s="369"/>
      <c r="E4431" s="396"/>
      <c r="F4431" s="396"/>
      <c r="G4431" s="396"/>
      <c r="K4431" s="370"/>
      <c r="N4431" s="370"/>
    </row>
    <row r="4432" spans="1:14" s="347" customFormat="1" x14ac:dyDescent="0.25">
      <c r="A4432" s="369">
        <v>44455</v>
      </c>
      <c r="B4432" s="347">
        <f>+MONTH(A4432)</f>
        <v>9</v>
      </c>
      <c r="C4432" s="347">
        <v>4171</v>
      </c>
      <c r="D4432" s="340" t="str">
        <f>VLOOKUP(C4432,Plan!A$1:B$65542,2,0)</f>
        <v xml:space="preserve">        Campaña 1%</v>
      </c>
      <c r="E4432" s="341">
        <f>+F4432-G4432</f>
        <v>150000</v>
      </c>
      <c r="F4432" s="396">
        <v>150000</v>
      </c>
      <c r="G4432" s="396">
        <v>0</v>
      </c>
      <c r="H4432" t="s">
        <v>2086</v>
      </c>
      <c r="I4432" s="347" t="s">
        <v>131</v>
      </c>
      <c r="K4432" s="370"/>
      <c r="N4432" s="370"/>
    </row>
    <row r="4433" spans="1:14" s="347" customFormat="1" x14ac:dyDescent="0.25">
      <c r="A4433" s="369">
        <f>+A4432</f>
        <v>44455</v>
      </c>
      <c r="B4433" s="347">
        <f>+B4432</f>
        <v>9</v>
      </c>
      <c r="C4433" s="347">
        <v>115</v>
      </c>
      <c r="D4433" s="340" t="str">
        <f>VLOOKUP(C4433,Plan!A$1:B$65542,2,0)</f>
        <v>Disponible Cali B.Chile</v>
      </c>
      <c r="E4433" s="341">
        <f>+F4433-G4433</f>
        <v>-150000</v>
      </c>
      <c r="F4433" s="396">
        <v>0</v>
      </c>
      <c r="G4433" s="396">
        <f>+F4432</f>
        <v>150000</v>
      </c>
      <c r="H4433" t="str">
        <f>+H4432</f>
        <v>3 Gift Card Gastronomica El Alero SpA</v>
      </c>
      <c r="I4433" s="347" t="s">
        <v>131</v>
      </c>
      <c r="K4433" s="370"/>
      <c r="N4433" s="370"/>
    </row>
    <row r="4434" spans="1:14" s="347" customFormat="1" x14ac:dyDescent="0.25">
      <c r="A4434" s="369"/>
      <c r="E4434" s="396"/>
      <c r="F4434" s="396"/>
      <c r="G4434" s="396"/>
      <c r="K4434" s="370"/>
      <c r="N4434" s="370"/>
    </row>
    <row r="4435" spans="1:14" s="347" customFormat="1" x14ac:dyDescent="0.25">
      <c r="A4435" s="369">
        <v>44455</v>
      </c>
      <c r="B4435" s="347">
        <f>+MONTH(A4435)</f>
        <v>9</v>
      </c>
      <c r="C4435" s="347">
        <v>116</v>
      </c>
      <c r="D4435" s="340" t="str">
        <f>VLOOKUP(C4435,Plan!A$1:B$65542,2,0)</f>
        <v>Disponible CALI Security</v>
      </c>
      <c r="E4435" s="341">
        <f>+F4435-G4435</f>
        <v>24000000</v>
      </c>
      <c r="F4435" s="396">
        <v>24000000</v>
      </c>
      <c r="G4435" s="396">
        <v>0</v>
      </c>
      <c r="H4435" t="s">
        <v>1768</v>
      </c>
      <c r="I4435" s="347" t="s">
        <v>131</v>
      </c>
      <c r="K4435" s="370"/>
      <c r="N4435" s="370"/>
    </row>
    <row r="4436" spans="1:14" s="347" customFormat="1" x14ac:dyDescent="0.25">
      <c r="A4436" s="369">
        <f>+A4435</f>
        <v>44455</v>
      </c>
      <c r="B4436" s="347">
        <f>+B4435</f>
        <v>9</v>
      </c>
      <c r="C4436" s="347">
        <v>115</v>
      </c>
      <c r="D4436" s="340" t="str">
        <f>VLOOKUP(C4436,Plan!A$1:B$65542,2,0)</f>
        <v>Disponible Cali B.Chile</v>
      </c>
      <c r="E4436" s="341">
        <f>+F4436-G4436</f>
        <v>-24000000</v>
      </c>
      <c r="F4436" s="396">
        <v>0</v>
      </c>
      <c r="G4436" s="396">
        <f>+F4435</f>
        <v>24000000</v>
      </c>
      <c r="H4436" t="str">
        <f>+H4435</f>
        <v>Trasp.a Cta. Security</v>
      </c>
      <c r="I4436" s="347" t="s">
        <v>131</v>
      </c>
      <c r="K4436" s="370"/>
      <c r="N4436" s="370"/>
    </row>
    <row r="4437" spans="1:14" s="347" customFormat="1" x14ac:dyDescent="0.25">
      <c r="A4437" s="369"/>
      <c r="E4437" s="396"/>
      <c r="F4437" s="396"/>
      <c r="G4437" s="396"/>
      <c r="K4437" s="370"/>
      <c r="N4437" s="370"/>
    </row>
    <row r="4438" spans="1:14" s="347" customFormat="1" x14ac:dyDescent="0.25">
      <c r="A4438" s="369">
        <v>44455</v>
      </c>
      <c r="B4438" s="347">
        <f>+MONTH(A4438)</f>
        <v>9</v>
      </c>
      <c r="C4438" s="347">
        <v>115</v>
      </c>
      <c r="D4438" s="340" t="str">
        <f>VLOOKUP(C4438,Plan!A$1:B$65542,2,0)</f>
        <v>Disponible Cali B.Chile</v>
      </c>
      <c r="E4438" s="341">
        <f>+F4438-G4438</f>
        <v>5000</v>
      </c>
      <c r="F4438" s="396">
        <v>5000</v>
      </c>
      <c r="G4438" s="396">
        <v>0</v>
      </c>
      <c r="H4438" t="s">
        <v>2087</v>
      </c>
      <c r="I4438" s="347" t="s">
        <v>131</v>
      </c>
      <c r="K4438" s="370"/>
      <c r="N4438" s="370"/>
    </row>
    <row r="4439" spans="1:14" s="347" customFormat="1" x14ac:dyDescent="0.25">
      <c r="A4439" s="369">
        <f>+A4438</f>
        <v>44455</v>
      </c>
      <c r="B4439" s="347">
        <f>+B4438</f>
        <v>9</v>
      </c>
      <c r="C4439" s="347">
        <v>216</v>
      </c>
      <c r="D4439" s="340" t="str">
        <f>VLOOKUP(C4439,Plan!A$1:B$65542,2,0)</f>
        <v>Cuenta por Pagar a Administración Colectas</v>
      </c>
      <c r="E4439" s="341">
        <f>+F4439-G4439</f>
        <v>-5000</v>
      </c>
      <c r="F4439" s="396">
        <v>0</v>
      </c>
      <c r="G4439" s="396">
        <f>+F4438</f>
        <v>5000</v>
      </c>
      <c r="H4439" t="str">
        <f>+H4438</f>
        <v>Colecta Juana Jazmin Hevia</v>
      </c>
      <c r="I4439" s="347" t="s">
        <v>131</v>
      </c>
      <c r="K4439" s="370"/>
      <c r="N4439" s="370"/>
    </row>
    <row r="4440" spans="1:14" s="347" customFormat="1" x14ac:dyDescent="0.25">
      <c r="A4440" s="369"/>
      <c r="E4440" s="396"/>
      <c r="F4440" s="396"/>
      <c r="G4440" s="396"/>
      <c r="K4440" s="370"/>
      <c r="N4440" s="370"/>
    </row>
    <row r="4441" spans="1:14" s="347" customFormat="1" x14ac:dyDescent="0.25">
      <c r="A4441" s="369">
        <v>44455</v>
      </c>
      <c r="B4441" s="347">
        <f>+MONTH(A4441)</f>
        <v>9</v>
      </c>
      <c r="C4441" s="347">
        <v>115</v>
      </c>
      <c r="D4441" s="340" t="str">
        <f>VLOOKUP(C4441,Plan!A$1:B$65542,2,0)</f>
        <v>Disponible Cali B.Chile</v>
      </c>
      <c r="E4441" s="341">
        <f>+F4441-G4441</f>
        <v>200000</v>
      </c>
      <c r="F4441" s="396">
        <v>200000</v>
      </c>
      <c r="G4441" s="396">
        <v>0</v>
      </c>
      <c r="H4441" t="s">
        <v>2088</v>
      </c>
      <c r="I4441" s="347" t="s">
        <v>131</v>
      </c>
      <c r="K4441" s="370"/>
      <c r="N4441" s="370"/>
    </row>
    <row r="4442" spans="1:14" s="347" customFormat="1" x14ac:dyDescent="0.25">
      <c r="A4442" s="369">
        <f>+A4441</f>
        <v>44455</v>
      </c>
      <c r="B4442" s="347">
        <f>+B4441</f>
        <v>9</v>
      </c>
      <c r="C4442" s="347">
        <v>3210</v>
      </c>
      <c r="D4442" s="340" t="str">
        <f>VLOOKUP(C4442,Plan!A$1:B$65542,2,0)</f>
        <v>Donacion Construccion</v>
      </c>
      <c r="E4442" s="341">
        <f>+F4442-G4442</f>
        <v>-200000</v>
      </c>
      <c r="F4442" s="396">
        <v>0</v>
      </c>
      <c r="G4442" s="396">
        <f>+F4441</f>
        <v>200000</v>
      </c>
      <c r="H4442" t="str">
        <f>+H4441</f>
        <v>Gustavo Adolfo Walsen Arangua / Azul</v>
      </c>
      <c r="I4442" s="347" t="s">
        <v>131</v>
      </c>
      <c r="K4442" s="370"/>
      <c r="N4442" s="370"/>
    </row>
    <row r="4443" spans="1:14" s="347" customFormat="1" x14ac:dyDescent="0.25">
      <c r="A4443" s="369"/>
      <c r="E4443" s="396"/>
      <c r="F4443" s="396"/>
      <c r="G4443" s="396"/>
      <c r="K4443" s="370"/>
      <c r="N4443" s="370"/>
    </row>
    <row r="4444" spans="1:14" s="347" customFormat="1" x14ac:dyDescent="0.25">
      <c r="A4444" s="369">
        <v>44459</v>
      </c>
      <c r="B4444" s="347">
        <f>+MONTH(A4444)</f>
        <v>9</v>
      </c>
      <c r="C4444" s="347">
        <v>115</v>
      </c>
      <c r="D4444" s="340" t="str">
        <f>VLOOKUP(C4444,Plan!A$1:B$65542,2,0)</f>
        <v>Disponible Cali B.Chile</v>
      </c>
      <c r="E4444" s="341">
        <f>+F4444-G4444</f>
        <v>8500</v>
      </c>
      <c r="F4444" s="396">
        <v>8500</v>
      </c>
      <c r="G4444" s="396">
        <v>0</v>
      </c>
      <c r="H4444" t="s">
        <v>2089</v>
      </c>
      <c r="I4444" s="347" t="s">
        <v>131</v>
      </c>
      <c r="K4444" s="370"/>
      <c r="N4444" s="370"/>
    </row>
    <row r="4445" spans="1:14" s="347" customFormat="1" x14ac:dyDescent="0.25">
      <c r="A4445" s="369">
        <f>+A4444</f>
        <v>44459</v>
      </c>
      <c r="B4445" s="347">
        <f>+B4444</f>
        <v>9</v>
      </c>
      <c r="C4445" s="347">
        <v>1222</v>
      </c>
      <c r="D4445" s="340" t="str">
        <f>VLOOKUP(C4445,Plan!A$1:B$65542,2,0)</f>
        <v>Otros Valores -Oficina y Transferencias (249)</v>
      </c>
      <c r="E4445" s="341">
        <f>+F4445-G4445</f>
        <v>-8500</v>
      </c>
      <c r="F4445" s="396">
        <v>0</v>
      </c>
      <c r="G4445" s="396">
        <f>+F4444</f>
        <v>8500</v>
      </c>
      <c r="H4445" t="str">
        <f>+H4444</f>
        <v>María Soledad Piderit Brito / 249</v>
      </c>
      <c r="I4445" s="347" t="s">
        <v>131</v>
      </c>
      <c r="K4445" s="370"/>
      <c r="N4445" s="370"/>
    </row>
    <row r="4446" spans="1:14" s="347" customFormat="1" x14ac:dyDescent="0.25">
      <c r="A4446" s="369"/>
      <c r="E4446" s="396"/>
      <c r="F4446" s="396"/>
      <c r="G4446" s="396"/>
      <c r="K4446" s="370"/>
      <c r="N4446" s="370"/>
    </row>
    <row r="4447" spans="1:14" s="347" customFormat="1" x14ac:dyDescent="0.25">
      <c r="A4447" s="369">
        <v>44459</v>
      </c>
      <c r="B4447" s="347">
        <f>+MONTH(A4447)</f>
        <v>9</v>
      </c>
      <c r="C4447" s="347">
        <v>115</v>
      </c>
      <c r="D4447" s="340" t="str">
        <f>VLOOKUP(C4447,Plan!A$1:B$65542,2,0)</f>
        <v>Disponible Cali B.Chile</v>
      </c>
      <c r="E4447" s="341">
        <f>+F4447-G4447</f>
        <v>5000</v>
      </c>
      <c r="F4447" s="396">
        <v>5000</v>
      </c>
      <c r="G4447" s="396">
        <v>0</v>
      </c>
      <c r="H4447" t="s">
        <v>1719</v>
      </c>
      <c r="I4447" s="347" t="s">
        <v>131</v>
      </c>
      <c r="K4447" s="370"/>
      <c r="N4447" s="370"/>
    </row>
    <row r="4448" spans="1:14" s="347" customFormat="1" x14ac:dyDescent="0.25">
      <c r="A4448" s="369">
        <f>+A4447</f>
        <v>44459</v>
      </c>
      <c r="B4448" s="347">
        <f>+B4447</f>
        <v>9</v>
      </c>
      <c r="C4448" s="347">
        <v>1222</v>
      </c>
      <c r="D4448" s="340" t="str">
        <f>VLOOKUP(C4448,Plan!A$1:B$65542,2,0)</f>
        <v>Otros Valores -Oficina y Transferencias (249)</v>
      </c>
      <c r="E4448" s="341">
        <f>+F4448-G4448</f>
        <v>-5000</v>
      </c>
      <c r="F4448" s="396">
        <v>0</v>
      </c>
      <c r="G4448" s="396">
        <f>+F4447</f>
        <v>5000</v>
      </c>
      <c r="H4448" t="str">
        <f>+H4447</f>
        <v>María Angélica Pérez-Villamil /249</v>
      </c>
      <c r="I4448" s="347" t="s">
        <v>131</v>
      </c>
      <c r="K4448" s="370"/>
      <c r="N4448" s="370"/>
    </row>
    <row r="4449" spans="1:14" s="347" customFormat="1" x14ac:dyDescent="0.25">
      <c r="A4449" s="369"/>
      <c r="E4449" s="396"/>
      <c r="F4449" s="396"/>
      <c r="G4449" s="396"/>
      <c r="K4449" s="370"/>
      <c r="N4449" s="370"/>
    </row>
    <row r="4450" spans="1:14" s="347" customFormat="1" x14ac:dyDescent="0.25">
      <c r="A4450" s="369">
        <v>44459</v>
      </c>
      <c r="B4450" s="347">
        <f>+MONTH(A4450)</f>
        <v>9</v>
      </c>
      <c r="C4450" s="347">
        <v>115</v>
      </c>
      <c r="D4450" s="340" t="str">
        <f>VLOOKUP(C4450,Plan!A$1:B$65542,2,0)</f>
        <v>Disponible Cali B.Chile</v>
      </c>
      <c r="E4450" s="341">
        <f>+F4450-G4450</f>
        <v>30000</v>
      </c>
      <c r="F4450" s="359">
        <v>30000</v>
      </c>
      <c r="G4450" s="359">
        <v>0</v>
      </c>
      <c r="H4450" s="428" t="s">
        <v>1017</v>
      </c>
      <c r="I4450" s="347" t="s">
        <v>131</v>
      </c>
      <c r="K4450" s="370"/>
      <c r="N4450" s="370"/>
    </row>
    <row r="4451" spans="1:14" s="347" customFormat="1" x14ac:dyDescent="0.25">
      <c r="A4451" s="369">
        <f>+A4450</f>
        <v>44459</v>
      </c>
      <c r="B4451" s="347">
        <f>+B4450</f>
        <v>9</v>
      </c>
      <c r="C4451" s="347">
        <v>1216</v>
      </c>
      <c r="D4451" s="340" t="str">
        <f>VLOOKUP(C4451,Plan!A$1:B$65542,2,0)</f>
        <v>Otros Valores Recaudadoras</v>
      </c>
      <c r="E4451" s="341">
        <f>+F4451-G4451</f>
        <v>-30000</v>
      </c>
      <c r="F4451" s="359">
        <v>0</v>
      </c>
      <c r="G4451" s="359">
        <f>+F4450</f>
        <v>30000</v>
      </c>
      <c r="H4451" s="428" t="str">
        <f>+H4450</f>
        <v>María Pía Laura Parodi Gil / 249</v>
      </c>
      <c r="I4451" s="347" t="s">
        <v>131</v>
      </c>
      <c r="K4451" s="370"/>
      <c r="N4451" s="370"/>
    </row>
    <row r="4452" spans="1:14" s="347" customFormat="1" x14ac:dyDescent="0.25">
      <c r="A4452" s="369"/>
      <c r="E4452" s="396"/>
      <c r="F4452" s="396"/>
      <c r="G4452" s="396"/>
      <c r="K4452" s="370"/>
      <c r="N4452" s="370"/>
    </row>
    <row r="4453" spans="1:14" s="347" customFormat="1" x14ac:dyDescent="0.25">
      <c r="A4453" s="369">
        <v>44459</v>
      </c>
      <c r="B4453" s="347">
        <f>+MONTH(A4453)</f>
        <v>9</v>
      </c>
      <c r="C4453" s="347">
        <v>115</v>
      </c>
      <c r="D4453" s="340" t="str">
        <f>VLOOKUP(C4453,Plan!A$1:B$65542,2,0)</f>
        <v>Disponible Cali B.Chile</v>
      </c>
      <c r="E4453" s="341">
        <f>+F4453-G4453</f>
        <v>150000</v>
      </c>
      <c r="F4453" s="396">
        <v>150000</v>
      </c>
      <c r="G4453" s="396">
        <v>0</v>
      </c>
      <c r="H4453" t="s">
        <v>1770</v>
      </c>
      <c r="I4453" s="347" t="s">
        <v>131</v>
      </c>
      <c r="K4453" s="370"/>
      <c r="N4453" s="370"/>
    </row>
    <row r="4454" spans="1:14" s="347" customFormat="1" x14ac:dyDescent="0.25">
      <c r="A4454" s="369">
        <f>+A4453</f>
        <v>44459</v>
      </c>
      <c r="B4454" s="347">
        <f>+B4453</f>
        <v>9</v>
      </c>
      <c r="C4454" s="347">
        <v>1222</v>
      </c>
      <c r="D4454" s="340" t="str">
        <f>VLOOKUP(C4454,Plan!A$1:B$65542,2,0)</f>
        <v>Otros Valores -Oficina y Transferencias (249)</v>
      </c>
      <c r="E4454" s="341">
        <f>+F4454-G4454</f>
        <v>-150000</v>
      </c>
      <c r="F4454" s="396">
        <v>0</v>
      </c>
      <c r="G4454" s="396">
        <f>+F4453</f>
        <v>150000</v>
      </c>
      <c r="H4454" t="str">
        <f>+H4453</f>
        <v>Luis Felipe Zanolli De Solminihac/249</v>
      </c>
      <c r="I4454" s="347" t="s">
        <v>131</v>
      </c>
      <c r="K4454" s="370"/>
      <c r="N4454" s="370"/>
    </row>
    <row r="4455" spans="1:14" s="347" customFormat="1" x14ac:dyDescent="0.25">
      <c r="A4455" s="369"/>
      <c r="E4455" s="396"/>
      <c r="F4455" s="396"/>
      <c r="G4455" s="396"/>
      <c r="K4455" s="370"/>
      <c r="N4455" s="370"/>
    </row>
    <row r="4456" spans="1:14" s="347" customFormat="1" x14ac:dyDescent="0.25">
      <c r="A4456" s="369">
        <v>44459</v>
      </c>
      <c r="B4456" s="347">
        <f>+MONTH(A4456)</f>
        <v>9</v>
      </c>
      <c r="C4456" s="347">
        <v>115</v>
      </c>
      <c r="D4456" s="340" t="str">
        <f>VLOOKUP(C4456,Plan!A$1:B$65542,2,0)</f>
        <v>Disponible Cali B.Chile</v>
      </c>
      <c r="E4456" s="341">
        <f>+F4456-G4456</f>
        <v>500000</v>
      </c>
      <c r="F4456" s="396">
        <v>500000</v>
      </c>
      <c r="G4456" s="396">
        <v>0</v>
      </c>
      <c r="H4456" t="s">
        <v>1079</v>
      </c>
      <c r="I4456" s="347" t="s">
        <v>131</v>
      </c>
      <c r="K4456" s="370"/>
      <c r="N4456" s="370"/>
    </row>
    <row r="4457" spans="1:14" s="347" customFormat="1" x14ac:dyDescent="0.25">
      <c r="A4457" s="369">
        <f>+A4456</f>
        <v>44459</v>
      </c>
      <c r="B4457" s="347">
        <f>+B4456</f>
        <v>9</v>
      </c>
      <c r="C4457" s="347">
        <v>3210</v>
      </c>
      <c r="D4457" s="340" t="str">
        <f>VLOOKUP(C4457,Plan!A$1:B$65542,2,0)</f>
        <v>Donacion Construccion</v>
      </c>
      <c r="E4457" s="341">
        <f>+F4457-G4457</f>
        <v>-500000</v>
      </c>
      <c r="F4457" s="396">
        <v>0</v>
      </c>
      <c r="G4457" s="396">
        <f>+F4456</f>
        <v>500000</v>
      </c>
      <c r="H4457" t="str">
        <f>+H4456</f>
        <v>Luis  E. Domínguez Larraín / Azul</v>
      </c>
      <c r="I4457" s="347" t="s">
        <v>131</v>
      </c>
      <c r="K4457" s="370"/>
      <c r="N4457" s="370"/>
    </row>
    <row r="4458" spans="1:14" s="347" customFormat="1" x14ac:dyDescent="0.25">
      <c r="A4458" s="369"/>
      <c r="E4458" s="396"/>
      <c r="F4458" s="396"/>
      <c r="G4458" s="396"/>
      <c r="K4458" s="370"/>
      <c r="N4458" s="370"/>
    </row>
    <row r="4459" spans="1:14" s="347" customFormat="1" x14ac:dyDescent="0.25">
      <c r="A4459" s="369">
        <v>44460</v>
      </c>
      <c r="B4459" s="347">
        <f>+MONTH(A4459)</f>
        <v>9</v>
      </c>
      <c r="C4459" s="347">
        <v>115</v>
      </c>
      <c r="D4459" s="340" t="str">
        <f>VLOOKUP(C4459,Plan!A$1:B$65542,2,0)</f>
        <v>Disponible Cali B.Chile</v>
      </c>
      <c r="E4459" s="341">
        <f>+F4459-G4459</f>
        <v>20000</v>
      </c>
      <c r="F4459" s="396">
        <v>20000</v>
      </c>
      <c r="G4459" s="396">
        <v>0</v>
      </c>
      <c r="H4459" t="s">
        <v>999</v>
      </c>
      <c r="I4459" s="347" t="s">
        <v>131</v>
      </c>
      <c r="K4459" s="370"/>
      <c r="N4459" s="370"/>
    </row>
    <row r="4460" spans="1:14" s="347" customFormat="1" x14ac:dyDescent="0.25">
      <c r="A4460" s="369">
        <f>+A4459</f>
        <v>44460</v>
      </c>
      <c r="B4460" s="347">
        <f>+B4459</f>
        <v>9</v>
      </c>
      <c r="C4460" s="347">
        <v>1222</v>
      </c>
      <c r="D4460" s="340" t="str">
        <f>VLOOKUP(C4460,Plan!A$1:B$65542,2,0)</f>
        <v>Otros Valores -Oficina y Transferencias (249)</v>
      </c>
      <c r="E4460" s="341">
        <f>+F4460-G4460</f>
        <v>-20000</v>
      </c>
      <c r="F4460" s="396">
        <v>0</v>
      </c>
      <c r="G4460" s="396">
        <f>+F4459</f>
        <v>20000</v>
      </c>
      <c r="H4460" t="str">
        <f>+H4459</f>
        <v>Carmen Mónica Barañao Rojas/249</v>
      </c>
      <c r="I4460" s="347" t="s">
        <v>131</v>
      </c>
      <c r="K4460" s="370"/>
      <c r="N4460" s="370"/>
    </row>
    <row r="4461" spans="1:14" s="347" customFormat="1" x14ac:dyDescent="0.25">
      <c r="A4461" s="369"/>
      <c r="E4461" s="396"/>
      <c r="F4461" s="396"/>
      <c r="G4461" s="396"/>
      <c r="K4461" s="370"/>
      <c r="N4461" s="370"/>
    </row>
    <row r="4462" spans="1:14" s="347" customFormat="1" x14ac:dyDescent="0.25">
      <c r="A4462" s="369">
        <v>44460</v>
      </c>
      <c r="B4462" s="347">
        <f>+MONTH(A4462)</f>
        <v>9</v>
      </c>
      <c r="C4462" s="347">
        <v>115</v>
      </c>
      <c r="D4462" s="340" t="str">
        <f>VLOOKUP(C4462,Plan!A$1:B$65542,2,0)</f>
        <v>Disponible Cali B.Chile</v>
      </c>
      <c r="E4462" s="341">
        <f>+F4462-G4462</f>
        <v>30000</v>
      </c>
      <c r="F4462" s="396">
        <v>30000</v>
      </c>
      <c r="G4462" s="396">
        <v>0</v>
      </c>
      <c r="H4462" t="s">
        <v>970</v>
      </c>
      <c r="I4462" s="347" t="s">
        <v>131</v>
      </c>
      <c r="K4462" s="370"/>
      <c r="N4462" s="370"/>
    </row>
    <row r="4463" spans="1:14" s="347" customFormat="1" x14ac:dyDescent="0.25">
      <c r="A4463" s="369">
        <f>+A4462</f>
        <v>44460</v>
      </c>
      <c r="B4463" s="347">
        <f>+B4462</f>
        <v>9</v>
      </c>
      <c r="C4463" s="347">
        <v>1222</v>
      </c>
      <c r="D4463" s="340" t="str">
        <f>VLOOKUP(C4463,Plan!A$1:B$65542,2,0)</f>
        <v>Otros Valores -Oficina y Transferencias (249)</v>
      </c>
      <c r="E4463" s="341">
        <f>+F4463-G4463</f>
        <v>-30000</v>
      </c>
      <c r="F4463" s="396">
        <v>0</v>
      </c>
      <c r="G4463" s="396">
        <f>+F4462</f>
        <v>30000</v>
      </c>
      <c r="H4463" t="str">
        <f>+H4462</f>
        <v>Horacio Cartagena Fagerstrom/249</v>
      </c>
      <c r="I4463" s="347" t="s">
        <v>131</v>
      </c>
      <c r="K4463" s="370"/>
      <c r="N4463" s="370"/>
    </row>
    <row r="4464" spans="1:14" s="347" customFormat="1" x14ac:dyDescent="0.25">
      <c r="A4464" s="369"/>
      <c r="E4464" s="396"/>
      <c r="F4464" s="396"/>
      <c r="G4464" s="396"/>
      <c r="K4464" s="370"/>
      <c r="N4464" s="370"/>
    </row>
    <row r="4465" spans="1:14" s="347" customFormat="1" x14ac:dyDescent="0.25">
      <c r="A4465" s="369">
        <v>44460</v>
      </c>
      <c r="B4465" s="347">
        <f>+MONTH(A4465)</f>
        <v>9</v>
      </c>
      <c r="C4465" s="347">
        <v>115</v>
      </c>
      <c r="D4465" s="340" t="str">
        <f>VLOOKUP(C4465,Plan!A$1:B$65542,2,0)</f>
        <v>Disponible Cali B.Chile</v>
      </c>
      <c r="E4465" s="341">
        <f>+F4465-G4465</f>
        <v>30000</v>
      </c>
      <c r="F4465" s="396">
        <v>30000</v>
      </c>
      <c r="G4465" s="396">
        <v>0</v>
      </c>
      <c r="H4465" s="155" t="s">
        <v>1872</v>
      </c>
      <c r="I4465" s="347" t="s">
        <v>131</v>
      </c>
      <c r="K4465" s="370"/>
      <c r="N4465" s="370"/>
    </row>
    <row r="4466" spans="1:14" s="347" customFormat="1" x14ac:dyDescent="0.25">
      <c r="A4466" s="369">
        <f>+A4465</f>
        <v>44460</v>
      </c>
      <c r="B4466" s="347">
        <f>+B4465</f>
        <v>9</v>
      </c>
      <c r="C4466" s="347">
        <v>3210</v>
      </c>
      <c r="D4466" s="340" t="str">
        <f>VLOOKUP(C4466,Plan!A$1:B$65542,2,0)</f>
        <v>Donacion Construccion</v>
      </c>
      <c r="E4466" s="341">
        <f>+F4466-G4466</f>
        <v>-30000</v>
      </c>
      <c r="F4466" s="396">
        <v>0</v>
      </c>
      <c r="G4466" s="396">
        <f>+F4465</f>
        <v>30000</v>
      </c>
      <c r="H4466" t="str">
        <f>+H4465</f>
        <v>Clemencia Cecilia Gómez Pérez / Azul</v>
      </c>
      <c r="I4466" s="347" t="s">
        <v>131</v>
      </c>
      <c r="K4466" s="370"/>
      <c r="N4466" s="370"/>
    </row>
    <row r="4467" spans="1:14" s="347" customFormat="1" x14ac:dyDescent="0.25">
      <c r="A4467" s="369"/>
      <c r="E4467" s="396"/>
      <c r="F4467" s="396"/>
      <c r="G4467" s="396"/>
      <c r="K4467" s="370"/>
      <c r="N4467" s="370"/>
    </row>
    <row r="4468" spans="1:14" s="347" customFormat="1" x14ac:dyDescent="0.25">
      <c r="A4468" s="369">
        <v>44460</v>
      </c>
      <c r="B4468" s="347">
        <f>+MONTH(A4468)</f>
        <v>9</v>
      </c>
      <c r="C4468" s="347">
        <v>115</v>
      </c>
      <c r="D4468" s="340" t="str">
        <f>VLOOKUP(C4468,Plan!A$1:B$65542,2,0)</f>
        <v>Disponible Cali B.Chile</v>
      </c>
      <c r="E4468" s="341">
        <f>+F4468-G4468</f>
        <v>30000</v>
      </c>
      <c r="F4468" s="396">
        <v>30000</v>
      </c>
      <c r="G4468" s="396">
        <v>0</v>
      </c>
      <c r="H4468" t="s">
        <v>1082</v>
      </c>
      <c r="I4468" s="347" t="s">
        <v>131</v>
      </c>
      <c r="K4468" s="370"/>
      <c r="N4468" s="370"/>
    </row>
    <row r="4469" spans="1:14" s="347" customFormat="1" x14ac:dyDescent="0.25">
      <c r="A4469" s="369">
        <f>+A4468</f>
        <v>44460</v>
      </c>
      <c r="B4469" s="347">
        <f>+B4468</f>
        <v>9</v>
      </c>
      <c r="C4469" s="347">
        <v>1222</v>
      </c>
      <c r="D4469" s="340" t="str">
        <f>VLOOKUP(C4469,Plan!A$1:B$65542,2,0)</f>
        <v>Otros Valores -Oficina y Transferencias (249)</v>
      </c>
      <c r="E4469" s="341">
        <f>+F4469-G4469</f>
        <v>-30000</v>
      </c>
      <c r="F4469" s="396">
        <v>0</v>
      </c>
      <c r="G4469" s="396">
        <f>+F4468</f>
        <v>30000</v>
      </c>
      <c r="H4469" t="str">
        <f>+H4468</f>
        <v>Carmen Gloria Ovalle de la Cuadra/ 249</v>
      </c>
      <c r="I4469" s="347" t="s">
        <v>131</v>
      </c>
      <c r="K4469" s="370"/>
      <c r="N4469" s="370"/>
    </row>
    <row r="4470" spans="1:14" s="347" customFormat="1" x14ac:dyDescent="0.25">
      <c r="A4470" s="369"/>
      <c r="E4470" s="396"/>
      <c r="F4470" s="396"/>
      <c r="G4470" s="396"/>
      <c r="K4470" s="370"/>
      <c r="N4470" s="370"/>
    </row>
    <row r="4471" spans="1:14" s="347" customFormat="1" x14ac:dyDescent="0.25">
      <c r="A4471" s="369">
        <v>44461</v>
      </c>
      <c r="B4471" s="347">
        <f>+MONTH(A4471)</f>
        <v>9</v>
      </c>
      <c r="C4471" s="347">
        <v>115</v>
      </c>
      <c r="D4471" s="340" t="str">
        <f>VLOOKUP(C4471,Plan!A$1:B$65542,2,0)</f>
        <v>Disponible Cali B.Chile</v>
      </c>
      <c r="E4471" s="341">
        <f>+F4471-G4471</f>
        <v>20000</v>
      </c>
      <c r="F4471" s="396">
        <v>20000</v>
      </c>
      <c r="G4471" s="396">
        <v>0</v>
      </c>
      <c r="H4471" t="s">
        <v>1030</v>
      </c>
      <c r="I4471" s="347" t="s">
        <v>131</v>
      </c>
      <c r="K4471" s="370"/>
      <c r="N4471" s="370"/>
    </row>
    <row r="4472" spans="1:14" s="347" customFormat="1" x14ac:dyDescent="0.25">
      <c r="A4472" s="369">
        <f>+A4471</f>
        <v>44461</v>
      </c>
      <c r="B4472" s="347">
        <f>+B4471</f>
        <v>9</v>
      </c>
      <c r="C4472" s="347">
        <v>1222</v>
      </c>
      <c r="D4472" s="340" t="str">
        <f>VLOOKUP(C4472,Plan!A$1:B$65542,2,0)</f>
        <v>Otros Valores -Oficina y Transferencias (249)</v>
      </c>
      <c r="E4472" s="341">
        <f>+F4472-G4472</f>
        <v>-20000</v>
      </c>
      <c r="F4472" s="396">
        <v>0</v>
      </c>
      <c r="G4472" s="396">
        <f>+F4471</f>
        <v>20000</v>
      </c>
      <c r="H4472" t="str">
        <f>+H4471</f>
        <v>S. Villegas / 249</v>
      </c>
      <c r="I4472" s="347" t="s">
        <v>131</v>
      </c>
      <c r="K4472" s="370"/>
      <c r="N4472" s="370"/>
    </row>
    <row r="4473" spans="1:14" s="347" customFormat="1" x14ac:dyDescent="0.25">
      <c r="A4473" s="369"/>
      <c r="E4473" s="396"/>
      <c r="F4473" s="396"/>
      <c r="G4473" s="396"/>
      <c r="K4473" s="370"/>
      <c r="N4473" s="370"/>
    </row>
    <row r="4474" spans="1:14" s="347" customFormat="1" x14ac:dyDescent="0.25">
      <c r="A4474" s="369">
        <v>44461</v>
      </c>
      <c r="B4474" s="347">
        <f>+MONTH(A4474)</f>
        <v>9</v>
      </c>
      <c r="C4474" s="347">
        <v>115</v>
      </c>
      <c r="D4474" s="340" t="str">
        <f>VLOOKUP(C4474,Plan!A$1:B$65542,2,0)</f>
        <v>Disponible Cali B.Chile</v>
      </c>
      <c r="E4474" s="341">
        <f>+F4474-G4474</f>
        <v>250000</v>
      </c>
      <c r="F4474" s="396">
        <v>250000</v>
      </c>
      <c r="G4474" s="396">
        <v>0</v>
      </c>
      <c r="H4474" t="s">
        <v>1994</v>
      </c>
      <c r="I4474" s="347" t="s">
        <v>131</v>
      </c>
      <c r="K4474" s="370"/>
      <c r="N4474" s="370"/>
    </row>
    <row r="4475" spans="1:14" s="347" customFormat="1" x14ac:dyDescent="0.25">
      <c r="A4475" s="369">
        <f>+A4474</f>
        <v>44461</v>
      </c>
      <c r="B4475" s="347">
        <f>+B4474</f>
        <v>9</v>
      </c>
      <c r="C4475" s="347">
        <v>3210</v>
      </c>
      <c r="D4475" s="340" t="str">
        <f>VLOOKUP(C4475,Plan!A$1:B$65542,2,0)</f>
        <v>Donacion Construccion</v>
      </c>
      <c r="E4475" s="341">
        <f>+F4475-G4475</f>
        <v>-250000</v>
      </c>
      <c r="F4475" s="396">
        <v>0</v>
      </c>
      <c r="G4475" s="396">
        <f>+F4474</f>
        <v>250000</v>
      </c>
      <c r="H4475" t="str">
        <f>+H4474</f>
        <v>Rebeca Ayala Marfil / Azul</v>
      </c>
      <c r="I4475" s="347" t="s">
        <v>131</v>
      </c>
      <c r="K4475" s="370"/>
      <c r="N4475" s="370"/>
    </row>
    <row r="4476" spans="1:14" s="347" customFormat="1" x14ac:dyDescent="0.25">
      <c r="A4476" s="369"/>
      <c r="E4476" s="396"/>
      <c r="F4476" s="396"/>
      <c r="G4476" s="396"/>
      <c r="K4476" s="370"/>
      <c r="N4476" s="370"/>
    </row>
    <row r="4477" spans="1:14" s="347" customFormat="1" x14ac:dyDescent="0.25">
      <c r="A4477" s="369">
        <v>44461</v>
      </c>
      <c r="B4477" s="347">
        <f>+MONTH(A4477)</f>
        <v>9</v>
      </c>
      <c r="C4477" s="347">
        <v>115</v>
      </c>
      <c r="D4477" s="340" t="str">
        <f>VLOOKUP(C4477,Plan!A$1:B$65542,2,0)</f>
        <v>Disponible Cali B.Chile</v>
      </c>
      <c r="E4477" s="341">
        <f>+F4477-G4477</f>
        <v>10000</v>
      </c>
      <c r="F4477" s="396">
        <v>10000</v>
      </c>
      <c r="G4477" s="396">
        <v>0</v>
      </c>
      <c r="H4477" t="s">
        <v>1517</v>
      </c>
      <c r="I4477" s="347" t="s">
        <v>131</v>
      </c>
      <c r="K4477" s="370"/>
      <c r="N4477" s="370"/>
    </row>
    <row r="4478" spans="1:14" s="347" customFormat="1" x14ac:dyDescent="0.25">
      <c r="A4478" s="369">
        <f>+A4477</f>
        <v>44461</v>
      </c>
      <c r="B4478" s="347">
        <f>+B4477</f>
        <v>9</v>
      </c>
      <c r="C4478" s="347">
        <v>1222</v>
      </c>
      <c r="D4478" s="340" t="str">
        <f>VLOOKUP(C4478,Plan!A$1:B$65542,2,0)</f>
        <v>Otros Valores -Oficina y Transferencias (249)</v>
      </c>
      <c r="E4478" s="341">
        <f>+F4478-G4478</f>
        <v>-10000</v>
      </c>
      <c r="F4478" s="396">
        <v>0</v>
      </c>
      <c r="G4478" s="396">
        <f>+F4477</f>
        <v>10000</v>
      </c>
      <c r="H4478" t="str">
        <f>+H4477</f>
        <v>Jacqueline Dale / 249</v>
      </c>
      <c r="I4478" s="347" t="s">
        <v>131</v>
      </c>
      <c r="K4478" s="370"/>
      <c r="N4478" s="370"/>
    </row>
    <row r="4479" spans="1:14" s="347" customFormat="1" x14ac:dyDescent="0.25">
      <c r="A4479" s="369"/>
      <c r="E4479" s="396"/>
      <c r="F4479" s="396"/>
      <c r="G4479" s="396"/>
      <c r="K4479" s="370"/>
      <c r="N4479" s="370"/>
    </row>
    <row r="4480" spans="1:14" s="347" customFormat="1" x14ac:dyDescent="0.25">
      <c r="A4480" s="369">
        <v>44461</v>
      </c>
      <c r="B4480" s="347">
        <f>+MONTH(A4480)</f>
        <v>9</v>
      </c>
      <c r="C4480" s="347">
        <v>115</v>
      </c>
      <c r="D4480" s="340" t="str">
        <f>VLOOKUP(C4480,Plan!A$1:B$65542,2,0)</f>
        <v>Disponible Cali B.Chile</v>
      </c>
      <c r="E4480" s="341">
        <f>+F4480-G4480</f>
        <v>1500</v>
      </c>
      <c r="F4480" s="396">
        <v>1500</v>
      </c>
      <c r="G4480" s="396">
        <v>0</v>
      </c>
      <c r="H4480" t="s">
        <v>1010</v>
      </c>
      <c r="I4480" s="347" t="s">
        <v>131</v>
      </c>
      <c r="K4480" s="370"/>
      <c r="N4480" s="370"/>
    </row>
    <row r="4481" spans="1:14" s="347" customFormat="1" x14ac:dyDescent="0.25">
      <c r="A4481" s="369">
        <f>+A4480</f>
        <v>44461</v>
      </c>
      <c r="B4481" s="347">
        <f>+B4480</f>
        <v>9</v>
      </c>
      <c r="C4481" s="347">
        <v>216</v>
      </c>
      <c r="D4481" s="340" t="str">
        <f>VLOOKUP(C4481,Plan!A$1:B$65542,2,0)</f>
        <v>Cuenta por Pagar a Administración Colectas</v>
      </c>
      <c r="E4481" s="341">
        <f>+F4481-G4481</f>
        <v>-1500</v>
      </c>
      <c r="F4481" s="396">
        <v>0</v>
      </c>
      <c r="G4481" s="396">
        <f>+F4480</f>
        <v>1500</v>
      </c>
      <c r="H4481" t="str">
        <f>+H4480</f>
        <v>Colecta Raimundo Barros</v>
      </c>
      <c r="I4481" s="347" t="s">
        <v>131</v>
      </c>
      <c r="K4481" s="370"/>
      <c r="N4481" s="370"/>
    </row>
    <row r="4482" spans="1:14" s="347" customFormat="1" x14ac:dyDescent="0.25">
      <c r="A4482" s="369"/>
      <c r="E4482" s="396"/>
      <c r="F4482" s="396"/>
      <c r="G4482" s="396"/>
      <c r="K4482" s="370"/>
      <c r="N4482" s="370"/>
    </row>
    <row r="4483" spans="1:14" s="347" customFormat="1" x14ac:dyDescent="0.25">
      <c r="A4483" s="369">
        <v>44461</v>
      </c>
      <c r="B4483" s="347">
        <f>+MONTH(A4483)</f>
        <v>9</v>
      </c>
      <c r="C4483" s="347">
        <v>115</v>
      </c>
      <c r="D4483" s="340" t="str">
        <f>VLOOKUP(C4483,Plan!A$1:B$65542,2,0)</f>
        <v>Disponible Cali B.Chile</v>
      </c>
      <c r="E4483" s="341">
        <f>+F4483-G4483</f>
        <v>50000</v>
      </c>
      <c r="F4483" s="396">
        <v>50000</v>
      </c>
      <c r="G4483" s="396">
        <v>0</v>
      </c>
      <c r="H4483" s="338" t="s">
        <v>1687</v>
      </c>
      <c r="I4483" s="347" t="s">
        <v>131</v>
      </c>
      <c r="K4483" s="370"/>
      <c r="N4483" s="370"/>
    </row>
    <row r="4484" spans="1:14" s="347" customFormat="1" x14ac:dyDescent="0.25">
      <c r="A4484" s="369">
        <f>+A4483</f>
        <v>44461</v>
      </c>
      <c r="B4484" s="347">
        <f>+B4483</f>
        <v>9</v>
      </c>
      <c r="C4484" s="347">
        <v>1216</v>
      </c>
      <c r="D4484" s="340" t="str">
        <f>VLOOKUP(C4484,Plan!A$1:B$65542,2,0)</f>
        <v>Otros Valores Recaudadoras</v>
      </c>
      <c r="E4484" s="341">
        <f>+F4484-G4484</f>
        <v>-50000</v>
      </c>
      <c r="F4484" s="396">
        <v>0</v>
      </c>
      <c r="G4484" s="396">
        <f>+F4483</f>
        <v>50000</v>
      </c>
      <c r="H4484" s="338" t="s">
        <v>1687</v>
      </c>
      <c r="I4484" s="347" t="s">
        <v>131</v>
      </c>
      <c r="K4484" s="370"/>
      <c r="N4484" s="370"/>
    </row>
    <row r="4485" spans="1:14" s="347" customFormat="1" x14ac:dyDescent="0.25">
      <c r="A4485" s="369"/>
      <c r="E4485" s="396"/>
      <c r="F4485" s="396"/>
      <c r="G4485" s="396"/>
      <c r="K4485" s="370"/>
      <c r="N4485" s="370"/>
    </row>
    <row r="4486" spans="1:14" s="347" customFormat="1" x14ac:dyDescent="0.25">
      <c r="A4486" s="369">
        <v>44461</v>
      </c>
      <c r="B4486" s="347">
        <f>+MONTH(A4486)</f>
        <v>9</v>
      </c>
      <c r="C4486" s="347">
        <v>115</v>
      </c>
      <c r="D4486" s="340" t="str">
        <f>VLOOKUP(C4486,Plan!A$1:B$65542,2,0)</f>
        <v>Disponible Cali B.Chile</v>
      </c>
      <c r="E4486" s="341">
        <f>+F4486-G4486</f>
        <v>7000</v>
      </c>
      <c r="F4486" s="396">
        <v>7000</v>
      </c>
      <c r="G4486" s="396">
        <v>0</v>
      </c>
      <c r="H4486" s="338" t="s">
        <v>1687</v>
      </c>
      <c r="I4486" s="347" t="s">
        <v>131</v>
      </c>
      <c r="K4486" s="370"/>
      <c r="N4486" s="370"/>
    </row>
    <row r="4487" spans="1:14" s="347" customFormat="1" x14ac:dyDescent="0.25">
      <c r="A4487" s="369">
        <f>+A4486</f>
        <v>44461</v>
      </c>
      <c r="B4487" s="347">
        <f>+B4486</f>
        <v>9</v>
      </c>
      <c r="C4487" s="347">
        <v>1216</v>
      </c>
      <c r="D4487" s="340" t="str">
        <f>VLOOKUP(C4487,Plan!A$1:B$65542,2,0)</f>
        <v>Otros Valores Recaudadoras</v>
      </c>
      <c r="E4487" s="341">
        <f>+F4487-G4487</f>
        <v>-7000</v>
      </c>
      <c r="F4487" s="396">
        <v>0</v>
      </c>
      <c r="G4487" s="396">
        <f>+F4486</f>
        <v>7000</v>
      </c>
      <c r="H4487" s="338" t="s">
        <v>1687</v>
      </c>
      <c r="I4487" s="347" t="s">
        <v>131</v>
      </c>
      <c r="K4487" s="370"/>
      <c r="N4487" s="370"/>
    </row>
    <row r="4488" spans="1:14" s="347" customFormat="1" x14ac:dyDescent="0.25">
      <c r="A4488" s="369"/>
      <c r="E4488" s="396"/>
      <c r="F4488" s="396"/>
      <c r="G4488" s="396"/>
      <c r="K4488" s="370"/>
      <c r="N4488" s="370"/>
    </row>
    <row r="4489" spans="1:14" s="347" customFormat="1" x14ac:dyDescent="0.25">
      <c r="A4489" s="369">
        <v>44461</v>
      </c>
      <c r="B4489" s="347">
        <f>+MONTH(A4489)</f>
        <v>9</v>
      </c>
      <c r="C4489" s="347">
        <v>115</v>
      </c>
      <c r="D4489" s="340" t="str">
        <f>VLOOKUP(C4489,Plan!A$1:B$65542,2,0)</f>
        <v>Disponible Cali B.Chile</v>
      </c>
      <c r="E4489" s="341">
        <f>+F4489-G4489</f>
        <v>15000</v>
      </c>
      <c r="F4489" s="396">
        <v>15000</v>
      </c>
      <c r="G4489" s="396">
        <v>0</v>
      </c>
      <c r="H4489" s="338" t="s">
        <v>1687</v>
      </c>
      <c r="I4489" s="347" t="s">
        <v>131</v>
      </c>
      <c r="K4489" s="370"/>
      <c r="N4489" s="370"/>
    </row>
    <row r="4490" spans="1:14" s="347" customFormat="1" x14ac:dyDescent="0.25">
      <c r="A4490" s="369">
        <f>+A4489</f>
        <v>44461</v>
      </c>
      <c r="B4490" s="347">
        <f>+B4489</f>
        <v>9</v>
      </c>
      <c r="C4490" s="347">
        <v>1216</v>
      </c>
      <c r="D4490" s="340" t="str">
        <f>VLOOKUP(C4490,Plan!A$1:B$65542,2,0)</f>
        <v>Otros Valores Recaudadoras</v>
      </c>
      <c r="E4490" s="341">
        <f>+F4490-G4490</f>
        <v>-15000</v>
      </c>
      <c r="F4490" s="396">
        <v>0</v>
      </c>
      <c r="G4490" s="396">
        <f>+F4489</f>
        <v>15000</v>
      </c>
      <c r="H4490" s="338" t="s">
        <v>1687</v>
      </c>
      <c r="I4490" s="347" t="s">
        <v>131</v>
      </c>
      <c r="K4490" s="370"/>
      <c r="N4490" s="370"/>
    </row>
    <row r="4491" spans="1:14" s="347" customFormat="1" x14ac:dyDescent="0.25">
      <c r="A4491" s="369"/>
      <c r="E4491" s="396"/>
      <c r="F4491" s="396"/>
      <c r="G4491" s="396"/>
      <c r="K4491" s="370"/>
      <c r="N4491" s="370"/>
    </row>
    <row r="4492" spans="1:14" s="347" customFormat="1" x14ac:dyDescent="0.25">
      <c r="A4492" s="369">
        <v>44462</v>
      </c>
      <c r="B4492" s="347">
        <f>+MONTH(A4492)</f>
        <v>9</v>
      </c>
      <c r="C4492" s="347">
        <v>115</v>
      </c>
      <c r="D4492" s="340" t="str">
        <f>VLOOKUP(C4492,Plan!A$1:B$65542,2,0)</f>
        <v>Disponible Cali B.Chile</v>
      </c>
      <c r="E4492" s="341">
        <f>+F4492-G4492</f>
        <v>30000</v>
      </c>
      <c r="F4492" s="396">
        <v>30000</v>
      </c>
      <c r="G4492" s="396">
        <v>0</v>
      </c>
      <c r="H4492" t="s">
        <v>1032</v>
      </c>
      <c r="I4492" s="347" t="s">
        <v>131</v>
      </c>
      <c r="K4492" s="370"/>
      <c r="N4492" s="370"/>
    </row>
    <row r="4493" spans="1:14" s="347" customFormat="1" x14ac:dyDescent="0.25">
      <c r="A4493" s="369">
        <f>+A4492</f>
        <v>44462</v>
      </c>
      <c r="B4493" s="347">
        <f>+B4492</f>
        <v>9</v>
      </c>
      <c r="C4493" s="347">
        <v>1217</v>
      </c>
      <c r="D4493" s="340" t="str">
        <f>VLOOKUP(C4493,Plan!A$1:B$65542,2,0)</f>
        <v>Otros Valores -Oficina y Transferencias (248)</v>
      </c>
      <c r="E4493" s="341">
        <f>+F4493-G4493</f>
        <v>-30000</v>
      </c>
      <c r="F4493" s="396">
        <v>0</v>
      </c>
      <c r="G4493" s="396">
        <f>+F4492</f>
        <v>30000</v>
      </c>
      <c r="H4493" t="str">
        <f>+H4492</f>
        <v>Luis  E. Domínguez / 248</v>
      </c>
      <c r="I4493" s="347" t="s">
        <v>131</v>
      </c>
      <c r="K4493" s="370"/>
      <c r="N4493" s="370"/>
    </row>
    <row r="4494" spans="1:14" s="347" customFormat="1" x14ac:dyDescent="0.25">
      <c r="A4494" s="369"/>
      <c r="E4494" s="396"/>
      <c r="F4494" s="396"/>
      <c r="G4494" s="396"/>
      <c r="K4494" s="370"/>
      <c r="N4494" s="370"/>
    </row>
    <row r="4495" spans="1:14" s="347" customFormat="1" x14ac:dyDescent="0.25">
      <c r="A4495" s="369">
        <v>44462</v>
      </c>
      <c r="B4495" s="347">
        <f>+MONTH(A4495)</f>
        <v>9</v>
      </c>
      <c r="C4495" s="347">
        <v>115</v>
      </c>
      <c r="D4495" s="340" t="str">
        <f>VLOOKUP(C4495,Plan!A$1:B$65542,2,0)</f>
        <v>Disponible Cali B.Chile</v>
      </c>
      <c r="E4495" s="341">
        <f>+F4495-G4495</f>
        <v>100000</v>
      </c>
      <c r="F4495" s="396">
        <v>100000</v>
      </c>
      <c r="G4495" s="396">
        <v>0</v>
      </c>
      <c r="H4495" t="s">
        <v>1695</v>
      </c>
      <c r="I4495" s="347" t="s">
        <v>131</v>
      </c>
      <c r="K4495" s="370"/>
      <c r="N4495" s="370"/>
    </row>
    <row r="4496" spans="1:14" s="347" customFormat="1" x14ac:dyDescent="0.25">
      <c r="A4496" s="369">
        <f>+A4495</f>
        <v>44462</v>
      </c>
      <c r="B4496" s="347">
        <f>+B4495</f>
        <v>9</v>
      </c>
      <c r="C4496" s="347">
        <v>3210</v>
      </c>
      <c r="D4496" s="340" t="str">
        <f>VLOOKUP(C4496,Plan!A$1:B$65542,2,0)</f>
        <v>Donacion Construccion</v>
      </c>
      <c r="E4496" s="341">
        <f>+F4496-G4496</f>
        <v>-100000</v>
      </c>
      <c r="F4496" s="396">
        <v>0</v>
      </c>
      <c r="G4496" s="396">
        <f>+F4495</f>
        <v>100000</v>
      </c>
      <c r="H4496" t="str">
        <f>+H4495</f>
        <v>Ricardo Cruzat Ochagavia / Azul</v>
      </c>
      <c r="I4496" s="347" t="s">
        <v>131</v>
      </c>
      <c r="K4496" s="370"/>
      <c r="N4496" s="370"/>
    </row>
    <row r="4497" spans="1:14" s="347" customFormat="1" x14ac:dyDescent="0.25">
      <c r="A4497" s="369"/>
      <c r="E4497" s="396"/>
      <c r="F4497" s="396"/>
      <c r="G4497" s="396"/>
      <c r="K4497" s="370"/>
      <c r="N4497" s="370"/>
    </row>
    <row r="4498" spans="1:14" s="347" customFormat="1" x14ac:dyDescent="0.25">
      <c r="A4498" s="369">
        <v>44462</v>
      </c>
      <c r="B4498" s="347">
        <f>+MONTH(A4498)</f>
        <v>9</v>
      </c>
      <c r="C4498" s="347">
        <v>115</v>
      </c>
      <c r="D4498" s="340" t="str">
        <f>VLOOKUP(C4498,Plan!A$1:B$65542,2,0)</f>
        <v>Disponible Cali B.Chile</v>
      </c>
      <c r="E4498" s="341">
        <f>+F4498-G4498</f>
        <v>20000</v>
      </c>
      <c r="F4498" s="396">
        <v>20000</v>
      </c>
      <c r="G4498" s="396">
        <v>0</v>
      </c>
      <c r="H4498" t="s">
        <v>1033</v>
      </c>
      <c r="I4498" s="347" t="s">
        <v>131</v>
      </c>
      <c r="K4498" s="370"/>
      <c r="N4498" s="370"/>
    </row>
    <row r="4499" spans="1:14" s="347" customFormat="1" x14ac:dyDescent="0.25">
      <c r="A4499" s="369">
        <f>+A4498</f>
        <v>44462</v>
      </c>
      <c r="B4499" s="347">
        <f>+B4498</f>
        <v>9</v>
      </c>
      <c r="C4499" s="347">
        <v>1222</v>
      </c>
      <c r="D4499" s="340" t="str">
        <f>VLOOKUP(C4499,Plan!A$1:B$65542,2,0)</f>
        <v>Otros Valores -Oficina y Transferencias (249)</v>
      </c>
      <c r="E4499" s="341">
        <f>+F4499-G4499</f>
        <v>-20000</v>
      </c>
      <c r="F4499" s="396">
        <v>0</v>
      </c>
      <c r="G4499" s="396">
        <f>+F4498</f>
        <v>20000</v>
      </c>
      <c r="H4499" t="str">
        <f>+H4498</f>
        <v>Verónica Sapag Puelma / 249</v>
      </c>
      <c r="I4499" s="347" t="s">
        <v>131</v>
      </c>
      <c r="K4499" s="370"/>
      <c r="N4499" s="370"/>
    </row>
    <row r="4500" spans="1:14" s="347" customFormat="1" x14ac:dyDescent="0.25">
      <c r="A4500" s="369"/>
      <c r="E4500" s="396"/>
      <c r="F4500" s="396"/>
      <c r="G4500" s="396"/>
      <c r="K4500" s="370"/>
      <c r="N4500" s="370"/>
    </row>
    <row r="4501" spans="1:14" s="347" customFormat="1" x14ac:dyDescent="0.25">
      <c r="A4501" s="369">
        <v>44463</v>
      </c>
      <c r="B4501" s="347">
        <f>+MONTH(A4501)</f>
        <v>9</v>
      </c>
      <c r="C4501" s="347">
        <v>115</v>
      </c>
      <c r="D4501" s="340" t="str">
        <f>VLOOKUP(C4501,Plan!A$1:B$65542,2,0)</f>
        <v>Disponible Cali B.Chile</v>
      </c>
      <c r="E4501" s="341">
        <f>+F4501-G4501</f>
        <v>35000</v>
      </c>
      <c r="F4501" s="396">
        <v>35000</v>
      </c>
      <c r="G4501" s="396">
        <v>0</v>
      </c>
      <c r="H4501" s="338" t="s">
        <v>1687</v>
      </c>
      <c r="I4501" s="347" t="s">
        <v>131</v>
      </c>
      <c r="K4501" s="370"/>
      <c r="N4501" s="370"/>
    </row>
    <row r="4502" spans="1:14" s="347" customFormat="1" x14ac:dyDescent="0.25">
      <c r="A4502" s="369">
        <f>+A4501</f>
        <v>44463</v>
      </c>
      <c r="B4502" s="347">
        <f>+B4501</f>
        <v>9</v>
      </c>
      <c r="C4502" s="347">
        <v>1216</v>
      </c>
      <c r="D4502" s="340" t="str">
        <f>VLOOKUP(C4502,Plan!A$1:B$65542,2,0)</f>
        <v>Otros Valores Recaudadoras</v>
      </c>
      <c r="E4502" s="341">
        <f>+F4502-G4502</f>
        <v>-35000</v>
      </c>
      <c r="F4502" s="396">
        <v>0</v>
      </c>
      <c r="G4502" s="396">
        <f>+F4501</f>
        <v>35000</v>
      </c>
      <c r="H4502" s="338" t="s">
        <v>1687</v>
      </c>
      <c r="I4502" s="347" t="s">
        <v>131</v>
      </c>
      <c r="K4502" s="370"/>
      <c r="N4502" s="370"/>
    </row>
    <row r="4503" spans="1:14" s="347" customFormat="1" x14ac:dyDescent="0.25">
      <c r="A4503" s="369"/>
      <c r="E4503" s="396"/>
      <c r="F4503" s="396"/>
      <c r="G4503" s="396"/>
      <c r="K4503" s="370"/>
      <c r="N4503" s="370"/>
    </row>
    <row r="4504" spans="1:14" s="347" customFormat="1" x14ac:dyDescent="0.25">
      <c r="A4504" s="369">
        <v>44466</v>
      </c>
      <c r="B4504" s="347">
        <f>+MONTH(A4504)</f>
        <v>9</v>
      </c>
      <c r="C4504" s="347">
        <v>115</v>
      </c>
      <c r="D4504" s="340" t="str">
        <f>VLOOKUP(C4504,Plan!A$1:B$65542,2,0)</f>
        <v>Disponible Cali B.Chile</v>
      </c>
      <c r="E4504" s="341">
        <f>+F4504-G4504</f>
        <v>3000000</v>
      </c>
      <c r="F4504" s="396">
        <v>3000000</v>
      </c>
      <c r="G4504" s="396">
        <v>0</v>
      </c>
      <c r="H4504" t="s">
        <v>1668</v>
      </c>
      <c r="I4504" s="347" t="s">
        <v>131</v>
      </c>
      <c r="K4504" s="370"/>
      <c r="N4504" s="370"/>
    </row>
    <row r="4505" spans="1:14" s="347" customFormat="1" x14ac:dyDescent="0.25">
      <c r="A4505" s="369">
        <f>+A4504</f>
        <v>44466</v>
      </c>
      <c r="B4505" s="347">
        <f>+B4504</f>
        <v>9</v>
      </c>
      <c r="C4505" s="347">
        <v>3210</v>
      </c>
      <c r="D4505" s="340" t="str">
        <f>VLOOKUP(C4505,Plan!A$1:B$65542,2,0)</f>
        <v>Donacion Construccion</v>
      </c>
      <c r="E4505" s="341">
        <f>+F4505-G4505</f>
        <v>-3000000</v>
      </c>
      <c r="F4505" s="396">
        <v>0</v>
      </c>
      <c r="G4505" s="396">
        <f>+F4504</f>
        <v>3000000</v>
      </c>
      <c r="H4505" t="str">
        <f>+H4504</f>
        <v>José Tomás Guzmán Rencoret / Azul</v>
      </c>
      <c r="I4505" s="347" t="s">
        <v>131</v>
      </c>
      <c r="K4505" s="370"/>
      <c r="N4505" s="370"/>
    </row>
    <row r="4506" spans="1:14" s="347" customFormat="1" x14ac:dyDescent="0.25">
      <c r="A4506" s="369"/>
      <c r="E4506" s="396"/>
      <c r="F4506" s="396"/>
      <c r="G4506" s="396"/>
      <c r="K4506" s="370"/>
      <c r="N4506" s="370"/>
    </row>
    <row r="4507" spans="1:14" s="347" customFormat="1" x14ac:dyDescent="0.25">
      <c r="A4507" s="369">
        <v>44466</v>
      </c>
      <c r="B4507" s="347">
        <f>+MONTH(A4507)</f>
        <v>9</v>
      </c>
      <c r="C4507" s="347">
        <v>115</v>
      </c>
      <c r="D4507" s="340" t="str">
        <f>VLOOKUP(C4507,Plan!A$1:B$65542,2,0)</f>
        <v>Disponible Cali B.Chile</v>
      </c>
      <c r="E4507" s="341">
        <f>+F4507-G4507</f>
        <v>10000</v>
      </c>
      <c r="F4507" s="396">
        <v>10000</v>
      </c>
      <c r="G4507" s="396">
        <v>0</v>
      </c>
      <c r="H4507" t="s">
        <v>1036</v>
      </c>
      <c r="I4507" s="347" t="s">
        <v>131</v>
      </c>
      <c r="K4507" s="370"/>
      <c r="N4507" s="370"/>
    </row>
    <row r="4508" spans="1:14" s="347" customFormat="1" x14ac:dyDescent="0.25">
      <c r="A4508" s="369">
        <f>+A4507</f>
        <v>44466</v>
      </c>
      <c r="B4508" s="347">
        <f>+B4507</f>
        <v>9</v>
      </c>
      <c r="C4508" s="347">
        <v>3210</v>
      </c>
      <c r="D4508" s="340" t="str">
        <f>VLOOKUP(C4508,Plan!A$1:B$65542,2,0)</f>
        <v>Donacion Construccion</v>
      </c>
      <c r="E4508" s="341">
        <f>+F4508-G4508</f>
        <v>-10000</v>
      </c>
      <c r="F4508" s="396">
        <v>0</v>
      </c>
      <c r="G4508" s="396">
        <f>+F4507</f>
        <v>10000</v>
      </c>
      <c r="H4508" t="str">
        <f>+H4507</f>
        <v>Francisco Sanhueza /Azul</v>
      </c>
      <c r="I4508" s="347" t="s">
        <v>131</v>
      </c>
      <c r="K4508" s="370"/>
      <c r="N4508" s="370"/>
    </row>
    <row r="4509" spans="1:14" s="347" customFormat="1" x14ac:dyDescent="0.25">
      <c r="A4509" s="369"/>
      <c r="E4509" s="396"/>
      <c r="F4509" s="396"/>
      <c r="G4509" s="396"/>
      <c r="K4509" s="370"/>
      <c r="N4509" s="370"/>
    </row>
    <row r="4510" spans="1:14" s="347" customFormat="1" x14ac:dyDescent="0.25">
      <c r="A4510" s="369">
        <v>44466</v>
      </c>
      <c r="B4510" s="347">
        <f>+MONTH(A4510)</f>
        <v>9</v>
      </c>
      <c r="C4510" s="347">
        <v>115</v>
      </c>
      <c r="D4510" s="340" t="str">
        <f>VLOOKUP(C4510,Plan!A$1:B$65542,2,0)</f>
        <v>Disponible Cali B.Chile</v>
      </c>
      <c r="E4510" s="341">
        <f>+F4510-G4510</f>
        <v>10000</v>
      </c>
      <c r="F4510" s="396">
        <v>10000</v>
      </c>
      <c r="G4510" s="396">
        <v>0</v>
      </c>
      <c r="H4510" t="s">
        <v>1093</v>
      </c>
      <c r="I4510" s="347" t="s">
        <v>131</v>
      </c>
      <c r="K4510" s="370"/>
      <c r="N4510" s="370"/>
    </row>
    <row r="4511" spans="1:14" s="347" customFormat="1" x14ac:dyDescent="0.25">
      <c r="A4511" s="369">
        <f>+A4510</f>
        <v>44466</v>
      </c>
      <c r="B4511" s="347">
        <f>+B4510</f>
        <v>9</v>
      </c>
      <c r="C4511" s="347">
        <v>1222</v>
      </c>
      <c r="D4511" s="340" t="str">
        <f>VLOOKUP(C4511,Plan!A$1:B$65542,2,0)</f>
        <v>Otros Valores -Oficina y Transferencias (249)</v>
      </c>
      <c r="E4511" s="341">
        <f>+F4511-G4511</f>
        <v>-10000</v>
      </c>
      <c r="F4511" s="396">
        <v>0</v>
      </c>
      <c r="G4511" s="396">
        <f>+F4510</f>
        <v>10000</v>
      </c>
      <c r="H4511" t="str">
        <f>+H4510</f>
        <v>José Miguel Pérez de Castro Z./249</v>
      </c>
      <c r="I4511" s="347" t="s">
        <v>131</v>
      </c>
      <c r="K4511" s="370"/>
      <c r="N4511" s="370"/>
    </row>
    <row r="4512" spans="1:14" s="347" customFormat="1" x14ac:dyDescent="0.25">
      <c r="A4512" s="369"/>
      <c r="E4512" s="396"/>
      <c r="F4512" s="396"/>
      <c r="G4512" s="396"/>
      <c r="K4512" s="370"/>
      <c r="N4512" s="370"/>
    </row>
    <row r="4513" spans="1:14" s="347" customFormat="1" x14ac:dyDescent="0.25">
      <c r="A4513" s="369">
        <v>44466</v>
      </c>
      <c r="B4513" s="347">
        <f>+MONTH(A4513)</f>
        <v>9</v>
      </c>
      <c r="C4513" s="347">
        <v>115</v>
      </c>
      <c r="D4513" s="340" t="str">
        <f>VLOOKUP(C4513,Plan!A$1:B$65542,2,0)</f>
        <v>Disponible Cali B.Chile</v>
      </c>
      <c r="E4513" s="341">
        <f>+F4513-G4513</f>
        <v>1289642</v>
      </c>
      <c r="F4513" s="396">
        <v>1289642</v>
      </c>
      <c r="G4513" s="396">
        <v>0</v>
      </c>
      <c r="H4513" t="s">
        <v>2090</v>
      </c>
      <c r="I4513" s="347" t="s">
        <v>131</v>
      </c>
      <c r="K4513" s="370"/>
      <c r="N4513" s="370"/>
    </row>
    <row r="4514" spans="1:14" s="347" customFormat="1" x14ac:dyDescent="0.25">
      <c r="A4514" s="369">
        <f>+A4513</f>
        <v>44466</v>
      </c>
      <c r="B4514" s="347">
        <f>+B4513</f>
        <v>9</v>
      </c>
      <c r="C4514" s="347">
        <v>3210</v>
      </c>
      <c r="D4514" s="340" t="str">
        <f>VLOOKUP(C4514,Plan!A$1:B$65542,2,0)</f>
        <v>Donacion Construccion</v>
      </c>
      <c r="E4514" s="341">
        <f>+F4514-G4514</f>
        <v>-1289642</v>
      </c>
      <c r="F4514" s="396">
        <v>0</v>
      </c>
      <c r="G4514" s="396">
        <f>+F4513</f>
        <v>1289642</v>
      </c>
      <c r="H4514" t="str">
        <f>+H4513</f>
        <v>T/C Azules Septiembre 2021 Abono Transbank</v>
      </c>
      <c r="I4514" s="347" t="s">
        <v>131</v>
      </c>
      <c r="K4514" s="370"/>
      <c r="N4514" s="370"/>
    </row>
    <row r="4515" spans="1:14" s="347" customFormat="1" x14ac:dyDescent="0.25">
      <c r="A4515" s="369"/>
      <c r="E4515" s="396"/>
      <c r="F4515" s="396"/>
      <c r="G4515" s="396"/>
      <c r="K4515" s="370"/>
      <c r="N4515" s="370"/>
    </row>
    <row r="4516" spans="1:14" s="347" customFormat="1" x14ac:dyDescent="0.25">
      <c r="A4516" s="369">
        <v>44466</v>
      </c>
      <c r="B4516" s="347">
        <f>+MONTH(A4516)</f>
        <v>9</v>
      </c>
      <c r="C4516" s="347">
        <v>115</v>
      </c>
      <c r="D4516" s="340" t="str">
        <f>VLOOKUP(C4516,Plan!A$1:B$65542,2,0)</f>
        <v>Disponible Cali B.Chile</v>
      </c>
      <c r="E4516" s="341">
        <f>+F4516-G4516</f>
        <v>10000</v>
      </c>
      <c r="F4516" s="396">
        <v>10000</v>
      </c>
      <c r="G4516" s="396">
        <v>0</v>
      </c>
      <c r="H4516" t="s">
        <v>1027</v>
      </c>
      <c r="I4516" s="347" t="s">
        <v>131</v>
      </c>
      <c r="K4516" s="370"/>
      <c r="N4516" s="370"/>
    </row>
    <row r="4517" spans="1:14" s="347" customFormat="1" x14ac:dyDescent="0.25">
      <c r="A4517" s="369">
        <f>+A4516</f>
        <v>44466</v>
      </c>
      <c r="B4517" s="347">
        <f>+B4516</f>
        <v>9</v>
      </c>
      <c r="C4517" s="347">
        <v>1217</v>
      </c>
      <c r="D4517" s="340" t="str">
        <f>VLOOKUP(C4517,Plan!A$1:B$65542,2,0)</f>
        <v>Otros Valores -Oficina y Transferencias (248)</v>
      </c>
      <c r="E4517" s="341">
        <f>+F4517-G4517</f>
        <v>-10000</v>
      </c>
      <c r="F4517" s="396">
        <v>0</v>
      </c>
      <c r="G4517" s="396">
        <f>+F4516</f>
        <v>10000</v>
      </c>
      <c r="H4517" t="str">
        <f>+H4516</f>
        <v>GODOY CAMUS CARLOS IGNACIO/248</v>
      </c>
      <c r="I4517" s="347" t="s">
        <v>131</v>
      </c>
      <c r="K4517" s="370"/>
      <c r="N4517" s="370"/>
    </row>
    <row r="4518" spans="1:14" s="347" customFormat="1" x14ac:dyDescent="0.25">
      <c r="A4518" s="369"/>
      <c r="E4518" s="396"/>
      <c r="F4518" s="396"/>
      <c r="G4518" s="396"/>
      <c r="K4518" s="370"/>
      <c r="N4518" s="370"/>
    </row>
    <row r="4519" spans="1:14" s="347" customFormat="1" x14ac:dyDescent="0.25">
      <c r="A4519" s="369">
        <v>44467</v>
      </c>
      <c r="B4519" s="347">
        <f>+MONTH(A4519)</f>
        <v>9</v>
      </c>
      <c r="C4519" s="347">
        <v>115</v>
      </c>
      <c r="D4519" s="340" t="str">
        <f>VLOOKUP(C4519,Plan!A$1:B$65542,2,0)</f>
        <v>Disponible Cali B.Chile</v>
      </c>
      <c r="E4519" s="341">
        <f>+F4519-G4519</f>
        <v>2157843</v>
      </c>
      <c r="F4519" s="396">
        <v>2157843</v>
      </c>
      <c r="G4519" s="396">
        <v>0</v>
      </c>
      <c r="H4519" t="s">
        <v>2091</v>
      </c>
      <c r="I4519" s="347" t="s">
        <v>131</v>
      </c>
      <c r="K4519" s="370"/>
      <c r="N4519" s="370"/>
    </row>
    <row r="4520" spans="1:14" s="347" customFormat="1" x14ac:dyDescent="0.25">
      <c r="A4520" s="369">
        <f>+A4519</f>
        <v>44467</v>
      </c>
      <c r="B4520" s="347">
        <f>+B4519</f>
        <v>9</v>
      </c>
      <c r="C4520" s="347">
        <v>1219</v>
      </c>
      <c r="D4520" s="340" t="str">
        <f>VLOOKUP(C4520,Plan!A$1:B$65542,2,0)</f>
        <v>Otros Valores Arzobispado (248)</v>
      </c>
      <c r="E4520" s="341">
        <f>+F4520-G4520</f>
        <v>-2157843</v>
      </c>
      <c r="F4520" s="396">
        <v>0</v>
      </c>
      <c r="G4520" s="396">
        <f>+F4519</f>
        <v>2157843</v>
      </c>
      <c r="H4520" t="str">
        <f>+H4519</f>
        <v>Arzobispado de Stgo Agosto / 248</v>
      </c>
      <c r="I4520" s="347" t="s">
        <v>131</v>
      </c>
      <c r="K4520" s="370"/>
      <c r="N4520" s="370"/>
    </row>
    <row r="4521" spans="1:14" s="347" customFormat="1" x14ac:dyDescent="0.25">
      <c r="A4521" s="369"/>
      <c r="E4521" s="396"/>
      <c r="F4521" s="396"/>
      <c r="G4521" s="396"/>
      <c r="K4521" s="370"/>
      <c r="N4521" s="370"/>
    </row>
    <row r="4522" spans="1:14" s="347" customFormat="1" x14ac:dyDescent="0.25">
      <c r="A4522" s="369">
        <v>44467</v>
      </c>
      <c r="B4522" s="347">
        <f>+MONTH(A4522)</f>
        <v>9</v>
      </c>
      <c r="C4522" s="347">
        <v>115</v>
      </c>
      <c r="D4522" s="340" t="str">
        <f>VLOOKUP(C4522,Plan!A$1:B$65542,2,0)</f>
        <v>Disponible Cali B.Chile</v>
      </c>
      <c r="E4522" s="341">
        <f>+F4522-G4522</f>
        <v>1901533</v>
      </c>
      <c r="F4522" s="155">
        <v>1901533</v>
      </c>
      <c r="G4522" s="396">
        <v>0</v>
      </c>
      <c r="H4522" t="s">
        <v>2092</v>
      </c>
      <c r="I4522" s="347" t="s">
        <v>131</v>
      </c>
      <c r="K4522" s="370"/>
      <c r="N4522" s="370"/>
    </row>
    <row r="4523" spans="1:14" s="347" customFormat="1" x14ac:dyDescent="0.25">
      <c r="A4523" s="369">
        <f>+A4522</f>
        <v>44467</v>
      </c>
      <c r="B4523" s="347">
        <f>+B4522</f>
        <v>9</v>
      </c>
      <c r="C4523" s="347">
        <v>1220</v>
      </c>
      <c r="D4523" s="340" t="str">
        <f>VLOOKUP(C4523,Plan!A$1:B$65542,2,0)</f>
        <v>Otros Valores Arzobispado (249)</v>
      </c>
      <c r="E4523" s="341">
        <f>+F4523-G4523</f>
        <v>-1901533</v>
      </c>
      <c r="F4523" s="396">
        <v>0</v>
      </c>
      <c r="G4523" s="396">
        <f>+F4522</f>
        <v>1901533</v>
      </c>
      <c r="H4523" t="str">
        <f>+H4522</f>
        <v>Arzobispado de Stgo Agosto / 249</v>
      </c>
      <c r="I4523" s="347" t="s">
        <v>131</v>
      </c>
      <c r="K4523" s="370"/>
      <c r="N4523" s="370"/>
    </row>
    <row r="4524" spans="1:14" s="347" customFormat="1" x14ac:dyDescent="0.25">
      <c r="A4524" s="369"/>
      <c r="E4524" s="396"/>
      <c r="F4524" s="396"/>
      <c r="G4524" s="396"/>
      <c r="K4524" s="370"/>
      <c r="N4524" s="370"/>
    </row>
    <row r="4525" spans="1:14" s="347" customFormat="1" x14ac:dyDescent="0.25">
      <c r="A4525" s="369">
        <v>44467</v>
      </c>
      <c r="B4525" s="347">
        <f>+MONTH(A4525)</f>
        <v>9</v>
      </c>
      <c r="C4525" s="347">
        <v>115</v>
      </c>
      <c r="D4525" s="340" t="str">
        <f>VLOOKUP(C4525,Plan!A$1:B$65542,2,0)</f>
        <v>Disponible Cali B.Chile</v>
      </c>
      <c r="E4525" s="341">
        <f>+F4525-G4525</f>
        <v>73000</v>
      </c>
      <c r="F4525" s="155">
        <v>73000</v>
      </c>
      <c r="G4525" s="396">
        <v>0</v>
      </c>
      <c r="H4525" t="s">
        <v>1050</v>
      </c>
      <c r="I4525" s="347" t="s">
        <v>131</v>
      </c>
      <c r="K4525" s="370"/>
      <c r="N4525" s="370"/>
    </row>
    <row r="4526" spans="1:14" s="347" customFormat="1" x14ac:dyDescent="0.25">
      <c r="A4526" s="369">
        <f>+A4525</f>
        <v>44467</v>
      </c>
      <c r="B4526" s="347">
        <f>+B4525</f>
        <v>9</v>
      </c>
      <c r="C4526" s="347">
        <v>3210</v>
      </c>
      <c r="D4526" s="340" t="str">
        <f>VLOOKUP(C4526,Plan!A$1:B$65542,2,0)</f>
        <v>Donacion Construccion</v>
      </c>
      <c r="E4526" s="341">
        <f>+F4526-G4526</f>
        <v>-73000</v>
      </c>
      <c r="F4526" s="396">
        <v>0</v>
      </c>
      <c r="G4526" s="396">
        <f>+F4525</f>
        <v>73000</v>
      </c>
      <c r="H4526" t="str">
        <f>+H4525</f>
        <v>Matías Silva Olmos / Azul</v>
      </c>
      <c r="I4526" s="347" t="s">
        <v>131</v>
      </c>
      <c r="K4526" s="370"/>
      <c r="N4526" s="370"/>
    </row>
    <row r="4527" spans="1:14" s="347" customFormat="1" x14ac:dyDescent="0.25">
      <c r="A4527" s="369"/>
      <c r="E4527" s="396"/>
      <c r="F4527" s="396"/>
      <c r="G4527" s="396"/>
      <c r="K4527" s="370"/>
      <c r="N4527" s="370"/>
    </row>
    <row r="4528" spans="1:14" s="347" customFormat="1" x14ac:dyDescent="0.25">
      <c r="A4528" s="369">
        <v>44467</v>
      </c>
      <c r="B4528" s="347">
        <f>+MONTH(A4528)</f>
        <v>9</v>
      </c>
      <c r="C4528" s="347">
        <v>115</v>
      </c>
      <c r="D4528" s="340" t="str">
        <f>VLOOKUP(C4528,Plan!A$1:B$65542,2,0)</f>
        <v>Disponible Cali B.Chile</v>
      </c>
      <c r="E4528" s="341">
        <f>+F4528-G4528</f>
        <v>10000</v>
      </c>
      <c r="F4528" s="155">
        <v>10000</v>
      </c>
      <c r="G4528" s="396">
        <v>0</v>
      </c>
      <c r="H4528" t="s">
        <v>1045</v>
      </c>
      <c r="I4528" s="347" t="s">
        <v>131</v>
      </c>
      <c r="K4528" s="370"/>
      <c r="N4528" s="370"/>
    </row>
    <row r="4529" spans="1:14" s="347" customFormat="1" x14ac:dyDescent="0.25">
      <c r="A4529" s="369">
        <f>+A4528</f>
        <v>44467</v>
      </c>
      <c r="B4529" s="347">
        <f>+B4528</f>
        <v>9</v>
      </c>
      <c r="C4529" s="347">
        <v>1222</v>
      </c>
      <c r="D4529" s="340" t="str">
        <f>VLOOKUP(C4529,Plan!A$1:B$65542,2,0)</f>
        <v>Otros Valores -Oficina y Transferencias (249)</v>
      </c>
      <c r="E4529" s="341">
        <f>+F4529-G4529</f>
        <v>-10000</v>
      </c>
      <c r="F4529" s="396">
        <v>0</v>
      </c>
      <c r="G4529" s="396">
        <f>+F4528</f>
        <v>10000</v>
      </c>
      <c r="H4529" t="str">
        <f>+H4528</f>
        <v>Isabel Margarita Guarda Larrañaga/249</v>
      </c>
      <c r="I4529" s="347" t="s">
        <v>131</v>
      </c>
      <c r="K4529" s="370"/>
      <c r="N4529" s="370"/>
    </row>
    <row r="4530" spans="1:14" s="347" customFormat="1" x14ac:dyDescent="0.25">
      <c r="A4530" s="369"/>
      <c r="E4530" s="396"/>
      <c r="F4530" s="396"/>
      <c r="G4530" s="396"/>
    </row>
    <row r="4531" spans="1:14" s="347" customFormat="1" x14ac:dyDescent="0.25">
      <c r="A4531" s="369">
        <v>44467</v>
      </c>
      <c r="B4531" s="347">
        <f>+MONTH(A4531)</f>
        <v>9</v>
      </c>
      <c r="C4531" s="347">
        <v>115</v>
      </c>
      <c r="D4531" s="340" t="str">
        <f>VLOOKUP(C4531,Plan!A$1:B$65542,2,0)</f>
        <v>Disponible Cali B.Chile</v>
      </c>
      <c r="E4531" s="341">
        <f>+F4531-G4531</f>
        <v>125000</v>
      </c>
      <c r="F4531" s="155">
        <v>125000</v>
      </c>
      <c r="G4531" s="396">
        <v>0</v>
      </c>
      <c r="H4531" t="s">
        <v>967</v>
      </c>
      <c r="I4531" s="347" t="s">
        <v>131</v>
      </c>
    </row>
    <row r="4532" spans="1:14" s="347" customFormat="1" x14ac:dyDescent="0.25">
      <c r="A4532" s="369">
        <f>+A4531</f>
        <v>44467</v>
      </c>
      <c r="B4532" s="347">
        <f>+B4531</f>
        <v>9</v>
      </c>
      <c r="C4532" s="347">
        <v>3210</v>
      </c>
      <c r="D4532" s="340" t="str">
        <f>VLOOKUP(C4532,Plan!A$1:B$65542,2,0)</f>
        <v>Donacion Construccion</v>
      </c>
      <c r="E4532" s="341">
        <f>+F4532-G4532</f>
        <v>-125000</v>
      </c>
      <c r="F4532" s="396">
        <v>0</v>
      </c>
      <c r="G4532" s="396">
        <f>+F4531</f>
        <v>125000</v>
      </c>
      <c r="H4532" t="str">
        <f>+H4531</f>
        <v>Henry Comber Sigall / Azul</v>
      </c>
      <c r="I4532" s="347" t="s">
        <v>131</v>
      </c>
    </row>
    <row r="4533" spans="1:14" s="347" customFormat="1" x14ac:dyDescent="0.25">
      <c r="A4533" s="369"/>
      <c r="E4533" s="396"/>
      <c r="F4533" s="396"/>
      <c r="G4533" s="396"/>
    </row>
    <row r="4534" spans="1:14" s="347" customFormat="1" x14ac:dyDescent="0.25">
      <c r="A4534" s="369">
        <v>44468</v>
      </c>
      <c r="B4534" s="347">
        <f>+MONTH(A4534)</f>
        <v>9</v>
      </c>
      <c r="C4534" s="347">
        <v>115</v>
      </c>
      <c r="D4534" s="340" t="str">
        <f>VLOOKUP(C4534,Plan!A$1:B$65542,2,0)</f>
        <v>Disponible Cali B.Chile</v>
      </c>
      <c r="E4534" s="341">
        <f>+F4534-G4534</f>
        <v>20000</v>
      </c>
      <c r="F4534" s="155">
        <v>20000</v>
      </c>
      <c r="G4534" s="396">
        <v>0</v>
      </c>
      <c r="H4534" t="s">
        <v>1670</v>
      </c>
      <c r="I4534" s="347" t="s">
        <v>131</v>
      </c>
    </row>
    <row r="4535" spans="1:14" s="347" customFormat="1" x14ac:dyDescent="0.25">
      <c r="A4535" s="369">
        <f>+A4534</f>
        <v>44468</v>
      </c>
      <c r="B4535" s="347">
        <f>+B4534</f>
        <v>9</v>
      </c>
      <c r="C4535" s="347">
        <v>1222</v>
      </c>
      <c r="D4535" s="340" t="str">
        <f>VLOOKUP(C4535,Plan!A$1:B$65542,2,0)</f>
        <v>Otros Valores -Oficina y Transferencias (249)</v>
      </c>
      <c r="E4535" s="341">
        <f>+F4535-G4535</f>
        <v>-20000</v>
      </c>
      <c r="F4535" s="396">
        <v>0</v>
      </c>
      <c r="G4535" s="396">
        <f>+F4534</f>
        <v>20000</v>
      </c>
      <c r="H4535" t="str">
        <f>+H4534</f>
        <v>María Virginia Fernández Oyarzún / 249</v>
      </c>
      <c r="I4535" s="347" t="s">
        <v>131</v>
      </c>
    </row>
    <row r="4536" spans="1:14" s="347" customFormat="1" x14ac:dyDescent="0.25">
      <c r="A4536" s="369"/>
      <c r="E4536" s="396"/>
      <c r="F4536" s="396"/>
      <c r="G4536" s="396"/>
    </row>
    <row r="4537" spans="1:14" s="347" customFormat="1" x14ac:dyDescent="0.25">
      <c r="A4537" s="369">
        <v>44468</v>
      </c>
      <c r="B4537" s="347">
        <f>+MONTH(A4537)</f>
        <v>9</v>
      </c>
      <c r="C4537" s="347">
        <v>115</v>
      </c>
      <c r="D4537" s="340" t="str">
        <f>VLOOKUP(C4537,Plan!A$1:B$65542,2,0)</f>
        <v>Disponible Cali B.Chile</v>
      </c>
      <c r="E4537" s="341">
        <f>+F4537-G4537</f>
        <v>40000</v>
      </c>
      <c r="F4537" s="155">
        <v>40000</v>
      </c>
      <c r="G4537" s="396">
        <v>0</v>
      </c>
      <c r="H4537" t="s">
        <v>1051</v>
      </c>
      <c r="I4537" s="347" t="s">
        <v>131</v>
      </c>
    </row>
    <row r="4538" spans="1:14" s="347" customFormat="1" x14ac:dyDescent="0.25">
      <c r="A4538" s="369">
        <f>+A4537</f>
        <v>44468</v>
      </c>
      <c r="B4538" s="347">
        <f>+B4537</f>
        <v>9</v>
      </c>
      <c r="C4538" s="347">
        <v>3210</v>
      </c>
      <c r="D4538" s="340" t="str">
        <f>VLOOKUP(C4538,Plan!A$1:B$65542,2,0)</f>
        <v>Donacion Construccion</v>
      </c>
      <c r="E4538" s="341">
        <f>+F4538-G4538</f>
        <v>-40000</v>
      </c>
      <c r="F4538" s="396">
        <v>0</v>
      </c>
      <c r="G4538" s="396">
        <f>+F4537</f>
        <v>40000</v>
      </c>
      <c r="H4538" t="str">
        <f>+H4537</f>
        <v>Pedro Vicuña Illanes / Azul</v>
      </c>
      <c r="I4538" s="347" t="s">
        <v>131</v>
      </c>
    </row>
    <row r="4539" spans="1:14" s="347" customFormat="1" x14ac:dyDescent="0.25">
      <c r="A4539" s="369"/>
      <c r="E4539" s="396"/>
      <c r="F4539" s="396"/>
      <c r="G4539" s="396"/>
    </row>
    <row r="4540" spans="1:14" s="347" customFormat="1" x14ac:dyDescent="0.25">
      <c r="A4540" s="369">
        <v>44468</v>
      </c>
      <c r="B4540" s="347">
        <f>+MONTH(A4540)</f>
        <v>9</v>
      </c>
      <c r="C4540" s="347">
        <v>115</v>
      </c>
      <c r="D4540" s="340" t="str">
        <f>VLOOKUP(C4540,Plan!A$1:B$65542,2,0)</f>
        <v>Disponible Cali B.Chile</v>
      </c>
      <c r="E4540" s="341">
        <f>+F4540-G4540</f>
        <v>60000</v>
      </c>
      <c r="F4540" s="155">
        <v>60000</v>
      </c>
      <c r="G4540" s="396">
        <v>0</v>
      </c>
      <c r="H4540" t="s">
        <v>1047</v>
      </c>
      <c r="I4540" s="347" t="s">
        <v>131</v>
      </c>
    </row>
    <row r="4541" spans="1:14" s="347" customFormat="1" x14ac:dyDescent="0.25">
      <c r="A4541" s="369">
        <f>+A4540</f>
        <v>44468</v>
      </c>
      <c r="B4541" s="347">
        <f>+B4540</f>
        <v>9</v>
      </c>
      <c r="C4541" s="347">
        <v>1222</v>
      </c>
      <c r="D4541" s="340" t="str">
        <f>VLOOKUP(C4541,Plan!A$1:B$65542,2,0)</f>
        <v>Otros Valores -Oficina y Transferencias (249)</v>
      </c>
      <c r="E4541" s="341">
        <f>+F4541-G4541</f>
        <v>-60000</v>
      </c>
      <c r="F4541" s="396">
        <v>0</v>
      </c>
      <c r="G4541" s="396">
        <f>+F4540</f>
        <v>60000</v>
      </c>
      <c r="H4541" t="str">
        <f>+H4540</f>
        <v>Carlos Lecaros Price / 249</v>
      </c>
      <c r="I4541" s="347" t="s">
        <v>131</v>
      </c>
    </row>
    <row r="4542" spans="1:14" s="347" customFormat="1" x14ac:dyDescent="0.25">
      <c r="A4542" s="369"/>
      <c r="E4542" s="396"/>
      <c r="F4542" s="396"/>
      <c r="G4542" s="396"/>
    </row>
    <row r="4543" spans="1:14" s="347" customFormat="1" x14ac:dyDescent="0.25">
      <c r="A4543" s="369">
        <v>44468</v>
      </c>
      <c r="B4543" s="347">
        <f>+MONTH(A4543)</f>
        <v>9</v>
      </c>
      <c r="C4543" s="347">
        <v>115</v>
      </c>
      <c r="D4543" s="340" t="str">
        <f>VLOOKUP(C4543,Plan!A$1:B$65542,2,0)</f>
        <v>Disponible Cali B.Chile</v>
      </c>
      <c r="E4543" s="341">
        <f>+F4543-G4543</f>
        <v>20000</v>
      </c>
      <c r="F4543" s="155">
        <v>20000</v>
      </c>
      <c r="G4543" s="396">
        <v>0</v>
      </c>
      <c r="H4543" t="s">
        <v>1703</v>
      </c>
      <c r="I4543" s="347" t="s">
        <v>131</v>
      </c>
    </row>
    <row r="4544" spans="1:14" s="347" customFormat="1" x14ac:dyDescent="0.25">
      <c r="A4544" s="369">
        <f>+A4543</f>
        <v>44468</v>
      </c>
      <c r="B4544" s="347">
        <f>+B4543</f>
        <v>9</v>
      </c>
      <c r="C4544" s="347">
        <v>1222</v>
      </c>
      <c r="D4544" s="340" t="str">
        <f>VLOOKUP(C4544,Plan!A$1:B$65542,2,0)</f>
        <v>Otros Valores -Oficina y Transferencias (249)</v>
      </c>
      <c r="E4544" s="341">
        <f>+F4544-G4544</f>
        <v>-20000</v>
      </c>
      <c r="F4544" s="396">
        <v>0</v>
      </c>
      <c r="G4544" s="396">
        <f>+F4543</f>
        <v>20000</v>
      </c>
      <c r="H4544" t="str">
        <f>+H4543</f>
        <v>Arantxa Ereche Tuzzini/249</v>
      </c>
      <c r="I4544" s="347" t="s">
        <v>131</v>
      </c>
    </row>
    <row r="4545" spans="1:14" s="347" customFormat="1" x14ac:dyDescent="0.25">
      <c r="A4545" s="369"/>
      <c r="E4545" s="396"/>
      <c r="F4545" s="396"/>
      <c r="G4545" s="396"/>
    </row>
    <row r="4546" spans="1:14" s="347" customFormat="1" x14ac:dyDescent="0.25">
      <c r="A4546" s="369">
        <v>44468</v>
      </c>
      <c r="B4546" s="347">
        <f>+MONTH(A4546)</f>
        <v>9</v>
      </c>
      <c r="C4546" s="347">
        <v>115</v>
      </c>
      <c r="D4546" s="340" t="str">
        <f>VLOOKUP(C4546,Plan!A$1:B$65542,2,0)</f>
        <v>Disponible Cali B.Chile</v>
      </c>
      <c r="E4546" s="341">
        <f>+F4546-G4546</f>
        <v>25000</v>
      </c>
      <c r="F4546" s="155">
        <v>25000</v>
      </c>
      <c r="G4546" s="396">
        <v>0</v>
      </c>
      <c r="H4546" t="s">
        <v>969</v>
      </c>
      <c r="I4546" s="347" t="s">
        <v>131</v>
      </c>
      <c r="K4546" s="370"/>
      <c r="N4546" s="370"/>
    </row>
    <row r="4547" spans="1:14" s="347" customFormat="1" x14ac:dyDescent="0.25">
      <c r="A4547" s="369">
        <f>+A4546</f>
        <v>44468</v>
      </c>
      <c r="B4547" s="347">
        <f>+B4546</f>
        <v>9</v>
      </c>
      <c r="C4547" s="347">
        <v>1217</v>
      </c>
      <c r="D4547" s="340" t="str">
        <f>VLOOKUP(C4547,Plan!A$1:B$65542,2,0)</f>
        <v>Otros Valores -Oficina y Transferencias (248)</v>
      </c>
      <c r="E4547" s="341">
        <f>+F4547-G4547</f>
        <v>-25000</v>
      </c>
      <c r="F4547" s="396">
        <v>0</v>
      </c>
      <c r="G4547" s="396">
        <f>+F4546</f>
        <v>25000</v>
      </c>
      <c r="H4547" t="str">
        <f>+H4546</f>
        <v>José L. Barros / 248</v>
      </c>
      <c r="I4547" s="347" t="s">
        <v>131</v>
      </c>
      <c r="K4547" s="370"/>
      <c r="N4547" s="370"/>
    </row>
    <row r="4548" spans="1:14" s="347" customFormat="1" x14ac:dyDescent="0.25">
      <c r="A4548" s="369"/>
      <c r="E4548" s="396"/>
      <c r="F4548" s="396"/>
      <c r="G4548" s="396"/>
      <c r="K4548" s="370"/>
      <c r="N4548" s="370"/>
    </row>
    <row r="4549" spans="1:14" s="347" customFormat="1" x14ac:dyDescent="0.25">
      <c r="A4549" s="369">
        <v>44468</v>
      </c>
      <c r="B4549" s="347">
        <f>+MONTH(A4549)</f>
        <v>9</v>
      </c>
      <c r="C4549" s="347">
        <v>115</v>
      </c>
      <c r="D4549" s="340" t="str">
        <f>VLOOKUP(C4549,Plan!A$1:B$65542,2,0)</f>
        <v>Disponible Cali B.Chile</v>
      </c>
      <c r="E4549" s="341">
        <f>+F4549-G4549</f>
        <v>122426</v>
      </c>
      <c r="F4549" s="155">
        <v>122426</v>
      </c>
      <c r="G4549" s="396">
        <v>0</v>
      </c>
      <c r="H4549" t="s">
        <v>2109</v>
      </c>
      <c r="I4549" s="347" t="s">
        <v>131</v>
      </c>
      <c r="K4549" s="370"/>
      <c r="N4549" s="370"/>
    </row>
    <row r="4550" spans="1:14" s="347" customFormat="1" x14ac:dyDescent="0.25">
      <c r="A4550" s="369">
        <f>+A4549</f>
        <v>44468</v>
      </c>
      <c r="B4550" s="347">
        <f>+B4549</f>
        <v>9</v>
      </c>
      <c r="C4550" s="347">
        <v>4170</v>
      </c>
      <c r="D4550" s="340" t="str">
        <f>VLOOKUP(C4550,Plan!A$1:B$65542,2,0)</f>
        <v>Cali otros</v>
      </c>
      <c r="E4550" s="341">
        <f>+F4550-G4550</f>
        <v>2574</v>
      </c>
      <c r="F4550" s="396">
        <v>2574</v>
      </c>
      <c r="G4550" s="396">
        <f>+F4548</f>
        <v>0</v>
      </c>
      <c r="H4550" t="s">
        <v>2109</v>
      </c>
      <c r="I4550" s="347" t="s">
        <v>131</v>
      </c>
      <c r="K4550" s="370"/>
      <c r="N4550" s="370"/>
    </row>
    <row r="4551" spans="1:14" s="347" customFormat="1" x14ac:dyDescent="0.25">
      <c r="A4551" s="369">
        <f>+A4549</f>
        <v>44468</v>
      </c>
      <c r="B4551" s="347">
        <f>+B4549</f>
        <v>9</v>
      </c>
      <c r="C4551" s="347">
        <v>1222</v>
      </c>
      <c r="D4551" s="340" t="str">
        <f>VLOOKUP(C4551,Plan!A$1:B$65542,2,0)</f>
        <v>Otros Valores -Oficina y Transferencias (249)</v>
      </c>
      <c r="E4551" s="341">
        <f>+F4551-G4551</f>
        <v>-125000</v>
      </c>
      <c r="F4551" s="396">
        <v>0</v>
      </c>
      <c r="G4551" s="396">
        <v>125000</v>
      </c>
      <c r="H4551" t="str">
        <f>+H4549</f>
        <v>María Loreto Izquierdo Vial / 249 (M$125)</v>
      </c>
      <c r="I4551" s="347" t="s">
        <v>131</v>
      </c>
      <c r="K4551" s="370"/>
      <c r="N4551" s="370"/>
    </row>
    <row r="4552" spans="1:14" s="347" customFormat="1" x14ac:dyDescent="0.25">
      <c r="A4552" s="369"/>
      <c r="E4552" s="396"/>
      <c r="F4552" s="396"/>
      <c r="G4552" s="396"/>
      <c r="K4552" s="370"/>
      <c r="N4552" s="370"/>
    </row>
    <row r="4553" spans="1:14" s="347" customFormat="1" x14ac:dyDescent="0.25">
      <c r="A4553" s="369">
        <v>44469</v>
      </c>
      <c r="B4553" s="347">
        <f>+MONTH(A4553)</f>
        <v>9</v>
      </c>
      <c r="C4553" s="347">
        <v>205</v>
      </c>
      <c r="D4553" s="340" t="str">
        <f>VLOOKUP(C4553,Plan!A$1:B$65542,2,0)</f>
        <v>Honorarios por pagar Cali</v>
      </c>
      <c r="E4553" s="341">
        <f>+F4553-G4553</f>
        <v>150000</v>
      </c>
      <c r="F4553" s="155">
        <v>150000</v>
      </c>
      <c r="G4553" s="396">
        <v>0</v>
      </c>
      <c r="H4553" t="s">
        <v>2093</v>
      </c>
      <c r="I4553" s="347" t="s">
        <v>131</v>
      </c>
      <c r="K4553" s="370"/>
      <c r="N4553" s="370"/>
    </row>
    <row r="4554" spans="1:14" s="347" customFormat="1" x14ac:dyDescent="0.25">
      <c r="A4554" s="369">
        <f>+A4553</f>
        <v>44469</v>
      </c>
      <c r="B4554" s="347">
        <f>+B4553</f>
        <v>9</v>
      </c>
      <c r="C4554" s="347">
        <v>115</v>
      </c>
      <c r="D4554" s="340" t="str">
        <f>VLOOKUP(C4554,Plan!A$1:B$65542,2,0)</f>
        <v>Disponible Cali B.Chile</v>
      </c>
      <c r="E4554" s="341">
        <f>+F4554-G4554</f>
        <v>-150000</v>
      </c>
      <c r="F4554" s="396">
        <v>0</v>
      </c>
      <c r="G4554" s="396">
        <f>+F4553</f>
        <v>150000</v>
      </c>
      <c r="H4554" t="str">
        <f>+H4553</f>
        <v>BE-318 GUILLERMO DE LA VEGA ASESORIA 1% AGOSTO</v>
      </c>
      <c r="I4554" s="347" t="s">
        <v>131</v>
      </c>
      <c r="K4554" s="370"/>
      <c r="N4554" s="370"/>
    </row>
    <row r="4555" spans="1:14" s="347" customFormat="1" x14ac:dyDescent="0.25">
      <c r="A4555" s="369"/>
      <c r="D4555" s="340"/>
      <c r="E4555" s="341"/>
      <c r="F4555" s="396"/>
      <c r="G4555" s="396"/>
      <c r="H4555"/>
      <c r="K4555" s="370"/>
      <c r="N4555" s="370"/>
    </row>
    <row r="4556" spans="1:14" s="347" customFormat="1" x14ac:dyDescent="0.25">
      <c r="A4556" s="369">
        <v>44469</v>
      </c>
      <c r="B4556" s="347">
        <f>+MONTH(A4556)</f>
        <v>9</v>
      </c>
      <c r="C4556" s="347">
        <v>115</v>
      </c>
      <c r="D4556" s="340" t="str">
        <f>VLOOKUP(C4556,Plan!A$1:B$65542,2,0)</f>
        <v>Disponible Cali B.Chile</v>
      </c>
      <c r="E4556" s="341">
        <f>+F4556-G4556</f>
        <v>250000</v>
      </c>
      <c r="F4556" s="155">
        <v>250000</v>
      </c>
      <c r="G4556" s="396">
        <v>0</v>
      </c>
      <c r="H4556" t="s">
        <v>2110</v>
      </c>
      <c r="I4556" s="347" t="s">
        <v>131</v>
      </c>
      <c r="K4556" s="370"/>
      <c r="N4556" s="370"/>
    </row>
    <row r="4557" spans="1:14" s="347" customFormat="1" x14ac:dyDescent="0.25">
      <c r="A4557" s="369">
        <f>+A4556</f>
        <v>44469</v>
      </c>
      <c r="B4557" s="347">
        <f>+B4556</f>
        <v>9</v>
      </c>
      <c r="C4557" s="347">
        <v>3210</v>
      </c>
      <c r="D4557" s="340" t="str">
        <f>VLOOKUP(C4557,Plan!A$1:B$65542,2,0)</f>
        <v>Donacion Construccion</v>
      </c>
      <c r="E4557" s="341">
        <f>+F4557-G4557</f>
        <v>-250000</v>
      </c>
      <c r="F4557" s="396">
        <v>0</v>
      </c>
      <c r="G4557" s="396">
        <f>+F4556</f>
        <v>250000</v>
      </c>
      <c r="H4557" t="str">
        <f>+H4556</f>
        <v>Raimundo Monge Zegers /Azul</v>
      </c>
      <c r="I4557" s="347" t="s">
        <v>131</v>
      </c>
      <c r="K4557" s="370"/>
      <c r="N4557" s="370"/>
    </row>
    <row r="4558" spans="1:14" s="347" customFormat="1" x14ac:dyDescent="0.25">
      <c r="A4558" s="369"/>
      <c r="D4558" s="340"/>
      <c r="E4558" s="341"/>
      <c r="F4558" s="396"/>
      <c r="G4558" s="396"/>
      <c r="H4558"/>
      <c r="K4558" s="370"/>
      <c r="N4558" s="370"/>
    </row>
    <row r="4559" spans="1:14" s="347" customFormat="1" x14ac:dyDescent="0.25">
      <c r="A4559" s="369">
        <v>44469</v>
      </c>
      <c r="B4559" s="347">
        <f>+MONTH(A4559)</f>
        <v>9</v>
      </c>
      <c r="C4559" s="347">
        <v>115</v>
      </c>
      <c r="D4559" s="340" t="str">
        <f>VLOOKUP(C4559,Plan!A$1:B$65542,2,0)</f>
        <v>Disponible Cali B.Chile</v>
      </c>
      <c r="E4559" s="341">
        <f>+F4559-G4559</f>
        <v>15000</v>
      </c>
      <c r="F4559" s="155">
        <v>15000</v>
      </c>
      <c r="G4559" s="396">
        <v>0</v>
      </c>
      <c r="H4559" t="s">
        <v>968</v>
      </c>
      <c r="I4559" s="347" t="s">
        <v>131</v>
      </c>
      <c r="K4559" s="370"/>
      <c r="N4559" s="370"/>
    </row>
    <row r="4560" spans="1:14" s="347" customFormat="1" x14ac:dyDescent="0.25">
      <c r="A4560" s="369">
        <f>+A4559</f>
        <v>44469</v>
      </c>
      <c r="B4560" s="347">
        <f>+B4559</f>
        <v>9</v>
      </c>
      <c r="C4560" s="347">
        <v>3210</v>
      </c>
      <c r="D4560" s="340" t="str">
        <f>VLOOKUP(C4560,Plan!A$1:B$65542,2,0)</f>
        <v>Donacion Construccion</v>
      </c>
      <c r="E4560" s="341">
        <f>+F4560-G4560</f>
        <v>-15000</v>
      </c>
      <c r="F4560" s="396">
        <v>0</v>
      </c>
      <c r="G4560" s="396">
        <f>+F4559</f>
        <v>15000</v>
      </c>
      <c r="H4560" t="str">
        <f>+H4559</f>
        <v xml:space="preserve">María del Pilar Herrera/ azul </v>
      </c>
      <c r="I4560" s="347" t="s">
        <v>131</v>
      </c>
      <c r="K4560" s="370"/>
      <c r="N4560" s="370"/>
    </row>
    <row r="4561" spans="1:14" s="347" customFormat="1" x14ac:dyDescent="0.25">
      <c r="A4561" s="369"/>
      <c r="D4561" s="340"/>
      <c r="E4561" s="341"/>
      <c r="F4561" s="396"/>
      <c r="G4561" s="396"/>
      <c r="H4561"/>
      <c r="K4561" s="370"/>
      <c r="N4561" s="370"/>
    </row>
    <row r="4562" spans="1:14" s="347" customFormat="1" x14ac:dyDescent="0.25">
      <c r="A4562" s="369">
        <v>44469</v>
      </c>
      <c r="B4562" s="347">
        <f>+MONTH(A4562)</f>
        <v>9</v>
      </c>
      <c r="C4562" s="347">
        <v>115</v>
      </c>
      <c r="D4562" s="340" t="str">
        <f>VLOOKUP(C4562,Plan!A$1:B$65542,2,0)</f>
        <v>Disponible Cali B.Chile</v>
      </c>
      <c r="E4562" s="341">
        <f>+F4562-G4562</f>
        <v>30000</v>
      </c>
      <c r="F4562" s="155">
        <v>30000</v>
      </c>
      <c r="G4562" s="396">
        <v>0</v>
      </c>
      <c r="H4562" t="s">
        <v>1876</v>
      </c>
      <c r="I4562" s="347" t="s">
        <v>131</v>
      </c>
      <c r="K4562" s="370"/>
      <c r="N4562" s="370"/>
    </row>
    <row r="4563" spans="1:14" s="347" customFormat="1" x14ac:dyDescent="0.25">
      <c r="A4563" s="369">
        <f>+A4562</f>
        <v>44469</v>
      </c>
      <c r="B4563" s="347">
        <f>+B4562</f>
        <v>9</v>
      </c>
      <c r="C4563" s="347">
        <v>1222</v>
      </c>
      <c r="D4563" s="340" t="str">
        <f>VLOOKUP(C4563,Plan!A$1:B$65542,2,0)</f>
        <v>Otros Valores -Oficina y Transferencias (249)</v>
      </c>
      <c r="E4563" s="341">
        <f>+F4563-G4563</f>
        <v>-30000</v>
      </c>
      <c r="F4563" s="396">
        <v>0</v>
      </c>
      <c r="G4563" s="396">
        <f>+F4562</f>
        <v>30000</v>
      </c>
      <c r="H4563" t="str">
        <f>+H4562</f>
        <v>Selim Guillermo Abara Elías / 249</v>
      </c>
      <c r="I4563" s="347" t="s">
        <v>131</v>
      </c>
      <c r="K4563" s="370"/>
      <c r="N4563" s="370"/>
    </row>
    <row r="4564" spans="1:14" s="347" customFormat="1" x14ac:dyDescent="0.25">
      <c r="K4564" s="370"/>
      <c r="N4564" s="370"/>
    </row>
    <row r="4565" spans="1:14" s="347" customFormat="1" x14ac:dyDescent="0.25">
      <c r="A4565" s="369">
        <v>44469</v>
      </c>
      <c r="B4565" s="347">
        <f>+MONTH(A4565)</f>
        <v>9</v>
      </c>
      <c r="C4565" s="347">
        <v>115</v>
      </c>
      <c r="D4565" s="340" t="str">
        <f>VLOOKUP(C4565,Plan!A$1:B$65542,2,0)</f>
        <v>Disponible Cali B.Chile</v>
      </c>
      <c r="E4565" s="341">
        <f>+F4565-G4565</f>
        <v>100000</v>
      </c>
      <c r="F4565" s="155">
        <v>100000</v>
      </c>
      <c r="G4565" s="396">
        <v>0</v>
      </c>
      <c r="H4565" t="s">
        <v>965</v>
      </c>
      <c r="I4565" s="347" t="s">
        <v>131</v>
      </c>
      <c r="K4565" s="370"/>
      <c r="N4565" s="370"/>
    </row>
    <row r="4566" spans="1:14" s="347" customFormat="1" x14ac:dyDescent="0.25">
      <c r="A4566" s="369">
        <f>+A4565</f>
        <v>44469</v>
      </c>
      <c r="B4566" s="347">
        <f>+B4565</f>
        <v>9</v>
      </c>
      <c r="C4566" s="347">
        <v>3210</v>
      </c>
      <c r="D4566" s="340" t="str">
        <f>VLOOKUP(C4566,Plan!A$1:B$65542,2,0)</f>
        <v>Donacion Construccion</v>
      </c>
      <c r="E4566" s="341">
        <f>+F4566-G4566</f>
        <v>-100000</v>
      </c>
      <c r="F4566" s="396">
        <v>0</v>
      </c>
      <c r="G4566" s="396">
        <f>+F4565</f>
        <v>100000</v>
      </c>
      <c r="H4566" t="str">
        <f>+H4565</f>
        <v>Rafael Marín Jordán/azul</v>
      </c>
      <c r="I4566" s="347" t="s">
        <v>131</v>
      </c>
      <c r="K4566" s="370"/>
      <c r="N4566" s="370"/>
    </row>
    <row r="4567" spans="1:14" s="347" customFormat="1" x14ac:dyDescent="0.25">
      <c r="A4567" s="369"/>
      <c r="D4567" s="340"/>
      <c r="E4567" s="341"/>
      <c r="F4567" s="396"/>
      <c r="G4567" s="396"/>
      <c r="H4567"/>
      <c r="K4567" s="370"/>
      <c r="N4567" s="370"/>
    </row>
    <row r="4568" spans="1:14" s="347" customFormat="1" x14ac:dyDescent="0.25">
      <c r="A4568" s="369">
        <v>44469</v>
      </c>
      <c r="B4568" s="347">
        <f>+MONTH(A4568)</f>
        <v>9</v>
      </c>
      <c r="C4568" s="347">
        <v>115</v>
      </c>
      <c r="D4568" s="340" t="str">
        <f>VLOOKUP(C4568,Plan!A$1:B$65542,2,0)</f>
        <v>Disponible Cali B.Chile</v>
      </c>
      <c r="E4568" s="341">
        <f>+F4568-G4568</f>
        <v>36000</v>
      </c>
      <c r="F4568" s="155">
        <v>36000</v>
      </c>
      <c r="G4568" s="396">
        <v>0</v>
      </c>
      <c r="H4568" t="s">
        <v>964</v>
      </c>
      <c r="I4568" s="347" t="s">
        <v>131</v>
      </c>
      <c r="K4568" s="370"/>
      <c r="N4568" s="370"/>
    </row>
    <row r="4569" spans="1:14" s="347" customFormat="1" x14ac:dyDescent="0.25">
      <c r="A4569" s="369">
        <f>+A4568</f>
        <v>44469</v>
      </c>
      <c r="B4569" s="347">
        <f>+B4568</f>
        <v>9</v>
      </c>
      <c r="C4569" s="347">
        <v>1222</v>
      </c>
      <c r="D4569" s="340" t="str">
        <f>VLOOKUP(C4569,Plan!A$1:B$65542,2,0)</f>
        <v>Otros Valores -Oficina y Transferencias (249)</v>
      </c>
      <c r="E4569" s="341">
        <f>+F4569-G4569</f>
        <v>-36000</v>
      </c>
      <c r="F4569" s="396">
        <v>0</v>
      </c>
      <c r="G4569" s="396">
        <f>+F4568</f>
        <v>36000</v>
      </c>
      <c r="H4569" t="str">
        <f>+H4568</f>
        <v>Raimundo Barros / 249</v>
      </c>
      <c r="I4569" s="347" t="s">
        <v>131</v>
      </c>
      <c r="K4569" s="370"/>
      <c r="N4569" s="370"/>
    </row>
    <row r="4570" spans="1:14" s="347" customFormat="1" x14ac:dyDescent="0.25">
      <c r="A4570" s="369"/>
      <c r="D4570" s="340"/>
      <c r="E4570" s="341"/>
      <c r="F4570" s="396"/>
      <c r="G4570" s="396"/>
      <c r="H4570"/>
      <c r="K4570" s="370"/>
      <c r="N4570" s="370"/>
    </row>
    <row r="4571" spans="1:14" s="347" customFormat="1" x14ac:dyDescent="0.25">
      <c r="A4571" s="369">
        <v>44469</v>
      </c>
      <c r="B4571" s="347">
        <f>+MONTH(A4571)</f>
        <v>9</v>
      </c>
      <c r="C4571" s="347">
        <v>115</v>
      </c>
      <c r="D4571" s="340" t="str">
        <f>VLOOKUP(C4571,Plan!A$1:B$65542,2,0)</f>
        <v>Disponible Cali B.Chile</v>
      </c>
      <c r="E4571" s="341">
        <f>+F4571-G4571</f>
        <v>50000</v>
      </c>
      <c r="F4571" s="155">
        <v>50000</v>
      </c>
      <c r="G4571" s="396">
        <v>0</v>
      </c>
      <c r="H4571" t="s">
        <v>966</v>
      </c>
      <c r="I4571" s="347" t="s">
        <v>131</v>
      </c>
      <c r="K4571" s="370"/>
      <c r="N4571" s="370"/>
    </row>
    <row r="4572" spans="1:14" s="347" customFormat="1" x14ac:dyDescent="0.25">
      <c r="A4572" s="369">
        <f>+A4571</f>
        <v>44469</v>
      </c>
      <c r="B4572" s="347">
        <f>+B4571</f>
        <v>9</v>
      </c>
      <c r="C4572" s="347">
        <v>3210</v>
      </c>
      <c r="D4572" s="340" t="str">
        <f>VLOOKUP(C4572,Plan!A$1:B$65542,2,0)</f>
        <v>Donacion Construccion</v>
      </c>
      <c r="E4572" s="341">
        <f>+F4572-G4572</f>
        <v>-50000</v>
      </c>
      <c r="F4572" s="396">
        <v>0</v>
      </c>
      <c r="G4572" s="396">
        <f>+F4571</f>
        <v>50000</v>
      </c>
      <c r="H4572" t="str">
        <f>+H4571</f>
        <v xml:space="preserve">Ricardo Fernández Oyarzún / Azul </v>
      </c>
      <c r="I4572" s="347" t="s">
        <v>131</v>
      </c>
      <c r="K4572" s="370"/>
      <c r="N4572" s="370"/>
    </row>
    <row r="4573" spans="1:14" s="347" customFormat="1" x14ac:dyDescent="0.25">
      <c r="A4573" s="369"/>
      <c r="D4573" s="340"/>
      <c r="E4573" s="341"/>
      <c r="F4573" s="396"/>
      <c r="G4573" s="396"/>
      <c r="H4573"/>
      <c r="K4573" s="370"/>
      <c r="N4573" s="370"/>
    </row>
    <row r="4574" spans="1:14" s="347" customFormat="1" x14ac:dyDescent="0.25">
      <c r="A4574" s="369">
        <v>44469</v>
      </c>
      <c r="B4574" s="347">
        <f>+MONTH(A4574)</f>
        <v>9</v>
      </c>
      <c r="C4574" s="347">
        <v>115</v>
      </c>
      <c r="D4574" s="340" t="str">
        <f>VLOOKUP(C4574,Plan!A$1:B$65542,2,0)</f>
        <v>Disponible Cali B.Chile</v>
      </c>
      <c r="E4574" s="341">
        <f>+F4574-G4574</f>
        <v>20000</v>
      </c>
      <c r="F4574" s="155">
        <v>20000</v>
      </c>
      <c r="G4574" s="396">
        <v>0</v>
      </c>
      <c r="H4574" t="s">
        <v>1007</v>
      </c>
      <c r="I4574" s="347" t="s">
        <v>131</v>
      </c>
      <c r="K4574" s="370"/>
      <c r="N4574" s="370"/>
    </row>
    <row r="4575" spans="1:14" s="347" customFormat="1" x14ac:dyDescent="0.25">
      <c r="A4575" s="369">
        <f>+A4574</f>
        <v>44469</v>
      </c>
      <c r="B4575" s="347">
        <f>+B4574</f>
        <v>9</v>
      </c>
      <c r="C4575" s="347">
        <v>1222</v>
      </c>
      <c r="D4575" s="340" t="str">
        <f>VLOOKUP(C4575,Plan!A$1:B$65542,2,0)</f>
        <v>Otros Valores -Oficina y Transferencias (249)</v>
      </c>
      <c r="E4575" s="341">
        <f>+F4575-G4575</f>
        <v>-20000</v>
      </c>
      <c r="F4575" s="396">
        <v>0</v>
      </c>
      <c r="G4575" s="396">
        <f>+F4574</f>
        <v>20000</v>
      </c>
      <c r="H4575" t="str">
        <f>+H4574</f>
        <v>Oscar Guarda Barros / 249</v>
      </c>
      <c r="I4575" s="347" t="s">
        <v>131</v>
      </c>
      <c r="K4575" s="370"/>
      <c r="N4575" s="370"/>
    </row>
    <row r="4576" spans="1:14" s="347" customFormat="1" x14ac:dyDescent="0.25">
      <c r="A4576" s="369"/>
      <c r="E4576" s="396"/>
      <c r="F4576" s="396"/>
      <c r="G4576" s="396"/>
      <c r="K4576" s="370"/>
      <c r="N4576" s="370"/>
    </row>
    <row r="4577" spans="1:14" s="347" customFormat="1" x14ac:dyDescent="0.25">
      <c r="A4577" s="369">
        <v>44448</v>
      </c>
      <c r="B4577" s="347">
        <f>+MONTH(A4577)</f>
        <v>9</v>
      </c>
      <c r="C4577" s="347">
        <v>4170</v>
      </c>
      <c r="D4577" s="340" t="str">
        <f>VLOOKUP(C4577,Plan!A$1:B$65542,2,0)</f>
        <v>Cali otros</v>
      </c>
      <c r="E4577" s="341">
        <f>+F4577-G4577</f>
        <v>1078</v>
      </c>
      <c r="F4577" s="155">
        <v>1078</v>
      </c>
      <c r="G4577" s="396">
        <v>0</v>
      </c>
      <c r="H4577" t="s">
        <v>1068</v>
      </c>
      <c r="I4577" s="347" t="s">
        <v>131</v>
      </c>
      <c r="K4577" s="370"/>
      <c r="N4577" s="370"/>
    </row>
    <row r="4578" spans="1:14" s="347" customFormat="1" x14ac:dyDescent="0.25">
      <c r="A4578" s="369">
        <f>+A4577</f>
        <v>44448</v>
      </c>
      <c r="B4578" s="347">
        <f>+B4577</f>
        <v>9</v>
      </c>
      <c r="C4578" s="347">
        <v>116</v>
      </c>
      <c r="D4578" s="340" t="str">
        <f>VLOOKUP(C4578,Plan!A$1:B$65542,2,0)</f>
        <v>Disponible CALI Security</v>
      </c>
      <c r="E4578" s="341">
        <f>+F4578-G4578</f>
        <v>-1078</v>
      </c>
      <c r="F4578" s="396">
        <v>0</v>
      </c>
      <c r="G4578" s="396">
        <f>+F4577</f>
        <v>1078</v>
      </c>
      <c r="H4578" t="str">
        <f>+H4577</f>
        <v>COM.PAGOS MASIVOS OTROS BANCOS</v>
      </c>
      <c r="I4578" s="347" t="s">
        <v>131</v>
      </c>
      <c r="K4578" s="370"/>
      <c r="N4578" s="370"/>
    </row>
    <row r="4579" spans="1:14" s="347" customFormat="1" x14ac:dyDescent="0.25">
      <c r="A4579" s="369"/>
      <c r="E4579" s="396"/>
      <c r="F4579" s="396"/>
      <c r="G4579" s="396"/>
      <c r="K4579" s="370"/>
      <c r="N4579" s="370"/>
    </row>
    <row r="4580" spans="1:14" s="347" customFormat="1" x14ac:dyDescent="0.25">
      <c r="A4580" s="369">
        <v>44448</v>
      </c>
      <c r="B4580" s="347">
        <f>+MONTH(A4580)</f>
        <v>9</v>
      </c>
      <c r="C4580" s="347">
        <v>4170</v>
      </c>
      <c r="D4580" s="340" t="str">
        <f>VLOOKUP(C4580,Plan!A$1:B$65542,2,0)</f>
        <v>Cali otros</v>
      </c>
      <c r="E4580" s="341">
        <f>+F4580-G4580</f>
        <v>205</v>
      </c>
      <c r="F4580" s="155">
        <v>205</v>
      </c>
      <c r="G4580" s="396">
        <v>0</v>
      </c>
      <c r="H4580" t="s">
        <v>1068</v>
      </c>
      <c r="I4580" s="347" t="s">
        <v>131</v>
      </c>
      <c r="K4580" s="370"/>
      <c r="N4580" s="370"/>
    </row>
    <row r="4581" spans="1:14" s="347" customFormat="1" x14ac:dyDescent="0.25">
      <c r="A4581" s="369">
        <f>+A4580</f>
        <v>44448</v>
      </c>
      <c r="B4581" s="347">
        <f>+B4580</f>
        <v>9</v>
      </c>
      <c r="C4581" s="347">
        <v>116</v>
      </c>
      <c r="D4581" s="340" t="str">
        <f>VLOOKUP(C4581,Plan!A$1:B$65542,2,0)</f>
        <v>Disponible CALI Security</v>
      </c>
      <c r="E4581" s="341">
        <f>+F4581-G4581</f>
        <v>-205</v>
      </c>
      <c r="F4581" s="396">
        <v>0</v>
      </c>
      <c r="G4581" s="396">
        <f>+F4580</f>
        <v>205</v>
      </c>
      <c r="H4581" t="str">
        <f>+H4580</f>
        <v>COM.PAGOS MASIVOS OTROS BANCOS</v>
      </c>
      <c r="I4581" s="347" t="s">
        <v>131</v>
      </c>
      <c r="K4581" s="370"/>
      <c r="N4581" s="370"/>
    </row>
    <row r="4582" spans="1:14" s="347" customFormat="1" x14ac:dyDescent="0.25">
      <c r="A4582" s="369"/>
      <c r="E4582" s="396"/>
      <c r="F4582" s="396"/>
      <c r="G4582" s="396"/>
      <c r="K4582" s="370"/>
      <c r="N4582" s="370"/>
    </row>
    <row r="4583" spans="1:14" s="347" customFormat="1" x14ac:dyDescent="0.25">
      <c r="A4583" s="369">
        <v>44461</v>
      </c>
      <c r="B4583" s="347">
        <f>+MONTH(A4583)</f>
        <v>9</v>
      </c>
      <c r="C4583" s="347">
        <v>116</v>
      </c>
      <c r="D4583" s="340" t="str">
        <f>VLOOKUP(C4583,Plan!A$1:B$65542,2,0)</f>
        <v>Disponible CALI Security</v>
      </c>
      <c r="E4583" s="341">
        <f>+F4583-G4583</f>
        <v>32000000</v>
      </c>
      <c r="F4583" s="155">
        <v>32000000</v>
      </c>
      <c r="G4583" s="396">
        <v>0</v>
      </c>
      <c r="H4583" s="370" t="s">
        <v>2094</v>
      </c>
      <c r="I4583" s="347" t="s">
        <v>131</v>
      </c>
      <c r="K4583" s="370"/>
      <c r="N4583" s="370"/>
    </row>
    <row r="4584" spans="1:14" s="347" customFormat="1" x14ac:dyDescent="0.25">
      <c r="A4584" s="369">
        <f>+A4583</f>
        <v>44461</v>
      </c>
      <c r="B4584" s="347">
        <f>+B4583</f>
        <v>9</v>
      </c>
      <c r="C4584" s="347">
        <v>117</v>
      </c>
      <c r="D4584" s="340" t="str">
        <f>VLOOKUP(C4584,Plan!A$1:B$65542,2,0)</f>
        <v>Disponible CALI Santander</v>
      </c>
      <c r="E4584" s="341">
        <f>+F4584-G4584</f>
        <v>-32000000</v>
      </c>
      <c r="F4584" s="396">
        <v>0</v>
      </c>
      <c r="G4584" s="396">
        <f>+F4583</f>
        <v>32000000</v>
      </c>
      <c r="H4584" t="str">
        <f>+H4583</f>
        <v>Traspaso desde Cta. Bco.Santander</v>
      </c>
      <c r="I4584" s="347" t="s">
        <v>131</v>
      </c>
      <c r="K4584" s="370"/>
      <c r="N4584" s="370"/>
    </row>
    <row r="4585" spans="1:14" s="347" customFormat="1" x14ac:dyDescent="0.25">
      <c r="A4585" s="369"/>
      <c r="E4585" s="396"/>
      <c r="F4585" s="396"/>
      <c r="G4585" s="396"/>
      <c r="J4585"/>
      <c r="K4585" s="264"/>
      <c r="L4585" s="396"/>
      <c r="N4585" s="370"/>
    </row>
    <row r="4586" spans="1:14" s="347" customFormat="1" x14ac:dyDescent="0.25">
      <c r="A4586" s="369">
        <v>44461</v>
      </c>
      <c r="B4586" s="347">
        <f>+MONTH(A4586)</f>
        <v>9</v>
      </c>
      <c r="C4586" s="347">
        <v>116</v>
      </c>
      <c r="D4586" s="340" t="str">
        <f>VLOOKUP(C4586,Plan!A$1:B$65542,2,0)</f>
        <v>Disponible CALI Security</v>
      </c>
      <c r="E4586" s="341">
        <f>+F4586-G4586</f>
        <v>179895702</v>
      </c>
      <c r="F4586" s="155">
        <v>179895702</v>
      </c>
      <c r="G4586" s="396">
        <v>0</v>
      </c>
      <c r="H4586" s="370" t="s">
        <v>1878</v>
      </c>
      <c r="I4586" s="347" t="s">
        <v>131</v>
      </c>
      <c r="J4586"/>
      <c r="K4586" s="264"/>
      <c r="L4586" s="396"/>
      <c r="N4586" s="370"/>
    </row>
    <row r="4587" spans="1:14" s="347" customFormat="1" x14ac:dyDescent="0.25">
      <c r="A4587" s="369">
        <f>+A4586</f>
        <v>44461</v>
      </c>
      <c r="B4587" s="347">
        <f>+B4586</f>
        <v>9</v>
      </c>
      <c r="C4587" s="347">
        <v>119</v>
      </c>
      <c r="D4587" s="340" t="str">
        <f>VLOOKUP(C4587,Plan!A$1:B$65542,2,0)</f>
        <v>FM Cali Banco Security</v>
      </c>
      <c r="E4587" s="341">
        <f>+F4587-G4587</f>
        <v>-179895702</v>
      </c>
      <c r="F4587" s="396">
        <v>0</v>
      </c>
      <c r="G4587" s="396">
        <f>+F4586</f>
        <v>179895702</v>
      </c>
      <c r="H4587" t="str">
        <f>+H4586</f>
        <v>Rescate FF.MM</v>
      </c>
      <c r="I4587" s="347" t="s">
        <v>131</v>
      </c>
      <c r="J4587"/>
      <c r="K4587" s="264"/>
      <c r="L4587" s="396"/>
      <c r="N4587" s="370"/>
    </row>
    <row r="4588" spans="1:14" s="347" customFormat="1" x14ac:dyDescent="0.25">
      <c r="A4588" s="369"/>
      <c r="E4588" s="396"/>
      <c r="F4588" s="396"/>
      <c r="G4588" s="396"/>
      <c r="J4588"/>
      <c r="K4588" s="264"/>
      <c r="L4588" s="396"/>
      <c r="N4588" s="370"/>
    </row>
    <row r="4589" spans="1:14" s="347" customFormat="1" x14ac:dyDescent="0.25">
      <c r="A4589" s="369">
        <v>44463</v>
      </c>
      <c r="B4589" s="347">
        <f>+MONTH(A4589)</f>
        <v>9</v>
      </c>
      <c r="C4589" s="347">
        <v>138</v>
      </c>
      <c r="D4589" s="340" t="str">
        <f>VLOOKUP(C4589,Plan!A$1:B$65542,2,0)</f>
        <v>Proyectos Especialidades</v>
      </c>
      <c r="E4589" s="341">
        <f>+F4589-G4589</f>
        <v>256979</v>
      </c>
      <c r="F4589" s="155">
        <v>256979</v>
      </c>
      <c r="G4589" s="396">
        <v>0</v>
      </c>
      <c r="H4589" s="370" t="s">
        <v>2095</v>
      </c>
      <c r="I4589" s="347" t="s">
        <v>131</v>
      </c>
      <c r="J4589" t="s">
        <v>1952</v>
      </c>
      <c r="K4589" t="s">
        <v>1953</v>
      </c>
      <c r="L4589" s="347">
        <v>2728</v>
      </c>
      <c r="N4589" s="370"/>
    </row>
    <row r="4590" spans="1:14" s="347" customFormat="1" x14ac:dyDescent="0.25">
      <c r="A4590" s="369">
        <f>+A4589</f>
        <v>44463</v>
      </c>
      <c r="B4590" s="347">
        <f>+B4589</f>
        <v>9</v>
      </c>
      <c r="C4590" s="347">
        <v>116</v>
      </c>
      <c r="D4590" s="340" t="str">
        <f>VLOOKUP(C4590,Plan!A$1:B$65542,2,0)</f>
        <v>Disponible CALI Security</v>
      </c>
      <c r="E4590" s="341">
        <f>+F4590-G4590</f>
        <v>-256979</v>
      </c>
      <c r="F4590" s="396">
        <v>0</v>
      </c>
      <c r="G4590" s="396">
        <f>+F4589</f>
        <v>256979</v>
      </c>
      <c r="H4590" t="str">
        <f>+H4589</f>
        <v>Fact. 2728, EE.PP.N°3 (Proy.Paviment.Acceso PSAH)</v>
      </c>
      <c r="I4590" s="347" t="s">
        <v>131</v>
      </c>
      <c r="J4590" t="s">
        <v>1952</v>
      </c>
      <c r="K4590" t="s">
        <v>1953</v>
      </c>
      <c r="L4590" s="347">
        <v>2728</v>
      </c>
      <c r="N4590" s="370"/>
    </row>
    <row r="4591" spans="1:14" s="347" customFormat="1" x14ac:dyDescent="0.25">
      <c r="A4591" s="369"/>
      <c r="E4591" s="396"/>
      <c r="F4591" s="396"/>
      <c r="G4591" s="396"/>
      <c r="K4591" s="370"/>
      <c r="N4591" s="370"/>
    </row>
    <row r="4592" spans="1:14" s="347" customFormat="1" x14ac:dyDescent="0.25">
      <c r="A4592" s="369">
        <v>44463</v>
      </c>
      <c r="B4592" s="347">
        <f>+MONTH(A4592)</f>
        <v>9</v>
      </c>
      <c r="C4592" s="347">
        <v>138</v>
      </c>
      <c r="D4592" s="340" t="str">
        <f>VLOOKUP(C4592,Plan!A$1:B$65542,2,0)</f>
        <v>Proyectos Especialidades</v>
      </c>
      <c r="E4592" s="341">
        <f>+F4592-G4592</f>
        <v>4336126</v>
      </c>
      <c r="F4592" s="155">
        <v>4336126</v>
      </c>
      <c r="G4592" s="396">
        <v>0</v>
      </c>
      <c r="H4592" s="370" t="s">
        <v>2096</v>
      </c>
      <c r="I4592" s="347" t="s">
        <v>131</v>
      </c>
      <c r="J4592" t="s">
        <v>605</v>
      </c>
      <c r="K4592" t="s">
        <v>606</v>
      </c>
      <c r="L4592">
        <v>6330</v>
      </c>
      <c r="M4592" s="343" t="s">
        <v>614</v>
      </c>
      <c r="N4592" t="str">
        <f>IF(M4592&lt;&gt;"",VLOOKUP(M4592,[1]Plan!F$1:G$65536,2,0),"")</f>
        <v>ITO</v>
      </c>
    </row>
    <row r="4593" spans="1:14" s="347" customFormat="1" x14ac:dyDescent="0.25">
      <c r="A4593" s="369">
        <f>+A4592</f>
        <v>44463</v>
      </c>
      <c r="B4593" s="347">
        <f>+B4592</f>
        <v>9</v>
      </c>
      <c r="C4593" s="347">
        <v>116</v>
      </c>
      <c r="D4593" s="340" t="str">
        <f>VLOOKUP(C4593,Plan!A$1:B$65542,2,0)</f>
        <v>Disponible CALI Security</v>
      </c>
      <c r="E4593" s="341">
        <f>+F4593-G4593</f>
        <v>-4336126</v>
      </c>
      <c r="F4593" s="396">
        <v>0</v>
      </c>
      <c r="G4593" s="396">
        <f>+F4592</f>
        <v>4336126</v>
      </c>
      <c r="H4593" t="str">
        <f>+H4592</f>
        <v>Fact. 6330, EE.PP. N° 21, ITO Agosto/21</v>
      </c>
      <c r="I4593" s="347" t="s">
        <v>131</v>
      </c>
      <c r="J4593" t="s">
        <v>605</v>
      </c>
      <c r="K4593" t="s">
        <v>606</v>
      </c>
      <c r="L4593">
        <v>6330</v>
      </c>
      <c r="M4593" s="343" t="s">
        <v>614</v>
      </c>
      <c r="N4593" t="str">
        <f>IF(M4593&lt;&gt;"",VLOOKUP(M4593,[1]Plan!F$1:G$65536,2,0),"")</f>
        <v>ITO</v>
      </c>
    </row>
    <row r="4594" spans="1:14" s="347" customFormat="1" x14ac:dyDescent="0.25">
      <c r="A4594" s="369"/>
      <c r="E4594" s="396"/>
      <c r="F4594" s="396"/>
      <c r="G4594" s="396"/>
      <c r="K4594" s="370"/>
      <c r="N4594" s="370"/>
    </row>
    <row r="4595" spans="1:14" s="347" customFormat="1" x14ac:dyDescent="0.25">
      <c r="A4595" s="369">
        <v>44463</v>
      </c>
      <c r="B4595" s="347">
        <f>+MONTH(A4595)</f>
        <v>9</v>
      </c>
      <c r="C4595" s="347">
        <v>228</v>
      </c>
      <c r="D4595" s="340" t="str">
        <f>VLOOKUP(C4595,Plan!A$1:B$65542,2,0)</f>
        <v>Proveedores CALI</v>
      </c>
      <c r="E4595" s="341">
        <f>+F4595-G4595</f>
        <v>222463036</v>
      </c>
      <c r="F4595" s="155">
        <v>222463036</v>
      </c>
      <c r="G4595" s="396">
        <v>0</v>
      </c>
      <c r="H4595" s="370" t="s">
        <v>2098</v>
      </c>
      <c r="I4595" s="347" t="s">
        <v>131</v>
      </c>
      <c r="J4595" s="403" t="s">
        <v>588</v>
      </c>
      <c r="K4595" s="208" t="str">
        <f>IF(J4595&lt;&gt;"",VLOOKUP(J4595,'Libro De Compras 2021'!D:E,2,0),"")</f>
        <v>PROYECTOS Y CONSTRUCCIONES TASCO LIMITADA</v>
      </c>
      <c r="L4595">
        <v>3022</v>
      </c>
      <c r="N4595" s="370"/>
    </row>
    <row r="4596" spans="1:14" s="347" customFormat="1" x14ac:dyDescent="0.25">
      <c r="A4596" s="369">
        <f>+A4595</f>
        <v>44463</v>
      </c>
      <c r="B4596" s="347">
        <f>+B4595</f>
        <v>9</v>
      </c>
      <c r="C4596" s="347">
        <v>116</v>
      </c>
      <c r="D4596" s="340" t="str">
        <f>VLOOKUP(C4596,Plan!A$1:B$65542,2,0)</f>
        <v>Disponible CALI Security</v>
      </c>
      <c r="E4596" s="341">
        <f>+F4596-G4596</f>
        <v>-222463036</v>
      </c>
      <c r="F4596" s="396">
        <v>0</v>
      </c>
      <c r="G4596" s="396">
        <f>+F4595</f>
        <v>222463036</v>
      </c>
      <c r="H4596" t="str">
        <f>+H4595</f>
        <v>Fact. 3022, EE.PP. N°14 rev.1</v>
      </c>
      <c r="I4596" s="347" t="s">
        <v>131</v>
      </c>
      <c r="J4596" s="403" t="s">
        <v>588</v>
      </c>
      <c r="K4596" s="208" t="str">
        <f>IF(J4596&lt;&gt;"",VLOOKUP(J4596,'Libro De Compras 2021'!D:E,2,0),"")</f>
        <v>PROYECTOS Y CONSTRUCCIONES TASCO LIMITADA</v>
      </c>
      <c r="L4596" s="403">
        <f>+L4595</f>
        <v>3022</v>
      </c>
      <c r="N4596" s="370"/>
    </row>
    <row r="4597" spans="1:14" s="347" customFormat="1" x14ac:dyDescent="0.25">
      <c r="A4597" s="369"/>
      <c r="E4597" s="396"/>
      <c r="F4597" s="396"/>
      <c r="G4597" s="396"/>
      <c r="K4597" s="370"/>
      <c r="N4597" s="370"/>
    </row>
    <row r="4598" spans="1:14" s="347" customFormat="1" x14ac:dyDescent="0.25">
      <c r="A4598" s="369">
        <v>44463</v>
      </c>
      <c r="B4598" s="347">
        <f>+MONTH(A4598)</f>
        <v>9</v>
      </c>
      <c r="C4598" s="347">
        <v>138</v>
      </c>
      <c r="D4598" s="340" t="str">
        <f>VLOOKUP(C4598,Plan!A$1:B$65542,2,0)</f>
        <v>Proyectos Especialidades</v>
      </c>
      <c r="E4598" s="341">
        <f>+F4598-G4598</f>
        <v>7869139</v>
      </c>
      <c r="F4598" s="155">
        <v>7869139</v>
      </c>
      <c r="G4598" s="396">
        <v>0</v>
      </c>
      <c r="H4598" s="370" t="s">
        <v>2097</v>
      </c>
      <c r="I4598" s="347" t="s">
        <v>131</v>
      </c>
      <c r="K4598" s="370"/>
      <c r="N4598" s="370"/>
    </row>
    <row r="4599" spans="1:14" s="347" customFormat="1" x14ac:dyDescent="0.25">
      <c r="A4599" s="369">
        <f>+A4598</f>
        <v>44463</v>
      </c>
      <c r="B4599" s="347">
        <f>+B4598</f>
        <v>9</v>
      </c>
      <c r="C4599" s="347">
        <v>116</v>
      </c>
      <c r="D4599" s="340" t="str">
        <f>VLOOKUP(C4599,Plan!A$1:B$65542,2,0)</f>
        <v>Disponible CALI Security</v>
      </c>
      <c r="E4599" s="341">
        <f>+F4599-G4599</f>
        <v>-7869139</v>
      </c>
      <c r="F4599" s="396">
        <v>0</v>
      </c>
      <c r="G4599" s="396">
        <f>+F4598</f>
        <v>7869139</v>
      </c>
      <c r="H4599" t="str">
        <f>+H4598</f>
        <v>Fact. 3030, EE.PP. N° 2 Obras Extra</v>
      </c>
      <c r="I4599" s="347" t="s">
        <v>131</v>
      </c>
      <c r="K4599" s="370"/>
      <c r="N4599" s="370"/>
    </row>
    <row r="4600" spans="1:14" s="347" customFormat="1" x14ac:dyDescent="0.25">
      <c r="A4600" s="369"/>
      <c r="E4600" s="396"/>
      <c r="F4600" s="396"/>
      <c r="G4600" s="396"/>
      <c r="K4600" s="370"/>
      <c r="N4600" s="370"/>
    </row>
    <row r="4601" spans="1:14" s="347" customFormat="1" x14ac:dyDescent="0.25">
      <c r="A4601" s="402">
        <v>44463</v>
      </c>
      <c r="B4601" s="403">
        <f>+MONTH(A4601)</f>
        <v>9</v>
      </c>
      <c r="C4601" s="338">
        <v>137</v>
      </c>
      <c r="D4601" s="340" t="str">
        <f>VLOOKUP(C4601,Plan!A:B,2,0)</f>
        <v>Anticipo Construcción</v>
      </c>
      <c r="E4601" s="341">
        <f>+F4601-G4601</f>
        <v>-31180276</v>
      </c>
      <c r="F4601" s="465">
        <v>0</v>
      </c>
      <c r="G4601" s="465">
        <v>31180276</v>
      </c>
      <c r="H4601" s="429" t="s">
        <v>2099</v>
      </c>
      <c r="I4601" s="403" t="s">
        <v>131</v>
      </c>
      <c r="J4601" s="403" t="s">
        <v>588</v>
      </c>
      <c r="K4601" s="208" t="str">
        <f>IF(J4601&lt;&gt;"",VLOOKUP(J4601,'Libro De Compras 2021'!D:E,2,0),"")</f>
        <v>PROYECTOS Y CONSTRUCCIONES TASCO LIMITADA</v>
      </c>
      <c r="L4601">
        <v>3022</v>
      </c>
      <c r="N4601" s="370"/>
    </row>
    <row r="4602" spans="1:14" s="347" customFormat="1" x14ac:dyDescent="0.25">
      <c r="A4602" s="402">
        <f t="shared" ref="A4602:B4604" si="74">+A4601</f>
        <v>44463</v>
      </c>
      <c r="B4602" s="403">
        <f t="shared" si="74"/>
        <v>9</v>
      </c>
      <c r="C4602" s="338">
        <v>136</v>
      </c>
      <c r="D4602" s="340" t="str">
        <f>VLOOKUP(C4602,Plan!A:B,2,0)</f>
        <v>Obras en Construcción</v>
      </c>
      <c r="E4602" s="341">
        <f>+F4602-G4602</f>
        <v>265123715</v>
      </c>
      <c r="F4602" s="465">
        <v>265123715</v>
      </c>
      <c r="G4602" s="465">
        <v>0</v>
      </c>
      <c r="H4602" s="429" t="s">
        <v>589</v>
      </c>
      <c r="I4602" s="403" t="s">
        <v>131</v>
      </c>
      <c r="J4602" s="403" t="s">
        <v>588</v>
      </c>
      <c r="K4602" s="208" t="str">
        <f>IF(J4602&lt;&gt;"",VLOOKUP(J4602,'Libro De Compras 2021'!D:E,2,0),"")</f>
        <v>PROYECTOS Y CONSTRUCCIONES TASCO LIMITADA</v>
      </c>
      <c r="L4602" s="403">
        <f>+L4601</f>
        <v>3022</v>
      </c>
      <c r="N4602" s="370"/>
    </row>
    <row r="4603" spans="1:14" s="347" customFormat="1" x14ac:dyDescent="0.25">
      <c r="A4603" s="402">
        <f t="shared" si="74"/>
        <v>44463</v>
      </c>
      <c r="B4603" s="403">
        <f t="shared" si="74"/>
        <v>9</v>
      </c>
      <c r="C4603" s="338">
        <v>210</v>
      </c>
      <c r="D4603" s="340" t="str">
        <f>VLOOKUP(C4603,Plan!A:B,2,0)</f>
        <v>Retenciones Construcción</v>
      </c>
      <c r="E4603" s="341">
        <f>+F4603-G4603</f>
        <v>-11480403</v>
      </c>
      <c r="F4603" s="465">
        <v>0</v>
      </c>
      <c r="G4603" s="465">
        <v>11480403</v>
      </c>
      <c r="H4603" s="429" t="s">
        <v>2100</v>
      </c>
      <c r="I4603" s="403" t="s">
        <v>131</v>
      </c>
      <c r="J4603" s="403" t="s">
        <v>588</v>
      </c>
      <c r="K4603" s="208" t="str">
        <f>IF(J4603&lt;&gt;"",VLOOKUP(J4603,'Libro De Compras 2021'!D:E,2,0),"")</f>
        <v>PROYECTOS Y CONSTRUCCIONES TASCO LIMITADA</v>
      </c>
      <c r="L4603" s="403">
        <f>+L4602</f>
        <v>3022</v>
      </c>
      <c r="N4603" s="370"/>
    </row>
    <row r="4604" spans="1:14" s="347" customFormat="1" x14ac:dyDescent="0.25">
      <c r="A4604" s="402">
        <f t="shared" si="74"/>
        <v>44463</v>
      </c>
      <c r="B4604" s="403">
        <f t="shared" si="74"/>
        <v>9</v>
      </c>
      <c r="C4604" s="338">
        <v>228</v>
      </c>
      <c r="D4604" s="340" t="str">
        <f>VLOOKUP(C4604,Plan!A:B,2,0)</f>
        <v>Proveedores CALI</v>
      </c>
      <c r="E4604" s="341">
        <f>+F4604-G4604</f>
        <v>-222463036</v>
      </c>
      <c r="F4604" s="465">
        <v>0</v>
      </c>
      <c r="G4604" s="465">
        <v>222463036</v>
      </c>
      <c r="H4604" s="429" t="s">
        <v>2101</v>
      </c>
      <c r="I4604" s="403" t="s">
        <v>131</v>
      </c>
      <c r="J4604" s="403" t="s">
        <v>588</v>
      </c>
      <c r="K4604" s="208" t="str">
        <f>IF(J4604&lt;&gt;"",VLOOKUP(J4604,'Libro De Compras 2021'!D:E,2,0),"")</f>
        <v>PROYECTOS Y CONSTRUCCIONES TASCO LIMITADA</v>
      </c>
      <c r="L4604" s="403">
        <f>+L4603</f>
        <v>3022</v>
      </c>
      <c r="N4604" s="370"/>
    </row>
    <row r="4605" spans="1:14" s="347" customFormat="1" x14ac:dyDescent="0.25">
      <c r="A4605" s="369"/>
      <c r="E4605" s="396"/>
      <c r="F4605" s="396"/>
      <c r="G4605" s="396"/>
      <c r="K4605" s="370"/>
      <c r="N4605" s="370"/>
    </row>
    <row r="4606" spans="1:14" s="347" customFormat="1" x14ac:dyDescent="0.25">
      <c r="A4606" s="369">
        <v>44453</v>
      </c>
      <c r="B4606" s="347">
        <f>+MONTH(A4606)</f>
        <v>9</v>
      </c>
      <c r="C4606" s="347">
        <v>117</v>
      </c>
      <c r="D4606" s="340" t="str">
        <f>VLOOKUP(C4606,Plan!A$1:B$65542,2,0)</f>
        <v>Disponible CALI Santander</v>
      </c>
      <c r="E4606" s="341">
        <f>+F4606-G4606</f>
        <v>30949483</v>
      </c>
      <c r="F4606" s="155">
        <v>30949483</v>
      </c>
      <c r="G4606" s="396">
        <v>0</v>
      </c>
      <c r="H4606" t="s">
        <v>2106</v>
      </c>
      <c r="I4606" s="347" t="s">
        <v>131</v>
      </c>
      <c r="K4606" s="370"/>
      <c r="N4606" s="370"/>
    </row>
    <row r="4607" spans="1:14" s="347" customFormat="1" x14ac:dyDescent="0.25">
      <c r="A4607" s="369">
        <f>+A4606</f>
        <v>44453</v>
      </c>
      <c r="B4607" s="347">
        <f>+B4606</f>
        <v>9</v>
      </c>
      <c r="C4607" s="347">
        <v>113</v>
      </c>
      <c r="D4607" s="340" t="str">
        <f>VLOOKUP(C4607,Plan!A$1:B$65542,2,0)</f>
        <v>Depósito a plazo Cali Banco Santander</v>
      </c>
      <c r="E4607" s="341">
        <f>+F4607-G4607</f>
        <v>-30949483</v>
      </c>
      <c r="F4607" s="396">
        <v>0</v>
      </c>
      <c r="G4607" s="396">
        <f>+F4606</f>
        <v>30949483</v>
      </c>
      <c r="H4607" t="str">
        <f>+H4606</f>
        <v>Rescata DAP</v>
      </c>
      <c r="I4607" s="347" t="s">
        <v>131</v>
      </c>
      <c r="K4607" s="370"/>
      <c r="N4607" s="370"/>
    </row>
    <row r="4608" spans="1:14" s="347" customFormat="1" x14ac:dyDescent="0.25">
      <c r="A4608" s="369"/>
      <c r="E4608" s="396"/>
      <c r="F4608" s="396"/>
      <c r="G4608" s="396"/>
      <c r="K4608" s="370"/>
      <c r="N4608" s="370"/>
    </row>
    <row r="4609" spans="1:14" s="347" customFormat="1" x14ac:dyDescent="0.25">
      <c r="A4609" s="369">
        <v>44449</v>
      </c>
      <c r="B4609" s="347">
        <f>+MONTH(A4609)</f>
        <v>9</v>
      </c>
      <c r="C4609" s="347">
        <v>4170</v>
      </c>
      <c r="D4609" s="340" t="str">
        <f>VLOOKUP(C4609,Plan!A$1:B$65542,2,0)</f>
        <v>Cali otros</v>
      </c>
      <c r="E4609" s="341">
        <f>+F4609-G4609</f>
        <v>9957</v>
      </c>
      <c r="F4609" s="155">
        <v>9957</v>
      </c>
      <c r="G4609" s="396">
        <v>0</v>
      </c>
      <c r="H4609" t="s">
        <v>2107</v>
      </c>
      <c r="I4609" s="347" t="s">
        <v>131</v>
      </c>
      <c r="K4609" s="370"/>
      <c r="N4609" s="370"/>
    </row>
    <row r="4610" spans="1:14" s="347" customFormat="1" x14ac:dyDescent="0.25">
      <c r="A4610" s="369">
        <f>+A4609</f>
        <v>44449</v>
      </c>
      <c r="B4610" s="347">
        <f>+B4609</f>
        <v>9</v>
      </c>
      <c r="C4610" s="347">
        <v>117</v>
      </c>
      <c r="D4610" s="340" t="str">
        <f>VLOOKUP(C4610,Plan!A$1:B$65542,2,0)</f>
        <v>Disponible CALI Santander</v>
      </c>
      <c r="E4610" s="341">
        <f>+F4610-G4610</f>
        <v>-9957</v>
      </c>
      <c r="F4610" s="396">
        <v>0</v>
      </c>
      <c r="G4610" s="396">
        <f>+F4609</f>
        <v>9957</v>
      </c>
      <c r="H4610" t="str">
        <f>+H4609</f>
        <v>COM.SERV.PAC AGOSTO 2021 28 TRX.</v>
      </c>
      <c r="I4610" s="347" t="s">
        <v>131</v>
      </c>
      <c r="K4610" s="370"/>
      <c r="N4610" s="370"/>
    </row>
    <row r="4611" spans="1:14" s="347" customFormat="1" x14ac:dyDescent="0.25">
      <c r="A4611" s="369"/>
      <c r="E4611" s="396"/>
      <c r="F4611" s="396"/>
      <c r="G4611" s="396"/>
      <c r="K4611" s="370"/>
      <c r="N4611" s="370"/>
    </row>
    <row r="4612" spans="1:14" s="347" customFormat="1" x14ac:dyDescent="0.25">
      <c r="A4612" s="369">
        <v>44459</v>
      </c>
      <c r="B4612" s="347">
        <f>+MONTH(A4612)</f>
        <v>9</v>
      </c>
      <c r="C4612" s="347">
        <v>117</v>
      </c>
      <c r="D4612" s="340" t="str">
        <f>VLOOKUP(C4612,Plan!A$1:B$65542,2,0)</f>
        <v>Disponible CALI Santander</v>
      </c>
      <c r="E4612" s="341">
        <f>+F4612-G4612</f>
        <v>690000</v>
      </c>
      <c r="F4612" s="155">
        <v>690000</v>
      </c>
      <c r="G4612" s="396">
        <v>0</v>
      </c>
      <c r="H4612" t="s">
        <v>1788</v>
      </c>
      <c r="I4612" s="347" t="s">
        <v>131</v>
      </c>
      <c r="K4612" s="370"/>
      <c r="N4612" s="370"/>
    </row>
    <row r="4613" spans="1:14" s="347" customFormat="1" x14ac:dyDescent="0.25">
      <c r="A4613" s="369">
        <f>+A4612</f>
        <v>44459</v>
      </c>
      <c r="B4613" s="347">
        <f>+B4612</f>
        <v>9</v>
      </c>
      <c r="C4613" s="347">
        <v>1222</v>
      </c>
      <c r="D4613" s="340" t="str">
        <f>VLOOKUP(C4613,Plan!A$1:B$65542,2,0)</f>
        <v>Otros Valores -Oficina y Transferencias (249)</v>
      </c>
      <c r="E4613" s="341">
        <f>+F4613-G4613</f>
        <v>-690000</v>
      </c>
      <c r="F4613" s="396">
        <v>0</v>
      </c>
      <c r="G4613" s="396">
        <f>+F4612</f>
        <v>690000</v>
      </c>
      <c r="H4613" t="s">
        <v>1788</v>
      </c>
      <c r="I4613" s="347" t="s">
        <v>131</v>
      </c>
      <c r="K4613" s="370"/>
      <c r="N4613" s="370"/>
    </row>
    <row r="4614" spans="1:14" s="347" customFormat="1" x14ac:dyDescent="0.25">
      <c r="A4614" s="369"/>
      <c r="E4614" s="396"/>
      <c r="F4614" s="396"/>
      <c r="G4614" s="396"/>
      <c r="K4614" s="370"/>
      <c r="N4614" s="370"/>
    </row>
    <row r="4615" spans="1:14" s="347" customFormat="1" x14ac:dyDescent="0.25">
      <c r="A4615" s="369">
        <v>44468</v>
      </c>
      <c r="B4615" s="347">
        <f>+MONTH(A4615)</f>
        <v>9</v>
      </c>
      <c r="C4615" s="347">
        <v>117</v>
      </c>
      <c r="D4615" s="340" t="str">
        <f>VLOOKUP(C4615,Plan!A$1:B$65542,2,0)</f>
        <v>Disponible CALI Santander</v>
      </c>
      <c r="E4615" s="341">
        <f>+F4615-G4615</f>
        <v>55000</v>
      </c>
      <c r="F4615" s="155">
        <v>55000</v>
      </c>
      <c r="G4615" s="396">
        <v>0</v>
      </c>
      <c r="H4615" t="s">
        <v>1788</v>
      </c>
      <c r="I4615" s="347" t="s">
        <v>131</v>
      </c>
      <c r="K4615" s="370"/>
      <c r="N4615" s="370"/>
    </row>
    <row r="4616" spans="1:14" s="347" customFormat="1" x14ac:dyDescent="0.25">
      <c r="A4616" s="369">
        <f>+A4615</f>
        <v>44468</v>
      </c>
      <c r="B4616" s="347">
        <f>+B4615</f>
        <v>9</v>
      </c>
      <c r="C4616" s="347">
        <v>1222</v>
      </c>
      <c r="D4616" s="340" t="str">
        <f>VLOOKUP(C4616,Plan!A$1:B$65542,2,0)</f>
        <v>Otros Valores -Oficina y Transferencias (249)</v>
      </c>
      <c r="E4616" s="341">
        <f>+F4616-G4616</f>
        <v>-55000</v>
      </c>
      <c r="F4616" s="396">
        <v>0</v>
      </c>
      <c r="G4616" s="396">
        <f>+F4615</f>
        <v>55000</v>
      </c>
      <c r="H4616" t="s">
        <v>1788</v>
      </c>
      <c r="I4616" s="347" t="s">
        <v>131</v>
      </c>
      <c r="K4616" s="370"/>
      <c r="N4616" s="370"/>
    </row>
    <row r="4617" spans="1:14" s="347" customFormat="1" x14ac:dyDescent="0.25">
      <c r="A4617" s="369"/>
      <c r="E4617" s="396"/>
      <c r="F4617" s="396"/>
      <c r="G4617" s="396"/>
      <c r="K4617" s="370"/>
      <c r="N4617" s="370"/>
    </row>
    <row r="4618" spans="1:14" s="347" customFormat="1" x14ac:dyDescent="0.25">
      <c r="A4618" s="339">
        <v>44469</v>
      </c>
      <c r="B4618" s="403">
        <f t="shared" ref="B4618:B4644" si="75">+MONTH(A4618)</f>
        <v>9</v>
      </c>
      <c r="C4618" s="352">
        <v>3620</v>
      </c>
      <c r="D4618" s="340" t="str">
        <f>VLOOKUP(C4618,Plan!A:B,2,0)</f>
        <v>Cali Recaudadores</v>
      </c>
      <c r="E4618" s="341">
        <f t="shared" ref="E4618:E4644" si="76">+F4618-G4618</f>
        <v>-457000</v>
      </c>
      <c r="F4618" s="353">
        <v>0</v>
      </c>
      <c r="G4618" s="353">
        <v>457000</v>
      </c>
      <c r="H4618" s="354" t="s">
        <v>2102</v>
      </c>
      <c r="I4618" s="355" t="s">
        <v>131</v>
      </c>
      <c r="K4618" s="370"/>
      <c r="N4618" s="370"/>
    </row>
    <row r="4619" spans="1:14" s="347" customFormat="1" x14ac:dyDescent="0.25">
      <c r="A4619" s="350">
        <f>+A4618</f>
        <v>44469</v>
      </c>
      <c r="B4619" s="403">
        <f t="shared" si="75"/>
        <v>9</v>
      </c>
      <c r="C4619" s="352">
        <v>3621</v>
      </c>
      <c r="D4619" s="340" t="str">
        <f>VLOOKUP(C4619,Plan!A:B,2,0)</f>
        <v>Cali Recaudadores (249)</v>
      </c>
      <c r="E4619" s="341">
        <f t="shared" si="76"/>
        <v>0</v>
      </c>
      <c r="F4619" s="353">
        <v>0</v>
      </c>
      <c r="G4619" s="353">
        <v>0</v>
      </c>
      <c r="H4619" s="354" t="str">
        <f t="shared" ref="H4619:H4626" si="77">+H4618</f>
        <v>Centralización Recaudación Agosto</v>
      </c>
      <c r="I4619" s="355" t="s">
        <v>131</v>
      </c>
      <c r="K4619" s="370"/>
      <c r="N4619" s="370"/>
    </row>
    <row r="4620" spans="1:14" s="347" customFormat="1" x14ac:dyDescent="0.25">
      <c r="A4620" s="350">
        <f>+A4618</f>
        <v>44469</v>
      </c>
      <c r="B4620" s="403">
        <f t="shared" si="75"/>
        <v>9</v>
      </c>
      <c r="C4620" s="352">
        <v>3630</v>
      </c>
      <c r="D4620" s="340" t="str">
        <f>VLOOKUP(C4620,Plan!A:B,2,0)</f>
        <v>Cali Oficina Parroquial</v>
      </c>
      <c r="E4620" s="341">
        <f t="shared" si="76"/>
        <v>-935289</v>
      </c>
      <c r="F4620" s="353">
        <v>0</v>
      </c>
      <c r="G4620" s="353">
        <v>935289</v>
      </c>
      <c r="H4620" s="354" t="str">
        <f t="shared" si="77"/>
        <v>Centralización Recaudación Agosto</v>
      </c>
      <c r="I4620" s="355" t="s">
        <v>131</v>
      </c>
      <c r="K4620" s="370"/>
      <c r="N4620" s="370"/>
    </row>
    <row r="4621" spans="1:14" s="347" customFormat="1" x14ac:dyDescent="0.25">
      <c r="A4621" s="350">
        <f>+A4619</f>
        <v>44469</v>
      </c>
      <c r="B4621" s="403">
        <f t="shared" si="75"/>
        <v>9</v>
      </c>
      <c r="C4621" s="352">
        <v>3631</v>
      </c>
      <c r="D4621" s="340" t="str">
        <f>VLOOKUP(C4621,Plan!A:B,2,0)</f>
        <v>Cali Oficina Parroquial (249)</v>
      </c>
      <c r="E4621" s="341">
        <f t="shared" si="76"/>
        <v>-2973500</v>
      </c>
      <c r="F4621" s="353">
        <v>0</v>
      </c>
      <c r="G4621" s="353">
        <v>2973500</v>
      </c>
      <c r="H4621" s="354" t="str">
        <f t="shared" si="77"/>
        <v>Centralización Recaudación Agosto</v>
      </c>
      <c r="I4621" s="355" t="s">
        <v>131</v>
      </c>
      <c r="K4621" s="370"/>
      <c r="N4621" s="370"/>
    </row>
    <row r="4622" spans="1:14" s="347" customFormat="1" x14ac:dyDescent="0.25">
      <c r="A4622" s="350">
        <f>+A4620</f>
        <v>44469</v>
      </c>
      <c r="B4622" s="403">
        <f t="shared" si="75"/>
        <v>9</v>
      </c>
      <c r="C4622" s="352">
        <v>3640</v>
      </c>
      <c r="D4622" s="340" t="str">
        <f>VLOOKUP(C4622,Plan!A:B,2,0)</f>
        <v>Cali Tarjetas de Creditos</v>
      </c>
      <c r="E4622" s="341">
        <f t="shared" si="76"/>
        <v>-4190600</v>
      </c>
      <c r="F4622" s="353">
        <v>0</v>
      </c>
      <c r="G4622" s="353">
        <v>4190600</v>
      </c>
      <c r="H4622" s="354" t="str">
        <f t="shared" si="77"/>
        <v>Centralización Recaudación Agosto</v>
      </c>
      <c r="I4622" s="355" t="s">
        <v>131</v>
      </c>
      <c r="K4622" s="370"/>
      <c r="N4622" s="370"/>
    </row>
    <row r="4623" spans="1:14" s="347" customFormat="1" x14ac:dyDescent="0.25">
      <c r="A4623" s="350">
        <f>+A4621</f>
        <v>44469</v>
      </c>
      <c r="B4623" s="403">
        <f t="shared" si="75"/>
        <v>9</v>
      </c>
      <c r="C4623" s="352">
        <v>3641</v>
      </c>
      <c r="D4623" s="340" t="str">
        <f>VLOOKUP(C4623,Plan!A:B,2,0)</f>
        <v>Cali Tarjetas de Creditos (249)</v>
      </c>
      <c r="E4623" s="341">
        <f t="shared" si="76"/>
        <v>-7628413</v>
      </c>
      <c r="F4623" s="353">
        <v>0</v>
      </c>
      <c r="G4623" s="353">
        <v>7628413</v>
      </c>
      <c r="H4623" s="354" t="str">
        <f t="shared" si="77"/>
        <v>Centralización Recaudación Agosto</v>
      </c>
      <c r="I4623" s="355" t="s">
        <v>131</v>
      </c>
      <c r="K4623" s="370"/>
      <c r="N4623" s="370"/>
    </row>
    <row r="4624" spans="1:14" s="347" customFormat="1" x14ac:dyDescent="0.25">
      <c r="A4624" s="350">
        <f>+A4622</f>
        <v>44469</v>
      </c>
      <c r="B4624" s="403">
        <f t="shared" si="75"/>
        <v>9</v>
      </c>
      <c r="C4624" s="352">
        <v>1216</v>
      </c>
      <c r="D4624" s="340" t="str">
        <f>VLOOKUP(C4624,Plan!A:B,2,0)</f>
        <v>Otros Valores Recaudadoras</v>
      </c>
      <c r="E4624" s="341">
        <f t="shared" si="76"/>
        <v>457000</v>
      </c>
      <c r="F4624" s="353">
        <f>+G4618+G4619</f>
        <v>457000</v>
      </c>
      <c r="G4624" s="353">
        <v>0</v>
      </c>
      <c r="H4624" s="354" t="str">
        <f t="shared" si="77"/>
        <v>Centralización Recaudación Agosto</v>
      </c>
      <c r="I4624" s="355" t="s">
        <v>131</v>
      </c>
      <c r="J4624" s="340"/>
      <c r="N4624" s="370"/>
    </row>
    <row r="4625" spans="1:14" s="347" customFormat="1" x14ac:dyDescent="0.25">
      <c r="A4625" s="350">
        <f>+A4624</f>
        <v>44469</v>
      </c>
      <c r="B4625" s="403">
        <f t="shared" si="75"/>
        <v>9</v>
      </c>
      <c r="C4625" s="352">
        <v>1217</v>
      </c>
      <c r="D4625" s="340" t="str">
        <f>VLOOKUP(C4625,Plan!A:B,2,0)</f>
        <v>Otros Valores -Oficina y Transferencias (248)</v>
      </c>
      <c r="E4625" s="341">
        <f t="shared" si="76"/>
        <v>935289</v>
      </c>
      <c r="F4625" s="353">
        <f>+G4620</f>
        <v>935289</v>
      </c>
      <c r="G4625" s="353">
        <v>0</v>
      </c>
      <c r="H4625" s="354" t="str">
        <f t="shared" si="77"/>
        <v>Centralización Recaudación Agosto</v>
      </c>
      <c r="I4625" s="355" t="s">
        <v>131</v>
      </c>
      <c r="J4625" s="340"/>
      <c r="N4625" s="370"/>
    </row>
    <row r="4626" spans="1:14" s="347" customFormat="1" x14ac:dyDescent="0.25">
      <c r="A4626" s="350">
        <f>+A4625</f>
        <v>44469</v>
      </c>
      <c r="B4626" s="403">
        <f t="shared" si="75"/>
        <v>9</v>
      </c>
      <c r="C4626" s="352">
        <v>1222</v>
      </c>
      <c r="D4626" s="340" t="str">
        <f>VLOOKUP(C4626,Plan!A:B,2,0)</f>
        <v>Otros Valores -Oficina y Transferencias (249)</v>
      </c>
      <c r="E4626" s="341">
        <f t="shared" si="76"/>
        <v>2973500</v>
      </c>
      <c r="F4626" s="353">
        <f>+G4621</f>
        <v>2973500</v>
      </c>
      <c r="G4626" s="353">
        <v>0</v>
      </c>
      <c r="H4626" s="354" t="str">
        <f t="shared" si="77"/>
        <v>Centralización Recaudación Agosto</v>
      </c>
      <c r="I4626" s="355" t="s">
        <v>131</v>
      </c>
      <c r="J4626" s="340"/>
      <c r="N4626" s="370"/>
    </row>
    <row r="4627" spans="1:14" s="347" customFormat="1" x14ac:dyDescent="0.25">
      <c r="A4627" s="350">
        <f>+A4625</f>
        <v>44469</v>
      </c>
      <c r="B4627" s="403">
        <f t="shared" si="75"/>
        <v>9</v>
      </c>
      <c r="C4627" s="352">
        <v>1218</v>
      </c>
      <c r="D4627" s="340" t="str">
        <f>VLOOKUP(C4627,Plan!A:B,2,0)</f>
        <v>Otros Valores Tarjeta de Credito</v>
      </c>
      <c r="E4627" s="341">
        <f t="shared" si="76"/>
        <v>11819013</v>
      </c>
      <c r="F4627" s="353">
        <f>+G4622+G4623</f>
        <v>11819013</v>
      </c>
      <c r="G4627" s="353">
        <v>0</v>
      </c>
      <c r="H4627" s="354" t="str">
        <f>+H4625</f>
        <v>Centralización Recaudación Agosto</v>
      </c>
      <c r="I4627" s="355" t="s">
        <v>131</v>
      </c>
      <c r="K4627" s="370"/>
      <c r="N4627" s="370"/>
    </row>
    <row r="4628" spans="1:14" s="347" customFormat="1" x14ac:dyDescent="0.25">
      <c r="A4628" s="350">
        <f t="shared" ref="A4628:A4635" si="78">+A4627</f>
        <v>44469</v>
      </c>
      <c r="B4628" s="403">
        <f t="shared" si="75"/>
        <v>9</v>
      </c>
      <c r="C4628" s="352">
        <v>202</v>
      </c>
      <c r="D4628" s="340" t="str">
        <f>VLOOKUP(C4628,Plan!A:B,2,0)</f>
        <v>Arzobispado por pagar</v>
      </c>
      <c r="E4628" s="341">
        <f t="shared" si="76"/>
        <v>-2918288</v>
      </c>
      <c r="F4628" s="353">
        <v>0</v>
      </c>
      <c r="G4628" s="353">
        <f>+ROUND((((G4618+G4620+G4622)*0.99)*0.88)*0.6,0)</f>
        <v>2918288</v>
      </c>
      <c r="H4628" s="354" t="str">
        <f t="shared" ref="H4628:H4644" si="79">+H4627</f>
        <v>Centralización Recaudación Agosto</v>
      </c>
      <c r="I4628" s="355" t="s">
        <v>131</v>
      </c>
      <c r="K4628" s="370"/>
      <c r="N4628" s="370"/>
    </row>
    <row r="4629" spans="1:14" s="347" customFormat="1" x14ac:dyDescent="0.25">
      <c r="A4629" s="350">
        <f t="shared" si="78"/>
        <v>44469</v>
      </c>
      <c r="B4629" s="403">
        <f t="shared" si="75"/>
        <v>9</v>
      </c>
      <c r="C4629" s="352">
        <v>4120</v>
      </c>
      <c r="D4629" s="340" t="str">
        <f>VLOOKUP(C4629,Plan!A:B,2,0)</f>
        <v>Aporte Arzobispado</v>
      </c>
      <c r="E4629" s="341">
        <f t="shared" si="76"/>
        <v>2918288</v>
      </c>
      <c r="F4629" s="353">
        <f>+G4628</f>
        <v>2918288</v>
      </c>
      <c r="G4629" s="353">
        <v>0</v>
      </c>
      <c r="H4629" s="354" t="str">
        <f t="shared" si="79"/>
        <v>Centralización Recaudación Agosto</v>
      </c>
      <c r="I4629" s="355" t="s">
        <v>131</v>
      </c>
      <c r="K4629" s="370"/>
      <c r="N4629" s="370"/>
    </row>
    <row r="4630" spans="1:14" s="347" customFormat="1" x14ac:dyDescent="0.25">
      <c r="A4630" s="350">
        <f t="shared" si="78"/>
        <v>44469</v>
      </c>
      <c r="B4630" s="403">
        <f t="shared" si="75"/>
        <v>9</v>
      </c>
      <c r="C4630" s="352">
        <v>203</v>
      </c>
      <c r="D4630" s="340" t="str">
        <f>VLOOKUP(C4630,Plan!A:B,2,0)</f>
        <v>Recaudadoras por pagar</v>
      </c>
      <c r="E4630" s="341">
        <f t="shared" si="76"/>
        <v>-54840</v>
      </c>
      <c r="F4630" s="353">
        <v>0</v>
      </c>
      <c r="G4630" s="356">
        <f>+F4624*0.12</f>
        <v>54840</v>
      </c>
      <c r="H4630" s="354" t="str">
        <f t="shared" si="79"/>
        <v>Centralización Recaudación Agosto</v>
      </c>
      <c r="I4630" s="355" t="s">
        <v>131</v>
      </c>
      <c r="K4630" s="370"/>
      <c r="N4630" s="370"/>
    </row>
    <row r="4631" spans="1:14" s="347" customFormat="1" x14ac:dyDescent="0.25">
      <c r="A4631" s="350">
        <f t="shared" si="78"/>
        <v>44469</v>
      </c>
      <c r="B4631" s="403">
        <f t="shared" si="75"/>
        <v>9</v>
      </c>
      <c r="C4631" s="352">
        <v>201</v>
      </c>
      <c r="D4631" s="340" t="str">
        <f>VLOOKUP(C4631,Plan!A:B,2,0)</f>
        <v>1% por pagar</v>
      </c>
      <c r="E4631" s="341">
        <f t="shared" si="76"/>
        <v>-161848</v>
      </c>
      <c r="F4631" s="353">
        <v>0</v>
      </c>
      <c r="G4631" s="356">
        <f>ROUND(SUM(G4618:G4623)*0.01,0)</f>
        <v>161848</v>
      </c>
      <c r="H4631" s="354" t="str">
        <f t="shared" si="79"/>
        <v>Centralización Recaudación Agosto</v>
      </c>
      <c r="I4631" s="355" t="s">
        <v>131</v>
      </c>
      <c r="K4631" s="370"/>
      <c r="N4631" s="370"/>
    </row>
    <row r="4632" spans="1:14" s="347" customFormat="1" x14ac:dyDescent="0.25">
      <c r="A4632" s="350">
        <f t="shared" si="78"/>
        <v>44469</v>
      </c>
      <c r="B4632" s="403">
        <f t="shared" si="75"/>
        <v>9</v>
      </c>
      <c r="C4632" s="352">
        <v>4140</v>
      </c>
      <c r="D4632" s="340" t="str">
        <f>VLOOKUP(C4632,Plan!A:B,2,0)</f>
        <v>Comisiones Cali Recaudadores</v>
      </c>
      <c r="E4632" s="341">
        <f t="shared" si="76"/>
        <v>54840</v>
      </c>
      <c r="F4632" s="353">
        <f>+G4630</f>
        <v>54840</v>
      </c>
      <c r="G4632" s="353">
        <v>0</v>
      </c>
      <c r="H4632" s="354" t="str">
        <f t="shared" si="79"/>
        <v>Centralización Recaudación Agosto</v>
      </c>
      <c r="I4632" s="355" t="s">
        <v>131</v>
      </c>
      <c r="K4632" s="370"/>
      <c r="N4632" s="370"/>
    </row>
    <row r="4633" spans="1:14" s="347" customFormat="1" x14ac:dyDescent="0.25">
      <c r="A4633" s="350">
        <f t="shared" si="78"/>
        <v>44469</v>
      </c>
      <c r="B4633" s="403">
        <f t="shared" si="75"/>
        <v>9</v>
      </c>
      <c r="C4633" s="352">
        <v>4110</v>
      </c>
      <c r="D4633" s="340" t="str">
        <f>VLOOKUP(C4633,Plan!A:B,2,0)</f>
        <v>Aporte Papal</v>
      </c>
      <c r="E4633" s="341">
        <f t="shared" si="76"/>
        <v>161848</v>
      </c>
      <c r="F4633" s="353">
        <f>+G4631</f>
        <v>161848</v>
      </c>
      <c r="G4633" s="353">
        <v>0</v>
      </c>
      <c r="H4633" s="354" t="str">
        <f t="shared" si="79"/>
        <v>Centralización Recaudación Agosto</v>
      </c>
      <c r="I4633" s="355" t="s">
        <v>131</v>
      </c>
      <c r="K4633" s="370"/>
      <c r="N4633" s="370"/>
    </row>
    <row r="4634" spans="1:14" s="347" customFormat="1" x14ac:dyDescent="0.25">
      <c r="A4634" s="470">
        <f t="shared" si="78"/>
        <v>44469</v>
      </c>
      <c r="B4634" s="403">
        <f t="shared" si="75"/>
        <v>9</v>
      </c>
      <c r="C4634" s="471">
        <v>3610</v>
      </c>
      <c r="D4634" s="472" t="str">
        <f>VLOOKUP(C4634,Plan!A:B,2,0)</f>
        <v>Cali  Arzobispado</v>
      </c>
      <c r="E4634" s="341">
        <f t="shared" si="76"/>
        <v>-5853767</v>
      </c>
      <c r="F4634" s="473">
        <v>0</v>
      </c>
      <c r="G4634" s="473">
        <v>5853767</v>
      </c>
      <c r="H4634" s="474" t="str">
        <f t="shared" si="79"/>
        <v>Centralización Recaudación Agosto</v>
      </c>
      <c r="I4634" s="474" t="s">
        <v>131</v>
      </c>
      <c r="K4634" s="370"/>
      <c r="N4634" s="370"/>
    </row>
    <row r="4635" spans="1:14" s="347" customFormat="1" x14ac:dyDescent="0.25">
      <c r="A4635" s="470">
        <f t="shared" si="78"/>
        <v>44469</v>
      </c>
      <c r="B4635" s="403">
        <f t="shared" si="75"/>
        <v>9</v>
      </c>
      <c r="C4635" s="471">
        <v>3611</v>
      </c>
      <c r="D4635" s="472" t="str">
        <f>VLOOKUP(C4635,Plan!A:B,2,0)</f>
        <v>Cali  Arzobispado (249)</v>
      </c>
      <c r="E4635" s="341">
        <f t="shared" si="76"/>
        <v>-1970500</v>
      </c>
      <c r="F4635" s="473">
        <v>0</v>
      </c>
      <c r="G4635" s="473">
        <v>1970500</v>
      </c>
      <c r="H4635" s="474" t="str">
        <f t="shared" si="79"/>
        <v>Centralización Recaudación Agosto</v>
      </c>
      <c r="I4635" s="474" t="s">
        <v>131</v>
      </c>
      <c r="K4635" s="370"/>
      <c r="N4635" s="370"/>
    </row>
    <row r="4636" spans="1:14" s="347" customFormat="1" x14ac:dyDescent="0.25">
      <c r="A4636" s="470">
        <f>+A4634</f>
        <v>44469</v>
      </c>
      <c r="B4636" s="403">
        <f t="shared" si="75"/>
        <v>9</v>
      </c>
      <c r="C4636" s="471">
        <v>4160</v>
      </c>
      <c r="D4636" s="472" t="str">
        <f>VLOOKUP(C4636,Plan!A:B,2,0)</f>
        <v>Comisiones Cali Arzobispado</v>
      </c>
      <c r="E4636" s="341">
        <f t="shared" si="76"/>
        <v>400621</v>
      </c>
      <c r="F4636" s="473">
        <v>400621</v>
      </c>
      <c r="G4636" s="473">
        <v>0</v>
      </c>
      <c r="H4636" s="474" t="str">
        <f t="shared" si="79"/>
        <v>Centralización Recaudación Agosto</v>
      </c>
      <c r="I4636" s="474" t="s">
        <v>131</v>
      </c>
      <c r="K4636" s="370"/>
      <c r="N4636" s="370"/>
    </row>
    <row r="4637" spans="1:14" s="347" customFormat="1" x14ac:dyDescent="0.25">
      <c r="A4637" s="470">
        <f>+A4635</f>
        <v>44469</v>
      </c>
      <c r="B4637" s="403">
        <f t="shared" si="75"/>
        <v>9</v>
      </c>
      <c r="C4637" s="471">
        <v>4160</v>
      </c>
      <c r="D4637" s="472" t="str">
        <f>VLOOKUP(C4637,Plan!A:B,2,0)</f>
        <v>Comisiones Cali Arzobispado</v>
      </c>
      <c r="E4637" s="341">
        <f t="shared" si="76"/>
        <v>49263</v>
      </c>
      <c r="F4637" s="473">
        <v>49263</v>
      </c>
      <c r="G4637" s="473">
        <v>0</v>
      </c>
      <c r="H4637" s="474" t="str">
        <f t="shared" si="79"/>
        <v>Centralización Recaudación Agosto</v>
      </c>
      <c r="I4637" s="474" t="s">
        <v>131</v>
      </c>
      <c r="K4637" s="370"/>
      <c r="N4637" s="370"/>
    </row>
    <row r="4638" spans="1:14" s="347" customFormat="1" x14ac:dyDescent="0.25">
      <c r="A4638" s="350">
        <f>+A4636</f>
        <v>44469</v>
      </c>
      <c r="B4638" s="403">
        <f t="shared" si="75"/>
        <v>9</v>
      </c>
      <c r="C4638" s="352">
        <v>4120</v>
      </c>
      <c r="D4638" s="340" t="str">
        <f>VLOOKUP(C4638,Plan!A:B,2,0)</f>
        <v>Aporte Arzobispado</v>
      </c>
      <c r="E4638" s="341">
        <f t="shared" si="76"/>
        <v>3236765</v>
      </c>
      <c r="F4638" s="353">
        <f>ROUND((+G4634-F4636-F4639)*0.6,0)</f>
        <v>3236765</v>
      </c>
      <c r="G4638" s="353">
        <v>0</v>
      </c>
      <c r="H4638" s="354" t="str">
        <f t="shared" si="79"/>
        <v>Centralización Recaudación Agosto</v>
      </c>
      <c r="I4638" s="355" t="s">
        <v>131</v>
      </c>
      <c r="K4638" s="370"/>
      <c r="N4638" s="370"/>
    </row>
    <row r="4639" spans="1:14" s="347" customFormat="1" x14ac:dyDescent="0.25">
      <c r="A4639" s="350">
        <f>+A4638</f>
        <v>44469</v>
      </c>
      <c r="B4639" s="403">
        <f t="shared" si="75"/>
        <v>9</v>
      </c>
      <c r="C4639" s="352">
        <v>4110</v>
      </c>
      <c r="D4639" s="340" t="str">
        <f>VLOOKUP(C4639,Plan!A:B,2,0)</f>
        <v>Aporte Papal</v>
      </c>
      <c r="E4639" s="341">
        <f t="shared" si="76"/>
        <v>58538</v>
      </c>
      <c r="F4639" s="353">
        <f>ROUND((+G4634)*0.01,0)</f>
        <v>58538</v>
      </c>
      <c r="G4639" s="353">
        <v>0</v>
      </c>
      <c r="H4639" s="354" t="str">
        <f t="shared" si="79"/>
        <v>Centralización Recaudación Agosto</v>
      </c>
      <c r="I4639" s="355" t="s">
        <v>131</v>
      </c>
      <c r="K4639" s="370"/>
      <c r="N4639" s="370"/>
    </row>
    <row r="4640" spans="1:14" s="347" customFormat="1" x14ac:dyDescent="0.25">
      <c r="A4640" s="350">
        <f>+A4639</f>
        <v>44469</v>
      </c>
      <c r="B4640" s="403">
        <f t="shared" si="75"/>
        <v>9</v>
      </c>
      <c r="C4640" s="352">
        <v>4110</v>
      </c>
      <c r="D4640" s="340" t="str">
        <f>VLOOKUP(C4640,Plan!A:B,2,0)</f>
        <v>Aporte Papal</v>
      </c>
      <c r="E4640" s="341">
        <f t="shared" si="76"/>
        <v>19705</v>
      </c>
      <c r="F4640" s="353">
        <f>(+G4635)*0.01</f>
        <v>19705</v>
      </c>
      <c r="G4640" s="353">
        <v>0</v>
      </c>
      <c r="H4640" s="354" t="str">
        <f t="shared" si="79"/>
        <v>Centralización Recaudación Agosto</v>
      </c>
      <c r="I4640" s="355" t="s">
        <v>131</v>
      </c>
      <c r="K4640" s="370"/>
      <c r="N4640" s="370"/>
    </row>
    <row r="4641" spans="1:14" s="347" customFormat="1" x14ac:dyDescent="0.25">
      <c r="A4641" s="350">
        <f>+A4639</f>
        <v>44469</v>
      </c>
      <c r="B4641" s="403">
        <f t="shared" si="75"/>
        <v>9</v>
      </c>
      <c r="C4641" s="352">
        <v>1219</v>
      </c>
      <c r="D4641" s="340" t="str">
        <f>VLOOKUP(C4641,Plan!A:B,2,0)</f>
        <v>Otros Valores Arzobispado (248)</v>
      </c>
      <c r="E4641" s="341">
        <f t="shared" si="76"/>
        <v>2157843</v>
      </c>
      <c r="F4641" s="353">
        <f>+G4634-F4636-F4638-F4639</f>
        <v>2157843</v>
      </c>
      <c r="G4641" s="353">
        <v>0</v>
      </c>
      <c r="H4641" s="354" t="str">
        <f t="shared" si="79"/>
        <v>Centralización Recaudación Agosto</v>
      </c>
      <c r="I4641" s="355" t="s">
        <v>131</v>
      </c>
      <c r="K4641" s="370"/>
      <c r="N4641" s="370"/>
    </row>
    <row r="4642" spans="1:14" s="347" customFormat="1" x14ac:dyDescent="0.25">
      <c r="A4642" s="350">
        <f>+A4641</f>
        <v>44469</v>
      </c>
      <c r="B4642" s="403">
        <f t="shared" si="75"/>
        <v>9</v>
      </c>
      <c r="C4642" s="352">
        <v>1220</v>
      </c>
      <c r="D4642" s="340" t="str">
        <f>VLOOKUP(C4642,Plan!A:B,2,0)</f>
        <v>Otros Valores Arzobispado (249)</v>
      </c>
      <c r="E4642" s="341">
        <f t="shared" si="76"/>
        <v>1901532</v>
      </c>
      <c r="F4642" s="353">
        <f>+G4635-F4637-F4640</f>
        <v>1901532</v>
      </c>
      <c r="G4642" s="353">
        <v>0</v>
      </c>
      <c r="H4642" s="354" t="str">
        <f t="shared" si="79"/>
        <v>Centralización Recaudación Agosto</v>
      </c>
      <c r="I4642" s="355" t="s">
        <v>131</v>
      </c>
      <c r="K4642" s="370"/>
      <c r="N4642" s="370"/>
    </row>
    <row r="4643" spans="1:14" s="347" customFormat="1" x14ac:dyDescent="0.25">
      <c r="A4643" s="350">
        <f>+A4641</f>
        <v>44469</v>
      </c>
      <c r="B4643" s="403">
        <f t="shared" si="75"/>
        <v>9</v>
      </c>
      <c r="C4643" s="352">
        <v>1218</v>
      </c>
      <c r="D4643" s="340" t="str">
        <f>VLOOKUP(C4643,Plan!A:B,2,0)</f>
        <v>Otros Valores Tarjeta de Credito</v>
      </c>
      <c r="E4643" s="341">
        <f t="shared" si="76"/>
        <v>-395216</v>
      </c>
      <c r="F4643" s="353">
        <f>+G4636+G4638</f>
        <v>0</v>
      </c>
      <c r="G4643" s="353">
        <f>+F4644</f>
        <v>395216</v>
      </c>
      <c r="H4643" s="354" t="str">
        <f t="shared" si="79"/>
        <v>Centralización Recaudación Agosto</v>
      </c>
      <c r="I4643" s="355" t="s">
        <v>131</v>
      </c>
      <c r="K4643" s="370"/>
      <c r="N4643" s="370"/>
    </row>
    <row r="4644" spans="1:14" s="347" customFormat="1" x14ac:dyDescent="0.25">
      <c r="A4644" s="350">
        <f>+A4641</f>
        <v>44469</v>
      </c>
      <c r="B4644" s="403">
        <f t="shared" si="75"/>
        <v>9</v>
      </c>
      <c r="C4644" s="352">
        <v>4150</v>
      </c>
      <c r="D4644" s="340" t="str">
        <f>VLOOKUP(C4644,Plan!A:B,2,0)</f>
        <v>Comisiones Cali Tarjetas de Creditos</v>
      </c>
      <c r="E4644" s="341">
        <f t="shared" si="76"/>
        <v>395216</v>
      </c>
      <c r="F4644" s="353">
        <f>ROUND(+(G4623+G4622)*(1-0.966561),0)*1</f>
        <v>395216</v>
      </c>
      <c r="G4644" s="353">
        <v>0</v>
      </c>
      <c r="H4644" s="354" t="str">
        <f t="shared" si="79"/>
        <v>Centralización Recaudación Agosto</v>
      </c>
      <c r="I4644" s="355" t="s">
        <v>131</v>
      </c>
      <c r="K4644" s="370"/>
      <c r="N4644" s="370"/>
    </row>
    <row r="4645" spans="1:14" s="347" customFormat="1" x14ac:dyDescent="0.25">
      <c r="A4645" s="369"/>
      <c r="E4645" s="396"/>
      <c r="F4645" s="396"/>
      <c r="G4645" s="396"/>
      <c r="K4645" s="370"/>
      <c r="N4645" s="370"/>
    </row>
    <row r="4646" spans="1:14" s="347" customFormat="1" x14ac:dyDescent="0.25">
      <c r="A4646" s="350">
        <f>+A4644</f>
        <v>44469</v>
      </c>
      <c r="B4646" s="403">
        <f t="shared" ref="B4646:B4681" si="80">+MONTH(A4646)</f>
        <v>9</v>
      </c>
      <c r="C4646" s="352">
        <v>141</v>
      </c>
      <c r="D4646" s="340" t="str">
        <f>VLOOKUP(C4646,Plan!A:B,2,0)</f>
        <v>Cuentas por Cobrar a Administración</v>
      </c>
      <c r="E4646" s="341">
        <f t="shared" ref="E4646:E4681" si="81">+F4646-G4646</f>
        <v>30000</v>
      </c>
      <c r="F4646" s="396">
        <v>30000</v>
      </c>
      <c r="G4646" s="353">
        <v>0</v>
      </c>
      <c r="H4646" t="s">
        <v>1641</v>
      </c>
      <c r="I4646" s="355" t="s">
        <v>131</v>
      </c>
      <c r="K4646" s="370"/>
      <c r="N4646" s="370"/>
    </row>
    <row r="4647" spans="1:14" s="347" customFormat="1" x14ac:dyDescent="0.25">
      <c r="A4647" s="350">
        <f>+A4644</f>
        <v>44469</v>
      </c>
      <c r="B4647" s="403">
        <f t="shared" si="80"/>
        <v>9</v>
      </c>
      <c r="C4647" s="352">
        <v>141</v>
      </c>
      <c r="D4647" s="340" t="str">
        <f>VLOOKUP(C4647,Plan!A:B,2,0)</f>
        <v>Cuentas por Cobrar a Administración</v>
      </c>
      <c r="E4647" s="341">
        <f t="shared" si="81"/>
        <v>20000</v>
      </c>
      <c r="F4647" s="396">
        <v>20000</v>
      </c>
      <c r="G4647" s="353">
        <v>0</v>
      </c>
      <c r="H4647" t="s">
        <v>1236</v>
      </c>
      <c r="I4647" s="355" t="s">
        <v>131</v>
      </c>
      <c r="K4647" s="370"/>
      <c r="N4647" s="370"/>
    </row>
    <row r="4648" spans="1:14" s="347" customFormat="1" x14ac:dyDescent="0.25">
      <c r="A4648" s="350">
        <f t="shared" ref="A4648:A4681" si="82">+A4646</f>
        <v>44469</v>
      </c>
      <c r="B4648" s="403">
        <f t="shared" si="80"/>
        <v>9</v>
      </c>
      <c r="C4648" s="352">
        <v>141</v>
      </c>
      <c r="D4648" s="340" t="str">
        <f>VLOOKUP(C4648,Plan!A:B,2,0)</f>
        <v>Cuentas por Cobrar a Administración</v>
      </c>
      <c r="E4648" s="341">
        <f t="shared" si="81"/>
        <v>50000</v>
      </c>
      <c r="F4648" s="396">
        <v>50000</v>
      </c>
      <c r="G4648" s="353">
        <f>+F4649</f>
        <v>0</v>
      </c>
      <c r="H4648" t="s">
        <v>733</v>
      </c>
      <c r="I4648" s="355" t="s">
        <v>131</v>
      </c>
      <c r="K4648" s="370"/>
      <c r="N4648" s="370"/>
    </row>
    <row r="4649" spans="1:14" s="347" customFormat="1" x14ac:dyDescent="0.25">
      <c r="A4649" s="350">
        <f t="shared" si="82"/>
        <v>44469</v>
      </c>
      <c r="B4649" s="403">
        <f t="shared" si="80"/>
        <v>9</v>
      </c>
      <c r="C4649" s="352">
        <v>141</v>
      </c>
      <c r="D4649" s="340" t="str">
        <f>VLOOKUP(C4649,Plan!A:B,2,0)</f>
        <v>Cuentas por Cobrar a Administración</v>
      </c>
      <c r="E4649" s="341">
        <f t="shared" si="81"/>
        <v>-48353</v>
      </c>
      <c r="F4649" s="396">
        <v>0</v>
      </c>
      <c r="G4649" s="353">
        <v>48353</v>
      </c>
      <c r="H4649" t="s">
        <v>1930</v>
      </c>
      <c r="I4649" s="355" t="s">
        <v>131</v>
      </c>
      <c r="K4649" s="370"/>
      <c r="N4649" s="370"/>
    </row>
    <row r="4650" spans="1:14" s="347" customFormat="1" x14ac:dyDescent="0.25">
      <c r="A4650" s="350">
        <f t="shared" si="82"/>
        <v>44469</v>
      </c>
      <c r="B4650" s="403">
        <f t="shared" si="80"/>
        <v>9</v>
      </c>
      <c r="C4650" s="352">
        <v>141</v>
      </c>
      <c r="D4650" s="340" t="str">
        <f>VLOOKUP(C4650,Plan!A:B,2,0)</f>
        <v>Cuentas por Cobrar a Administración</v>
      </c>
      <c r="E4650" s="341">
        <f t="shared" si="81"/>
        <v>30000</v>
      </c>
      <c r="F4650" s="396">
        <v>30000</v>
      </c>
      <c r="G4650" s="353">
        <v>0</v>
      </c>
      <c r="H4650" t="s">
        <v>737</v>
      </c>
      <c r="I4650" s="355" t="s">
        <v>131</v>
      </c>
      <c r="K4650" s="370"/>
      <c r="N4650" s="370"/>
    </row>
    <row r="4651" spans="1:14" s="347" customFormat="1" x14ac:dyDescent="0.25">
      <c r="A4651" s="350">
        <f t="shared" si="82"/>
        <v>44469</v>
      </c>
      <c r="B4651" s="403">
        <f t="shared" si="80"/>
        <v>9</v>
      </c>
      <c r="C4651" s="352">
        <v>141</v>
      </c>
      <c r="D4651" s="340" t="str">
        <f>VLOOKUP(C4651,Plan!A:B,2,0)</f>
        <v>Cuentas por Cobrar a Administración</v>
      </c>
      <c r="E4651" s="341">
        <f t="shared" si="81"/>
        <v>13000</v>
      </c>
      <c r="F4651" s="396">
        <v>13000</v>
      </c>
      <c r="G4651" s="353">
        <v>0</v>
      </c>
      <c r="H4651" t="s">
        <v>2042</v>
      </c>
      <c r="I4651" s="355" t="s">
        <v>131</v>
      </c>
      <c r="K4651" s="370"/>
      <c r="N4651" s="370"/>
    </row>
    <row r="4652" spans="1:14" s="347" customFormat="1" x14ac:dyDescent="0.25">
      <c r="A4652" s="350">
        <f t="shared" si="82"/>
        <v>44469</v>
      </c>
      <c r="B4652" s="403">
        <f t="shared" si="80"/>
        <v>9</v>
      </c>
      <c r="C4652" s="352">
        <v>141</v>
      </c>
      <c r="D4652" s="340" t="str">
        <f>VLOOKUP(C4652,Plan!A:B,2,0)</f>
        <v>Cuentas por Cobrar a Administración</v>
      </c>
      <c r="E4652" s="341">
        <f t="shared" si="81"/>
        <v>13000</v>
      </c>
      <c r="F4652" s="396">
        <v>13000</v>
      </c>
      <c r="G4652" s="353">
        <v>0</v>
      </c>
      <c r="H4652" t="s">
        <v>2041</v>
      </c>
      <c r="I4652" s="355" t="s">
        <v>131</v>
      </c>
      <c r="K4652" s="370"/>
      <c r="N4652" s="370"/>
    </row>
    <row r="4653" spans="1:14" s="347" customFormat="1" x14ac:dyDescent="0.25">
      <c r="A4653" s="350">
        <f t="shared" si="82"/>
        <v>44469</v>
      </c>
      <c r="B4653" s="403">
        <f t="shared" si="80"/>
        <v>9</v>
      </c>
      <c r="C4653" s="352">
        <v>141</v>
      </c>
      <c r="D4653" s="340" t="str">
        <f>VLOOKUP(C4653,Plan!A:B,2,0)</f>
        <v>Cuentas por Cobrar a Administración</v>
      </c>
      <c r="E4653" s="341">
        <f t="shared" si="81"/>
        <v>13000</v>
      </c>
      <c r="F4653" s="396">
        <v>13000</v>
      </c>
      <c r="G4653" s="353">
        <v>0</v>
      </c>
      <c r="H4653" t="s">
        <v>2043</v>
      </c>
      <c r="I4653" s="355" t="s">
        <v>131</v>
      </c>
      <c r="K4653" s="370"/>
      <c r="N4653" s="370"/>
    </row>
    <row r="4654" spans="1:14" s="347" customFormat="1" x14ac:dyDescent="0.25">
      <c r="A4654" s="350">
        <f t="shared" si="82"/>
        <v>44469</v>
      </c>
      <c r="B4654" s="403">
        <f t="shared" si="80"/>
        <v>9</v>
      </c>
      <c r="C4654" s="352">
        <v>141</v>
      </c>
      <c r="D4654" s="340" t="str">
        <f>VLOOKUP(C4654,Plan!A:B,2,0)</f>
        <v>Cuentas por Cobrar a Administración</v>
      </c>
      <c r="E4654" s="341">
        <f t="shared" si="81"/>
        <v>21000</v>
      </c>
      <c r="F4654" s="396">
        <v>21000</v>
      </c>
      <c r="G4654" s="353">
        <v>0</v>
      </c>
      <c r="H4654" t="s">
        <v>1938</v>
      </c>
      <c r="I4654" s="355" t="s">
        <v>131</v>
      </c>
      <c r="K4654" s="370"/>
      <c r="N4654" s="370"/>
    </row>
    <row r="4655" spans="1:14" s="347" customFormat="1" x14ac:dyDescent="0.25">
      <c r="A4655" s="350">
        <f t="shared" si="82"/>
        <v>44469</v>
      </c>
      <c r="B4655" s="403">
        <f t="shared" si="80"/>
        <v>9</v>
      </c>
      <c r="C4655" s="352">
        <v>141</v>
      </c>
      <c r="D4655" s="340" t="str">
        <f>VLOOKUP(C4655,Plan!A:B,2,0)</f>
        <v>Cuentas por Cobrar a Administración</v>
      </c>
      <c r="E4655" s="341">
        <f t="shared" si="81"/>
        <v>35000</v>
      </c>
      <c r="F4655" s="396">
        <v>35000</v>
      </c>
      <c r="G4655" s="353">
        <v>0</v>
      </c>
      <c r="H4655" t="s">
        <v>1902</v>
      </c>
      <c r="I4655" s="355" t="s">
        <v>131</v>
      </c>
      <c r="K4655" s="370"/>
      <c r="N4655" s="370"/>
    </row>
    <row r="4656" spans="1:14" s="347" customFormat="1" x14ac:dyDescent="0.25">
      <c r="A4656" s="350">
        <f t="shared" si="82"/>
        <v>44469</v>
      </c>
      <c r="B4656" s="403">
        <f t="shared" si="80"/>
        <v>9</v>
      </c>
      <c r="C4656" s="352">
        <v>141</v>
      </c>
      <c r="D4656" s="340" t="str">
        <f>VLOOKUP(C4656,Plan!A:B,2,0)</f>
        <v>Cuentas por Cobrar a Administración</v>
      </c>
      <c r="E4656" s="341">
        <f t="shared" si="81"/>
        <v>15000</v>
      </c>
      <c r="F4656" s="396">
        <v>15000</v>
      </c>
      <c r="G4656" s="353">
        <v>0</v>
      </c>
      <c r="H4656" t="s">
        <v>688</v>
      </c>
      <c r="I4656" s="355" t="s">
        <v>131</v>
      </c>
      <c r="K4656" s="370"/>
      <c r="N4656" s="370"/>
    </row>
    <row r="4657" spans="1:14" s="347" customFormat="1" x14ac:dyDescent="0.25">
      <c r="A4657" s="350">
        <f t="shared" si="82"/>
        <v>44469</v>
      </c>
      <c r="B4657" s="403">
        <f t="shared" si="80"/>
        <v>9</v>
      </c>
      <c r="C4657" s="352">
        <v>141</v>
      </c>
      <c r="D4657" s="340" t="str">
        <f>VLOOKUP(C4657,Plan!A:B,2,0)</f>
        <v>Cuentas por Cobrar a Administración</v>
      </c>
      <c r="E4657" s="341">
        <f t="shared" si="81"/>
        <v>50000</v>
      </c>
      <c r="F4657" s="396">
        <v>50000</v>
      </c>
      <c r="G4657" s="353">
        <v>0</v>
      </c>
      <c r="H4657" t="s">
        <v>1459</v>
      </c>
      <c r="I4657" s="355" t="s">
        <v>131</v>
      </c>
      <c r="K4657" s="370"/>
      <c r="N4657" s="370"/>
    </row>
    <row r="4658" spans="1:14" s="347" customFormat="1" x14ac:dyDescent="0.25">
      <c r="A4658" s="350">
        <f t="shared" si="82"/>
        <v>44469</v>
      </c>
      <c r="B4658" s="403">
        <f t="shared" si="80"/>
        <v>9</v>
      </c>
      <c r="C4658" s="352">
        <v>141</v>
      </c>
      <c r="D4658" s="340" t="str">
        <f>VLOOKUP(C4658,Plan!A:B,2,0)</f>
        <v>Cuentas por Cobrar a Administración</v>
      </c>
      <c r="E4658" s="341">
        <f t="shared" si="81"/>
        <v>20000</v>
      </c>
      <c r="F4658" s="396">
        <v>20000</v>
      </c>
      <c r="G4658" s="353">
        <v>0</v>
      </c>
      <c r="H4658" t="s">
        <v>2060</v>
      </c>
      <c r="I4658" s="355" t="s">
        <v>131</v>
      </c>
      <c r="K4658" s="370"/>
      <c r="N4658" s="370"/>
    </row>
    <row r="4659" spans="1:14" s="347" customFormat="1" x14ac:dyDescent="0.25">
      <c r="A4659" s="350">
        <f t="shared" si="82"/>
        <v>44469</v>
      </c>
      <c r="B4659" s="403">
        <f t="shared" si="80"/>
        <v>9</v>
      </c>
      <c r="C4659" s="352">
        <v>141</v>
      </c>
      <c r="D4659" s="340" t="str">
        <f>VLOOKUP(C4659,Plan!A:B,2,0)</f>
        <v>Cuentas por Cobrar a Administración</v>
      </c>
      <c r="E4659" s="341">
        <f t="shared" si="81"/>
        <v>450000</v>
      </c>
      <c r="F4659" s="396">
        <v>450000</v>
      </c>
      <c r="G4659" s="353">
        <v>0</v>
      </c>
      <c r="H4659" t="s">
        <v>2026</v>
      </c>
      <c r="I4659" s="355" t="s">
        <v>131</v>
      </c>
      <c r="K4659" s="370"/>
      <c r="N4659" s="370"/>
    </row>
    <row r="4660" spans="1:14" s="347" customFormat="1" x14ac:dyDescent="0.25">
      <c r="A4660" s="350">
        <f t="shared" si="82"/>
        <v>44469</v>
      </c>
      <c r="B4660" s="403">
        <f t="shared" si="80"/>
        <v>9</v>
      </c>
      <c r="C4660" s="352">
        <v>141</v>
      </c>
      <c r="D4660" s="340" t="str">
        <f>VLOOKUP(C4660,Plan!A:B,2,0)</f>
        <v>Cuentas por Cobrar a Administración</v>
      </c>
      <c r="E4660" s="341">
        <f t="shared" si="81"/>
        <v>450000</v>
      </c>
      <c r="F4660" s="396">
        <v>450000</v>
      </c>
      <c r="G4660" s="353">
        <v>0</v>
      </c>
      <c r="H4660" t="s">
        <v>2032</v>
      </c>
      <c r="I4660" s="355" t="s">
        <v>131</v>
      </c>
      <c r="K4660" s="370"/>
      <c r="N4660" s="370"/>
    </row>
    <row r="4661" spans="1:14" s="347" customFormat="1" x14ac:dyDescent="0.25">
      <c r="A4661" s="350">
        <f t="shared" si="82"/>
        <v>44469</v>
      </c>
      <c r="B4661" s="403">
        <f t="shared" si="80"/>
        <v>9</v>
      </c>
      <c r="C4661" s="352">
        <v>141</v>
      </c>
      <c r="D4661" s="340" t="str">
        <f>VLOOKUP(C4661,Plan!A:B,2,0)</f>
        <v>Cuentas por Cobrar a Administración</v>
      </c>
      <c r="E4661" s="341">
        <f t="shared" si="81"/>
        <v>20000</v>
      </c>
      <c r="F4661" s="396">
        <v>20000</v>
      </c>
      <c r="G4661" s="353">
        <v>0</v>
      </c>
      <c r="H4661" t="s">
        <v>2061</v>
      </c>
      <c r="I4661" s="355" t="s">
        <v>131</v>
      </c>
      <c r="K4661" s="370"/>
      <c r="N4661" s="370"/>
    </row>
    <row r="4662" spans="1:14" s="347" customFormat="1" x14ac:dyDescent="0.25">
      <c r="A4662" s="350">
        <f t="shared" si="82"/>
        <v>44469</v>
      </c>
      <c r="B4662" s="403">
        <f t="shared" si="80"/>
        <v>9</v>
      </c>
      <c r="C4662" s="352">
        <v>141</v>
      </c>
      <c r="D4662" s="340" t="str">
        <f>VLOOKUP(C4662,Plan!A:B,2,0)</f>
        <v>Cuentas por Cobrar a Administración</v>
      </c>
      <c r="E4662" s="341">
        <f t="shared" si="81"/>
        <v>10000</v>
      </c>
      <c r="F4662" s="396">
        <v>10000</v>
      </c>
      <c r="G4662" s="353">
        <v>0</v>
      </c>
      <c r="H4662" t="s">
        <v>1996</v>
      </c>
      <c r="I4662" s="355" t="s">
        <v>131</v>
      </c>
      <c r="K4662" s="370"/>
      <c r="N4662" s="370"/>
    </row>
    <row r="4663" spans="1:14" s="347" customFormat="1" x14ac:dyDescent="0.25">
      <c r="A4663" s="350">
        <f t="shared" si="82"/>
        <v>44469</v>
      </c>
      <c r="B4663" s="403">
        <f t="shared" si="80"/>
        <v>9</v>
      </c>
      <c r="C4663" s="352">
        <v>141</v>
      </c>
      <c r="D4663" s="340" t="str">
        <f>VLOOKUP(C4663,Plan!A:B,2,0)</f>
        <v>Cuentas por Cobrar a Administración</v>
      </c>
      <c r="E4663" s="341">
        <f t="shared" si="81"/>
        <v>30000</v>
      </c>
      <c r="F4663" s="396">
        <v>30000</v>
      </c>
      <c r="G4663" s="353">
        <v>0</v>
      </c>
      <c r="H4663" t="s">
        <v>675</v>
      </c>
      <c r="I4663" s="355" t="s">
        <v>131</v>
      </c>
      <c r="K4663" s="370"/>
      <c r="N4663" s="370"/>
    </row>
    <row r="4664" spans="1:14" s="347" customFormat="1" x14ac:dyDescent="0.25">
      <c r="A4664" s="350">
        <f t="shared" si="82"/>
        <v>44469</v>
      </c>
      <c r="B4664" s="403">
        <f t="shared" si="80"/>
        <v>9</v>
      </c>
      <c r="C4664" s="352">
        <v>1216</v>
      </c>
      <c r="D4664" s="340" t="str">
        <f>VLOOKUP(C4664,Plan!A:B,2,0)</f>
        <v>Otros Valores Recaudadoras</v>
      </c>
      <c r="E4664" s="341">
        <f t="shared" si="81"/>
        <v>-30000</v>
      </c>
      <c r="F4664" s="353">
        <v>0</v>
      </c>
      <c r="G4664" s="396">
        <v>30000</v>
      </c>
      <c r="H4664" t="s">
        <v>1641</v>
      </c>
      <c r="I4664" s="355" t="s">
        <v>131</v>
      </c>
      <c r="K4664" s="370"/>
      <c r="N4664" s="370"/>
    </row>
    <row r="4665" spans="1:14" s="347" customFormat="1" x14ac:dyDescent="0.25">
      <c r="A4665" s="350">
        <f t="shared" si="82"/>
        <v>44469</v>
      </c>
      <c r="B4665" s="403">
        <f t="shared" si="80"/>
        <v>9</v>
      </c>
      <c r="C4665" s="352">
        <v>3210</v>
      </c>
      <c r="D4665" s="340" t="str">
        <f>VLOOKUP(C4665,Plan!A:B,2,0)</f>
        <v>Donacion Construccion</v>
      </c>
      <c r="E4665" s="341">
        <f t="shared" si="81"/>
        <v>-20000</v>
      </c>
      <c r="F4665" s="353">
        <v>0</v>
      </c>
      <c r="G4665" s="396">
        <v>20000</v>
      </c>
      <c r="H4665" t="s">
        <v>1236</v>
      </c>
      <c r="I4665" s="355" t="s">
        <v>131</v>
      </c>
      <c r="K4665" s="370"/>
      <c r="N4665" s="370"/>
    </row>
    <row r="4666" spans="1:14" s="347" customFormat="1" x14ac:dyDescent="0.25">
      <c r="A4666" s="350">
        <f t="shared" si="82"/>
        <v>44469</v>
      </c>
      <c r="B4666" s="403">
        <f t="shared" si="80"/>
        <v>9</v>
      </c>
      <c r="C4666" s="352">
        <v>3210</v>
      </c>
      <c r="D4666" s="340" t="str">
        <f>VLOOKUP(C4666,Plan!A:B,2,0)</f>
        <v>Donacion Construccion</v>
      </c>
      <c r="E4666" s="341">
        <f t="shared" si="81"/>
        <v>-50000</v>
      </c>
      <c r="F4666" s="353">
        <v>0</v>
      </c>
      <c r="G4666" s="396">
        <v>50000</v>
      </c>
      <c r="H4666" t="s">
        <v>733</v>
      </c>
      <c r="I4666" s="355" t="s">
        <v>131</v>
      </c>
      <c r="K4666" s="370"/>
      <c r="N4666" s="370"/>
    </row>
    <row r="4667" spans="1:14" s="347" customFormat="1" x14ac:dyDescent="0.25">
      <c r="A4667" s="350">
        <f t="shared" si="82"/>
        <v>44469</v>
      </c>
      <c r="B4667" s="403">
        <f t="shared" si="80"/>
        <v>9</v>
      </c>
      <c r="C4667" s="352">
        <v>204</v>
      </c>
      <c r="D4667" s="340" t="str">
        <f>VLOOKUP(C4667,Plan!A:B,2,0)</f>
        <v>Retención Honorarios Cali</v>
      </c>
      <c r="E4667" s="341">
        <f t="shared" si="81"/>
        <v>48353</v>
      </c>
      <c r="F4667" s="353">
        <v>48353</v>
      </c>
      <c r="G4667" s="396">
        <v>0</v>
      </c>
      <c r="H4667" t="s">
        <v>1930</v>
      </c>
      <c r="I4667" s="355" t="s">
        <v>131</v>
      </c>
      <c r="K4667" s="370"/>
      <c r="N4667" s="370"/>
    </row>
    <row r="4668" spans="1:14" s="347" customFormat="1" x14ac:dyDescent="0.25">
      <c r="A4668" s="350">
        <f t="shared" si="82"/>
        <v>44469</v>
      </c>
      <c r="B4668" s="403">
        <f t="shared" si="80"/>
        <v>9</v>
      </c>
      <c r="C4668" s="352">
        <v>1222</v>
      </c>
      <c r="D4668" s="340" t="str">
        <f>VLOOKUP(C4668,Plan!A:B,2,0)</f>
        <v>Otros Valores -Oficina y Transferencias (249)</v>
      </c>
      <c r="E4668" s="341">
        <f t="shared" si="81"/>
        <v>-30000</v>
      </c>
      <c r="F4668" s="353">
        <v>0</v>
      </c>
      <c r="G4668" s="396">
        <v>30000</v>
      </c>
      <c r="H4668" t="s">
        <v>737</v>
      </c>
      <c r="I4668" s="355" t="s">
        <v>131</v>
      </c>
      <c r="K4668" s="370"/>
      <c r="N4668" s="370"/>
    </row>
    <row r="4669" spans="1:14" s="347" customFormat="1" x14ac:dyDescent="0.25">
      <c r="A4669" s="350">
        <f t="shared" si="82"/>
        <v>44469</v>
      </c>
      <c r="B4669" s="403">
        <f t="shared" si="80"/>
        <v>9</v>
      </c>
      <c r="C4669" s="352">
        <v>1222</v>
      </c>
      <c r="D4669" s="340" t="str">
        <f>VLOOKUP(C4669,Plan!A:B,2,0)</f>
        <v>Otros Valores -Oficina y Transferencias (249)</v>
      </c>
      <c r="E4669" s="341">
        <f t="shared" si="81"/>
        <v>-13000</v>
      </c>
      <c r="F4669" s="353">
        <v>0</v>
      </c>
      <c r="G4669" s="396">
        <v>13000</v>
      </c>
      <c r="H4669" t="s">
        <v>2042</v>
      </c>
      <c r="I4669" s="355" t="s">
        <v>131</v>
      </c>
      <c r="K4669" s="370"/>
      <c r="N4669" s="370"/>
    </row>
    <row r="4670" spans="1:14" s="347" customFormat="1" x14ac:dyDescent="0.25">
      <c r="A4670" s="350">
        <f t="shared" si="82"/>
        <v>44469</v>
      </c>
      <c r="B4670" s="403">
        <f t="shared" si="80"/>
        <v>9</v>
      </c>
      <c r="C4670" s="352">
        <v>1222</v>
      </c>
      <c r="D4670" s="340" t="str">
        <f>VLOOKUP(C4670,Plan!A:B,2,0)</f>
        <v>Otros Valores -Oficina y Transferencias (249)</v>
      </c>
      <c r="E4670" s="341">
        <f t="shared" si="81"/>
        <v>-13000</v>
      </c>
      <c r="F4670" s="353">
        <v>0</v>
      </c>
      <c r="G4670" s="396">
        <v>13000</v>
      </c>
      <c r="H4670" t="s">
        <v>2041</v>
      </c>
      <c r="I4670" s="355" t="s">
        <v>131</v>
      </c>
      <c r="K4670" s="370"/>
      <c r="N4670" s="370"/>
    </row>
    <row r="4671" spans="1:14" s="347" customFormat="1" x14ac:dyDescent="0.25">
      <c r="A4671" s="350">
        <f t="shared" si="82"/>
        <v>44469</v>
      </c>
      <c r="B4671" s="403">
        <f t="shared" si="80"/>
        <v>9</v>
      </c>
      <c r="C4671" s="352">
        <v>1222</v>
      </c>
      <c r="D4671" s="340" t="str">
        <f>VLOOKUP(C4671,Plan!A:B,2,0)</f>
        <v>Otros Valores -Oficina y Transferencias (249)</v>
      </c>
      <c r="E4671" s="341">
        <f t="shared" si="81"/>
        <v>-13000</v>
      </c>
      <c r="F4671" s="353">
        <v>0</v>
      </c>
      <c r="G4671" s="396">
        <v>13000</v>
      </c>
      <c r="H4671" t="s">
        <v>2043</v>
      </c>
      <c r="I4671" s="355" t="s">
        <v>131</v>
      </c>
      <c r="K4671" s="370"/>
      <c r="N4671" s="370"/>
    </row>
    <row r="4672" spans="1:14" s="347" customFormat="1" x14ac:dyDescent="0.25">
      <c r="A4672" s="350">
        <f t="shared" si="82"/>
        <v>44469</v>
      </c>
      <c r="B4672" s="403">
        <f t="shared" si="80"/>
        <v>9</v>
      </c>
      <c r="C4672" s="352">
        <v>1217</v>
      </c>
      <c r="D4672" s="340" t="str">
        <f>VLOOKUP(C4672,Plan!A:B,2,0)</f>
        <v>Otros Valores -Oficina y Transferencias (248)</v>
      </c>
      <c r="E4672" s="341">
        <f t="shared" si="81"/>
        <v>-21000</v>
      </c>
      <c r="F4672" s="353">
        <v>0</v>
      </c>
      <c r="G4672" s="396">
        <v>21000</v>
      </c>
      <c r="H4672" t="s">
        <v>1938</v>
      </c>
      <c r="I4672" s="355" t="s">
        <v>131</v>
      </c>
      <c r="K4672" s="370"/>
      <c r="N4672" s="370"/>
    </row>
    <row r="4673" spans="1:14" s="347" customFormat="1" x14ac:dyDescent="0.25">
      <c r="A4673" s="350">
        <f t="shared" si="82"/>
        <v>44469</v>
      </c>
      <c r="B4673" s="403">
        <f t="shared" si="80"/>
        <v>9</v>
      </c>
      <c r="C4673" s="352">
        <v>1222</v>
      </c>
      <c r="D4673" s="340" t="str">
        <f>VLOOKUP(C4673,Plan!A:B,2,0)</f>
        <v>Otros Valores -Oficina y Transferencias (249)</v>
      </c>
      <c r="E4673" s="341">
        <f t="shared" si="81"/>
        <v>-35000</v>
      </c>
      <c r="F4673" s="353">
        <v>0</v>
      </c>
      <c r="G4673" s="396">
        <v>35000</v>
      </c>
      <c r="H4673" t="s">
        <v>1902</v>
      </c>
      <c r="I4673" s="355" t="s">
        <v>131</v>
      </c>
      <c r="K4673" s="370"/>
      <c r="N4673" s="370"/>
    </row>
    <row r="4674" spans="1:14" s="347" customFormat="1" x14ac:dyDescent="0.25">
      <c r="A4674" s="350">
        <f t="shared" si="82"/>
        <v>44469</v>
      </c>
      <c r="B4674" s="403">
        <f t="shared" si="80"/>
        <v>9</v>
      </c>
      <c r="C4674" s="352">
        <v>1222</v>
      </c>
      <c r="D4674" s="340" t="str">
        <f>VLOOKUP(C4674,Plan!A:B,2,0)</f>
        <v>Otros Valores -Oficina y Transferencias (249)</v>
      </c>
      <c r="E4674" s="341">
        <f t="shared" si="81"/>
        <v>-15000</v>
      </c>
      <c r="F4674" s="353">
        <v>0</v>
      </c>
      <c r="G4674" s="396">
        <v>15000</v>
      </c>
      <c r="H4674" t="s">
        <v>688</v>
      </c>
      <c r="I4674" s="355" t="s">
        <v>131</v>
      </c>
      <c r="K4674" s="370"/>
      <c r="N4674" s="370"/>
    </row>
    <row r="4675" spans="1:14" s="347" customFormat="1" x14ac:dyDescent="0.25">
      <c r="A4675" s="350">
        <f t="shared" si="82"/>
        <v>44469</v>
      </c>
      <c r="B4675" s="403">
        <f t="shared" si="80"/>
        <v>9</v>
      </c>
      <c r="C4675" s="352">
        <v>1222</v>
      </c>
      <c r="D4675" s="340" t="str">
        <f>VLOOKUP(C4675,Plan!A:B,2,0)</f>
        <v>Otros Valores -Oficina y Transferencias (249)</v>
      </c>
      <c r="E4675" s="341">
        <f t="shared" si="81"/>
        <v>-50000</v>
      </c>
      <c r="F4675" s="353">
        <v>0</v>
      </c>
      <c r="G4675" s="396">
        <v>50000</v>
      </c>
      <c r="H4675" t="s">
        <v>1459</v>
      </c>
      <c r="I4675" s="355" t="s">
        <v>131</v>
      </c>
      <c r="K4675" s="370"/>
      <c r="N4675" s="370"/>
    </row>
    <row r="4676" spans="1:14" s="347" customFormat="1" x14ac:dyDescent="0.25">
      <c r="A4676" s="350">
        <f t="shared" si="82"/>
        <v>44469</v>
      </c>
      <c r="B4676" s="403">
        <f t="shared" si="80"/>
        <v>9</v>
      </c>
      <c r="C4676" s="352">
        <v>1222</v>
      </c>
      <c r="D4676" s="340" t="str">
        <f>VLOOKUP(C4676,Plan!A:B,2,0)</f>
        <v>Otros Valores -Oficina y Transferencias (249)</v>
      </c>
      <c r="E4676" s="341">
        <f t="shared" si="81"/>
        <v>-20000</v>
      </c>
      <c r="F4676" s="353">
        <v>0</v>
      </c>
      <c r="G4676" s="396">
        <v>20000</v>
      </c>
      <c r="H4676" t="s">
        <v>2060</v>
      </c>
      <c r="I4676" s="355" t="s">
        <v>131</v>
      </c>
      <c r="K4676" s="370"/>
      <c r="N4676" s="370"/>
    </row>
    <row r="4677" spans="1:14" s="347" customFormat="1" x14ac:dyDescent="0.25">
      <c r="A4677" s="350">
        <f t="shared" si="82"/>
        <v>44469</v>
      </c>
      <c r="B4677" s="403">
        <f t="shared" si="80"/>
        <v>9</v>
      </c>
      <c r="C4677" s="352">
        <v>3210</v>
      </c>
      <c r="D4677" s="340" t="str">
        <f>VLOOKUP(C4677,Plan!A:B,2,0)</f>
        <v>Donacion Construccion</v>
      </c>
      <c r="E4677" s="341">
        <f t="shared" si="81"/>
        <v>-450000</v>
      </c>
      <c r="F4677" s="353">
        <v>0</v>
      </c>
      <c r="G4677" s="396">
        <v>450000</v>
      </c>
      <c r="H4677" t="s">
        <v>2026</v>
      </c>
      <c r="I4677" s="355" t="s">
        <v>131</v>
      </c>
      <c r="K4677" s="370"/>
      <c r="N4677" s="370"/>
    </row>
    <row r="4678" spans="1:14" s="347" customFormat="1" x14ac:dyDescent="0.25">
      <c r="A4678" s="350">
        <f t="shared" si="82"/>
        <v>44469</v>
      </c>
      <c r="B4678" s="403">
        <f t="shared" si="80"/>
        <v>9</v>
      </c>
      <c r="C4678" s="352">
        <v>3210</v>
      </c>
      <c r="D4678" s="340" t="str">
        <f>VLOOKUP(C4678,Plan!A:B,2,0)</f>
        <v>Donacion Construccion</v>
      </c>
      <c r="E4678" s="341">
        <f t="shared" si="81"/>
        <v>-450000</v>
      </c>
      <c r="F4678" s="353">
        <v>0</v>
      </c>
      <c r="G4678" s="396">
        <v>450000</v>
      </c>
      <c r="H4678" t="s">
        <v>2032</v>
      </c>
      <c r="I4678" s="355" t="s">
        <v>131</v>
      </c>
      <c r="K4678" s="370"/>
      <c r="N4678" s="370"/>
    </row>
    <row r="4679" spans="1:14" s="347" customFormat="1" x14ac:dyDescent="0.25">
      <c r="A4679" s="350">
        <f t="shared" si="82"/>
        <v>44469</v>
      </c>
      <c r="B4679" s="403">
        <f t="shared" si="80"/>
        <v>9</v>
      </c>
      <c r="C4679" s="352">
        <v>1222</v>
      </c>
      <c r="D4679" s="340" t="str">
        <f>VLOOKUP(C4679,Plan!A:B,2,0)</f>
        <v>Otros Valores -Oficina y Transferencias (249)</v>
      </c>
      <c r="E4679" s="341">
        <f t="shared" si="81"/>
        <v>-20000</v>
      </c>
      <c r="F4679" s="353">
        <v>0</v>
      </c>
      <c r="G4679" s="396">
        <v>20000</v>
      </c>
      <c r="H4679" t="s">
        <v>2061</v>
      </c>
      <c r="I4679" s="355" t="s">
        <v>131</v>
      </c>
      <c r="K4679" s="370"/>
      <c r="N4679" s="370"/>
    </row>
    <row r="4680" spans="1:14" s="347" customFormat="1" x14ac:dyDescent="0.25">
      <c r="A4680" s="350">
        <f t="shared" si="82"/>
        <v>44469</v>
      </c>
      <c r="B4680" s="403">
        <f t="shared" si="80"/>
        <v>9</v>
      </c>
      <c r="C4680" s="352">
        <v>1222</v>
      </c>
      <c r="D4680" s="340" t="str">
        <f>VLOOKUP(C4680,Plan!A:B,2,0)</f>
        <v>Otros Valores -Oficina y Transferencias (249)</v>
      </c>
      <c r="E4680" s="341">
        <f t="shared" si="81"/>
        <v>-10000</v>
      </c>
      <c r="F4680" s="353">
        <v>0</v>
      </c>
      <c r="G4680" s="396">
        <v>10000</v>
      </c>
      <c r="H4680" t="s">
        <v>1996</v>
      </c>
      <c r="I4680" s="355" t="s">
        <v>131</v>
      </c>
      <c r="K4680" s="370"/>
      <c r="N4680" s="370"/>
    </row>
    <row r="4681" spans="1:14" s="347" customFormat="1" x14ac:dyDescent="0.25">
      <c r="A4681" s="350">
        <f t="shared" si="82"/>
        <v>44469</v>
      </c>
      <c r="B4681" s="403">
        <f t="shared" si="80"/>
        <v>9</v>
      </c>
      <c r="C4681" s="352">
        <v>1222</v>
      </c>
      <c r="D4681" s="340" t="str">
        <f>VLOOKUP(C4681,Plan!A:B,2,0)</f>
        <v>Otros Valores -Oficina y Transferencias (249)</v>
      </c>
      <c r="E4681" s="341">
        <f t="shared" si="81"/>
        <v>-30000</v>
      </c>
      <c r="F4681" s="353">
        <v>0</v>
      </c>
      <c r="G4681" s="396">
        <v>30000</v>
      </c>
      <c r="H4681" t="s">
        <v>675</v>
      </c>
      <c r="I4681" s="355" t="s">
        <v>131</v>
      </c>
      <c r="K4681" s="370"/>
      <c r="N4681" s="370"/>
    </row>
    <row r="4682" spans="1:14" s="347" customFormat="1" x14ac:dyDescent="0.25">
      <c r="A4682" s="369"/>
      <c r="E4682" s="396"/>
      <c r="F4682" s="396"/>
      <c r="G4682" s="396"/>
      <c r="K4682" s="370"/>
      <c r="N4682" s="370"/>
    </row>
    <row r="4683" spans="1:14" s="347" customFormat="1" x14ac:dyDescent="0.25">
      <c r="A4683" s="350">
        <f>+A4681</f>
        <v>44469</v>
      </c>
      <c r="B4683" s="403">
        <f>+MONTH(A4683)</f>
        <v>9</v>
      </c>
      <c r="C4683" s="352">
        <v>1130</v>
      </c>
      <c r="D4683" s="340" t="str">
        <f>VLOOKUP(C4683,Plan!A:B,2,0)</f>
        <v>Disponible Ch. Fecha</v>
      </c>
      <c r="E4683" s="341">
        <f>+F4683-G4683</f>
        <v>135000</v>
      </c>
      <c r="F4683" s="353">
        <v>135000</v>
      </c>
      <c r="G4683" s="396">
        <v>0</v>
      </c>
      <c r="H4683" t="s">
        <v>2112</v>
      </c>
      <c r="I4683" s="355" t="s">
        <v>131</v>
      </c>
      <c r="K4683" s="370"/>
      <c r="N4683" s="370"/>
    </row>
    <row r="4684" spans="1:14" s="347" customFormat="1" x14ac:dyDescent="0.25">
      <c r="A4684" s="350">
        <f>+A4683</f>
        <v>44469</v>
      </c>
      <c r="B4684" s="403">
        <f>+MONTH(A4684)</f>
        <v>9</v>
      </c>
      <c r="C4684" s="352">
        <v>1216</v>
      </c>
      <c r="D4684" s="340" t="str">
        <f>VLOOKUP(C4684,Plan!A:B,2,0)</f>
        <v>Otros Valores Recaudadoras</v>
      </c>
      <c r="E4684" s="341">
        <f>+F4684-G4684</f>
        <v>-135000</v>
      </c>
      <c r="F4684" s="353">
        <v>0</v>
      </c>
      <c r="G4684" s="396">
        <f>+F4683</f>
        <v>135000</v>
      </c>
      <c r="H4684" t="str">
        <f>+H4683</f>
        <v>CHEQUE A FECHA SEPTIEMBRE</v>
      </c>
      <c r="I4684" s="355" t="s">
        <v>131</v>
      </c>
      <c r="K4684" s="370"/>
      <c r="N4684" s="370"/>
    </row>
    <row r="4685" spans="1:14" s="347" customFormat="1" x14ac:dyDescent="0.25">
      <c r="A4685" s="369"/>
      <c r="E4685" s="396"/>
      <c r="F4685" s="396"/>
      <c r="G4685" s="396"/>
      <c r="K4685" s="370"/>
      <c r="N4685" s="370"/>
    </row>
    <row r="4686" spans="1:14" s="347" customFormat="1" x14ac:dyDescent="0.25">
      <c r="A4686" s="350">
        <f>+A4684</f>
        <v>44469</v>
      </c>
      <c r="B4686" s="403">
        <f t="shared" ref="B4686:B4691" si="83">+MONTH(A4686)</f>
        <v>9</v>
      </c>
      <c r="C4686" s="352">
        <v>141</v>
      </c>
      <c r="D4686" s="340" t="str">
        <f>VLOOKUP(C4686,Plan!A:B,2,0)</f>
        <v>Cuentas por Cobrar a Administración</v>
      </c>
      <c r="E4686" s="341">
        <f t="shared" ref="E4686:E4691" si="84">+F4686-G4686</f>
        <v>40000</v>
      </c>
      <c r="F4686" s="209">
        <v>40000</v>
      </c>
      <c r="G4686" s="396">
        <v>0</v>
      </c>
      <c r="H4686" s="340" t="s">
        <v>1631</v>
      </c>
      <c r="I4686" s="355" t="s">
        <v>131</v>
      </c>
      <c r="K4686" s="370"/>
      <c r="N4686" s="370"/>
    </row>
    <row r="4687" spans="1:14" s="347" customFormat="1" x14ac:dyDescent="0.25">
      <c r="A4687" s="350">
        <f>+A4686</f>
        <v>44469</v>
      </c>
      <c r="B4687" s="403">
        <f t="shared" si="83"/>
        <v>9</v>
      </c>
      <c r="C4687" s="352">
        <v>141</v>
      </c>
      <c r="D4687" s="340" t="str">
        <f>VLOOKUP(C4687,Plan!A:B,2,0)</f>
        <v>Cuentas por Cobrar a Administración</v>
      </c>
      <c r="E4687" s="341">
        <f t="shared" si="84"/>
        <v>50000</v>
      </c>
      <c r="F4687" s="209">
        <v>50000</v>
      </c>
      <c r="G4687" s="396">
        <v>0</v>
      </c>
      <c r="H4687" s="340" t="s">
        <v>733</v>
      </c>
      <c r="I4687" s="355" t="s">
        <v>131</v>
      </c>
      <c r="K4687" s="370"/>
      <c r="N4687" s="370"/>
    </row>
    <row r="4688" spans="1:14" s="347" customFormat="1" x14ac:dyDescent="0.25">
      <c r="A4688" s="350">
        <f>+A4686</f>
        <v>44469</v>
      </c>
      <c r="B4688" s="403">
        <f t="shared" si="83"/>
        <v>9</v>
      </c>
      <c r="C4688" s="352">
        <v>141</v>
      </c>
      <c r="D4688" s="340" t="str">
        <f>VLOOKUP(C4688,Plan!A:B,2,0)</f>
        <v>Cuentas por Cobrar a Administración</v>
      </c>
      <c r="E4688" s="341">
        <f t="shared" si="84"/>
        <v>1000000</v>
      </c>
      <c r="F4688" s="209">
        <v>1000000</v>
      </c>
      <c r="G4688" s="396">
        <v>0</v>
      </c>
      <c r="H4688" s="340" t="s">
        <v>2113</v>
      </c>
      <c r="I4688" s="355" t="s">
        <v>131</v>
      </c>
      <c r="K4688" s="370"/>
      <c r="N4688" s="370"/>
    </row>
    <row r="4689" spans="1:14" s="347" customFormat="1" x14ac:dyDescent="0.25">
      <c r="A4689" s="350">
        <f>+A4687</f>
        <v>44469</v>
      </c>
      <c r="B4689" s="403">
        <f t="shared" si="83"/>
        <v>9</v>
      </c>
      <c r="C4689" s="352">
        <v>1222</v>
      </c>
      <c r="D4689" s="340" t="str">
        <f>VLOOKUP(C4689,Plan!A:B,2,0)</f>
        <v>Otros Valores -Oficina y Transferencias (249)</v>
      </c>
      <c r="E4689" s="341">
        <f t="shared" si="84"/>
        <v>-40000</v>
      </c>
      <c r="F4689" s="353">
        <v>0</v>
      </c>
      <c r="G4689" s="209">
        <v>40000</v>
      </c>
      <c r="H4689" s="340" t="s">
        <v>1631</v>
      </c>
      <c r="I4689" s="355" t="s">
        <v>131</v>
      </c>
      <c r="K4689" s="370"/>
      <c r="N4689" s="370"/>
    </row>
    <row r="4690" spans="1:14" s="347" customFormat="1" x14ac:dyDescent="0.25">
      <c r="A4690" s="350">
        <f>+A4688</f>
        <v>44469</v>
      </c>
      <c r="B4690" s="403">
        <f t="shared" si="83"/>
        <v>9</v>
      </c>
      <c r="C4690" s="352">
        <v>3210</v>
      </c>
      <c r="D4690" s="340" t="str">
        <f>VLOOKUP(C4690,Plan!A:B,2,0)</f>
        <v>Donacion Construccion</v>
      </c>
      <c r="E4690" s="341">
        <f t="shared" si="84"/>
        <v>-50000</v>
      </c>
      <c r="F4690" s="353">
        <v>0</v>
      </c>
      <c r="G4690" s="209">
        <v>50000</v>
      </c>
      <c r="H4690" s="340" t="s">
        <v>733</v>
      </c>
      <c r="I4690" s="355" t="s">
        <v>131</v>
      </c>
      <c r="K4690" s="370"/>
      <c r="N4690" s="370"/>
    </row>
    <row r="4691" spans="1:14" s="347" customFormat="1" x14ac:dyDescent="0.25">
      <c r="A4691" s="350">
        <f>+A4689</f>
        <v>44469</v>
      </c>
      <c r="B4691" s="403">
        <f t="shared" si="83"/>
        <v>9</v>
      </c>
      <c r="C4691" s="352">
        <v>3210</v>
      </c>
      <c r="D4691" s="340" t="str">
        <f>VLOOKUP(C4691,Plan!A:B,2,0)</f>
        <v>Donacion Construccion</v>
      </c>
      <c r="E4691" s="341">
        <f t="shared" si="84"/>
        <v>-1000000</v>
      </c>
      <c r="F4691" s="353">
        <f>+G4692</f>
        <v>0</v>
      </c>
      <c r="G4691" s="209">
        <v>1000000</v>
      </c>
      <c r="H4691" s="340" t="s">
        <v>2113</v>
      </c>
      <c r="I4691" s="355" t="s">
        <v>131</v>
      </c>
      <c r="K4691" s="370"/>
      <c r="N4691" s="370"/>
    </row>
    <row r="4692" spans="1:14" s="347" customFormat="1" x14ac:dyDescent="0.25">
      <c r="A4692" s="369"/>
      <c r="E4692" s="396"/>
      <c r="F4692" s="396"/>
      <c r="G4692" s="396"/>
      <c r="K4692" s="370"/>
      <c r="N4692" s="370"/>
    </row>
    <row r="4693" spans="1:14" s="347" customFormat="1" x14ac:dyDescent="0.25">
      <c r="A4693" s="402">
        <f>+A4691</f>
        <v>44469</v>
      </c>
      <c r="B4693" s="403">
        <f>+B4666</f>
        <v>9</v>
      </c>
      <c r="C4693" s="338">
        <v>125</v>
      </c>
      <c r="D4693" s="340" t="str">
        <f>VLOOKUP(C4693,Plan!A:B,2,0)</f>
        <v>Depósito a plazo Cali</v>
      </c>
      <c r="E4693" s="341">
        <f>+F4693-G4693</f>
        <v>0</v>
      </c>
      <c r="F4693" s="346">
        <v>0</v>
      </c>
      <c r="G4693" s="346">
        <v>0</v>
      </c>
      <c r="H4693" s="343" t="s">
        <v>858</v>
      </c>
      <c r="I4693" s="340" t="s">
        <v>131</v>
      </c>
      <c r="K4693" s="370"/>
      <c r="N4693" s="370"/>
    </row>
    <row r="4694" spans="1:14" s="347" customFormat="1" x14ac:dyDescent="0.25">
      <c r="A4694" s="402">
        <f>+A4693</f>
        <v>44469</v>
      </c>
      <c r="B4694" s="403">
        <f>+B4693</f>
        <v>9</v>
      </c>
      <c r="C4694" s="338">
        <v>6002</v>
      </c>
      <c r="D4694" s="340" t="str">
        <f>VLOOKUP(C4694,Plan!A:B,2,0)</f>
        <v>Intereses Financieros Cali</v>
      </c>
      <c r="E4694" s="341">
        <f>+F4694-G4694</f>
        <v>0</v>
      </c>
      <c r="F4694" s="346">
        <v>0</v>
      </c>
      <c r="G4694" s="346">
        <f>+F4693</f>
        <v>0</v>
      </c>
      <c r="H4694" s="338" t="s">
        <v>858</v>
      </c>
      <c r="I4694" s="340" t="s">
        <v>131</v>
      </c>
      <c r="K4694" s="370"/>
      <c r="N4694" s="370"/>
    </row>
    <row r="4695" spans="1:14" s="347" customFormat="1" x14ac:dyDescent="0.25">
      <c r="A4695" s="339"/>
      <c r="B4695" s="340"/>
      <c r="C4695" s="338"/>
      <c r="D4695" s="340"/>
      <c r="E4695" s="396"/>
      <c r="F4695" s="396"/>
      <c r="G4695" s="396"/>
      <c r="H4695" s="338"/>
      <c r="I4695" s="340"/>
      <c r="K4695" s="370"/>
      <c r="N4695" s="370"/>
    </row>
    <row r="4696" spans="1:14" s="347" customFormat="1" x14ac:dyDescent="0.25">
      <c r="A4696" s="402">
        <f>+A4693</f>
        <v>44469</v>
      </c>
      <c r="B4696" s="403">
        <f>+B4693</f>
        <v>9</v>
      </c>
      <c r="C4696" s="338">
        <v>118</v>
      </c>
      <c r="D4696" s="340" t="str">
        <f>VLOOKUP(C4696,Plan!A:B,2,0)</f>
        <v>Depósito a plazo Cali Banco Security</v>
      </c>
      <c r="E4696" s="341">
        <f>+F4696-G4696</f>
        <v>0</v>
      </c>
      <c r="F4696" s="346">
        <v>0</v>
      </c>
      <c r="G4696" s="346">
        <v>0</v>
      </c>
      <c r="H4696" s="343" t="s">
        <v>859</v>
      </c>
      <c r="I4696" s="340" t="s">
        <v>131</v>
      </c>
      <c r="K4696" s="370"/>
      <c r="N4696" s="370"/>
    </row>
    <row r="4697" spans="1:14" s="347" customFormat="1" x14ac:dyDescent="0.25">
      <c r="A4697" s="402">
        <f>+A4696</f>
        <v>44469</v>
      </c>
      <c r="B4697" s="403">
        <f>+B4696</f>
        <v>9</v>
      </c>
      <c r="C4697" s="338">
        <v>6002</v>
      </c>
      <c r="D4697" s="340" t="str">
        <f>VLOOKUP(C4697,Plan!A:B,2,0)</f>
        <v>Intereses Financieros Cali</v>
      </c>
      <c r="E4697" s="341">
        <f>+F4697-G4697</f>
        <v>0</v>
      </c>
      <c r="F4697" s="346">
        <v>0</v>
      </c>
      <c r="G4697" s="346">
        <f>+F4696</f>
        <v>0</v>
      </c>
      <c r="H4697" s="338" t="s">
        <v>859</v>
      </c>
      <c r="I4697" s="340" t="s">
        <v>131</v>
      </c>
      <c r="K4697" s="370"/>
      <c r="N4697" s="370"/>
    </row>
    <row r="4698" spans="1:14" s="347" customFormat="1" x14ac:dyDescent="0.25">
      <c r="A4698" s="339"/>
      <c r="B4698" s="340"/>
      <c r="C4698" s="338"/>
      <c r="D4698" s="340"/>
      <c r="E4698" s="396"/>
      <c r="F4698" s="396"/>
      <c r="G4698" s="396"/>
      <c r="H4698" s="338"/>
      <c r="I4698" s="340"/>
      <c r="K4698" s="370"/>
      <c r="N4698" s="370"/>
    </row>
    <row r="4699" spans="1:14" s="347" customFormat="1" x14ac:dyDescent="0.25">
      <c r="A4699" s="402">
        <f>+A4696</f>
        <v>44469</v>
      </c>
      <c r="B4699" s="403">
        <f>+B4696</f>
        <v>9</v>
      </c>
      <c r="C4699" s="338">
        <v>119</v>
      </c>
      <c r="D4699" s="340" t="str">
        <f>VLOOKUP(C4699,Plan!A:B,2,0)</f>
        <v>FM Cali Banco Security</v>
      </c>
      <c r="E4699" s="341">
        <f>+F4699-G4699</f>
        <v>-152625</v>
      </c>
      <c r="F4699" s="346">
        <v>0</v>
      </c>
      <c r="G4699" s="346">
        <v>152625</v>
      </c>
      <c r="H4699" s="343" t="s">
        <v>554</v>
      </c>
      <c r="I4699" s="340" t="s">
        <v>131</v>
      </c>
      <c r="K4699" s="370"/>
      <c r="N4699" s="370"/>
    </row>
    <row r="4700" spans="1:14" s="347" customFormat="1" x14ac:dyDescent="0.25">
      <c r="A4700" s="402">
        <f>+A4699</f>
        <v>44469</v>
      </c>
      <c r="B4700" s="403">
        <f>+B4699</f>
        <v>9</v>
      </c>
      <c r="C4700" s="338">
        <v>6002</v>
      </c>
      <c r="D4700" s="340" t="str">
        <f>VLOOKUP(C4700,Plan!A:B,2,0)</f>
        <v>Intereses Financieros Cali</v>
      </c>
      <c r="E4700" s="341">
        <f>+F4700-G4700</f>
        <v>152625</v>
      </c>
      <c r="F4700" s="346">
        <f>+G4699</f>
        <v>152625</v>
      </c>
      <c r="G4700" s="346">
        <f>+F4699</f>
        <v>0</v>
      </c>
      <c r="H4700" s="338" t="s">
        <v>554</v>
      </c>
      <c r="I4700" s="340" t="s">
        <v>131</v>
      </c>
      <c r="K4700" s="370"/>
      <c r="N4700" s="370"/>
    </row>
    <row r="4701" spans="1:14" s="347" customFormat="1" x14ac:dyDescent="0.25">
      <c r="A4701" s="369"/>
      <c r="E4701" s="396"/>
      <c r="F4701" s="396"/>
      <c r="G4701" s="396"/>
      <c r="K4701" s="370"/>
      <c r="N4701" s="370"/>
    </row>
    <row r="4702" spans="1:14" s="347" customFormat="1" x14ac:dyDescent="0.25">
      <c r="A4702" s="402">
        <f>+A4699</f>
        <v>44469</v>
      </c>
      <c r="B4702" s="403">
        <f>+B4699</f>
        <v>9</v>
      </c>
      <c r="C4702" s="338">
        <v>113</v>
      </c>
      <c r="D4702" s="340" t="str">
        <f>VLOOKUP(C4702,Plan!A:B,2,0)</f>
        <v>Depósito a plazo Cali Banco Santander</v>
      </c>
      <c r="E4702" s="341">
        <f>+F4702-G4702</f>
        <v>533716</v>
      </c>
      <c r="F4702" s="346">
        <v>533716</v>
      </c>
      <c r="G4702" s="346">
        <v>0</v>
      </c>
      <c r="H4702" s="343" t="s">
        <v>2122</v>
      </c>
      <c r="I4702" s="340" t="s">
        <v>131</v>
      </c>
      <c r="K4702" s="370"/>
      <c r="N4702" s="370"/>
    </row>
    <row r="4703" spans="1:14" s="347" customFormat="1" x14ac:dyDescent="0.25">
      <c r="A4703" s="402">
        <f>+A4702</f>
        <v>44469</v>
      </c>
      <c r="B4703" s="403">
        <f>+B4702</f>
        <v>9</v>
      </c>
      <c r="C4703" s="338">
        <v>6002</v>
      </c>
      <c r="D4703" s="340" t="str">
        <f>VLOOKUP(C4703,Plan!A:B,2,0)</f>
        <v>Intereses Financieros Cali</v>
      </c>
      <c r="E4703" s="341">
        <f>+F4703-G4703</f>
        <v>-533716</v>
      </c>
      <c r="F4703" s="346">
        <v>0</v>
      </c>
      <c r="G4703" s="346">
        <f>+F4702</f>
        <v>533716</v>
      </c>
      <c r="H4703" s="338" t="str">
        <f>+H4702</f>
        <v>Intereses Devengados DAP Santander</v>
      </c>
      <c r="I4703" s="340" t="s">
        <v>131</v>
      </c>
      <c r="K4703" s="370"/>
      <c r="N4703" s="370"/>
    </row>
    <row r="4704" spans="1:14" s="347" customFormat="1" x14ac:dyDescent="0.25">
      <c r="A4704" s="369"/>
      <c r="E4704" s="396"/>
      <c r="F4704" s="396"/>
      <c r="G4704" s="396"/>
      <c r="K4704" s="370"/>
      <c r="N4704" s="370"/>
    </row>
    <row r="4705" spans="1:14" s="347" customFormat="1" x14ac:dyDescent="0.25">
      <c r="A4705" s="402">
        <v>44470</v>
      </c>
      <c r="B4705" s="403">
        <f>+MONTH(A4705)</f>
        <v>10</v>
      </c>
      <c r="C4705" s="338">
        <v>115</v>
      </c>
      <c r="D4705" s="340" t="str">
        <f>VLOOKUP(C4705,Plan!A:B,2,0)</f>
        <v>Disponible Cali B.Chile</v>
      </c>
      <c r="E4705" s="341">
        <f>+F4705-G4705</f>
        <v>30000</v>
      </c>
      <c r="F4705" s="346">
        <v>30000</v>
      </c>
      <c r="G4705" s="346">
        <v>0</v>
      </c>
      <c r="H4705" t="s">
        <v>1413</v>
      </c>
      <c r="I4705" s="340" t="s">
        <v>131</v>
      </c>
      <c r="K4705" s="370"/>
      <c r="N4705" s="370"/>
    </row>
    <row r="4706" spans="1:14" s="347" customFormat="1" x14ac:dyDescent="0.25">
      <c r="A4706" s="402">
        <f>+A4705</f>
        <v>44470</v>
      </c>
      <c r="B4706" s="403">
        <f>+B4705</f>
        <v>10</v>
      </c>
      <c r="C4706" s="338">
        <v>1217</v>
      </c>
      <c r="D4706" s="340" t="str">
        <f>VLOOKUP(C4706,Plan!A:B,2,0)</f>
        <v>Otros Valores -Oficina y Transferencias (248)</v>
      </c>
      <c r="E4706" s="341">
        <f>+F4706-G4706</f>
        <v>-30000</v>
      </c>
      <c r="F4706" s="346">
        <v>0</v>
      </c>
      <c r="G4706" s="346">
        <f>+F4705</f>
        <v>30000</v>
      </c>
      <c r="H4706" s="338" t="str">
        <f>+H4705</f>
        <v>María Macarena Besa Prieto/248</v>
      </c>
      <c r="I4706" s="340" t="s">
        <v>131</v>
      </c>
      <c r="K4706" s="370"/>
      <c r="N4706" s="370"/>
    </row>
    <row r="4707" spans="1:14" s="347" customFormat="1" x14ac:dyDescent="0.25">
      <c r="A4707" s="369"/>
      <c r="E4707" s="396"/>
      <c r="F4707" s="396"/>
      <c r="G4707" s="396"/>
      <c r="K4707" s="370"/>
      <c r="N4707" s="370"/>
    </row>
    <row r="4708" spans="1:14" s="347" customFormat="1" x14ac:dyDescent="0.25">
      <c r="A4708" s="402">
        <v>44470</v>
      </c>
      <c r="B4708" s="403">
        <f>+MONTH(A4708)</f>
        <v>10</v>
      </c>
      <c r="C4708" s="338">
        <v>115</v>
      </c>
      <c r="D4708" s="340" t="str">
        <f>VLOOKUP(C4708,Plan!A:B,2,0)</f>
        <v>Disponible Cali B.Chile</v>
      </c>
      <c r="E4708" s="341">
        <f>+F4708-G4708</f>
        <v>20000</v>
      </c>
      <c r="F4708" s="346">
        <v>20000</v>
      </c>
      <c r="G4708" s="346">
        <v>0</v>
      </c>
      <c r="H4708" t="s">
        <v>963</v>
      </c>
      <c r="I4708" s="340" t="s">
        <v>131</v>
      </c>
      <c r="K4708" s="370"/>
      <c r="N4708" s="370"/>
    </row>
    <row r="4709" spans="1:14" s="347" customFormat="1" x14ac:dyDescent="0.25">
      <c r="A4709" s="402">
        <f>+A4708</f>
        <v>44470</v>
      </c>
      <c r="B4709" s="403">
        <f>+B4708</f>
        <v>10</v>
      </c>
      <c r="C4709" s="338">
        <v>1222</v>
      </c>
      <c r="D4709" s="340" t="str">
        <f>VLOOKUP(C4709,Plan!A:B,2,0)</f>
        <v>Otros Valores -Oficina y Transferencias (249)</v>
      </c>
      <c r="E4709" s="341">
        <f>+F4709-G4709</f>
        <v>-20000</v>
      </c>
      <c r="F4709" s="346">
        <v>0</v>
      </c>
      <c r="G4709" s="346">
        <f>+F4708</f>
        <v>20000</v>
      </c>
      <c r="H4709" s="338" t="str">
        <f>+H4708</f>
        <v>Benjamín Gutierrez Perlwitz / 249</v>
      </c>
      <c r="I4709" s="340" t="s">
        <v>131</v>
      </c>
      <c r="K4709" s="370"/>
      <c r="N4709" s="370"/>
    </row>
    <row r="4710" spans="1:14" s="347" customFormat="1" x14ac:dyDescent="0.25">
      <c r="A4710" s="369"/>
      <c r="E4710" s="396"/>
      <c r="F4710" s="396"/>
      <c r="G4710" s="396"/>
      <c r="K4710" s="370"/>
      <c r="N4710" s="370"/>
    </row>
    <row r="4711" spans="1:14" s="347" customFormat="1" x14ac:dyDescent="0.25">
      <c r="A4711" s="402">
        <v>44470</v>
      </c>
      <c r="B4711" s="403">
        <f>+MONTH(A4711)</f>
        <v>10</v>
      </c>
      <c r="C4711" s="338">
        <v>115</v>
      </c>
      <c r="D4711" s="340" t="str">
        <f>VLOOKUP(C4711,Plan!A:B,2,0)</f>
        <v>Disponible Cali B.Chile</v>
      </c>
      <c r="E4711" s="341">
        <f>+F4711-G4711</f>
        <v>10000</v>
      </c>
      <c r="F4711" s="346">
        <v>10000</v>
      </c>
      <c r="G4711" s="346">
        <v>0</v>
      </c>
      <c r="H4711" t="s">
        <v>973</v>
      </c>
      <c r="I4711" s="340" t="s">
        <v>131</v>
      </c>
      <c r="K4711" s="370"/>
      <c r="N4711" s="370"/>
    </row>
    <row r="4712" spans="1:14" s="347" customFormat="1" x14ac:dyDescent="0.25">
      <c r="A4712" s="402">
        <f>+A4711</f>
        <v>44470</v>
      </c>
      <c r="B4712" s="403">
        <f>+B4711</f>
        <v>10</v>
      </c>
      <c r="C4712" s="338">
        <v>1222</v>
      </c>
      <c r="D4712" s="340" t="str">
        <f>VLOOKUP(C4712,Plan!A:B,2,0)</f>
        <v>Otros Valores -Oficina y Transferencias (249)</v>
      </c>
      <c r="E4712" s="341">
        <f>+F4712-G4712</f>
        <v>-10000</v>
      </c>
      <c r="F4712" s="346">
        <v>0</v>
      </c>
      <c r="G4712" s="346">
        <f>+F4711</f>
        <v>10000</v>
      </c>
      <c r="H4712" s="338" t="str">
        <f>+H4711</f>
        <v>Ana María Ugarte / 249</v>
      </c>
      <c r="I4712" s="340" t="s">
        <v>131</v>
      </c>
      <c r="K4712" s="370"/>
      <c r="N4712" s="370"/>
    </row>
    <row r="4713" spans="1:14" s="347" customFormat="1" x14ac:dyDescent="0.25">
      <c r="A4713" s="369"/>
      <c r="E4713" s="396"/>
      <c r="F4713" s="396"/>
      <c r="G4713" s="396"/>
      <c r="K4713" s="370"/>
      <c r="N4713" s="370"/>
    </row>
    <row r="4714" spans="1:14" s="347" customFormat="1" x14ac:dyDescent="0.25">
      <c r="A4714" s="402">
        <v>44470</v>
      </c>
      <c r="B4714" s="403">
        <f>+MONTH(A4714)</f>
        <v>10</v>
      </c>
      <c r="C4714" s="338">
        <v>115</v>
      </c>
      <c r="D4714" s="340" t="str">
        <f>VLOOKUP(C4714,Plan!A:B,2,0)</f>
        <v>Disponible Cali B.Chile</v>
      </c>
      <c r="E4714" s="341">
        <f>+F4714-G4714</f>
        <v>50000</v>
      </c>
      <c r="F4714" s="346">
        <v>50000</v>
      </c>
      <c r="G4714" s="346">
        <v>0</v>
      </c>
      <c r="H4714" t="s">
        <v>974</v>
      </c>
      <c r="I4714" s="340" t="s">
        <v>131</v>
      </c>
      <c r="K4714" s="370"/>
      <c r="N4714" s="370"/>
    </row>
    <row r="4715" spans="1:14" s="347" customFormat="1" x14ac:dyDescent="0.25">
      <c r="A4715" s="402">
        <f>+A4714</f>
        <v>44470</v>
      </c>
      <c r="B4715" s="403">
        <f>+B4714</f>
        <v>10</v>
      </c>
      <c r="C4715" s="338">
        <v>1222</v>
      </c>
      <c r="D4715" s="340" t="str">
        <f>VLOOKUP(C4715,Plan!A:B,2,0)</f>
        <v>Otros Valores -Oficina y Transferencias (249)</v>
      </c>
      <c r="E4715" s="341">
        <f>+F4715-G4715</f>
        <v>-50000</v>
      </c>
      <c r="F4715" s="346">
        <v>0</v>
      </c>
      <c r="G4715" s="346">
        <f>+F4714</f>
        <v>50000</v>
      </c>
      <c r="H4715" s="338" t="str">
        <f>+H4714</f>
        <v>Matías Rafael Ubilla Silva / 249</v>
      </c>
      <c r="I4715" s="340" t="s">
        <v>131</v>
      </c>
      <c r="K4715" s="370"/>
      <c r="N4715" s="370"/>
    </row>
    <row r="4716" spans="1:14" s="347" customFormat="1" x14ac:dyDescent="0.25">
      <c r="A4716" s="369"/>
      <c r="E4716" s="396"/>
      <c r="F4716" s="396"/>
      <c r="G4716" s="396"/>
      <c r="K4716" s="370"/>
      <c r="N4716" s="370"/>
    </row>
    <row r="4717" spans="1:14" s="347" customFormat="1" x14ac:dyDescent="0.25">
      <c r="A4717" s="402">
        <v>44470</v>
      </c>
      <c r="B4717" s="403">
        <f>+MONTH(A4717)</f>
        <v>10</v>
      </c>
      <c r="C4717" s="338">
        <v>115</v>
      </c>
      <c r="D4717" s="340" t="str">
        <f>VLOOKUP(C4717,Plan!A:B,2,0)</f>
        <v>Disponible Cali B.Chile</v>
      </c>
      <c r="E4717" s="341">
        <f>+F4717-G4717</f>
        <v>14000</v>
      </c>
      <c r="F4717" s="346">
        <v>14000</v>
      </c>
      <c r="G4717" s="346">
        <v>0</v>
      </c>
      <c r="H4717" t="s">
        <v>1104</v>
      </c>
      <c r="I4717" s="340" t="s">
        <v>131</v>
      </c>
      <c r="K4717" s="370"/>
      <c r="N4717" s="370"/>
    </row>
    <row r="4718" spans="1:14" s="347" customFormat="1" x14ac:dyDescent="0.25">
      <c r="A4718" s="402">
        <f>+A4717</f>
        <v>44470</v>
      </c>
      <c r="B4718" s="403">
        <f>+B4717</f>
        <v>10</v>
      </c>
      <c r="C4718" s="338">
        <v>3210</v>
      </c>
      <c r="D4718" s="340" t="str">
        <f>VLOOKUP(C4718,Plan!A:B,2,0)</f>
        <v>Donacion Construccion</v>
      </c>
      <c r="E4718" s="341">
        <f>+F4718-G4718</f>
        <v>-14000</v>
      </c>
      <c r="F4718" s="346">
        <v>0</v>
      </c>
      <c r="G4718" s="346">
        <f>+F4717</f>
        <v>14000</v>
      </c>
      <c r="H4718" s="338" t="str">
        <f>+H4717</f>
        <v>María Luisa Ilharreborde Illanes / Azul</v>
      </c>
      <c r="I4718" s="340" t="s">
        <v>131</v>
      </c>
      <c r="K4718" s="370"/>
      <c r="N4718" s="370"/>
    </row>
    <row r="4719" spans="1:14" s="347" customFormat="1" x14ac:dyDescent="0.25">
      <c r="K4719" s="370"/>
      <c r="N4719" s="370"/>
    </row>
    <row r="4720" spans="1:14" s="347" customFormat="1" x14ac:dyDescent="0.25">
      <c r="A4720" s="402">
        <v>44470</v>
      </c>
      <c r="B4720" s="403">
        <f>+MONTH(A4720)</f>
        <v>10</v>
      </c>
      <c r="C4720" s="338">
        <v>115</v>
      </c>
      <c r="D4720" s="340" t="str">
        <f>VLOOKUP(C4720,Plan!A:B,2,0)</f>
        <v>Disponible Cali B.Chile</v>
      </c>
      <c r="E4720" s="341">
        <f>+F4720-G4720</f>
        <v>48000</v>
      </c>
      <c r="F4720" s="346">
        <v>48000</v>
      </c>
      <c r="G4720" s="346">
        <v>0</v>
      </c>
      <c r="H4720" t="s">
        <v>975</v>
      </c>
      <c r="I4720" s="340" t="s">
        <v>131</v>
      </c>
      <c r="K4720" s="370"/>
      <c r="N4720" s="370"/>
    </row>
    <row r="4721" spans="1:14" s="347" customFormat="1" x14ac:dyDescent="0.25">
      <c r="A4721" s="402">
        <f>+A4720</f>
        <v>44470</v>
      </c>
      <c r="B4721" s="403">
        <f>+B4720</f>
        <v>10</v>
      </c>
      <c r="C4721" s="338">
        <v>1217</v>
      </c>
      <c r="D4721" s="340" t="str">
        <f>VLOOKUP(C4721,Plan!A:B,2,0)</f>
        <v>Otros Valores -Oficina y Transferencias (248)</v>
      </c>
      <c r="E4721" s="341">
        <f>+F4721-G4721</f>
        <v>-48000</v>
      </c>
      <c r="F4721" s="346">
        <v>0</v>
      </c>
      <c r="G4721" s="346">
        <f>+F4720</f>
        <v>48000</v>
      </c>
      <c r="H4721" s="338" t="str">
        <f>+H4720</f>
        <v>Enrique José Manuel Ferrer/248</v>
      </c>
      <c r="I4721" s="340" t="s">
        <v>131</v>
      </c>
      <c r="K4721" s="370"/>
      <c r="N4721" s="370"/>
    </row>
    <row r="4722" spans="1:14" s="347" customFormat="1" x14ac:dyDescent="0.25">
      <c r="A4722" s="369"/>
      <c r="E4722" s="396"/>
      <c r="F4722" s="396"/>
      <c r="G4722" s="396"/>
      <c r="K4722" s="370"/>
      <c r="N4722" s="370"/>
    </row>
    <row r="4723" spans="1:14" s="347" customFormat="1" x14ac:dyDescent="0.25">
      <c r="A4723" s="402">
        <v>44470</v>
      </c>
      <c r="B4723" s="403">
        <f>+MONTH(A4723)</f>
        <v>10</v>
      </c>
      <c r="C4723" s="338">
        <v>115</v>
      </c>
      <c r="D4723" s="340" t="str">
        <f>VLOOKUP(C4723,Plan!A:B,2,0)</f>
        <v>Disponible Cali B.Chile</v>
      </c>
      <c r="E4723" s="341">
        <f>+F4723-G4723</f>
        <v>15000</v>
      </c>
      <c r="F4723" s="346">
        <v>15000</v>
      </c>
      <c r="G4723" s="346">
        <v>0</v>
      </c>
      <c r="H4723" t="s">
        <v>1756</v>
      </c>
      <c r="I4723" s="340" t="s">
        <v>131</v>
      </c>
      <c r="K4723" s="370"/>
      <c r="N4723" s="370"/>
    </row>
    <row r="4724" spans="1:14" s="347" customFormat="1" x14ac:dyDescent="0.25">
      <c r="A4724" s="402">
        <f>+A4723</f>
        <v>44470</v>
      </c>
      <c r="B4724" s="403">
        <f>+B4723</f>
        <v>10</v>
      </c>
      <c r="C4724" s="338">
        <v>1222</v>
      </c>
      <c r="D4724" s="340" t="str">
        <f>VLOOKUP(C4724,Plan!A:B,2,0)</f>
        <v>Otros Valores -Oficina y Transferencias (249)</v>
      </c>
      <c r="E4724" s="341">
        <f>+F4724-G4724</f>
        <v>-15000</v>
      </c>
      <c r="F4724" s="346">
        <v>0</v>
      </c>
      <c r="G4724" s="346">
        <f>+F4723</f>
        <v>15000</v>
      </c>
      <c r="H4724" s="338" t="str">
        <f>+H4723</f>
        <v>María José Valdés Valdés / 249</v>
      </c>
      <c r="I4724" s="340" t="s">
        <v>131</v>
      </c>
      <c r="K4724" s="370"/>
      <c r="N4724" s="370"/>
    </row>
    <row r="4725" spans="1:14" s="347" customFormat="1" x14ac:dyDescent="0.25">
      <c r="A4725" s="369"/>
      <c r="E4725" s="396"/>
      <c r="F4725" s="396"/>
      <c r="G4725" s="396"/>
      <c r="K4725" s="370"/>
      <c r="N4725" s="370"/>
    </row>
    <row r="4726" spans="1:14" s="347" customFormat="1" x14ac:dyDescent="0.25">
      <c r="A4726" s="402">
        <v>44470</v>
      </c>
      <c r="B4726" s="403">
        <f>+MONTH(A4726)</f>
        <v>10</v>
      </c>
      <c r="C4726" s="338">
        <v>115</v>
      </c>
      <c r="D4726" s="340" t="str">
        <f>VLOOKUP(C4726,Plan!A:B,2,0)</f>
        <v>Disponible Cali B.Chile</v>
      </c>
      <c r="E4726" s="341">
        <f>+F4726-G4726</f>
        <v>40000</v>
      </c>
      <c r="F4726" s="346">
        <v>40000</v>
      </c>
      <c r="G4726" s="346">
        <v>0</v>
      </c>
      <c r="H4726" t="s">
        <v>976</v>
      </c>
      <c r="I4726" s="340" t="s">
        <v>131</v>
      </c>
      <c r="K4726" s="370"/>
      <c r="N4726" s="370"/>
    </row>
    <row r="4727" spans="1:14" s="347" customFormat="1" x14ac:dyDescent="0.25">
      <c r="A4727" s="402">
        <f>+A4726</f>
        <v>44470</v>
      </c>
      <c r="B4727" s="403">
        <f>+B4726</f>
        <v>10</v>
      </c>
      <c r="C4727" s="338">
        <v>1222</v>
      </c>
      <c r="D4727" s="340" t="str">
        <f>VLOOKUP(C4727,Plan!A:B,2,0)</f>
        <v>Otros Valores -Oficina y Transferencias (249)</v>
      </c>
      <c r="E4727" s="341">
        <f>+F4727-G4727</f>
        <v>-40000</v>
      </c>
      <c r="F4727" s="346">
        <v>0</v>
      </c>
      <c r="G4727" s="346">
        <f>+F4726</f>
        <v>40000</v>
      </c>
      <c r="H4727" s="338" t="str">
        <f>+H4726</f>
        <v>Ricardo Cañas Cambiaso / 249</v>
      </c>
      <c r="I4727" s="340" t="s">
        <v>131</v>
      </c>
      <c r="K4727" s="370"/>
      <c r="N4727" s="370"/>
    </row>
    <row r="4728" spans="1:14" s="347" customFormat="1" x14ac:dyDescent="0.25">
      <c r="A4728" s="369"/>
      <c r="E4728" s="396"/>
      <c r="F4728" s="396"/>
      <c r="G4728" s="396"/>
      <c r="K4728" s="370"/>
      <c r="N4728" s="370"/>
    </row>
    <row r="4729" spans="1:14" s="347" customFormat="1" x14ac:dyDescent="0.25">
      <c r="A4729" s="402">
        <v>44470</v>
      </c>
      <c r="B4729" s="403">
        <f>+MONTH(A4729)</f>
        <v>10</v>
      </c>
      <c r="C4729" s="338">
        <v>115</v>
      </c>
      <c r="D4729" s="340" t="str">
        <f>VLOOKUP(C4729,Plan!A:B,2,0)</f>
        <v>Disponible Cali B.Chile</v>
      </c>
      <c r="E4729" s="341">
        <f>+F4729-G4729</f>
        <v>70000</v>
      </c>
      <c r="F4729" s="346">
        <v>70000</v>
      </c>
      <c r="G4729" s="346">
        <v>0</v>
      </c>
      <c r="H4729" t="s">
        <v>1991</v>
      </c>
      <c r="I4729" s="340" t="s">
        <v>131</v>
      </c>
      <c r="K4729" s="370"/>
      <c r="N4729" s="370"/>
    </row>
    <row r="4730" spans="1:14" s="347" customFormat="1" x14ac:dyDescent="0.25">
      <c r="A4730" s="402">
        <f>+A4729</f>
        <v>44470</v>
      </c>
      <c r="B4730" s="403">
        <f>+B4729</f>
        <v>10</v>
      </c>
      <c r="C4730" s="338">
        <v>3210</v>
      </c>
      <c r="D4730" s="340" t="str">
        <f>VLOOKUP(C4730,Plan!A:B,2,0)</f>
        <v>Donacion Construccion</v>
      </c>
      <c r="E4730" s="341">
        <f>+F4730-G4730</f>
        <v>-70000</v>
      </c>
      <c r="F4730" s="346">
        <v>0</v>
      </c>
      <c r="G4730" s="346">
        <f>+F4729</f>
        <v>70000</v>
      </c>
      <c r="H4730" s="338" t="str">
        <f>+H4729</f>
        <v>Juan Pablo Munita Morgan / Azul</v>
      </c>
      <c r="I4730" s="340" t="s">
        <v>131</v>
      </c>
      <c r="K4730" s="370"/>
      <c r="N4730" s="370"/>
    </row>
    <row r="4731" spans="1:14" s="347" customFormat="1" x14ac:dyDescent="0.25">
      <c r="A4731" s="369"/>
      <c r="E4731" s="396"/>
      <c r="F4731" s="396"/>
      <c r="G4731" s="396"/>
      <c r="K4731" s="370"/>
      <c r="N4731" s="370"/>
    </row>
    <row r="4732" spans="1:14" s="347" customFormat="1" x14ac:dyDescent="0.25">
      <c r="A4732" s="402">
        <v>44470</v>
      </c>
      <c r="B4732" s="403">
        <f>+MONTH(A4732)</f>
        <v>10</v>
      </c>
      <c r="C4732" s="338">
        <v>115</v>
      </c>
      <c r="D4732" s="340" t="str">
        <f>VLOOKUP(C4732,Plan!A:B,2,0)</f>
        <v>Disponible Cali B.Chile</v>
      </c>
      <c r="E4732" s="341">
        <f>+F4732-G4732</f>
        <v>20000</v>
      </c>
      <c r="F4732" s="346">
        <v>20000</v>
      </c>
      <c r="G4732" s="346">
        <v>0</v>
      </c>
      <c r="H4732" t="s">
        <v>977</v>
      </c>
      <c r="I4732" s="340" t="s">
        <v>131</v>
      </c>
      <c r="K4732" s="370"/>
      <c r="N4732" s="370"/>
    </row>
    <row r="4733" spans="1:14" s="347" customFormat="1" x14ac:dyDescent="0.25">
      <c r="A4733" s="402">
        <f>+A4732</f>
        <v>44470</v>
      </c>
      <c r="B4733" s="403">
        <f>+B4732</f>
        <v>10</v>
      </c>
      <c r="C4733" s="338">
        <v>3210</v>
      </c>
      <c r="D4733" s="340" t="str">
        <f>VLOOKUP(C4733,Plan!A:B,2,0)</f>
        <v>Donacion Construccion</v>
      </c>
      <c r="E4733" s="341">
        <f>+F4733-G4733</f>
        <v>-20000</v>
      </c>
      <c r="F4733" s="346">
        <v>0</v>
      </c>
      <c r="G4733" s="346">
        <f>+F4732</f>
        <v>20000</v>
      </c>
      <c r="H4733" s="338" t="str">
        <f>+H4732</f>
        <v>Fco.Javier Campos González/Azul</v>
      </c>
      <c r="I4733" s="340" t="s">
        <v>131</v>
      </c>
      <c r="K4733" s="370"/>
      <c r="N4733" s="370"/>
    </row>
    <row r="4734" spans="1:14" s="347" customFormat="1" x14ac:dyDescent="0.25">
      <c r="A4734" s="369"/>
      <c r="E4734" s="396"/>
      <c r="F4734" s="396"/>
      <c r="G4734" s="396"/>
      <c r="K4734" s="370"/>
      <c r="N4734" s="370"/>
    </row>
    <row r="4735" spans="1:14" s="347" customFormat="1" x14ac:dyDescent="0.25">
      <c r="A4735" s="402">
        <v>44470</v>
      </c>
      <c r="B4735" s="403">
        <f>+MONTH(A4735)</f>
        <v>10</v>
      </c>
      <c r="C4735" s="338">
        <v>115</v>
      </c>
      <c r="D4735" s="340" t="str">
        <f>VLOOKUP(C4735,Plan!A:B,2,0)</f>
        <v>Disponible Cali B.Chile</v>
      </c>
      <c r="E4735" s="341">
        <f>+F4735-G4735</f>
        <v>15000</v>
      </c>
      <c r="F4735" s="346">
        <v>15000</v>
      </c>
      <c r="G4735" s="346">
        <v>0</v>
      </c>
      <c r="H4735" t="s">
        <v>1716</v>
      </c>
      <c r="I4735" s="340" t="s">
        <v>131</v>
      </c>
      <c r="K4735" s="370"/>
      <c r="N4735" s="370"/>
    </row>
    <row r="4736" spans="1:14" s="347" customFormat="1" x14ac:dyDescent="0.25">
      <c r="A4736" s="402">
        <f>+A4735</f>
        <v>44470</v>
      </c>
      <c r="B4736" s="403">
        <f>+B4735</f>
        <v>10</v>
      </c>
      <c r="C4736" s="338">
        <v>1222</v>
      </c>
      <c r="D4736" s="340" t="str">
        <f>VLOOKUP(C4736,Plan!A:B,2,0)</f>
        <v>Otros Valores -Oficina y Transferencias (249)</v>
      </c>
      <c r="E4736" s="341">
        <f>+F4736-G4736</f>
        <v>-15000</v>
      </c>
      <c r="F4736" s="346">
        <v>0</v>
      </c>
      <c r="G4736" s="346">
        <f>+F4735</f>
        <v>15000</v>
      </c>
      <c r="H4736" s="338" t="str">
        <f>+H4735</f>
        <v>María Carolina Marín Montes / 249</v>
      </c>
      <c r="I4736" s="340" t="s">
        <v>131</v>
      </c>
      <c r="K4736" s="370"/>
      <c r="N4736" s="370"/>
    </row>
    <row r="4737" spans="1:14" s="347" customFormat="1" x14ac:dyDescent="0.25">
      <c r="A4737" s="369"/>
      <c r="E4737" s="396"/>
      <c r="F4737" s="396"/>
      <c r="G4737" s="396"/>
      <c r="K4737" s="370"/>
      <c r="N4737" s="370"/>
    </row>
    <row r="4738" spans="1:14" s="347" customFormat="1" x14ac:dyDescent="0.25">
      <c r="A4738" s="402">
        <v>44470</v>
      </c>
      <c r="B4738" s="403">
        <f>+MONTH(A4738)</f>
        <v>10</v>
      </c>
      <c r="C4738" s="338">
        <v>115</v>
      </c>
      <c r="D4738" s="340" t="str">
        <f>VLOOKUP(C4738,Plan!A:B,2,0)</f>
        <v>Disponible Cali B.Chile</v>
      </c>
      <c r="E4738" s="341">
        <f>+F4738-G4738</f>
        <v>20000</v>
      </c>
      <c r="F4738" s="346">
        <v>20000</v>
      </c>
      <c r="G4738" s="346">
        <v>0</v>
      </c>
      <c r="H4738" t="s">
        <v>548</v>
      </c>
      <c r="I4738" s="340" t="s">
        <v>131</v>
      </c>
      <c r="K4738" s="370"/>
      <c r="N4738" s="370"/>
    </row>
    <row r="4739" spans="1:14" s="347" customFormat="1" x14ac:dyDescent="0.25">
      <c r="A4739" s="402">
        <f>+A4738</f>
        <v>44470</v>
      </c>
      <c r="B4739" s="403">
        <f>+B4738</f>
        <v>10</v>
      </c>
      <c r="C4739" s="338">
        <v>1222</v>
      </c>
      <c r="D4739" s="340" t="str">
        <f>VLOOKUP(C4739,Plan!A:B,2,0)</f>
        <v>Otros Valores -Oficina y Transferencias (249)</v>
      </c>
      <c r="E4739" s="341">
        <f>+F4739-G4739</f>
        <v>-20000</v>
      </c>
      <c r="F4739" s="346">
        <v>0</v>
      </c>
      <c r="G4739" s="346">
        <f>+F4738</f>
        <v>20000</v>
      </c>
      <c r="H4739" s="338" t="str">
        <f>+H4738</f>
        <v>Josefina Claude / 249</v>
      </c>
      <c r="I4739" s="340" t="s">
        <v>131</v>
      </c>
      <c r="K4739" s="370"/>
      <c r="N4739" s="370"/>
    </row>
    <row r="4740" spans="1:14" s="347" customFormat="1" x14ac:dyDescent="0.25">
      <c r="A4740" s="369"/>
      <c r="E4740" s="396"/>
      <c r="F4740" s="396"/>
      <c r="G4740" s="396"/>
      <c r="K4740" s="370"/>
      <c r="N4740" s="370"/>
    </row>
    <row r="4741" spans="1:14" s="347" customFormat="1" x14ac:dyDescent="0.25">
      <c r="A4741" s="402">
        <v>44470</v>
      </c>
      <c r="B4741" s="403">
        <f>+MONTH(A4741)</f>
        <v>10</v>
      </c>
      <c r="C4741" s="338">
        <v>115</v>
      </c>
      <c r="D4741" s="340" t="str">
        <f>VLOOKUP(C4741,Plan!A:B,2,0)</f>
        <v>Disponible Cali B.Chile</v>
      </c>
      <c r="E4741" s="341">
        <f>+F4741-G4741</f>
        <v>50000</v>
      </c>
      <c r="F4741" s="346">
        <v>50000</v>
      </c>
      <c r="G4741" s="346">
        <v>0</v>
      </c>
      <c r="H4741" t="s">
        <v>547</v>
      </c>
      <c r="I4741" s="340" t="s">
        <v>131</v>
      </c>
      <c r="K4741" s="370"/>
      <c r="N4741" s="370"/>
    </row>
    <row r="4742" spans="1:14" s="347" customFormat="1" x14ac:dyDescent="0.25">
      <c r="A4742" s="402">
        <f>+A4741</f>
        <v>44470</v>
      </c>
      <c r="B4742" s="403">
        <f>+B4741</f>
        <v>10</v>
      </c>
      <c r="C4742" s="338">
        <v>1222</v>
      </c>
      <c r="D4742" s="340" t="str">
        <f>VLOOKUP(C4742,Plan!A:B,2,0)</f>
        <v>Otros Valores -Oficina y Transferencias (249)</v>
      </c>
      <c r="E4742" s="341">
        <f>+F4742-G4742</f>
        <v>-50000</v>
      </c>
      <c r="F4742" s="346">
        <v>0</v>
      </c>
      <c r="G4742" s="346">
        <f>+F4741</f>
        <v>50000</v>
      </c>
      <c r="H4742" s="338" t="str">
        <f>+H4741</f>
        <v>Jorge Claude / 249</v>
      </c>
      <c r="I4742" s="340" t="s">
        <v>131</v>
      </c>
      <c r="K4742" s="370"/>
      <c r="N4742" s="370"/>
    </row>
    <row r="4743" spans="1:14" s="347" customFormat="1" x14ac:dyDescent="0.25">
      <c r="A4743" s="369"/>
      <c r="E4743" s="396"/>
      <c r="F4743" s="396"/>
      <c r="G4743" s="396"/>
      <c r="K4743" s="370"/>
      <c r="N4743" s="370"/>
    </row>
    <row r="4744" spans="1:14" s="347" customFormat="1" x14ac:dyDescent="0.25">
      <c r="A4744" s="402">
        <v>44470</v>
      </c>
      <c r="B4744" s="403">
        <f>+MONTH(A4744)</f>
        <v>10</v>
      </c>
      <c r="C4744" s="338">
        <v>115</v>
      </c>
      <c r="D4744" s="340" t="str">
        <f>VLOOKUP(C4744,Plan!A:B,2,0)</f>
        <v>Disponible Cali B.Chile</v>
      </c>
      <c r="E4744" s="341">
        <f>+F4744-G4744</f>
        <v>30000</v>
      </c>
      <c r="F4744" s="346">
        <v>30000</v>
      </c>
      <c r="G4744" s="346">
        <v>0</v>
      </c>
      <c r="H4744" t="s">
        <v>978</v>
      </c>
      <c r="I4744" s="340" t="s">
        <v>131</v>
      </c>
      <c r="K4744" s="370"/>
      <c r="N4744" s="370"/>
    </row>
    <row r="4745" spans="1:14" s="347" customFormat="1" x14ac:dyDescent="0.25">
      <c r="A4745" s="402">
        <f>+A4744</f>
        <v>44470</v>
      </c>
      <c r="B4745" s="403">
        <f>+B4744</f>
        <v>10</v>
      </c>
      <c r="C4745" s="338">
        <v>3210</v>
      </c>
      <c r="D4745" s="340" t="str">
        <f>VLOOKUP(C4745,Plan!A:B,2,0)</f>
        <v>Donacion Construccion</v>
      </c>
      <c r="E4745" s="341">
        <f>+F4745-G4745</f>
        <v>-30000</v>
      </c>
      <c r="F4745" s="346">
        <v>0</v>
      </c>
      <c r="G4745" s="346">
        <f>+F4744</f>
        <v>30000</v>
      </c>
      <c r="H4745" s="338" t="str">
        <f>+H4744</f>
        <v>Sergio Rodríguez Oro / Azul</v>
      </c>
      <c r="I4745" s="340" t="s">
        <v>131</v>
      </c>
      <c r="K4745" s="370"/>
      <c r="N4745" s="370"/>
    </row>
    <row r="4746" spans="1:14" s="347" customFormat="1" x14ac:dyDescent="0.25">
      <c r="A4746" s="369"/>
      <c r="E4746" s="396"/>
      <c r="F4746" s="396"/>
      <c r="G4746" s="396"/>
      <c r="K4746" s="370"/>
      <c r="N4746" s="370"/>
    </row>
    <row r="4747" spans="1:14" s="347" customFormat="1" x14ac:dyDescent="0.25">
      <c r="A4747" s="402">
        <v>44470</v>
      </c>
      <c r="B4747" s="403">
        <f>+MONTH(A4747)</f>
        <v>10</v>
      </c>
      <c r="C4747" s="338">
        <v>115</v>
      </c>
      <c r="D4747" s="340" t="str">
        <f>VLOOKUP(C4747,Plan!A:B,2,0)</f>
        <v>Disponible Cali B.Chile</v>
      </c>
      <c r="E4747" s="341">
        <f>+F4747-G4747</f>
        <v>40000</v>
      </c>
      <c r="F4747" s="346">
        <v>40000</v>
      </c>
      <c r="G4747" s="346">
        <v>0</v>
      </c>
      <c r="H4747" t="s">
        <v>1001</v>
      </c>
      <c r="I4747" s="340" t="s">
        <v>131</v>
      </c>
      <c r="K4747" s="370"/>
      <c r="N4747" s="370"/>
    </row>
    <row r="4748" spans="1:14" s="347" customFormat="1" x14ac:dyDescent="0.25">
      <c r="A4748" s="402">
        <f>+A4747</f>
        <v>44470</v>
      </c>
      <c r="B4748" s="403">
        <f>+B4747</f>
        <v>10</v>
      </c>
      <c r="C4748" s="338">
        <v>3210</v>
      </c>
      <c r="D4748" s="340" t="str">
        <f>VLOOKUP(C4748,Plan!A:B,2,0)</f>
        <v>Donacion Construccion</v>
      </c>
      <c r="E4748" s="341">
        <f>+F4748-G4748</f>
        <v>-40000</v>
      </c>
      <c r="F4748" s="346">
        <v>0</v>
      </c>
      <c r="G4748" s="346">
        <f>+F4747</f>
        <v>40000</v>
      </c>
      <c r="H4748" s="338" t="str">
        <f>+H4747</f>
        <v>Karina Rabino de Alonso /Azul</v>
      </c>
      <c r="I4748" s="340" t="s">
        <v>131</v>
      </c>
      <c r="K4748" s="370"/>
      <c r="N4748" s="370"/>
    </row>
    <row r="4749" spans="1:14" s="347" customFormat="1" x14ac:dyDescent="0.25">
      <c r="A4749" s="369"/>
      <c r="E4749" s="396"/>
      <c r="F4749" s="396"/>
      <c r="G4749" s="396"/>
      <c r="K4749" s="370"/>
      <c r="N4749" s="370"/>
    </row>
    <row r="4750" spans="1:14" s="347" customFormat="1" x14ac:dyDescent="0.25">
      <c r="A4750" s="402">
        <v>44470</v>
      </c>
      <c r="B4750" s="403">
        <f>+MONTH(A4750)</f>
        <v>10</v>
      </c>
      <c r="C4750" s="338">
        <v>115</v>
      </c>
      <c r="D4750" s="340" t="str">
        <f>VLOOKUP(C4750,Plan!A:B,2,0)</f>
        <v>Disponible Cali B.Chile</v>
      </c>
      <c r="E4750" s="341">
        <f>+F4750-G4750</f>
        <v>15000</v>
      </c>
      <c r="F4750" s="346">
        <v>15000</v>
      </c>
      <c r="G4750" s="346">
        <v>0</v>
      </c>
      <c r="H4750" t="s">
        <v>979</v>
      </c>
      <c r="I4750" s="340" t="s">
        <v>131</v>
      </c>
      <c r="K4750" s="370"/>
      <c r="N4750" s="370"/>
    </row>
    <row r="4751" spans="1:14" s="347" customFormat="1" x14ac:dyDescent="0.25">
      <c r="A4751" s="402">
        <f>+A4750</f>
        <v>44470</v>
      </c>
      <c r="B4751" s="403">
        <f>+B4750</f>
        <v>10</v>
      </c>
      <c r="C4751" s="338">
        <v>1222</v>
      </c>
      <c r="D4751" s="340" t="str">
        <f>VLOOKUP(C4751,Plan!A:B,2,0)</f>
        <v>Otros Valores -Oficina y Transferencias (249)</v>
      </c>
      <c r="E4751" s="341">
        <f>+F4751-G4751</f>
        <v>-15000</v>
      </c>
      <c r="F4751" s="346">
        <v>0</v>
      </c>
      <c r="G4751" s="346">
        <f>+F4750</f>
        <v>15000</v>
      </c>
      <c r="H4751" s="338" t="str">
        <f>+H4750</f>
        <v>María Paulina Grez / 249</v>
      </c>
      <c r="I4751" s="340" t="s">
        <v>131</v>
      </c>
      <c r="K4751" s="370"/>
      <c r="N4751" s="370"/>
    </row>
    <row r="4752" spans="1:14" s="347" customFormat="1" x14ac:dyDescent="0.25">
      <c r="A4752" s="369"/>
      <c r="E4752" s="396"/>
      <c r="F4752" s="396"/>
      <c r="G4752" s="396"/>
      <c r="K4752" s="370"/>
      <c r="N4752" s="370"/>
    </row>
    <row r="4753" spans="1:14" s="347" customFormat="1" x14ac:dyDescent="0.25">
      <c r="A4753" s="402">
        <v>44470</v>
      </c>
      <c r="B4753" s="403">
        <f>+MONTH(A4753)</f>
        <v>10</v>
      </c>
      <c r="C4753" s="338">
        <v>115</v>
      </c>
      <c r="D4753" s="340" t="str">
        <f>VLOOKUP(C4753,Plan!A:B,2,0)</f>
        <v>Disponible Cali B.Chile</v>
      </c>
      <c r="E4753" s="341">
        <f>+F4753-G4753</f>
        <v>11423764</v>
      </c>
      <c r="F4753" s="346">
        <v>11423764</v>
      </c>
      <c r="G4753" s="346">
        <v>0</v>
      </c>
      <c r="H4753" t="s">
        <v>2160</v>
      </c>
      <c r="I4753" s="340" t="s">
        <v>131</v>
      </c>
      <c r="K4753" s="370"/>
      <c r="N4753" s="370"/>
    </row>
    <row r="4754" spans="1:14" s="347" customFormat="1" x14ac:dyDescent="0.25">
      <c r="A4754" s="402">
        <f>+A4753</f>
        <v>44470</v>
      </c>
      <c r="B4754" s="403">
        <f>+B4753</f>
        <v>10</v>
      </c>
      <c r="C4754" s="338">
        <v>1218</v>
      </c>
      <c r="D4754" s="340" t="str">
        <f>VLOOKUP(C4754,Plan!A:B,2,0)</f>
        <v>Otros Valores Tarjeta de Credito</v>
      </c>
      <c r="E4754" s="341">
        <f>+F4754-G4754</f>
        <v>-11423764</v>
      </c>
      <c r="F4754" s="346">
        <v>0</v>
      </c>
      <c r="G4754" s="346">
        <f>+F4753</f>
        <v>11423764</v>
      </c>
      <c r="H4754" s="338" t="str">
        <f>+H4753</f>
        <v>248 y 249 septiembre 2021</v>
      </c>
      <c r="I4754" s="340" t="s">
        <v>131</v>
      </c>
      <c r="K4754" s="370"/>
      <c r="N4754" s="370"/>
    </row>
    <row r="4755" spans="1:14" s="347" customFormat="1" x14ac:dyDescent="0.25">
      <c r="A4755" s="369"/>
      <c r="E4755" s="396"/>
      <c r="F4755" s="396"/>
      <c r="G4755" s="396"/>
      <c r="K4755" s="370"/>
      <c r="N4755" s="370"/>
    </row>
    <row r="4756" spans="1:14" s="347" customFormat="1" x14ac:dyDescent="0.25">
      <c r="A4756" s="402">
        <v>44470</v>
      </c>
      <c r="B4756" s="403">
        <f>+MONTH(A4756)</f>
        <v>10</v>
      </c>
      <c r="C4756" s="338">
        <v>115</v>
      </c>
      <c r="D4756" s="340" t="str">
        <f>VLOOKUP(C4756,Plan!A:B,2,0)</f>
        <v>Disponible Cali B.Chile</v>
      </c>
      <c r="E4756" s="341">
        <f>+F4756-G4756</f>
        <v>160000</v>
      </c>
      <c r="F4756" s="346">
        <v>160000</v>
      </c>
      <c r="G4756" s="346">
        <v>0</v>
      </c>
      <c r="H4756" t="s">
        <v>797</v>
      </c>
      <c r="I4756" s="340" t="s">
        <v>131</v>
      </c>
      <c r="K4756" s="370"/>
      <c r="N4756" s="370"/>
    </row>
    <row r="4757" spans="1:14" s="347" customFormat="1" x14ac:dyDescent="0.25">
      <c r="A4757" s="402">
        <f>+A4756</f>
        <v>44470</v>
      </c>
      <c r="B4757" s="403">
        <f>+B4756</f>
        <v>10</v>
      </c>
      <c r="C4757" s="338">
        <v>1217</v>
      </c>
      <c r="D4757" s="340" t="str">
        <f>VLOOKUP(C4757,Plan!A:B,2,0)</f>
        <v>Otros Valores -Oficina y Transferencias (248)</v>
      </c>
      <c r="E4757" s="341">
        <f>+F4757-G4757</f>
        <v>-160000</v>
      </c>
      <c r="F4757" s="346">
        <v>0</v>
      </c>
      <c r="G4757" s="346">
        <f>+F4756</f>
        <v>160000</v>
      </c>
      <c r="H4757" s="338" t="str">
        <f>+H4756</f>
        <v>R. Casas del Valle / 248</v>
      </c>
      <c r="I4757" s="340" t="s">
        <v>131</v>
      </c>
      <c r="K4757" s="370"/>
      <c r="N4757" s="370"/>
    </row>
    <row r="4758" spans="1:14" s="347" customFormat="1" x14ac:dyDescent="0.25">
      <c r="K4758" s="370"/>
      <c r="N4758" s="370"/>
    </row>
    <row r="4759" spans="1:14" s="347" customFormat="1" x14ac:dyDescent="0.25">
      <c r="A4759" s="402">
        <v>44470</v>
      </c>
      <c r="B4759" s="403">
        <f>+MONTH(A4759)</f>
        <v>10</v>
      </c>
      <c r="C4759" s="338">
        <v>115</v>
      </c>
      <c r="D4759" s="340" t="str">
        <f>VLOOKUP(C4759,Plan!A:B,2,0)</f>
        <v>Disponible Cali B.Chile</v>
      </c>
      <c r="E4759" s="341">
        <f>+F4759-G4759</f>
        <v>40000</v>
      </c>
      <c r="F4759" s="346">
        <v>40000</v>
      </c>
      <c r="G4759" s="346">
        <v>0</v>
      </c>
      <c r="H4759" t="s">
        <v>989</v>
      </c>
      <c r="I4759" s="340" t="s">
        <v>131</v>
      </c>
      <c r="K4759" s="370"/>
      <c r="N4759" s="370"/>
    </row>
    <row r="4760" spans="1:14" s="347" customFormat="1" x14ac:dyDescent="0.25">
      <c r="A4760" s="402">
        <f>+A4759</f>
        <v>44470</v>
      </c>
      <c r="B4760" s="403">
        <f>+B4759</f>
        <v>10</v>
      </c>
      <c r="C4760" s="338">
        <v>1217</v>
      </c>
      <c r="D4760" s="340" t="str">
        <f>VLOOKUP(C4760,Plan!A:B,2,0)</f>
        <v>Otros Valores -Oficina y Transferencias (248)</v>
      </c>
      <c r="E4760" s="341">
        <f>+F4760-G4760</f>
        <v>-40000</v>
      </c>
      <c r="F4760" s="346">
        <v>0</v>
      </c>
      <c r="G4760" s="346">
        <f>+F4759</f>
        <v>40000</v>
      </c>
      <c r="H4760" s="338" t="str">
        <f>+H4759</f>
        <v>M. Domínguez / 248</v>
      </c>
      <c r="I4760" s="340" t="s">
        <v>131</v>
      </c>
      <c r="K4760" s="370"/>
      <c r="N4760" s="370"/>
    </row>
    <row r="4761" spans="1:14" s="347" customFormat="1" x14ac:dyDescent="0.25">
      <c r="A4761" s="369"/>
      <c r="E4761" s="396"/>
      <c r="F4761" s="396"/>
      <c r="G4761" s="396"/>
      <c r="K4761" s="370"/>
      <c r="N4761" s="370"/>
    </row>
    <row r="4762" spans="1:14" s="347" customFormat="1" x14ac:dyDescent="0.25">
      <c r="A4762" s="402">
        <v>44470</v>
      </c>
      <c r="B4762" s="403">
        <f>+MONTH(A4762)</f>
        <v>10</v>
      </c>
      <c r="C4762" s="338">
        <v>115</v>
      </c>
      <c r="D4762" s="340" t="str">
        <f>VLOOKUP(C4762,Plan!A:B,2,0)</f>
        <v>Disponible Cali B.Chile</v>
      </c>
      <c r="E4762" s="341">
        <f>+F4762-G4762</f>
        <v>30000</v>
      </c>
      <c r="F4762" s="346">
        <v>30000</v>
      </c>
      <c r="G4762" s="346">
        <v>0</v>
      </c>
      <c r="H4762" t="s">
        <v>1669</v>
      </c>
      <c r="I4762" s="340" t="s">
        <v>131</v>
      </c>
      <c r="K4762" s="370"/>
      <c r="N4762" s="370"/>
    </row>
    <row r="4763" spans="1:14" s="347" customFormat="1" x14ac:dyDescent="0.25">
      <c r="A4763" s="402">
        <f>+A4762</f>
        <v>44470</v>
      </c>
      <c r="B4763" s="403">
        <f>+B4762</f>
        <v>10</v>
      </c>
      <c r="C4763" s="338">
        <v>1222</v>
      </c>
      <c r="D4763" s="340" t="str">
        <f>VLOOKUP(C4763,Plan!A:B,2,0)</f>
        <v>Otros Valores -Oficina y Transferencias (249)</v>
      </c>
      <c r="E4763" s="341">
        <f>+F4763-G4763</f>
        <v>-30000</v>
      </c>
      <c r="F4763" s="346">
        <v>0</v>
      </c>
      <c r="G4763" s="346">
        <f>+F4762</f>
        <v>30000</v>
      </c>
      <c r="H4763" s="338" t="str">
        <f>+H4762</f>
        <v>Carlos Enrique Blanco Plummer / 249</v>
      </c>
      <c r="I4763" s="340" t="s">
        <v>131</v>
      </c>
      <c r="K4763" s="370"/>
      <c r="N4763" s="370"/>
    </row>
    <row r="4764" spans="1:14" s="347" customFormat="1" x14ac:dyDescent="0.25">
      <c r="A4764" s="369"/>
      <c r="E4764" s="396"/>
      <c r="F4764" s="396"/>
      <c r="G4764" s="396"/>
      <c r="K4764" s="370"/>
      <c r="N4764" s="370"/>
    </row>
    <row r="4765" spans="1:14" s="347" customFormat="1" x14ac:dyDescent="0.25">
      <c r="A4765" s="402">
        <v>44473</v>
      </c>
      <c r="B4765" s="403">
        <f>+MONTH(A4765)</f>
        <v>10</v>
      </c>
      <c r="C4765" s="338">
        <v>115</v>
      </c>
      <c r="D4765" s="340" t="str">
        <f>VLOOKUP(C4765,Plan!A:B,2,0)</f>
        <v>Disponible Cali B.Chile</v>
      </c>
      <c r="E4765" s="341">
        <f>+F4765-G4765</f>
        <v>25000</v>
      </c>
      <c r="F4765" s="346">
        <v>25000</v>
      </c>
      <c r="G4765" s="346">
        <v>0</v>
      </c>
      <c r="H4765" t="s">
        <v>981</v>
      </c>
      <c r="I4765" s="340" t="s">
        <v>131</v>
      </c>
      <c r="K4765" s="370"/>
      <c r="N4765" s="370"/>
    </row>
    <row r="4766" spans="1:14" s="347" customFormat="1" x14ac:dyDescent="0.25">
      <c r="A4766" s="402">
        <f>+A4765</f>
        <v>44473</v>
      </c>
      <c r="B4766" s="403">
        <f>+B4765</f>
        <v>10</v>
      </c>
      <c r="C4766" s="338">
        <v>1222</v>
      </c>
      <c r="D4766" s="340" t="str">
        <f>VLOOKUP(C4766,Plan!A:B,2,0)</f>
        <v>Otros Valores -Oficina y Transferencias (249)</v>
      </c>
      <c r="E4766" s="341">
        <f>+F4766-G4766</f>
        <v>-25000</v>
      </c>
      <c r="F4766" s="346">
        <v>0</v>
      </c>
      <c r="G4766" s="346">
        <f>+F4765</f>
        <v>25000</v>
      </c>
      <c r="H4766" s="338" t="str">
        <f>+H4765</f>
        <v xml:space="preserve">Soledad Celis / 249 </v>
      </c>
      <c r="I4766" s="340" t="s">
        <v>131</v>
      </c>
      <c r="K4766" s="370"/>
      <c r="N4766" s="370"/>
    </row>
    <row r="4767" spans="1:14" s="347" customFormat="1" x14ac:dyDescent="0.25">
      <c r="A4767" s="369"/>
      <c r="E4767" s="396"/>
      <c r="F4767" s="396"/>
      <c r="G4767" s="396"/>
      <c r="K4767" s="370"/>
      <c r="N4767" s="370"/>
    </row>
    <row r="4768" spans="1:14" s="347" customFormat="1" x14ac:dyDescent="0.25">
      <c r="A4768" s="402">
        <v>44473</v>
      </c>
      <c r="B4768" s="403">
        <f>+MONTH(A4768)</f>
        <v>10</v>
      </c>
      <c r="C4768" s="338">
        <v>115</v>
      </c>
      <c r="D4768" s="340" t="str">
        <f>VLOOKUP(C4768,Plan!A:B,2,0)</f>
        <v>Disponible Cali B.Chile</v>
      </c>
      <c r="E4768" s="341">
        <f>+F4768-G4768</f>
        <v>15000</v>
      </c>
      <c r="F4768" s="346">
        <v>15000</v>
      </c>
      <c r="G4768" s="346">
        <v>0</v>
      </c>
      <c r="H4768" t="s">
        <v>1049</v>
      </c>
      <c r="I4768" s="340" t="s">
        <v>131</v>
      </c>
      <c r="K4768" s="370"/>
      <c r="N4768" s="370"/>
    </row>
    <row r="4769" spans="1:14" s="347" customFormat="1" x14ac:dyDescent="0.25">
      <c r="A4769" s="402">
        <f>+A4768</f>
        <v>44473</v>
      </c>
      <c r="B4769" s="403">
        <f>+B4768</f>
        <v>10</v>
      </c>
      <c r="C4769" s="338">
        <v>216</v>
      </c>
      <c r="D4769" s="340" t="str">
        <f>VLOOKUP(C4769,Plan!A:B,2,0)</f>
        <v>Cuenta por Pagar a Administración Colectas</v>
      </c>
      <c r="E4769" s="341">
        <f>+F4769-G4769</f>
        <v>-15000</v>
      </c>
      <c r="F4769" s="346">
        <v>0</v>
      </c>
      <c r="G4769" s="346">
        <f>+F4768</f>
        <v>15000</v>
      </c>
      <c r="H4769" s="338" t="str">
        <f>+H4768</f>
        <v>Colecta Celis Celedon Maria Soledad</v>
      </c>
      <c r="I4769" s="340" t="s">
        <v>131</v>
      </c>
      <c r="K4769" s="370"/>
      <c r="N4769" s="370"/>
    </row>
    <row r="4770" spans="1:14" s="347" customFormat="1" x14ac:dyDescent="0.25">
      <c r="A4770" s="369"/>
      <c r="E4770" s="396"/>
      <c r="F4770" s="396"/>
      <c r="G4770" s="396"/>
      <c r="K4770" s="370"/>
      <c r="N4770" s="370"/>
    </row>
    <row r="4771" spans="1:14" s="347" customFormat="1" x14ac:dyDescent="0.25">
      <c r="A4771" s="402">
        <v>44473</v>
      </c>
      <c r="B4771" s="403">
        <f>+MONTH(A4771)</f>
        <v>10</v>
      </c>
      <c r="C4771" s="338">
        <v>115</v>
      </c>
      <c r="D4771" s="340" t="str">
        <f>VLOOKUP(C4771,Plan!A:B,2,0)</f>
        <v>Disponible Cali B.Chile</v>
      </c>
      <c r="E4771" s="341">
        <f>+F4771-G4771</f>
        <v>20000</v>
      </c>
      <c r="F4771" s="346">
        <v>20000</v>
      </c>
      <c r="G4771" s="346">
        <v>0</v>
      </c>
      <c r="H4771" t="s">
        <v>1035</v>
      </c>
      <c r="I4771" s="340" t="s">
        <v>131</v>
      </c>
      <c r="K4771" s="370"/>
      <c r="N4771" s="370"/>
    </row>
    <row r="4772" spans="1:14" s="347" customFormat="1" x14ac:dyDescent="0.25">
      <c r="A4772" s="402">
        <f>+A4771</f>
        <v>44473</v>
      </c>
      <c r="B4772" s="403">
        <f>+B4771</f>
        <v>10</v>
      </c>
      <c r="C4772" s="338">
        <v>1217</v>
      </c>
      <c r="D4772" s="340" t="str">
        <f>VLOOKUP(C4772,Plan!A:B,2,0)</f>
        <v>Otros Valores -Oficina y Transferencias (248)</v>
      </c>
      <c r="E4772" s="341">
        <f>+F4772-G4772</f>
        <v>-20000</v>
      </c>
      <c r="F4772" s="346">
        <v>0</v>
      </c>
      <c r="G4772" s="346">
        <f>+F4771</f>
        <v>20000</v>
      </c>
      <c r="H4772" s="338" t="str">
        <f>+H4771</f>
        <v xml:space="preserve">Fabián Rodríguez Ch. / 248 </v>
      </c>
      <c r="I4772" s="340" t="s">
        <v>131</v>
      </c>
      <c r="K4772" s="370"/>
      <c r="N4772" s="370"/>
    </row>
    <row r="4773" spans="1:14" s="347" customFormat="1" x14ac:dyDescent="0.25">
      <c r="A4773" s="369"/>
      <c r="E4773" s="396"/>
      <c r="F4773" s="396"/>
      <c r="G4773" s="396"/>
      <c r="K4773" s="370"/>
      <c r="N4773" s="370"/>
    </row>
    <row r="4774" spans="1:14" s="347" customFormat="1" x14ac:dyDescent="0.25">
      <c r="A4774" s="402">
        <v>44473</v>
      </c>
      <c r="B4774" s="403">
        <f>+MONTH(A4774)</f>
        <v>10</v>
      </c>
      <c r="C4774" s="338">
        <v>115</v>
      </c>
      <c r="D4774" s="340" t="str">
        <f>VLOOKUP(C4774,Plan!A:B,2,0)</f>
        <v>Disponible Cali B.Chile</v>
      </c>
      <c r="E4774" s="341">
        <f>+F4774-G4774</f>
        <v>50000</v>
      </c>
      <c r="F4774" s="346">
        <v>50000</v>
      </c>
      <c r="G4774" s="346">
        <v>0</v>
      </c>
      <c r="H4774" s="469" t="s">
        <v>787</v>
      </c>
      <c r="I4774" s="340" t="s">
        <v>131</v>
      </c>
      <c r="K4774" s="370"/>
      <c r="N4774" s="370"/>
    </row>
    <row r="4775" spans="1:14" s="347" customFormat="1" x14ac:dyDescent="0.25">
      <c r="A4775" s="402">
        <f>+A4774</f>
        <v>44473</v>
      </c>
      <c r="B4775" s="403">
        <f>+B4774</f>
        <v>10</v>
      </c>
      <c r="C4775" s="338">
        <v>1222</v>
      </c>
      <c r="D4775" s="340" t="str">
        <f>VLOOKUP(C4775,Plan!A:B,2,0)</f>
        <v>Otros Valores -Oficina y Transferencias (249)</v>
      </c>
      <c r="E4775" s="341">
        <f>+F4775-G4775</f>
        <v>-50000</v>
      </c>
      <c r="F4775" s="346">
        <v>0</v>
      </c>
      <c r="G4775" s="346">
        <f>+F4774</f>
        <v>50000</v>
      </c>
      <c r="H4775" s="338" t="str">
        <f>+H4774</f>
        <v>Juan Pablo Ríos Ross / 249</v>
      </c>
      <c r="I4775" s="340" t="s">
        <v>131</v>
      </c>
      <c r="K4775" s="370"/>
      <c r="N4775" s="370"/>
    </row>
    <row r="4776" spans="1:14" s="347" customFormat="1" x14ac:dyDescent="0.25">
      <c r="K4776" s="370"/>
      <c r="N4776" s="370"/>
    </row>
    <row r="4777" spans="1:14" s="347" customFormat="1" x14ac:dyDescent="0.25">
      <c r="A4777" s="402">
        <v>44473</v>
      </c>
      <c r="B4777" s="403">
        <f>+MONTH(A4777)</f>
        <v>10</v>
      </c>
      <c r="C4777" s="338">
        <v>115</v>
      </c>
      <c r="D4777" s="340" t="str">
        <f>VLOOKUP(C4777,Plan!A:B,2,0)</f>
        <v>Disponible Cali B.Chile</v>
      </c>
      <c r="E4777" s="341">
        <f>+F4777-G4777</f>
        <v>1000000</v>
      </c>
      <c r="F4777" s="346">
        <v>1000000</v>
      </c>
      <c r="G4777" s="346">
        <v>0</v>
      </c>
      <c r="H4777" t="s">
        <v>2077</v>
      </c>
      <c r="I4777" s="340" t="s">
        <v>131</v>
      </c>
      <c r="K4777" s="370"/>
      <c r="N4777" s="370"/>
    </row>
    <row r="4778" spans="1:14" s="347" customFormat="1" x14ac:dyDescent="0.25">
      <c r="A4778" s="402">
        <f>+A4777</f>
        <v>44473</v>
      </c>
      <c r="B4778" s="403">
        <f>+B4777</f>
        <v>10</v>
      </c>
      <c r="C4778" s="338">
        <v>3210</v>
      </c>
      <c r="D4778" s="340" t="str">
        <f>VLOOKUP(C4778,Plan!A:B,2,0)</f>
        <v>Donacion Construccion</v>
      </c>
      <c r="E4778" s="341">
        <f>+F4778-G4778</f>
        <v>-1000000</v>
      </c>
      <c r="F4778" s="346">
        <v>0</v>
      </c>
      <c r="G4778" s="346">
        <f>+F4777</f>
        <v>1000000</v>
      </c>
      <c r="H4778" s="338" t="str">
        <f>+H4777</f>
        <v>Pedro Armando Alvarez Marin/250</v>
      </c>
      <c r="I4778" s="340" t="s">
        <v>131</v>
      </c>
      <c r="K4778" s="370"/>
      <c r="N4778" s="370"/>
    </row>
    <row r="4779" spans="1:14" s="347" customFormat="1" x14ac:dyDescent="0.25">
      <c r="A4779" s="369"/>
      <c r="E4779" s="396"/>
      <c r="F4779" s="396"/>
      <c r="G4779" s="396"/>
      <c r="K4779" s="370"/>
      <c r="N4779" s="370"/>
    </row>
    <row r="4780" spans="1:14" s="347" customFormat="1" x14ac:dyDescent="0.25">
      <c r="A4780" s="402">
        <v>44473</v>
      </c>
      <c r="B4780" s="403">
        <f>+MONTH(A4780)</f>
        <v>10</v>
      </c>
      <c r="C4780" s="338">
        <v>115</v>
      </c>
      <c r="D4780" s="340" t="str">
        <f>VLOOKUP(C4780,Plan!A:B,2,0)</f>
        <v>Disponible Cali B.Chile</v>
      </c>
      <c r="E4780" s="341">
        <f>+F4780-G4780</f>
        <v>40000</v>
      </c>
      <c r="F4780" s="346">
        <v>40000</v>
      </c>
      <c r="G4780" s="346">
        <v>0</v>
      </c>
      <c r="H4780" t="s">
        <v>1083</v>
      </c>
      <c r="I4780" s="340" t="s">
        <v>131</v>
      </c>
      <c r="K4780" s="370"/>
      <c r="N4780" s="370"/>
    </row>
    <row r="4781" spans="1:14" s="347" customFormat="1" x14ac:dyDescent="0.25">
      <c r="A4781" s="402">
        <f>+A4780</f>
        <v>44473</v>
      </c>
      <c r="B4781" s="403">
        <f>+B4780</f>
        <v>10</v>
      </c>
      <c r="C4781" s="338">
        <v>1222</v>
      </c>
      <c r="D4781" s="340" t="str">
        <f>VLOOKUP(C4781,Plan!A:B,2,0)</f>
        <v>Otros Valores -Oficina y Transferencias (249)</v>
      </c>
      <c r="E4781" s="341">
        <f>+F4781-G4781</f>
        <v>-40000</v>
      </c>
      <c r="F4781" s="346">
        <v>0</v>
      </c>
      <c r="G4781" s="346">
        <f>+F4780</f>
        <v>40000</v>
      </c>
      <c r="H4781" s="338" t="str">
        <f>+H4780</f>
        <v xml:space="preserve">Raúl Strappa Varas / 249 </v>
      </c>
      <c r="I4781" s="340" t="s">
        <v>131</v>
      </c>
      <c r="K4781" s="370"/>
      <c r="N4781" s="370"/>
    </row>
    <row r="4782" spans="1:14" s="347" customFormat="1" x14ac:dyDescent="0.25">
      <c r="A4782" s="369"/>
      <c r="E4782" s="396"/>
      <c r="F4782" s="396"/>
      <c r="G4782" s="396"/>
      <c r="K4782" s="370"/>
      <c r="N4782" s="370"/>
    </row>
    <row r="4783" spans="1:14" s="347" customFormat="1" x14ac:dyDescent="0.25">
      <c r="A4783" s="402">
        <v>44473</v>
      </c>
      <c r="B4783" s="403">
        <f>+MONTH(A4783)</f>
        <v>10</v>
      </c>
      <c r="C4783" s="338">
        <v>115</v>
      </c>
      <c r="D4783" s="340" t="str">
        <f>VLOOKUP(C4783,Plan!A:B,2,0)</f>
        <v>Disponible Cali B.Chile</v>
      </c>
      <c r="E4783" s="341">
        <f>+F4783-G4783</f>
        <v>45000</v>
      </c>
      <c r="F4783" s="346">
        <v>45000</v>
      </c>
      <c r="G4783" s="346">
        <v>0</v>
      </c>
      <c r="H4783" t="s">
        <v>993</v>
      </c>
      <c r="I4783" s="340" t="s">
        <v>131</v>
      </c>
      <c r="K4783" s="370"/>
      <c r="N4783" s="370"/>
    </row>
    <row r="4784" spans="1:14" s="347" customFormat="1" x14ac:dyDescent="0.25">
      <c r="A4784" s="402">
        <f>+A4783</f>
        <v>44473</v>
      </c>
      <c r="B4784" s="403">
        <f>+B4783</f>
        <v>10</v>
      </c>
      <c r="C4784" s="338">
        <v>3210</v>
      </c>
      <c r="D4784" s="340" t="str">
        <f>VLOOKUP(C4784,Plan!A:B,2,0)</f>
        <v>Donacion Construccion</v>
      </c>
      <c r="E4784" s="341">
        <f>+F4784-G4784</f>
        <v>-45000</v>
      </c>
      <c r="F4784" s="346">
        <v>0</v>
      </c>
      <c r="G4784" s="346">
        <f>+F4783</f>
        <v>45000</v>
      </c>
      <c r="H4784" s="338" t="str">
        <f>+H4783</f>
        <v>Patricia Romero Navarro / Azul</v>
      </c>
      <c r="I4784" s="340" t="s">
        <v>131</v>
      </c>
      <c r="K4784" s="370"/>
      <c r="N4784" s="370"/>
    </row>
    <row r="4785" spans="1:14" s="347" customFormat="1" x14ac:dyDescent="0.25">
      <c r="A4785" s="369"/>
      <c r="E4785" s="396"/>
      <c r="F4785" s="396"/>
      <c r="G4785" s="396"/>
      <c r="K4785" s="370"/>
      <c r="N4785" s="370"/>
    </row>
    <row r="4786" spans="1:14" s="347" customFormat="1" x14ac:dyDescent="0.25">
      <c r="A4786" s="402">
        <v>44473</v>
      </c>
      <c r="B4786" s="403">
        <f>+MONTH(A4786)</f>
        <v>10</v>
      </c>
      <c r="C4786" s="338">
        <v>115</v>
      </c>
      <c r="D4786" s="340" t="str">
        <f>VLOOKUP(C4786,Plan!A:B,2,0)</f>
        <v>Disponible Cali B.Chile</v>
      </c>
      <c r="E4786" s="341">
        <f>+F4786-G4786</f>
        <v>120000</v>
      </c>
      <c r="F4786" s="346">
        <v>120000</v>
      </c>
      <c r="G4786" s="346">
        <v>0</v>
      </c>
      <c r="H4786" t="s">
        <v>987</v>
      </c>
      <c r="I4786" s="340" t="s">
        <v>131</v>
      </c>
      <c r="K4786" s="370"/>
      <c r="N4786" s="370"/>
    </row>
    <row r="4787" spans="1:14" s="347" customFormat="1" x14ac:dyDescent="0.25">
      <c r="A4787" s="402">
        <f>+A4786</f>
        <v>44473</v>
      </c>
      <c r="B4787" s="403">
        <f>+B4786</f>
        <v>10</v>
      </c>
      <c r="C4787" s="338">
        <v>1217</v>
      </c>
      <c r="D4787" s="340" t="str">
        <f>VLOOKUP(C4787,Plan!A:B,2,0)</f>
        <v>Otros Valores -Oficina y Transferencias (248)</v>
      </c>
      <c r="E4787" s="341">
        <f>+F4787-G4787</f>
        <v>-120000</v>
      </c>
      <c r="F4787" s="346">
        <v>0</v>
      </c>
      <c r="G4787" s="346">
        <f>+F4786</f>
        <v>120000</v>
      </c>
      <c r="H4787" s="338" t="str">
        <f>+H4786</f>
        <v xml:space="preserve">I. Ureta / 248 </v>
      </c>
      <c r="I4787" s="340" t="s">
        <v>131</v>
      </c>
      <c r="K4787" s="370"/>
      <c r="N4787" s="370"/>
    </row>
    <row r="4788" spans="1:14" s="347" customFormat="1" x14ac:dyDescent="0.25">
      <c r="A4788" s="369"/>
      <c r="E4788" s="396"/>
      <c r="F4788" s="396"/>
      <c r="G4788" s="396"/>
      <c r="K4788" s="370"/>
      <c r="N4788" s="370"/>
    </row>
    <row r="4789" spans="1:14" s="347" customFormat="1" x14ac:dyDescent="0.25">
      <c r="A4789" s="402">
        <v>44473</v>
      </c>
      <c r="B4789" s="403">
        <f>+MONTH(A4789)</f>
        <v>10</v>
      </c>
      <c r="C4789" s="338">
        <v>115</v>
      </c>
      <c r="D4789" s="340" t="str">
        <f>VLOOKUP(C4789,Plan!A:B,2,0)</f>
        <v>Disponible Cali B.Chile</v>
      </c>
      <c r="E4789" s="341">
        <f>+F4789-G4789</f>
        <v>3000000</v>
      </c>
      <c r="F4789" s="346">
        <v>3000000</v>
      </c>
      <c r="G4789" s="346">
        <v>0</v>
      </c>
      <c r="H4789" t="s">
        <v>1668</v>
      </c>
      <c r="I4789" s="340" t="s">
        <v>131</v>
      </c>
      <c r="K4789" s="370"/>
      <c r="N4789" s="370"/>
    </row>
    <row r="4790" spans="1:14" s="347" customFormat="1" x14ac:dyDescent="0.25">
      <c r="A4790" s="402">
        <f>+A4789</f>
        <v>44473</v>
      </c>
      <c r="B4790" s="403">
        <f>+B4789</f>
        <v>10</v>
      </c>
      <c r="C4790" s="338">
        <v>3210</v>
      </c>
      <c r="D4790" s="340" t="str">
        <f>VLOOKUP(C4790,Plan!A:B,2,0)</f>
        <v>Donacion Construccion</v>
      </c>
      <c r="E4790" s="341">
        <f>+F4790-G4790</f>
        <v>-3000000</v>
      </c>
      <c r="F4790" s="346">
        <v>0</v>
      </c>
      <c r="G4790" s="346">
        <f>+F4789</f>
        <v>3000000</v>
      </c>
      <c r="H4790" s="338" t="str">
        <f>+H4789</f>
        <v>José Tomás Guzmán Rencoret / Azul</v>
      </c>
      <c r="I4790" s="340" t="s">
        <v>131</v>
      </c>
      <c r="K4790" s="370"/>
      <c r="N4790" s="370"/>
    </row>
    <row r="4791" spans="1:14" s="347" customFormat="1" x14ac:dyDescent="0.25">
      <c r="A4791" s="369"/>
      <c r="E4791" s="396"/>
      <c r="F4791" s="396"/>
      <c r="G4791" s="396"/>
      <c r="K4791" s="370"/>
      <c r="N4791" s="370"/>
    </row>
    <row r="4792" spans="1:14" s="347" customFormat="1" x14ac:dyDescent="0.25">
      <c r="A4792" s="402">
        <v>44473</v>
      </c>
      <c r="B4792" s="403">
        <f>+MONTH(A4792)</f>
        <v>10</v>
      </c>
      <c r="C4792" s="338">
        <v>115</v>
      </c>
      <c r="D4792" s="340" t="str">
        <f>VLOOKUP(C4792,Plan!A:B,2,0)</f>
        <v>Disponible Cali B.Chile</v>
      </c>
      <c r="E4792" s="341">
        <f>+F4792-G4792</f>
        <v>30000</v>
      </c>
      <c r="F4792" s="346">
        <v>30000</v>
      </c>
      <c r="G4792" s="346">
        <v>0</v>
      </c>
      <c r="H4792" t="s">
        <v>996</v>
      </c>
      <c r="I4792" s="340" t="s">
        <v>131</v>
      </c>
      <c r="K4792" s="370"/>
      <c r="N4792" s="370"/>
    </row>
    <row r="4793" spans="1:14" s="347" customFormat="1" x14ac:dyDescent="0.25">
      <c r="A4793" s="402">
        <f>+A4792</f>
        <v>44473</v>
      </c>
      <c r="B4793" s="403">
        <f>+B4792</f>
        <v>10</v>
      </c>
      <c r="C4793" s="338">
        <v>3210</v>
      </c>
      <c r="D4793" s="340" t="str">
        <f>VLOOKUP(C4793,Plan!A:B,2,0)</f>
        <v>Donacion Construccion</v>
      </c>
      <c r="E4793" s="341">
        <f>+F4793-G4793</f>
        <v>-30000</v>
      </c>
      <c r="F4793" s="346">
        <v>0</v>
      </c>
      <c r="G4793" s="346">
        <f>+F4792</f>
        <v>30000</v>
      </c>
      <c r="H4793" s="338" t="str">
        <f>+H4792</f>
        <v>Patrick Reginald Horn Garcia / Azul</v>
      </c>
      <c r="I4793" s="340" t="s">
        <v>131</v>
      </c>
      <c r="K4793" s="370"/>
      <c r="N4793" s="370"/>
    </row>
    <row r="4794" spans="1:14" s="347" customFormat="1" x14ac:dyDescent="0.25">
      <c r="A4794" s="369"/>
      <c r="E4794" s="396"/>
      <c r="F4794" s="396"/>
      <c r="G4794" s="396"/>
      <c r="K4794" s="370"/>
      <c r="N4794" s="370"/>
    </row>
    <row r="4795" spans="1:14" s="347" customFormat="1" x14ac:dyDescent="0.25">
      <c r="A4795" s="402">
        <v>44473</v>
      </c>
      <c r="B4795" s="403">
        <f>+MONTH(A4795)</f>
        <v>10</v>
      </c>
      <c r="C4795" s="338">
        <v>115</v>
      </c>
      <c r="D4795" s="340" t="str">
        <f>VLOOKUP(C4795,Plan!A:B,2,0)</f>
        <v>Disponible Cali B.Chile</v>
      </c>
      <c r="E4795" s="341">
        <f>+F4795-G4795</f>
        <v>1500</v>
      </c>
      <c r="F4795" s="346">
        <v>1500</v>
      </c>
      <c r="G4795" s="346">
        <v>0</v>
      </c>
      <c r="H4795" t="s">
        <v>1010</v>
      </c>
      <c r="I4795" s="340" t="s">
        <v>131</v>
      </c>
      <c r="K4795" s="370"/>
      <c r="N4795" s="370"/>
    </row>
    <row r="4796" spans="1:14" s="347" customFormat="1" x14ac:dyDescent="0.25">
      <c r="A4796" s="402">
        <f>+A4795</f>
        <v>44473</v>
      </c>
      <c r="B4796" s="403">
        <f>+B4795</f>
        <v>10</v>
      </c>
      <c r="C4796" s="338">
        <v>216</v>
      </c>
      <c r="D4796" s="340" t="str">
        <f>VLOOKUP(C4796,Plan!A:B,2,0)</f>
        <v>Cuenta por Pagar a Administración Colectas</v>
      </c>
      <c r="E4796" s="341">
        <f>+F4796-G4796</f>
        <v>-1500</v>
      </c>
      <c r="F4796" s="346">
        <v>0</v>
      </c>
      <c r="G4796" s="346">
        <f>+F4795</f>
        <v>1500</v>
      </c>
      <c r="H4796" s="338" t="str">
        <f>+H4795</f>
        <v>Colecta Raimundo Barros</v>
      </c>
      <c r="I4796" s="340" t="s">
        <v>131</v>
      </c>
      <c r="K4796" s="370"/>
      <c r="N4796" s="370"/>
    </row>
    <row r="4797" spans="1:14" s="347" customFormat="1" x14ac:dyDescent="0.25">
      <c r="A4797" s="369"/>
      <c r="E4797" s="396"/>
      <c r="F4797" s="396"/>
      <c r="G4797" s="396"/>
      <c r="K4797" s="370"/>
      <c r="N4797" s="370"/>
    </row>
    <row r="4798" spans="1:14" s="347" customFormat="1" x14ac:dyDescent="0.25">
      <c r="A4798" s="402">
        <v>44473</v>
      </c>
      <c r="B4798" s="403">
        <f>+MONTH(A4798)</f>
        <v>10</v>
      </c>
      <c r="C4798" s="338">
        <v>115</v>
      </c>
      <c r="D4798" s="340" t="str">
        <f>VLOOKUP(C4798,Plan!A:B,2,0)</f>
        <v>Disponible Cali B.Chile</v>
      </c>
      <c r="E4798" s="341">
        <f>+F4798-G4798</f>
        <v>45000</v>
      </c>
      <c r="F4798" s="346">
        <v>45000</v>
      </c>
      <c r="G4798" s="346">
        <v>0</v>
      </c>
      <c r="H4798" t="s">
        <v>1011</v>
      </c>
      <c r="I4798" s="340" t="s">
        <v>131</v>
      </c>
      <c r="K4798" s="370"/>
      <c r="N4798" s="370"/>
    </row>
    <row r="4799" spans="1:14" s="347" customFormat="1" x14ac:dyDescent="0.25">
      <c r="A4799" s="402">
        <f>+A4798</f>
        <v>44473</v>
      </c>
      <c r="B4799" s="403">
        <f>+B4798</f>
        <v>10</v>
      </c>
      <c r="C4799" s="338">
        <v>1222</v>
      </c>
      <c r="D4799" s="340" t="str">
        <f>VLOOKUP(C4799,Plan!A:B,2,0)</f>
        <v>Otros Valores -Oficina y Transferencias (249)</v>
      </c>
      <c r="E4799" s="341">
        <f>+F4799-G4799</f>
        <v>-45000</v>
      </c>
      <c r="F4799" s="346">
        <v>0</v>
      </c>
      <c r="G4799" s="346">
        <f>+F4798</f>
        <v>45000</v>
      </c>
      <c r="H4799" s="338" t="str">
        <f>+H4798</f>
        <v>Mauricio Hargous Larraín / 249</v>
      </c>
      <c r="I4799" s="340" t="s">
        <v>131</v>
      </c>
      <c r="K4799" s="370"/>
      <c r="N4799" s="370"/>
    </row>
    <row r="4800" spans="1:14" s="347" customFormat="1" x14ac:dyDescent="0.25">
      <c r="A4800" s="369"/>
      <c r="E4800" s="396"/>
      <c r="F4800" s="396"/>
      <c r="G4800" s="396"/>
      <c r="K4800" s="370"/>
      <c r="N4800" s="370"/>
    </row>
    <row r="4801" spans="1:14" s="347" customFormat="1" x14ac:dyDescent="0.25">
      <c r="A4801" s="402">
        <v>44473</v>
      </c>
      <c r="B4801" s="403">
        <f>+MONTH(A4801)</f>
        <v>10</v>
      </c>
      <c r="C4801" s="338">
        <v>115</v>
      </c>
      <c r="D4801" s="340" t="str">
        <f>VLOOKUP(C4801,Plan!A:B,2,0)</f>
        <v>Disponible Cali B.Chile</v>
      </c>
      <c r="E4801" s="341">
        <f>+F4801-G4801</f>
        <v>50000</v>
      </c>
      <c r="F4801" s="346">
        <v>50000</v>
      </c>
      <c r="G4801" s="346">
        <v>0</v>
      </c>
      <c r="H4801" t="s">
        <v>2161</v>
      </c>
      <c r="I4801" s="340" t="s">
        <v>131</v>
      </c>
      <c r="K4801" s="370"/>
      <c r="N4801" s="370"/>
    </row>
    <row r="4802" spans="1:14" s="347" customFormat="1" x14ac:dyDescent="0.25">
      <c r="A4802" s="402">
        <f>+A4801</f>
        <v>44473</v>
      </c>
      <c r="B4802" s="403">
        <f>+B4801</f>
        <v>10</v>
      </c>
      <c r="C4802" s="338">
        <v>3210</v>
      </c>
      <c r="D4802" s="340" t="str">
        <f>VLOOKUP(C4802,Plan!A:B,2,0)</f>
        <v>Donacion Construccion</v>
      </c>
      <c r="E4802" s="341">
        <f>+F4802-G4802</f>
        <v>-50000</v>
      </c>
      <c r="F4802" s="346">
        <v>0</v>
      </c>
      <c r="G4802" s="346">
        <f>+F4801</f>
        <v>50000</v>
      </c>
      <c r="H4802" s="338" t="str">
        <f>+H4801</f>
        <v>Juan Bautista Duhart Charles / Azul</v>
      </c>
      <c r="I4802" s="340" t="s">
        <v>131</v>
      </c>
      <c r="K4802" s="370"/>
      <c r="N4802" s="370"/>
    </row>
    <row r="4803" spans="1:14" s="347" customFormat="1" x14ac:dyDescent="0.25">
      <c r="A4803" s="369"/>
      <c r="E4803" s="396"/>
      <c r="F4803" s="396"/>
      <c r="G4803" s="396"/>
      <c r="K4803" s="370"/>
      <c r="N4803" s="370"/>
    </row>
    <row r="4804" spans="1:14" s="347" customFormat="1" x14ac:dyDescent="0.25">
      <c r="A4804" s="402">
        <v>44473</v>
      </c>
      <c r="B4804" s="403">
        <f>+MONTH(A4804)</f>
        <v>10</v>
      </c>
      <c r="C4804" s="338">
        <v>115</v>
      </c>
      <c r="D4804" s="340" t="str">
        <f>VLOOKUP(C4804,Plan!A:B,2,0)</f>
        <v>Disponible Cali B.Chile</v>
      </c>
      <c r="E4804" s="341">
        <f>+F4804-G4804</f>
        <v>20000</v>
      </c>
      <c r="F4804" s="346">
        <v>20000</v>
      </c>
      <c r="G4804" s="346">
        <v>0</v>
      </c>
      <c r="H4804" t="s">
        <v>998</v>
      </c>
      <c r="I4804" s="340" t="s">
        <v>131</v>
      </c>
      <c r="K4804" s="370"/>
      <c r="N4804" s="370"/>
    </row>
    <row r="4805" spans="1:14" s="347" customFormat="1" x14ac:dyDescent="0.25">
      <c r="A4805" s="402">
        <f>+A4804</f>
        <v>44473</v>
      </c>
      <c r="B4805" s="403">
        <f>+B4804</f>
        <v>10</v>
      </c>
      <c r="C4805" s="338">
        <v>1222</v>
      </c>
      <c r="D4805" s="340" t="str">
        <f>VLOOKUP(C4805,Plan!A:B,2,0)</f>
        <v>Otros Valores -Oficina y Transferencias (249)</v>
      </c>
      <c r="E4805" s="341">
        <f>+F4805-G4805</f>
        <v>-20000</v>
      </c>
      <c r="F4805" s="346">
        <v>0</v>
      </c>
      <c r="G4805" s="346">
        <f>+F4804</f>
        <v>20000</v>
      </c>
      <c r="H4805" s="338" t="str">
        <f>+H4804</f>
        <v>Fca. Orrego/249</v>
      </c>
      <c r="I4805" s="340" t="s">
        <v>131</v>
      </c>
      <c r="K4805" s="370"/>
      <c r="N4805" s="370"/>
    </row>
    <row r="4806" spans="1:14" s="347" customFormat="1" x14ac:dyDescent="0.25">
      <c r="A4806" s="369"/>
      <c r="E4806" s="396"/>
      <c r="F4806" s="396"/>
      <c r="G4806" s="396"/>
      <c r="K4806" s="370"/>
      <c r="N4806" s="370"/>
    </row>
    <row r="4807" spans="1:14" s="347" customFormat="1" x14ac:dyDescent="0.25">
      <c r="A4807" s="402">
        <v>44473</v>
      </c>
      <c r="B4807" s="403">
        <f>+MONTH(A4807)</f>
        <v>10</v>
      </c>
      <c r="C4807" s="338">
        <v>115</v>
      </c>
      <c r="D4807" s="340" t="str">
        <f>VLOOKUP(C4807,Plan!A:B,2,0)</f>
        <v>Disponible Cali B.Chile</v>
      </c>
      <c r="E4807" s="341">
        <f>+F4807-G4807</f>
        <v>60000</v>
      </c>
      <c r="F4807" s="346">
        <v>60000</v>
      </c>
      <c r="G4807" s="346">
        <v>0</v>
      </c>
      <c r="H4807" t="s">
        <v>992</v>
      </c>
      <c r="I4807" s="340" t="s">
        <v>131</v>
      </c>
      <c r="K4807" s="370"/>
      <c r="N4807" s="370"/>
    </row>
    <row r="4808" spans="1:14" s="347" customFormat="1" x14ac:dyDescent="0.25">
      <c r="A4808" s="402">
        <f>+A4807</f>
        <v>44473</v>
      </c>
      <c r="B4808" s="403">
        <f>+B4807</f>
        <v>10</v>
      </c>
      <c r="C4808" s="338">
        <v>1222</v>
      </c>
      <c r="D4808" s="340" t="str">
        <f>VLOOKUP(C4808,Plan!A:B,2,0)</f>
        <v>Otros Valores -Oficina y Transferencias (249)</v>
      </c>
      <c r="E4808" s="341">
        <f>+F4808-G4808</f>
        <v>-60000</v>
      </c>
      <c r="F4808" s="346">
        <v>0</v>
      </c>
      <c r="G4808" s="346">
        <f>+F4807</f>
        <v>60000</v>
      </c>
      <c r="H4808" s="338" t="str">
        <f>+H4807</f>
        <v>Enrique Brahm García / 249</v>
      </c>
      <c r="I4808" s="340" t="s">
        <v>131</v>
      </c>
      <c r="K4808" s="370"/>
      <c r="N4808" s="370"/>
    </row>
    <row r="4809" spans="1:14" s="347" customFormat="1" x14ac:dyDescent="0.25">
      <c r="A4809" s="369"/>
      <c r="E4809" s="396"/>
      <c r="F4809" s="396"/>
      <c r="G4809" s="396"/>
      <c r="K4809" s="370"/>
      <c r="N4809" s="370"/>
    </row>
    <row r="4810" spans="1:14" s="347" customFormat="1" x14ac:dyDescent="0.25">
      <c r="A4810" s="402">
        <v>44473</v>
      </c>
      <c r="B4810" s="403">
        <f>+MONTH(A4810)</f>
        <v>10</v>
      </c>
      <c r="C4810" s="338">
        <v>115</v>
      </c>
      <c r="D4810" s="340" t="str">
        <f>VLOOKUP(C4810,Plan!A:B,2,0)</f>
        <v>Disponible Cali B.Chile</v>
      </c>
      <c r="E4810" s="341">
        <f>+F4810-G4810</f>
        <v>60000</v>
      </c>
      <c r="F4810" s="346">
        <v>60000</v>
      </c>
      <c r="G4810" s="346">
        <v>0</v>
      </c>
      <c r="H4810" t="s">
        <v>1042</v>
      </c>
      <c r="I4810" s="340" t="s">
        <v>131</v>
      </c>
      <c r="K4810" s="370"/>
      <c r="N4810" s="370"/>
    </row>
    <row r="4811" spans="1:14" s="347" customFormat="1" x14ac:dyDescent="0.25">
      <c r="A4811" s="402">
        <f>+A4810</f>
        <v>44473</v>
      </c>
      <c r="B4811" s="403">
        <f>+B4810</f>
        <v>10</v>
      </c>
      <c r="C4811" s="338">
        <v>1216</v>
      </c>
      <c r="D4811" s="340" t="str">
        <f>VLOOKUP(C4811,Plan!A:B,2,0)</f>
        <v>Otros Valores Recaudadoras</v>
      </c>
      <c r="E4811" s="341">
        <f>+F4811-G4811</f>
        <v>-60000</v>
      </c>
      <c r="F4811" s="346">
        <v>0</v>
      </c>
      <c r="G4811" s="346">
        <f>+F4810</f>
        <v>60000</v>
      </c>
      <c r="H4811" s="338" t="str">
        <f>+H4810</f>
        <v>José Tomás Poblete Jara / 248</v>
      </c>
      <c r="I4811" s="340" t="s">
        <v>131</v>
      </c>
      <c r="K4811" s="370"/>
      <c r="N4811" s="370"/>
    </row>
    <row r="4812" spans="1:14" s="347" customFormat="1" x14ac:dyDescent="0.25">
      <c r="A4812" s="369"/>
      <c r="E4812" s="396"/>
      <c r="F4812" s="396"/>
      <c r="G4812" s="396"/>
      <c r="K4812" s="370"/>
      <c r="N4812" s="370"/>
    </row>
    <row r="4813" spans="1:14" s="347" customFormat="1" x14ac:dyDescent="0.25">
      <c r="A4813" s="402">
        <v>44473</v>
      </c>
      <c r="B4813" s="403">
        <f>+MONTH(A4813)</f>
        <v>10</v>
      </c>
      <c r="C4813" s="338">
        <v>115</v>
      </c>
      <c r="D4813" s="340" t="str">
        <f>VLOOKUP(C4813,Plan!A:B,2,0)</f>
        <v>Disponible Cali B.Chile</v>
      </c>
      <c r="E4813" s="341">
        <f>+F4813-G4813</f>
        <v>200000</v>
      </c>
      <c r="F4813" s="346">
        <v>200000</v>
      </c>
      <c r="G4813" s="346">
        <v>0</v>
      </c>
      <c r="H4813" t="s">
        <v>1021</v>
      </c>
      <c r="I4813" s="340" t="s">
        <v>131</v>
      </c>
      <c r="K4813" s="370"/>
      <c r="N4813" s="370"/>
    </row>
    <row r="4814" spans="1:14" s="347" customFormat="1" x14ac:dyDescent="0.25">
      <c r="A4814" s="402">
        <f>+A4813</f>
        <v>44473</v>
      </c>
      <c r="B4814" s="403">
        <f>+B4813</f>
        <v>10</v>
      </c>
      <c r="C4814" s="338">
        <v>3210</v>
      </c>
      <c r="D4814" s="340" t="str">
        <f>VLOOKUP(C4814,Plan!A:B,2,0)</f>
        <v>Donacion Construccion</v>
      </c>
      <c r="E4814" s="341">
        <f>+F4814-G4814</f>
        <v>-200000</v>
      </c>
      <c r="F4814" s="346">
        <v>0</v>
      </c>
      <c r="G4814" s="346">
        <f>+F4813</f>
        <v>200000</v>
      </c>
      <c r="H4814" s="338" t="str">
        <f>+H4813</f>
        <v>Italo Lubiano Tassara/Azul</v>
      </c>
      <c r="I4814" s="340" t="s">
        <v>131</v>
      </c>
      <c r="K4814" s="370"/>
      <c r="N4814" s="370"/>
    </row>
    <row r="4815" spans="1:14" s="347" customFormat="1" x14ac:dyDescent="0.25">
      <c r="A4815" s="369"/>
      <c r="E4815" s="396"/>
      <c r="F4815" s="396"/>
      <c r="G4815" s="396"/>
      <c r="K4815" s="370"/>
      <c r="N4815" s="370"/>
    </row>
    <row r="4816" spans="1:14" s="347" customFormat="1" x14ac:dyDescent="0.25">
      <c r="A4816" s="402">
        <v>44473</v>
      </c>
      <c r="B4816" s="403">
        <f>+MONTH(A4816)</f>
        <v>10</v>
      </c>
      <c r="C4816" s="338">
        <v>115</v>
      </c>
      <c r="D4816" s="340" t="str">
        <f>VLOOKUP(C4816,Plan!A:B,2,0)</f>
        <v>Disponible Cali B.Chile</v>
      </c>
      <c r="E4816" s="341">
        <f>+F4816-G4816</f>
        <v>60000</v>
      </c>
      <c r="F4816" s="346">
        <v>60000</v>
      </c>
      <c r="G4816" s="346">
        <v>0</v>
      </c>
      <c r="H4816" t="s">
        <v>1724</v>
      </c>
      <c r="I4816" s="340" t="s">
        <v>131</v>
      </c>
      <c r="K4816" s="370"/>
      <c r="N4816" s="370"/>
    </row>
    <row r="4817" spans="1:14" s="347" customFormat="1" x14ac:dyDescent="0.25">
      <c r="A4817" s="402">
        <f>+A4816</f>
        <v>44473</v>
      </c>
      <c r="B4817" s="403">
        <f>+B4816</f>
        <v>10</v>
      </c>
      <c r="C4817" s="338">
        <v>1222</v>
      </c>
      <c r="D4817" s="340" t="str">
        <f>VLOOKUP(C4817,Plan!A:B,2,0)</f>
        <v>Otros Valores -Oficina y Transferencias (249)</v>
      </c>
      <c r="E4817" s="341">
        <f>+F4817-G4817</f>
        <v>-60000</v>
      </c>
      <c r="F4817" s="346">
        <v>0</v>
      </c>
      <c r="G4817" s="346">
        <f>+F4816</f>
        <v>60000</v>
      </c>
      <c r="H4817" s="338" t="str">
        <f>+H4816</f>
        <v>Patricio Oelckers Álvarez / 249</v>
      </c>
      <c r="I4817" s="340" t="s">
        <v>131</v>
      </c>
      <c r="K4817" s="370"/>
      <c r="N4817" s="370"/>
    </row>
    <row r="4818" spans="1:14" s="347" customFormat="1" x14ac:dyDescent="0.25">
      <c r="A4818" s="369"/>
      <c r="E4818" s="396"/>
      <c r="F4818" s="396"/>
      <c r="G4818" s="396"/>
      <c r="K4818" s="370"/>
      <c r="N4818" s="370"/>
    </row>
    <row r="4819" spans="1:14" s="347" customFormat="1" x14ac:dyDescent="0.25">
      <c r="A4819" s="402">
        <v>44473</v>
      </c>
      <c r="B4819" s="403">
        <f>+MONTH(A4819)</f>
        <v>10</v>
      </c>
      <c r="C4819" s="338">
        <v>115</v>
      </c>
      <c r="D4819" s="340" t="str">
        <f>VLOOKUP(C4819,Plan!A:B,2,0)</f>
        <v>Disponible Cali B.Chile</v>
      </c>
      <c r="E4819" s="341">
        <f>+F4819-G4819</f>
        <v>12000</v>
      </c>
      <c r="F4819" s="346">
        <v>12000</v>
      </c>
      <c r="G4819" s="346">
        <v>0</v>
      </c>
      <c r="H4819" t="s">
        <v>1673</v>
      </c>
      <c r="I4819" s="340" t="s">
        <v>131</v>
      </c>
      <c r="K4819" s="370"/>
      <c r="N4819" s="370"/>
    </row>
    <row r="4820" spans="1:14" s="347" customFormat="1" x14ac:dyDescent="0.25">
      <c r="A4820" s="402">
        <f>+A4819</f>
        <v>44473</v>
      </c>
      <c r="B4820" s="403">
        <f>+B4819</f>
        <v>10</v>
      </c>
      <c r="C4820" s="338">
        <v>1222</v>
      </c>
      <c r="D4820" s="340" t="str">
        <f>VLOOKUP(C4820,Plan!A:B,2,0)</f>
        <v>Otros Valores -Oficina y Transferencias (249)</v>
      </c>
      <c r="E4820" s="341">
        <f>+F4820-G4820</f>
        <v>-12000</v>
      </c>
      <c r="F4820" s="346">
        <v>0</v>
      </c>
      <c r="G4820" s="346">
        <f>+F4819</f>
        <v>12000</v>
      </c>
      <c r="H4820" s="338" t="str">
        <f>+H4819</f>
        <v xml:space="preserve">Martín Fuenzalida Izquierdo / 249 </v>
      </c>
      <c r="I4820" s="340" t="s">
        <v>131</v>
      </c>
      <c r="K4820" s="370"/>
      <c r="N4820" s="370"/>
    </row>
    <row r="4821" spans="1:14" s="347" customFormat="1" x14ac:dyDescent="0.25">
      <c r="A4821" s="369"/>
      <c r="E4821" s="396"/>
      <c r="F4821" s="396"/>
      <c r="G4821" s="396"/>
      <c r="K4821" s="370"/>
      <c r="N4821" s="370"/>
    </row>
    <row r="4822" spans="1:14" s="347" customFormat="1" x14ac:dyDescent="0.25">
      <c r="A4822" s="402">
        <v>44473</v>
      </c>
      <c r="B4822" s="403">
        <f>+MONTH(A4822)</f>
        <v>10</v>
      </c>
      <c r="C4822" s="338">
        <v>115</v>
      </c>
      <c r="D4822" s="340" t="str">
        <f>VLOOKUP(C4822,Plan!A:B,2,0)</f>
        <v>Disponible Cali B.Chile</v>
      </c>
      <c r="E4822" s="341">
        <f>+F4822-G4822</f>
        <v>35000</v>
      </c>
      <c r="F4822" s="346">
        <v>35000</v>
      </c>
      <c r="G4822" s="346">
        <v>0</v>
      </c>
      <c r="H4822" t="s">
        <v>2162</v>
      </c>
      <c r="I4822" s="340" t="s">
        <v>131</v>
      </c>
      <c r="K4822" s="370"/>
      <c r="N4822" s="370"/>
    </row>
    <row r="4823" spans="1:14" s="347" customFormat="1" x14ac:dyDescent="0.25">
      <c r="A4823" s="402">
        <f>+A4822</f>
        <v>44473</v>
      </c>
      <c r="B4823" s="403">
        <f>+B4822</f>
        <v>10</v>
      </c>
      <c r="C4823" s="338">
        <v>1222</v>
      </c>
      <c r="D4823" s="340" t="str">
        <f>VLOOKUP(C4823,Plan!A:B,2,0)</f>
        <v>Otros Valores -Oficina y Transferencias (249)</v>
      </c>
      <c r="E4823" s="341">
        <f>+F4823-G4823</f>
        <v>-35000</v>
      </c>
      <c r="F4823" s="346">
        <v>0</v>
      </c>
      <c r="G4823" s="346">
        <f>+F4822</f>
        <v>35000</v>
      </c>
      <c r="H4823" s="338" t="str">
        <f>+H4822</f>
        <v>Carolina Guridi Gubbins / 249</v>
      </c>
      <c r="I4823" s="340" t="s">
        <v>131</v>
      </c>
      <c r="K4823" s="370"/>
      <c r="N4823" s="370"/>
    </row>
    <row r="4824" spans="1:14" s="347" customFormat="1" x14ac:dyDescent="0.25">
      <c r="A4824" s="369"/>
      <c r="E4824" s="396"/>
      <c r="F4824" s="396"/>
      <c r="G4824" s="396"/>
      <c r="K4824" s="370"/>
      <c r="N4824" s="370"/>
    </row>
    <row r="4825" spans="1:14" s="347" customFormat="1" x14ac:dyDescent="0.25">
      <c r="A4825" s="402">
        <v>44473</v>
      </c>
      <c r="B4825" s="403">
        <f>+MONTH(A4825)</f>
        <v>10</v>
      </c>
      <c r="C4825" s="338">
        <v>115</v>
      </c>
      <c r="D4825" s="340" t="str">
        <f>VLOOKUP(C4825,Plan!A:B,2,0)</f>
        <v>Disponible Cali B.Chile</v>
      </c>
      <c r="E4825" s="341">
        <f>+F4825-G4825</f>
        <v>150000</v>
      </c>
      <c r="F4825" s="346">
        <v>150000</v>
      </c>
      <c r="G4825" s="346">
        <v>0</v>
      </c>
      <c r="H4825" t="s">
        <v>1002</v>
      </c>
      <c r="I4825" s="340" t="s">
        <v>131</v>
      </c>
      <c r="K4825" s="370"/>
      <c r="N4825" s="370"/>
    </row>
    <row r="4826" spans="1:14" s="347" customFormat="1" x14ac:dyDescent="0.25">
      <c r="A4826" s="402">
        <f>+A4825</f>
        <v>44473</v>
      </c>
      <c r="B4826" s="403">
        <f>+B4825</f>
        <v>10</v>
      </c>
      <c r="C4826" s="338">
        <v>1222</v>
      </c>
      <c r="D4826" s="340" t="str">
        <f>VLOOKUP(C4826,Plan!A:B,2,0)</f>
        <v>Otros Valores -Oficina y Transferencias (249)</v>
      </c>
      <c r="E4826" s="341">
        <f>+F4826-G4826</f>
        <v>-150000</v>
      </c>
      <c r="F4826" s="346">
        <v>0</v>
      </c>
      <c r="G4826" s="346">
        <f>+F4825</f>
        <v>150000</v>
      </c>
      <c r="H4826" s="338" t="str">
        <f>+H4825</f>
        <v>José Miguel Ureta Cardoen / 249</v>
      </c>
      <c r="I4826" s="340" t="s">
        <v>131</v>
      </c>
      <c r="K4826" s="370"/>
      <c r="N4826" s="370"/>
    </row>
    <row r="4827" spans="1:14" s="347" customFormat="1" x14ac:dyDescent="0.25">
      <c r="A4827" s="369"/>
      <c r="E4827" s="396"/>
      <c r="F4827" s="396"/>
      <c r="G4827" s="396"/>
      <c r="K4827" s="370"/>
      <c r="N4827" s="370"/>
    </row>
    <row r="4828" spans="1:14" s="347" customFormat="1" x14ac:dyDescent="0.25">
      <c r="A4828" s="402">
        <v>44473</v>
      </c>
      <c r="B4828" s="403">
        <f>+MONTH(A4828)</f>
        <v>10</v>
      </c>
      <c r="C4828" s="338">
        <v>115</v>
      </c>
      <c r="D4828" s="340" t="str">
        <f>VLOOKUP(C4828,Plan!A:B,2,0)</f>
        <v>Disponible Cali B.Chile</v>
      </c>
      <c r="E4828" s="341">
        <f>+F4828-G4828</f>
        <v>70000</v>
      </c>
      <c r="F4828" s="346">
        <v>70000</v>
      </c>
      <c r="G4828" s="346">
        <v>0</v>
      </c>
      <c r="H4828" t="s">
        <v>997</v>
      </c>
      <c r="I4828" s="340" t="s">
        <v>131</v>
      </c>
      <c r="K4828" s="370"/>
      <c r="N4828" s="370"/>
    </row>
    <row r="4829" spans="1:14" s="347" customFormat="1" x14ac:dyDescent="0.25">
      <c r="A4829" s="402">
        <f>+A4828</f>
        <v>44473</v>
      </c>
      <c r="B4829" s="403">
        <f>+B4828</f>
        <v>10</v>
      </c>
      <c r="C4829" s="338">
        <v>1222</v>
      </c>
      <c r="D4829" s="340" t="str">
        <f>VLOOKUP(C4829,Plan!A:B,2,0)</f>
        <v>Otros Valores -Oficina y Transferencias (249)</v>
      </c>
      <c r="E4829" s="341">
        <f>+F4829-G4829</f>
        <v>-70000</v>
      </c>
      <c r="F4829" s="346">
        <v>0</v>
      </c>
      <c r="G4829" s="346">
        <f>+F4828</f>
        <v>70000</v>
      </c>
      <c r="H4829" s="338" t="str">
        <f>+H4828</f>
        <v>Alberto Altermatt C. / 249</v>
      </c>
      <c r="I4829" s="340" t="s">
        <v>131</v>
      </c>
      <c r="K4829" s="370"/>
      <c r="N4829" s="370"/>
    </row>
    <row r="4830" spans="1:14" s="347" customFormat="1" x14ac:dyDescent="0.25">
      <c r="A4830" s="369"/>
      <c r="E4830" s="396"/>
      <c r="F4830" s="396"/>
      <c r="G4830" s="396"/>
      <c r="K4830" s="370"/>
      <c r="N4830" s="370"/>
    </row>
    <row r="4831" spans="1:14" s="347" customFormat="1" x14ac:dyDescent="0.25">
      <c r="A4831" s="402">
        <v>44473</v>
      </c>
      <c r="B4831" s="403">
        <f>+MONTH(A4831)</f>
        <v>10</v>
      </c>
      <c r="C4831" s="338">
        <v>115</v>
      </c>
      <c r="D4831" s="340" t="str">
        <f>VLOOKUP(C4831,Plan!A:B,2,0)</f>
        <v>Disponible Cali B.Chile</v>
      </c>
      <c r="E4831" s="341">
        <f>+F4831-G4831</f>
        <v>57994</v>
      </c>
      <c r="F4831" s="346">
        <v>57994</v>
      </c>
      <c r="G4831" s="346">
        <v>0</v>
      </c>
      <c r="H4831" t="s">
        <v>2163</v>
      </c>
      <c r="I4831" s="340" t="s">
        <v>131</v>
      </c>
      <c r="K4831" s="370"/>
      <c r="N4831" s="370"/>
    </row>
    <row r="4832" spans="1:14" s="347" customFormat="1" x14ac:dyDescent="0.25">
      <c r="A4832" s="402">
        <f>+A4831</f>
        <v>44473</v>
      </c>
      <c r="B4832" s="403">
        <f>+B4831</f>
        <v>10</v>
      </c>
      <c r="C4832" s="338">
        <v>3210</v>
      </c>
      <c r="D4832" s="340" t="str">
        <f>VLOOKUP(C4832,Plan!A:B,2,0)</f>
        <v>Donacion Construccion</v>
      </c>
      <c r="E4832" s="341">
        <f>+F4832-G4832</f>
        <v>-57994</v>
      </c>
      <c r="F4832" s="346">
        <v>0</v>
      </c>
      <c r="G4832" s="346">
        <f>+F4831</f>
        <v>57994</v>
      </c>
      <c r="H4832" s="338" t="str">
        <f>+H4831</f>
        <v>T/C Azules Septiembre 2021</v>
      </c>
      <c r="I4832" s="340" t="s">
        <v>131</v>
      </c>
      <c r="K4832" s="370"/>
      <c r="N4832" s="370"/>
    </row>
    <row r="4833" spans="1:14" s="347" customFormat="1" x14ac:dyDescent="0.25">
      <c r="A4833" s="369"/>
      <c r="E4833" s="396"/>
      <c r="F4833" s="396"/>
      <c r="G4833" s="396"/>
      <c r="K4833" s="370"/>
      <c r="N4833" s="370"/>
    </row>
    <row r="4834" spans="1:14" s="347" customFormat="1" x14ac:dyDescent="0.25">
      <c r="A4834" s="402">
        <v>44473</v>
      </c>
      <c r="B4834" s="403">
        <f>+MONTH(A4834)</f>
        <v>10</v>
      </c>
      <c r="C4834" s="338">
        <v>115</v>
      </c>
      <c r="D4834" s="340" t="str">
        <f>VLOOKUP(C4834,Plan!A:B,2,0)</f>
        <v>Disponible Cali B.Chile</v>
      </c>
      <c r="E4834" s="341">
        <f>+F4834-G4834</f>
        <v>25000</v>
      </c>
      <c r="F4834" s="346">
        <v>25000</v>
      </c>
      <c r="G4834" s="346">
        <v>0</v>
      </c>
      <c r="H4834" t="s">
        <v>2164</v>
      </c>
      <c r="I4834" s="340" t="s">
        <v>131</v>
      </c>
      <c r="K4834" s="370"/>
      <c r="N4834" s="370"/>
    </row>
    <row r="4835" spans="1:14" s="347" customFormat="1" x14ac:dyDescent="0.25">
      <c r="A4835" s="402">
        <f>+A4834</f>
        <v>44473</v>
      </c>
      <c r="B4835" s="403">
        <f>+B4834</f>
        <v>10</v>
      </c>
      <c r="C4835" s="338">
        <v>1130</v>
      </c>
      <c r="D4835" s="340" t="str">
        <f>VLOOKUP(C4835,Plan!A:B,2,0)</f>
        <v>Disponible Ch. Fecha</v>
      </c>
      <c r="E4835" s="341">
        <f>+F4835-G4835</f>
        <v>-25000</v>
      </c>
      <c r="F4835" s="346">
        <v>0</v>
      </c>
      <c r="G4835" s="346">
        <f>+F4834</f>
        <v>25000</v>
      </c>
      <c r="H4835" s="338" t="str">
        <f>+H4834</f>
        <v>Rec. Sept. (ch/f)</v>
      </c>
      <c r="I4835" s="340" t="s">
        <v>131</v>
      </c>
      <c r="K4835" s="370"/>
      <c r="N4835" s="370"/>
    </row>
    <row r="4836" spans="1:14" s="347" customFormat="1" x14ac:dyDescent="0.25">
      <c r="A4836" s="369"/>
      <c r="E4836" s="396"/>
      <c r="F4836" s="396"/>
      <c r="G4836" s="396"/>
      <c r="K4836" s="370"/>
      <c r="N4836" s="370"/>
    </row>
    <row r="4837" spans="1:14" s="347" customFormat="1" x14ac:dyDescent="0.25">
      <c r="A4837" s="402">
        <v>44473</v>
      </c>
      <c r="B4837" s="403">
        <f>+MONTH(A4837)</f>
        <v>10</v>
      </c>
      <c r="C4837" s="338">
        <v>115</v>
      </c>
      <c r="D4837" s="340" t="str">
        <f>VLOOKUP(C4837,Plan!A:B,2,0)</f>
        <v>Disponible Cali B.Chile</v>
      </c>
      <c r="E4837" s="341">
        <f>+F4837-G4837</f>
        <v>60000</v>
      </c>
      <c r="F4837" s="346">
        <v>60000</v>
      </c>
      <c r="G4837" s="346">
        <v>0</v>
      </c>
      <c r="H4837" t="s">
        <v>2164</v>
      </c>
      <c r="I4837" s="340" t="s">
        <v>131</v>
      </c>
      <c r="K4837" s="370"/>
      <c r="N4837" s="370"/>
    </row>
    <row r="4838" spans="1:14" s="347" customFormat="1" x14ac:dyDescent="0.25">
      <c r="A4838" s="402">
        <f>+A4837</f>
        <v>44473</v>
      </c>
      <c r="B4838" s="403">
        <f>+B4837</f>
        <v>10</v>
      </c>
      <c r="C4838" s="338">
        <v>1130</v>
      </c>
      <c r="D4838" s="340" t="str">
        <f>VLOOKUP(C4838,Plan!A:B,2,0)</f>
        <v>Disponible Ch. Fecha</v>
      </c>
      <c r="E4838" s="341">
        <f>+F4838-G4838</f>
        <v>-60000</v>
      </c>
      <c r="F4838" s="346">
        <v>0</v>
      </c>
      <c r="G4838" s="346">
        <f>+F4837</f>
        <v>60000</v>
      </c>
      <c r="H4838" s="338" t="str">
        <f>+H4837</f>
        <v>Rec. Sept. (ch/f)</v>
      </c>
      <c r="I4838" s="340" t="s">
        <v>131</v>
      </c>
      <c r="K4838" s="370"/>
      <c r="N4838" s="370"/>
    </row>
    <row r="4839" spans="1:14" s="347" customFormat="1" x14ac:dyDescent="0.25">
      <c r="A4839" s="369"/>
      <c r="E4839" s="396"/>
      <c r="F4839" s="396"/>
      <c r="G4839" s="396"/>
      <c r="K4839" s="370"/>
      <c r="N4839" s="370"/>
    </row>
    <row r="4840" spans="1:14" s="347" customFormat="1" x14ac:dyDescent="0.25">
      <c r="A4840" s="402">
        <v>44473</v>
      </c>
      <c r="B4840" s="403">
        <f>+MONTH(A4840)</f>
        <v>10</v>
      </c>
      <c r="C4840" s="338">
        <v>115</v>
      </c>
      <c r="D4840" s="340" t="str">
        <f>VLOOKUP(C4840,Plan!A:B,2,0)</f>
        <v>Disponible Cali B.Chile</v>
      </c>
      <c r="E4840" s="341">
        <f>+F4840-G4840</f>
        <v>30000</v>
      </c>
      <c r="F4840" s="346">
        <v>30000</v>
      </c>
      <c r="G4840" s="346">
        <v>0</v>
      </c>
      <c r="H4840" t="s">
        <v>2164</v>
      </c>
      <c r="I4840" s="340" t="s">
        <v>131</v>
      </c>
      <c r="K4840" s="370"/>
      <c r="N4840" s="370"/>
    </row>
    <row r="4841" spans="1:14" s="347" customFormat="1" x14ac:dyDescent="0.25">
      <c r="A4841" s="402">
        <f>+A4840</f>
        <v>44473</v>
      </c>
      <c r="B4841" s="403">
        <f>+B4840</f>
        <v>10</v>
      </c>
      <c r="C4841" s="338">
        <v>1130</v>
      </c>
      <c r="D4841" s="340" t="str">
        <f>VLOOKUP(C4841,Plan!A:B,2,0)</f>
        <v>Disponible Ch. Fecha</v>
      </c>
      <c r="E4841" s="341">
        <f>+F4841-G4841</f>
        <v>-30000</v>
      </c>
      <c r="F4841" s="346">
        <v>0</v>
      </c>
      <c r="G4841" s="346">
        <f>+F4840</f>
        <v>30000</v>
      </c>
      <c r="H4841" s="338" t="str">
        <f>+H4840</f>
        <v>Rec. Sept. (ch/f)</v>
      </c>
      <c r="I4841" s="340" t="s">
        <v>131</v>
      </c>
      <c r="K4841" s="370"/>
      <c r="N4841" s="370"/>
    </row>
    <row r="4842" spans="1:14" s="347" customFormat="1" x14ac:dyDescent="0.25">
      <c r="A4842" s="369"/>
      <c r="E4842" s="396"/>
      <c r="F4842" s="396"/>
      <c r="G4842" s="396"/>
      <c r="K4842" s="370"/>
      <c r="N4842" s="370"/>
    </row>
    <row r="4843" spans="1:14" s="347" customFormat="1" x14ac:dyDescent="0.25">
      <c r="A4843" s="402">
        <v>44473</v>
      </c>
      <c r="B4843" s="403">
        <f>+MONTH(A4843)</f>
        <v>10</v>
      </c>
      <c r="C4843" s="338">
        <v>115</v>
      </c>
      <c r="D4843" s="340" t="str">
        <f>VLOOKUP(C4843,Plan!A:B,2,0)</f>
        <v>Disponible Cali B.Chile</v>
      </c>
      <c r="E4843" s="341">
        <f>+F4843-G4843</f>
        <v>20000</v>
      </c>
      <c r="F4843" s="346">
        <v>20000</v>
      </c>
      <c r="G4843" s="346">
        <v>0</v>
      </c>
      <c r="H4843" t="s">
        <v>2164</v>
      </c>
      <c r="I4843" s="340" t="s">
        <v>131</v>
      </c>
      <c r="K4843" s="370"/>
      <c r="N4843" s="370"/>
    </row>
    <row r="4844" spans="1:14" s="347" customFormat="1" x14ac:dyDescent="0.25">
      <c r="A4844" s="402">
        <f>+A4843</f>
        <v>44473</v>
      </c>
      <c r="B4844" s="403">
        <f>+B4843</f>
        <v>10</v>
      </c>
      <c r="C4844" s="338">
        <v>1130</v>
      </c>
      <c r="D4844" s="340" t="str">
        <f>VLOOKUP(C4844,Plan!A:B,2,0)</f>
        <v>Disponible Ch. Fecha</v>
      </c>
      <c r="E4844" s="341">
        <f>+F4844-G4844</f>
        <v>-20000</v>
      </c>
      <c r="F4844" s="346">
        <v>0</v>
      </c>
      <c r="G4844" s="346">
        <f>+F4843</f>
        <v>20000</v>
      </c>
      <c r="H4844" s="338" t="str">
        <f>+H4843</f>
        <v>Rec. Sept. (ch/f)</v>
      </c>
      <c r="I4844" s="340" t="s">
        <v>131</v>
      </c>
      <c r="K4844" s="370"/>
      <c r="N4844" s="370"/>
    </row>
    <row r="4845" spans="1:14" s="347" customFormat="1" x14ac:dyDescent="0.25">
      <c r="A4845" s="369"/>
      <c r="E4845" s="396"/>
      <c r="F4845" s="396"/>
      <c r="G4845" s="396"/>
      <c r="K4845" s="370"/>
      <c r="N4845" s="370"/>
    </row>
    <row r="4846" spans="1:14" s="347" customFormat="1" x14ac:dyDescent="0.25">
      <c r="A4846" s="402">
        <v>44473</v>
      </c>
      <c r="B4846" s="403">
        <f>+MONTH(A4846)</f>
        <v>10</v>
      </c>
      <c r="C4846" s="338">
        <v>115</v>
      </c>
      <c r="D4846" s="340" t="str">
        <f>VLOOKUP(C4846,Plan!A:B,2,0)</f>
        <v>Disponible Cali B.Chile</v>
      </c>
      <c r="E4846" s="341">
        <f>+F4846-G4846</f>
        <v>200000</v>
      </c>
      <c r="F4846" s="346">
        <v>200000</v>
      </c>
      <c r="G4846" s="346">
        <v>0</v>
      </c>
      <c r="H4846" t="s">
        <v>1052</v>
      </c>
      <c r="I4846" s="340" t="s">
        <v>131</v>
      </c>
      <c r="K4846" s="370"/>
      <c r="N4846" s="370"/>
    </row>
    <row r="4847" spans="1:14" s="347" customFormat="1" x14ac:dyDescent="0.25">
      <c r="A4847" s="402">
        <f>+A4846</f>
        <v>44473</v>
      </c>
      <c r="B4847" s="403">
        <f>+B4846</f>
        <v>10</v>
      </c>
      <c r="C4847" s="338">
        <v>3210</v>
      </c>
      <c r="D4847" s="340" t="str">
        <f>VLOOKUP(C4847,Plan!A:B,2,0)</f>
        <v>Donacion Construccion</v>
      </c>
      <c r="E4847" s="341">
        <f>+F4847-G4847</f>
        <v>-200000</v>
      </c>
      <c r="F4847" s="346">
        <v>0</v>
      </c>
      <c r="G4847" s="346">
        <f>+F4846</f>
        <v>200000</v>
      </c>
      <c r="H4847" s="338" t="str">
        <f>+H4846</f>
        <v>Jorge Hernán Rodríguez Wilson/Azul</v>
      </c>
      <c r="I4847" s="340" t="s">
        <v>131</v>
      </c>
      <c r="K4847" s="370"/>
      <c r="N4847" s="370"/>
    </row>
    <row r="4848" spans="1:14" s="347" customFormat="1" x14ac:dyDescent="0.25">
      <c r="A4848" s="369"/>
      <c r="E4848" s="396"/>
      <c r="F4848" s="396"/>
      <c r="G4848" s="396"/>
      <c r="K4848" s="370"/>
      <c r="N4848" s="370"/>
    </row>
    <row r="4849" spans="1:14" s="347" customFormat="1" x14ac:dyDescent="0.25">
      <c r="A4849" s="402">
        <v>44473</v>
      </c>
      <c r="B4849" s="403">
        <f>+MONTH(A4849)</f>
        <v>10</v>
      </c>
      <c r="C4849" s="338">
        <v>115</v>
      </c>
      <c r="D4849" s="340" t="str">
        <f>VLOOKUP(C4849,Plan!A:B,2,0)</f>
        <v>Disponible Cali B.Chile</v>
      </c>
      <c r="E4849" s="341">
        <f>+F4849-G4849</f>
        <v>100000</v>
      </c>
      <c r="F4849" s="346">
        <v>100000</v>
      </c>
      <c r="G4849" s="346">
        <v>0</v>
      </c>
      <c r="H4849" t="s">
        <v>1726</v>
      </c>
      <c r="I4849" s="340" t="s">
        <v>131</v>
      </c>
      <c r="K4849" s="370"/>
      <c r="N4849" s="370"/>
    </row>
    <row r="4850" spans="1:14" s="347" customFormat="1" x14ac:dyDescent="0.25">
      <c r="A4850" s="402">
        <f>+A4849</f>
        <v>44473</v>
      </c>
      <c r="B4850" s="403">
        <f>+B4849</f>
        <v>10</v>
      </c>
      <c r="C4850" s="338">
        <v>3210</v>
      </c>
      <c r="D4850" s="340" t="str">
        <f>VLOOKUP(C4850,Plan!A:B,2,0)</f>
        <v>Donacion Construccion</v>
      </c>
      <c r="E4850" s="341">
        <f>+F4850-G4850</f>
        <v>-100000</v>
      </c>
      <c r="F4850" s="346">
        <v>0</v>
      </c>
      <c r="G4850" s="346">
        <f>+F4849</f>
        <v>100000</v>
      </c>
      <c r="H4850" s="338" t="str">
        <f>+H4849</f>
        <v>Juan Carlos Latorre Díaz / Azul</v>
      </c>
      <c r="I4850" s="340" t="s">
        <v>131</v>
      </c>
      <c r="K4850" s="370"/>
      <c r="N4850" s="370"/>
    </row>
    <row r="4851" spans="1:14" s="347" customFormat="1" x14ac:dyDescent="0.25">
      <c r="A4851" s="369"/>
      <c r="E4851" s="396"/>
      <c r="F4851" s="396"/>
      <c r="G4851" s="396"/>
      <c r="K4851" s="370"/>
      <c r="N4851" s="370"/>
    </row>
    <row r="4852" spans="1:14" s="347" customFormat="1" x14ac:dyDescent="0.25">
      <c r="A4852" s="402">
        <v>44474</v>
      </c>
      <c r="B4852" s="403">
        <f>+MONTH(A4852)</f>
        <v>10</v>
      </c>
      <c r="C4852" s="338">
        <v>115</v>
      </c>
      <c r="D4852" s="340" t="str">
        <f>VLOOKUP(C4852,Plan!A:B,2,0)</f>
        <v>Disponible Cali B.Chile</v>
      </c>
      <c r="E4852" s="341">
        <f>+F4852-G4852</f>
        <v>50000</v>
      </c>
      <c r="F4852" s="346">
        <v>50000</v>
      </c>
      <c r="G4852" s="346">
        <v>0</v>
      </c>
      <c r="H4852" t="s">
        <v>995</v>
      </c>
      <c r="I4852" s="340" t="s">
        <v>131</v>
      </c>
      <c r="K4852" s="370"/>
      <c r="N4852" s="370"/>
    </row>
    <row r="4853" spans="1:14" s="347" customFormat="1" x14ac:dyDescent="0.25">
      <c r="A4853" s="402">
        <f>+A4852</f>
        <v>44474</v>
      </c>
      <c r="B4853" s="403">
        <f>+B4852</f>
        <v>10</v>
      </c>
      <c r="C4853" s="338">
        <v>1222</v>
      </c>
      <c r="D4853" s="340" t="str">
        <f>VLOOKUP(C4853,Plan!A:B,2,0)</f>
        <v>Otros Valores -Oficina y Transferencias (249)</v>
      </c>
      <c r="E4853" s="341">
        <f>+F4853-G4853</f>
        <v>-50000</v>
      </c>
      <c r="F4853" s="346">
        <v>0</v>
      </c>
      <c r="G4853" s="346">
        <f>+F4852</f>
        <v>50000</v>
      </c>
      <c r="H4853" s="338" t="str">
        <f>+H4852</f>
        <v>Francisco Salazar González / 249</v>
      </c>
      <c r="I4853" s="340" t="s">
        <v>131</v>
      </c>
      <c r="K4853" s="370"/>
      <c r="N4853" s="370"/>
    </row>
    <row r="4854" spans="1:14" s="347" customFormat="1" x14ac:dyDescent="0.25">
      <c r="K4854" s="370"/>
      <c r="N4854" s="370"/>
    </row>
    <row r="4855" spans="1:14" s="347" customFormat="1" x14ac:dyDescent="0.25">
      <c r="A4855" s="402">
        <v>44474</v>
      </c>
      <c r="B4855" s="403">
        <f>+MONTH(A4855)</f>
        <v>10</v>
      </c>
      <c r="C4855" s="338">
        <v>115</v>
      </c>
      <c r="D4855" s="340" t="str">
        <f>VLOOKUP(C4855,Plan!A:B,2,0)</f>
        <v>Disponible Cali B.Chile</v>
      </c>
      <c r="E4855" s="341">
        <f>+F4855-G4855</f>
        <v>30000</v>
      </c>
      <c r="F4855" s="346">
        <v>30000</v>
      </c>
      <c r="G4855" s="346">
        <v>0</v>
      </c>
      <c r="H4855" t="s">
        <v>1012</v>
      </c>
      <c r="I4855" s="340" t="s">
        <v>131</v>
      </c>
      <c r="K4855" s="370"/>
      <c r="N4855" s="370"/>
    </row>
    <row r="4856" spans="1:14" s="347" customFormat="1" x14ac:dyDescent="0.25">
      <c r="A4856" s="402">
        <f>+A4855</f>
        <v>44474</v>
      </c>
      <c r="B4856" s="403">
        <f>+B4855</f>
        <v>10</v>
      </c>
      <c r="C4856" s="338">
        <v>1222</v>
      </c>
      <c r="D4856" s="340" t="str">
        <f>VLOOKUP(C4856,Plan!A:B,2,0)</f>
        <v>Otros Valores -Oficina y Transferencias (249)</v>
      </c>
      <c r="E4856" s="341">
        <f>+F4856-G4856</f>
        <v>-30000</v>
      </c>
      <c r="F4856" s="346">
        <v>0</v>
      </c>
      <c r="G4856" s="346">
        <f>+F4855</f>
        <v>30000</v>
      </c>
      <c r="H4856" s="338" t="str">
        <f>+H4855</f>
        <v>María Luz Parodi Gil / 249</v>
      </c>
      <c r="I4856" s="340" t="s">
        <v>131</v>
      </c>
      <c r="K4856" s="370"/>
      <c r="N4856" s="370"/>
    </row>
    <row r="4857" spans="1:14" s="347" customFormat="1" x14ac:dyDescent="0.25">
      <c r="A4857" s="369"/>
      <c r="E4857" s="396"/>
      <c r="F4857" s="396"/>
      <c r="G4857" s="396"/>
      <c r="K4857" s="370"/>
      <c r="N4857" s="370"/>
    </row>
    <row r="4858" spans="1:14" s="347" customFormat="1" x14ac:dyDescent="0.25">
      <c r="A4858" s="402">
        <v>44474</v>
      </c>
      <c r="B4858" s="403">
        <f>+MONTH(A4858)</f>
        <v>10</v>
      </c>
      <c r="C4858" s="338">
        <v>115</v>
      </c>
      <c r="D4858" s="340" t="str">
        <f>VLOOKUP(C4858,Plan!A:B,2,0)</f>
        <v>Disponible Cali B.Chile</v>
      </c>
      <c r="E4858" s="341">
        <f>+F4858-G4858</f>
        <v>15000</v>
      </c>
      <c r="F4858" s="346">
        <v>15000</v>
      </c>
      <c r="G4858" s="346">
        <v>0</v>
      </c>
      <c r="H4858" t="s">
        <v>1099</v>
      </c>
      <c r="I4858" s="340" t="s">
        <v>131</v>
      </c>
      <c r="K4858" s="370"/>
      <c r="N4858" s="370"/>
    </row>
    <row r="4859" spans="1:14" s="347" customFormat="1" x14ac:dyDescent="0.25">
      <c r="A4859" s="402">
        <f>+A4858</f>
        <v>44474</v>
      </c>
      <c r="B4859" s="403">
        <f>+B4858</f>
        <v>10</v>
      </c>
      <c r="C4859" s="338">
        <v>1222</v>
      </c>
      <c r="D4859" s="340" t="str">
        <f>VLOOKUP(C4859,Plan!A:B,2,0)</f>
        <v>Otros Valores -Oficina y Transferencias (249)</v>
      </c>
      <c r="E4859" s="341">
        <f>+F4859-G4859</f>
        <v>-15000</v>
      </c>
      <c r="F4859" s="346">
        <v>0</v>
      </c>
      <c r="G4859" s="346">
        <f>+F4858</f>
        <v>15000</v>
      </c>
      <c r="H4859" s="338" t="str">
        <f>+H4858</f>
        <v>María Consuelo Fuenzalida Walker/249</v>
      </c>
      <c r="I4859" s="340" t="s">
        <v>131</v>
      </c>
      <c r="K4859" s="370"/>
      <c r="N4859" s="370"/>
    </row>
    <row r="4860" spans="1:14" s="347" customFormat="1" x14ac:dyDescent="0.25">
      <c r="A4860" s="369"/>
      <c r="E4860" s="396"/>
      <c r="F4860" s="396"/>
      <c r="G4860" s="396"/>
      <c r="K4860" s="370"/>
      <c r="N4860" s="370"/>
    </row>
    <row r="4861" spans="1:14" s="347" customFormat="1" x14ac:dyDescent="0.25">
      <c r="A4861" s="402">
        <v>44474</v>
      </c>
      <c r="B4861" s="403">
        <f>+MONTH(A4861)</f>
        <v>10</v>
      </c>
      <c r="C4861" s="338">
        <v>115</v>
      </c>
      <c r="D4861" s="340" t="str">
        <f>VLOOKUP(C4861,Plan!A:B,2,0)</f>
        <v>Disponible Cali B.Chile</v>
      </c>
      <c r="E4861" s="341">
        <f>+F4861-G4861</f>
        <v>15000</v>
      </c>
      <c r="F4861" s="346">
        <v>15000</v>
      </c>
      <c r="G4861" s="346">
        <v>0</v>
      </c>
      <c r="H4861" t="s">
        <v>940</v>
      </c>
      <c r="I4861" s="340" t="s">
        <v>131</v>
      </c>
      <c r="K4861" s="370"/>
      <c r="N4861" s="370"/>
    </row>
    <row r="4862" spans="1:14" s="347" customFormat="1" x14ac:dyDescent="0.25">
      <c r="A4862" s="402">
        <f>+A4861</f>
        <v>44474</v>
      </c>
      <c r="B4862" s="403">
        <f>+B4861</f>
        <v>10</v>
      </c>
      <c r="C4862" s="338">
        <v>1216</v>
      </c>
      <c r="D4862" s="340" t="str">
        <f>VLOOKUP(C4862,Plan!A:B,2,0)</f>
        <v>Otros Valores Recaudadoras</v>
      </c>
      <c r="E4862" s="341">
        <f>+F4862-G4862</f>
        <v>-15000</v>
      </c>
      <c r="F4862" s="346">
        <v>0</v>
      </c>
      <c r="G4862" s="346">
        <f>+F4861</f>
        <v>15000</v>
      </c>
      <c r="H4862" s="338" t="str">
        <f>+H4861</f>
        <v>Ana María Reyes Garín / 248</v>
      </c>
      <c r="I4862" s="340" t="s">
        <v>131</v>
      </c>
      <c r="K4862" s="370"/>
      <c r="N4862" s="370"/>
    </row>
    <row r="4863" spans="1:14" s="347" customFormat="1" x14ac:dyDescent="0.25">
      <c r="A4863" s="369"/>
      <c r="E4863" s="396"/>
      <c r="F4863" s="396"/>
      <c r="G4863" s="396"/>
      <c r="K4863" s="370"/>
      <c r="N4863" s="370"/>
    </row>
    <row r="4864" spans="1:14" s="347" customFormat="1" x14ac:dyDescent="0.25">
      <c r="A4864" s="402">
        <v>44474</v>
      </c>
      <c r="B4864" s="403">
        <f>+MONTH(A4864)</f>
        <v>10</v>
      </c>
      <c r="C4864" s="338">
        <v>115</v>
      </c>
      <c r="D4864" s="340" t="str">
        <f>VLOOKUP(C4864,Plan!A:B,2,0)</f>
        <v>Disponible Cali B.Chile</v>
      </c>
      <c r="E4864" s="341">
        <f>+F4864-G4864</f>
        <v>100000</v>
      </c>
      <c r="F4864" s="346">
        <v>100000</v>
      </c>
      <c r="G4864" s="346">
        <v>0</v>
      </c>
      <c r="H4864" t="s">
        <v>1715</v>
      </c>
      <c r="I4864" s="340" t="s">
        <v>131</v>
      </c>
      <c r="K4864" s="370"/>
      <c r="N4864" s="370"/>
    </row>
    <row r="4865" spans="1:14" s="347" customFormat="1" x14ac:dyDescent="0.25">
      <c r="A4865" s="402">
        <f>+A4864</f>
        <v>44474</v>
      </c>
      <c r="B4865" s="403">
        <f>+B4864</f>
        <v>10</v>
      </c>
      <c r="C4865" s="338">
        <v>1222</v>
      </c>
      <c r="D4865" s="340" t="str">
        <f>VLOOKUP(C4865,Plan!A:B,2,0)</f>
        <v>Otros Valores -Oficina y Transferencias (249)</v>
      </c>
      <c r="E4865" s="341">
        <f>+F4865-G4865</f>
        <v>-100000</v>
      </c>
      <c r="F4865" s="346">
        <v>0</v>
      </c>
      <c r="G4865" s="346">
        <f>+F4864</f>
        <v>100000</v>
      </c>
      <c r="H4865" s="338" t="str">
        <f>+H4864</f>
        <v>Santiago Ireneo Doña Vial / 249</v>
      </c>
      <c r="I4865" s="340" t="s">
        <v>131</v>
      </c>
      <c r="K4865" s="370"/>
      <c r="N4865" s="370"/>
    </row>
    <row r="4866" spans="1:14" s="347" customFormat="1" x14ac:dyDescent="0.25">
      <c r="A4866" s="369"/>
      <c r="E4866" s="396"/>
      <c r="F4866" s="396"/>
      <c r="G4866" s="396"/>
      <c r="K4866" s="370"/>
      <c r="N4866" s="370"/>
    </row>
    <row r="4867" spans="1:14" s="347" customFormat="1" x14ac:dyDescent="0.25">
      <c r="A4867" s="402">
        <v>44474</v>
      </c>
      <c r="B4867" s="403">
        <f>+MONTH(A4867)</f>
        <v>10</v>
      </c>
      <c r="C4867" s="338">
        <v>115</v>
      </c>
      <c r="D4867" s="340" t="str">
        <f>VLOOKUP(C4867,Plan!A:B,2,0)</f>
        <v>Disponible Cali B.Chile</v>
      </c>
      <c r="E4867" s="341">
        <f>+F4867-G4867</f>
        <v>75000</v>
      </c>
      <c r="F4867" s="346">
        <v>75000</v>
      </c>
      <c r="G4867" s="346">
        <v>0</v>
      </c>
      <c r="H4867" t="s">
        <v>1679</v>
      </c>
      <c r="I4867" s="340" t="s">
        <v>131</v>
      </c>
      <c r="K4867" s="370"/>
      <c r="N4867" s="370"/>
    </row>
    <row r="4868" spans="1:14" s="347" customFormat="1" x14ac:dyDescent="0.25">
      <c r="A4868" s="402">
        <f>+A4867</f>
        <v>44474</v>
      </c>
      <c r="B4868" s="403">
        <f>+B4867</f>
        <v>10</v>
      </c>
      <c r="C4868" s="338">
        <v>1222</v>
      </c>
      <c r="D4868" s="340" t="str">
        <f>VLOOKUP(C4868,Plan!A:B,2,0)</f>
        <v>Otros Valores -Oficina y Transferencias (249)</v>
      </c>
      <c r="E4868" s="341">
        <f>+F4868-G4868</f>
        <v>-75000</v>
      </c>
      <c r="F4868" s="346">
        <v>0</v>
      </c>
      <c r="G4868" s="346">
        <f>+F4867</f>
        <v>75000</v>
      </c>
      <c r="H4868" s="338" t="str">
        <f>+H4867</f>
        <v>María Teresa Ibañez Vial / 249</v>
      </c>
      <c r="I4868" s="340" t="s">
        <v>131</v>
      </c>
      <c r="K4868" s="370"/>
      <c r="N4868" s="370"/>
    </row>
    <row r="4869" spans="1:14" s="347" customFormat="1" x14ac:dyDescent="0.25">
      <c r="A4869" s="369"/>
      <c r="E4869" s="396"/>
      <c r="F4869" s="396"/>
      <c r="G4869" s="396"/>
      <c r="K4869" s="370"/>
      <c r="N4869" s="370"/>
    </row>
    <row r="4870" spans="1:14" s="347" customFormat="1" x14ac:dyDescent="0.25">
      <c r="A4870" s="402">
        <v>44474</v>
      </c>
      <c r="B4870" s="403">
        <f>+MONTH(A4870)</f>
        <v>10</v>
      </c>
      <c r="C4870" s="338">
        <v>115</v>
      </c>
      <c r="D4870" s="340" t="str">
        <f>VLOOKUP(C4870,Plan!A:B,2,0)</f>
        <v>Disponible Cali B.Chile</v>
      </c>
      <c r="E4870" s="341">
        <f>+F4870-G4870</f>
        <v>20000</v>
      </c>
      <c r="F4870" s="346">
        <v>20000</v>
      </c>
      <c r="G4870" s="346">
        <v>0</v>
      </c>
      <c r="H4870" t="s">
        <v>1056</v>
      </c>
      <c r="I4870" s="340" t="s">
        <v>131</v>
      </c>
      <c r="K4870" s="370"/>
      <c r="N4870" s="370"/>
    </row>
    <row r="4871" spans="1:14" s="347" customFormat="1" x14ac:dyDescent="0.25">
      <c r="A4871" s="402">
        <f>+A4870</f>
        <v>44474</v>
      </c>
      <c r="B4871" s="403">
        <f>+B4870</f>
        <v>10</v>
      </c>
      <c r="C4871" s="338">
        <v>1222</v>
      </c>
      <c r="D4871" s="340" t="str">
        <f>VLOOKUP(C4871,Plan!A:B,2,0)</f>
        <v>Otros Valores -Oficina y Transferencias (249)</v>
      </c>
      <c r="E4871" s="341">
        <f>+F4871-G4871</f>
        <v>-20000</v>
      </c>
      <c r="F4871" s="346">
        <v>0</v>
      </c>
      <c r="G4871" s="346">
        <f>+F4870</f>
        <v>20000</v>
      </c>
      <c r="H4871" s="338" t="str">
        <f>+H4870</f>
        <v>María José Muñoz Reinoso / 249</v>
      </c>
      <c r="I4871" s="340" t="s">
        <v>131</v>
      </c>
      <c r="K4871" s="370"/>
      <c r="N4871" s="370"/>
    </row>
    <row r="4872" spans="1:14" s="347" customFormat="1" x14ac:dyDescent="0.25">
      <c r="A4872" s="369"/>
      <c r="E4872" s="396"/>
      <c r="F4872" s="396"/>
      <c r="G4872" s="396"/>
      <c r="K4872" s="370"/>
      <c r="N4872" s="370"/>
    </row>
    <row r="4873" spans="1:14" s="347" customFormat="1" x14ac:dyDescent="0.25">
      <c r="A4873" s="402">
        <v>44474</v>
      </c>
      <c r="B4873" s="403">
        <f>+MONTH(A4873)</f>
        <v>10</v>
      </c>
      <c r="C4873" s="338">
        <v>115</v>
      </c>
      <c r="D4873" s="340" t="str">
        <f>VLOOKUP(C4873,Plan!A:B,2,0)</f>
        <v>Disponible Cali B.Chile</v>
      </c>
      <c r="E4873" s="341">
        <f>+F4873-G4873</f>
        <v>20000</v>
      </c>
      <c r="F4873" s="346">
        <v>20000</v>
      </c>
      <c r="G4873" s="346">
        <v>0</v>
      </c>
      <c r="H4873" t="s">
        <v>983</v>
      </c>
      <c r="I4873" s="340" t="s">
        <v>131</v>
      </c>
      <c r="K4873" s="370"/>
      <c r="N4873" s="370"/>
    </row>
    <row r="4874" spans="1:14" s="347" customFormat="1" x14ac:dyDescent="0.25">
      <c r="A4874" s="402">
        <f>+A4873</f>
        <v>44474</v>
      </c>
      <c r="B4874" s="403">
        <f>+B4873</f>
        <v>10</v>
      </c>
      <c r="C4874" s="338">
        <v>1222</v>
      </c>
      <c r="D4874" s="340" t="str">
        <f>VLOOKUP(C4874,Plan!A:B,2,0)</f>
        <v>Otros Valores -Oficina y Transferencias (249)</v>
      </c>
      <c r="E4874" s="341">
        <f>+F4874-G4874</f>
        <v>-20000</v>
      </c>
      <c r="F4874" s="346">
        <v>0</v>
      </c>
      <c r="G4874" s="346">
        <f>+F4873</f>
        <v>20000</v>
      </c>
      <c r="H4874" s="338" t="str">
        <f>+H4873</f>
        <v>Macarena Gálvez Roa / 249</v>
      </c>
      <c r="I4874" s="340" t="s">
        <v>131</v>
      </c>
      <c r="K4874" s="370"/>
      <c r="N4874" s="370"/>
    </row>
    <row r="4875" spans="1:14" s="347" customFormat="1" x14ac:dyDescent="0.25">
      <c r="A4875" s="369"/>
      <c r="E4875" s="396"/>
      <c r="F4875" s="396"/>
      <c r="G4875" s="396"/>
      <c r="K4875" s="370"/>
      <c r="N4875" s="370"/>
    </row>
    <row r="4876" spans="1:14" s="347" customFormat="1" x14ac:dyDescent="0.25">
      <c r="A4876" s="402">
        <v>44475</v>
      </c>
      <c r="B4876" s="403">
        <f>+MONTH(A4876)</f>
        <v>10</v>
      </c>
      <c r="C4876" s="338">
        <v>115</v>
      </c>
      <c r="D4876" s="340" t="str">
        <f>VLOOKUP(C4876,Plan!A:B,2,0)</f>
        <v>Disponible Cali B.Chile</v>
      </c>
      <c r="E4876" s="341">
        <f>+F4876-G4876</f>
        <v>40000</v>
      </c>
      <c r="F4876" s="346">
        <v>40000</v>
      </c>
      <c r="G4876" s="346">
        <v>0</v>
      </c>
      <c r="H4876" t="s">
        <v>1009</v>
      </c>
      <c r="I4876" s="340" t="s">
        <v>131</v>
      </c>
      <c r="K4876" s="370"/>
      <c r="N4876" s="370"/>
    </row>
    <row r="4877" spans="1:14" s="347" customFormat="1" x14ac:dyDescent="0.25">
      <c r="A4877" s="402">
        <f>+A4876</f>
        <v>44475</v>
      </c>
      <c r="B4877" s="403">
        <f>+B4876</f>
        <v>10</v>
      </c>
      <c r="C4877" s="338">
        <v>1222</v>
      </c>
      <c r="D4877" s="340" t="str">
        <f>VLOOKUP(C4877,Plan!A:B,2,0)</f>
        <v>Otros Valores -Oficina y Transferencias (249)</v>
      </c>
      <c r="E4877" s="341">
        <f>+F4877-G4877</f>
        <v>-40000</v>
      </c>
      <c r="F4877" s="346">
        <v>0</v>
      </c>
      <c r="G4877" s="346">
        <f>+F4876</f>
        <v>40000</v>
      </c>
      <c r="H4877" s="338" t="str">
        <f>+H4876</f>
        <v>Juan Rafael Arnaiz Johnson / 249</v>
      </c>
      <c r="I4877" s="340" t="s">
        <v>131</v>
      </c>
      <c r="K4877" s="370"/>
      <c r="N4877" s="370"/>
    </row>
    <row r="4878" spans="1:14" s="347" customFormat="1" x14ac:dyDescent="0.25">
      <c r="A4878" s="369"/>
      <c r="E4878" s="396"/>
      <c r="F4878" s="396"/>
      <c r="G4878" s="396"/>
      <c r="K4878" s="370"/>
      <c r="N4878" s="370"/>
    </row>
    <row r="4879" spans="1:14" s="347" customFormat="1" x14ac:dyDescent="0.25">
      <c r="A4879" s="402">
        <v>44475</v>
      </c>
      <c r="B4879" s="403">
        <f>+MONTH(A4879)</f>
        <v>10</v>
      </c>
      <c r="C4879" s="338">
        <v>115</v>
      </c>
      <c r="D4879" s="340" t="str">
        <f>VLOOKUP(C4879,Plan!A:B,2,0)</f>
        <v>Disponible Cali B.Chile</v>
      </c>
      <c r="E4879" s="341">
        <f>+F4879-G4879</f>
        <v>60000</v>
      </c>
      <c r="F4879" s="346">
        <v>60000</v>
      </c>
      <c r="G4879" s="346">
        <v>0</v>
      </c>
      <c r="H4879" t="s">
        <v>1031</v>
      </c>
      <c r="I4879" s="340" t="s">
        <v>131</v>
      </c>
      <c r="K4879" s="370"/>
      <c r="N4879" s="370"/>
    </row>
    <row r="4880" spans="1:14" s="347" customFormat="1" x14ac:dyDescent="0.25">
      <c r="A4880" s="402">
        <f>+A4879</f>
        <v>44475</v>
      </c>
      <c r="B4880" s="403">
        <f>+B4879</f>
        <v>10</v>
      </c>
      <c r="C4880" s="338">
        <v>1217</v>
      </c>
      <c r="D4880" s="340" t="str">
        <f>VLOOKUP(C4880,Plan!A:B,2,0)</f>
        <v>Otros Valores -Oficina y Transferencias (248)</v>
      </c>
      <c r="E4880" s="341">
        <f>+F4880-G4880</f>
        <v>-60000</v>
      </c>
      <c r="F4880" s="346">
        <v>0</v>
      </c>
      <c r="G4880" s="346">
        <f>+F4879</f>
        <v>60000</v>
      </c>
      <c r="H4880" s="338" t="str">
        <f>+H4879</f>
        <v xml:space="preserve">D. Vassiliu /248 </v>
      </c>
      <c r="I4880" s="340" t="s">
        <v>131</v>
      </c>
      <c r="K4880" s="370"/>
      <c r="N4880" s="370"/>
    </row>
    <row r="4881" spans="1:14" s="347" customFormat="1" x14ac:dyDescent="0.25">
      <c r="A4881" s="369"/>
      <c r="E4881" s="396"/>
      <c r="F4881" s="396"/>
      <c r="G4881" s="396"/>
      <c r="K4881" s="370"/>
      <c r="N4881" s="370"/>
    </row>
    <row r="4882" spans="1:14" s="347" customFormat="1" x14ac:dyDescent="0.25">
      <c r="A4882" s="402">
        <v>44475</v>
      </c>
      <c r="B4882" s="403">
        <f>+MONTH(A4882)</f>
        <v>10</v>
      </c>
      <c r="C4882" s="338">
        <v>115</v>
      </c>
      <c r="D4882" s="340" t="str">
        <f>VLOOKUP(C4882,Plan!A:B,2,0)</f>
        <v>Disponible Cali B.Chile</v>
      </c>
      <c r="E4882" s="341">
        <f>+F4882-G4882</f>
        <v>500000</v>
      </c>
      <c r="F4882" s="346">
        <v>500000</v>
      </c>
      <c r="G4882" s="346">
        <v>0</v>
      </c>
      <c r="H4882" t="s">
        <v>2165</v>
      </c>
      <c r="I4882" s="340" t="s">
        <v>131</v>
      </c>
      <c r="K4882" s="370"/>
      <c r="N4882" s="370"/>
    </row>
    <row r="4883" spans="1:14" s="347" customFormat="1" x14ac:dyDescent="0.25">
      <c r="A4883" s="402">
        <f>+A4882</f>
        <v>44475</v>
      </c>
      <c r="B4883" s="403">
        <f>+B4882</f>
        <v>10</v>
      </c>
      <c r="C4883" s="338">
        <v>1222</v>
      </c>
      <c r="D4883" s="340" t="str">
        <f>VLOOKUP(C4883,Plan!A:B,2,0)</f>
        <v>Otros Valores -Oficina y Transferencias (249)</v>
      </c>
      <c r="E4883" s="341">
        <f>+F4883-G4883</f>
        <v>-500000</v>
      </c>
      <c r="F4883" s="346">
        <v>0</v>
      </c>
      <c r="G4883" s="346">
        <f>+F4882</f>
        <v>500000</v>
      </c>
      <c r="H4883" s="338" t="str">
        <f>+H4882</f>
        <v>Adriana Fernández Correa / 249</v>
      </c>
      <c r="I4883" s="340" t="s">
        <v>131</v>
      </c>
      <c r="K4883" s="370"/>
      <c r="N4883" s="370"/>
    </row>
    <row r="4884" spans="1:14" s="347" customFormat="1" x14ac:dyDescent="0.25">
      <c r="A4884" s="369"/>
      <c r="E4884" s="396"/>
      <c r="F4884" s="396"/>
      <c r="G4884" s="396"/>
      <c r="K4884" s="370"/>
      <c r="N4884" s="370"/>
    </row>
    <row r="4885" spans="1:14" s="347" customFormat="1" x14ac:dyDescent="0.25">
      <c r="A4885" s="402">
        <v>44476</v>
      </c>
      <c r="B4885" s="403">
        <f>+MONTH(A4885)</f>
        <v>10</v>
      </c>
      <c r="C4885" s="338">
        <v>115</v>
      </c>
      <c r="D4885" s="340" t="str">
        <f>VLOOKUP(C4885,Plan!A:B,2,0)</f>
        <v>Disponible Cali B.Chile</v>
      </c>
      <c r="E4885" s="341">
        <f>+F4885-G4885</f>
        <v>20000</v>
      </c>
      <c r="F4885" s="346">
        <v>20000</v>
      </c>
      <c r="G4885" s="346">
        <v>0</v>
      </c>
      <c r="H4885" t="s">
        <v>999</v>
      </c>
      <c r="I4885" s="340" t="s">
        <v>131</v>
      </c>
      <c r="K4885" s="370"/>
      <c r="N4885" s="370"/>
    </row>
    <row r="4886" spans="1:14" s="347" customFormat="1" x14ac:dyDescent="0.25">
      <c r="A4886" s="402">
        <f>+A4885</f>
        <v>44476</v>
      </c>
      <c r="B4886" s="403">
        <f>+B4885</f>
        <v>10</v>
      </c>
      <c r="C4886" s="338">
        <v>1222</v>
      </c>
      <c r="D4886" s="340" t="str">
        <f>VLOOKUP(C4886,Plan!A:B,2,0)</f>
        <v>Otros Valores -Oficina y Transferencias (249)</v>
      </c>
      <c r="E4886" s="341">
        <f>+F4886-G4886</f>
        <v>-20000</v>
      </c>
      <c r="F4886" s="346">
        <v>0</v>
      </c>
      <c r="G4886" s="346">
        <f>+F4885</f>
        <v>20000</v>
      </c>
      <c r="H4886" s="338" t="str">
        <f>+H4885</f>
        <v>Carmen Mónica Barañao Rojas/249</v>
      </c>
      <c r="I4886" s="340" t="s">
        <v>131</v>
      </c>
      <c r="K4886" s="370"/>
      <c r="N4886" s="370"/>
    </row>
    <row r="4887" spans="1:14" s="347" customFormat="1" x14ac:dyDescent="0.25">
      <c r="A4887" s="369"/>
      <c r="E4887" s="396"/>
      <c r="F4887" s="396"/>
      <c r="G4887" s="396"/>
      <c r="K4887" s="370"/>
      <c r="N4887" s="370"/>
    </row>
    <row r="4888" spans="1:14" s="347" customFormat="1" x14ac:dyDescent="0.25">
      <c r="A4888" s="402">
        <v>44476</v>
      </c>
      <c r="B4888" s="403">
        <f>+MONTH(A4888)</f>
        <v>10</v>
      </c>
      <c r="C4888" s="338">
        <v>115</v>
      </c>
      <c r="D4888" s="340" t="str">
        <f>VLOOKUP(C4888,Plan!A:B,2,0)</f>
        <v>Disponible Cali B.Chile</v>
      </c>
      <c r="E4888" s="341">
        <f>+F4888-G4888</f>
        <v>966442</v>
      </c>
      <c r="F4888" s="346">
        <v>966442</v>
      </c>
      <c r="G4888" s="346">
        <v>0</v>
      </c>
      <c r="H4888" t="s">
        <v>2166</v>
      </c>
      <c r="I4888" s="340" t="s">
        <v>131</v>
      </c>
      <c r="K4888" s="370"/>
      <c r="N4888" s="370"/>
    </row>
    <row r="4889" spans="1:14" s="347" customFormat="1" x14ac:dyDescent="0.25">
      <c r="A4889" s="402">
        <f>+A4888</f>
        <v>44476</v>
      </c>
      <c r="B4889" s="403">
        <f>+B4888</f>
        <v>10</v>
      </c>
      <c r="C4889" s="338">
        <v>3210</v>
      </c>
      <c r="D4889" s="340" t="str">
        <f>VLOOKUP(C4889,Plan!A:B,2,0)</f>
        <v>Donacion Construccion</v>
      </c>
      <c r="E4889" s="341">
        <f>+F4889-G4889</f>
        <v>-966442</v>
      </c>
      <c r="F4889" s="346">
        <v>0</v>
      </c>
      <c r="G4889" s="346">
        <f>+F4888</f>
        <v>966442</v>
      </c>
      <c r="H4889" s="338" t="str">
        <f>+H4888</f>
        <v>Eugenia Muñoz Quezada /DCT Azul (M$1000)</v>
      </c>
      <c r="I4889" s="340" t="s">
        <v>131</v>
      </c>
      <c r="K4889" s="370"/>
      <c r="N4889" s="370"/>
    </row>
    <row r="4890" spans="1:14" s="347" customFormat="1" x14ac:dyDescent="0.25">
      <c r="A4890" s="369"/>
      <c r="E4890" s="396"/>
      <c r="F4890" s="396"/>
      <c r="G4890" s="396"/>
      <c r="K4890" s="370"/>
      <c r="N4890" s="370"/>
    </row>
    <row r="4891" spans="1:14" s="347" customFormat="1" x14ac:dyDescent="0.25">
      <c r="A4891" s="402">
        <v>44476</v>
      </c>
      <c r="B4891" s="403">
        <f>+MONTH(A4891)</f>
        <v>10</v>
      </c>
      <c r="C4891" s="338">
        <v>4170</v>
      </c>
      <c r="D4891" s="340" t="str">
        <f>VLOOKUP(C4891,Plan!A:B,2,0)</f>
        <v>Cali otros</v>
      </c>
      <c r="E4891" s="341">
        <f>+F4891-G4891</f>
        <v>2148</v>
      </c>
      <c r="F4891" s="346">
        <v>2148</v>
      </c>
      <c r="G4891" s="346">
        <v>0</v>
      </c>
      <c r="H4891" t="s">
        <v>1005</v>
      </c>
      <c r="I4891" s="340" t="s">
        <v>131</v>
      </c>
      <c r="K4891" s="370"/>
      <c r="N4891" s="370"/>
    </row>
    <row r="4892" spans="1:14" s="347" customFormat="1" x14ac:dyDescent="0.25">
      <c r="A4892" s="402">
        <f>+A4891</f>
        <v>44476</v>
      </c>
      <c r="B4892" s="403">
        <f>+B4891</f>
        <v>10</v>
      </c>
      <c r="C4892" s="338">
        <v>115</v>
      </c>
      <c r="D4892" s="340" t="str">
        <f>VLOOKUP(C4892,Plan!A:B,2,0)</f>
        <v>Disponible Cali B.Chile</v>
      </c>
      <c r="E4892" s="341">
        <f>+F4892-G4892</f>
        <v>-2148</v>
      </c>
      <c r="F4892" s="346">
        <v>0</v>
      </c>
      <c r="G4892" s="346">
        <f>+F4891</f>
        <v>2148</v>
      </c>
      <c r="H4892" s="338" t="str">
        <f>+H4891</f>
        <v>Com.Bco.Chile</v>
      </c>
      <c r="I4892" s="340" t="s">
        <v>131</v>
      </c>
      <c r="K4892" s="370"/>
      <c r="N4892" s="370"/>
    </row>
    <row r="4893" spans="1:14" s="347" customFormat="1" x14ac:dyDescent="0.25">
      <c r="A4893" s="369"/>
      <c r="E4893" s="396"/>
      <c r="F4893" s="396"/>
      <c r="G4893" s="396"/>
      <c r="K4893" s="370"/>
      <c r="N4893" s="370"/>
    </row>
    <row r="4894" spans="1:14" s="347" customFormat="1" x14ac:dyDescent="0.25">
      <c r="A4894" s="402">
        <v>44477</v>
      </c>
      <c r="B4894" s="403">
        <f>+MONTH(A4894)</f>
        <v>10</v>
      </c>
      <c r="C4894" s="338">
        <v>115</v>
      </c>
      <c r="D4894" s="340" t="str">
        <f>VLOOKUP(C4894,Plan!A:B,2,0)</f>
        <v>Disponible Cali B.Chile</v>
      </c>
      <c r="E4894" s="341">
        <f>+F4894-G4894</f>
        <v>300000</v>
      </c>
      <c r="F4894" s="346">
        <v>300000</v>
      </c>
      <c r="G4894" s="346">
        <v>0</v>
      </c>
      <c r="H4894" t="s">
        <v>2167</v>
      </c>
      <c r="I4894" s="340" t="s">
        <v>131</v>
      </c>
      <c r="K4894" s="370"/>
      <c r="N4894" s="370"/>
    </row>
    <row r="4895" spans="1:14" s="347" customFormat="1" x14ac:dyDescent="0.25">
      <c r="A4895" s="402">
        <f>+A4894</f>
        <v>44477</v>
      </c>
      <c r="B4895" s="403">
        <f>+B4894</f>
        <v>10</v>
      </c>
      <c r="C4895" s="338">
        <v>3210</v>
      </c>
      <c r="D4895" s="340" t="str">
        <f>VLOOKUP(C4895,Plan!A:B,2,0)</f>
        <v>Donacion Construccion</v>
      </c>
      <c r="E4895" s="341">
        <f>+F4895-G4895</f>
        <v>-300000</v>
      </c>
      <c r="F4895" s="346">
        <v>0</v>
      </c>
      <c r="G4895" s="346">
        <f>+F4894</f>
        <v>300000</v>
      </c>
      <c r="H4895" s="338" t="str">
        <f>+H4894</f>
        <v>Andrés Fuentes Barañao/Azul</v>
      </c>
      <c r="I4895" s="340" t="s">
        <v>131</v>
      </c>
      <c r="K4895" s="370"/>
      <c r="N4895" s="370"/>
    </row>
    <row r="4896" spans="1:14" s="347" customFormat="1" x14ac:dyDescent="0.25">
      <c r="A4896" s="369"/>
      <c r="E4896" s="396"/>
      <c r="F4896" s="396"/>
      <c r="G4896" s="396"/>
      <c r="K4896" s="370"/>
      <c r="N4896" s="370"/>
    </row>
    <row r="4897" spans="1:14" s="347" customFormat="1" x14ac:dyDescent="0.25">
      <c r="A4897" s="402">
        <v>44477</v>
      </c>
      <c r="B4897" s="403">
        <f>+MONTH(A4897)</f>
        <v>10</v>
      </c>
      <c r="C4897" s="338">
        <v>115</v>
      </c>
      <c r="D4897" s="340" t="str">
        <f>VLOOKUP(C4897,Plan!A:B,2,0)</f>
        <v>Disponible Cali B.Chile</v>
      </c>
      <c r="E4897" s="341">
        <f>+F4897-G4897</f>
        <v>30000</v>
      </c>
      <c r="F4897" s="346">
        <v>30000</v>
      </c>
      <c r="G4897" s="346">
        <v>0</v>
      </c>
      <c r="H4897" t="s">
        <v>1990</v>
      </c>
      <c r="I4897" s="340" t="s">
        <v>131</v>
      </c>
      <c r="K4897" s="370"/>
      <c r="N4897" s="370"/>
    </row>
    <row r="4898" spans="1:14" s="347" customFormat="1" x14ac:dyDescent="0.25">
      <c r="A4898" s="402">
        <f>+A4897</f>
        <v>44477</v>
      </c>
      <c r="B4898" s="403">
        <f>+B4897</f>
        <v>10</v>
      </c>
      <c r="C4898" s="338">
        <v>1222</v>
      </c>
      <c r="D4898" s="340" t="str">
        <f>VLOOKUP(C4898,Plan!A:B,2,0)</f>
        <v>Otros Valores -Oficina y Transferencias (249)</v>
      </c>
      <c r="E4898" s="341">
        <f>+F4898-G4898</f>
        <v>-30000</v>
      </c>
      <c r="F4898" s="346">
        <v>0</v>
      </c>
      <c r="G4898" s="346">
        <f>+F4897</f>
        <v>30000</v>
      </c>
      <c r="H4898" s="338" t="str">
        <f>+H4897</f>
        <v>Renato Guidio Rezende de Castro/ 249</v>
      </c>
      <c r="I4898" s="340" t="s">
        <v>131</v>
      </c>
      <c r="K4898" s="370"/>
      <c r="N4898" s="370"/>
    </row>
    <row r="4899" spans="1:14" s="347" customFormat="1" x14ac:dyDescent="0.25">
      <c r="A4899" s="369"/>
      <c r="E4899" s="396"/>
      <c r="F4899" s="396"/>
      <c r="G4899" s="396"/>
      <c r="K4899" s="370"/>
      <c r="N4899" s="370"/>
    </row>
    <row r="4900" spans="1:14" s="347" customFormat="1" x14ac:dyDescent="0.25">
      <c r="A4900" s="402">
        <v>44477</v>
      </c>
      <c r="B4900" s="403">
        <f>+MONTH(A4900)</f>
        <v>10</v>
      </c>
      <c r="C4900" s="338">
        <v>115</v>
      </c>
      <c r="D4900" s="340" t="str">
        <f>VLOOKUP(C4900,Plan!A:B,2,0)</f>
        <v>Disponible Cali B.Chile</v>
      </c>
      <c r="E4900" s="341">
        <f>+F4900-G4900</f>
        <v>150000</v>
      </c>
      <c r="F4900" s="346">
        <v>150000</v>
      </c>
      <c r="G4900" s="346">
        <v>0</v>
      </c>
      <c r="H4900" t="s">
        <v>1061</v>
      </c>
      <c r="I4900" s="340" t="s">
        <v>131</v>
      </c>
      <c r="K4900" s="370"/>
      <c r="N4900" s="370"/>
    </row>
    <row r="4901" spans="1:14" s="347" customFormat="1" x14ac:dyDescent="0.25">
      <c r="A4901" s="402">
        <f>+A4900</f>
        <v>44477</v>
      </c>
      <c r="B4901" s="403">
        <f>+B4900</f>
        <v>10</v>
      </c>
      <c r="C4901" s="338">
        <v>1217</v>
      </c>
      <c r="D4901" s="340" t="str">
        <f>VLOOKUP(C4901,Plan!A:B,2,0)</f>
        <v>Otros Valores -Oficina y Transferencias (248)</v>
      </c>
      <c r="E4901" s="341">
        <f>+F4901-G4901</f>
        <v>-150000</v>
      </c>
      <c r="F4901" s="346">
        <v>0</v>
      </c>
      <c r="G4901" s="346">
        <f>+F4900</f>
        <v>150000</v>
      </c>
      <c r="H4901" s="338" t="str">
        <f>+H4900</f>
        <v>Patricio Abalos /248</v>
      </c>
      <c r="I4901" s="340" t="s">
        <v>131</v>
      </c>
      <c r="K4901" s="370"/>
      <c r="N4901" s="370"/>
    </row>
    <row r="4902" spans="1:14" s="347" customFormat="1" x14ac:dyDescent="0.25">
      <c r="A4902" s="369"/>
      <c r="E4902" s="396"/>
      <c r="F4902" s="396"/>
      <c r="G4902" s="396"/>
      <c r="K4902" s="370"/>
      <c r="N4902" s="370"/>
    </row>
    <row r="4903" spans="1:14" s="347" customFormat="1" x14ac:dyDescent="0.25">
      <c r="A4903" s="402">
        <v>44481</v>
      </c>
      <c r="B4903" s="403">
        <f>+MONTH(A4903)</f>
        <v>10</v>
      </c>
      <c r="C4903" s="338">
        <v>115</v>
      </c>
      <c r="D4903" s="340" t="str">
        <f>VLOOKUP(C4903,Plan!A:B,2,0)</f>
        <v>Disponible Cali B.Chile</v>
      </c>
      <c r="E4903" s="341">
        <f>+F4903-G4903</f>
        <v>12000</v>
      </c>
      <c r="F4903" s="346">
        <v>12000</v>
      </c>
      <c r="G4903" s="346">
        <v>0</v>
      </c>
      <c r="H4903" t="s">
        <v>1008</v>
      </c>
      <c r="I4903" s="340" t="s">
        <v>131</v>
      </c>
      <c r="K4903" s="370"/>
      <c r="N4903" s="370"/>
    </row>
    <row r="4904" spans="1:14" s="347" customFormat="1" x14ac:dyDescent="0.25">
      <c r="A4904" s="402">
        <f>+A4903</f>
        <v>44481</v>
      </c>
      <c r="B4904" s="403">
        <f>+B4903</f>
        <v>10</v>
      </c>
      <c r="C4904" s="338">
        <v>1222</v>
      </c>
      <c r="D4904" s="340" t="str">
        <f>VLOOKUP(C4904,Plan!A:B,2,0)</f>
        <v>Otros Valores -Oficina y Transferencias (249)</v>
      </c>
      <c r="E4904" s="341">
        <f>+F4904-G4904</f>
        <v>-12000</v>
      </c>
      <c r="F4904" s="346">
        <v>0</v>
      </c>
      <c r="G4904" s="346">
        <f>+F4903</f>
        <v>12000</v>
      </c>
      <c r="H4904" s="338" t="str">
        <f>+H4903</f>
        <v>M.Alejandra de la Lastra J./249</v>
      </c>
      <c r="I4904" s="340" t="s">
        <v>131</v>
      </c>
      <c r="K4904" s="370"/>
      <c r="N4904" s="370"/>
    </row>
    <row r="4905" spans="1:14" s="347" customFormat="1" x14ac:dyDescent="0.25">
      <c r="A4905" s="369"/>
      <c r="E4905" s="396"/>
      <c r="F4905" s="396"/>
      <c r="G4905" s="396"/>
      <c r="K4905" s="370"/>
      <c r="N4905" s="370"/>
    </row>
    <row r="4906" spans="1:14" s="347" customFormat="1" x14ac:dyDescent="0.25">
      <c r="A4906" s="402">
        <v>44481</v>
      </c>
      <c r="B4906" s="403">
        <f>+MONTH(A4906)</f>
        <v>10</v>
      </c>
      <c r="C4906" s="338">
        <v>115</v>
      </c>
      <c r="D4906" s="340" t="str">
        <f>VLOOKUP(C4906,Plan!A:B,2,0)</f>
        <v>Disponible Cali B.Chile</v>
      </c>
      <c r="E4906" s="341">
        <f>+F4906-G4906</f>
        <v>15000</v>
      </c>
      <c r="F4906" s="346">
        <v>15000</v>
      </c>
      <c r="G4906" s="346">
        <v>0</v>
      </c>
      <c r="H4906" t="s">
        <v>1761</v>
      </c>
      <c r="I4906" s="340" t="s">
        <v>131</v>
      </c>
      <c r="K4906" s="370"/>
      <c r="N4906" s="370"/>
    </row>
    <row r="4907" spans="1:14" s="347" customFormat="1" x14ac:dyDescent="0.25">
      <c r="A4907" s="402">
        <f>+A4906</f>
        <v>44481</v>
      </c>
      <c r="B4907" s="403">
        <f>+B4906</f>
        <v>10</v>
      </c>
      <c r="C4907" s="338">
        <v>3210</v>
      </c>
      <c r="D4907" s="340" t="str">
        <f>VLOOKUP(C4907,Plan!A:B,2,0)</f>
        <v>Donacion Construccion</v>
      </c>
      <c r="E4907" s="341">
        <f>+F4907-G4907</f>
        <v>-15000</v>
      </c>
      <c r="F4907" s="346">
        <v>0</v>
      </c>
      <c r="G4907" s="346">
        <f>+F4906</f>
        <v>15000</v>
      </c>
      <c r="H4907" s="338" t="str">
        <f>+H4906</f>
        <v>Carlos Alberto Fonck Limann / Azul</v>
      </c>
      <c r="I4907" s="340" t="s">
        <v>131</v>
      </c>
      <c r="K4907" s="370"/>
      <c r="N4907" s="370"/>
    </row>
    <row r="4908" spans="1:14" s="347" customFormat="1" x14ac:dyDescent="0.25">
      <c r="A4908" s="369"/>
      <c r="E4908" s="396"/>
      <c r="F4908" s="396"/>
      <c r="G4908" s="396"/>
      <c r="K4908" s="370"/>
      <c r="N4908" s="370"/>
    </row>
    <row r="4909" spans="1:14" s="347" customFormat="1" x14ac:dyDescent="0.25">
      <c r="A4909" s="402">
        <v>44481</v>
      </c>
      <c r="B4909" s="403">
        <f>+MONTH(A4909)</f>
        <v>10</v>
      </c>
      <c r="C4909" s="338">
        <v>115</v>
      </c>
      <c r="D4909" s="340" t="str">
        <f>VLOOKUP(C4909,Plan!A:B,2,0)</f>
        <v>Disponible Cali B.Chile</v>
      </c>
      <c r="E4909" s="341">
        <f>+F4909-G4909</f>
        <v>30000</v>
      </c>
      <c r="F4909" s="346">
        <v>30000</v>
      </c>
      <c r="G4909" s="346">
        <v>0</v>
      </c>
      <c r="H4909" t="s">
        <v>1066</v>
      </c>
      <c r="I4909" s="340" t="s">
        <v>131</v>
      </c>
      <c r="K4909" s="370"/>
      <c r="N4909" s="370"/>
    </row>
    <row r="4910" spans="1:14" s="347" customFormat="1" x14ac:dyDescent="0.25">
      <c r="A4910" s="402">
        <f>+A4909</f>
        <v>44481</v>
      </c>
      <c r="B4910" s="403">
        <f>+B4909</f>
        <v>10</v>
      </c>
      <c r="C4910" s="338">
        <v>1222</v>
      </c>
      <c r="D4910" s="340" t="str">
        <f>VLOOKUP(C4910,Plan!A:B,2,0)</f>
        <v>Otros Valores -Oficina y Transferencias (249)</v>
      </c>
      <c r="E4910" s="341">
        <f>+F4910-G4910</f>
        <v>-30000</v>
      </c>
      <c r="F4910" s="346">
        <v>0</v>
      </c>
      <c r="G4910" s="346">
        <f>+F4909</f>
        <v>30000</v>
      </c>
      <c r="H4910" s="338" t="str">
        <f>+H4909</f>
        <v>Marie Solange Vinet Homar / 249</v>
      </c>
      <c r="I4910" s="340" t="s">
        <v>131</v>
      </c>
      <c r="K4910" s="370"/>
      <c r="N4910" s="370"/>
    </row>
    <row r="4911" spans="1:14" s="347" customFormat="1" x14ac:dyDescent="0.25">
      <c r="A4911" s="369"/>
      <c r="E4911" s="396"/>
      <c r="F4911" s="396"/>
      <c r="G4911" s="396"/>
      <c r="K4911" s="370"/>
      <c r="N4911" s="370"/>
    </row>
    <row r="4912" spans="1:14" s="347" customFormat="1" x14ac:dyDescent="0.25">
      <c r="A4912" s="402">
        <v>44481</v>
      </c>
      <c r="B4912" s="403">
        <f>+MONTH(A4912)</f>
        <v>10</v>
      </c>
      <c r="C4912" s="338">
        <v>115</v>
      </c>
      <c r="D4912" s="340" t="str">
        <f>VLOOKUP(C4912,Plan!A:B,2,0)</f>
        <v>Disponible Cali B.Chile</v>
      </c>
      <c r="E4912" s="341">
        <f>+F4912-G4912</f>
        <v>30000</v>
      </c>
      <c r="F4912" s="346">
        <v>30000</v>
      </c>
      <c r="G4912" s="346">
        <v>0</v>
      </c>
      <c r="H4912" t="s">
        <v>1048</v>
      </c>
      <c r="I4912" s="340" t="s">
        <v>131</v>
      </c>
      <c r="K4912" s="370"/>
      <c r="N4912" s="370"/>
    </row>
    <row r="4913" spans="1:14" s="347" customFormat="1" x14ac:dyDescent="0.25">
      <c r="A4913" s="402">
        <f>+A4912</f>
        <v>44481</v>
      </c>
      <c r="B4913" s="403">
        <f>+B4912</f>
        <v>10</v>
      </c>
      <c r="C4913" s="338">
        <v>1217</v>
      </c>
      <c r="D4913" s="340" t="str">
        <f>VLOOKUP(C4913,Plan!A:B,2,0)</f>
        <v>Otros Valores -Oficina y Transferencias (248)</v>
      </c>
      <c r="E4913" s="341">
        <f>+F4913-G4913</f>
        <v>-30000</v>
      </c>
      <c r="F4913" s="346">
        <v>0</v>
      </c>
      <c r="G4913" s="346">
        <f>+F4912</f>
        <v>30000</v>
      </c>
      <c r="H4913" s="338" t="str">
        <f>+H4912</f>
        <v>José Miguel Guzmán Morandé/248</v>
      </c>
      <c r="I4913" s="340" t="s">
        <v>131</v>
      </c>
      <c r="K4913" s="370"/>
      <c r="N4913" s="370"/>
    </row>
    <row r="4914" spans="1:14" s="347" customFormat="1" x14ac:dyDescent="0.25">
      <c r="A4914" s="369"/>
      <c r="E4914" s="396"/>
      <c r="F4914" s="396"/>
      <c r="G4914" s="396"/>
      <c r="K4914" s="370"/>
      <c r="N4914" s="370"/>
    </row>
    <row r="4915" spans="1:14" s="347" customFormat="1" x14ac:dyDescent="0.25">
      <c r="A4915" s="402">
        <v>44481</v>
      </c>
      <c r="B4915" s="403">
        <f>+MONTH(A4915)</f>
        <v>10</v>
      </c>
      <c r="C4915" s="338">
        <v>115</v>
      </c>
      <c r="D4915" s="340" t="str">
        <f>VLOOKUP(C4915,Plan!A:B,2,0)</f>
        <v>Disponible Cali B.Chile</v>
      </c>
      <c r="E4915" s="341">
        <f>+F4915-G4915</f>
        <v>195000</v>
      </c>
      <c r="F4915" s="346">
        <v>195000</v>
      </c>
      <c r="G4915" s="346">
        <v>0</v>
      </c>
      <c r="H4915" t="s">
        <v>2168</v>
      </c>
      <c r="I4915" s="340" t="s">
        <v>131</v>
      </c>
      <c r="K4915" s="370"/>
      <c r="N4915" s="370"/>
    </row>
    <row r="4916" spans="1:14" s="347" customFormat="1" x14ac:dyDescent="0.25">
      <c r="A4916" s="402">
        <f>+A4915</f>
        <v>44481</v>
      </c>
      <c r="B4916" s="403">
        <f>+B4915</f>
        <v>10</v>
      </c>
      <c r="C4916" s="338">
        <v>1222</v>
      </c>
      <c r="D4916" s="340" t="str">
        <f>VLOOKUP(C4916,Plan!A:B,2,0)</f>
        <v>Otros Valores -Oficina y Transferencias (249)</v>
      </c>
      <c r="E4916" s="341">
        <f>+F4916-G4916</f>
        <v>-195000</v>
      </c>
      <c r="F4916" s="346">
        <v>0</v>
      </c>
      <c r="G4916" s="346">
        <f>+F4915</f>
        <v>195000</v>
      </c>
      <c r="H4916" s="338" t="str">
        <f>+H4915</f>
        <v>Rafael Vergara Illanes / 249</v>
      </c>
      <c r="I4916" s="340" t="s">
        <v>131</v>
      </c>
      <c r="K4916" s="370"/>
      <c r="N4916" s="370"/>
    </row>
    <row r="4917" spans="1:14" s="347" customFormat="1" x14ac:dyDescent="0.25">
      <c r="A4917" s="369"/>
      <c r="E4917" s="396"/>
      <c r="F4917" s="396"/>
      <c r="G4917" s="396"/>
      <c r="K4917" s="370"/>
      <c r="N4917" s="370"/>
    </row>
    <row r="4918" spans="1:14" s="347" customFormat="1" x14ac:dyDescent="0.25">
      <c r="A4918" s="402">
        <v>44481</v>
      </c>
      <c r="B4918" s="403">
        <f>+MONTH(A4918)</f>
        <v>10</v>
      </c>
      <c r="C4918" s="338">
        <v>115</v>
      </c>
      <c r="D4918" s="340" t="str">
        <f>VLOOKUP(C4918,Plan!A:B,2,0)</f>
        <v>Disponible Cali B.Chile</v>
      </c>
      <c r="E4918" s="341">
        <f>+F4918-G4918</f>
        <v>30000</v>
      </c>
      <c r="F4918" s="346">
        <v>30000</v>
      </c>
      <c r="G4918" s="346">
        <v>0</v>
      </c>
      <c r="H4918" t="s">
        <v>1015</v>
      </c>
      <c r="I4918" s="340" t="s">
        <v>131</v>
      </c>
      <c r="K4918" s="370"/>
      <c r="N4918" s="370"/>
    </row>
    <row r="4919" spans="1:14" s="347" customFormat="1" x14ac:dyDescent="0.25">
      <c r="A4919" s="402">
        <f>+A4918</f>
        <v>44481</v>
      </c>
      <c r="B4919" s="403">
        <f>+B4918</f>
        <v>10</v>
      </c>
      <c r="C4919" s="338">
        <v>1222</v>
      </c>
      <c r="D4919" s="340" t="str">
        <f>VLOOKUP(C4919,Plan!A:B,2,0)</f>
        <v>Otros Valores -Oficina y Transferencias (249)</v>
      </c>
      <c r="E4919" s="341">
        <f>+F4919-G4919</f>
        <v>-30000</v>
      </c>
      <c r="F4919" s="346">
        <v>0</v>
      </c>
      <c r="G4919" s="346">
        <f>+F4918</f>
        <v>30000</v>
      </c>
      <c r="H4919" s="338" t="str">
        <f>+H4918</f>
        <v>Enrique Hurtado Ruiz-Tagle / 249</v>
      </c>
      <c r="I4919" s="340" t="s">
        <v>131</v>
      </c>
      <c r="K4919" s="370"/>
      <c r="N4919" s="370"/>
    </row>
    <row r="4920" spans="1:14" s="347" customFormat="1" x14ac:dyDescent="0.25">
      <c r="A4920" s="369"/>
      <c r="E4920" s="396"/>
      <c r="F4920" s="396"/>
      <c r="G4920" s="396"/>
      <c r="K4920" s="370"/>
      <c r="N4920" s="370"/>
    </row>
    <row r="4921" spans="1:14" s="347" customFormat="1" x14ac:dyDescent="0.25">
      <c r="A4921" s="402">
        <v>44481</v>
      </c>
      <c r="B4921" s="403">
        <f>+MONTH(A4921)</f>
        <v>10</v>
      </c>
      <c r="C4921" s="338">
        <v>115</v>
      </c>
      <c r="D4921" s="340" t="str">
        <f>VLOOKUP(C4921,Plan!A:B,2,0)</f>
        <v>Disponible Cali B.Chile</v>
      </c>
      <c r="E4921" s="341">
        <f>+F4921-G4921</f>
        <v>17000</v>
      </c>
      <c r="F4921" s="346">
        <v>17000</v>
      </c>
      <c r="G4921" s="346">
        <v>0</v>
      </c>
      <c r="H4921" t="s">
        <v>1016</v>
      </c>
      <c r="I4921" s="340" t="s">
        <v>131</v>
      </c>
      <c r="K4921" s="370"/>
      <c r="N4921" s="370"/>
    </row>
    <row r="4922" spans="1:14" s="347" customFormat="1" x14ac:dyDescent="0.25">
      <c r="A4922" s="402">
        <f>+A4921</f>
        <v>44481</v>
      </c>
      <c r="B4922" s="403">
        <f>+B4921</f>
        <v>10</v>
      </c>
      <c r="C4922" s="338">
        <v>1222</v>
      </c>
      <c r="D4922" s="340" t="str">
        <f>VLOOKUP(C4922,Plan!A:B,2,0)</f>
        <v>Otros Valores -Oficina y Transferencias (249)</v>
      </c>
      <c r="E4922" s="341">
        <f>+F4922-G4922</f>
        <v>-17000</v>
      </c>
      <c r="F4922" s="346">
        <v>0</v>
      </c>
      <c r="G4922" s="346">
        <f>+F4921</f>
        <v>17000</v>
      </c>
      <c r="H4922" s="338" t="str">
        <f>+H4921</f>
        <v>Alejandra Pérez Fabres / 249</v>
      </c>
      <c r="I4922" s="340" t="s">
        <v>131</v>
      </c>
      <c r="K4922" s="370"/>
      <c r="N4922" s="370"/>
    </row>
    <row r="4923" spans="1:14" s="347" customFormat="1" x14ac:dyDescent="0.25">
      <c r="A4923" s="369"/>
      <c r="E4923" s="396"/>
      <c r="F4923" s="396"/>
      <c r="G4923" s="396"/>
      <c r="K4923" s="370"/>
      <c r="N4923" s="370"/>
    </row>
    <row r="4924" spans="1:14" s="347" customFormat="1" x14ac:dyDescent="0.25">
      <c r="A4924" s="402">
        <v>44481</v>
      </c>
      <c r="B4924" s="403">
        <f>+MONTH(A4924)</f>
        <v>10</v>
      </c>
      <c r="C4924" s="338">
        <v>115</v>
      </c>
      <c r="D4924" s="340" t="str">
        <f>VLOOKUP(C4924,Plan!A:B,2,0)</f>
        <v>Disponible Cali B.Chile</v>
      </c>
      <c r="E4924" s="341">
        <f>+F4924-G4924</f>
        <v>20000</v>
      </c>
      <c r="F4924" s="346">
        <v>20000</v>
      </c>
      <c r="G4924" s="346">
        <v>0</v>
      </c>
      <c r="H4924" t="s">
        <v>1028</v>
      </c>
      <c r="I4924" s="340" t="s">
        <v>131</v>
      </c>
      <c r="K4924" s="370"/>
      <c r="N4924" s="370"/>
    </row>
    <row r="4925" spans="1:14" s="347" customFormat="1" x14ac:dyDescent="0.25">
      <c r="A4925" s="402">
        <f>+A4924</f>
        <v>44481</v>
      </c>
      <c r="B4925" s="403">
        <f>+B4924</f>
        <v>10</v>
      </c>
      <c r="C4925" s="338">
        <v>1217</v>
      </c>
      <c r="D4925" s="340" t="str">
        <f>VLOOKUP(C4925,Plan!A:B,2,0)</f>
        <v>Otros Valores -Oficina y Transferencias (248)</v>
      </c>
      <c r="E4925" s="341">
        <f>+F4925-G4925</f>
        <v>-20000</v>
      </c>
      <c r="F4925" s="346">
        <v>0</v>
      </c>
      <c r="G4925" s="346">
        <f>+F4924</f>
        <v>20000</v>
      </c>
      <c r="H4925" s="338" t="str">
        <f>+H4924</f>
        <v>Carmen Gloria Rivas Varas / 248</v>
      </c>
      <c r="I4925" s="340" t="s">
        <v>131</v>
      </c>
      <c r="K4925" s="370"/>
      <c r="N4925" s="370"/>
    </row>
    <row r="4926" spans="1:14" s="347" customFormat="1" x14ac:dyDescent="0.25">
      <c r="A4926" s="369"/>
      <c r="E4926" s="396"/>
      <c r="F4926" s="396"/>
      <c r="G4926" s="396"/>
      <c r="K4926" s="370"/>
      <c r="N4926" s="370"/>
    </row>
    <row r="4927" spans="1:14" s="347" customFormat="1" x14ac:dyDescent="0.25">
      <c r="A4927" s="402">
        <v>44481</v>
      </c>
      <c r="B4927" s="403">
        <f>+MONTH(A4927)</f>
        <v>10</v>
      </c>
      <c r="C4927" s="338">
        <v>115</v>
      </c>
      <c r="D4927" s="340" t="str">
        <f>VLOOKUP(C4927,Plan!A:B,2,0)</f>
        <v>Disponible Cali B.Chile</v>
      </c>
      <c r="E4927" s="341">
        <f>+F4927-G4927</f>
        <v>30000</v>
      </c>
      <c r="F4927" s="346">
        <v>30000</v>
      </c>
      <c r="G4927" s="346">
        <v>0</v>
      </c>
      <c r="H4927" t="s">
        <v>988</v>
      </c>
      <c r="I4927" s="340" t="s">
        <v>131</v>
      </c>
      <c r="K4927" s="370"/>
      <c r="N4927" s="370"/>
    </row>
    <row r="4928" spans="1:14" s="347" customFormat="1" x14ac:dyDescent="0.25">
      <c r="A4928" s="402">
        <f>+A4927</f>
        <v>44481</v>
      </c>
      <c r="B4928" s="403">
        <f>+B4927</f>
        <v>10</v>
      </c>
      <c r="C4928" s="338">
        <v>1222</v>
      </c>
      <c r="D4928" s="340" t="str">
        <f>VLOOKUP(C4928,Plan!A:B,2,0)</f>
        <v>Otros Valores -Oficina y Transferencias (249)</v>
      </c>
      <c r="E4928" s="341">
        <f>+F4928-G4928</f>
        <v>-30000</v>
      </c>
      <c r="F4928" s="346">
        <v>0</v>
      </c>
      <c r="G4928" s="346">
        <f>+F4927</f>
        <v>30000</v>
      </c>
      <c r="H4928" s="338" t="str">
        <f>+H4927</f>
        <v>María Luz Montt Díaz / 249</v>
      </c>
      <c r="I4928" s="340" t="s">
        <v>131</v>
      </c>
      <c r="K4928" s="370"/>
      <c r="N4928" s="370"/>
    </row>
    <row r="4929" spans="1:14" s="347" customFormat="1" x14ac:dyDescent="0.25">
      <c r="A4929" s="369"/>
      <c r="E4929" s="396"/>
      <c r="F4929" s="396"/>
      <c r="G4929" s="396"/>
      <c r="K4929" s="370"/>
      <c r="N4929" s="370"/>
    </row>
    <row r="4930" spans="1:14" s="347" customFormat="1" x14ac:dyDescent="0.25">
      <c r="A4930" s="402">
        <v>44481</v>
      </c>
      <c r="B4930" s="403">
        <f>+MONTH(A4930)</f>
        <v>10</v>
      </c>
      <c r="C4930" s="338">
        <v>115</v>
      </c>
      <c r="D4930" s="340" t="str">
        <f>VLOOKUP(C4930,Plan!A:B,2,0)</f>
        <v>Disponible Cali B.Chile</v>
      </c>
      <c r="E4930" s="341">
        <f>+F4930-G4930</f>
        <v>30000</v>
      </c>
      <c r="F4930" s="346">
        <v>30000</v>
      </c>
      <c r="G4930" s="346">
        <v>0</v>
      </c>
      <c r="H4930" t="s">
        <v>1017</v>
      </c>
      <c r="I4930" s="340" t="s">
        <v>131</v>
      </c>
      <c r="K4930" s="370"/>
      <c r="N4930" s="370"/>
    </row>
    <row r="4931" spans="1:14" s="347" customFormat="1" x14ac:dyDescent="0.25">
      <c r="A4931" s="402">
        <f>+A4930</f>
        <v>44481</v>
      </c>
      <c r="B4931" s="403">
        <f>+B4930</f>
        <v>10</v>
      </c>
      <c r="C4931" s="338">
        <v>1216</v>
      </c>
      <c r="D4931" s="340" t="str">
        <f>VLOOKUP(C4931,Plan!A:B,2,0)</f>
        <v>Otros Valores Recaudadoras</v>
      </c>
      <c r="E4931" s="341">
        <f>+F4931-G4931</f>
        <v>-30000</v>
      </c>
      <c r="F4931" s="346">
        <v>0</v>
      </c>
      <c r="G4931" s="346">
        <f>+F4930</f>
        <v>30000</v>
      </c>
      <c r="H4931" s="338" t="str">
        <f>+H4930</f>
        <v>María Pía Laura Parodi Gil / 249</v>
      </c>
      <c r="I4931" s="340" t="s">
        <v>131</v>
      </c>
      <c r="K4931" s="370"/>
      <c r="N4931" s="370"/>
    </row>
    <row r="4932" spans="1:14" s="347" customFormat="1" x14ac:dyDescent="0.25">
      <c r="A4932" s="369"/>
      <c r="E4932" s="396"/>
      <c r="F4932" s="396"/>
      <c r="G4932" s="396"/>
      <c r="K4932" s="370"/>
      <c r="N4932" s="370"/>
    </row>
    <row r="4933" spans="1:14" s="347" customFormat="1" x14ac:dyDescent="0.25">
      <c r="A4933" s="402">
        <v>44482</v>
      </c>
      <c r="B4933" s="403">
        <f>+MONTH(A4933)</f>
        <v>10</v>
      </c>
      <c r="C4933" s="338">
        <v>115</v>
      </c>
      <c r="D4933" s="340" t="str">
        <f>VLOOKUP(C4933,Plan!A:B,2,0)</f>
        <v>Disponible Cali B.Chile</v>
      </c>
      <c r="E4933" s="341">
        <f>+F4933-G4933</f>
        <v>11000</v>
      </c>
      <c r="F4933" s="346">
        <v>11000</v>
      </c>
      <c r="G4933" s="346">
        <v>0</v>
      </c>
      <c r="H4933" t="s">
        <v>1020</v>
      </c>
      <c r="I4933" s="340" t="s">
        <v>131</v>
      </c>
      <c r="K4933" s="370"/>
      <c r="N4933" s="370"/>
    </row>
    <row r="4934" spans="1:14" s="347" customFormat="1" x14ac:dyDescent="0.25">
      <c r="A4934" s="402">
        <f>+A4933</f>
        <v>44482</v>
      </c>
      <c r="B4934" s="403">
        <f>+B4933</f>
        <v>10</v>
      </c>
      <c r="C4934" s="338">
        <v>1217</v>
      </c>
      <c r="D4934" s="340" t="str">
        <f>VLOOKUP(C4934,Plan!A:B,2,0)</f>
        <v>Otros Valores -Oficina y Transferencias (248)</v>
      </c>
      <c r="E4934" s="341">
        <f>+F4934-G4934</f>
        <v>-11000</v>
      </c>
      <c r="F4934" s="346">
        <v>0</v>
      </c>
      <c r="G4934" s="346">
        <f>+F4933</f>
        <v>11000</v>
      </c>
      <c r="H4934" s="338" t="str">
        <f>+H4933</f>
        <v xml:space="preserve">M.Cristina Valenzuela L./248 </v>
      </c>
      <c r="I4934" s="340" t="s">
        <v>131</v>
      </c>
      <c r="K4934" s="370"/>
      <c r="N4934" s="370"/>
    </row>
    <row r="4935" spans="1:14" s="347" customFormat="1" x14ac:dyDescent="0.25">
      <c r="A4935" s="369"/>
      <c r="E4935" s="396"/>
      <c r="F4935" s="396"/>
      <c r="G4935" s="396"/>
      <c r="K4935" s="370"/>
      <c r="N4935" s="370"/>
    </row>
    <row r="4936" spans="1:14" s="347" customFormat="1" x14ac:dyDescent="0.25">
      <c r="A4936" s="402">
        <v>44482</v>
      </c>
      <c r="B4936" s="403">
        <f>+MONTH(A4936)</f>
        <v>10</v>
      </c>
      <c r="C4936" s="338">
        <v>115</v>
      </c>
      <c r="D4936" s="340" t="str">
        <f>VLOOKUP(C4936,Plan!A:B,2,0)</f>
        <v>Disponible Cali B.Chile</v>
      </c>
      <c r="E4936" s="341">
        <f>+F4936-G4936</f>
        <v>40000</v>
      </c>
      <c r="F4936" s="346">
        <v>40000</v>
      </c>
      <c r="G4936" s="346">
        <v>0</v>
      </c>
      <c r="H4936" t="s">
        <v>1003</v>
      </c>
      <c r="I4936" s="340" t="s">
        <v>131</v>
      </c>
      <c r="K4936" s="370"/>
      <c r="N4936" s="370"/>
    </row>
    <row r="4937" spans="1:14" s="347" customFormat="1" x14ac:dyDescent="0.25">
      <c r="A4937" s="402">
        <f>+A4936</f>
        <v>44482</v>
      </c>
      <c r="B4937" s="403">
        <f>+B4936</f>
        <v>10</v>
      </c>
      <c r="C4937" s="338">
        <v>3210</v>
      </c>
      <c r="D4937" s="340" t="str">
        <f>VLOOKUP(C4937,Plan!A:B,2,0)</f>
        <v>Donacion Construccion</v>
      </c>
      <c r="E4937" s="341">
        <f>+F4937-G4937</f>
        <v>-40000</v>
      </c>
      <c r="F4937" s="346">
        <v>0</v>
      </c>
      <c r="G4937" s="346">
        <f>+F4936</f>
        <v>40000</v>
      </c>
      <c r="H4937" s="338" t="str">
        <f>+H4936</f>
        <v>Marcela Rebeca Pinto Zepeda / Azul</v>
      </c>
      <c r="I4937" s="340" t="s">
        <v>131</v>
      </c>
      <c r="K4937" s="370"/>
      <c r="N4937" s="370"/>
    </row>
    <row r="4938" spans="1:14" s="347" customFormat="1" x14ac:dyDescent="0.25">
      <c r="A4938" s="369"/>
      <c r="E4938" s="396"/>
      <c r="F4938" s="396"/>
      <c r="G4938" s="396"/>
      <c r="K4938" s="370"/>
      <c r="N4938" s="370"/>
    </row>
    <row r="4939" spans="1:14" s="347" customFormat="1" x14ac:dyDescent="0.25">
      <c r="A4939" s="402">
        <v>44482</v>
      </c>
      <c r="B4939" s="403">
        <f>+MONTH(A4939)</f>
        <v>10</v>
      </c>
      <c r="C4939" s="338">
        <v>115</v>
      </c>
      <c r="D4939" s="340" t="str">
        <f>VLOOKUP(C4939,Plan!A:B,2,0)</f>
        <v>Disponible Cali B.Chile</v>
      </c>
      <c r="E4939" s="341">
        <f>+F4939-G4939</f>
        <v>30000</v>
      </c>
      <c r="F4939" s="346">
        <v>30000</v>
      </c>
      <c r="G4939" s="346">
        <v>0</v>
      </c>
      <c r="H4939" t="s">
        <v>1998</v>
      </c>
      <c r="I4939" s="340" t="s">
        <v>131</v>
      </c>
      <c r="K4939" s="370"/>
      <c r="N4939" s="370"/>
    </row>
    <row r="4940" spans="1:14" s="347" customFormat="1" x14ac:dyDescent="0.25">
      <c r="A4940" s="402">
        <f>+A4939</f>
        <v>44482</v>
      </c>
      <c r="B4940" s="403">
        <f>+B4939</f>
        <v>10</v>
      </c>
      <c r="C4940" s="338">
        <v>216</v>
      </c>
      <c r="D4940" s="340" t="str">
        <f>VLOOKUP(C4940,Plan!A:B,2,0)</f>
        <v>Cuenta por Pagar a Administración Colectas</v>
      </c>
      <c r="E4940" s="341">
        <f>+F4940-G4940</f>
        <v>-30000</v>
      </c>
      <c r="F4940" s="346">
        <v>0</v>
      </c>
      <c r="G4940" s="346">
        <f>+F4939</f>
        <v>30000</v>
      </c>
      <c r="H4940" s="338" t="str">
        <f>+H4939</f>
        <v>Colecta Marcela Rebeca Pinto Zepeda</v>
      </c>
      <c r="I4940" s="340" t="s">
        <v>131</v>
      </c>
      <c r="K4940" s="370"/>
      <c r="N4940" s="370"/>
    </row>
    <row r="4941" spans="1:14" s="347" customFormat="1" x14ac:dyDescent="0.25">
      <c r="A4941" s="369"/>
      <c r="E4941" s="396"/>
      <c r="F4941" s="396"/>
      <c r="G4941" s="396"/>
      <c r="K4941" s="370"/>
      <c r="N4941" s="370"/>
    </row>
    <row r="4942" spans="1:14" s="347" customFormat="1" x14ac:dyDescent="0.25">
      <c r="A4942" s="402">
        <v>44482</v>
      </c>
      <c r="B4942" s="403">
        <f>+MONTH(A4942)</f>
        <v>10</v>
      </c>
      <c r="C4942" s="338">
        <v>115</v>
      </c>
      <c r="D4942" s="340" t="str">
        <f>VLOOKUP(C4942,Plan!A:B,2,0)</f>
        <v>Disponible Cali B.Chile</v>
      </c>
      <c r="E4942" s="341">
        <f>+F4942-G4942</f>
        <v>20000</v>
      </c>
      <c r="F4942" s="346">
        <v>20000</v>
      </c>
      <c r="G4942" s="346">
        <v>0</v>
      </c>
      <c r="H4942" t="s">
        <v>1022</v>
      </c>
      <c r="I4942" s="340" t="s">
        <v>131</v>
      </c>
      <c r="K4942" s="370"/>
      <c r="N4942" s="370"/>
    </row>
    <row r="4943" spans="1:14" s="347" customFormat="1" x14ac:dyDescent="0.25">
      <c r="A4943" s="402">
        <f>+A4942</f>
        <v>44482</v>
      </c>
      <c r="B4943" s="403">
        <f>+B4942</f>
        <v>10</v>
      </c>
      <c r="C4943" s="338">
        <v>3210</v>
      </c>
      <c r="D4943" s="340" t="str">
        <f>VLOOKUP(C4943,Plan!A:B,2,0)</f>
        <v>Donacion Construccion</v>
      </c>
      <c r="E4943" s="341">
        <f>+F4943-G4943</f>
        <v>-20000</v>
      </c>
      <c r="F4943" s="346">
        <v>0</v>
      </c>
      <c r="G4943" s="346">
        <f>+F4942</f>
        <v>20000</v>
      </c>
      <c r="H4943" s="338" t="str">
        <f>+H4942</f>
        <v>M.Graciela Garrido C. / Azul</v>
      </c>
      <c r="I4943" s="340" t="s">
        <v>131</v>
      </c>
      <c r="K4943" s="370"/>
      <c r="N4943" s="370"/>
    </row>
    <row r="4944" spans="1:14" s="347" customFormat="1" x14ac:dyDescent="0.25">
      <c r="A4944" s="369"/>
      <c r="E4944" s="396"/>
      <c r="F4944" s="396"/>
      <c r="G4944" s="396"/>
      <c r="K4944" s="370"/>
      <c r="N4944" s="370"/>
    </row>
    <row r="4945" spans="1:14" s="347" customFormat="1" x14ac:dyDescent="0.25">
      <c r="A4945" s="402">
        <v>44482</v>
      </c>
      <c r="B4945" s="403">
        <f>+MONTH(A4945)</f>
        <v>10</v>
      </c>
      <c r="C4945" s="338">
        <v>115</v>
      </c>
      <c r="D4945" s="340" t="str">
        <f>VLOOKUP(C4945,Plan!A:B,2,0)</f>
        <v>Disponible Cali B.Chile</v>
      </c>
      <c r="E4945" s="341">
        <f>+F4945-G4945</f>
        <v>25000</v>
      </c>
      <c r="F4945" s="346">
        <v>25000</v>
      </c>
      <c r="G4945" s="346">
        <v>0</v>
      </c>
      <c r="H4945" t="s">
        <v>1023</v>
      </c>
      <c r="I4945" s="340" t="s">
        <v>131</v>
      </c>
      <c r="K4945" s="370"/>
      <c r="N4945" s="370"/>
    </row>
    <row r="4946" spans="1:14" s="347" customFormat="1" x14ac:dyDescent="0.25">
      <c r="A4946" s="402">
        <f>+A4945</f>
        <v>44482</v>
      </c>
      <c r="B4946" s="403">
        <f>+B4945</f>
        <v>10</v>
      </c>
      <c r="C4946" s="338">
        <v>1222</v>
      </c>
      <c r="D4946" s="340" t="str">
        <f>VLOOKUP(C4946,Plan!A:B,2,0)</f>
        <v>Otros Valores -Oficina y Transferencias (249)</v>
      </c>
      <c r="E4946" s="341">
        <f>+F4946-G4946</f>
        <v>-25000</v>
      </c>
      <c r="F4946" s="346">
        <v>0</v>
      </c>
      <c r="G4946" s="346">
        <f>+F4945</f>
        <v>25000</v>
      </c>
      <c r="H4946" s="338" t="str">
        <f>+H4945</f>
        <v>M.Graciela Garrido C. / 249</v>
      </c>
      <c r="I4946" s="340" t="s">
        <v>131</v>
      </c>
      <c r="K4946" s="370"/>
      <c r="N4946" s="370"/>
    </row>
    <row r="4947" spans="1:14" s="347" customFormat="1" x14ac:dyDescent="0.25">
      <c r="A4947" s="369"/>
      <c r="E4947" s="396"/>
      <c r="F4947" s="396"/>
      <c r="G4947" s="396"/>
      <c r="K4947" s="370"/>
      <c r="N4947" s="370"/>
    </row>
    <row r="4948" spans="1:14" s="347" customFormat="1" x14ac:dyDescent="0.25">
      <c r="A4948" s="402">
        <v>44482</v>
      </c>
      <c r="B4948" s="403">
        <f>+MONTH(A4948)</f>
        <v>10</v>
      </c>
      <c r="C4948" s="338">
        <v>115</v>
      </c>
      <c r="D4948" s="340" t="str">
        <f>VLOOKUP(C4948,Plan!A:B,2,0)</f>
        <v>Disponible Cali B.Chile</v>
      </c>
      <c r="E4948" s="341">
        <f>+F4948-G4948</f>
        <v>7000</v>
      </c>
      <c r="F4948" s="346">
        <v>7000</v>
      </c>
      <c r="G4948" s="346">
        <v>0</v>
      </c>
      <c r="H4948" t="s">
        <v>1078</v>
      </c>
      <c r="I4948" s="340" t="s">
        <v>131</v>
      </c>
      <c r="K4948" s="370"/>
      <c r="N4948" s="370"/>
    </row>
    <row r="4949" spans="1:14" s="347" customFormat="1" x14ac:dyDescent="0.25">
      <c r="A4949" s="402">
        <f>+A4948</f>
        <v>44482</v>
      </c>
      <c r="B4949" s="403">
        <f>+B4948</f>
        <v>10</v>
      </c>
      <c r="C4949" s="338">
        <v>1222</v>
      </c>
      <c r="D4949" s="340" t="str">
        <f>VLOOKUP(C4949,Plan!A:B,2,0)</f>
        <v>Otros Valores -Oficina y Transferencias (249)</v>
      </c>
      <c r="E4949" s="341">
        <f>+F4949-G4949</f>
        <v>-7000</v>
      </c>
      <c r="F4949" s="346">
        <v>0</v>
      </c>
      <c r="G4949" s="346">
        <f>+F4948</f>
        <v>7000</v>
      </c>
      <c r="H4949" s="338" t="str">
        <f>+H4948</f>
        <v>Isabel Margarita Cortés Testart/249</v>
      </c>
      <c r="I4949" s="340" t="s">
        <v>131</v>
      </c>
      <c r="K4949" s="370"/>
      <c r="N4949" s="370"/>
    </row>
    <row r="4950" spans="1:14" s="347" customFormat="1" x14ac:dyDescent="0.25">
      <c r="A4950" s="369"/>
      <c r="E4950" s="396"/>
      <c r="F4950" s="396"/>
      <c r="G4950" s="396"/>
      <c r="K4950" s="370"/>
      <c r="N4950" s="370"/>
    </row>
    <row r="4951" spans="1:14" s="347" customFormat="1" x14ac:dyDescent="0.25">
      <c r="A4951" s="402">
        <v>44482</v>
      </c>
      <c r="B4951" s="403">
        <f>+MONTH(A4951)</f>
        <v>10</v>
      </c>
      <c r="C4951" s="338">
        <v>115</v>
      </c>
      <c r="D4951" s="340" t="str">
        <f>VLOOKUP(C4951,Plan!A:B,2,0)</f>
        <v>Disponible Cali B.Chile</v>
      </c>
      <c r="E4951" s="341">
        <f>+F4951-G4951</f>
        <v>25000</v>
      </c>
      <c r="F4951" s="346">
        <v>25000</v>
      </c>
      <c r="G4951" s="346">
        <v>0</v>
      </c>
      <c r="H4951" t="s">
        <v>980</v>
      </c>
      <c r="I4951" s="340" t="s">
        <v>131</v>
      </c>
      <c r="K4951" s="370"/>
      <c r="N4951" s="370"/>
    </row>
    <row r="4952" spans="1:14" s="347" customFormat="1" x14ac:dyDescent="0.25">
      <c r="A4952" s="402">
        <f>+A4951</f>
        <v>44482</v>
      </c>
      <c r="B4952" s="403">
        <f>+B4951</f>
        <v>10</v>
      </c>
      <c r="C4952" s="338">
        <v>1217</v>
      </c>
      <c r="D4952" s="340" t="str">
        <f>VLOOKUP(C4952,Plan!A:B,2,0)</f>
        <v>Otros Valores -Oficina y Transferencias (248)</v>
      </c>
      <c r="E4952" s="341">
        <f>+F4952-G4952</f>
        <v>-25000</v>
      </c>
      <c r="F4952" s="346">
        <v>0</v>
      </c>
      <c r="G4952" s="346">
        <f>+F4951</f>
        <v>25000</v>
      </c>
      <c r="H4952" s="338" t="str">
        <f>+H4951</f>
        <v xml:space="preserve">Florencia García /248 </v>
      </c>
      <c r="I4952" s="340" t="s">
        <v>131</v>
      </c>
      <c r="K4952" s="370"/>
      <c r="N4952" s="370"/>
    </row>
    <row r="4953" spans="1:14" s="347" customFormat="1" x14ac:dyDescent="0.25">
      <c r="A4953" s="369"/>
      <c r="E4953" s="396"/>
      <c r="F4953" s="396"/>
      <c r="G4953" s="396"/>
      <c r="K4953" s="370"/>
      <c r="N4953" s="370"/>
    </row>
    <row r="4954" spans="1:14" s="347" customFormat="1" x14ac:dyDescent="0.25">
      <c r="A4954" s="402">
        <v>44482</v>
      </c>
      <c r="B4954" s="403">
        <f>+MONTH(A4954)</f>
        <v>10</v>
      </c>
      <c r="C4954" s="338">
        <v>115</v>
      </c>
      <c r="D4954" s="340" t="str">
        <f>VLOOKUP(C4954,Plan!A:B,2,0)</f>
        <v>Disponible Cali B.Chile</v>
      </c>
      <c r="E4954" s="341">
        <f>+F4954-G4954</f>
        <v>40000</v>
      </c>
      <c r="F4954" s="346">
        <v>40000</v>
      </c>
      <c r="G4954" s="346">
        <v>0</v>
      </c>
      <c r="H4954" t="s">
        <v>2169</v>
      </c>
      <c r="I4954" s="340" t="s">
        <v>131</v>
      </c>
      <c r="K4954" s="370"/>
      <c r="N4954" s="370"/>
    </row>
    <row r="4955" spans="1:14" s="347" customFormat="1" x14ac:dyDescent="0.25">
      <c r="A4955" s="402">
        <f>+A4954</f>
        <v>44482</v>
      </c>
      <c r="B4955" s="403">
        <f>+B4954</f>
        <v>10</v>
      </c>
      <c r="C4955" s="338">
        <v>1222</v>
      </c>
      <c r="D4955" s="340" t="str">
        <f>VLOOKUP(C4955,Plan!A:B,2,0)</f>
        <v>Otros Valores -Oficina y Transferencias (249)</v>
      </c>
      <c r="E4955" s="341">
        <f>+F4955-G4955</f>
        <v>-40000</v>
      </c>
      <c r="F4955" s="346">
        <v>0</v>
      </c>
      <c r="G4955" s="346">
        <f>+F4954</f>
        <v>40000</v>
      </c>
      <c r="H4955" s="338" t="str">
        <f>+H4954</f>
        <v>Pedro Ríos Dempster / 249 (Sept-Dic/2021)</v>
      </c>
      <c r="I4955" s="340" t="s">
        <v>131</v>
      </c>
      <c r="K4955" s="370"/>
      <c r="N4955" s="370"/>
    </row>
    <row r="4956" spans="1:14" s="347" customFormat="1" x14ac:dyDescent="0.25">
      <c r="A4956" s="369"/>
      <c r="E4956" s="396"/>
      <c r="F4956" s="396"/>
      <c r="G4956" s="396"/>
      <c r="K4956" s="370"/>
      <c r="N4956" s="370"/>
    </row>
    <row r="4957" spans="1:14" s="347" customFormat="1" x14ac:dyDescent="0.25">
      <c r="A4957" s="402">
        <v>44483</v>
      </c>
      <c r="B4957" s="403">
        <f>+MONTH(A4957)</f>
        <v>10</v>
      </c>
      <c r="C4957" s="338">
        <v>115</v>
      </c>
      <c r="D4957" s="340" t="str">
        <f>VLOOKUP(C4957,Plan!A:B,2,0)</f>
        <v>Disponible Cali B.Chile</v>
      </c>
      <c r="E4957" s="341">
        <f>+F4957-G4957</f>
        <v>30000</v>
      </c>
      <c r="F4957" s="346">
        <v>30000</v>
      </c>
      <c r="G4957" s="346">
        <v>0</v>
      </c>
      <c r="H4957" t="s">
        <v>2170</v>
      </c>
      <c r="I4957" s="340" t="s">
        <v>131</v>
      </c>
      <c r="K4957" s="370"/>
      <c r="N4957" s="370"/>
    </row>
    <row r="4958" spans="1:14" s="347" customFormat="1" x14ac:dyDescent="0.25">
      <c r="A4958" s="402">
        <f>+A4957</f>
        <v>44483</v>
      </c>
      <c r="B4958" s="403">
        <f>+B4957</f>
        <v>10</v>
      </c>
      <c r="C4958" s="338">
        <v>3210</v>
      </c>
      <c r="D4958" s="340" t="str">
        <f>VLOOKUP(C4958,Plan!A:B,2,0)</f>
        <v>Donacion Construccion</v>
      </c>
      <c r="E4958" s="341">
        <f>+F4958-G4958</f>
        <v>-30000</v>
      </c>
      <c r="F4958" s="346">
        <v>0</v>
      </c>
      <c r="G4958" s="346">
        <f>+F4957</f>
        <v>30000</v>
      </c>
      <c r="H4958" s="338" t="str">
        <f>+H4957</f>
        <v>Pablo Antonio Medina Herrera / Azul</v>
      </c>
      <c r="I4958" s="340" t="s">
        <v>131</v>
      </c>
      <c r="K4958" s="370"/>
      <c r="N4958" s="370"/>
    </row>
    <row r="4959" spans="1:14" s="347" customFormat="1" x14ac:dyDescent="0.25">
      <c r="A4959" s="369"/>
      <c r="E4959" s="396"/>
      <c r="F4959" s="396"/>
      <c r="G4959" s="396"/>
      <c r="K4959" s="370"/>
      <c r="N4959" s="370"/>
    </row>
    <row r="4960" spans="1:14" s="347" customFormat="1" x14ac:dyDescent="0.25">
      <c r="A4960" s="402">
        <v>44483</v>
      </c>
      <c r="B4960" s="403">
        <f>+MONTH(A4960)</f>
        <v>10</v>
      </c>
      <c r="C4960" s="338">
        <v>115</v>
      </c>
      <c r="D4960" s="340" t="str">
        <f>VLOOKUP(C4960,Plan!A:B,2,0)</f>
        <v>Disponible Cali B.Chile</v>
      </c>
      <c r="E4960" s="341">
        <f>+F4960-G4960</f>
        <v>65000</v>
      </c>
      <c r="F4960" s="346">
        <v>65000</v>
      </c>
      <c r="G4960" s="346">
        <v>0</v>
      </c>
      <c r="H4960" t="s">
        <v>550</v>
      </c>
      <c r="I4960" s="340" t="s">
        <v>131</v>
      </c>
      <c r="K4960" s="370"/>
      <c r="N4960" s="370"/>
    </row>
    <row r="4961" spans="1:14" s="347" customFormat="1" x14ac:dyDescent="0.25">
      <c r="A4961" s="402">
        <f>+A4960</f>
        <v>44483</v>
      </c>
      <c r="B4961" s="403">
        <f>+B4960</f>
        <v>10</v>
      </c>
      <c r="C4961" s="338">
        <v>1217</v>
      </c>
      <c r="D4961" s="340" t="str">
        <f>VLOOKUP(C4961,Plan!A:B,2,0)</f>
        <v>Otros Valores -Oficina y Transferencias (248)</v>
      </c>
      <c r="E4961" s="341">
        <f>+F4961-G4961</f>
        <v>-65000</v>
      </c>
      <c r="F4961" s="346">
        <v>0</v>
      </c>
      <c r="G4961" s="346">
        <f>+F4960</f>
        <v>65000</v>
      </c>
      <c r="H4961" s="338" t="str">
        <f>+H4960</f>
        <v>Leonardo Robles / 248</v>
      </c>
      <c r="I4961" s="340" t="s">
        <v>131</v>
      </c>
      <c r="K4961" s="370"/>
      <c r="N4961" s="370"/>
    </row>
    <row r="4962" spans="1:14" s="347" customFormat="1" x14ac:dyDescent="0.25">
      <c r="A4962" s="369"/>
      <c r="E4962" s="396"/>
      <c r="F4962" s="396"/>
      <c r="G4962" s="396"/>
      <c r="K4962" s="370"/>
      <c r="N4962" s="370"/>
    </row>
    <row r="4963" spans="1:14" s="347" customFormat="1" x14ac:dyDescent="0.25">
      <c r="A4963" s="402">
        <v>44484</v>
      </c>
      <c r="B4963" s="403">
        <f>+MONTH(A4963)</f>
        <v>10</v>
      </c>
      <c r="C4963" s="338">
        <v>115</v>
      </c>
      <c r="D4963" s="340" t="str">
        <f>VLOOKUP(C4963,Plan!A:B,2,0)</f>
        <v>Disponible Cali B.Chile</v>
      </c>
      <c r="E4963" s="341">
        <f>+F4963-G4963</f>
        <v>50000</v>
      </c>
      <c r="F4963" s="346">
        <v>50000</v>
      </c>
      <c r="G4963" s="346">
        <v>0</v>
      </c>
      <c r="H4963" t="s">
        <v>1024</v>
      </c>
      <c r="I4963" s="340" t="s">
        <v>131</v>
      </c>
      <c r="K4963" s="370"/>
      <c r="N4963" s="370"/>
    </row>
    <row r="4964" spans="1:14" s="347" customFormat="1" x14ac:dyDescent="0.25">
      <c r="A4964" s="402">
        <f>+A4963</f>
        <v>44484</v>
      </c>
      <c r="B4964" s="403">
        <f>+B4963</f>
        <v>10</v>
      </c>
      <c r="C4964" s="338">
        <v>1222</v>
      </c>
      <c r="D4964" s="340" t="str">
        <f>VLOOKUP(C4964,Plan!A:B,2,0)</f>
        <v>Otros Valores -Oficina y Transferencias (249)</v>
      </c>
      <c r="E4964" s="341">
        <f>+F4964-G4964</f>
        <v>-50000</v>
      </c>
      <c r="F4964" s="346">
        <v>0</v>
      </c>
      <c r="G4964" s="346">
        <f>+F4963</f>
        <v>50000</v>
      </c>
      <c r="H4964" s="338" t="str">
        <f>+H4963</f>
        <v>Bernardita Mujica Gutierrez  / 249</v>
      </c>
      <c r="I4964" s="340" t="s">
        <v>131</v>
      </c>
      <c r="K4964" s="370"/>
      <c r="N4964" s="370"/>
    </row>
    <row r="4965" spans="1:14" s="347" customFormat="1" x14ac:dyDescent="0.25">
      <c r="A4965" s="369"/>
      <c r="E4965" s="396"/>
      <c r="F4965" s="396"/>
      <c r="G4965" s="396"/>
      <c r="K4965" s="370"/>
      <c r="N4965" s="370"/>
    </row>
    <row r="4966" spans="1:14" s="347" customFormat="1" x14ac:dyDescent="0.25">
      <c r="A4966" s="402">
        <v>44484</v>
      </c>
      <c r="B4966" s="403">
        <f>+MONTH(A4966)</f>
        <v>10</v>
      </c>
      <c r="C4966" s="338">
        <v>115</v>
      </c>
      <c r="D4966" s="340" t="str">
        <f>VLOOKUP(C4966,Plan!A:B,2,0)</f>
        <v>Disponible Cali B.Chile</v>
      </c>
      <c r="E4966" s="341">
        <f>+F4966-G4966</f>
        <v>5000</v>
      </c>
      <c r="F4966" s="346">
        <v>5000</v>
      </c>
      <c r="G4966" s="346">
        <v>0</v>
      </c>
      <c r="H4966" t="s">
        <v>1861</v>
      </c>
      <c r="I4966" s="340" t="s">
        <v>131</v>
      </c>
      <c r="K4966" s="370"/>
      <c r="N4966" s="370"/>
    </row>
    <row r="4967" spans="1:14" s="347" customFormat="1" x14ac:dyDescent="0.25">
      <c r="A4967" s="402">
        <f>+A4966</f>
        <v>44484</v>
      </c>
      <c r="B4967" s="403">
        <f>+B4966</f>
        <v>10</v>
      </c>
      <c r="C4967" s="338">
        <v>216</v>
      </c>
      <c r="D4967" s="340" t="str">
        <f>VLOOKUP(C4967,Plan!A:B,2,0)</f>
        <v>Cuenta por Pagar a Administración Colectas</v>
      </c>
      <c r="E4967" s="341">
        <f>+F4967-G4967</f>
        <v>-5000</v>
      </c>
      <c r="F4967" s="346">
        <v>0</v>
      </c>
      <c r="G4967" s="346">
        <f>+F4966</f>
        <v>5000</v>
      </c>
      <c r="H4967" s="338" t="str">
        <f>+H4966</f>
        <v>Colecta Pilar Bustamante</v>
      </c>
      <c r="I4967" s="340" t="s">
        <v>131</v>
      </c>
      <c r="K4967" s="370"/>
      <c r="N4967" s="370"/>
    </row>
    <row r="4968" spans="1:14" s="347" customFormat="1" x14ac:dyDescent="0.25">
      <c r="A4968" s="369"/>
      <c r="E4968" s="396"/>
      <c r="F4968" s="396"/>
      <c r="G4968" s="396"/>
      <c r="K4968" s="370"/>
      <c r="N4968" s="370"/>
    </row>
    <row r="4969" spans="1:14" s="347" customFormat="1" x14ac:dyDescent="0.25">
      <c r="A4969" s="402">
        <v>44484</v>
      </c>
      <c r="B4969" s="403">
        <f>+MONTH(A4969)</f>
        <v>10</v>
      </c>
      <c r="C4969" s="338">
        <v>115</v>
      </c>
      <c r="D4969" s="340" t="str">
        <f>VLOOKUP(C4969,Plan!A:B,2,0)</f>
        <v>Disponible Cali B.Chile</v>
      </c>
      <c r="E4969" s="341">
        <f>+F4969-G4969</f>
        <v>20000</v>
      </c>
      <c r="F4969" s="346">
        <v>20000</v>
      </c>
      <c r="G4969" s="346">
        <v>0</v>
      </c>
      <c r="H4969" t="s">
        <v>1025</v>
      </c>
      <c r="I4969" s="340" t="s">
        <v>131</v>
      </c>
      <c r="K4969" s="370"/>
      <c r="N4969" s="370"/>
    </row>
    <row r="4970" spans="1:14" s="347" customFormat="1" x14ac:dyDescent="0.25">
      <c r="A4970" s="402">
        <f>+A4969</f>
        <v>44484</v>
      </c>
      <c r="B4970" s="403">
        <f>+B4969</f>
        <v>10</v>
      </c>
      <c r="C4970" s="338">
        <v>1222</v>
      </c>
      <c r="D4970" s="340" t="str">
        <f>VLOOKUP(C4970,Plan!A:B,2,0)</f>
        <v>Otros Valores -Oficina y Transferencias (249)</v>
      </c>
      <c r="E4970" s="341">
        <f>+F4970-G4970</f>
        <v>-20000</v>
      </c>
      <c r="F4970" s="346">
        <v>0</v>
      </c>
      <c r="G4970" s="346">
        <f>+F4969</f>
        <v>20000</v>
      </c>
      <c r="H4970" s="338" t="str">
        <f>+H4969</f>
        <v>Bernardita Egaña Baraona  / 249</v>
      </c>
      <c r="I4970" s="340" t="s">
        <v>131</v>
      </c>
      <c r="K4970" s="370"/>
      <c r="N4970" s="370"/>
    </row>
    <row r="4971" spans="1:14" s="347" customFormat="1" x14ac:dyDescent="0.25">
      <c r="A4971" s="369"/>
      <c r="E4971" s="396"/>
      <c r="F4971" s="396"/>
      <c r="G4971" s="396"/>
      <c r="K4971" s="370"/>
      <c r="N4971" s="370"/>
    </row>
    <row r="4972" spans="1:14" s="347" customFormat="1" x14ac:dyDescent="0.25">
      <c r="A4972" s="402">
        <v>44484</v>
      </c>
      <c r="B4972" s="403">
        <f>+MONTH(A4972)</f>
        <v>10</v>
      </c>
      <c r="C4972" s="338">
        <v>203</v>
      </c>
      <c r="D4972" s="340" t="str">
        <f>VLOOKUP(C4972,Plan!A:B,2,0)</f>
        <v>Recaudadoras por pagar</v>
      </c>
      <c r="E4972" s="341">
        <f>+F4972-G4972</f>
        <v>54840</v>
      </c>
      <c r="F4972" s="346">
        <f>+G4973+G4974</f>
        <v>54840</v>
      </c>
      <c r="G4972" s="346">
        <v>0</v>
      </c>
      <c r="H4972" t="s">
        <v>2171</v>
      </c>
      <c r="I4972" s="340" t="s">
        <v>131</v>
      </c>
      <c r="K4972" s="370"/>
      <c r="N4972" s="370"/>
    </row>
    <row r="4973" spans="1:14" s="347" customFormat="1" x14ac:dyDescent="0.25">
      <c r="A4973" s="402">
        <f>+A4972</f>
        <v>44484</v>
      </c>
      <c r="B4973" s="403">
        <f>+B4972</f>
        <v>10</v>
      </c>
      <c r="C4973" s="338">
        <v>115</v>
      </c>
      <c r="D4973" s="340" t="str">
        <f>VLOOKUP(C4973,Plan!A:B,2,0)</f>
        <v>Disponible Cali B.Chile</v>
      </c>
      <c r="E4973" s="341">
        <f>+F4973-G4973</f>
        <v>-48533</v>
      </c>
      <c r="F4973" s="346">
        <v>0</v>
      </c>
      <c r="G4973" s="346">
        <v>48533</v>
      </c>
      <c r="H4973" s="338" t="str">
        <f>+H4972</f>
        <v>BE-499 MARIA ANGELICA SEPULVEDA</v>
      </c>
      <c r="I4973" s="340" t="s">
        <v>131</v>
      </c>
      <c r="K4973" s="370"/>
      <c r="N4973" s="370"/>
    </row>
    <row r="4974" spans="1:14" s="347" customFormat="1" x14ac:dyDescent="0.25">
      <c r="A4974" s="402">
        <f>+A4973</f>
        <v>44484</v>
      </c>
      <c r="B4974" s="403">
        <f>+B4973</f>
        <v>10</v>
      </c>
      <c r="C4974" s="338">
        <v>204</v>
      </c>
      <c r="D4974" s="340" t="str">
        <f>VLOOKUP(C4974,Plan!A:B,2,0)</f>
        <v>Retención Honorarios Cali</v>
      </c>
      <c r="E4974" s="341">
        <f>+F4974-G4974</f>
        <v>-6307</v>
      </c>
      <c r="F4974" s="346">
        <v>0</v>
      </c>
      <c r="G4974" s="346">
        <v>6307</v>
      </c>
      <c r="H4974" s="338" t="str">
        <f>+H4973</f>
        <v>BE-499 MARIA ANGELICA SEPULVEDA</v>
      </c>
      <c r="I4974" s="340" t="s">
        <v>131</v>
      </c>
      <c r="K4974" s="370"/>
      <c r="N4974" s="370"/>
    </row>
    <row r="4975" spans="1:14" s="347" customFormat="1" x14ac:dyDescent="0.25">
      <c r="A4975" s="369"/>
      <c r="E4975" s="396"/>
      <c r="F4975" s="396"/>
      <c r="G4975" s="396"/>
      <c r="K4975" s="370"/>
      <c r="N4975" s="370"/>
    </row>
    <row r="4976" spans="1:14" s="347" customFormat="1" x14ac:dyDescent="0.25">
      <c r="A4976" s="402">
        <v>44484</v>
      </c>
      <c r="B4976" s="403">
        <f>+MONTH(A4976)</f>
        <v>10</v>
      </c>
      <c r="C4976" s="338">
        <v>116</v>
      </c>
      <c r="D4976" s="340" t="str">
        <f>VLOOKUP(C4976,Plan!A:B,2,0)</f>
        <v>Disponible CALI Security</v>
      </c>
      <c r="E4976" s="341">
        <f>+F4976-G4976</f>
        <v>27000000</v>
      </c>
      <c r="F4976" s="346">
        <v>27000000</v>
      </c>
      <c r="G4976" s="346">
        <v>0</v>
      </c>
      <c r="H4976" t="s">
        <v>1768</v>
      </c>
      <c r="I4976" s="340" t="s">
        <v>131</v>
      </c>
      <c r="K4976" s="370"/>
      <c r="N4976" s="370"/>
    </row>
    <row r="4977" spans="1:14" s="347" customFormat="1" x14ac:dyDescent="0.25">
      <c r="A4977" s="402">
        <f>+A4976</f>
        <v>44484</v>
      </c>
      <c r="B4977" s="403">
        <f>+B4976</f>
        <v>10</v>
      </c>
      <c r="C4977" s="338">
        <v>115</v>
      </c>
      <c r="D4977" s="340" t="str">
        <f>VLOOKUP(C4977,Plan!A:B,2,0)</f>
        <v>Disponible Cali B.Chile</v>
      </c>
      <c r="E4977" s="341">
        <f>+F4977-G4977</f>
        <v>-27000000</v>
      </c>
      <c r="F4977" s="346">
        <v>0</v>
      </c>
      <c r="G4977" s="346">
        <f>+F4976</f>
        <v>27000000</v>
      </c>
      <c r="H4977" s="338" t="str">
        <f>+H4976</f>
        <v>Trasp.a Cta. Security</v>
      </c>
      <c r="I4977" s="340" t="s">
        <v>131</v>
      </c>
      <c r="K4977" s="370"/>
      <c r="N4977" s="370"/>
    </row>
    <row r="4978" spans="1:14" s="347" customFormat="1" x14ac:dyDescent="0.25">
      <c r="A4978" s="369"/>
      <c r="E4978" s="396"/>
      <c r="F4978" s="396"/>
      <c r="G4978" s="396"/>
      <c r="K4978" s="370"/>
      <c r="N4978" s="370"/>
    </row>
    <row r="4979" spans="1:14" s="347" customFormat="1" x14ac:dyDescent="0.25">
      <c r="A4979" s="402">
        <v>44484</v>
      </c>
      <c r="B4979" s="403">
        <f>+MONTH(A4979)</f>
        <v>10</v>
      </c>
      <c r="C4979" s="338">
        <v>115</v>
      </c>
      <c r="D4979" s="340" t="str">
        <f>VLOOKUP(C4979,Plan!A:B,2,0)</f>
        <v>Disponible Cali B.Chile</v>
      </c>
      <c r="E4979" s="341">
        <f>+F4979-G4979</f>
        <v>3000000</v>
      </c>
      <c r="F4979" s="346">
        <v>3000000</v>
      </c>
      <c r="G4979" s="346">
        <v>0</v>
      </c>
      <c r="H4979" t="s">
        <v>1725</v>
      </c>
      <c r="I4979" s="340" t="s">
        <v>131</v>
      </c>
      <c r="K4979" s="370"/>
      <c r="N4979" s="370"/>
    </row>
    <row r="4980" spans="1:14" s="347" customFormat="1" x14ac:dyDescent="0.25">
      <c r="A4980" s="402">
        <f>+A4979</f>
        <v>44484</v>
      </c>
      <c r="B4980" s="403">
        <f>+B4979</f>
        <v>10</v>
      </c>
      <c r="C4980" s="338">
        <v>3210</v>
      </c>
      <c r="D4980" s="340" t="str">
        <f>VLOOKUP(C4980,Plan!A:B,2,0)</f>
        <v>Donacion Construccion</v>
      </c>
      <c r="E4980" s="341">
        <f>+F4980-G4980</f>
        <v>-3000000</v>
      </c>
      <c r="F4980" s="346">
        <v>0</v>
      </c>
      <c r="G4980" s="346">
        <f>+F4979</f>
        <v>3000000</v>
      </c>
      <c r="H4980" s="338" t="str">
        <f>+H4979</f>
        <v>Jorge Schmidt Girotti / Azul</v>
      </c>
      <c r="I4980" s="340" t="s">
        <v>131</v>
      </c>
      <c r="K4980" s="370"/>
      <c r="N4980" s="370"/>
    </row>
    <row r="4981" spans="1:14" s="347" customFormat="1" x14ac:dyDescent="0.25">
      <c r="A4981" s="369"/>
      <c r="E4981" s="396"/>
      <c r="F4981" s="396"/>
      <c r="G4981" s="396"/>
      <c r="K4981" s="370"/>
      <c r="N4981" s="370"/>
    </row>
    <row r="4982" spans="1:14" s="347" customFormat="1" x14ac:dyDescent="0.25">
      <c r="A4982" s="402">
        <v>44487</v>
      </c>
      <c r="B4982" s="403">
        <f>+MONTH(A4982)</f>
        <v>10</v>
      </c>
      <c r="C4982" s="338">
        <v>115</v>
      </c>
      <c r="D4982" s="340" t="str">
        <f>VLOOKUP(C4982,Plan!A:B,2,0)</f>
        <v>Disponible Cali B.Chile</v>
      </c>
      <c r="E4982" s="341">
        <f>+F4982-G4982</f>
        <v>250000</v>
      </c>
      <c r="F4982" s="346">
        <v>250000</v>
      </c>
      <c r="G4982" s="346">
        <v>0</v>
      </c>
      <c r="H4982" t="s">
        <v>2172</v>
      </c>
      <c r="I4982" s="340" t="s">
        <v>131</v>
      </c>
      <c r="K4982" s="370"/>
      <c r="N4982" s="370"/>
    </row>
    <row r="4983" spans="1:14" s="347" customFormat="1" x14ac:dyDescent="0.25">
      <c r="A4983" s="402">
        <f>+A4982</f>
        <v>44487</v>
      </c>
      <c r="B4983" s="403">
        <f>+B4982</f>
        <v>10</v>
      </c>
      <c r="C4983" s="338">
        <v>3210</v>
      </c>
      <c r="D4983" s="340" t="str">
        <f>VLOOKUP(C4983,Plan!A:B,2,0)</f>
        <v>Donacion Construccion</v>
      </c>
      <c r="E4983" s="341">
        <f>+F4983-G4983</f>
        <v>-250000</v>
      </c>
      <c r="F4983" s="346">
        <v>0</v>
      </c>
      <c r="G4983" s="346">
        <f>+F4982</f>
        <v>250000</v>
      </c>
      <c r="H4983" s="338" t="str">
        <f>+H4982</f>
        <v>Nicolás Errázuriz Salinas / Azul</v>
      </c>
      <c r="I4983" s="340" t="s">
        <v>131</v>
      </c>
      <c r="K4983" s="370"/>
      <c r="N4983" s="370"/>
    </row>
    <row r="4984" spans="1:14" s="347" customFormat="1" x14ac:dyDescent="0.25">
      <c r="A4984" s="369"/>
      <c r="E4984" s="396"/>
      <c r="F4984" s="396"/>
      <c r="G4984" s="396"/>
      <c r="K4984" s="370"/>
      <c r="N4984" s="370"/>
    </row>
    <row r="4985" spans="1:14" s="347" customFormat="1" x14ac:dyDescent="0.25">
      <c r="A4985" s="402">
        <v>44487</v>
      </c>
      <c r="B4985" s="403">
        <f>+MONTH(A4985)</f>
        <v>10</v>
      </c>
      <c r="C4985" s="338">
        <v>115</v>
      </c>
      <c r="D4985" s="340" t="str">
        <f>VLOOKUP(C4985,Plan!A:B,2,0)</f>
        <v>Disponible Cali B.Chile</v>
      </c>
      <c r="E4985" s="341">
        <f>+F4985-G4985</f>
        <v>2000</v>
      </c>
      <c r="F4985" s="346">
        <v>2000</v>
      </c>
      <c r="G4985" s="346">
        <v>0</v>
      </c>
      <c r="H4985" t="s">
        <v>1010</v>
      </c>
      <c r="I4985" s="340" t="s">
        <v>131</v>
      </c>
      <c r="K4985" s="370"/>
      <c r="N4985" s="370"/>
    </row>
    <row r="4986" spans="1:14" s="347" customFormat="1" x14ac:dyDescent="0.25">
      <c r="A4986" s="402">
        <f>+A4985</f>
        <v>44487</v>
      </c>
      <c r="B4986" s="403">
        <f>+B4985</f>
        <v>10</v>
      </c>
      <c r="C4986" s="338">
        <v>216</v>
      </c>
      <c r="D4986" s="340" t="str">
        <f>VLOOKUP(C4986,Plan!A:B,2,0)</f>
        <v>Cuenta por Pagar a Administración Colectas</v>
      </c>
      <c r="E4986" s="341">
        <f>+F4986-G4986</f>
        <v>-2000</v>
      </c>
      <c r="F4986" s="346">
        <v>0</v>
      </c>
      <c r="G4986" s="346">
        <f>+F4985</f>
        <v>2000</v>
      </c>
      <c r="H4986" s="338" t="str">
        <f>+H4985</f>
        <v>Colecta Raimundo Barros</v>
      </c>
      <c r="I4986" s="340" t="s">
        <v>131</v>
      </c>
      <c r="K4986" s="370"/>
      <c r="N4986" s="370"/>
    </row>
    <row r="4987" spans="1:14" s="347" customFormat="1" x14ac:dyDescent="0.25">
      <c r="A4987" s="369"/>
      <c r="E4987" s="396"/>
      <c r="F4987" s="396"/>
      <c r="G4987" s="396"/>
      <c r="K4987" s="370"/>
      <c r="N4987" s="370"/>
    </row>
    <row r="4988" spans="1:14" s="347" customFormat="1" x14ac:dyDescent="0.25">
      <c r="A4988" s="402">
        <v>44487</v>
      </c>
      <c r="B4988" s="403">
        <f>+MONTH(A4988)</f>
        <v>10</v>
      </c>
      <c r="C4988" s="338">
        <v>115</v>
      </c>
      <c r="D4988" s="340" t="str">
        <f>VLOOKUP(C4988,Plan!A:B,2,0)</f>
        <v>Disponible Cali B.Chile</v>
      </c>
      <c r="E4988" s="341">
        <f>+F4988-G4988</f>
        <v>100000</v>
      </c>
      <c r="F4988" s="346">
        <v>100000</v>
      </c>
      <c r="G4988" s="346">
        <v>0</v>
      </c>
      <c r="H4988" t="s">
        <v>1021</v>
      </c>
      <c r="I4988" s="340" t="s">
        <v>131</v>
      </c>
      <c r="K4988" s="370"/>
      <c r="N4988" s="370"/>
    </row>
    <row r="4989" spans="1:14" s="347" customFormat="1" x14ac:dyDescent="0.25">
      <c r="A4989" s="402">
        <f>+A4988</f>
        <v>44487</v>
      </c>
      <c r="B4989" s="403">
        <f>+B4988</f>
        <v>10</v>
      </c>
      <c r="C4989" s="338">
        <v>3210</v>
      </c>
      <c r="D4989" s="340" t="str">
        <f>VLOOKUP(C4989,Plan!A:B,2,0)</f>
        <v>Donacion Construccion</v>
      </c>
      <c r="E4989" s="341">
        <f>+F4989-G4989</f>
        <v>-100000</v>
      </c>
      <c r="F4989" s="346">
        <v>0</v>
      </c>
      <c r="G4989" s="346">
        <f>+F4988</f>
        <v>100000</v>
      </c>
      <c r="H4989" s="338" t="str">
        <f>+H4988</f>
        <v>Italo Lubiano Tassara/Azul</v>
      </c>
      <c r="I4989" s="340" t="s">
        <v>131</v>
      </c>
      <c r="K4989" s="370"/>
      <c r="N4989" s="370"/>
    </row>
    <row r="4990" spans="1:14" s="347" customFormat="1" x14ac:dyDescent="0.25">
      <c r="A4990" s="369"/>
      <c r="E4990" s="396"/>
      <c r="F4990" s="396"/>
      <c r="G4990" s="396"/>
      <c r="K4990" s="370"/>
      <c r="N4990" s="370"/>
    </row>
    <row r="4991" spans="1:14" s="347" customFormat="1" x14ac:dyDescent="0.25">
      <c r="A4991" s="402">
        <v>44487</v>
      </c>
      <c r="B4991" s="403">
        <f>+MONTH(A4991)</f>
        <v>10</v>
      </c>
      <c r="C4991" s="338">
        <v>115</v>
      </c>
      <c r="D4991" s="340" t="str">
        <f>VLOOKUP(C4991,Plan!A:B,2,0)</f>
        <v>Disponible Cali B.Chile</v>
      </c>
      <c r="E4991" s="341">
        <f>+F4991-G4991</f>
        <v>470000</v>
      </c>
      <c r="F4991" s="346">
        <v>470000</v>
      </c>
      <c r="G4991" s="346">
        <v>0</v>
      </c>
      <c r="H4991" t="s">
        <v>2170</v>
      </c>
      <c r="I4991" s="340" t="s">
        <v>131</v>
      </c>
      <c r="K4991" s="370"/>
      <c r="N4991" s="370"/>
    </row>
    <row r="4992" spans="1:14" s="347" customFormat="1" x14ac:dyDescent="0.25">
      <c r="A4992" s="402">
        <f>+A4991</f>
        <v>44487</v>
      </c>
      <c r="B4992" s="403">
        <f>+B4991</f>
        <v>10</v>
      </c>
      <c r="C4992" s="338">
        <v>3210</v>
      </c>
      <c r="D4992" s="340" t="str">
        <f>VLOOKUP(C4992,Plan!A:B,2,0)</f>
        <v>Donacion Construccion</v>
      </c>
      <c r="E4992" s="341">
        <f>+F4992-G4992</f>
        <v>-470000</v>
      </c>
      <c r="F4992" s="346">
        <v>0</v>
      </c>
      <c r="G4992" s="346">
        <f>+F4991</f>
        <v>470000</v>
      </c>
      <c r="H4992" s="338" t="str">
        <f>+H4991</f>
        <v>Pablo Antonio Medina Herrera / Azul</v>
      </c>
      <c r="I4992" s="340" t="s">
        <v>131</v>
      </c>
      <c r="K4992" s="370"/>
      <c r="N4992" s="370"/>
    </row>
    <row r="4993" spans="1:14" s="347" customFormat="1" x14ac:dyDescent="0.25">
      <c r="A4993" s="369"/>
      <c r="E4993" s="396"/>
      <c r="F4993" s="396"/>
      <c r="G4993" s="396"/>
      <c r="K4993" s="370"/>
      <c r="N4993" s="370"/>
    </row>
    <row r="4994" spans="1:14" s="347" customFormat="1" x14ac:dyDescent="0.25">
      <c r="A4994" s="402">
        <v>44487</v>
      </c>
      <c r="B4994" s="403">
        <f>+MONTH(A4994)</f>
        <v>10</v>
      </c>
      <c r="C4994" s="338">
        <v>115</v>
      </c>
      <c r="D4994" s="340" t="str">
        <f>VLOOKUP(C4994,Plan!A:B,2,0)</f>
        <v>Disponible Cali B.Chile</v>
      </c>
      <c r="E4994" s="341">
        <f>+F4994-G4994</f>
        <v>10000</v>
      </c>
      <c r="F4994" s="346">
        <v>10000</v>
      </c>
      <c r="G4994" s="346">
        <v>0</v>
      </c>
      <c r="H4994" t="s">
        <v>2173</v>
      </c>
      <c r="I4994" s="340" t="s">
        <v>131</v>
      </c>
      <c r="K4994" s="370"/>
      <c r="N4994" s="370"/>
    </row>
    <row r="4995" spans="1:14" s="347" customFormat="1" x14ac:dyDescent="0.25">
      <c r="A4995" s="402">
        <f>+A4994</f>
        <v>44487</v>
      </c>
      <c r="B4995" s="403">
        <f>+B4994</f>
        <v>10</v>
      </c>
      <c r="C4995" s="338">
        <v>3210</v>
      </c>
      <c r="D4995" s="340" t="str">
        <f>VLOOKUP(C4995,Plan!A:B,2,0)</f>
        <v>Donacion Construccion</v>
      </c>
      <c r="E4995" s="341">
        <f>+F4995-G4995</f>
        <v>-10000</v>
      </c>
      <c r="F4995" s="346">
        <v>0</v>
      </c>
      <c r="G4995" s="346">
        <f>+F4994</f>
        <v>10000</v>
      </c>
      <c r="H4995" s="338" t="str">
        <f>+H4994</f>
        <v>Isabel Romero / Azul</v>
      </c>
      <c r="I4995" s="340" t="s">
        <v>131</v>
      </c>
      <c r="K4995" s="370"/>
      <c r="N4995" s="370"/>
    </row>
    <row r="4996" spans="1:14" s="347" customFormat="1" x14ac:dyDescent="0.25">
      <c r="A4996" s="369"/>
      <c r="E4996" s="396"/>
      <c r="F4996" s="396"/>
      <c r="G4996" s="396"/>
      <c r="K4996" s="370"/>
      <c r="N4996" s="370"/>
    </row>
    <row r="4997" spans="1:14" s="347" customFormat="1" x14ac:dyDescent="0.25">
      <c r="A4997" s="402">
        <v>44488</v>
      </c>
      <c r="B4997" s="403">
        <f>+MONTH(A4997)</f>
        <v>10</v>
      </c>
      <c r="C4997" s="338">
        <v>115</v>
      </c>
      <c r="D4997" s="340" t="str">
        <f>VLOOKUP(C4997,Plan!A:B,2,0)</f>
        <v>Disponible Cali B.Chile</v>
      </c>
      <c r="E4997" s="341">
        <f>+F4997-G4997</f>
        <v>142</v>
      </c>
      <c r="F4997" s="346">
        <v>142</v>
      </c>
      <c r="G4997" s="346">
        <v>0</v>
      </c>
      <c r="H4997" t="s">
        <v>1142</v>
      </c>
      <c r="I4997" s="340" t="s">
        <v>131</v>
      </c>
      <c r="K4997" s="370"/>
      <c r="N4997" s="370"/>
    </row>
    <row r="4998" spans="1:14" s="347" customFormat="1" x14ac:dyDescent="0.25">
      <c r="A4998" s="402">
        <f>+A4997</f>
        <v>44488</v>
      </c>
      <c r="B4998" s="403">
        <f>+B4997</f>
        <v>10</v>
      </c>
      <c r="C4998" s="338">
        <v>3210</v>
      </c>
      <c r="D4998" s="340" t="str">
        <f>VLOOKUP(C4998,Plan!A:B,2,0)</f>
        <v>Donacion Construccion</v>
      </c>
      <c r="E4998" s="341">
        <f>+F4998-G4998</f>
        <v>-142</v>
      </c>
      <c r="F4998" s="346">
        <v>0</v>
      </c>
      <c r="G4998" s="346">
        <f>+F4997</f>
        <v>142</v>
      </c>
      <c r="H4998" s="338" t="str">
        <f>+H4997</f>
        <v>NN</v>
      </c>
      <c r="I4998" s="340" t="s">
        <v>131</v>
      </c>
      <c r="K4998" s="370"/>
      <c r="N4998" s="370"/>
    </row>
    <row r="4999" spans="1:14" s="347" customFormat="1" x14ac:dyDescent="0.25">
      <c r="A4999" s="369"/>
      <c r="E4999" s="396"/>
      <c r="F4999" s="396"/>
      <c r="G4999" s="396"/>
      <c r="K4999" s="370"/>
      <c r="N4999" s="370"/>
    </row>
    <row r="5000" spans="1:14" s="347" customFormat="1" x14ac:dyDescent="0.25">
      <c r="A5000" s="402">
        <v>44489</v>
      </c>
      <c r="B5000" s="403">
        <f>+MONTH(A5000)</f>
        <v>10</v>
      </c>
      <c r="C5000" s="338">
        <v>115</v>
      </c>
      <c r="D5000" s="340" t="str">
        <f>VLOOKUP(C5000,Plan!A:B,2,0)</f>
        <v>Disponible Cali B.Chile</v>
      </c>
      <c r="E5000" s="341">
        <f>+F5000-G5000</f>
        <v>20000</v>
      </c>
      <c r="F5000" s="346">
        <v>20000</v>
      </c>
      <c r="G5000" s="346">
        <v>0</v>
      </c>
      <c r="H5000" t="s">
        <v>1030</v>
      </c>
      <c r="I5000" s="340" t="s">
        <v>131</v>
      </c>
      <c r="K5000" s="370"/>
      <c r="N5000" s="370"/>
    </row>
    <row r="5001" spans="1:14" s="347" customFormat="1" x14ac:dyDescent="0.25">
      <c r="A5001" s="402">
        <f>+A5000</f>
        <v>44489</v>
      </c>
      <c r="B5001" s="403">
        <f>+B5000</f>
        <v>10</v>
      </c>
      <c r="C5001" s="338">
        <v>1222</v>
      </c>
      <c r="D5001" s="340" t="str">
        <f>VLOOKUP(C5001,Plan!A:B,2,0)</f>
        <v>Otros Valores -Oficina y Transferencias (249)</v>
      </c>
      <c r="E5001" s="341">
        <f>+F5001-G5001</f>
        <v>-20000</v>
      </c>
      <c r="F5001" s="346">
        <v>0</v>
      </c>
      <c r="G5001" s="346">
        <f>+F5000</f>
        <v>20000</v>
      </c>
      <c r="H5001" s="338" t="str">
        <f>+H5000</f>
        <v>S. Villegas / 249</v>
      </c>
      <c r="I5001" s="340" t="s">
        <v>131</v>
      </c>
      <c r="K5001" s="370"/>
      <c r="N5001" s="370"/>
    </row>
    <row r="5002" spans="1:14" s="347" customFormat="1" x14ac:dyDescent="0.25">
      <c r="A5002" s="369"/>
      <c r="E5002" s="396"/>
      <c r="F5002" s="396"/>
      <c r="G5002" s="396"/>
      <c r="K5002" s="370"/>
      <c r="N5002" s="370"/>
    </row>
    <row r="5003" spans="1:14" s="347" customFormat="1" x14ac:dyDescent="0.25">
      <c r="A5003" s="402">
        <v>44489</v>
      </c>
      <c r="B5003" s="403">
        <f>+MONTH(A5003)</f>
        <v>10</v>
      </c>
      <c r="C5003" s="338">
        <v>115</v>
      </c>
      <c r="D5003" s="340" t="str">
        <f>VLOOKUP(C5003,Plan!A:B,2,0)</f>
        <v>Disponible Cali B.Chile</v>
      </c>
      <c r="E5003" s="341">
        <f>+F5003-G5003</f>
        <v>1000000</v>
      </c>
      <c r="F5003" s="346">
        <v>1000000</v>
      </c>
      <c r="G5003" s="346">
        <v>0</v>
      </c>
      <c r="H5003" t="s">
        <v>2077</v>
      </c>
      <c r="I5003" s="340" t="s">
        <v>131</v>
      </c>
      <c r="K5003" s="370"/>
      <c r="N5003" s="370"/>
    </row>
    <row r="5004" spans="1:14" s="347" customFormat="1" x14ac:dyDescent="0.25">
      <c r="A5004" s="402">
        <f>+A5003</f>
        <v>44489</v>
      </c>
      <c r="B5004" s="403">
        <f>+B5003</f>
        <v>10</v>
      </c>
      <c r="C5004" s="338">
        <v>3210</v>
      </c>
      <c r="D5004" s="340" t="str">
        <f>VLOOKUP(C5004,Plan!A:B,2,0)</f>
        <v>Donacion Construccion</v>
      </c>
      <c r="E5004" s="341">
        <f>+F5004-G5004</f>
        <v>-1000000</v>
      </c>
      <c r="F5004" s="346">
        <v>0</v>
      </c>
      <c r="G5004" s="346">
        <f>+F5003</f>
        <v>1000000</v>
      </c>
      <c r="H5004" s="338" t="str">
        <f>+H5003</f>
        <v>Pedro Armando Alvarez Marin/250</v>
      </c>
      <c r="I5004" s="340" t="s">
        <v>131</v>
      </c>
      <c r="K5004" s="370"/>
      <c r="N5004" s="370"/>
    </row>
    <row r="5005" spans="1:14" s="347" customFormat="1" x14ac:dyDescent="0.25">
      <c r="A5005" s="369"/>
      <c r="E5005" s="396"/>
      <c r="F5005" s="396"/>
      <c r="G5005" s="396"/>
      <c r="K5005" s="370"/>
      <c r="N5005" s="370"/>
    </row>
    <row r="5006" spans="1:14" s="347" customFormat="1" x14ac:dyDescent="0.25">
      <c r="A5006" s="402">
        <v>44489</v>
      </c>
      <c r="B5006" s="403">
        <f>+MONTH(A5006)</f>
        <v>10</v>
      </c>
      <c r="C5006" s="338">
        <v>115</v>
      </c>
      <c r="D5006" s="340" t="str">
        <f>VLOOKUP(C5006,Plan!A:B,2,0)</f>
        <v>Disponible Cali B.Chile</v>
      </c>
      <c r="E5006" s="341">
        <f>+F5006-G5006</f>
        <v>150000</v>
      </c>
      <c r="F5006" s="346">
        <v>150000</v>
      </c>
      <c r="G5006" s="346">
        <v>0</v>
      </c>
      <c r="H5006" t="s">
        <v>1770</v>
      </c>
      <c r="I5006" s="340" t="s">
        <v>131</v>
      </c>
      <c r="K5006" s="370"/>
      <c r="N5006" s="370"/>
    </row>
    <row r="5007" spans="1:14" s="347" customFormat="1" x14ac:dyDescent="0.25">
      <c r="A5007" s="402">
        <f>+A5006</f>
        <v>44489</v>
      </c>
      <c r="B5007" s="403">
        <f>+B5006</f>
        <v>10</v>
      </c>
      <c r="C5007" s="338">
        <v>1222</v>
      </c>
      <c r="D5007" s="340" t="str">
        <f>VLOOKUP(C5007,Plan!A:B,2,0)</f>
        <v>Otros Valores -Oficina y Transferencias (249)</v>
      </c>
      <c r="E5007" s="341">
        <f>+F5007-G5007</f>
        <v>-150000</v>
      </c>
      <c r="F5007" s="346">
        <v>0</v>
      </c>
      <c r="G5007" s="346">
        <f>+F5006</f>
        <v>150000</v>
      </c>
      <c r="H5007" s="338" t="str">
        <f>+H5006</f>
        <v>Luis Felipe Zanolli De Solminihac/249</v>
      </c>
      <c r="I5007" s="340" t="s">
        <v>131</v>
      </c>
      <c r="K5007" s="370"/>
      <c r="N5007" s="370"/>
    </row>
    <row r="5008" spans="1:14" s="347" customFormat="1" x14ac:dyDescent="0.25">
      <c r="A5008" s="369"/>
      <c r="E5008" s="396"/>
      <c r="F5008" s="396"/>
      <c r="G5008" s="396"/>
      <c r="K5008" s="370"/>
      <c r="N5008" s="370"/>
    </row>
    <row r="5009" spans="1:14" s="347" customFormat="1" x14ac:dyDescent="0.25">
      <c r="A5009" s="402">
        <v>44489</v>
      </c>
      <c r="B5009" s="403">
        <f>+MONTH(A5009)</f>
        <v>10</v>
      </c>
      <c r="C5009" s="338">
        <v>115</v>
      </c>
      <c r="D5009" s="340" t="str">
        <f>VLOOKUP(C5009,Plan!A:B,2,0)</f>
        <v>Disponible Cali B.Chile</v>
      </c>
      <c r="E5009" s="341">
        <f>+F5009-G5009</f>
        <v>5000</v>
      </c>
      <c r="F5009" s="346">
        <v>5000</v>
      </c>
      <c r="G5009" s="346">
        <v>0</v>
      </c>
      <c r="H5009" t="s">
        <v>1719</v>
      </c>
      <c r="I5009" s="340" t="s">
        <v>131</v>
      </c>
      <c r="K5009" s="370"/>
      <c r="N5009" s="370"/>
    </row>
    <row r="5010" spans="1:14" s="347" customFormat="1" x14ac:dyDescent="0.25">
      <c r="A5010" s="402">
        <f>+A5009</f>
        <v>44489</v>
      </c>
      <c r="B5010" s="403">
        <f>+B5009</f>
        <v>10</v>
      </c>
      <c r="C5010" s="338">
        <v>1222</v>
      </c>
      <c r="D5010" s="340" t="str">
        <f>VLOOKUP(C5010,Plan!A:B,2,0)</f>
        <v>Otros Valores -Oficina y Transferencias (249)</v>
      </c>
      <c r="E5010" s="341">
        <f>+F5010-G5010</f>
        <v>-5000</v>
      </c>
      <c r="F5010" s="346">
        <v>0</v>
      </c>
      <c r="G5010" s="346">
        <f>+F5009</f>
        <v>5000</v>
      </c>
      <c r="H5010" s="338" t="str">
        <f>+H5009</f>
        <v>María Angélica Pérez-Villamil /249</v>
      </c>
      <c r="I5010" s="340" t="s">
        <v>131</v>
      </c>
      <c r="K5010" s="370"/>
      <c r="N5010" s="370"/>
    </row>
    <row r="5011" spans="1:14" s="347" customFormat="1" x14ac:dyDescent="0.25">
      <c r="A5011" s="369"/>
      <c r="E5011" s="396"/>
      <c r="F5011" s="396"/>
      <c r="G5011" s="396"/>
      <c r="K5011" s="370"/>
      <c r="N5011" s="370"/>
    </row>
    <row r="5012" spans="1:14" s="347" customFormat="1" x14ac:dyDescent="0.25">
      <c r="A5012" s="402">
        <v>44490</v>
      </c>
      <c r="B5012" s="403">
        <f>+MONTH(A5012)</f>
        <v>10</v>
      </c>
      <c r="C5012" s="338">
        <v>115</v>
      </c>
      <c r="D5012" s="340" t="str">
        <f>VLOOKUP(C5012,Plan!A:B,2,0)</f>
        <v>Disponible Cali B.Chile</v>
      </c>
      <c r="E5012" s="341">
        <f>+F5012-G5012</f>
        <v>10000</v>
      </c>
      <c r="F5012" s="346">
        <v>10000</v>
      </c>
      <c r="G5012" s="346">
        <v>0</v>
      </c>
      <c r="H5012" t="s">
        <v>1027</v>
      </c>
      <c r="I5012" s="340" t="s">
        <v>131</v>
      </c>
      <c r="K5012" s="370"/>
      <c r="N5012" s="370"/>
    </row>
    <row r="5013" spans="1:14" s="347" customFormat="1" x14ac:dyDescent="0.25">
      <c r="A5013" s="402">
        <f>+A5012</f>
        <v>44490</v>
      </c>
      <c r="B5013" s="403">
        <f>+B5012</f>
        <v>10</v>
      </c>
      <c r="C5013" s="338">
        <v>1217</v>
      </c>
      <c r="D5013" s="340" t="str">
        <f>VLOOKUP(C5013,Plan!A:B,2,0)</f>
        <v>Otros Valores -Oficina y Transferencias (248)</v>
      </c>
      <c r="E5013" s="341">
        <f>+F5013-G5013</f>
        <v>-10000</v>
      </c>
      <c r="F5013" s="346">
        <v>0</v>
      </c>
      <c r="G5013" s="346">
        <f>+F5012</f>
        <v>10000</v>
      </c>
      <c r="H5013" s="338" t="str">
        <f>+H5012</f>
        <v>GODOY CAMUS CARLOS IGNACIO/248</v>
      </c>
      <c r="I5013" s="340" t="s">
        <v>131</v>
      </c>
      <c r="K5013" s="370"/>
      <c r="N5013" s="370"/>
    </row>
    <row r="5014" spans="1:14" s="347" customFormat="1" x14ac:dyDescent="0.25">
      <c r="A5014" s="369"/>
      <c r="E5014" s="396"/>
      <c r="F5014" s="396"/>
      <c r="G5014" s="396"/>
      <c r="K5014" s="370"/>
      <c r="N5014" s="370"/>
    </row>
    <row r="5015" spans="1:14" s="347" customFormat="1" x14ac:dyDescent="0.25">
      <c r="A5015" s="402">
        <v>44490</v>
      </c>
      <c r="B5015" s="403">
        <f>+MONTH(A5015)</f>
        <v>10</v>
      </c>
      <c r="C5015" s="338">
        <v>115</v>
      </c>
      <c r="D5015" s="340" t="str">
        <f>VLOOKUP(C5015,Plan!A:B,2,0)</f>
        <v>Disponible Cali B.Chile</v>
      </c>
      <c r="E5015" s="341">
        <f>+F5015-G5015</f>
        <v>42000</v>
      </c>
      <c r="F5015" s="346">
        <v>42000</v>
      </c>
      <c r="G5015" s="346">
        <v>0</v>
      </c>
      <c r="H5015" t="s">
        <v>2174</v>
      </c>
      <c r="I5015" s="340" t="s">
        <v>131</v>
      </c>
      <c r="K5015" s="370"/>
      <c r="N5015" s="370"/>
    </row>
    <row r="5016" spans="1:14" s="347" customFormat="1" x14ac:dyDescent="0.25">
      <c r="A5016" s="402">
        <f>+A5015</f>
        <v>44490</v>
      </c>
      <c r="B5016" s="403">
        <f>+B5015</f>
        <v>10</v>
      </c>
      <c r="C5016" s="338">
        <v>1216</v>
      </c>
      <c r="D5016" s="340" t="str">
        <f>VLOOKUP(C5016,Plan!A:B,2,0)</f>
        <v>Otros Valores Recaudadoras</v>
      </c>
      <c r="E5016" s="341">
        <f>+F5016-G5016</f>
        <v>-42000</v>
      </c>
      <c r="F5016" s="346">
        <v>0</v>
      </c>
      <c r="G5016" s="346">
        <f>+F5015</f>
        <v>42000</v>
      </c>
      <c r="H5016" s="338" t="str">
        <f>+H5015</f>
        <v>RECAUDADORA</v>
      </c>
      <c r="I5016" s="340" t="s">
        <v>131</v>
      </c>
      <c r="K5016" s="370"/>
      <c r="N5016" s="370"/>
    </row>
    <row r="5017" spans="1:14" s="347" customFormat="1" x14ac:dyDescent="0.25">
      <c r="A5017" s="369"/>
      <c r="E5017" s="396"/>
      <c r="F5017" s="396"/>
      <c r="G5017" s="396"/>
      <c r="K5017" s="370"/>
      <c r="N5017" s="370"/>
    </row>
    <row r="5018" spans="1:14" s="347" customFormat="1" x14ac:dyDescent="0.25">
      <c r="A5018" s="402">
        <v>44490</v>
      </c>
      <c r="B5018" s="403">
        <f>+MONTH(A5018)</f>
        <v>10</v>
      </c>
      <c r="C5018" s="338">
        <v>115</v>
      </c>
      <c r="D5018" s="340" t="str">
        <f>VLOOKUP(C5018,Plan!A:B,2,0)</f>
        <v>Disponible Cali B.Chile</v>
      </c>
      <c r="E5018" s="341">
        <f>+F5018-G5018</f>
        <v>220000</v>
      </c>
      <c r="F5018" s="346">
        <v>220000</v>
      </c>
      <c r="G5018" s="346">
        <v>0</v>
      </c>
      <c r="H5018" t="s">
        <v>2174</v>
      </c>
      <c r="I5018" s="340" t="s">
        <v>131</v>
      </c>
      <c r="K5018" s="370"/>
      <c r="N5018" s="370"/>
    </row>
    <row r="5019" spans="1:14" s="347" customFormat="1" x14ac:dyDescent="0.25">
      <c r="A5019" s="402">
        <f>+A5018</f>
        <v>44490</v>
      </c>
      <c r="B5019" s="403">
        <f>+B5018</f>
        <v>10</v>
      </c>
      <c r="C5019" s="338">
        <v>1216</v>
      </c>
      <c r="D5019" s="340" t="str">
        <f>VLOOKUP(C5019,Plan!A:B,2,0)</f>
        <v>Otros Valores Recaudadoras</v>
      </c>
      <c r="E5019" s="341">
        <f>+F5019-G5019</f>
        <v>-220000</v>
      </c>
      <c r="F5019" s="346">
        <v>0</v>
      </c>
      <c r="G5019" s="346">
        <f>+F5018</f>
        <v>220000</v>
      </c>
      <c r="H5019" s="338" t="str">
        <f>+H5018</f>
        <v>RECAUDADORA</v>
      </c>
      <c r="I5019" s="340" t="s">
        <v>131</v>
      </c>
      <c r="K5019" s="370"/>
      <c r="N5019" s="370"/>
    </row>
    <row r="5020" spans="1:14" s="347" customFormat="1" x14ac:dyDescent="0.25">
      <c r="A5020" s="369"/>
      <c r="E5020" s="396"/>
      <c r="F5020" s="396"/>
      <c r="G5020" s="396"/>
      <c r="K5020" s="370"/>
      <c r="N5020" s="370"/>
    </row>
    <row r="5021" spans="1:14" s="347" customFormat="1" x14ac:dyDescent="0.25">
      <c r="A5021" s="402">
        <v>44491</v>
      </c>
      <c r="B5021" s="403">
        <f>+MONTH(A5021)</f>
        <v>10</v>
      </c>
      <c r="C5021" s="338">
        <v>115</v>
      </c>
      <c r="D5021" s="340" t="str">
        <f>VLOOKUP(C5021,Plan!A:B,2,0)</f>
        <v>Disponible Cali B.Chile</v>
      </c>
      <c r="E5021" s="341">
        <f>+F5021-G5021</f>
        <v>10000</v>
      </c>
      <c r="F5021" s="346">
        <v>10000</v>
      </c>
      <c r="G5021" s="346">
        <v>0</v>
      </c>
      <c r="H5021" t="s">
        <v>1517</v>
      </c>
      <c r="I5021" s="340" t="s">
        <v>131</v>
      </c>
      <c r="K5021" s="370"/>
      <c r="N5021" s="370"/>
    </row>
    <row r="5022" spans="1:14" s="347" customFormat="1" x14ac:dyDescent="0.25">
      <c r="A5022" s="402">
        <f>+A5021</f>
        <v>44491</v>
      </c>
      <c r="B5022" s="403">
        <f>+B5021</f>
        <v>10</v>
      </c>
      <c r="C5022" s="338">
        <v>1222</v>
      </c>
      <c r="D5022" s="340" t="str">
        <f>VLOOKUP(C5022,Plan!A:B,2,0)</f>
        <v>Otros Valores -Oficina y Transferencias (249)</v>
      </c>
      <c r="E5022" s="341">
        <f>+F5022-G5022</f>
        <v>-10000</v>
      </c>
      <c r="F5022" s="346">
        <v>0</v>
      </c>
      <c r="G5022" s="346">
        <f>+F5021</f>
        <v>10000</v>
      </c>
      <c r="H5022" s="338" t="str">
        <f>+H5021</f>
        <v>Jacqueline Dale / 249</v>
      </c>
      <c r="I5022" s="340" t="s">
        <v>131</v>
      </c>
      <c r="K5022" s="370"/>
      <c r="N5022" s="370"/>
    </row>
    <row r="5023" spans="1:14" s="347" customFormat="1" x14ac:dyDescent="0.25">
      <c r="A5023" s="369"/>
      <c r="E5023" s="396"/>
      <c r="F5023" s="396"/>
      <c r="G5023" s="396"/>
      <c r="K5023" s="370"/>
      <c r="N5023" s="370"/>
    </row>
    <row r="5024" spans="1:14" s="347" customFormat="1" x14ac:dyDescent="0.25">
      <c r="A5024" s="402">
        <v>44494</v>
      </c>
      <c r="B5024" s="403">
        <f>+MONTH(A5024)</f>
        <v>10</v>
      </c>
      <c r="C5024" s="338">
        <v>115</v>
      </c>
      <c r="D5024" s="340" t="str">
        <f>VLOOKUP(C5024,Plan!A:B,2,0)</f>
        <v>Disponible Cali B.Chile</v>
      </c>
      <c r="E5024" s="341">
        <f>+F5024-G5024</f>
        <v>30000</v>
      </c>
      <c r="F5024" s="346">
        <v>30000</v>
      </c>
      <c r="G5024" s="346">
        <v>0</v>
      </c>
      <c r="H5024" t="s">
        <v>970</v>
      </c>
      <c r="I5024" s="340" t="s">
        <v>131</v>
      </c>
      <c r="K5024" s="370"/>
      <c r="N5024" s="370"/>
    </row>
    <row r="5025" spans="1:14" s="347" customFormat="1" x14ac:dyDescent="0.25">
      <c r="A5025" s="402">
        <f>+A5024</f>
        <v>44494</v>
      </c>
      <c r="B5025" s="403">
        <f>+B5024</f>
        <v>10</v>
      </c>
      <c r="C5025" s="338">
        <v>1222</v>
      </c>
      <c r="D5025" s="340" t="str">
        <f>VLOOKUP(C5025,Plan!A:B,2,0)</f>
        <v>Otros Valores -Oficina y Transferencias (249)</v>
      </c>
      <c r="E5025" s="341">
        <f>+F5025-G5025</f>
        <v>-30000</v>
      </c>
      <c r="F5025" s="346">
        <v>0</v>
      </c>
      <c r="G5025" s="346">
        <f>+F5024</f>
        <v>30000</v>
      </c>
      <c r="H5025" s="338" t="str">
        <f>+H5024</f>
        <v>Horacio Cartagena Fagerstrom/249</v>
      </c>
      <c r="I5025" s="340" t="s">
        <v>131</v>
      </c>
      <c r="K5025" s="370"/>
      <c r="N5025" s="370"/>
    </row>
    <row r="5026" spans="1:14" s="347" customFormat="1" x14ac:dyDescent="0.25">
      <c r="A5026" s="369"/>
      <c r="E5026" s="396"/>
      <c r="F5026" s="396"/>
      <c r="G5026" s="396"/>
      <c r="K5026" s="370"/>
      <c r="N5026" s="370"/>
    </row>
    <row r="5027" spans="1:14" s="347" customFormat="1" x14ac:dyDescent="0.25">
      <c r="A5027" s="402">
        <v>44494</v>
      </c>
      <c r="B5027" s="403">
        <f>+MONTH(A5027)</f>
        <v>10</v>
      </c>
      <c r="C5027" s="338">
        <v>115</v>
      </c>
      <c r="D5027" s="340" t="str">
        <f>VLOOKUP(C5027,Plan!A:B,2,0)</f>
        <v>Disponible Cali B.Chile</v>
      </c>
      <c r="E5027" s="341">
        <f>+F5027-G5027</f>
        <v>30000</v>
      </c>
      <c r="F5027" s="346">
        <v>30000</v>
      </c>
      <c r="G5027" s="346">
        <v>0</v>
      </c>
      <c r="H5027" t="s">
        <v>1032</v>
      </c>
      <c r="I5027" s="340" t="s">
        <v>131</v>
      </c>
      <c r="K5027" s="370"/>
      <c r="N5027" s="370"/>
    </row>
    <row r="5028" spans="1:14" s="347" customFormat="1" x14ac:dyDescent="0.25">
      <c r="A5028" s="402">
        <f>+A5027</f>
        <v>44494</v>
      </c>
      <c r="B5028" s="403">
        <f>+B5027</f>
        <v>10</v>
      </c>
      <c r="C5028" s="338">
        <v>1217</v>
      </c>
      <c r="D5028" s="340" t="str">
        <f>VLOOKUP(C5028,Plan!A:B,2,0)</f>
        <v>Otros Valores -Oficina y Transferencias (248)</v>
      </c>
      <c r="E5028" s="341">
        <f>+F5028-G5028</f>
        <v>-30000</v>
      </c>
      <c r="F5028" s="346">
        <v>0</v>
      </c>
      <c r="G5028" s="346">
        <f>+F5027</f>
        <v>30000</v>
      </c>
      <c r="H5028" s="338" t="str">
        <f>+H5027</f>
        <v>Luis  E. Domínguez / 248</v>
      </c>
      <c r="I5028" s="340" t="s">
        <v>131</v>
      </c>
      <c r="K5028" s="370"/>
      <c r="N5028" s="370"/>
    </row>
    <row r="5029" spans="1:14" s="347" customFormat="1" x14ac:dyDescent="0.25">
      <c r="A5029" s="369"/>
      <c r="E5029" s="396"/>
      <c r="F5029" s="396"/>
      <c r="G5029" s="396"/>
      <c r="K5029" s="370"/>
      <c r="N5029" s="370"/>
    </row>
    <row r="5030" spans="1:14" s="347" customFormat="1" x14ac:dyDescent="0.25">
      <c r="A5030" s="402">
        <v>44494</v>
      </c>
      <c r="B5030" s="403">
        <f>+MONTH(A5030)</f>
        <v>10</v>
      </c>
      <c r="C5030" s="338">
        <v>115</v>
      </c>
      <c r="D5030" s="340" t="str">
        <f>VLOOKUP(C5030,Plan!A:B,2,0)</f>
        <v>Disponible Cali B.Chile</v>
      </c>
      <c r="E5030" s="341">
        <f>+F5030-G5030</f>
        <v>100000</v>
      </c>
      <c r="F5030" s="346">
        <v>100000</v>
      </c>
      <c r="G5030" s="346">
        <v>0</v>
      </c>
      <c r="H5030" t="s">
        <v>1695</v>
      </c>
      <c r="I5030" s="340" t="s">
        <v>131</v>
      </c>
      <c r="K5030" s="370"/>
      <c r="N5030" s="370"/>
    </row>
    <row r="5031" spans="1:14" s="347" customFormat="1" x14ac:dyDescent="0.25">
      <c r="A5031" s="402">
        <f>+A5030</f>
        <v>44494</v>
      </c>
      <c r="B5031" s="403">
        <f>+B5030</f>
        <v>10</v>
      </c>
      <c r="C5031" s="338">
        <v>3210</v>
      </c>
      <c r="D5031" s="340" t="str">
        <f>VLOOKUP(C5031,Plan!A:B,2,0)</f>
        <v>Donacion Construccion</v>
      </c>
      <c r="E5031" s="341">
        <f>+F5031-G5031</f>
        <v>-100000</v>
      </c>
      <c r="F5031" s="346">
        <v>0</v>
      </c>
      <c r="G5031" s="346">
        <f>+F5030</f>
        <v>100000</v>
      </c>
      <c r="H5031" s="338" t="str">
        <f>+H5030</f>
        <v>Ricardo Cruzat Ochagavia / Azul</v>
      </c>
      <c r="I5031" s="340" t="s">
        <v>131</v>
      </c>
      <c r="K5031" s="370"/>
      <c r="N5031" s="370"/>
    </row>
    <row r="5032" spans="1:14" s="347" customFormat="1" x14ac:dyDescent="0.25">
      <c r="A5032" s="369"/>
      <c r="E5032" s="396"/>
      <c r="F5032" s="396"/>
      <c r="G5032" s="396"/>
      <c r="K5032" s="370"/>
      <c r="N5032" s="370"/>
    </row>
    <row r="5033" spans="1:14" s="347" customFormat="1" x14ac:dyDescent="0.25">
      <c r="A5033" s="402">
        <v>44494</v>
      </c>
      <c r="B5033" s="403">
        <f>+MONTH(A5033)</f>
        <v>10</v>
      </c>
      <c r="C5033" s="338">
        <v>115</v>
      </c>
      <c r="D5033" s="340" t="str">
        <f>VLOOKUP(C5033,Plan!A:B,2,0)</f>
        <v>Disponible Cali B.Chile</v>
      </c>
      <c r="E5033" s="341">
        <f>+F5033-G5033</f>
        <v>20000</v>
      </c>
      <c r="F5033" s="346">
        <v>20000</v>
      </c>
      <c r="G5033" s="346">
        <v>0</v>
      </c>
      <c r="H5033" t="s">
        <v>1033</v>
      </c>
      <c r="I5033" s="340" t="s">
        <v>131</v>
      </c>
      <c r="K5033" s="370"/>
      <c r="N5033" s="370"/>
    </row>
    <row r="5034" spans="1:14" s="347" customFormat="1" x14ac:dyDescent="0.25">
      <c r="A5034" s="402">
        <f>+A5033</f>
        <v>44494</v>
      </c>
      <c r="B5034" s="403">
        <f>+B5033</f>
        <v>10</v>
      </c>
      <c r="C5034" s="338">
        <v>1222</v>
      </c>
      <c r="D5034" s="340" t="str">
        <f>VLOOKUP(C5034,Plan!A:B,2,0)</f>
        <v>Otros Valores -Oficina y Transferencias (249)</v>
      </c>
      <c r="E5034" s="341">
        <f>+F5034-G5034</f>
        <v>-20000</v>
      </c>
      <c r="F5034" s="346">
        <v>0</v>
      </c>
      <c r="G5034" s="346">
        <f>+F5033</f>
        <v>20000</v>
      </c>
      <c r="H5034" s="338" t="str">
        <f>+H5033</f>
        <v>Verónica Sapag Puelma / 249</v>
      </c>
      <c r="I5034" s="340" t="s">
        <v>131</v>
      </c>
      <c r="K5034" s="370"/>
      <c r="N5034" s="370"/>
    </row>
    <row r="5035" spans="1:14" s="347" customFormat="1" x14ac:dyDescent="0.25">
      <c r="A5035" s="369"/>
      <c r="E5035" s="396"/>
      <c r="F5035" s="396"/>
      <c r="G5035" s="396"/>
      <c r="K5035" s="370"/>
      <c r="N5035" s="370"/>
    </row>
    <row r="5036" spans="1:14" s="347" customFormat="1" x14ac:dyDescent="0.25">
      <c r="A5036" s="402">
        <v>44494</v>
      </c>
      <c r="B5036" s="403">
        <f>+MONTH(A5036)</f>
        <v>10</v>
      </c>
      <c r="C5036" s="338">
        <v>115</v>
      </c>
      <c r="D5036" s="340" t="str">
        <f>VLOOKUP(C5036,Plan!A:B,2,0)</f>
        <v>Disponible Cali B.Chile</v>
      </c>
      <c r="E5036" s="341">
        <f>+F5036-G5036</f>
        <v>2000</v>
      </c>
      <c r="F5036" s="346">
        <v>2000</v>
      </c>
      <c r="G5036" s="346">
        <v>0</v>
      </c>
      <c r="H5036" t="s">
        <v>1010</v>
      </c>
      <c r="I5036" s="340" t="s">
        <v>131</v>
      </c>
      <c r="K5036" s="370"/>
      <c r="N5036" s="370"/>
    </row>
    <row r="5037" spans="1:14" s="347" customFormat="1" x14ac:dyDescent="0.25">
      <c r="A5037" s="402">
        <f>+A5036</f>
        <v>44494</v>
      </c>
      <c r="B5037" s="403">
        <f>+B5036</f>
        <v>10</v>
      </c>
      <c r="C5037" s="338">
        <v>216</v>
      </c>
      <c r="D5037" s="340" t="str">
        <f>VLOOKUP(C5037,Plan!A:B,2,0)</f>
        <v>Cuenta por Pagar a Administración Colectas</v>
      </c>
      <c r="E5037" s="341">
        <f>+F5037-G5037</f>
        <v>-2000</v>
      </c>
      <c r="F5037" s="346">
        <v>0</v>
      </c>
      <c r="G5037" s="346">
        <f>+F5036</f>
        <v>2000</v>
      </c>
      <c r="H5037" s="338" t="str">
        <f>+H5036</f>
        <v>Colecta Raimundo Barros</v>
      </c>
      <c r="I5037" s="340" t="s">
        <v>131</v>
      </c>
      <c r="K5037" s="370"/>
      <c r="N5037" s="370"/>
    </row>
    <row r="5038" spans="1:14" s="347" customFormat="1" x14ac:dyDescent="0.25">
      <c r="A5038" s="369"/>
      <c r="E5038" s="396"/>
      <c r="F5038" s="396"/>
      <c r="G5038" s="396"/>
      <c r="K5038" s="370"/>
      <c r="N5038" s="370"/>
    </row>
    <row r="5039" spans="1:14" s="347" customFormat="1" x14ac:dyDescent="0.25">
      <c r="A5039" s="402">
        <v>44494</v>
      </c>
      <c r="B5039" s="403">
        <f>+MONTH(A5039)</f>
        <v>10</v>
      </c>
      <c r="C5039" s="338">
        <v>115</v>
      </c>
      <c r="D5039" s="340" t="str">
        <f>VLOOKUP(C5039,Plan!A:B,2,0)</f>
        <v>Disponible Cali B.Chile</v>
      </c>
      <c r="E5039" s="341">
        <f>+F5039-G5039</f>
        <v>10000</v>
      </c>
      <c r="F5039" s="346">
        <v>10000</v>
      </c>
      <c r="G5039" s="346">
        <v>0</v>
      </c>
      <c r="H5039" t="s">
        <v>1036</v>
      </c>
      <c r="I5039" s="340" t="s">
        <v>131</v>
      </c>
      <c r="K5039" s="370"/>
      <c r="N5039" s="370"/>
    </row>
    <row r="5040" spans="1:14" s="347" customFormat="1" x14ac:dyDescent="0.25">
      <c r="A5040" s="402">
        <f>+A5039</f>
        <v>44494</v>
      </c>
      <c r="B5040" s="403">
        <f>+B5039</f>
        <v>10</v>
      </c>
      <c r="C5040" s="338">
        <v>3210</v>
      </c>
      <c r="D5040" s="340" t="str">
        <f>VLOOKUP(C5040,Plan!A:B,2,0)</f>
        <v>Donacion Construccion</v>
      </c>
      <c r="E5040" s="341">
        <f>+F5040-G5040</f>
        <v>-10000</v>
      </c>
      <c r="F5040" s="346">
        <v>0</v>
      </c>
      <c r="G5040" s="346">
        <f>+F5039</f>
        <v>10000</v>
      </c>
      <c r="H5040" s="338" t="str">
        <f>+H5039</f>
        <v>Francisco Sanhueza /Azul</v>
      </c>
      <c r="I5040" s="340" t="s">
        <v>131</v>
      </c>
      <c r="K5040" s="370"/>
      <c r="N5040" s="370"/>
    </row>
    <row r="5041" spans="1:14" s="347" customFormat="1" x14ac:dyDescent="0.25">
      <c r="A5041" s="369"/>
      <c r="E5041" s="396"/>
      <c r="F5041" s="396"/>
      <c r="G5041" s="396"/>
      <c r="K5041" s="370"/>
      <c r="N5041" s="370"/>
    </row>
    <row r="5042" spans="1:14" s="347" customFormat="1" x14ac:dyDescent="0.25">
      <c r="A5042" s="402">
        <v>44494</v>
      </c>
      <c r="B5042" s="403">
        <f>+MONTH(A5042)</f>
        <v>10</v>
      </c>
      <c r="C5042" s="338">
        <v>115</v>
      </c>
      <c r="D5042" s="340" t="str">
        <f>VLOOKUP(C5042,Plan!A:B,2,0)</f>
        <v>Disponible Cali B.Chile</v>
      </c>
      <c r="E5042" s="341">
        <f>+F5042-G5042</f>
        <v>196073</v>
      </c>
      <c r="F5042" s="346">
        <v>196073</v>
      </c>
      <c r="G5042" s="346">
        <v>0</v>
      </c>
      <c r="H5042" t="s">
        <v>2175</v>
      </c>
      <c r="I5042" s="340" t="s">
        <v>131</v>
      </c>
      <c r="K5042" s="370"/>
      <c r="N5042" s="370"/>
    </row>
    <row r="5043" spans="1:14" s="347" customFormat="1" x14ac:dyDescent="0.25">
      <c r="A5043" s="402">
        <f>+A5042</f>
        <v>44494</v>
      </c>
      <c r="B5043" s="403">
        <f>+B5042</f>
        <v>10</v>
      </c>
      <c r="C5043" s="338">
        <v>3210</v>
      </c>
      <c r="D5043" s="340" t="str">
        <f>VLOOKUP(C5043,Plan!A:B,2,0)</f>
        <v>Donacion Construccion</v>
      </c>
      <c r="E5043" s="341">
        <f>+F5043-G5043</f>
        <v>-196073</v>
      </c>
      <c r="F5043" s="346">
        <v>0</v>
      </c>
      <c r="G5043" s="346">
        <f>+F5042</f>
        <v>196073</v>
      </c>
      <c r="H5043" s="338" t="str">
        <f>+H5042</f>
        <v>M.Josefina Walker Vial/DCT Azul (M$200)</v>
      </c>
      <c r="I5043" s="340" t="s">
        <v>131</v>
      </c>
      <c r="K5043" s="370"/>
      <c r="N5043" s="370"/>
    </row>
    <row r="5044" spans="1:14" s="347" customFormat="1" x14ac:dyDescent="0.25">
      <c r="A5044" s="369"/>
      <c r="E5044" s="396"/>
      <c r="F5044" s="396"/>
      <c r="G5044" s="396"/>
      <c r="K5044" s="370"/>
      <c r="N5044" s="370"/>
    </row>
    <row r="5045" spans="1:14" s="347" customFormat="1" x14ac:dyDescent="0.25">
      <c r="A5045" s="402">
        <v>44497</v>
      </c>
      <c r="B5045" s="403">
        <f>+MONTH(A5045)</f>
        <v>10</v>
      </c>
      <c r="C5045" s="338">
        <v>115</v>
      </c>
      <c r="D5045" s="340" t="str">
        <f>VLOOKUP(C5045,Plan!A:B,2,0)</f>
        <v>Disponible Cali B.Chile</v>
      </c>
      <c r="E5045" s="341">
        <f>+F5045-G5045</f>
        <v>30000</v>
      </c>
      <c r="F5045" s="346">
        <v>30000</v>
      </c>
      <c r="G5045" s="346">
        <v>0</v>
      </c>
      <c r="H5045" t="s">
        <v>988</v>
      </c>
      <c r="I5045" s="340" t="s">
        <v>131</v>
      </c>
      <c r="K5045" s="370"/>
      <c r="N5045" s="370"/>
    </row>
    <row r="5046" spans="1:14" s="347" customFormat="1" x14ac:dyDescent="0.25">
      <c r="A5046" s="402">
        <f>+A5045</f>
        <v>44497</v>
      </c>
      <c r="B5046" s="403">
        <f>+B5045</f>
        <v>10</v>
      </c>
      <c r="C5046" s="338">
        <v>1222</v>
      </c>
      <c r="D5046" s="340" t="str">
        <f>VLOOKUP(C5046,Plan!A:B,2,0)</f>
        <v>Otros Valores -Oficina y Transferencias (249)</v>
      </c>
      <c r="E5046" s="341">
        <f>+F5046-G5046</f>
        <v>-30000</v>
      </c>
      <c r="F5046" s="346">
        <v>0</v>
      </c>
      <c r="G5046" s="346">
        <f>+F5045</f>
        <v>30000</v>
      </c>
      <c r="H5046" s="338" t="str">
        <f>+H5045</f>
        <v>María Luz Montt Díaz / 249</v>
      </c>
      <c r="I5046" s="340" t="s">
        <v>131</v>
      </c>
      <c r="K5046" s="370"/>
      <c r="N5046" s="370"/>
    </row>
    <row r="5047" spans="1:14" s="347" customFormat="1" x14ac:dyDescent="0.25">
      <c r="A5047" s="369"/>
      <c r="E5047" s="396"/>
      <c r="F5047" s="396"/>
      <c r="G5047" s="396"/>
      <c r="K5047" s="370"/>
      <c r="N5047" s="370"/>
    </row>
    <row r="5048" spans="1:14" s="347" customFormat="1" x14ac:dyDescent="0.25">
      <c r="A5048" s="402">
        <v>44497</v>
      </c>
      <c r="B5048" s="403">
        <f>+MONTH(A5048)</f>
        <v>10</v>
      </c>
      <c r="C5048" s="338">
        <v>115</v>
      </c>
      <c r="D5048" s="340" t="str">
        <f>VLOOKUP(C5048,Plan!A:B,2,0)</f>
        <v>Disponible Cali B.Chile</v>
      </c>
      <c r="E5048" s="341">
        <f>+F5048-G5048</f>
        <v>100000</v>
      </c>
      <c r="F5048" s="346">
        <v>100000</v>
      </c>
      <c r="G5048" s="346">
        <v>0</v>
      </c>
      <c r="H5048" t="s">
        <v>1021</v>
      </c>
      <c r="I5048" s="340" t="s">
        <v>131</v>
      </c>
      <c r="K5048" s="370"/>
      <c r="N5048" s="370"/>
    </row>
    <row r="5049" spans="1:14" s="347" customFormat="1" x14ac:dyDescent="0.25">
      <c r="A5049" s="402">
        <f>+A5048</f>
        <v>44497</v>
      </c>
      <c r="B5049" s="403">
        <f>+B5048</f>
        <v>10</v>
      </c>
      <c r="C5049" s="338">
        <v>3210</v>
      </c>
      <c r="D5049" s="340" t="str">
        <f>VLOOKUP(C5049,Plan!A:B,2,0)</f>
        <v>Donacion Construccion</v>
      </c>
      <c r="E5049" s="341">
        <f>+F5049-G5049</f>
        <v>-100000</v>
      </c>
      <c r="F5049" s="346">
        <v>0</v>
      </c>
      <c r="G5049" s="346">
        <f>+F5048</f>
        <v>100000</v>
      </c>
      <c r="H5049" s="338" t="str">
        <f>+H5048</f>
        <v>Italo Lubiano Tassara/Azul</v>
      </c>
      <c r="I5049" s="340" t="s">
        <v>131</v>
      </c>
      <c r="K5049" s="370"/>
      <c r="N5049" s="370"/>
    </row>
    <row r="5050" spans="1:14" s="347" customFormat="1" x14ac:dyDescent="0.25">
      <c r="A5050" s="369"/>
      <c r="E5050" s="396"/>
      <c r="F5050" s="396"/>
      <c r="G5050" s="396"/>
      <c r="K5050" s="370"/>
      <c r="N5050" s="370"/>
    </row>
    <row r="5051" spans="1:14" s="347" customFormat="1" x14ac:dyDescent="0.25">
      <c r="A5051" s="402">
        <v>44497</v>
      </c>
      <c r="B5051" s="403">
        <f>+MONTH(A5051)</f>
        <v>10</v>
      </c>
      <c r="C5051" s="338">
        <v>115</v>
      </c>
      <c r="D5051" s="340" t="str">
        <f>VLOOKUP(C5051,Plan!A:B,2,0)</f>
        <v>Disponible Cali B.Chile</v>
      </c>
      <c r="E5051" s="341">
        <f>+F5051-G5051</f>
        <v>73000</v>
      </c>
      <c r="F5051" s="346">
        <v>73000</v>
      </c>
      <c r="G5051" s="346">
        <v>0</v>
      </c>
      <c r="H5051" t="s">
        <v>1050</v>
      </c>
      <c r="I5051" s="340" t="s">
        <v>131</v>
      </c>
      <c r="K5051" s="370"/>
      <c r="N5051" s="370"/>
    </row>
    <row r="5052" spans="1:14" s="347" customFormat="1" x14ac:dyDescent="0.25">
      <c r="A5052" s="402">
        <f>+A5051</f>
        <v>44497</v>
      </c>
      <c r="B5052" s="403">
        <f>+B5051</f>
        <v>10</v>
      </c>
      <c r="C5052" s="338">
        <v>3210</v>
      </c>
      <c r="D5052" s="340" t="str">
        <f>VLOOKUP(C5052,Plan!A:B,2,0)</f>
        <v>Donacion Construccion</v>
      </c>
      <c r="E5052" s="341">
        <f>+F5052-G5052</f>
        <v>-73000</v>
      </c>
      <c r="F5052" s="346">
        <v>0</v>
      </c>
      <c r="G5052" s="346">
        <f>+F5051</f>
        <v>73000</v>
      </c>
      <c r="H5052" s="338" t="str">
        <f>+H5051</f>
        <v>Matías Silva Olmos / Azul</v>
      </c>
      <c r="I5052" s="340" t="s">
        <v>131</v>
      </c>
      <c r="K5052" s="370"/>
      <c r="N5052" s="370"/>
    </row>
    <row r="5053" spans="1:14" s="347" customFormat="1" x14ac:dyDescent="0.25">
      <c r="K5053" s="370"/>
      <c r="N5053" s="370"/>
    </row>
    <row r="5054" spans="1:14" s="347" customFormat="1" x14ac:dyDescent="0.25">
      <c r="A5054" s="402">
        <v>44497</v>
      </c>
      <c r="B5054" s="403">
        <f>+MONTH(A5054)</f>
        <v>10</v>
      </c>
      <c r="C5054" s="338">
        <v>115</v>
      </c>
      <c r="D5054" s="340" t="str">
        <f>VLOOKUP(C5054,Plan!A:B,2,0)</f>
        <v>Disponible Cali B.Chile</v>
      </c>
      <c r="E5054" s="341">
        <f>+F5054-G5054</f>
        <v>10000</v>
      </c>
      <c r="F5054" s="346">
        <v>10000</v>
      </c>
      <c r="G5054" s="346">
        <v>0</v>
      </c>
      <c r="H5054" t="s">
        <v>1045</v>
      </c>
      <c r="I5054" s="340" t="s">
        <v>131</v>
      </c>
      <c r="K5054" s="370"/>
      <c r="N5054" s="370"/>
    </row>
    <row r="5055" spans="1:14" s="347" customFormat="1" x14ac:dyDescent="0.25">
      <c r="A5055" s="402">
        <f>+A5054</f>
        <v>44497</v>
      </c>
      <c r="B5055" s="403">
        <f>+B5054</f>
        <v>10</v>
      </c>
      <c r="C5055" s="338">
        <v>1222</v>
      </c>
      <c r="D5055" s="340" t="str">
        <f>VLOOKUP(C5055,Plan!A:B,2,0)</f>
        <v>Otros Valores -Oficina y Transferencias (249)</v>
      </c>
      <c r="E5055" s="341">
        <f>+F5055-G5055</f>
        <v>-10000</v>
      </c>
      <c r="F5055" s="346">
        <v>0</v>
      </c>
      <c r="G5055" s="346">
        <f>+F5054</f>
        <v>10000</v>
      </c>
      <c r="H5055" s="338" t="str">
        <f>+H5054</f>
        <v>Isabel Margarita Guarda Larrañaga/249</v>
      </c>
      <c r="I5055" s="340" t="s">
        <v>131</v>
      </c>
      <c r="K5055" s="370"/>
      <c r="N5055" s="370"/>
    </row>
    <row r="5056" spans="1:14" s="347" customFormat="1" x14ac:dyDescent="0.25">
      <c r="A5056" s="369"/>
      <c r="E5056" s="396"/>
      <c r="F5056" s="396"/>
      <c r="G5056" s="396"/>
      <c r="K5056" s="370"/>
      <c r="N5056" s="370"/>
    </row>
    <row r="5057" spans="1:14" s="347" customFormat="1" x14ac:dyDescent="0.25">
      <c r="A5057" s="402">
        <v>44497</v>
      </c>
      <c r="B5057" s="403">
        <f>+MONTH(A5057)</f>
        <v>10</v>
      </c>
      <c r="C5057" s="338">
        <v>115</v>
      </c>
      <c r="D5057" s="340" t="str">
        <f>VLOOKUP(C5057,Plan!A:B,2,0)</f>
        <v>Disponible Cali B.Chile</v>
      </c>
      <c r="E5057" s="341">
        <f>+F5057-G5057</f>
        <v>125000</v>
      </c>
      <c r="F5057" s="346">
        <v>125000</v>
      </c>
      <c r="G5057" s="346">
        <v>0</v>
      </c>
      <c r="H5057" t="s">
        <v>967</v>
      </c>
      <c r="I5057" s="340" t="s">
        <v>131</v>
      </c>
      <c r="K5057" s="370"/>
      <c r="N5057" s="370"/>
    </row>
    <row r="5058" spans="1:14" s="347" customFormat="1" x14ac:dyDescent="0.25">
      <c r="A5058" s="402">
        <f>+A5057</f>
        <v>44497</v>
      </c>
      <c r="B5058" s="403">
        <f>+B5057</f>
        <v>10</v>
      </c>
      <c r="C5058" s="338">
        <v>3210</v>
      </c>
      <c r="D5058" s="340" t="str">
        <f>VLOOKUP(C5058,Plan!A:B,2,0)</f>
        <v>Donacion Construccion</v>
      </c>
      <c r="E5058" s="341">
        <f>+F5058-G5058</f>
        <v>-125000</v>
      </c>
      <c r="F5058" s="346">
        <v>0</v>
      </c>
      <c r="G5058" s="346">
        <f>+F5057</f>
        <v>125000</v>
      </c>
      <c r="H5058" s="338" t="str">
        <f>+H5057</f>
        <v>Henry Comber Sigall / Azul</v>
      </c>
      <c r="I5058" s="340" t="s">
        <v>131</v>
      </c>
      <c r="K5058" s="370"/>
      <c r="N5058" s="370"/>
    </row>
    <row r="5059" spans="1:14" s="347" customFormat="1" x14ac:dyDescent="0.25">
      <c r="A5059" s="369"/>
      <c r="E5059" s="396"/>
      <c r="F5059" s="396"/>
      <c r="G5059" s="396"/>
      <c r="K5059" s="370"/>
      <c r="N5059" s="370"/>
    </row>
    <row r="5060" spans="1:14" s="347" customFormat="1" x14ac:dyDescent="0.25">
      <c r="A5060" s="402">
        <v>44497</v>
      </c>
      <c r="B5060" s="403">
        <f>+MONTH(A5060)</f>
        <v>10</v>
      </c>
      <c r="C5060" s="338">
        <v>115</v>
      </c>
      <c r="D5060" s="340" t="str">
        <f>VLOOKUP(C5060,Plan!A:B,2,0)</f>
        <v>Disponible Cali B.Chile</v>
      </c>
      <c r="E5060" s="341">
        <f>+F5060-G5060</f>
        <v>1419370</v>
      </c>
      <c r="F5060" s="346">
        <v>1419370</v>
      </c>
      <c r="G5060" s="346">
        <v>0</v>
      </c>
      <c r="H5060" t="s">
        <v>2176</v>
      </c>
      <c r="I5060" s="340" t="s">
        <v>131</v>
      </c>
      <c r="K5060" s="370"/>
      <c r="N5060" s="370"/>
    </row>
    <row r="5061" spans="1:14" s="347" customFormat="1" x14ac:dyDescent="0.25">
      <c r="A5061" s="402">
        <f>+A5060</f>
        <v>44497</v>
      </c>
      <c r="B5061" s="403">
        <f>+B5060</f>
        <v>10</v>
      </c>
      <c r="C5061" s="338">
        <v>3210</v>
      </c>
      <c r="D5061" s="340" t="str">
        <f>VLOOKUP(C5061,Plan!A:B,2,0)</f>
        <v>Donacion Construccion</v>
      </c>
      <c r="E5061" s="341">
        <f>+F5061-G5061</f>
        <v>-1419370</v>
      </c>
      <c r="F5061" s="346">
        <v>0</v>
      </c>
      <c r="G5061" s="346">
        <f>+F5060</f>
        <v>1419370</v>
      </c>
      <c r="H5061" s="338" t="str">
        <f>+H5060</f>
        <v>T/C Azules Octubre 2021</v>
      </c>
      <c r="I5061" s="340" t="s">
        <v>131</v>
      </c>
      <c r="K5061" s="370"/>
      <c r="N5061" s="370"/>
    </row>
    <row r="5062" spans="1:14" s="347" customFormat="1" x14ac:dyDescent="0.25">
      <c r="A5062" s="369"/>
      <c r="E5062" s="396"/>
      <c r="F5062" s="396"/>
      <c r="G5062" s="396"/>
      <c r="K5062" s="370"/>
      <c r="N5062" s="370"/>
    </row>
    <row r="5063" spans="1:14" s="347" customFormat="1" x14ac:dyDescent="0.25">
      <c r="A5063" s="402">
        <v>44497</v>
      </c>
      <c r="B5063" s="403">
        <f>+MONTH(A5063)</f>
        <v>10</v>
      </c>
      <c r="C5063" s="338">
        <v>115</v>
      </c>
      <c r="D5063" s="340" t="str">
        <f>VLOOKUP(C5063,Plan!A:B,2,0)</f>
        <v>Disponible Cali B.Chile</v>
      </c>
      <c r="E5063" s="341">
        <f>+F5063-G5063</f>
        <v>2196669</v>
      </c>
      <c r="F5063" s="346">
        <v>2196669</v>
      </c>
      <c r="G5063" s="346">
        <v>0</v>
      </c>
      <c r="H5063" t="s">
        <v>2177</v>
      </c>
      <c r="I5063" s="340" t="s">
        <v>131</v>
      </c>
      <c r="K5063" s="370"/>
      <c r="N5063" s="370"/>
    </row>
    <row r="5064" spans="1:14" s="347" customFormat="1" x14ac:dyDescent="0.25">
      <c r="A5064" s="402">
        <f>+A5063</f>
        <v>44497</v>
      </c>
      <c r="B5064" s="403">
        <f>+B5063</f>
        <v>10</v>
      </c>
      <c r="C5064" s="338">
        <v>1219</v>
      </c>
      <c r="D5064" s="340" t="str">
        <f>VLOOKUP(C5064,Plan!A:B,2,0)</f>
        <v>Otros Valores Arzobispado (248)</v>
      </c>
      <c r="E5064" s="341">
        <f>+F5064-G5064</f>
        <v>-2196669</v>
      </c>
      <c r="F5064" s="346">
        <v>0</v>
      </c>
      <c r="G5064" s="346">
        <f>+F5063</f>
        <v>2196669</v>
      </c>
      <c r="H5064" s="338" t="str">
        <f>+H5063</f>
        <v>Arzobispado de Stgo Septiembre / 248</v>
      </c>
      <c r="I5064" s="340" t="s">
        <v>131</v>
      </c>
      <c r="K5064" s="370"/>
      <c r="N5064" s="370"/>
    </row>
    <row r="5065" spans="1:14" s="347" customFormat="1" x14ac:dyDescent="0.25">
      <c r="A5065" s="369"/>
      <c r="E5065" s="396"/>
      <c r="F5065" s="396"/>
      <c r="G5065" s="396"/>
      <c r="K5065" s="370"/>
      <c r="N5065" s="370"/>
    </row>
    <row r="5066" spans="1:14" s="347" customFormat="1" x14ac:dyDescent="0.25">
      <c r="A5066" s="402">
        <v>44497</v>
      </c>
      <c r="B5066" s="403">
        <f>+MONTH(A5066)</f>
        <v>10</v>
      </c>
      <c r="C5066" s="338">
        <v>115</v>
      </c>
      <c r="D5066" s="340" t="str">
        <f>VLOOKUP(C5066,Plan!A:B,2,0)</f>
        <v>Disponible Cali B.Chile</v>
      </c>
      <c r="E5066" s="341">
        <f>+F5066-G5066</f>
        <v>1916008</v>
      </c>
      <c r="F5066" s="346">
        <v>1916008</v>
      </c>
      <c r="G5066" s="346">
        <v>0</v>
      </c>
      <c r="H5066" t="s">
        <v>2178</v>
      </c>
      <c r="I5066" s="340" t="s">
        <v>131</v>
      </c>
      <c r="K5066" s="370"/>
      <c r="N5066" s="370"/>
    </row>
    <row r="5067" spans="1:14" s="347" customFormat="1" x14ac:dyDescent="0.25">
      <c r="A5067" s="402">
        <f>+A5066</f>
        <v>44497</v>
      </c>
      <c r="B5067" s="403">
        <f>+B5066</f>
        <v>10</v>
      </c>
      <c r="C5067" s="338">
        <v>1220</v>
      </c>
      <c r="D5067" s="340" t="str">
        <f>VLOOKUP(C5067,Plan!A:B,2,0)</f>
        <v>Otros Valores Arzobispado (249)</v>
      </c>
      <c r="E5067" s="341">
        <f>+F5067-G5067</f>
        <v>-1916008</v>
      </c>
      <c r="F5067" s="346">
        <v>0</v>
      </c>
      <c r="G5067" s="346">
        <f>+F5066</f>
        <v>1916008</v>
      </c>
      <c r="H5067" s="338" t="str">
        <f>+H5066</f>
        <v>Arzobispado de Stgo Septiembre / 249</v>
      </c>
      <c r="I5067" s="340" t="s">
        <v>131</v>
      </c>
      <c r="K5067" s="370"/>
      <c r="N5067" s="370"/>
    </row>
    <row r="5068" spans="1:14" s="347" customFormat="1" x14ac:dyDescent="0.25">
      <c r="A5068" s="369"/>
      <c r="E5068" s="396"/>
      <c r="F5068" s="396"/>
      <c r="G5068" s="396"/>
      <c r="K5068" s="370"/>
      <c r="N5068" s="370"/>
    </row>
    <row r="5069" spans="1:14" s="347" customFormat="1" x14ac:dyDescent="0.25">
      <c r="A5069" s="369">
        <v>44498</v>
      </c>
      <c r="B5069" s="347">
        <f>+MONTH(A5069)</f>
        <v>10</v>
      </c>
      <c r="C5069" s="347">
        <v>201</v>
      </c>
      <c r="D5069" s="340" t="str">
        <f>VLOOKUP(C5069,Plan!A$1:B$65542,2,0)</f>
        <v>1% por pagar</v>
      </c>
      <c r="E5069" s="341">
        <f>+F5069-G5069</f>
        <v>161848</v>
      </c>
      <c r="F5069" s="396">
        <v>161848</v>
      </c>
      <c r="G5069" s="396">
        <v>0</v>
      </c>
      <c r="H5069" t="s">
        <v>2179</v>
      </c>
      <c r="I5069" s="347" t="s">
        <v>131</v>
      </c>
      <c r="K5069" s="370"/>
      <c r="N5069" s="370"/>
    </row>
    <row r="5070" spans="1:14" s="347" customFormat="1" x14ac:dyDescent="0.25">
      <c r="A5070" s="369">
        <f>+A5069</f>
        <v>44498</v>
      </c>
      <c r="B5070" s="347">
        <f>+MONTH(A5070)</f>
        <v>10</v>
      </c>
      <c r="C5070" s="347">
        <v>202</v>
      </c>
      <c r="D5070" s="340" t="str">
        <f>VLOOKUP(C5070,Plan!A$1:B$65542,2,0)</f>
        <v>Arzobispado por pagar</v>
      </c>
      <c r="E5070" s="341">
        <f>+F5070-G5070</f>
        <v>2918288</v>
      </c>
      <c r="F5070" s="396">
        <v>2918288</v>
      </c>
      <c r="G5070" s="396">
        <v>0</v>
      </c>
      <c r="H5070" t="str">
        <f>+H5069</f>
        <v>Rend. CALI Septiembre/21 Arzobispado de Santiago</v>
      </c>
      <c r="I5070" s="347" t="s">
        <v>131</v>
      </c>
      <c r="K5070" s="370"/>
      <c r="N5070" s="370"/>
    </row>
    <row r="5071" spans="1:14" s="347" customFormat="1" x14ac:dyDescent="0.25">
      <c r="A5071" s="369">
        <f>+A5069</f>
        <v>44498</v>
      </c>
      <c r="B5071" s="347">
        <f>+B5069</f>
        <v>10</v>
      </c>
      <c r="C5071" s="347">
        <v>115</v>
      </c>
      <c r="D5071" s="340" t="str">
        <f>VLOOKUP(C5071,Plan!A$1:B$65542,2,0)</f>
        <v>Disponible Cali B.Chile</v>
      </c>
      <c r="E5071" s="341">
        <f>+F5071-G5071</f>
        <v>-3080136</v>
      </c>
      <c r="F5071" s="396">
        <v>0</v>
      </c>
      <c r="G5071" s="396">
        <v>3080136</v>
      </c>
      <c r="H5071" t="str">
        <f>+H5069</f>
        <v>Rend. CALI Septiembre/21 Arzobispado de Santiago</v>
      </c>
      <c r="I5071" s="347" t="s">
        <v>131</v>
      </c>
      <c r="K5071" s="370"/>
      <c r="N5071" s="370"/>
    </row>
    <row r="5072" spans="1:14" s="347" customFormat="1" x14ac:dyDescent="0.25">
      <c r="A5072" s="369"/>
      <c r="E5072" s="396"/>
      <c r="F5072" s="396"/>
      <c r="G5072" s="396"/>
      <c r="K5072" s="370"/>
      <c r="N5072" s="370"/>
    </row>
    <row r="5073" spans="1:14" s="347" customFormat="1" x14ac:dyDescent="0.25">
      <c r="A5073" s="402">
        <v>44498</v>
      </c>
      <c r="B5073" s="403">
        <f>+MONTH(A5073)</f>
        <v>10</v>
      </c>
      <c r="C5073" s="338">
        <v>115</v>
      </c>
      <c r="D5073" s="340" t="str">
        <f>VLOOKUP(C5073,Plan!A:B,2,0)</f>
        <v>Disponible Cali B.Chile</v>
      </c>
      <c r="E5073" s="341">
        <f>+F5073-G5073</f>
        <v>22000</v>
      </c>
      <c r="F5073" s="346">
        <v>22000</v>
      </c>
      <c r="G5073" s="346">
        <v>0</v>
      </c>
      <c r="H5073" t="s">
        <v>1703</v>
      </c>
      <c r="I5073" s="340" t="s">
        <v>131</v>
      </c>
      <c r="K5073" s="370"/>
      <c r="N5073" s="370"/>
    </row>
    <row r="5074" spans="1:14" s="347" customFormat="1" x14ac:dyDescent="0.25">
      <c r="A5074" s="402">
        <f>+A5073</f>
        <v>44498</v>
      </c>
      <c r="B5074" s="403">
        <f>+B5073</f>
        <v>10</v>
      </c>
      <c r="C5074" s="338">
        <v>1222</v>
      </c>
      <c r="D5074" s="340" t="str">
        <f>VLOOKUP(C5074,Plan!A:B,2,0)</f>
        <v>Otros Valores -Oficina y Transferencias (249)</v>
      </c>
      <c r="E5074" s="341">
        <f>+F5074-G5074</f>
        <v>-22000</v>
      </c>
      <c r="F5074" s="346">
        <v>0</v>
      </c>
      <c r="G5074" s="346">
        <f>+F5073</f>
        <v>22000</v>
      </c>
      <c r="H5074" s="338" t="str">
        <f>+H5073</f>
        <v>Arantxa Ereche Tuzzini/249</v>
      </c>
      <c r="I5074" s="340" t="s">
        <v>131</v>
      </c>
      <c r="K5074" s="370"/>
      <c r="N5074" s="370"/>
    </row>
    <row r="5075" spans="1:14" s="347" customFormat="1" x14ac:dyDescent="0.25">
      <c r="A5075" s="369"/>
      <c r="E5075" s="396"/>
      <c r="F5075" s="396"/>
      <c r="G5075" s="396"/>
      <c r="K5075" s="370"/>
      <c r="N5075" s="370"/>
    </row>
    <row r="5076" spans="1:14" s="347" customFormat="1" x14ac:dyDescent="0.25">
      <c r="A5076" s="402">
        <v>44498</v>
      </c>
      <c r="B5076" s="403">
        <f>+MONTH(A5076)</f>
        <v>10</v>
      </c>
      <c r="C5076" s="338">
        <v>115</v>
      </c>
      <c r="D5076" s="340" t="str">
        <f>VLOOKUP(C5076,Plan!A:B,2,0)</f>
        <v>Disponible Cali B.Chile</v>
      </c>
      <c r="E5076" s="341">
        <f>+F5076-G5076</f>
        <v>20000</v>
      </c>
      <c r="F5076" s="346">
        <v>20000</v>
      </c>
      <c r="G5076" s="346">
        <v>0</v>
      </c>
      <c r="H5076" t="s">
        <v>963</v>
      </c>
      <c r="I5076" s="340" t="s">
        <v>131</v>
      </c>
      <c r="K5076" s="370"/>
      <c r="N5076" s="370"/>
    </row>
    <row r="5077" spans="1:14" s="347" customFormat="1" x14ac:dyDescent="0.25">
      <c r="A5077" s="402">
        <f>+A5076</f>
        <v>44498</v>
      </c>
      <c r="B5077" s="403">
        <f>+B5076</f>
        <v>10</v>
      </c>
      <c r="C5077" s="338">
        <v>1222</v>
      </c>
      <c r="D5077" s="340" t="str">
        <f>VLOOKUP(C5077,Plan!A:B,2,0)</f>
        <v>Otros Valores -Oficina y Transferencias (249)</v>
      </c>
      <c r="E5077" s="341">
        <f>+F5077-G5077</f>
        <v>-20000</v>
      </c>
      <c r="F5077" s="346">
        <v>0</v>
      </c>
      <c r="G5077" s="346">
        <f>+F5076</f>
        <v>20000</v>
      </c>
      <c r="H5077" s="338" t="str">
        <f>+H5076</f>
        <v>Benjamín Gutierrez Perlwitz / 249</v>
      </c>
      <c r="I5077" s="340" t="s">
        <v>131</v>
      </c>
      <c r="K5077" s="370"/>
      <c r="N5077" s="370"/>
    </row>
    <row r="5078" spans="1:14" s="347" customFormat="1" x14ac:dyDescent="0.25">
      <c r="A5078" s="369"/>
      <c r="E5078" s="396"/>
      <c r="F5078" s="396"/>
      <c r="G5078" s="396"/>
      <c r="K5078" s="370"/>
      <c r="N5078" s="370"/>
    </row>
    <row r="5079" spans="1:14" s="347" customFormat="1" x14ac:dyDescent="0.25">
      <c r="A5079" s="402">
        <v>44498</v>
      </c>
      <c r="B5079" s="403">
        <f>+MONTH(A5079)</f>
        <v>10</v>
      </c>
      <c r="C5079" s="338">
        <v>115</v>
      </c>
      <c r="D5079" s="340" t="str">
        <f>VLOOKUP(C5079,Plan!A:B,2,0)</f>
        <v>Disponible Cali B.Chile</v>
      </c>
      <c r="E5079" s="341">
        <f>+F5079-G5079</f>
        <v>30000</v>
      </c>
      <c r="F5079" s="346">
        <v>30000</v>
      </c>
      <c r="G5079" s="346">
        <v>0</v>
      </c>
      <c r="H5079" t="s">
        <v>1082</v>
      </c>
      <c r="I5079" s="340" t="s">
        <v>131</v>
      </c>
      <c r="K5079" s="370"/>
      <c r="N5079" s="370"/>
    </row>
    <row r="5080" spans="1:14" s="347" customFormat="1" x14ac:dyDescent="0.25">
      <c r="A5080" s="402">
        <f>+A5079</f>
        <v>44498</v>
      </c>
      <c r="B5080" s="403">
        <f>+B5079</f>
        <v>10</v>
      </c>
      <c r="C5080" s="338">
        <v>1222</v>
      </c>
      <c r="D5080" s="340" t="str">
        <f>VLOOKUP(C5080,Plan!A:B,2,0)</f>
        <v>Otros Valores -Oficina y Transferencias (249)</v>
      </c>
      <c r="E5080" s="341">
        <f>+F5080-G5080</f>
        <v>-30000</v>
      </c>
      <c r="F5080" s="346">
        <v>0</v>
      </c>
      <c r="G5080" s="346">
        <f>+F5079</f>
        <v>30000</v>
      </c>
      <c r="H5080" s="338" t="str">
        <f>+H5079</f>
        <v>Carmen Gloria Ovalle de la Cuadra/ 249</v>
      </c>
      <c r="I5080" s="340" t="s">
        <v>131</v>
      </c>
      <c r="K5080" s="370"/>
      <c r="N5080" s="370"/>
    </row>
    <row r="5081" spans="1:14" s="347" customFormat="1" x14ac:dyDescent="0.25">
      <c r="A5081" s="369"/>
      <c r="E5081" s="396"/>
      <c r="F5081" s="396"/>
      <c r="G5081" s="396"/>
      <c r="K5081" s="370"/>
      <c r="N5081" s="370"/>
    </row>
    <row r="5082" spans="1:14" s="347" customFormat="1" x14ac:dyDescent="0.25">
      <c r="A5082" s="402">
        <v>44498</v>
      </c>
      <c r="B5082" s="403">
        <f>+MONTH(A5082)</f>
        <v>10</v>
      </c>
      <c r="C5082" s="338">
        <v>115</v>
      </c>
      <c r="D5082" s="340" t="str">
        <f>VLOOKUP(C5082,Plan!A:B,2,0)</f>
        <v>Disponible Cali B.Chile</v>
      </c>
      <c r="E5082" s="341">
        <f>+F5082-G5082</f>
        <v>40000</v>
      </c>
      <c r="F5082" s="346">
        <v>40000</v>
      </c>
      <c r="G5082" s="346">
        <v>0</v>
      </c>
      <c r="H5082" t="s">
        <v>1051</v>
      </c>
      <c r="I5082" s="340" t="s">
        <v>131</v>
      </c>
      <c r="K5082" s="370"/>
      <c r="N5082" s="370"/>
    </row>
    <row r="5083" spans="1:14" s="347" customFormat="1" x14ac:dyDescent="0.25">
      <c r="A5083" s="402">
        <f>+A5082</f>
        <v>44498</v>
      </c>
      <c r="B5083" s="403">
        <f>+B5082</f>
        <v>10</v>
      </c>
      <c r="C5083" s="338">
        <v>3210</v>
      </c>
      <c r="D5083" s="340" t="str">
        <f>VLOOKUP(C5083,Plan!A:B,2,0)</f>
        <v>Donacion Construccion</v>
      </c>
      <c r="E5083" s="341">
        <f>+F5083-G5083</f>
        <v>-40000</v>
      </c>
      <c r="F5083" s="346">
        <v>0</v>
      </c>
      <c r="G5083" s="346">
        <f>+F5082</f>
        <v>40000</v>
      </c>
      <c r="H5083" s="338" t="str">
        <f>+H5082</f>
        <v>Pedro Vicuña Illanes / Azul</v>
      </c>
      <c r="I5083" s="340" t="s">
        <v>131</v>
      </c>
      <c r="K5083" s="370"/>
      <c r="N5083" s="370"/>
    </row>
    <row r="5084" spans="1:14" s="347" customFormat="1" x14ac:dyDescent="0.25">
      <c r="A5084" s="369"/>
      <c r="E5084" s="396"/>
      <c r="F5084" s="396"/>
      <c r="G5084" s="396"/>
      <c r="K5084" s="370"/>
      <c r="N5084" s="370"/>
    </row>
    <row r="5085" spans="1:14" s="347" customFormat="1" x14ac:dyDescent="0.25">
      <c r="A5085" s="402">
        <v>44498</v>
      </c>
      <c r="B5085" s="403">
        <f>+MONTH(A5085)</f>
        <v>10</v>
      </c>
      <c r="C5085" s="338">
        <v>115</v>
      </c>
      <c r="D5085" s="340" t="str">
        <f>VLOOKUP(C5085,Plan!A:B,2,0)</f>
        <v>Disponible Cali B.Chile</v>
      </c>
      <c r="E5085" s="341">
        <f>+F5085-G5085</f>
        <v>25000</v>
      </c>
      <c r="F5085" s="346">
        <v>25000</v>
      </c>
      <c r="G5085" s="346">
        <v>0</v>
      </c>
      <c r="H5085" t="s">
        <v>969</v>
      </c>
      <c r="I5085" s="340" t="s">
        <v>131</v>
      </c>
      <c r="K5085" s="370"/>
      <c r="N5085" s="370"/>
    </row>
    <row r="5086" spans="1:14" s="347" customFormat="1" x14ac:dyDescent="0.25">
      <c r="A5086" s="402">
        <f>+A5085</f>
        <v>44498</v>
      </c>
      <c r="B5086" s="403">
        <f>+B5085</f>
        <v>10</v>
      </c>
      <c r="C5086" s="338">
        <v>1217</v>
      </c>
      <c r="D5086" s="340" t="str">
        <f>VLOOKUP(C5086,Plan!A:B,2,0)</f>
        <v>Otros Valores -Oficina y Transferencias (248)</v>
      </c>
      <c r="E5086" s="341">
        <f>+F5086-G5086</f>
        <v>-25000</v>
      </c>
      <c r="F5086" s="346">
        <v>0</v>
      </c>
      <c r="G5086" s="346">
        <f>+F5085</f>
        <v>25000</v>
      </c>
      <c r="H5086" s="338" t="str">
        <f>+H5085</f>
        <v>José L. Barros / 248</v>
      </c>
      <c r="I5086" s="340" t="s">
        <v>131</v>
      </c>
      <c r="K5086" s="370"/>
      <c r="N5086" s="370"/>
    </row>
    <row r="5087" spans="1:14" s="347" customFormat="1" x14ac:dyDescent="0.25">
      <c r="A5087" s="369"/>
      <c r="E5087" s="396"/>
      <c r="F5087" s="396"/>
      <c r="G5087" s="396"/>
      <c r="K5087" s="370"/>
      <c r="N5087" s="370"/>
    </row>
    <row r="5088" spans="1:14" s="347" customFormat="1" x14ac:dyDescent="0.25">
      <c r="A5088" s="402">
        <v>44498</v>
      </c>
      <c r="B5088" s="403">
        <f>+MONTH(A5088)</f>
        <v>10</v>
      </c>
      <c r="C5088" s="338">
        <v>115</v>
      </c>
      <c r="D5088" s="340" t="str">
        <f>VLOOKUP(C5088,Plan!A:B,2,0)</f>
        <v>Disponible Cali B.Chile</v>
      </c>
      <c r="E5088" s="341">
        <f>+F5088-G5088</f>
        <v>20000</v>
      </c>
      <c r="F5088" s="346">
        <v>20000</v>
      </c>
      <c r="G5088" s="346">
        <v>0</v>
      </c>
      <c r="H5088" t="s">
        <v>983</v>
      </c>
      <c r="I5088" s="340" t="s">
        <v>131</v>
      </c>
      <c r="K5088" s="370"/>
      <c r="N5088" s="370"/>
    </row>
    <row r="5089" spans="1:14" s="347" customFormat="1" x14ac:dyDescent="0.25">
      <c r="A5089" s="402">
        <f>+A5088</f>
        <v>44498</v>
      </c>
      <c r="B5089" s="403">
        <f>+B5088</f>
        <v>10</v>
      </c>
      <c r="C5089" s="338">
        <v>1222</v>
      </c>
      <c r="D5089" s="340" t="str">
        <f>VLOOKUP(C5089,Plan!A:B,2,0)</f>
        <v>Otros Valores -Oficina y Transferencias (249)</v>
      </c>
      <c r="E5089" s="341">
        <f>+F5089-G5089</f>
        <v>-20000</v>
      </c>
      <c r="F5089" s="346">
        <v>0</v>
      </c>
      <c r="G5089" s="346">
        <f>+F5088</f>
        <v>20000</v>
      </c>
      <c r="H5089" s="338" t="str">
        <f>+H5088</f>
        <v>Macarena Gálvez Roa / 249</v>
      </c>
      <c r="I5089" s="340" t="s">
        <v>131</v>
      </c>
      <c r="K5089" s="370"/>
      <c r="N5089" s="370"/>
    </row>
    <row r="5090" spans="1:14" s="347" customFormat="1" x14ac:dyDescent="0.25">
      <c r="A5090" s="369"/>
      <c r="E5090" s="396"/>
      <c r="F5090" s="396"/>
      <c r="G5090" s="396"/>
      <c r="K5090" s="370"/>
      <c r="N5090" s="370"/>
    </row>
    <row r="5091" spans="1:14" s="347" customFormat="1" x14ac:dyDescent="0.25">
      <c r="A5091" s="402">
        <v>44498</v>
      </c>
      <c r="B5091" s="403">
        <f>+MONTH(A5091)</f>
        <v>10</v>
      </c>
      <c r="C5091" s="338">
        <v>115</v>
      </c>
      <c r="D5091" s="340" t="str">
        <f>VLOOKUP(C5091,Plan!A:B,2,0)</f>
        <v>Disponible Cali B.Chile</v>
      </c>
      <c r="E5091" s="341">
        <f>+F5091-G5091</f>
        <v>40000</v>
      </c>
      <c r="F5091" s="346">
        <v>40000</v>
      </c>
      <c r="G5091" s="346">
        <v>0</v>
      </c>
      <c r="H5091" t="s">
        <v>989</v>
      </c>
      <c r="I5091" s="340" t="s">
        <v>131</v>
      </c>
      <c r="K5091" s="370"/>
      <c r="N5091" s="370"/>
    </row>
    <row r="5092" spans="1:14" s="347" customFormat="1" x14ac:dyDescent="0.25">
      <c r="A5092" s="402">
        <f>+A5091</f>
        <v>44498</v>
      </c>
      <c r="B5092" s="403">
        <f>+B5091</f>
        <v>10</v>
      </c>
      <c r="C5092" s="338">
        <v>1217</v>
      </c>
      <c r="D5092" s="340" t="str">
        <f>VLOOKUP(C5092,Plan!A:B,2,0)</f>
        <v>Otros Valores -Oficina y Transferencias (248)</v>
      </c>
      <c r="E5092" s="341">
        <f>+F5092-G5092</f>
        <v>-40000</v>
      </c>
      <c r="F5092" s="346">
        <v>0</v>
      </c>
      <c r="G5092" s="346">
        <f>+F5091</f>
        <v>40000</v>
      </c>
      <c r="H5092" s="338" t="str">
        <f>+H5091</f>
        <v>M. Domínguez / 248</v>
      </c>
      <c r="I5092" s="340" t="s">
        <v>131</v>
      </c>
      <c r="K5092" s="370"/>
      <c r="N5092" s="370"/>
    </row>
    <row r="5093" spans="1:14" s="347" customFormat="1" x14ac:dyDescent="0.25">
      <c r="A5093" s="369"/>
      <c r="E5093" s="396"/>
      <c r="F5093" s="396"/>
      <c r="G5093" s="396"/>
      <c r="K5093" s="370"/>
      <c r="N5093" s="370"/>
    </row>
    <row r="5094" spans="1:14" s="347" customFormat="1" x14ac:dyDescent="0.25">
      <c r="A5094" s="402">
        <v>44498</v>
      </c>
      <c r="B5094" s="403">
        <f>+MONTH(A5094)</f>
        <v>10</v>
      </c>
      <c r="C5094" s="338">
        <v>115</v>
      </c>
      <c r="D5094" s="340" t="str">
        <f>VLOOKUP(C5094,Plan!A:B,2,0)</f>
        <v>Disponible Cali B.Chile</v>
      </c>
      <c r="E5094" s="341">
        <f>+F5094-G5094</f>
        <v>50000</v>
      </c>
      <c r="F5094" s="346">
        <v>50000</v>
      </c>
      <c r="G5094" s="346">
        <v>0</v>
      </c>
      <c r="H5094" t="s">
        <v>2180</v>
      </c>
      <c r="I5094" s="340" t="s">
        <v>131</v>
      </c>
      <c r="K5094" s="370"/>
      <c r="N5094" s="370"/>
    </row>
    <row r="5095" spans="1:14" s="347" customFormat="1" x14ac:dyDescent="0.25">
      <c r="A5095" s="402">
        <f>+A5094</f>
        <v>44498</v>
      </c>
      <c r="B5095" s="403">
        <f>+B5094</f>
        <v>10</v>
      </c>
      <c r="C5095" s="338">
        <v>1222</v>
      </c>
      <c r="D5095" s="340" t="str">
        <f>VLOOKUP(C5095,Plan!A:B,2,0)</f>
        <v>Otros Valores -Oficina y Transferencias (249)</v>
      </c>
      <c r="E5095" s="341">
        <f>+F5095-G5095</f>
        <v>-50000</v>
      </c>
      <c r="F5095" s="346">
        <v>0</v>
      </c>
      <c r="G5095" s="346">
        <f>+F5094</f>
        <v>50000</v>
      </c>
      <c r="H5095" s="338" t="str">
        <f>+H5094</f>
        <v>Osasun Com. Ltda. (RUT:76668530-7)</v>
      </c>
      <c r="I5095" s="340" t="s">
        <v>131</v>
      </c>
      <c r="K5095" s="370"/>
      <c r="N5095" s="370"/>
    </row>
    <row r="5096" spans="1:14" s="347" customFormat="1" x14ac:dyDescent="0.25">
      <c r="A5096" s="369"/>
      <c r="E5096" s="396"/>
      <c r="F5096" s="396"/>
      <c r="G5096" s="396"/>
      <c r="K5096" s="370"/>
      <c r="N5096" s="370"/>
    </row>
    <row r="5097" spans="1:14" s="347" customFormat="1" x14ac:dyDescent="0.25">
      <c r="A5097" s="402">
        <v>44498</v>
      </c>
      <c r="B5097" s="403">
        <f>+MONTH(A5097)</f>
        <v>10</v>
      </c>
      <c r="C5097" s="338">
        <v>115</v>
      </c>
      <c r="D5097" s="340" t="str">
        <f>VLOOKUP(C5097,Plan!A:B,2,0)</f>
        <v>Disponible Cali B.Chile</v>
      </c>
      <c r="E5097" s="341">
        <f>+F5097-G5097</f>
        <v>60000</v>
      </c>
      <c r="F5097" s="346">
        <v>60000</v>
      </c>
      <c r="G5097" s="346">
        <v>0</v>
      </c>
      <c r="H5097" s="469" t="s">
        <v>787</v>
      </c>
      <c r="I5097" s="340" t="s">
        <v>131</v>
      </c>
      <c r="K5097" s="370"/>
      <c r="N5097" s="370"/>
    </row>
    <row r="5098" spans="1:14" s="347" customFormat="1" x14ac:dyDescent="0.25">
      <c r="A5098" s="402">
        <f>+A5097</f>
        <v>44498</v>
      </c>
      <c r="B5098" s="403">
        <f>+B5097</f>
        <v>10</v>
      </c>
      <c r="C5098" s="338">
        <v>1222</v>
      </c>
      <c r="D5098" s="340" t="str">
        <f>VLOOKUP(C5098,Plan!A:B,2,0)</f>
        <v>Otros Valores -Oficina y Transferencias (249)</v>
      </c>
      <c r="E5098" s="341">
        <f>+F5098-G5098</f>
        <v>-60000</v>
      </c>
      <c r="F5098" s="346">
        <v>0</v>
      </c>
      <c r="G5098" s="346">
        <f>+F5097</f>
        <v>60000</v>
      </c>
      <c r="H5098" s="338" t="str">
        <f>+H5097</f>
        <v>Juan Pablo Ríos Ross / 249</v>
      </c>
      <c r="I5098" s="340" t="s">
        <v>131</v>
      </c>
      <c r="K5098" s="370"/>
      <c r="N5098" s="370"/>
    </row>
    <row r="5099" spans="1:14" s="347" customFormat="1" x14ac:dyDescent="0.25">
      <c r="A5099" s="369"/>
      <c r="E5099" s="396"/>
      <c r="F5099" s="396"/>
      <c r="G5099" s="396"/>
      <c r="K5099" s="370"/>
      <c r="N5099" s="370"/>
    </row>
    <row r="5100" spans="1:14" s="347" customFormat="1" x14ac:dyDescent="0.25">
      <c r="A5100" s="402">
        <v>44498</v>
      </c>
      <c r="B5100" s="403">
        <f>+MONTH(A5100)</f>
        <v>10</v>
      </c>
      <c r="C5100" s="338">
        <v>115</v>
      </c>
      <c r="D5100" s="340" t="str">
        <f>VLOOKUP(C5100,Plan!A:B,2,0)</f>
        <v>Disponible Cali B.Chile</v>
      </c>
      <c r="E5100" s="341">
        <f>+F5100-G5100</f>
        <v>200000</v>
      </c>
      <c r="F5100" s="346">
        <v>200000</v>
      </c>
      <c r="G5100" s="346">
        <v>0</v>
      </c>
      <c r="H5100" t="s">
        <v>1052</v>
      </c>
      <c r="I5100" s="340" t="s">
        <v>131</v>
      </c>
      <c r="K5100" s="370"/>
      <c r="N5100" s="370"/>
    </row>
    <row r="5101" spans="1:14" s="347" customFormat="1" x14ac:dyDescent="0.25">
      <c r="A5101" s="402">
        <f>+A5100</f>
        <v>44498</v>
      </c>
      <c r="B5101" s="403">
        <f>+B5100</f>
        <v>10</v>
      </c>
      <c r="C5101" s="338">
        <v>3210</v>
      </c>
      <c r="D5101" s="340" t="str">
        <f>VLOOKUP(C5101,Plan!A:B,2,0)</f>
        <v>Donacion Construccion</v>
      </c>
      <c r="E5101" s="341">
        <f>+F5101-G5101</f>
        <v>-200000</v>
      </c>
      <c r="F5101" s="346">
        <v>0</v>
      </c>
      <c r="G5101" s="346">
        <f>+F5100</f>
        <v>200000</v>
      </c>
      <c r="H5101" s="338" t="str">
        <f>+H5100</f>
        <v>Jorge Hernán Rodríguez Wilson/Azul</v>
      </c>
      <c r="I5101" s="340" t="s">
        <v>131</v>
      </c>
      <c r="K5101" s="370"/>
      <c r="N5101" s="370"/>
    </row>
    <row r="5102" spans="1:14" s="347" customFormat="1" x14ac:dyDescent="0.25">
      <c r="A5102" s="369"/>
      <c r="E5102" s="396"/>
      <c r="F5102" s="396"/>
      <c r="G5102" s="396"/>
      <c r="K5102" s="370"/>
      <c r="N5102" s="370"/>
    </row>
    <row r="5103" spans="1:14" s="347" customFormat="1" x14ac:dyDescent="0.25">
      <c r="A5103" s="402">
        <v>44475</v>
      </c>
      <c r="B5103" s="403">
        <f>+MONTH(A5103)</f>
        <v>10</v>
      </c>
      <c r="C5103" s="338">
        <v>4170</v>
      </c>
      <c r="D5103" s="340" t="str">
        <f>VLOOKUP(C5103,Plan!A:B,2,0)</f>
        <v>Cali otros</v>
      </c>
      <c r="E5103" s="341">
        <f>+F5103-G5103</f>
        <v>1625</v>
      </c>
      <c r="F5103" s="346">
        <v>1625</v>
      </c>
      <c r="G5103" s="346">
        <v>0</v>
      </c>
      <c r="H5103" s="338" t="s">
        <v>1068</v>
      </c>
      <c r="I5103" s="340" t="s">
        <v>131</v>
      </c>
      <c r="K5103" s="370"/>
      <c r="N5103" s="370"/>
    </row>
    <row r="5104" spans="1:14" s="347" customFormat="1" x14ac:dyDescent="0.25">
      <c r="A5104" s="402">
        <f>+A5103</f>
        <v>44475</v>
      </c>
      <c r="B5104" s="403">
        <f>+B5103</f>
        <v>10</v>
      </c>
      <c r="C5104" s="338">
        <v>116</v>
      </c>
      <c r="D5104" s="340" t="str">
        <f>VLOOKUP(C5104,Plan!A:B,2,0)</f>
        <v>Disponible CALI Security</v>
      </c>
      <c r="E5104" s="341">
        <f>+F5104-G5104</f>
        <v>-1625</v>
      </c>
      <c r="F5104" s="346">
        <v>0</v>
      </c>
      <c r="G5104" s="346">
        <f>+F5103</f>
        <v>1625</v>
      </c>
      <c r="H5104" s="338" t="str">
        <f>+H5103</f>
        <v>COM.PAGOS MASIVOS OTROS BANCOS</v>
      </c>
      <c r="I5104" s="340" t="s">
        <v>131</v>
      </c>
      <c r="K5104" s="370"/>
      <c r="N5104" s="370"/>
    </row>
    <row r="5105" spans="1:14" s="347" customFormat="1" x14ac:dyDescent="0.25">
      <c r="A5105" s="369"/>
      <c r="E5105" s="396"/>
      <c r="F5105" s="396"/>
      <c r="G5105" s="396"/>
      <c r="K5105" s="370"/>
      <c r="N5105" s="370"/>
    </row>
    <row r="5106" spans="1:14" s="347" customFormat="1" x14ac:dyDescent="0.25">
      <c r="A5106" s="402">
        <v>44475</v>
      </c>
      <c r="B5106" s="403">
        <f>+MONTH(A5106)</f>
        <v>10</v>
      </c>
      <c r="C5106" s="338">
        <v>4170</v>
      </c>
      <c r="D5106" s="340" t="str">
        <f>VLOOKUP(C5106,Plan!A:B,2,0)</f>
        <v>Cali otros</v>
      </c>
      <c r="E5106" s="341">
        <f>+F5106-G5106</f>
        <v>309</v>
      </c>
      <c r="F5106" s="346">
        <v>309</v>
      </c>
      <c r="G5106" s="346">
        <v>0</v>
      </c>
      <c r="H5106" s="338" t="s">
        <v>1068</v>
      </c>
      <c r="I5106" s="340" t="s">
        <v>131</v>
      </c>
      <c r="K5106" s="370"/>
      <c r="N5106" s="370"/>
    </row>
    <row r="5107" spans="1:14" s="347" customFormat="1" x14ac:dyDescent="0.25">
      <c r="A5107" s="402">
        <f>+A5106</f>
        <v>44475</v>
      </c>
      <c r="B5107" s="403">
        <f>+B5106</f>
        <v>10</v>
      </c>
      <c r="C5107" s="338">
        <v>116</v>
      </c>
      <c r="D5107" s="340" t="str">
        <f>VLOOKUP(C5107,Plan!A:B,2,0)</f>
        <v>Disponible CALI Security</v>
      </c>
      <c r="E5107" s="341">
        <f>+F5107-G5107</f>
        <v>-309</v>
      </c>
      <c r="F5107" s="346">
        <v>0</v>
      </c>
      <c r="G5107" s="346">
        <f>+F5106</f>
        <v>309</v>
      </c>
      <c r="H5107" s="338" t="str">
        <f>+H5106</f>
        <v>COM.PAGOS MASIVOS OTROS BANCOS</v>
      </c>
      <c r="I5107" s="340" t="s">
        <v>131</v>
      </c>
      <c r="K5107" s="370"/>
      <c r="N5107" s="370"/>
    </row>
    <row r="5108" spans="1:14" s="347" customFormat="1" x14ac:dyDescent="0.25">
      <c r="A5108" s="369"/>
      <c r="E5108" s="396"/>
      <c r="F5108" s="396"/>
      <c r="G5108" s="396"/>
      <c r="K5108" s="370"/>
      <c r="N5108" s="370"/>
    </row>
    <row r="5109" spans="1:14" s="347" customFormat="1" x14ac:dyDescent="0.25">
      <c r="A5109" s="402">
        <v>44475</v>
      </c>
      <c r="B5109" s="403">
        <f>+MONTH(A5109)</f>
        <v>10</v>
      </c>
      <c r="C5109" s="338">
        <v>116</v>
      </c>
      <c r="D5109" s="340" t="str">
        <f>VLOOKUP(C5109,Plan!A:B,2,0)</f>
        <v>Disponible CALI Security</v>
      </c>
      <c r="E5109" s="341">
        <f>+F5109-G5109</f>
        <v>32000000</v>
      </c>
      <c r="F5109" s="346">
        <v>32000000</v>
      </c>
      <c r="G5109" s="346">
        <v>0</v>
      </c>
      <c r="H5109" s="338" t="s">
        <v>2094</v>
      </c>
      <c r="I5109" s="340" t="s">
        <v>131</v>
      </c>
      <c r="K5109" s="370"/>
      <c r="N5109" s="370"/>
    </row>
    <row r="5110" spans="1:14" s="347" customFormat="1" x14ac:dyDescent="0.25">
      <c r="A5110" s="402">
        <v>44489</v>
      </c>
      <c r="B5110" s="403">
        <f>+B5109</f>
        <v>10</v>
      </c>
      <c r="C5110" s="338">
        <v>117</v>
      </c>
      <c r="D5110" s="340" t="str">
        <f>VLOOKUP(C5110,Plan!A:B,2,0)</f>
        <v>Disponible CALI Santander</v>
      </c>
      <c r="E5110" s="341">
        <f>+F5110-G5110</f>
        <v>-32000000</v>
      </c>
      <c r="F5110" s="346">
        <v>0</v>
      </c>
      <c r="G5110" s="346">
        <f>+F5109</f>
        <v>32000000</v>
      </c>
      <c r="H5110" s="338" t="str">
        <f>+H5109</f>
        <v>Traspaso desde Cta. Bco.Santander</v>
      </c>
      <c r="I5110" s="340" t="s">
        <v>131</v>
      </c>
      <c r="K5110" s="370"/>
      <c r="N5110" s="370"/>
    </row>
    <row r="5111" spans="1:14" s="347" customFormat="1" x14ac:dyDescent="0.25">
      <c r="A5111" s="369"/>
      <c r="E5111" s="396"/>
      <c r="F5111" s="396"/>
      <c r="G5111" s="396"/>
      <c r="K5111" s="370"/>
      <c r="N5111" s="370"/>
    </row>
    <row r="5112" spans="1:14" s="347" customFormat="1" x14ac:dyDescent="0.25">
      <c r="A5112" s="369">
        <v>44491</v>
      </c>
      <c r="B5112" s="347">
        <f>+MONTH(A5112)</f>
        <v>10</v>
      </c>
      <c r="C5112" s="347">
        <v>138</v>
      </c>
      <c r="D5112" s="340" t="str">
        <f>VLOOKUP(C5112,Plan!A$1:B$65542,2,0)</f>
        <v>Proyectos Especialidades</v>
      </c>
      <c r="E5112" s="341">
        <f>+F5112-G5112</f>
        <v>129328</v>
      </c>
      <c r="F5112" s="155">
        <v>129328</v>
      </c>
      <c r="G5112" s="396">
        <v>0</v>
      </c>
      <c r="H5112" s="370" t="s">
        <v>2181</v>
      </c>
      <c r="I5112" s="347" t="s">
        <v>131</v>
      </c>
      <c r="J5112" t="s">
        <v>1952</v>
      </c>
      <c r="K5112" t="s">
        <v>1953</v>
      </c>
      <c r="L5112" s="347">
        <v>2774</v>
      </c>
      <c r="N5112" s="370"/>
    </row>
    <row r="5113" spans="1:14" s="347" customFormat="1" x14ac:dyDescent="0.25">
      <c r="A5113" s="369">
        <f>+A5112</f>
        <v>44491</v>
      </c>
      <c r="B5113" s="347">
        <f>+B5112</f>
        <v>10</v>
      </c>
      <c r="C5113" s="347">
        <v>116</v>
      </c>
      <c r="D5113" s="340" t="str">
        <f>VLOOKUP(C5113,Plan!A$1:B$65542,2,0)</f>
        <v>Disponible CALI Security</v>
      </c>
      <c r="E5113" s="341">
        <f>+F5113-G5113</f>
        <v>-129328</v>
      </c>
      <c r="F5113" s="396">
        <v>0</v>
      </c>
      <c r="G5113" s="396">
        <f>+F5112</f>
        <v>129328</v>
      </c>
      <c r="H5113" t="str">
        <f>+H5112</f>
        <v>Fact. 2774, EE.PP.N°4(Proy.Paviment.Acceso PSAH)</v>
      </c>
      <c r="I5113" s="347" t="s">
        <v>131</v>
      </c>
      <c r="J5113" t="s">
        <v>1952</v>
      </c>
      <c r="K5113" t="s">
        <v>1953</v>
      </c>
      <c r="L5113" s="347">
        <v>2728</v>
      </c>
      <c r="N5113" s="370"/>
    </row>
    <row r="5114" spans="1:14" s="347" customFormat="1" x14ac:dyDescent="0.25">
      <c r="A5114" s="369"/>
      <c r="E5114" s="396"/>
      <c r="F5114" s="396"/>
      <c r="G5114" s="396"/>
      <c r="K5114" s="370"/>
      <c r="N5114" s="370"/>
    </row>
    <row r="5115" spans="1:14" s="347" customFormat="1" x14ac:dyDescent="0.25">
      <c r="A5115" s="369">
        <v>44491</v>
      </c>
      <c r="B5115" s="347">
        <f>+MONTH(A5115)</f>
        <v>10</v>
      </c>
      <c r="C5115" s="347">
        <v>138</v>
      </c>
      <c r="D5115" s="340" t="str">
        <f>VLOOKUP(C5115,Plan!A$1:B$65542,2,0)</f>
        <v>Proyectos Especialidades</v>
      </c>
      <c r="E5115" s="341">
        <f>+F5115-G5115</f>
        <v>4361654</v>
      </c>
      <c r="F5115" s="155">
        <v>4361654</v>
      </c>
      <c r="G5115" s="396">
        <v>0</v>
      </c>
      <c r="H5115" s="370" t="s">
        <v>2184</v>
      </c>
      <c r="I5115" s="347" t="s">
        <v>131</v>
      </c>
      <c r="J5115" t="s">
        <v>605</v>
      </c>
      <c r="K5115" t="s">
        <v>606</v>
      </c>
      <c r="L5115">
        <v>6409</v>
      </c>
      <c r="M5115" s="343" t="s">
        <v>614</v>
      </c>
      <c r="N5115" t="str">
        <f>IF(M5115&lt;&gt;"",VLOOKUP(M5115,[1]Plan!F$1:G$65536,2,0),"")</f>
        <v>ITO</v>
      </c>
    </row>
    <row r="5116" spans="1:14" s="347" customFormat="1" x14ac:dyDescent="0.25">
      <c r="A5116" s="369">
        <f>+A5115</f>
        <v>44491</v>
      </c>
      <c r="B5116" s="347">
        <f>+B5115</f>
        <v>10</v>
      </c>
      <c r="C5116" s="347">
        <v>116</v>
      </c>
      <c r="D5116" s="340" t="str">
        <f>VLOOKUP(C5116,Plan!A$1:B$65542,2,0)</f>
        <v>Disponible CALI Security</v>
      </c>
      <c r="E5116" s="341">
        <f>+F5116-G5116</f>
        <v>-4361654</v>
      </c>
      <c r="F5116" s="396">
        <v>0</v>
      </c>
      <c r="G5116" s="396">
        <f>+F5115</f>
        <v>4361654</v>
      </c>
      <c r="H5116" t="str">
        <f>+H5115</f>
        <v>Fact. 6409, EE.PP. N° 22, ITO Sept./21</v>
      </c>
      <c r="I5116" s="347" t="s">
        <v>131</v>
      </c>
      <c r="J5116" t="s">
        <v>605</v>
      </c>
      <c r="K5116" t="s">
        <v>606</v>
      </c>
      <c r="L5116">
        <f>+L5115</f>
        <v>6409</v>
      </c>
      <c r="M5116" s="343" t="s">
        <v>614</v>
      </c>
      <c r="N5116" t="str">
        <f>IF(M5116&lt;&gt;"",VLOOKUP(M5116,[1]Plan!F$1:G$65536,2,0),"")</f>
        <v>ITO</v>
      </c>
    </row>
    <row r="5117" spans="1:14" s="347" customFormat="1" x14ac:dyDescent="0.25">
      <c r="A5117" s="369"/>
      <c r="E5117" s="396"/>
      <c r="F5117" s="396"/>
      <c r="G5117" s="396"/>
      <c r="K5117" s="370"/>
      <c r="N5117" s="370"/>
    </row>
    <row r="5118" spans="1:14" s="347" customFormat="1" x14ac:dyDescent="0.25">
      <c r="A5118" s="369">
        <v>44491</v>
      </c>
      <c r="B5118" s="347">
        <f>+MONTH(A5118)</f>
        <v>10</v>
      </c>
      <c r="C5118" s="347">
        <v>228</v>
      </c>
      <c r="D5118" s="340" t="str">
        <f>VLOOKUP(C5118,Plan!A$1:B$65542,2,0)</f>
        <v>Proveedores CALI</v>
      </c>
      <c r="E5118" s="341">
        <f>+F5118-G5118</f>
        <v>50248964</v>
      </c>
      <c r="F5118" s="155">
        <v>50248964</v>
      </c>
      <c r="G5118" s="396">
        <v>0</v>
      </c>
      <c r="H5118" t="s">
        <v>2183</v>
      </c>
      <c r="I5118" s="347" t="s">
        <v>131</v>
      </c>
      <c r="J5118" s="403" t="s">
        <v>588</v>
      </c>
      <c r="K5118" s="208" t="str">
        <f>IF(J5118&lt;&gt;"",VLOOKUP(J5118,'Libro De Compras 2021'!D:E,2,0),"")</f>
        <v>PROYECTOS Y CONSTRUCCIONES TASCO LIMITADA</v>
      </c>
      <c r="L5118">
        <v>3048</v>
      </c>
      <c r="N5118" s="370"/>
    </row>
    <row r="5119" spans="1:14" s="347" customFormat="1" x14ac:dyDescent="0.25">
      <c r="A5119" s="369">
        <f>+A5118</f>
        <v>44491</v>
      </c>
      <c r="B5119" s="347">
        <f>+B5118</f>
        <v>10</v>
      </c>
      <c r="C5119" s="347">
        <v>116</v>
      </c>
      <c r="D5119" s="340" t="str">
        <f>VLOOKUP(C5119,Plan!A$1:B$65542,2,0)</f>
        <v>Disponible CALI Security</v>
      </c>
      <c r="E5119" s="341">
        <f>+F5119-G5119</f>
        <v>-50248964</v>
      </c>
      <c r="F5119" s="396">
        <v>0</v>
      </c>
      <c r="G5119" s="396">
        <f>+F5118</f>
        <v>50248964</v>
      </c>
      <c r="H5119" t="str">
        <f>+H5118</f>
        <v>Fact. 3048, EE.PP. N° 15</v>
      </c>
      <c r="I5119" s="347" t="s">
        <v>131</v>
      </c>
      <c r="J5119" s="403" t="s">
        <v>588</v>
      </c>
      <c r="K5119" s="208" t="str">
        <f>IF(J5119&lt;&gt;"",VLOOKUP(J5119,'Libro De Compras 2021'!D:E,2,0),"")</f>
        <v>PROYECTOS Y CONSTRUCCIONES TASCO LIMITADA</v>
      </c>
      <c r="L5119" s="403">
        <f>+L5118</f>
        <v>3048</v>
      </c>
      <c r="N5119" s="370"/>
    </row>
    <row r="5120" spans="1:14" s="347" customFormat="1" x14ac:dyDescent="0.25">
      <c r="A5120" s="369"/>
      <c r="E5120" s="396"/>
      <c r="F5120" s="396"/>
      <c r="G5120" s="396"/>
      <c r="K5120" s="370"/>
      <c r="N5120" s="370"/>
    </row>
    <row r="5121" spans="1:14" s="347" customFormat="1" x14ac:dyDescent="0.25">
      <c r="A5121" s="369">
        <v>44491</v>
      </c>
      <c r="B5121" s="347">
        <f>+MONTH(A5121)</f>
        <v>10</v>
      </c>
      <c r="C5121" s="347">
        <v>138</v>
      </c>
      <c r="D5121" s="340" t="str">
        <f>VLOOKUP(C5121,Plan!A$1:B$65542,2,0)</f>
        <v>Proyectos Especialidades</v>
      </c>
      <c r="E5121" s="341">
        <f>+F5121-G5121</f>
        <v>3005600</v>
      </c>
      <c r="F5121" s="155">
        <v>3005600</v>
      </c>
      <c r="G5121" s="396">
        <v>0</v>
      </c>
      <c r="H5121" s="370" t="s">
        <v>2182</v>
      </c>
      <c r="I5121" s="347" t="s">
        <v>131</v>
      </c>
      <c r="K5121" s="370"/>
      <c r="L5121" s="347">
        <v>429</v>
      </c>
      <c r="N5121" s="370"/>
    </row>
    <row r="5122" spans="1:14" s="347" customFormat="1" x14ac:dyDescent="0.25">
      <c r="A5122" s="369">
        <f>+A5121</f>
        <v>44491</v>
      </c>
      <c r="B5122" s="347">
        <f>+B5121</f>
        <v>10</v>
      </c>
      <c r="C5122" s="347">
        <v>116</v>
      </c>
      <c r="D5122" s="340" t="str">
        <f>VLOOKUP(C5122,Plan!A$1:B$65542,2,0)</f>
        <v>Disponible CALI Security</v>
      </c>
      <c r="E5122" s="341">
        <f>+F5122-G5122</f>
        <v>-3005600</v>
      </c>
      <c r="F5122" s="396">
        <v>0</v>
      </c>
      <c r="G5122" s="396">
        <f>+F5121</f>
        <v>3005600</v>
      </c>
      <c r="H5122" t="str">
        <f>+H5121</f>
        <v>Fact. 429  EE.PP.N°6</v>
      </c>
      <c r="I5122" s="347" t="s">
        <v>131</v>
      </c>
      <c r="K5122" s="370"/>
      <c r="L5122" s="347">
        <v>429</v>
      </c>
      <c r="N5122" s="370"/>
    </row>
    <row r="5123" spans="1:14" s="347" customFormat="1" x14ac:dyDescent="0.25">
      <c r="A5123" s="369"/>
      <c r="E5123" s="396"/>
      <c r="F5123" s="396"/>
      <c r="G5123" s="396"/>
      <c r="K5123" s="370"/>
      <c r="N5123" s="370"/>
    </row>
    <row r="5124" spans="1:14" s="347" customFormat="1" x14ac:dyDescent="0.25">
      <c r="A5124" s="402">
        <v>44491</v>
      </c>
      <c r="B5124" s="403">
        <f>+MONTH(A5124)</f>
        <v>10</v>
      </c>
      <c r="C5124" s="338">
        <v>137</v>
      </c>
      <c r="D5124" s="340" t="str">
        <f>VLOOKUP(C5124,Plan!A:B,2,0)</f>
        <v>Anticipo Construcción</v>
      </c>
      <c r="E5124" s="341">
        <f>+F5124-G5124</f>
        <v>-7042958</v>
      </c>
      <c r="F5124" s="465">
        <v>0</v>
      </c>
      <c r="G5124" s="465">
        <v>7042958</v>
      </c>
      <c r="H5124" s="429" t="s">
        <v>2185</v>
      </c>
      <c r="I5124" s="403" t="s">
        <v>131</v>
      </c>
      <c r="J5124" s="403" t="s">
        <v>588</v>
      </c>
      <c r="K5124" s="208" t="str">
        <f>IF(J5124&lt;&gt;"",VLOOKUP(J5124,'Libro De Compras 2021'!D:E,2,0),"")</f>
        <v>PROYECTOS Y CONSTRUCCIONES TASCO LIMITADA</v>
      </c>
      <c r="L5124">
        <v>3048</v>
      </c>
      <c r="N5124" s="370"/>
    </row>
    <row r="5125" spans="1:14" s="347" customFormat="1" x14ac:dyDescent="0.25">
      <c r="A5125" s="402">
        <f t="shared" ref="A5125:B5127" si="85">+A5124</f>
        <v>44491</v>
      </c>
      <c r="B5125" s="403">
        <f t="shared" si="85"/>
        <v>10</v>
      </c>
      <c r="C5125" s="338">
        <v>136</v>
      </c>
      <c r="D5125" s="340" t="str">
        <f>VLOOKUP(C5125,Plan!A:B,2,0)</f>
        <v>Obras en Construcción</v>
      </c>
      <c r="E5125" s="341">
        <f>+F5125-G5125</f>
        <v>59884938</v>
      </c>
      <c r="F5125" s="465">
        <f>+G5124+G5127+G5126</f>
        <v>59884938</v>
      </c>
      <c r="G5125" s="465">
        <v>0</v>
      </c>
      <c r="H5125" s="429" t="s">
        <v>589</v>
      </c>
      <c r="I5125" s="403" t="s">
        <v>131</v>
      </c>
      <c r="J5125" s="403" t="s">
        <v>588</v>
      </c>
      <c r="K5125" s="208" t="str">
        <f>IF(J5125&lt;&gt;"",VLOOKUP(J5125,'Libro De Compras 2021'!D:E,2,0),"")</f>
        <v>PROYECTOS Y CONSTRUCCIONES TASCO LIMITADA</v>
      </c>
      <c r="L5125" s="403">
        <f>+L5124</f>
        <v>3048</v>
      </c>
      <c r="N5125" s="370"/>
    </row>
    <row r="5126" spans="1:14" s="347" customFormat="1" x14ac:dyDescent="0.25">
      <c r="A5126" s="402">
        <f t="shared" si="85"/>
        <v>44491</v>
      </c>
      <c r="B5126" s="403">
        <f t="shared" si="85"/>
        <v>10</v>
      </c>
      <c r="C5126" s="338">
        <v>210</v>
      </c>
      <c r="D5126" s="340" t="str">
        <f>VLOOKUP(C5126,Plan!A:B,2,0)</f>
        <v>Retenciones Construcción</v>
      </c>
      <c r="E5126" s="341">
        <f>+F5126-G5126</f>
        <v>-2593016</v>
      </c>
      <c r="F5126" s="465">
        <v>0</v>
      </c>
      <c r="G5126" s="465">
        <v>2593016</v>
      </c>
      <c r="H5126" s="429" t="s">
        <v>2186</v>
      </c>
      <c r="I5126" s="403" t="s">
        <v>131</v>
      </c>
      <c r="J5126" s="403" t="s">
        <v>588</v>
      </c>
      <c r="K5126" s="208" t="str">
        <f>IF(J5126&lt;&gt;"",VLOOKUP(J5126,'Libro De Compras 2021'!D:E,2,0),"")</f>
        <v>PROYECTOS Y CONSTRUCCIONES TASCO LIMITADA</v>
      </c>
      <c r="L5126" s="403">
        <f>+L5125</f>
        <v>3048</v>
      </c>
      <c r="N5126" s="370"/>
    </row>
    <row r="5127" spans="1:14" s="347" customFormat="1" x14ac:dyDescent="0.25">
      <c r="A5127" s="402">
        <f t="shared" si="85"/>
        <v>44491</v>
      </c>
      <c r="B5127" s="403">
        <f t="shared" si="85"/>
        <v>10</v>
      </c>
      <c r="C5127" s="338">
        <v>228</v>
      </c>
      <c r="D5127" s="340" t="str">
        <f>VLOOKUP(C5127,Plan!A:B,2,0)</f>
        <v>Proveedores CALI</v>
      </c>
      <c r="E5127" s="341">
        <f>+F5127-G5127</f>
        <v>-50248964</v>
      </c>
      <c r="F5127" s="465">
        <v>0</v>
      </c>
      <c r="G5127" s="465">
        <v>50248964</v>
      </c>
      <c r="H5127" s="429" t="s">
        <v>2187</v>
      </c>
      <c r="I5127" s="403" t="s">
        <v>131</v>
      </c>
      <c r="J5127" s="403" t="s">
        <v>588</v>
      </c>
      <c r="K5127" s="208" t="str">
        <f>IF(J5127&lt;&gt;"",VLOOKUP(J5127,'Libro De Compras 2021'!D:E,2,0),"")</f>
        <v>PROYECTOS Y CONSTRUCCIONES TASCO LIMITADA</v>
      </c>
      <c r="L5127" s="403">
        <f>+L5126</f>
        <v>3048</v>
      </c>
      <c r="N5127" s="370"/>
    </row>
    <row r="5128" spans="1:14" s="347" customFormat="1" x14ac:dyDescent="0.25">
      <c r="A5128" s="369"/>
      <c r="E5128" s="396"/>
      <c r="F5128" s="396"/>
      <c r="G5128" s="396"/>
      <c r="K5128" s="370"/>
      <c r="N5128" s="370"/>
    </row>
    <row r="5129" spans="1:14" s="347" customFormat="1" x14ac:dyDescent="0.25">
      <c r="A5129" s="369">
        <v>44481</v>
      </c>
      <c r="B5129" s="347">
        <f>+MONTH(A5129)</f>
        <v>10</v>
      </c>
      <c r="C5129" s="347">
        <v>4170</v>
      </c>
      <c r="D5129" s="340" t="str">
        <f>VLOOKUP(C5129,Plan!A$1:B$65542,2,0)</f>
        <v>Cali otros</v>
      </c>
      <c r="E5129" s="341">
        <f>+F5129-G5129</f>
        <v>11444</v>
      </c>
      <c r="F5129" s="155">
        <v>11444</v>
      </c>
      <c r="G5129" s="396">
        <v>0</v>
      </c>
      <c r="H5129" s="370" t="s">
        <v>2188</v>
      </c>
      <c r="I5129" s="347" t="s">
        <v>131</v>
      </c>
      <c r="K5129" s="370"/>
      <c r="N5129" s="370"/>
    </row>
    <row r="5130" spans="1:14" s="347" customFormat="1" x14ac:dyDescent="0.25">
      <c r="A5130" s="369">
        <f>+A5129</f>
        <v>44481</v>
      </c>
      <c r="B5130" s="347">
        <f>+B5129</f>
        <v>10</v>
      </c>
      <c r="C5130" s="347">
        <v>117</v>
      </c>
      <c r="D5130" s="340" t="str">
        <f>VLOOKUP(C5130,Plan!A$1:B$65542,2,0)</f>
        <v>Disponible CALI Santander</v>
      </c>
      <c r="E5130" s="341">
        <f>+F5130-G5130</f>
        <v>-11444</v>
      </c>
      <c r="F5130" s="396">
        <v>0</v>
      </c>
      <c r="G5130" s="396">
        <f>+F5129</f>
        <v>11444</v>
      </c>
      <c r="H5130" t="str">
        <f>+H5129</f>
        <v>COM.SERV.PAC SEPT. 2021 32 TRX.</v>
      </c>
      <c r="I5130" s="347" t="s">
        <v>131</v>
      </c>
      <c r="K5130" s="370"/>
      <c r="N5130" s="370"/>
    </row>
    <row r="5131" spans="1:14" s="347" customFormat="1" x14ac:dyDescent="0.25">
      <c r="A5131" s="369"/>
      <c r="E5131" s="396"/>
      <c r="F5131" s="396"/>
      <c r="G5131" s="396"/>
      <c r="K5131" s="370"/>
      <c r="N5131" s="370"/>
    </row>
    <row r="5132" spans="1:14" s="347" customFormat="1" x14ac:dyDescent="0.25">
      <c r="A5132" s="369">
        <v>44483</v>
      </c>
      <c r="B5132" s="347">
        <f>+MONTH(A5132)</f>
        <v>10</v>
      </c>
      <c r="C5132" s="347">
        <v>117</v>
      </c>
      <c r="D5132" s="340" t="str">
        <f>VLOOKUP(C5132,Plan!A$1:B$65542,2,0)</f>
        <v>Disponible CALI Santander</v>
      </c>
      <c r="E5132" s="341">
        <f>+F5132-G5132</f>
        <v>400560000</v>
      </c>
      <c r="F5132" s="155">
        <v>400560000</v>
      </c>
      <c r="G5132" s="396">
        <v>0</v>
      </c>
      <c r="H5132" s="370" t="s">
        <v>2189</v>
      </c>
      <c r="I5132" s="347" t="s">
        <v>131</v>
      </c>
      <c r="K5132" s="370"/>
      <c r="N5132" s="370"/>
    </row>
    <row r="5133" spans="1:14" s="347" customFormat="1" x14ac:dyDescent="0.25">
      <c r="A5133" s="369">
        <f>+A5132</f>
        <v>44483</v>
      </c>
      <c r="B5133" s="347">
        <f>+B5132</f>
        <v>10</v>
      </c>
      <c r="C5133" s="347">
        <v>113</v>
      </c>
      <c r="D5133" s="340" t="str">
        <f>VLOOKUP(C5133,Plan!A$1:B$65542,2,0)</f>
        <v>Depósito a plazo Cali Banco Santander</v>
      </c>
      <c r="E5133" s="341">
        <f>+F5133-G5133</f>
        <v>-400560000</v>
      </c>
      <c r="F5133" s="396">
        <v>0</v>
      </c>
      <c r="G5133" s="396">
        <f>+F5132</f>
        <v>400560000</v>
      </c>
      <c r="H5133" t="str">
        <f>+H5132</f>
        <v xml:space="preserve">Abono Venc. DAP </v>
      </c>
      <c r="I5133" s="347" t="s">
        <v>131</v>
      </c>
      <c r="K5133" s="370"/>
      <c r="N5133" s="370"/>
    </row>
    <row r="5134" spans="1:14" s="347" customFormat="1" x14ac:dyDescent="0.25">
      <c r="A5134" s="369"/>
      <c r="E5134" s="396"/>
      <c r="F5134" s="396"/>
      <c r="G5134" s="396"/>
      <c r="K5134" s="370"/>
      <c r="N5134" s="370"/>
    </row>
    <row r="5135" spans="1:14" s="347" customFormat="1" x14ac:dyDescent="0.25">
      <c r="A5135" s="369">
        <v>44483</v>
      </c>
      <c r="B5135" s="347">
        <f>+MONTH(A5135)</f>
        <v>10</v>
      </c>
      <c r="C5135" s="347">
        <v>113</v>
      </c>
      <c r="D5135" s="340" t="str">
        <f>VLOOKUP(C5135,Plan!A$1:B$65542,2,0)</f>
        <v>Depósito a plazo Cali Banco Santander</v>
      </c>
      <c r="E5135" s="341">
        <f>+F5135-G5135</f>
        <v>370000000</v>
      </c>
      <c r="F5135" s="155">
        <v>370000000</v>
      </c>
      <c r="G5135" s="396">
        <v>0</v>
      </c>
      <c r="H5135" s="370" t="s">
        <v>2190</v>
      </c>
      <c r="I5135" s="347" t="s">
        <v>131</v>
      </c>
      <c r="K5135" s="370"/>
      <c r="N5135" s="370"/>
    </row>
    <row r="5136" spans="1:14" s="347" customFormat="1" x14ac:dyDescent="0.25">
      <c r="A5136" s="369">
        <f>+A5135</f>
        <v>44483</v>
      </c>
      <c r="B5136" s="347">
        <f>+B5135</f>
        <v>10</v>
      </c>
      <c r="C5136" s="347">
        <v>117</v>
      </c>
      <c r="D5136" s="340" t="str">
        <f>VLOOKUP(C5136,Plan!A$1:B$65542,2,0)</f>
        <v>Disponible CALI Santander</v>
      </c>
      <c r="E5136" s="341">
        <f>+F5136-G5136</f>
        <v>-370000000</v>
      </c>
      <c r="F5136" s="396">
        <v>0</v>
      </c>
      <c r="G5136" s="396">
        <f>+F5135</f>
        <v>370000000</v>
      </c>
      <c r="H5136" t="str">
        <f>+H5135</f>
        <v>Toma DAP a 35 ds.</v>
      </c>
      <c r="I5136" s="347" t="s">
        <v>131</v>
      </c>
      <c r="K5136" s="370"/>
      <c r="N5136" s="370"/>
    </row>
    <row r="5137" spans="1:14" s="347" customFormat="1" x14ac:dyDescent="0.25">
      <c r="A5137" s="369"/>
      <c r="E5137" s="396"/>
      <c r="F5137" s="396"/>
      <c r="G5137" s="396"/>
      <c r="K5137" s="370"/>
      <c r="N5137" s="370"/>
    </row>
    <row r="5138" spans="1:14" s="347" customFormat="1" x14ac:dyDescent="0.25">
      <c r="A5138" s="369">
        <v>44496</v>
      </c>
      <c r="B5138" s="347">
        <f>+MONTH(A5138)</f>
        <v>10</v>
      </c>
      <c r="C5138" s="347">
        <v>117</v>
      </c>
      <c r="D5138" s="340" t="str">
        <f>VLOOKUP(C5138,Plan!A$1:B$65542,2,0)</f>
        <v>Disponible CALI Santander</v>
      </c>
      <c r="E5138" s="341">
        <f>+F5138-G5138</f>
        <v>795000</v>
      </c>
      <c r="F5138" s="155">
        <v>795000</v>
      </c>
      <c r="G5138" s="396">
        <v>0</v>
      </c>
      <c r="H5138" s="370" t="s">
        <v>1788</v>
      </c>
      <c r="I5138" s="347" t="s">
        <v>131</v>
      </c>
      <c r="K5138" s="370"/>
      <c r="N5138" s="370"/>
    </row>
    <row r="5139" spans="1:14" s="347" customFormat="1" x14ac:dyDescent="0.25">
      <c r="A5139" s="369">
        <f>+A5138</f>
        <v>44496</v>
      </c>
      <c r="B5139" s="347">
        <f>+B5138</f>
        <v>10</v>
      </c>
      <c r="C5139" s="347">
        <v>1222</v>
      </c>
      <c r="D5139" s="340" t="str">
        <f>VLOOKUP(C5139,Plan!A$1:B$65542,2,0)</f>
        <v>Otros Valores -Oficina y Transferencias (249)</v>
      </c>
      <c r="E5139" s="341">
        <f>+F5139-G5139</f>
        <v>-795000</v>
      </c>
      <c r="F5139" s="396">
        <v>0</v>
      </c>
      <c r="G5139" s="396">
        <f>+F5138</f>
        <v>795000</v>
      </c>
      <c r="H5139" t="str">
        <f>+H5138</f>
        <v>ABONO RECAUDACION PAC</v>
      </c>
      <c r="I5139" s="347" t="s">
        <v>131</v>
      </c>
      <c r="K5139" s="370"/>
      <c r="N5139" s="370"/>
    </row>
    <row r="5140" spans="1:14" s="347" customFormat="1" x14ac:dyDescent="0.25">
      <c r="A5140" s="369"/>
      <c r="E5140" s="396"/>
      <c r="F5140" s="396"/>
      <c r="G5140" s="396"/>
      <c r="K5140" s="370"/>
      <c r="N5140" s="370"/>
    </row>
    <row r="5141" spans="1:14" s="347" customFormat="1" x14ac:dyDescent="0.25">
      <c r="A5141" s="369">
        <v>44498</v>
      </c>
      <c r="B5141" s="347">
        <f>+MONTH(A5141)</f>
        <v>10</v>
      </c>
      <c r="C5141" s="347">
        <v>117</v>
      </c>
      <c r="D5141" s="340" t="str">
        <f>VLOOKUP(C5141,Plan!A$1:B$65542,2,0)</f>
        <v>Disponible CALI Santander</v>
      </c>
      <c r="E5141" s="341">
        <f>+F5141-G5141</f>
        <v>10000</v>
      </c>
      <c r="F5141" s="155">
        <v>10000</v>
      </c>
      <c r="G5141" s="396">
        <v>0</v>
      </c>
      <c r="H5141" s="370" t="s">
        <v>1788</v>
      </c>
      <c r="I5141" s="347" t="s">
        <v>131</v>
      </c>
      <c r="K5141" s="370"/>
      <c r="N5141" s="370"/>
    </row>
    <row r="5142" spans="1:14" s="347" customFormat="1" x14ac:dyDescent="0.25">
      <c r="A5142" s="369">
        <f>+A5141</f>
        <v>44498</v>
      </c>
      <c r="B5142" s="347">
        <f>+B5141</f>
        <v>10</v>
      </c>
      <c r="C5142" s="347">
        <v>1222</v>
      </c>
      <c r="D5142" s="340" t="str">
        <f>VLOOKUP(C5142,Plan!A$1:B$65542,2,0)</f>
        <v>Otros Valores -Oficina y Transferencias (249)</v>
      </c>
      <c r="E5142" s="341">
        <f>+F5142-G5142</f>
        <v>-10000</v>
      </c>
      <c r="F5142" s="396">
        <v>0</v>
      </c>
      <c r="G5142" s="396">
        <f>+F5141</f>
        <v>10000</v>
      </c>
      <c r="H5142" t="str">
        <f>+H5141</f>
        <v>ABONO RECAUDACION PAC</v>
      </c>
      <c r="I5142" s="347" t="s">
        <v>131</v>
      </c>
      <c r="K5142" s="370"/>
      <c r="N5142" s="370"/>
    </row>
    <row r="5143" spans="1:14" s="347" customFormat="1" x14ac:dyDescent="0.25">
      <c r="A5143" s="369"/>
      <c r="E5143" s="396"/>
      <c r="F5143" s="396"/>
      <c r="G5143" s="396"/>
      <c r="K5143" s="370"/>
      <c r="N5143" s="370"/>
    </row>
    <row r="5144" spans="1:14" s="347" customFormat="1" x14ac:dyDescent="0.25">
      <c r="A5144" s="339">
        <v>44499</v>
      </c>
      <c r="B5144" s="403">
        <f t="shared" ref="B5144:B5170" si="86">+MONTH(A5144)</f>
        <v>10</v>
      </c>
      <c r="C5144" s="352">
        <v>3620</v>
      </c>
      <c r="D5144" s="340" t="str">
        <f>VLOOKUP(C5144,Plan!A:B,2,0)</f>
        <v>Cali Recaudadores</v>
      </c>
      <c r="E5144" s="341">
        <f t="shared" ref="E5144:E5170" si="87">+F5144-G5144</f>
        <v>-562000</v>
      </c>
      <c r="F5144" s="353">
        <v>0</v>
      </c>
      <c r="G5144" s="353">
        <v>562000</v>
      </c>
      <c r="H5144" s="354" t="s">
        <v>2191</v>
      </c>
      <c r="I5144" s="355" t="s">
        <v>131</v>
      </c>
      <c r="K5144" s="370"/>
      <c r="N5144" s="370"/>
    </row>
    <row r="5145" spans="1:14" s="347" customFormat="1" x14ac:dyDescent="0.25">
      <c r="A5145" s="350">
        <f>+A5144</f>
        <v>44499</v>
      </c>
      <c r="B5145" s="403">
        <f t="shared" si="86"/>
        <v>10</v>
      </c>
      <c r="C5145" s="352">
        <v>3621</v>
      </c>
      <c r="D5145" s="340" t="str">
        <f>VLOOKUP(C5145,Plan!A:B,2,0)</f>
        <v>Cali Recaudadores (249)</v>
      </c>
      <c r="E5145" s="341">
        <f t="shared" si="87"/>
        <v>0</v>
      </c>
      <c r="F5145" s="353">
        <v>0</v>
      </c>
      <c r="G5145" s="353">
        <v>0</v>
      </c>
      <c r="H5145" s="354" t="str">
        <f t="shared" ref="H5145:H5152" si="88">+H5144</f>
        <v>Centralización Recaudación Octubre</v>
      </c>
      <c r="I5145" s="355" t="s">
        <v>131</v>
      </c>
      <c r="K5145" s="370"/>
      <c r="N5145" s="370"/>
    </row>
    <row r="5146" spans="1:14" s="347" customFormat="1" x14ac:dyDescent="0.25">
      <c r="A5146" s="350">
        <f>+A5144</f>
        <v>44499</v>
      </c>
      <c r="B5146" s="403">
        <f t="shared" si="86"/>
        <v>10</v>
      </c>
      <c r="C5146" s="352">
        <v>3630</v>
      </c>
      <c r="D5146" s="340" t="str">
        <f>VLOOKUP(C5146,Plan!A:B,2,0)</f>
        <v>Cali Oficina Parroquial</v>
      </c>
      <c r="E5146" s="341">
        <f t="shared" si="87"/>
        <v>-905000</v>
      </c>
      <c r="F5146" s="353">
        <v>0</v>
      </c>
      <c r="G5146" s="353">
        <v>905000</v>
      </c>
      <c r="H5146" s="354" t="str">
        <f t="shared" si="88"/>
        <v>Centralización Recaudación Octubre</v>
      </c>
      <c r="I5146" s="355" t="s">
        <v>131</v>
      </c>
      <c r="K5146" s="370"/>
      <c r="N5146" s="370"/>
    </row>
    <row r="5147" spans="1:14" s="347" customFormat="1" x14ac:dyDescent="0.25">
      <c r="A5147" s="350">
        <f>+A5145</f>
        <v>44499</v>
      </c>
      <c r="B5147" s="403">
        <f t="shared" si="86"/>
        <v>10</v>
      </c>
      <c r="C5147" s="352">
        <v>3631</v>
      </c>
      <c r="D5147" s="340" t="str">
        <f>VLOOKUP(C5147,Plan!A:B,2,0)</f>
        <v>Cali Oficina Parroquial (249)</v>
      </c>
      <c r="E5147" s="341">
        <f t="shared" si="87"/>
        <v>-3698500</v>
      </c>
      <c r="F5147" s="353">
        <v>0</v>
      </c>
      <c r="G5147" s="353">
        <v>3698500</v>
      </c>
      <c r="H5147" s="354" t="str">
        <f t="shared" si="88"/>
        <v>Centralización Recaudación Octubre</v>
      </c>
      <c r="I5147" s="355" t="s">
        <v>131</v>
      </c>
      <c r="K5147" s="370"/>
      <c r="N5147" s="370"/>
    </row>
    <row r="5148" spans="1:14" s="347" customFormat="1" x14ac:dyDescent="0.25">
      <c r="A5148" s="350">
        <f>+A5146</f>
        <v>44499</v>
      </c>
      <c r="B5148" s="403">
        <f t="shared" si="86"/>
        <v>10</v>
      </c>
      <c r="C5148" s="352">
        <v>3640</v>
      </c>
      <c r="D5148" s="340" t="str">
        <f>VLOOKUP(C5148,Plan!A:B,2,0)</f>
        <v>Cali Tarjetas de Creditos</v>
      </c>
      <c r="E5148" s="341">
        <f t="shared" si="87"/>
        <v>-4210600</v>
      </c>
      <c r="F5148" s="353">
        <v>0</v>
      </c>
      <c r="G5148" s="353">
        <v>4210600</v>
      </c>
      <c r="H5148" s="354" t="str">
        <f t="shared" si="88"/>
        <v>Centralización Recaudación Octubre</v>
      </c>
      <c r="I5148" s="355" t="s">
        <v>131</v>
      </c>
      <c r="K5148" s="370"/>
      <c r="N5148" s="370"/>
    </row>
    <row r="5149" spans="1:14" s="347" customFormat="1" x14ac:dyDescent="0.25">
      <c r="A5149" s="350">
        <f>+A5147</f>
        <v>44499</v>
      </c>
      <c r="B5149" s="403">
        <f t="shared" si="86"/>
        <v>10</v>
      </c>
      <c r="C5149" s="352">
        <v>3641</v>
      </c>
      <c r="D5149" s="340" t="str">
        <f>VLOOKUP(C5149,Plan!A:B,2,0)</f>
        <v>Cali Tarjetas de Creditos (249)</v>
      </c>
      <c r="E5149" s="341">
        <f t="shared" si="87"/>
        <v>-8137913</v>
      </c>
      <c r="F5149" s="353">
        <v>0</v>
      </c>
      <c r="G5149" s="353">
        <v>8137913</v>
      </c>
      <c r="H5149" s="354" t="str">
        <f t="shared" si="88"/>
        <v>Centralización Recaudación Octubre</v>
      </c>
      <c r="I5149" s="355" t="s">
        <v>131</v>
      </c>
      <c r="K5149" s="370"/>
      <c r="N5149" s="370"/>
    </row>
    <row r="5150" spans="1:14" s="347" customFormat="1" x14ac:dyDescent="0.25">
      <c r="A5150" s="350">
        <f>+A5148</f>
        <v>44499</v>
      </c>
      <c r="B5150" s="403">
        <f t="shared" si="86"/>
        <v>10</v>
      </c>
      <c r="C5150" s="352">
        <v>1216</v>
      </c>
      <c r="D5150" s="340" t="str">
        <f>VLOOKUP(C5150,Plan!A:B,2,0)</f>
        <v>Otros Valores Recaudadoras</v>
      </c>
      <c r="E5150" s="341">
        <f t="shared" si="87"/>
        <v>562000</v>
      </c>
      <c r="F5150" s="353">
        <f>+G5144+G5145</f>
        <v>562000</v>
      </c>
      <c r="G5150" s="353">
        <v>0</v>
      </c>
      <c r="H5150" s="354" t="str">
        <f t="shared" si="88"/>
        <v>Centralización Recaudación Octubre</v>
      </c>
      <c r="I5150" s="355" t="s">
        <v>131</v>
      </c>
      <c r="K5150" s="370"/>
      <c r="N5150" s="370"/>
    </row>
    <row r="5151" spans="1:14" s="347" customFormat="1" x14ac:dyDescent="0.25">
      <c r="A5151" s="350">
        <f>+A5150</f>
        <v>44499</v>
      </c>
      <c r="B5151" s="403">
        <f t="shared" si="86"/>
        <v>10</v>
      </c>
      <c r="C5151" s="352">
        <v>1217</v>
      </c>
      <c r="D5151" s="340" t="str">
        <f>VLOOKUP(C5151,Plan!A:B,2,0)</f>
        <v>Otros Valores -Oficina y Transferencias (248)</v>
      </c>
      <c r="E5151" s="341">
        <f t="shared" si="87"/>
        <v>905000</v>
      </c>
      <c r="F5151" s="353">
        <f>+G5146</f>
        <v>905000</v>
      </c>
      <c r="G5151" s="353">
        <v>0</v>
      </c>
      <c r="H5151" s="354" t="str">
        <f t="shared" si="88"/>
        <v>Centralización Recaudación Octubre</v>
      </c>
      <c r="I5151" s="355" t="s">
        <v>131</v>
      </c>
      <c r="K5151" s="370"/>
      <c r="N5151" s="370"/>
    </row>
    <row r="5152" spans="1:14" s="347" customFormat="1" x14ac:dyDescent="0.25">
      <c r="A5152" s="350">
        <f>+A5151</f>
        <v>44499</v>
      </c>
      <c r="B5152" s="403">
        <f t="shared" si="86"/>
        <v>10</v>
      </c>
      <c r="C5152" s="352">
        <v>1222</v>
      </c>
      <c r="D5152" s="340" t="str">
        <f>VLOOKUP(C5152,Plan!A:B,2,0)</f>
        <v>Otros Valores -Oficina y Transferencias (249)</v>
      </c>
      <c r="E5152" s="341">
        <f t="shared" si="87"/>
        <v>3698500</v>
      </c>
      <c r="F5152" s="353">
        <f>+G5147</f>
        <v>3698500</v>
      </c>
      <c r="G5152" s="353">
        <v>0</v>
      </c>
      <c r="H5152" s="354" t="str">
        <f t="shared" si="88"/>
        <v>Centralización Recaudación Octubre</v>
      </c>
      <c r="I5152" s="355" t="s">
        <v>131</v>
      </c>
      <c r="K5152" s="370"/>
      <c r="N5152" s="370"/>
    </row>
    <row r="5153" spans="1:14" s="347" customFormat="1" x14ac:dyDescent="0.25">
      <c r="A5153" s="350">
        <f>+A5151</f>
        <v>44499</v>
      </c>
      <c r="B5153" s="403">
        <f t="shared" si="86"/>
        <v>10</v>
      </c>
      <c r="C5153" s="352">
        <v>1218</v>
      </c>
      <c r="D5153" s="340" t="str">
        <f>VLOOKUP(C5153,Plan!A:B,2,0)</f>
        <v>Otros Valores Tarjeta de Credito</v>
      </c>
      <c r="E5153" s="341">
        <f t="shared" si="87"/>
        <v>12348513</v>
      </c>
      <c r="F5153" s="353">
        <f>+G5148+G5149</f>
        <v>12348513</v>
      </c>
      <c r="G5153" s="353">
        <v>0</v>
      </c>
      <c r="H5153" s="354" t="str">
        <f>+H5151</f>
        <v>Centralización Recaudación Octubre</v>
      </c>
      <c r="I5153" s="355" t="s">
        <v>131</v>
      </c>
      <c r="K5153" s="370"/>
      <c r="N5153" s="370"/>
    </row>
    <row r="5154" spans="1:14" s="347" customFormat="1" x14ac:dyDescent="0.25">
      <c r="A5154" s="350">
        <f t="shared" ref="A5154:A5161" si="89">+A5153</f>
        <v>44499</v>
      </c>
      <c r="B5154" s="403">
        <f t="shared" si="86"/>
        <v>10</v>
      </c>
      <c r="C5154" s="352">
        <v>202</v>
      </c>
      <c r="D5154" s="340" t="str">
        <f>VLOOKUP(C5154,Plan!A:B,2,0)</f>
        <v>Arzobispado por pagar</v>
      </c>
      <c r="E5154" s="341">
        <f t="shared" si="87"/>
        <v>-2967795</v>
      </c>
      <c r="F5154" s="353">
        <v>0</v>
      </c>
      <c r="G5154" s="353">
        <f>+ROUND((((G5144+G5146+G5148)*0.99)*0.88)*0.6,0)</f>
        <v>2967795</v>
      </c>
      <c r="H5154" s="354" t="str">
        <f t="shared" ref="H5154:H5170" si="90">+H5153</f>
        <v>Centralización Recaudación Octubre</v>
      </c>
      <c r="I5154" s="355" t="s">
        <v>131</v>
      </c>
      <c r="K5154" s="370"/>
      <c r="N5154" s="370"/>
    </row>
    <row r="5155" spans="1:14" s="347" customFormat="1" x14ac:dyDescent="0.25">
      <c r="A5155" s="350">
        <f t="shared" si="89"/>
        <v>44499</v>
      </c>
      <c r="B5155" s="403">
        <f t="shared" si="86"/>
        <v>10</v>
      </c>
      <c r="C5155" s="352">
        <v>4120</v>
      </c>
      <c r="D5155" s="340" t="str">
        <f>VLOOKUP(C5155,Plan!A:B,2,0)</f>
        <v>Aporte Arzobispado</v>
      </c>
      <c r="E5155" s="341">
        <f t="shared" si="87"/>
        <v>2967795</v>
      </c>
      <c r="F5155" s="353">
        <f>+G5154</f>
        <v>2967795</v>
      </c>
      <c r="G5155" s="353">
        <v>0</v>
      </c>
      <c r="H5155" s="354" t="str">
        <f t="shared" si="90"/>
        <v>Centralización Recaudación Octubre</v>
      </c>
      <c r="I5155" s="355" t="s">
        <v>131</v>
      </c>
      <c r="K5155" s="370"/>
      <c r="N5155" s="370"/>
    </row>
    <row r="5156" spans="1:14" s="347" customFormat="1" x14ac:dyDescent="0.25">
      <c r="A5156" s="350">
        <f t="shared" si="89"/>
        <v>44499</v>
      </c>
      <c r="B5156" s="403">
        <f t="shared" si="86"/>
        <v>10</v>
      </c>
      <c r="C5156" s="352">
        <v>203</v>
      </c>
      <c r="D5156" s="340" t="str">
        <f>VLOOKUP(C5156,Plan!A:B,2,0)</f>
        <v>Recaudadoras por pagar</v>
      </c>
      <c r="E5156" s="341">
        <f t="shared" si="87"/>
        <v>-67440</v>
      </c>
      <c r="F5156" s="353">
        <v>0</v>
      </c>
      <c r="G5156" s="356">
        <f>+F5150*0.12</f>
        <v>67440</v>
      </c>
      <c r="H5156" s="354" t="str">
        <f t="shared" si="90"/>
        <v>Centralización Recaudación Octubre</v>
      </c>
      <c r="I5156" s="355" t="s">
        <v>131</v>
      </c>
      <c r="K5156" s="370"/>
      <c r="N5156" s="370"/>
    </row>
    <row r="5157" spans="1:14" s="347" customFormat="1" x14ac:dyDescent="0.25">
      <c r="A5157" s="350">
        <f t="shared" si="89"/>
        <v>44499</v>
      </c>
      <c r="B5157" s="403">
        <f t="shared" si="86"/>
        <v>10</v>
      </c>
      <c r="C5157" s="352">
        <v>201</v>
      </c>
      <c r="D5157" s="340" t="str">
        <f>VLOOKUP(C5157,Plan!A:B,2,0)</f>
        <v>1% por pagar</v>
      </c>
      <c r="E5157" s="341">
        <f t="shared" si="87"/>
        <v>-175140</v>
      </c>
      <c r="F5157" s="353">
        <v>0</v>
      </c>
      <c r="G5157" s="356">
        <f>ROUND(SUM(G5144:G5149)*0.01,0)</f>
        <v>175140</v>
      </c>
      <c r="H5157" s="354" t="str">
        <f t="shared" si="90"/>
        <v>Centralización Recaudación Octubre</v>
      </c>
      <c r="I5157" s="355" t="s">
        <v>131</v>
      </c>
      <c r="K5157" s="370"/>
      <c r="N5157" s="370"/>
    </row>
    <row r="5158" spans="1:14" s="347" customFormat="1" x14ac:dyDescent="0.25">
      <c r="A5158" s="350">
        <f t="shared" si="89"/>
        <v>44499</v>
      </c>
      <c r="B5158" s="403">
        <f t="shared" si="86"/>
        <v>10</v>
      </c>
      <c r="C5158" s="352">
        <v>4140</v>
      </c>
      <c r="D5158" s="340" t="str">
        <f>VLOOKUP(C5158,Plan!A:B,2,0)</f>
        <v>Comisiones Cali Recaudadores</v>
      </c>
      <c r="E5158" s="341">
        <f t="shared" si="87"/>
        <v>67440</v>
      </c>
      <c r="F5158" s="353">
        <f>+G5156</f>
        <v>67440</v>
      </c>
      <c r="G5158" s="353">
        <v>0</v>
      </c>
      <c r="H5158" s="354" t="str">
        <f t="shared" si="90"/>
        <v>Centralización Recaudación Octubre</v>
      </c>
      <c r="I5158" s="355" t="s">
        <v>131</v>
      </c>
      <c r="K5158" s="370"/>
      <c r="N5158" s="370"/>
    </row>
    <row r="5159" spans="1:14" s="347" customFormat="1" x14ac:dyDescent="0.25">
      <c r="A5159" s="350">
        <f t="shared" si="89"/>
        <v>44499</v>
      </c>
      <c r="B5159" s="403">
        <f t="shared" si="86"/>
        <v>10</v>
      </c>
      <c r="C5159" s="352">
        <v>4110</v>
      </c>
      <c r="D5159" s="340" t="str">
        <f>VLOOKUP(C5159,Plan!A:B,2,0)</f>
        <v>Aporte Papal</v>
      </c>
      <c r="E5159" s="341">
        <f t="shared" si="87"/>
        <v>175140</v>
      </c>
      <c r="F5159" s="353">
        <f>+G5157</f>
        <v>175140</v>
      </c>
      <c r="G5159" s="353">
        <v>0</v>
      </c>
      <c r="H5159" s="354" t="str">
        <f t="shared" si="90"/>
        <v>Centralización Recaudación Octubre</v>
      </c>
      <c r="I5159" s="355" t="s">
        <v>131</v>
      </c>
      <c r="K5159" s="370"/>
      <c r="N5159" s="370"/>
    </row>
    <row r="5160" spans="1:14" s="347" customFormat="1" x14ac:dyDescent="0.25">
      <c r="A5160" s="470">
        <f t="shared" si="89"/>
        <v>44499</v>
      </c>
      <c r="B5160" s="403">
        <f t="shared" si="86"/>
        <v>10</v>
      </c>
      <c r="C5160" s="471">
        <v>3610</v>
      </c>
      <c r="D5160" s="472" t="str">
        <f>VLOOKUP(C5160,Plan!A:B,2,0)</f>
        <v>Cali  Arzobispado</v>
      </c>
      <c r="E5160" s="341">
        <f t="shared" si="87"/>
        <v>-5970964</v>
      </c>
      <c r="F5160" s="473">
        <v>0</v>
      </c>
      <c r="G5160" s="473">
        <v>5970964</v>
      </c>
      <c r="H5160" s="474" t="str">
        <f t="shared" si="90"/>
        <v>Centralización Recaudación Octubre</v>
      </c>
      <c r="I5160" s="474" t="s">
        <v>131</v>
      </c>
      <c r="K5160" s="370"/>
      <c r="N5160" s="370"/>
    </row>
    <row r="5161" spans="1:14" s="347" customFormat="1" x14ac:dyDescent="0.25">
      <c r="A5161" s="470">
        <f t="shared" si="89"/>
        <v>44499</v>
      </c>
      <c r="B5161" s="403">
        <f t="shared" si="86"/>
        <v>10</v>
      </c>
      <c r="C5161" s="471">
        <v>3611</v>
      </c>
      <c r="D5161" s="472" t="str">
        <f>VLOOKUP(C5161,Plan!A:B,2,0)</f>
        <v>Cali  Arzobispado (249)</v>
      </c>
      <c r="E5161" s="341">
        <f t="shared" si="87"/>
        <v>-1985500</v>
      </c>
      <c r="F5161" s="473">
        <v>0</v>
      </c>
      <c r="G5161" s="473">
        <v>1985500</v>
      </c>
      <c r="H5161" s="474" t="str">
        <f t="shared" si="90"/>
        <v>Centralización Recaudación Octubre</v>
      </c>
      <c r="I5161" s="474" t="s">
        <v>131</v>
      </c>
      <c r="K5161" s="370"/>
      <c r="N5161" s="370"/>
    </row>
    <row r="5162" spans="1:14" s="347" customFormat="1" x14ac:dyDescent="0.25">
      <c r="A5162" s="470">
        <f>+A5160</f>
        <v>44499</v>
      </c>
      <c r="B5162" s="403">
        <f t="shared" si="86"/>
        <v>10</v>
      </c>
      <c r="C5162" s="471">
        <v>4160</v>
      </c>
      <c r="D5162" s="472" t="str">
        <f>VLOOKUP(C5162,Plan!A:B,2,0)</f>
        <v>Comisiones Cali Arzobispado</v>
      </c>
      <c r="E5162" s="341">
        <f t="shared" si="87"/>
        <v>419582</v>
      </c>
      <c r="F5162" s="473">
        <v>419582</v>
      </c>
      <c r="G5162" s="473">
        <v>0</v>
      </c>
      <c r="H5162" s="474" t="str">
        <f t="shared" si="90"/>
        <v>Centralización Recaudación Octubre</v>
      </c>
      <c r="I5162" s="474" t="s">
        <v>131</v>
      </c>
      <c r="K5162" s="370"/>
      <c r="N5162" s="370"/>
    </row>
    <row r="5163" spans="1:14" s="347" customFormat="1" x14ac:dyDescent="0.25">
      <c r="A5163" s="470">
        <f>+A5161</f>
        <v>44499</v>
      </c>
      <c r="B5163" s="403">
        <f t="shared" si="86"/>
        <v>10</v>
      </c>
      <c r="C5163" s="471">
        <v>4160</v>
      </c>
      <c r="D5163" s="472" t="str">
        <f>VLOOKUP(C5163,Plan!A:B,2,0)</f>
        <v>Comisiones Cali Arzobispado</v>
      </c>
      <c r="E5163" s="341">
        <f t="shared" si="87"/>
        <v>49638</v>
      </c>
      <c r="F5163" s="473">
        <v>49638</v>
      </c>
      <c r="G5163" s="473">
        <v>0</v>
      </c>
      <c r="H5163" s="474" t="str">
        <f t="shared" si="90"/>
        <v>Centralización Recaudación Octubre</v>
      </c>
      <c r="I5163" s="474" t="s">
        <v>131</v>
      </c>
      <c r="K5163" s="370"/>
      <c r="N5163" s="370"/>
    </row>
    <row r="5164" spans="1:14" s="347" customFormat="1" x14ac:dyDescent="0.25">
      <c r="A5164" s="350">
        <f>+A5162</f>
        <v>44499</v>
      </c>
      <c r="B5164" s="403">
        <f t="shared" si="86"/>
        <v>10</v>
      </c>
      <c r="C5164" s="352">
        <v>4120</v>
      </c>
      <c r="D5164" s="340" t="str">
        <f>VLOOKUP(C5164,Plan!A:B,2,0)</f>
        <v>Aporte Arzobispado</v>
      </c>
      <c r="E5164" s="341">
        <f t="shared" si="87"/>
        <v>3295003</v>
      </c>
      <c r="F5164" s="353">
        <f>ROUND((+G5160-F5162-F5165)*0.6,0)</f>
        <v>3295003</v>
      </c>
      <c r="G5164" s="353">
        <v>0</v>
      </c>
      <c r="H5164" s="354" t="str">
        <f t="shared" si="90"/>
        <v>Centralización Recaudación Octubre</v>
      </c>
      <c r="I5164" s="355" t="s">
        <v>131</v>
      </c>
      <c r="K5164" s="370"/>
      <c r="N5164" s="370"/>
    </row>
    <row r="5165" spans="1:14" s="347" customFormat="1" x14ac:dyDescent="0.25">
      <c r="A5165" s="350">
        <f>+A5164</f>
        <v>44499</v>
      </c>
      <c r="B5165" s="403">
        <f t="shared" si="86"/>
        <v>10</v>
      </c>
      <c r="C5165" s="352">
        <v>4110</v>
      </c>
      <c r="D5165" s="340" t="str">
        <f>VLOOKUP(C5165,Plan!A:B,2,0)</f>
        <v>Aporte Papal</v>
      </c>
      <c r="E5165" s="341">
        <f t="shared" si="87"/>
        <v>59710</v>
      </c>
      <c r="F5165" s="353">
        <f>ROUND((+G5160)*0.01,0)</f>
        <v>59710</v>
      </c>
      <c r="G5165" s="353">
        <v>0</v>
      </c>
      <c r="H5165" s="354" t="str">
        <f t="shared" si="90"/>
        <v>Centralización Recaudación Octubre</v>
      </c>
      <c r="I5165" s="355" t="s">
        <v>131</v>
      </c>
      <c r="K5165" s="370"/>
      <c r="N5165" s="370"/>
    </row>
    <row r="5166" spans="1:14" s="347" customFormat="1" x14ac:dyDescent="0.25">
      <c r="A5166" s="350">
        <f>+A5165</f>
        <v>44499</v>
      </c>
      <c r="B5166" s="403">
        <f t="shared" si="86"/>
        <v>10</v>
      </c>
      <c r="C5166" s="352">
        <v>4110</v>
      </c>
      <c r="D5166" s="340" t="str">
        <f>VLOOKUP(C5166,Plan!A:B,2,0)</f>
        <v>Aporte Papal</v>
      </c>
      <c r="E5166" s="341">
        <f t="shared" si="87"/>
        <v>19855</v>
      </c>
      <c r="F5166" s="353">
        <f>(+G5161)*0.01</f>
        <v>19855</v>
      </c>
      <c r="G5166" s="353">
        <v>0</v>
      </c>
      <c r="H5166" s="354" t="str">
        <f t="shared" si="90"/>
        <v>Centralización Recaudación Octubre</v>
      </c>
      <c r="I5166" s="355" t="s">
        <v>131</v>
      </c>
      <c r="K5166" s="370"/>
      <c r="N5166" s="370"/>
    </row>
    <row r="5167" spans="1:14" s="347" customFormat="1" x14ac:dyDescent="0.25">
      <c r="A5167" s="350">
        <f>+A5165</f>
        <v>44499</v>
      </c>
      <c r="B5167" s="403">
        <f t="shared" si="86"/>
        <v>10</v>
      </c>
      <c r="C5167" s="352">
        <v>1219</v>
      </c>
      <c r="D5167" s="340" t="str">
        <f>VLOOKUP(C5167,Plan!A:B,2,0)</f>
        <v>Otros Valores Arzobispado (248)</v>
      </c>
      <c r="E5167" s="341">
        <f t="shared" si="87"/>
        <v>2196669</v>
      </c>
      <c r="F5167" s="353">
        <f>+G5160-F5162-F5164-F5165</f>
        <v>2196669</v>
      </c>
      <c r="G5167" s="353">
        <v>0</v>
      </c>
      <c r="H5167" s="354" t="str">
        <f t="shared" si="90"/>
        <v>Centralización Recaudación Octubre</v>
      </c>
      <c r="I5167" s="355" t="s">
        <v>131</v>
      </c>
      <c r="K5167" s="370"/>
      <c r="N5167" s="370"/>
    </row>
    <row r="5168" spans="1:14" s="347" customFormat="1" x14ac:dyDescent="0.25">
      <c r="A5168" s="350">
        <f>+A5167</f>
        <v>44499</v>
      </c>
      <c r="B5168" s="403">
        <f t="shared" si="86"/>
        <v>10</v>
      </c>
      <c r="C5168" s="352">
        <v>1220</v>
      </c>
      <c r="D5168" s="340" t="str">
        <f>VLOOKUP(C5168,Plan!A:B,2,0)</f>
        <v>Otros Valores Arzobispado (249)</v>
      </c>
      <c r="E5168" s="341">
        <f t="shared" si="87"/>
        <v>1916007</v>
      </c>
      <c r="F5168" s="353">
        <f>+G5161-F5163-F5166</f>
        <v>1916007</v>
      </c>
      <c r="G5168" s="353">
        <v>0</v>
      </c>
      <c r="H5168" s="354" t="str">
        <f t="shared" si="90"/>
        <v>Centralización Recaudación Octubre</v>
      </c>
      <c r="I5168" s="355" t="s">
        <v>131</v>
      </c>
      <c r="K5168" s="370"/>
      <c r="N5168" s="370"/>
    </row>
    <row r="5169" spans="1:14" s="347" customFormat="1" x14ac:dyDescent="0.25">
      <c r="A5169" s="350">
        <f>+A5167</f>
        <v>44499</v>
      </c>
      <c r="B5169" s="403">
        <f t="shared" si="86"/>
        <v>10</v>
      </c>
      <c r="C5169" s="352">
        <v>1218</v>
      </c>
      <c r="D5169" s="340" t="str">
        <f>VLOOKUP(C5169,Plan!A:B,2,0)</f>
        <v>Otros Valores Tarjeta de Credito</v>
      </c>
      <c r="E5169" s="341">
        <f t="shared" si="87"/>
        <v>-412922</v>
      </c>
      <c r="F5169" s="353">
        <f>+G5162+G5164</f>
        <v>0</v>
      </c>
      <c r="G5169" s="353">
        <f>+F5170</f>
        <v>412922</v>
      </c>
      <c r="H5169" s="354" t="str">
        <f t="shared" si="90"/>
        <v>Centralización Recaudación Octubre</v>
      </c>
      <c r="I5169" s="355" t="s">
        <v>131</v>
      </c>
      <c r="K5169" s="370"/>
      <c r="N5169" s="370"/>
    </row>
    <row r="5170" spans="1:14" s="347" customFormat="1" x14ac:dyDescent="0.25">
      <c r="A5170" s="350">
        <f>+A5167</f>
        <v>44499</v>
      </c>
      <c r="B5170" s="403">
        <f t="shared" si="86"/>
        <v>10</v>
      </c>
      <c r="C5170" s="352">
        <v>4150</v>
      </c>
      <c r="D5170" s="340" t="str">
        <f>VLOOKUP(C5170,Plan!A:B,2,0)</f>
        <v>Comisiones Cali Tarjetas de Creditos</v>
      </c>
      <c r="E5170" s="341">
        <f t="shared" si="87"/>
        <v>412922</v>
      </c>
      <c r="F5170" s="353">
        <f>ROUND(+(G5149+G5148)*(1-0.966561),0)*1</f>
        <v>412922</v>
      </c>
      <c r="G5170" s="353">
        <v>0</v>
      </c>
      <c r="H5170" s="354" t="str">
        <f t="shared" si="90"/>
        <v>Centralización Recaudación Octubre</v>
      </c>
      <c r="I5170" s="355" t="s">
        <v>131</v>
      </c>
      <c r="K5170" s="370"/>
      <c r="N5170" s="370"/>
    </row>
    <row r="5171" spans="1:14" s="347" customFormat="1" x14ac:dyDescent="0.25">
      <c r="A5171" s="369"/>
      <c r="E5171" s="396"/>
      <c r="F5171" s="396"/>
      <c r="G5171" s="396"/>
      <c r="K5171" s="370"/>
      <c r="N5171" s="370"/>
    </row>
    <row r="5172" spans="1:14" s="347" customFormat="1" x14ac:dyDescent="0.25">
      <c r="A5172" s="350">
        <f>+A5170</f>
        <v>44499</v>
      </c>
      <c r="B5172" s="403">
        <f t="shared" ref="B5172:B5193" si="91">+MONTH(A5172)</f>
        <v>10</v>
      </c>
      <c r="C5172" s="352">
        <v>141</v>
      </c>
      <c r="D5172" s="340" t="str">
        <f>VLOOKUP(C5172,Plan!A:B,2,0)</f>
        <v>Cuentas por Cobrar a Administración</v>
      </c>
      <c r="E5172" s="341">
        <f t="shared" ref="E5172:E5193" si="92">+F5172-G5172</f>
        <v>30000</v>
      </c>
      <c r="F5172" s="209">
        <v>30000</v>
      </c>
      <c r="G5172" s="396">
        <v>0</v>
      </c>
      <c r="H5172" t="s">
        <v>1641</v>
      </c>
      <c r="I5172" s="355" t="s">
        <v>131</v>
      </c>
      <c r="K5172"/>
      <c r="L5172" s="264"/>
      <c r="N5172" s="370"/>
    </row>
    <row r="5173" spans="1:14" s="347" customFormat="1" x14ac:dyDescent="0.25">
      <c r="A5173" s="350">
        <f>+A5172</f>
        <v>44499</v>
      </c>
      <c r="B5173" s="403">
        <f t="shared" si="91"/>
        <v>10</v>
      </c>
      <c r="C5173" s="352">
        <v>141</v>
      </c>
      <c r="D5173" s="340" t="str">
        <f>VLOOKUP(C5173,Plan!A:B,2,0)</f>
        <v>Cuentas por Cobrar a Administración</v>
      </c>
      <c r="E5173" s="341">
        <f t="shared" si="92"/>
        <v>30000</v>
      </c>
      <c r="F5173" s="209">
        <v>30000</v>
      </c>
      <c r="G5173" s="396">
        <v>0</v>
      </c>
      <c r="H5173" t="s">
        <v>747</v>
      </c>
      <c r="I5173" s="355" t="s">
        <v>131</v>
      </c>
      <c r="K5173"/>
      <c r="L5173" s="264"/>
      <c r="N5173" s="370"/>
    </row>
    <row r="5174" spans="1:14" s="347" customFormat="1" x14ac:dyDescent="0.25">
      <c r="A5174" s="350">
        <f>+A5172</f>
        <v>44499</v>
      </c>
      <c r="B5174" s="403">
        <f t="shared" si="91"/>
        <v>10</v>
      </c>
      <c r="C5174" s="352">
        <v>141</v>
      </c>
      <c r="D5174" s="340" t="str">
        <f>VLOOKUP(C5174,Plan!A:B,2,0)</f>
        <v>Cuentas por Cobrar a Administración</v>
      </c>
      <c r="E5174" s="341">
        <f t="shared" si="92"/>
        <v>20000</v>
      </c>
      <c r="F5174" s="209">
        <v>20000</v>
      </c>
      <c r="G5174" s="396">
        <v>0</v>
      </c>
      <c r="H5174" t="s">
        <v>1236</v>
      </c>
      <c r="I5174" s="355" t="s">
        <v>131</v>
      </c>
      <c r="K5174"/>
      <c r="L5174" s="264"/>
      <c r="N5174" s="370"/>
    </row>
    <row r="5175" spans="1:14" s="347" customFormat="1" x14ac:dyDescent="0.25">
      <c r="A5175" s="350">
        <f>+A5173</f>
        <v>44499</v>
      </c>
      <c r="B5175" s="403">
        <f t="shared" si="91"/>
        <v>10</v>
      </c>
      <c r="C5175" s="352">
        <v>141</v>
      </c>
      <c r="D5175" s="340" t="str">
        <f>VLOOKUP(C5175,Plan!A:B,2,0)</f>
        <v>Cuentas por Cobrar a Administración</v>
      </c>
      <c r="E5175" s="341">
        <f t="shared" si="92"/>
        <v>50000</v>
      </c>
      <c r="F5175" s="353">
        <v>50000</v>
      </c>
      <c r="G5175" s="209">
        <v>0</v>
      </c>
      <c r="H5175" t="s">
        <v>743</v>
      </c>
      <c r="I5175" s="355" t="s">
        <v>131</v>
      </c>
      <c r="K5175"/>
      <c r="L5175" s="264"/>
      <c r="N5175" s="370"/>
    </row>
    <row r="5176" spans="1:14" s="347" customFormat="1" x14ac:dyDescent="0.25">
      <c r="A5176" s="350">
        <f>+A5174</f>
        <v>44499</v>
      </c>
      <c r="B5176" s="403">
        <f t="shared" si="91"/>
        <v>10</v>
      </c>
      <c r="C5176" s="352">
        <v>141</v>
      </c>
      <c r="D5176" s="340" t="str">
        <f>VLOOKUP(C5176,Plan!A:B,2,0)</f>
        <v>Cuentas por Cobrar a Administración</v>
      </c>
      <c r="E5176" s="341">
        <f t="shared" si="92"/>
        <v>-47291</v>
      </c>
      <c r="F5176" s="353">
        <v>0</v>
      </c>
      <c r="G5176" s="209">
        <v>47291</v>
      </c>
      <c r="H5176" t="s">
        <v>2134</v>
      </c>
      <c r="I5176" s="355" t="s">
        <v>131</v>
      </c>
      <c r="K5176"/>
      <c r="L5176" s="264"/>
      <c r="N5176" s="370"/>
    </row>
    <row r="5177" spans="1:14" s="347" customFormat="1" x14ac:dyDescent="0.25">
      <c r="A5177" s="350">
        <f>+A5175</f>
        <v>44499</v>
      </c>
      <c r="B5177" s="403">
        <f t="shared" si="91"/>
        <v>10</v>
      </c>
      <c r="C5177" s="352">
        <v>141</v>
      </c>
      <c r="D5177" s="340" t="str">
        <f>VLOOKUP(C5177,Plan!A:B,2,0)</f>
        <v>Cuentas por Cobrar a Administración</v>
      </c>
      <c r="E5177" s="341">
        <f t="shared" si="92"/>
        <v>30000</v>
      </c>
      <c r="F5177" s="353">
        <v>30000</v>
      </c>
      <c r="G5177" s="209">
        <v>0</v>
      </c>
      <c r="H5177" t="s">
        <v>737</v>
      </c>
      <c r="I5177" s="355" t="s">
        <v>131</v>
      </c>
      <c r="K5177"/>
      <c r="L5177" s="264"/>
      <c r="N5177" s="370"/>
    </row>
    <row r="5178" spans="1:14" s="347" customFormat="1" x14ac:dyDescent="0.25">
      <c r="A5178" s="350">
        <f>+A5176</f>
        <v>44499</v>
      </c>
      <c r="B5178" s="403">
        <f t="shared" si="91"/>
        <v>10</v>
      </c>
      <c r="C5178" s="352">
        <v>141</v>
      </c>
      <c r="D5178" s="340" t="str">
        <f>VLOOKUP(C5178,Plan!A:B,2,0)</f>
        <v>Cuentas por Cobrar a Administración</v>
      </c>
      <c r="E5178" s="341">
        <f t="shared" si="92"/>
        <v>8500</v>
      </c>
      <c r="F5178" s="209">
        <v>8500</v>
      </c>
      <c r="G5178" s="396">
        <v>0</v>
      </c>
      <c r="H5178" t="s">
        <v>2123</v>
      </c>
      <c r="I5178" s="355" t="s">
        <v>131</v>
      </c>
      <c r="K5178"/>
      <c r="L5178" s="264"/>
      <c r="N5178" s="370"/>
    </row>
    <row r="5179" spans="1:14" s="347" customFormat="1" x14ac:dyDescent="0.25">
      <c r="A5179" s="350">
        <f>+A5178</f>
        <v>44499</v>
      </c>
      <c r="B5179" s="403">
        <f t="shared" si="91"/>
        <v>10</v>
      </c>
      <c r="C5179" s="352">
        <v>141</v>
      </c>
      <c r="D5179" s="340" t="str">
        <f>VLOOKUP(C5179,Plan!A:B,2,0)</f>
        <v>Cuentas por Cobrar a Administración</v>
      </c>
      <c r="E5179" s="341">
        <f t="shared" si="92"/>
        <v>21000</v>
      </c>
      <c r="F5179" s="209">
        <v>21000</v>
      </c>
      <c r="G5179" s="396">
        <v>0</v>
      </c>
      <c r="H5179" t="s">
        <v>1938</v>
      </c>
      <c r="I5179" s="355" t="s">
        <v>131</v>
      </c>
      <c r="K5179"/>
      <c r="L5179" s="264"/>
      <c r="N5179" s="370"/>
    </row>
    <row r="5180" spans="1:14" s="347" customFormat="1" x14ac:dyDescent="0.25">
      <c r="A5180" s="350">
        <f t="shared" ref="A5180:A5186" si="93">+A5178</f>
        <v>44499</v>
      </c>
      <c r="B5180" s="403">
        <f t="shared" si="91"/>
        <v>10</v>
      </c>
      <c r="C5180" s="352">
        <v>141</v>
      </c>
      <c r="D5180" s="340" t="str">
        <f>VLOOKUP(C5180,Plan!A:B,2,0)</f>
        <v>Cuentas por Cobrar a Administración</v>
      </c>
      <c r="E5180" s="341">
        <f t="shared" si="92"/>
        <v>15000</v>
      </c>
      <c r="F5180" s="209">
        <v>15000</v>
      </c>
      <c r="G5180" s="396">
        <v>0</v>
      </c>
      <c r="H5180" t="s">
        <v>688</v>
      </c>
      <c r="I5180" s="355" t="s">
        <v>131</v>
      </c>
      <c r="K5180"/>
      <c r="L5180" s="264"/>
      <c r="N5180" s="370"/>
    </row>
    <row r="5181" spans="1:14" s="347" customFormat="1" x14ac:dyDescent="0.25">
      <c r="A5181" s="350">
        <f t="shared" si="93"/>
        <v>44499</v>
      </c>
      <c r="B5181" s="403">
        <f t="shared" si="91"/>
        <v>10</v>
      </c>
      <c r="C5181" s="352">
        <v>141</v>
      </c>
      <c r="D5181" s="340" t="str">
        <f>VLOOKUP(C5181,Plan!A:B,2,0)</f>
        <v>Cuentas por Cobrar a Administración</v>
      </c>
      <c r="E5181" s="341">
        <f t="shared" si="92"/>
        <v>95000</v>
      </c>
      <c r="F5181" s="353">
        <v>95000</v>
      </c>
      <c r="G5181" s="209">
        <v>0</v>
      </c>
      <c r="H5181" t="s">
        <v>1459</v>
      </c>
      <c r="I5181" s="355" t="s">
        <v>131</v>
      </c>
      <c r="K5181"/>
      <c r="L5181" s="264"/>
      <c r="N5181" s="370"/>
    </row>
    <row r="5182" spans="1:14" s="347" customFormat="1" x14ac:dyDescent="0.25">
      <c r="A5182" s="350">
        <f t="shared" si="93"/>
        <v>44499</v>
      </c>
      <c r="B5182" s="403">
        <f t="shared" si="91"/>
        <v>10</v>
      </c>
      <c r="C5182" s="352">
        <v>141</v>
      </c>
      <c r="D5182" s="340" t="str">
        <f>VLOOKUP(C5182,Plan!A:B,2,0)</f>
        <v>Cuentas por Cobrar a Administración</v>
      </c>
      <c r="E5182" s="341">
        <f t="shared" si="92"/>
        <v>30000</v>
      </c>
      <c r="F5182" s="353">
        <v>30000</v>
      </c>
      <c r="G5182" s="209">
        <v>0</v>
      </c>
      <c r="H5182" t="s">
        <v>675</v>
      </c>
      <c r="I5182" s="355" t="s">
        <v>131</v>
      </c>
      <c r="K5182"/>
      <c r="L5182" s="264"/>
      <c r="N5182" s="370"/>
    </row>
    <row r="5183" spans="1:14" s="347" customFormat="1" x14ac:dyDescent="0.25">
      <c r="A5183" s="350">
        <f t="shared" si="93"/>
        <v>44499</v>
      </c>
      <c r="B5183" s="403">
        <f t="shared" si="91"/>
        <v>10</v>
      </c>
      <c r="C5183" s="352">
        <v>1216</v>
      </c>
      <c r="D5183" s="340" t="str">
        <f>VLOOKUP(C5183,Plan!A:B,2,0)</f>
        <v>Otros Valores Recaudadoras</v>
      </c>
      <c r="E5183" s="341">
        <f t="shared" si="92"/>
        <v>-30000</v>
      </c>
      <c r="F5183" s="353">
        <v>0</v>
      </c>
      <c r="G5183" s="209">
        <v>30000</v>
      </c>
      <c r="H5183" t="s">
        <v>1641</v>
      </c>
      <c r="I5183" s="355" t="s">
        <v>131</v>
      </c>
      <c r="K5183" s="370"/>
      <c r="N5183" s="370"/>
    </row>
    <row r="5184" spans="1:14" s="347" customFormat="1" x14ac:dyDescent="0.25">
      <c r="A5184" s="350">
        <f t="shared" si="93"/>
        <v>44499</v>
      </c>
      <c r="B5184" s="403">
        <f t="shared" si="91"/>
        <v>10</v>
      </c>
      <c r="C5184" s="352">
        <v>3210</v>
      </c>
      <c r="D5184" s="340" t="str">
        <f>VLOOKUP(C5184,Plan!A:B,2,0)</f>
        <v>Donacion Construccion</v>
      </c>
      <c r="E5184" s="341">
        <f t="shared" si="92"/>
        <v>-30000</v>
      </c>
      <c r="F5184" s="353">
        <v>0</v>
      </c>
      <c r="G5184" s="209">
        <v>30000</v>
      </c>
      <c r="H5184" t="s">
        <v>747</v>
      </c>
      <c r="I5184" s="355" t="s">
        <v>131</v>
      </c>
      <c r="K5184" s="370"/>
      <c r="N5184" s="370"/>
    </row>
    <row r="5185" spans="1:14" s="347" customFormat="1" x14ac:dyDescent="0.25">
      <c r="A5185" s="350">
        <f t="shared" si="93"/>
        <v>44499</v>
      </c>
      <c r="B5185" s="403">
        <f t="shared" si="91"/>
        <v>10</v>
      </c>
      <c r="C5185" s="352">
        <v>3210</v>
      </c>
      <c r="D5185" s="340" t="str">
        <f>VLOOKUP(C5185,Plan!A:B,2,0)</f>
        <v>Donacion Construccion</v>
      </c>
      <c r="E5185" s="341">
        <f t="shared" si="92"/>
        <v>-20000</v>
      </c>
      <c r="F5185" s="353">
        <v>0</v>
      </c>
      <c r="G5185" s="209">
        <v>20000</v>
      </c>
      <c r="H5185" t="s">
        <v>1236</v>
      </c>
      <c r="I5185" s="355" t="s">
        <v>131</v>
      </c>
      <c r="K5185" s="370"/>
      <c r="N5185" s="370"/>
    </row>
    <row r="5186" spans="1:14" s="347" customFormat="1" x14ac:dyDescent="0.25">
      <c r="A5186" s="350">
        <f t="shared" si="93"/>
        <v>44499</v>
      </c>
      <c r="B5186" s="403">
        <f t="shared" si="91"/>
        <v>10</v>
      </c>
      <c r="C5186" s="352">
        <v>1222</v>
      </c>
      <c r="D5186" s="340" t="str">
        <f>VLOOKUP(C5186,Plan!A:B,2,0)</f>
        <v>Otros Valores -Oficina y Transferencias (249)</v>
      </c>
      <c r="E5186" s="341">
        <f t="shared" si="92"/>
        <v>-50000</v>
      </c>
      <c r="F5186" s="209">
        <v>0</v>
      </c>
      <c r="G5186" s="353">
        <v>50000</v>
      </c>
      <c r="H5186" t="s">
        <v>743</v>
      </c>
      <c r="I5186" s="355" t="s">
        <v>131</v>
      </c>
      <c r="K5186" s="370"/>
      <c r="N5186" s="370"/>
    </row>
    <row r="5187" spans="1:14" s="347" customFormat="1" x14ac:dyDescent="0.25">
      <c r="A5187" s="350">
        <f>+A5186</f>
        <v>44499</v>
      </c>
      <c r="B5187" s="403">
        <f t="shared" si="91"/>
        <v>10</v>
      </c>
      <c r="C5187" s="352">
        <v>204</v>
      </c>
      <c r="D5187" s="340" t="str">
        <f>VLOOKUP(C5187,Plan!A:B,2,0)</f>
        <v>Retención Honorarios Cali</v>
      </c>
      <c r="E5187" s="341">
        <f t="shared" si="92"/>
        <v>47291</v>
      </c>
      <c r="F5187" s="209">
        <v>47291</v>
      </c>
      <c r="G5187" s="353">
        <v>0</v>
      </c>
      <c r="H5187" t="s">
        <v>2134</v>
      </c>
      <c r="I5187" s="355" t="s">
        <v>131</v>
      </c>
      <c r="K5187" s="370"/>
      <c r="N5187" s="370"/>
    </row>
    <row r="5188" spans="1:14" s="347" customFormat="1" x14ac:dyDescent="0.25">
      <c r="A5188" s="350">
        <f t="shared" ref="A5188:A5193" si="94">+A5186</f>
        <v>44499</v>
      </c>
      <c r="B5188" s="403">
        <f t="shared" si="91"/>
        <v>10</v>
      </c>
      <c r="C5188" s="352">
        <v>1222</v>
      </c>
      <c r="D5188" s="340" t="str">
        <f>VLOOKUP(C5188,Plan!A:B,2,0)</f>
        <v>Otros Valores -Oficina y Transferencias (249)</v>
      </c>
      <c r="E5188" s="341">
        <f t="shared" si="92"/>
        <v>-30000</v>
      </c>
      <c r="F5188" s="209">
        <v>0</v>
      </c>
      <c r="G5188" s="353">
        <v>30000</v>
      </c>
      <c r="H5188" t="s">
        <v>737</v>
      </c>
      <c r="I5188" s="355" t="s">
        <v>131</v>
      </c>
      <c r="K5188" s="370"/>
      <c r="N5188" s="370"/>
    </row>
    <row r="5189" spans="1:14" s="347" customFormat="1" x14ac:dyDescent="0.25">
      <c r="A5189" s="350">
        <f t="shared" si="94"/>
        <v>44499</v>
      </c>
      <c r="B5189" s="403">
        <f t="shared" si="91"/>
        <v>10</v>
      </c>
      <c r="C5189" s="352">
        <v>1222</v>
      </c>
      <c r="D5189" s="340" t="str">
        <f>VLOOKUP(C5189,Plan!A:B,2,0)</f>
        <v>Otros Valores -Oficina y Transferencias (249)</v>
      </c>
      <c r="E5189" s="341">
        <f t="shared" si="92"/>
        <v>-8500</v>
      </c>
      <c r="F5189" s="353">
        <v>0</v>
      </c>
      <c r="G5189" s="209">
        <v>8500</v>
      </c>
      <c r="H5189" t="s">
        <v>2123</v>
      </c>
      <c r="I5189" s="355" t="s">
        <v>131</v>
      </c>
      <c r="K5189" s="370"/>
      <c r="N5189" s="370"/>
    </row>
    <row r="5190" spans="1:14" s="347" customFormat="1" x14ac:dyDescent="0.25">
      <c r="A5190" s="350">
        <f t="shared" si="94"/>
        <v>44499</v>
      </c>
      <c r="B5190" s="403">
        <f t="shared" si="91"/>
        <v>10</v>
      </c>
      <c r="C5190" s="352">
        <v>1217</v>
      </c>
      <c r="D5190" s="340" t="str">
        <f>VLOOKUP(C5190,Plan!A:B,2,0)</f>
        <v>Otros Valores -Oficina y Transferencias (248)</v>
      </c>
      <c r="E5190" s="341">
        <f t="shared" si="92"/>
        <v>-21000</v>
      </c>
      <c r="F5190" s="353">
        <v>0</v>
      </c>
      <c r="G5190" s="209">
        <v>21000</v>
      </c>
      <c r="H5190" t="s">
        <v>1938</v>
      </c>
      <c r="I5190" s="355" t="s">
        <v>131</v>
      </c>
      <c r="K5190" s="370"/>
      <c r="N5190" s="370"/>
    </row>
    <row r="5191" spans="1:14" s="347" customFormat="1" x14ac:dyDescent="0.25">
      <c r="A5191" s="350">
        <f t="shared" si="94"/>
        <v>44499</v>
      </c>
      <c r="B5191" s="403">
        <f t="shared" si="91"/>
        <v>10</v>
      </c>
      <c r="C5191" s="352">
        <v>1222</v>
      </c>
      <c r="D5191" s="340" t="str">
        <f>VLOOKUP(C5191,Plan!A:B,2,0)</f>
        <v>Otros Valores -Oficina y Transferencias (249)</v>
      </c>
      <c r="E5191" s="341">
        <f t="shared" si="92"/>
        <v>-15000</v>
      </c>
      <c r="F5191" s="353">
        <v>0</v>
      </c>
      <c r="G5191" s="209">
        <v>15000</v>
      </c>
      <c r="H5191" t="s">
        <v>688</v>
      </c>
      <c r="I5191" s="355" t="s">
        <v>131</v>
      </c>
      <c r="K5191" s="370"/>
      <c r="N5191" s="370"/>
    </row>
    <row r="5192" spans="1:14" s="347" customFormat="1" x14ac:dyDescent="0.25">
      <c r="A5192" s="350">
        <f t="shared" si="94"/>
        <v>44499</v>
      </c>
      <c r="B5192" s="403">
        <f t="shared" si="91"/>
        <v>10</v>
      </c>
      <c r="C5192" s="352">
        <v>1222</v>
      </c>
      <c r="D5192" s="340" t="str">
        <f>VLOOKUP(C5192,Plan!A:B,2,0)</f>
        <v>Otros Valores -Oficina y Transferencias (249)</v>
      </c>
      <c r="E5192" s="341">
        <f t="shared" si="92"/>
        <v>-95000</v>
      </c>
      <c r="F5192" s="353">
        <v>0</v>
      </c>
      <c r="G5192" s="353">
        <v>95000</v>
      </c>
      <c r="H5192" t="s">
        <v>1459</v>
      </c>
      <c r="I5192" s="355" t="s">
        <v>131</v>
      </c>
      <c r="K5192" s="370"/>
      <c r="N5192" s="370"/>
    </row>
    <row r="5193" spans="1:14" s="347" customFormat="1" x14ac:dyDescent="0.25">
      <c r="A5193" s="350">
        <f t="shared" si="94"/>
        <v>44499</v>
      </c>
      <c r="B5193" s="403">
        <f t="shared" si="91"/>
        <v>10</v>
      </c>
      <c r="C5193" s="352">
        <v>1222</v>
      </c>
      <c r="D5193" s="340" t="str">
        <f>VLOOKUP(C5193,Plan!A:B,2,0)</f>
        <v>Otros Valores -Oficina y Transferencias (249)</v>
      </c>
      <c r="E5193" s="341">
        <f t="shared" si="92"/>
        <v>-30000</v>
      </c>
      <c r="F5193" s="353">
        <v>0</v>
      </c>
      <c r="G5193" s="353">
        <v>30000</v>
      </c>
      <c r="H5193" t="s">
        <v>675</v>
      </c>
      <c r="I5193" s="355" t="s">
        <v>131</v>
      </c>
      <c r="K5193" s="370"/>
      <c r="N5193" s="370"/>
    </row>
    <row r="5194" spans="1:14" s="347" customFormat="1" x14ac:dyDescent="0.25">
      <c r="A5194" s="369"/>
      <c r="E5194" s="396"/>
      <c r="F5194" s="396"/>
      <c r="G5194" s="396"/>
      <c r="K5194" s="370"/>
      <c r="N5194" s="370"/>
    </row>
    <row r="5195" spans="1:14" s="347" customFormat="1" x14ac:dyDescent="0.25">
      <c r="A5195" s="350">
        <f>+A5193</f>
        <v>44499</v>
      </c>
      <c r="B5195" s="403">
        <f>+MONTH(A5195)</f>
        <v>10</v>
      </c>
      <c r="C5195" s="352">
        <v>1130</v>
      </c>
      <c r="D5195" s="340" t="str">
        <f>VLOOKUP(C5195,Plan!A:B,2,0)</f>
        <v>Disponible Ch. Fecha</v>
      </c>
      <c r="E5195" s="341">
        <f>+F5195-G5195</f>
        <v>80000</v>
      </c>
      <c r="F5195" s="353">
        <v>80000</v>
      </c>
      <c r="G5195" s="353">
        <v>0</v>
      </c>
      <c r="H5195" t="s">
        <v>2192</v>
      </c>
      <c r="I5195" s="355" t="s">
        <v>131</v>
      </c>
      <c r="K5195" s="370"/>
      <c r="N5195" s="370"/>
    </row>
    <row r="5196" spans="1:14" s="347" customFormat="1" x14ac:dyDescent="0.25">
      <c r="A5196" s="350">
        <f>+A5195</f>
        <v>44499</v>
      </c>
      <c r="B5196" s="403">
        <f>+MONTH(A5196)</f>
        <v>10</v>
      </c>
      <c r="C5196" s="352">
        <v>1216</v>
      </c>
      <c r="D5196" s="340" t="str">
        <f>VLOOKUP(C5196,Plan!A:B,2,0)</f>
        <v>Otros Valores Recaudadoras</v>
      </c>
      <c r="E5196" s="341">
        <f>+F5196-G5196</f>
        <v>-80000</v>
      </c>
      <c r="F5196" s="353">
        <v>0</v>
      </c>
      <c r="G5196" s="353">
        <f>+F5195</f>
        <v>80000</v>
      </c>
      <c r="H5196" t="str">
        <f>+H5195</f>
        <v xml:space="preserve">CHEQUE A FECHA </v>
      </c>
      <c r="I5196" s="355" t="s">
        <v>131</v>
      </c>
      <c r="K5196" s="370"/>
      <c r="N5196" s="370"/>
    </row>
    <row r="5197" spans="1:14" s="347" customFormat="1" x14ac:dyDescent="0.25">
      <c r="A5197" s="369"/>
      <c r="E5197" s="396"/>
      <c r="F5197" s="396"/>
      <c r="G5197" s="396"/>
      <c r="K5197" s="370"/>
      <c r="N5197" s="370"/>
    </row>
    <row r="5198" spans="1:14" s="347" customFormat="1" x14ac:dyDescent="0.25">
      <c r="A5198" s="350">
        <f>+A5196</f>
        <v>44499</v>
      </c>
      <c r="B5198" s="403">
        <f>+MONTH(A5198)</f>
        <v>10</v>
      </c>
      <c r="C5198" s="352">
        <v>1130</v>
      </c>
      <c r="D5198" s="340" t="str">
        <f>VLOOKUP(C5198,Plan!A:B,2,0)</f>
        <v>Disponible Ch. Fecha</v>
      </c>
      <c r="E5198" s="341">
        <f>+F5198-G5198</f>
        <v>65000</v>
      </c>
      <c r="F5198" s="353">
        <v>65000</v>
      </c>
      <c r="G5198" s="353">
        <v>0</v>
      </c>
      <c r="H5198" t="s">
        <v>2192</v>
      </c>
      <c r="I5198" s="355" t="s">
        <v>131</v>
      </c>
      <c r="K5198" s="370"/>
      <c r="N5198" s="370"/>
    </row>
    <row r="5199" spans="1:14" s="347" customFormat="1" x14ac:dyDescent="0.25">
      <c r="A5199" s="350">
        <f>+A5198</f>
        <v>44499</v>
      </c>
      <c r="B5199" s="403">
        <f>+MONTH(A5199)</f>
        <v>10</v>
      </c>
      <c r="C5199" s="352">
        <v>1216</v>
      </c>
      <c r="D5199" s="340" t="str">
        <f>VLOOKUP(C5199,Plan!A:B,2,0)</f>
        <v>Otros Valores Recaudadoras</v>
      </c>
      <c r="E5199" s="341">
        <f>+F5199-G5199</f>
        <v>-65000</v>
      </c>
      <c r="F5199" s="353">
        <v>0</v>
      </c>
      <c r="G5199" s="353">
        <f>+F5198</f>
        <v>65000</v>
      </c>
      <c r="H5199" t="str">
        <f>+H5198</f>
        <v xml:space="preserve">CHEQUE A FECHA </v>
      </c>
      <c r="I5199" s="355" t="s">
        <v>131</v>
      </c>
      <c r="K5199" s="370"/>
      <c r="N5199" s="370"/>
    </row>
    <row r="5200" spans="1:14" s="347" customFormat="1" x14ac:dyDescent="0.25">
      <c r="A5200" s="369"/>
      <c r="E5200" s="396"/>
      <c r="F5200" s="396"/>
      <c r="G5200" s="396"/>
      <c r="K5200" s="370"/>
      <c r="N5200" s="370"/>
    </row>
    <row r="5201" spans="1:14" s="347" customFormat="1" x14ac:dyDescent="0.25">
      <c r="A5201" s="350">
        <f>+A5199</f>
        <v>44499</v>
      </c>
      <c r="B5201" s="403">
        <f>+MONTH(A5201)</f>
        <v>10</v>
      </c>
      <c r="C5201" s="352">
        <v>1130</v>
      </c>
      <c r="D5201" s="340" t="str">
        <f>VLOOKUP(C5201,Plan!A:B,2,0)</f>
        <v>Disponible Ch. Fecha</v>
      </c>
      <c r="E5201" s="341">
        <f>+F5201-G5201</f>
        <v>20000</v>
      </c>
      <c r="F5201" s="353">
        <v>20000</v>
      </c>
      <c r="G5201" s="353">
        <v>0</v>
      </c>
      <c r="H5201" t="s">
        <v>2192</v>
      </c>
      <c r="I5201" s="355" t="s">
        <v>131</v>
      </c>
      <c r="K5201" s="370"/>
      <c r="N5201" s="370"/>
    </row>
    <row r="5202" spans="1:14" s="347" customFormat="1" x14ac:dyDescent="0.25">
      <c r="A5202" s="350">
        <f>+A5201</f>
        <v>44499</v>
      </c>
      <c r="B5202" s="403">
        <f>+MONTH(A5202)</f>
        <v>10</v>
      </c>
      <c r="C5202" s="352">
        <v>1216</v>
      </c>
      <c r="D5202" s="340" t="str">
        <f>VLOOKUP(C5202,Plan!A:B,2,0)</f>
        <v>Otros Valores Recaudadoras</v>
      </c>
      <c r="E5202" s="341">
        <f>+F5202-G5202</f>
        <v>-20000</v>
      </c>
      <c r="F5202" s="353">
        <v>0</v>
      </c>
      <c r="G5202" s="353">
        <f>+F5201</f>
        <v>20000</v>
      </c>
      <c r="H5202" t="str">
        <f>+H5201</f>
        <v xml:space="preserve">CHEQUE A FECHA </v>
      </c>
      <c r="I5202" s="355" t="s">
        <v>131</v>
      </c>
      <c r="K5202" s="370"/>
      <c r="N5202" s="370"/>
    </row>
    <row r="5203" spans="1:14" s="347" customFormat="1" x14ac:dyDescent="0.25">
      <c r="A5203" s="369"/>
      <c r="E5203" s="396"/>
      <c r="F5203" s="396"/>
      <c r="G5203" s="396"/>
      <c r="K5203" s="370"/>
      <c r="N5203" s="370"/>
    </row>
    <row r="5204" spans="1:14" s="347" customFormat="1" x14ac:dyDescent="0.25">
      <c r="A5204" s="402">
        <f>+A5202</f>
        <v>44499</v>
      </c>
      <c r="B5204" s="403">
        <f>+B5177</f>
        <v>10</v>
      </c>
      <c r="C5204" s="338">
        <v>125</v>
      </c>
      <c r="D5204" s="340" t="str">
        <f>VLOOKUP(C5204,Plan!A:B,2,0)</f>
        <v>Depósito a plazo Cali</v>
      </c>
      <c r="E5204" s="341">
        <f>+F5204-G5204</f>
        <v>0</v>
      </c>
      <c r="F5204" s="346">
        <v>0</v>
      </c>
      <c r="G5204" s="346">
        <v>0</v>
      </c>
      <c r="H5204" s="343" t="s">
        <v>858</v>
      </c>
      <c r="I5204" s="340" t="s">
        <v>131</v>
      </c>
      <c r="K5204" s="370"/>
      <c r="N5204" s="370"/>
    </row>
    <row r="5205" spans="1:14" s="347" customFormat="1" x14ac:dyDescent="0.25">
      <c r="A5205" s="402">
        <f>+A5204</f>
        <v>44499</v>
      </c>
      <c r="B5205" s="403">
        <f>+B5204</f>
        <v>10</v>
      </c>
      <c r="C5205" s="338">
        <v>6002</v>
      </c>
      <c r="D5205" s="340" t="str">
        <f>VLOOKUP(C5205,Plan!A:B,2,0)</f>
        <v>Intereses Financieros Cali</v>
      </c>
      <c r="E5205" s="341">
        <f>+F5205-G5205</f>
        <v>0</v>
      </c>
      <c r="F5205" s="346">
        <v>0</v>
      </c>
      <c r="G5205" s="346">
        <f>+F5204</f>
        <v>0</v>
      </c>
      <c r="H5205" s="338" t="s">
        <v>858</v>
      </c>
      <c r="I5205" s="340" t="s">
        <v>131</v>
      </c>
      <c r="K5205" s="370"/>
      <c r="N5205" s="370"/>
    </row>
    <row r="5206" spans="1:14" s="347" customFormat="1" x14ac:dyDescent="0.25">
      <c r="A5206" s="339"/>
      <c r="B5206" s="340"/>
      <c r="C5206" s="338"/>
      <c r="D5206" s="340"/>
      <c r="E5206" s="396"/>
      <c r="F5206" s="396"/>
      <c r="G5206" s="396"/>
      <c r="H5206" s="338"/>
      <c r="I5206" s="340"/>
      <c r="K5206" s="370"/>
      <c r="N5206" s="370"/>
    </row>
    <row r="5207" spans="1:14" s="347" customFormat="1" x14ac:dyDescent="0.25">
      <c r="A5207" s="402">
        <f>+A5204</f>
        <v>44499</v>
      </c>
      <c r="B5207" s="403">
        <f>+B5204</f>
        <v>10</v>
      </c>
      <c r="C5207" s="338">
        <v>118</v>
      </c>
      <c r="D5207" s="340" t="str">
        <f>VLOOKUP(C5207,Plan!A:B,2,0)</f>
        <v>Depósito a plazo Cali Banco Security</v>
      </c>
      <c r="E5207" s="341">
        <f>+F5207-G5207</f>
        <v>0</v>
      </c>
      <c r="F5207" s="346">
        <v>0</v>
      </c>
      <c r="G5207" s="346">
        <v>0</v>
      </c>
      <c r="H5207" s="343" t="s">
        <v>859</v>
      </c>
      <c r="I5207" s="340" t="s">
        <v>131</v>
      </c>
      <c r="K5207" s="370"/>
      <c r="N5207" s="370"/>
    </row>
    <row r="5208" spans="1:14" s="347" customFormat="1" x14ac:dyDescent="0.25">
      <c r="A5208" s="402">
        <f>+A5207</f>
        <v>44499</v>
      </c>
      <c r="B5208" s="403">
        <f>+B5207</f>
        <v>10</v>
      </c>
      <c r="C5208" s="338">
        <v>6002</v>
      </c>
      <c r="D5208" s="340" t="str">
        <f>VLOOKUP(C5208,Plan!A:B,2,0)</f>
        <v>Intereses Financieros Cali</v>
      </c>
      <c r="E5208" s="341">
        <f>+F5208-G5208</f>
        <v>0</v>
      </c>
      <c r="F5208" s="346">
        <v>0</v>
      </c>
      <c r="G5208" s="346">
        <f>+F5207</f>
        <v>0</v>
      </c>
      <c r="H5208" s="338" t="s">
        <v>859</v>
      </c>
      <c r="I5208" s="340" t="s">
        <v>131</v>
      </c>
      <c r="K5208" s="370"/>
      <c r="N5208" s="370"/>
    </row>
    <row r="5209" spans="1:14" s="347" customFormat="1" x14ac:dyDescent="0.25">
      <c r="A5209" s="339"/>
      <c r="B5209" s="340"/>
      <c r="C5209" s="338"/>
      <c r="D5209" s="340"/>
      <c r="E5209" s="396"/>
      <c r="F5209" s="396"/>
      <c r="G5209" s="396"/>
      <c r="H5209" s="338"/>
      <c r="I5209" s="340"/>
      <c r="K5209" s="370"/>
      <c r="N5209" s="370"/>
    </row>
    <row r="5210" spans="1:14" s="347" customFormat="1" x14ac:dyDescent="0.25">
      <c r="A5210" s="402">
        <f>+A5207</f>
        <v>44499</v>
      </c>
      <c r="B5210" s="403">
        <f>+B5207</f>
        <v>10</v>
      </c>
      <c r="C5210" s="338">
        <v>119</v>
      </c>
      <c r="D5210" s="340" t="str">
        <f>VLOOKUP(C5210,Plan!A:B,2,0)</f>
        <v>FM Cali Banco Security</v>
      </c>
      <c r="E5210" s="341">
        <f>+F5210-G5210</f>
        <v>0</v>
      </c>
      <c r="F5210" s="346">
        <v>0</v>
      </c>
      <c r="G5210" s="346">
        <v>0</v>
      </c>
      <c r="H5210" s="343" t="s">
        <v>554</v>
      </c>
      <c r="I5210" s="340" t="s">
        <v>131</v>
      </c>
      <c r="K5210" s="370"/>
      <c r="N5210" s="370"/>
    </row>
    <row r="5211" spans="1:14" s="347" customFormat="1" x14ac:dyDescent="0.25">
      <c r="A5211" s="402">
        <f>+A5210</f>
        <v>44499</v>
      </c>
      <c r="B5211" s="403">
        <f>+B5210</f>
        <v>10</v>
      </c>
      <c r="C5211" s="338">
        <v>6002</v>
      </c>
      <c r="D5211" s="340" t="str">
        <f>VLOOKUP(C5211,Plan!A:B,2,0)</f>
        <v>Intereses Financieros Cali</v>
      </c>
      <c r="E5211" s="341">
        <f>+F5211-G5211</f>
        <v>0</v>
      </c>
      <c r="F5211" s="346">
        <v>0</v>
      </c>
      <c r="G5211" s="346">
        <f>+F5210</f>
        <v>0</v>
      </c>
      <c r="H5211" s="338" t="s">
        <v>554</v>
      </c>
      <c r="I5211" s="340" t="s">
        <v>131</v>
      </c>
      <c r="K5211" s="370"/>
      <c r="N5211" s="370"/>
    </row>
    <row r="5212" spans="1:14" s="347" customFormat="1" x14ac:dyDescent="0.25">
      <c r="A5212" s="369"/>
      <c r="E5212" s="396"/>
      <c r="F5212" s="396"/>
      <c r="G5212" s="396"/>
      <c r="K5212" s="370"/>
      <c r="N5212" s="370"/>
    </row>
    <row r="5213" spans="1:14" s="347" customFormat="1" x14ac:dyDescent="0.25">
      <c r="A5213" s="402">
        <f>+A5210</f>
        <v>44499</v>
      </c>
      <c r="B5213" s="403">
        <f>+B5210</f>
        <v>10</v>
      </c>
      <c r="C5213" s="338">
        <v>113</v>
      </c>
      <c r="D5213" s="340" t="str">
        <f>VLOOKUP(C5213,Plan!A:B,2,0)</f>
        <v>Depósito a plazo Cali Banco Santander</v>
      </c>
      <c r="E5213" s="341">
        <f>+F5213-G5213</f>
        <v>560000</v>
      </c>
      <c r="F5213" s="346">
        <v>560000</v>
      </c>
      <c r="G5213" s="346">
        <v>0</v>
      </c>
      <c r="H5213" s="343" t="s">
        <v>2122</v>
      </c>
      <c r="I5213" s="340" t="s">
        <v>131</v>
      </c>
      <c r="K5213" s="370"/>
      <c r="N5213" s="370"/>
    </row>
    <row r="5214" spans="1:14" s="347" customFormat="1" x14ac:dyDescent="0.25">
      <c r="A5214" s="402">
        <f>+A5213</f>
        <v>44499</v>
      </c>
      <c r="B5214" s="403">
        <f>+B5213</f>
        <v>10</v>
      </c>
      <c r="C5214" s="338">
        <v>6002</v>
      </c>
      <c r="D5214" s="340" t="str">
        <f>VLOOKUP(C5214,Plan!A:B,2,0)</f>
        <v>Intereses Financieros Cali</v>
      </c>
      <c r="E5214" s="341">
        <f>+F5214-G5214</f>
        <v>-560000</v>
      </c>
      <c r="F5214" s="346">
        <v>0</v>
      </c>
      <c r="G5214" s="346">
        <f>+F5213</f>
        <v>560000</v>
      </c>
      <c r="H5214" s="338" t="str">
        <f>+H5213</f>
        <v>Intereses Devengados DAP Santander</v>
      </c>
      <c r="I5214" s="340" t="s">
        <v>131</v>
      </c>
      <c r="K5214" s="370"/>
      <c r="N5214" s="370"/>
    </row>
    <row r="5215" spans="1:14" s="347" customFormat="1" x14ac:dyDescent="0.25">
      <c r="A5215" s="369"/>
      <c r="E5215" s="396"/>
      <c r="F5215" s="396"/>
      <c r="G5215" s="396"/>
      <c r="K5215" s="370"/>
      <c r="N5215" s="370"/>
    </row>
    <row r="5216" spans="1:14" s="347" customFormat="1" x14ac:dyDescent="0.25">
      <c r="A5216" s="402">
        <v>44499</v>
      </c>
      <c r="B5216" s="403">
        <f>+MONTH(A5216)</f>
        <v>10</v>
      </c>
      <c r="C5216" s="338">
        <v>4170</v>
      </c>
      <c r="D5216" s="340" t="str">
        <f>VLOOKUP(C5216,Plan!A:B,2,0)</f>
        <v>Cali otros</v>
      </c>
      <c r="E5216" s="341">
        <f>+F5216-G5216</f>
        <v>338983</v>
      </c>
      <c r="F5216" s="346">
        <f>+G5217+G5218</f>
        <v>338983</v>
      </c>
      <c r="G5216" s="346">
        <v>0</v>
      </c>
      <c r="H5216" t="s">
        <v>2330</v>
      </c>
      <c r="I5216" s="340" t="s">
        <v>131</v>
      </c>
      <c r="K5216" s="370"/>
      <c r="N5216" s="370"/>
    </row>
    <row r="5217" spans="1:14" s="347" customFormat="1" x14ac:dyDescent="0.25">
      <c r="A5217" s="402">
        <v>44499</v>
      </c>
      <c r="B5217" s="403">
        <f>+MONTH(A5217)</f>
        <v>10</v>
      </c>
      <c r="C5217" s="338">
        <v>204</v>
      </c>
      <c r="D5217" s="340" t="str">
        <f>VLOOKUP(C5217,Plan!A:B,2,0)</f>
        <v>Retención Honorarios Cali</v>
      </c>
      <c r="E5217" s="341">
        <f>+F5217-G5217</f>
        <v>-38983</v>
      </c>
      <c r="F5217" s="346">
        <v>0</v>
      </c>
      <c r="G5217" s="346">
        <v>38983</v>
      </c>
      <c r="H5217" s="155" t="str">
        <f>+H5216</f>
        <v>Be 320 Guillermo de la Vega Ivovich  Asesoria 1% Septiembre 2021</v>
      </c>
      <c r="I5217" s="340" t="s">
        <v>131</v>
      </c>
      <c r="K5217" s="370"/>
      <c r="N5217" s="370"/>
    </row>
    <row r="5218" spans="1:14" s="347" customFormat="1" x14ac:dyDescent="0.25">
      <c r="A5218" s="402">
        <v>44499</v>
      </c>
      <c r="B5218" s="403">
        <f>+MONTH(A5218)</f>
        <v>10</v>
      </c>
      <c r="C5218" s="338">
        <v>205</v>
      </c>
      <c r="D5218" s="340" t="str">
        <f>VLOOKUP(C5218,Plan!A:B,2,0)</f>
        <v>Honorarios por pagar Cali</v>
      </c>
      <c r="E5218" s="341">
        <f>+F5218-G5218</f>
        <v>-300000</v>
      </c>
      <c r="F5218" s="346">
        <v>0</v>
      </c>
      <c r="G5218" s="346">
        <v>300000</v>
      </c>
      <c r="H5218" s="155" t="str">
        <f>+H5217</f>
        <v>Be 320 Guillermo de la Vega Ivovich  Asesoria 1% Septiembre 2021</v>
      </c>
      <c r="I5218" s="340" t="s">
        <v>131</v>
      </c>
      <c r="K5218" s="370"/>
      <c r="N5218" s="370"/>
    </row>
    <row r="5219" spans="1:14" s="347" customFormat="1" x14ac:dyDescent="0.25">
      <c r="A5219" s="369"/>
      <c r="E5219" s="396"/>
      <c r="F5219" s="396"/>
      <c r="G5219" s="396"/>
      <c r="K5219" s="370"/>
      <c r="N5219" s="370"/>
    </row>
    <row r="5220" spans="1:14" s="347" customFormat="1" x14ac:dyDescent="0.25">
      <c r="A5220" s="402">
        <v>44502</v>
      </c>
      <c r="B5220" s="403">
        <f>+MONTH(A5220)</f>
        <v>11</v>
      </c>
      <c r="C5220" s="338">
        <v>115</v>
      </c>
      <c r="D5220" s="340" t="str">
        <f>VLOOKUP(C5220,Plan!A:B,2,0)</f>
        <v>Disponible Cali B.Chile</v>
      </c>
      <c r="E5220" s="341">
        <f>+F5220-G5220</f>
        <v>50000</v>
      </c>
      <c r="F5220" s="346">
        <v>50000</v>
      </c>
      <c r="G5220" s="346">
        <v>0</v>
      </c>
      <c r="H5220" t="s">
        <v>966</v>
      </c>
      <c r="I5220" s="340" t="s">
        <v>131</v>
      </c>
      <c r="K5220" s="370"/>
      <c r="N5220" s="370"/>
    </row>
    <row r="5221" spans="1:14" s="347" customFormat="1" x14ac:dyDescent="0.25">
      <c r="A5221" s="402">
        <f>+A5220</f>
        <v>44502</v>
      </c>
      <c r="B5221" s="403">
        <f>+B5220</f>
        <v>11</v>
      </c>
      <c r="C5221" s="338">
        <v>3210</v>
      </c>
      <c r="D5221" s="340" t="str">
        <f>VLOOKUP(C5221,Plan!A:B,2,0)</f>
        <v>Donacion Construccion</v>
      </c>
      <c r="E5221" s="341">
        <f>+F5221-G5221</f>
        <v>-50000</v>
      </c>
      <c r="F5221" s="346">
        <v>0</v>
      </c>
      <c r="G5221" s="346">
        <f>+F5220</f>
        <v>50000</v>
      </c>
      <c r="H5221" s="338" t="str">
        <f>+H5220</f>
        <v xml:space="preserve">Ricardo Fernández Oyarzún / Azul </v>
      </c>
      <c r="I5221" s="340" t="s">
        <v>131</v>
      </c>
      <c r="K5221" s="370"/>
      <c r="N5221" s="370"/>
    </row>
    <row r="5222" spans="1:14" s="347" customFormat="1" x14ac:dyDescent="0.25">
      <c r="A5222" s="369"/>
      <c r="E5222" s="396"/>
      <c r="F5222" s="396"/>
      <c r="G5222" s="396"/>
      <c r="K5222" s="370"/>
      <c r="N5222" s="370"/>
    </row>
    <row r="5223" spans="1:14" s="347" customFormat="1" x14ac:dyDescent="0.25">
      <c r="A5223" s="402">
        <v>44502</v>
      </c>
      <c r="B5223" s="403">
        <f>+MONTH(A5223)</f>
        <v>11</v>
      </c>
      <c r="C5223" s="338">
        <v>115</v>
      </c>
      <c r="D5223" s="340" t="str">
        <f>VLOOKUP(C5223,Plan!A:B,2,0)</f>
        <v>Disponible Cali B.Chile</v>
      </c>
      <c r="E5223" s="341">
        <f>+F5223-G5223</f>
        <v>20000</v>
      </c>
      <c r="F5223" s="346">
        <v>20000</v>
      </c>
      <c r="G5223" s="346">
        <v>0</v>
      </c>
      <c r="H5223" t="s">
        <v>1007</v>
      </c>
      <c r="I5223" s="340" t="s">
        <v>131</v>
      </c>
      <c r="K5223" s="370"/>
      <c r="N5223" s="370"/>
    </row>
    <row r="5224" spans="1:14" s="347" customFormat="1" x14ac:dyDescent="0.25">
      <c r="A5224" s="402">
        <f>+A5223</f>
        <v>44502</v>
      </c>
      <c r="B5224" s="403">
        <f>+B5223</f>
        <v>11</v>
      </c>
      <c r="C5224" s="338">
        <v>1222</v>
      </c>
      <c r="D5224" s="340" t="str">
        <f>VLOOKUP(C5224,Plan!A:B,2,0)</f>
        <v>Otros Valores -Oficina y Transferencias (249)</v>
      </c>
      <c r="E5224" s="341">
        <f>+F5224-G5224</f>
        <v>-20000</v>
      </c>
      <c r="F5224" s="346">
        <v>0</v>
      </c>
      <c r="G5224" s="346">
        <f>+F5223</f>
        <v>20000</v>
      </c>
      <c r="H5224" s="338" t="str">
        <f>+H5223</f>
        <v>Oscar Guarda Barros / 249</v>
      </c>
      <c r="I5224" s="340" t="s">
        <v>131</v>
      </c>
      <c r="K5224" s="370"/>
      <c r="N5224" s="370"/>
    </row>
    <row r="5225" spans="1:14" s="347" customFormat="1" x14ac:dyDescent="0.25">
      <c r="A5225" s="369"/>
      <c r="E5225" s="396"/>
      <c r="F5225" s="396"/>
      <c r="G5225" s="396"/>
      <c r="K5225" s="370"/>
      <c r="N5225" s="370"/>
    </row>
    <row r="5226" spans="1:14" s="347" customFormat="1" x14ac:dyDescent="0.25">
      <c r="A5226" s="402">
        <v>44502</v>
      </c>
      <c r="B5226" s="403">
        <f>+MONTH(A5226)</f>
        <v>11</v>
      </c>
      <c r="C5226" s="338">
        <v>115</v>
      </c>
      <c r="D5226" s="340" t="str">
        <f>VLOOKUP(C5226,Plan!A:B,2,0)</f>
        <v>Disponible Cali B.Chile</v>
      </c>
      <c r="E5226" s="341">
        <f>+F5226-G5226</f>
        <v>100000</v>
      </c>
      <c r="F5226" s="346">
        <v>100000</v>
      </c>
      <c r="G5226" s="346">
        <v>0</v>
      </c>
      <c r="H5226" t="s">
        <v>965</v>
      </c>
      <c r="I5226" s="340" t="s">
        <v>131</v>
      </c>
      <c r="K5226" s="370"/>
      <c r="N5226" s="370"/>
    </row>
    <row r="5227" spans="1:14" s="347" customFormat="1" x14ac:dyDescent="0.25">
      <c r="A5227" s="402">
        <f>+A5226</f>
        <v>44502</v>
      </c>
      <c r="B5227" s="403">
        <f>+B5226</f>
        <v>11</v>
      </c>
      <c r="C5227" s="338">
        <v>3210</v>
      </c>
      <c r="D5227" s="340" t="str">
        <f>VLOOKUP(C5227,Plan!A:B,2,0)</f>
        <v>Donacion Construccion</v>
      </c>
      <c r="E5227" s="341">
        <f>+F5227-G5227</f>
        <v>-100000</v>
      </c>
      <c r="F5227" s="346">
        <v>0</v>
      </c>
      <c r="G5227" s="346">
        <f>+F5226</f>
        <v>100000</v>
      </c>
      <c r="H5227" s="338" t="str">
        <f>+H5226</f>
        <v>Rafael Marín Jordán/azul</v>
      </c>
      <c r="I5227" s="340" t="s">
        <v>131</v>
      </c>
      <c r="K5227" s="370"/>
      <c r="N5227" s="370"/>
    </row>
    <row r="5228" spans="1:14" s="347" customFormat="1" x14ac:dyDescent="0.25">
      <c r="A5228" s="369"/>
      <c r="E5228" s="396"/>
      <c r="F5228" s="396"/>
      <c r="G5228" s="396"/>
      <c r="K5228" s="370"/>
      <c r="N5228" s="370"/>
    </row>
    <row r="5229" spans="1:14" s="347" customFormat="1" x14ac:dyDescent="0.25">
      <c r="A5229" s="402">
        <v>44502</v>
      </c>
      <c r="B5229" s="403">
        <f>+MONTH(A5229)</f>
        <v>11</v>
      </c>
      <c r="C5229" s="338">
        <v>115</v>
      </c>
      <c r="D5229" s="340" t="str">
        <f>VLOOKUP(C5229,Plan!A:B,2,0)</f>
        <v>Disponible Cali B.Chile</v>
      </c>
      <c r="E5229" s="341">
        <f>+F5229-G5229</f>
        <v>40000</v>
      </c>
      <c r="F5229" s="346">
        <v>40000</v>
      </c>
      <c r="G5229" s="346">
        <v>0</v>
      </c>
      <c r="H5229" t="s">
        <v>964</v>
      </c>
      <c r="I5229" s="340" t="s">
        <v>131</v>
      </c>
      <c r="K5229" s="370"/>
      <c r="N5229" s="370"/>
    </row>
    <row r="5230" spans="1:14" s="347" customFormat="1" x14ac:dyDescent="0.25">
      <c r="A5230" s="402">
        <f>+A5229</f>
        <v>44502</v>
      </c>
      <c r="B5230" s="403">
        <f>+B5229</f>
        <v>11</v>
      </c>
      <c r="C5230" s="338">
        <v>1222</v>
      </c>
      <c r="D5230" s="340" t="str">
        <f>VLOOKUP(C5230,Plan!A:B,2,0)</f>
        <v>Otros Valores -Oficina y Transferencias (249)</v>
      </c>
      <c r="E5230" s="341">
        <f>+F5230-G5230</f>
        <v>-40000</v>
      </c>
      <c r="F5230" s="346">
        <v>0</v>
      </c>
      <c r="G5230" s="346">
        <f>+F5229</f>
        <v>40000</v>
      </c>
      <c r="H5230" s="338" t="str">
        <f>+H5229</f>
        <v>Raimundo Barros / 249</v>
      </c>
      <c r="I5230" s="340" t="s">
        <v>131</v>
      </c>
      <c r="K5230" s="370"/>
      <c r="N5230" s="370"/>
    </row>
    <row r="5231" spans="1:14" s="347" customFormat="1" x14ac:dyDescent="0.25">
      <c r="A5231" s="369"/>
      <c r="E5231" s="396"/>
      <c r="F5231" s="396"/>
      <c r="G5231" s="396"/>
      <c r="K5231" s="370"/>
      <c r="N5231" s="370"/>
    </row>
    <row r="5232" spans="1:14" s="347" customFormat="1" x14ac:dyDescent="0.25">
      <c r="A5232" s="402">
        <v>44502</v>
      </c>
      <c r="B5232" s="403">
        <f>+MONTH(A5232)</f>
        <v>11</v>
      </c>
      <c r="C5232" s="338">
        <v>115</v>
      </c>
      <c r="D5232" s="340" t="str">
        <f>VLOOKUP(C5232,Plan!A:B,2,0)</f>
        <v>Disponible Cali B.Chile</v>
      </c>
      <c r="E5232" s="341">
        <f>+F5232-G5232</f>
        <v>15000</v>
      </c>
      <c r="F5232" s="346">
        <v>15000</v>
      </c>
      <c r="G5232" s="346">
        <v>0</v>
      </c>
      <c r="H5232" t="s">
        <v>968</v>
      </c>
      <c r="I5232" s="340" t="s">
        <v>131</v>
      </c>
      <c r="K5232" s="370"/>
      <c r="N5232" s="370"/>
    </row>
    <row r="5233" spans="1:14" s="347" customFormat="1" x14ac:dyDescent="0.25">
      <c r="A5233" s="402">
        <f>+A5232</f>
        <v>44502</v>
      </c>
      <c r="B5233" s="403">
        <f>+B5232</f>
        <v>11</v>
      </c>
      <c r="C5233" s="338">
        <v>3210</v>
      </c>
      <c r="D5233" s="340" t="str">
        <f>VLOOKUP(C5233,Plan!A:B,2,0)</f>
        <v>Donacion Construccion</v>
      </c>
      <c r="E5233" s="341">
        <f>+F5233-G5233</f>
        <v>-15000</v>
      </c>
      <c r="F5233" s="346">
        <v>0</v>
      </c>
      <c r="G5233" s="346">
        <f>+F5232</f>
        <v>15000</v>
      </c>
      <c r="H5233" s="338" t="str">
        <f>+H5232</f>
        <v xml:space="preserve">María del Pilar Herrera/ azul </v>
      </c>
      <c r="I5233" s="340" t="s">
        <v>131</v>
      </c>
      <c r="K5233" s="370"/>
      <c r="N5233" s="370"/>
    </row>
    <row r="5234" spans="1:14" s="347" customFormat="1" x14ac:dyDescent="0.25">
      <c r="A5234" s="369"/>
      <c r="E5234" s="396"/>
      <c r="F5234" s="396"/>
      <c r="G5234" s="396"/>
      <c r="K5234" s="370"/>
      <c r="N5234" s="370"/>
    </row>
    <row r="5235" spans="1:14" s="347" customFormat="1" x14ac:dyDescent="0.25">
      <c r="A5235" s="402">
        <v>44502</v>
      </c>
      <c r="B5235" s="403">
        <f>+MONTH(A5235)</f>
        <v>11</v>
      </c>
      <c r="C5235" s="338">
        <v>115</v>
      </c>
      <c r="D5235" s="340" t="str">
        <f>VLOOKUP(C5235,Plan!A:B,2,0)</f>
        <v>Disponible Cali B.Chile</v>
      </c>
      <c r="E5235" s="341">
        <f>+F5235-G5235</f>
        <v>2000</v>
      </c>
      <c r="F5235" s="346">
        <v>2000</v>
      </c>
      <c r="G5235" s="346">
        <v>0</v>
      </c>
      <c r="H5235" t="s">
        <v>1010</v>
      </c>
      <c r="I5235" s="340" t="s">
        <v>131</v>
      </c>
      <c r="K5235" s="370"/>
      <c r="N5235" s="370"/>
    </row>
    <row r="5236" spans="1:14" s="347" customFormat="1" x14ac:dyDescent="0.25">
      <c r="A5236" s="402">
        <f>+A5235</f>
        <v>44502</v>
      </c>
      <c r="B5236" s="403">
        <f>+B5235</f>
        <v>11</v>
      </c>
      <c r="C5236" s="338">
        <v>216</v>
      </c>
      <c r="D5236" s="340" t="str">
        <f>VLOOKUP(C5236,Plan!A:B,2,0)</f>
        <v>Cuenta por Pagar a Administración Colectas</v>
      </c>
      <c r="E5236" s="341">
        <f>+F5236-G5236</f>
        <v>-2000</v>
      </c>
      <c r="F5236" s="346">
        <v>0</v>
      </c>
      <c r="G5236" s="346">
        <f>+F5235</f>
        <v>2000</v>
      </c>
      <c r="H5236" s="338" t="str">
        <f>+H5235</f>
        <v>Colecta Raimundo Barros</v>
      </c>
      <c r="I5236" s="340" t="s">
        <v>131</v>
      </c>
      <c r="K5236" s="370"/>
      <c r="N5236" s="370"/>
    </row>
    <row r="5237" spans="1:14" s="347" customFormat="1" x14ac:dyDescent="0.25">
      <c r="A5237" s="369"/>
      <c r="E5237" s="396"/>
      <c r="F5237" s="396"/>
      <c r="G5237" s="396"/>
      <c r="K5237" s="370"/>
      <c r="N5237" s="370"/>
    </row>
    <row r="5238" spans="1:14" s="347" customFormat="1" x14ac:dyDescent="0.25">
      <c r="A5238" s="402">
        <v>44502</v>
      </c>
      <c r="B5238" s="403">
        <f>+MONTH(A5238)</f>
        <v>11</v>
      </c>
      <c r="C5238" s="338">
        <v>115</v>
      </c>
      <c r="D5238" s="340" t="str">
        <f>VLOOKUP(C5238,Plan!A:B,2,0)</f>
        <v>Disponible Cali B.Chile</v>
      </c>
      <c r="E5238" s="341">
        <f>+F5238-G5238</f>
        <v>50000</v>
      </c>
      <c r="F5238" s="346">
        <v>50000</v>
      </c>
      <c r="G5238" s="346">
        <v>0</v>
      </c>
      <c r="H5238" t="s">
        <v>2324</v>
      </c>
      <c r="I5238" s="340" t="s">
        <v>131</v>
      </c>
      <c r="K5238" s="370"/>
      <c r="N5238" s="370"/>
    </row>
    <row r="5239" spans="1:14" s="347" customFormat="1" x14ac:dyDescent="0.25">
      <c r="A5239" s="402">
        <f>+A5238</f>
        <v>44502</v>
      </c>
      <c r="B5239" s="403">
        <f>+B5238</f>
        <v>11</v>
      </c>
      <c r="C5239" s="338">
        <v>3210</v>
      </c>
      <c r="D5239" s="340" t="str">
        <f>VLOOKUP(C5239,Plan!A:B,2,0)</f>
        <v>Donacion Construccion</v>
      </c>
      <c r="E5239" s="341">
        <f>+F5239-G5239</f>
        <v>-50000</v>
      </c>
      <c r="F5239" s="346">
        <v>0</v>
      </c>
      <c r="G5239" s="346">
        <f>+F5238</f>
        <v>50000</v>
      </c>
      <c r="H5239" s="338" t="str">
        <f>+H5238</f>
        <v>Andrés Munita Izquierdo / Azul</v>
      </c>
      <c r="I5239" s="340" t="s">
        <v>131</v>
      </c>
      <c r="K5239" s="370"/>
      <c r="N5239" s="370"/>
    </row>
    <row r="5240" spans="1:14" s="347" customFormat="1" x14ac:dyDescent="0.25">
      <c r="A5240" s="369"/>
      <c r="E5240" s="396"/>
      <c r="F5240" s="396"/>
      <c r="G5240" s="396"/>
      <c r="K5240" s="370"/>
      <c r="N5240" s="370"/>
    </row>
    <row r="5241" spans="1:14" s="347" customFormat="1" x14ac:dyDescent="0.25">
      <c r="A5241" s="402">
        <v>44502</v>
      </c>
      <c r="B5241" s="403">
        <f>+MONTH(A5241)</f>
        <v>11</v>
      </c>
      <c r="C5241" s="338">
        <v>115</v>
      </c>
      <c r="D5241" s="340" t="str">
        <f>VLOOKUP(C5241,Plan!A:B,2,0)</f>
        <v>Disponible Cali B.Chile</v>
      </c>
      <c r="E5241" s="341">
        <f>+F5241-G5241</f>
        <v>48000</v>
      </c>
      <c r="F5241" s="346">
        <v>48000</v>
      </c>
      <c r="G5241" s="346">
        <v>0</v>
      </c>
      <c r="H5241" t="s">
        <v>975</v>
      </c>
      <c r="I5241" s="340" t="s">
        <v>131</v>
      </c>
      <c r="K5241" s="370"/>
      <c r="N5241" s="370"/>
    </row>
    <row r="5242" spans="1:14" s="347" customFormat="1" x14ac:dyDescent="0.25">
      <c r="A5242" s="402">
        <f>+A5241</f>
        <v>44502</v>
      </c>
      <c r="B5242" s="403">
        <f>+B5241</f>
        <v>11</v>
      </c>
      <c r="C5242" s="338">
        <v>1217</v>
      </c>
      <c r="D5242" s="340" t="str">
        <f>VLOOKUP(C5242,Plan!A:B,2,0)</f>
        <v>Otros Valores -Oficina y Transferencias (248)</v>
      </c>
      <c r="E5242" s="341">
        <f>+F5242-G5242</f>
        <v>-48000</v>
      </c>
      <c r="F5242" s="346">
        <v>0</v>
      </c>
      <c r="G5242" s="346">
        <f>+F5241</f>
        <v>48000</v>
      </c>
      <c r="H5242" s="338" t="str">
        <f>+H5241</f>
        <v>Enrique José Manuel Ferrer/248</v>
      </c>
      <c r="I5242" s="340" t="s">
        <v>131</v>
      </c>
      <c r="K5242" s="370"/>
      <c r="N5242" s="370"/>
    </row>
    <row r="5243" spans="1:14" s="347" customFormat="1" x14ac:dyDescent="0.25">
      <c r="A5243" s="369"/>
      <c r="E5243" s="396"/>
      <c r="F5243" s="396"/>
      <c r="G5243" s="396"/>
      <c r="K5243" s="370"/>
      <c r="N5243" s="370"/>
    </row>
    <row r="5244" spans="1:14" s="347" customFormat="1" x14ac:dyDescent="0.25">
      <c r="A5244" s="402">
        <v>44502</v>
      </c>
      <c r="B5244" s="403">
        <f>+MONTH(A5244)</f>
        <v>11</v>
      </c>
      <c r="C5244" s="338">
        <v>115</v>
      </c>
      <c r="D5244" s="340" t="str">
        <f>VLOOKUP(C5244,Plan!A:B,2,0)</f>
        <v>Disponible Cali B.Chile</v>
      </c>
      <c r="E5244" s="341">
        <f>+F5244-G5244</f>
        <v>40000</v>
      </c>
      <c r="F5244" s="346">
        <v>40000</v>
      </c>
      <c r="G5244" s="346">
        <v>0</v>
      </c>
      <c r="H5244" t="s">
        <v>976</v>
      </c>
      <c r="I5244" s="340" t="s">
        <v>131</v>
      </c>
      <c r="K5244" s="370"/>
      <c r="N5244" s="370"/>
    </row>
    <row r="5245" spans="1:14" s="347" customFormat="1" x14ac:dyDescent="0.25">
      <c r="A5245" s="402">
        <f>+A5244</f>
        <v>44502</v>
      </c>
      <c r="B5245" s="403">
        <f>+B5244</f>
        <v>11</v>
      </c>
      <c r="C5245" s="338">
        <v>1222</v>
      </c>
      <c r="D5245" s="340" t="str">
        <f>VLOOKUP(C5245,Plan!A:B,2,0)</f>
        <v>Otros Valores -Oficina y Transferencias (249)</v>
      </c>
      <c r="E5245" s="341">
        <f>+F5245-G5245</f>
        <v>-40000</v>
      </c>
      <c r="F5245" s="346">
        <v>0</v>
      </c>
      <c r="G5245" s="346">
        <f>+F5244</f>
        <v>40000</v>
      </c>
      <c r="H5245" s="338" t="str">
        <f>+H5244</f>
        <v>Ricardo Cañas Cambiaso / 249</v>
      </c>
      <c r="I5245" s="340" t="s">
        <v>131</v>
      </c>
      <c r="K5245" s="370"/>
      <c r="N5245" s="370"/>
    </row>
    <row r="5246" spans="1:14" s="347" customFormat="1" x14ac:dyDescent="0.25">
      <c r="A5246" s="369"/>
      <c r="E5246" s="396"/>
      <c r="F5246" s="396"/>
      <c r="G5246" s="396"/>
      <c r="K5246" s="370"/>
      <c r="N5246" s="370"/>
    </row>
    <row r="5247" spans="1:14" s="347" customFormat="1" x14ac:dyDescent="0.25">
      <c r="A5247" s="402">
        <v>44502</v>
      </c>
      <c r="B5247" s="403">
        <f>+MONTH(A5247)</f>
        <v>11</v>
      </c>
      <c r="C5247" s="338">
        <v>115</v>
      </c>
      <c r="D5247" s="340" t="str">
        <f>VLOOKUP(C5247,Plan!A:B,2,0)</f>
        <v>Disponible Cali B.Chile</v>
      </c>
      <c r="E5247" s="341">
        <f>+F5247-G5247</f>
        <v>15000</v>
      </c>
      <c r="F5247" s="346">
        <v>15000</v>
      </c>
      <c r="G5247" s="346">
        <v>0</v>
      </c>
      <c r="H5247" t="s">
        <v>1756</v>
      </c>
      <c r="I5247" s="340" t="s">
        <v>131</v>
      </c>
      <c r="K5247" s="370"/>
      <c r="N5247" s="370"/>
    </row>
    <row r="5248" spans="1:14" s="347" customFormat="1" x14ac:dyDescent="0.25">
      <c r="A5248" s="402">
        <f>+A5247</f>
        <v>44502</v>
      </c>
      <c r="B5248" s="403">
        <f>+B5247</f>
        <v>11</v>
      </c>
      <c r="C5248" s="338">
        <v>1222</v>
      </c>
      <c r="D5248" s="340" t="str">
        <f>VLOOKUP(C5248,Plan!A:B,2,0)</f>
        <v>Otros Valores -Oficina y Transferencias (249)</v>
      </c>
      <c r="E5248" s="341">
        <f>+F5248-G5248</f>
        <v>-15000</v>
      </c>
      <c r="F5248" s="346">
        <v>0</v>
      </c>
      <c r="G5248" s="346">
        <f>+F5247</f>
        <v>15000</v>
      </c>
      <c r="H5248" s="338" t="str">
        <f>+H5247</f>
        <v>María José Valdés Valdés / 249</v>
      </c>
      <c r="I5248" s="340" t="s">
        <v>131</v>
      </c>
      <c r="K5248" s="370"/>
      <c r="N5248" s="370"/>
    </row>
    <row r="5249" spans="1:14" s="347" customFormat="1" x14ac:dyDescent="0.25">
      <c r="A5249" s="369"/>
      <c r="E5249" s="396"/>
      <c r="F5249" s="396"/>
      <c r="G5249" s="396"/>
      <c r="K5249" s="370"/>
      <c r="N5249" s="370"/>
    </row>
    <row r="5250" spans="1:14" s="347" customFormat="1" x14ac:dyDescent="0.25">
      <c r="A5250" s="402">
        <v>44502</v>
      </c>
      <c r="B5250" s="403">
        <f>+MONTH(A5250)</f>
        <v>11</v>
      </c>
      <c r="C5250" s="338">
        <v>115</v>
      </c>
      <c r="D5250" s="340" t="str">
        <f>VLOOKUP(C5250,Plan!A:B,2,0)</f>
        <v>Disponible Cali B.Chile</v>
      </c>
      <c r="E5250" s="341">
        <f>+F5250-G5250</f>
        <v>15000</v>
      </c>
      <c r="F5250" s="346">
        <v>15000</v>
      </c>
      <c r="G5250" s="346">
        <v>0</v>
      </c>
      <c r="H5250" t="s">
        <v>1716</v>
      </c>
      <c r="I5250" s="340" t="s">
        <v>131</v>
      </c>
      <c r="K5250" s="370"/>
      <c r="N5250" s="370"/>
    </row>
    <row r="5251" spans="1:14" s="347" customFormat="1" x14ac:dyDescent="0.25">
      <c r="A5251" s="402">
        <f>+A5250</f>
        <v>44502</v>
      </c>
      <c r="B5251" s="403">
        <f>+B5250</f>
        <v>11</v>
      </c>
      <c r="C5251" s="338">
        <v>1222</v>
      </c>
      <c r="D5251" s="340" t="str">
        <f>VLOOKUP(C5251,Plan!A:B,2,0)</f>
        <v>Otros Valores -Oficina y Transferencias (249)</v>
      </c>
      <c r="E5251" s="341">
        <f>+F5251-G5251</f>
        <v>-15000</v>
      </c>
      <c r="F5251" s="346">
        <v>0</v>
      </c>
      <c r="G5251" s="346">
        <f>+F5250</f>
        <v>15000</v>
      </c>
      <c r="H5251" s="338" t="str">
        <f>+H5250</f>
        <v>María Carolina Marín Montes / 249</v>
      </c>
      <c r="I5251" s="340" t="s">
        <v>131</v>
      </c>
      <c r="K5251" s="370"/>
      <c r="N5251" s="370"/>
    </row>
    <row r="5252" spans="1:14" s="347" customFormat="1" x14ac:dyDescent="0.25">
      <c r="A5252" s="369"/>
      <c r="E5252" s="396"/>
      <c r="F5252" s="396"/>
      <c r="G5252" s="396"/>
      <c r="K5252" s="370"/>
      <c r="N5252" s="370"/>
    </row>
    <row r="5253" spans="1:14" s="347" customFormat="1" x14ac:dyDescent="0.25">
      <c r="A5253" s="402">
        <v>44502</v>
      </c>
      <c r="B5253" s="403">
        <f>+MONTH(A5253)</f>
        <v>11</v>
      </c>
      <c r="C5253" s="338">
        <v>115</v>
      </c>
      <c r="D5253" s="340" t="str">
        <f>VLOOKUP(C5253,Plan!A:B,2,0)</f>
        <v>Disponible Cali B.Chile</v>
      </c>
      <c r="E5253" s="341">
        <f>+F5253-G5253</f>
        <v>70000</v>
      </c>
      <c r="F5253" s="346">
        <v>70000</v>
      </c>
      <c r="G5253" s="346">
        <v>0</v>
      </c>
      <c r="H5253" t="s">
        <v>1991</v>
      </c>
      <c r="I5253" s="340" t="s">
        <v>131</v>
      </c>
      <c r="K5253" s="370"/>
      <c r="N5253" s="370"/>
    </row>
    <row r="5254" spans="1:14" s="347" customFormat="1" x14ac:dyDescent="0.25">
      <c r="A5254" s="402">
        <f>+A5253</f>
        <v>44502</v>
      </c>
      <c r="B5254" s="403">
        <f>+B5253</f>
        <v>11</v>
      </c>
      <c r="C5254" s="338">
        <v>3210</v>
      </c>
      <c r="D5254" s="340" t="str">
        <f>VLOOKUP(C5254,Plan!A:B,2,0)</f>
        <v>Donacion Construccion</v>
      </c>
      <c r="E5254" s="341">
        <f>+F5254-G5254</f>
        <v>-70000</v>
      </c>
      <c r="F5254" s="346">
        <v>0</v>
      </c>
      <c r="G5254" s="346">
        <f>+F5253</f>
        <v>70000</v>
      </c>
      <c r="H5254" s="338" t="str">
        <f>+H5253</f>
        <v>Juan Pablo Munita Morgan / Azul</v>
      </c>
      <c r="I5254" s="340" t="s">
        <v>131</v>
      </c>
      <c r="K5254" s="370"/>
      <c r="N5254" s="370"/>
    </row>
    <row r="5255" spans="1:14" s="347" customFormat="1" x14ac:dyDescent="0.25">
      <c r="A5255" s="369"/>
      <c r="E5255" s="396"/>
      <c r="F5255" s="396"/>
      <c r="G5255" s="396"/>
      <c r="K5255" s="370"/>
      <c r="N5255" s="370"/>
    </row>
    <row r="5256" spans="1:14" s="347" customFormat="1" x14ac:dyDescent="0.25">
      <c r="A5256" s="402">
        <v>44502</v>
      </c>
      <c r="B5256" s="403">
        <f>+MONTH(A5256)</f>
        <v>11</v>
      </c>
      <c r="C5256" s="338">
        <v>115</v>
      </c>
      <c r="D5256" s="340" t="str">
        <f>VLOOKUP(C5256,Plan!A:B,2,0)</f>
        <v>Disponible Cali B.Chile</v>
      </c>
      <c r="E5256" s="341">
        <f>+F5256-G5256</f>
        <v>20000</v>
      </c>
      <c r="F5256" s="346">
        <v>20000</v>
      </c>
      <c r="G5256" s="346">
        <v>0</v>
      </c>
      <c r="H5256" t="s">
        <v>977</v>
      </c>
      <c r="I5256" s="340" t="s">
        <v>131</v>
      </c>
      <c r="K5256" s="370"/>
      <c r="N5256" s="370"/>
    </row>
    <row r="5257" spans="1:14" s="347" customFormat="1" x14ac:dyDescent="0.25">
      <c r="A5257" s="402">
        <f>+A5256</f>
        <v>44502</v>
      </c>
      <c r="B5257" s="403">
        <f>+B5256</f>
        <v>11</v>
      </c>
      <c r="C5257" s="338">
        <v>3210</v>
      </c>
      <c r="D5257" s="340" t="str">
        <f>VLOOKUP(C5257,Plan!A:B,2,0)</f>
        <v>Donacion Construccion</v>
      </c>
      <c r="E5257" s="341">
        <f>+F5257-G5257</f>
        <v>-20000</v>
      </c>
      <c r="F5257" s="346">
        <v>0</v>
      </c>
      <c r="G5257" s="346">
        <f>+F5256</f>
        <v>20000</v>
      </c>
      <c r="H5257" s="338" t="str">
        <f>+H5256</f>
        <v>Fco.Javier Campos González/Azul</v>
      </c>
      <c r="I5257" s="340" t="s">
        <v>131</v>
      </c>
      <c r="K5257" s="370"/>
      <c r="N5257" s="370"/>
    </row>
    <row r="5258" spans="1:14" s="347" customFormat="1" x14ac:dyDescent="0.25">
      <c r="A5258" s="369"/>
      <c r="E5258" s="396"/>
      <c r="F5258" s="396"/>
      <c r="G5258" s="396"/>
      <c r="K5258" s="370"/>
      <c r="N5258" s="370"/>
    </row>
    <row r="5259" spans="1:14" s="347" customFormat="1" x14ac:dyDescent="0.25">
      <c r="A5259" s="402">
        <v>44502</v>
      </c>
      <c r="B5259" s="403">
        <f>+MONTH(A5259)</f>
        <v>11</v>
      </c>
      <c r="C5259" s="338">
        <v>115</v>
      </c>
      <c r="D5259" s="340" t="str">
        <f>VLOOKUP(C5259,Plan!A:B,2,0)</f>
        <v>Disponible Cali B.Chile</v>
      </c>
      <c r="E5259" s="341">
        <f>+F5259-G5259</f>
        <v>20000</v>
      </c>
      <c r="F5259" s="346">
        <v>20000</v>
      </c>
      <c r="G5259" s="346">
        <v>0</v>
      </c>
      <c r="H5259" t="s">
        <v>548</v>
      </c>
      <c r="I5259" s="340" t="s">
        <v>131</v>
      </c>
      <c r="K5259" s="370"/>
      <c r="N5259" s="370"/>
    </row>
    <row r="5260" spans="1:14" s="347" customFormat="1" x14ac:dyDescent="0.25">
      <c r="A5260" s="402">
        <f>+A5259</f>
        <v>44502</v>
      </c>
      <c r="B5260" s="403">
        <f>+B5259</f>
        <v>11</v>
      </c>
      <c r="C5260" s="338">
        <v>1222</v>
      </c>
      <c r="D5260" s="340" t="str">
        <f>VLOOKUP(C5260,Plan!A:B,2,0)</f>
        <v>Otros Valores -Oficina y Transferencias (249)</v>
      </c>
      <c r="E5260" s="341">
        <f>+F5260-G5260</f>
        <v>-20000</v>
      </c>
      <c r="F5260" s="346">
        <v>0</v>
      </c>
      <c r="G5260" s="346">
        <f>+F5259</f>
        <v>20000</v>
      </c>
      <c r="H5260" s="338" t="str">
        <f>+H5259</f>
        <v>Josefina Claude / 249</v>
      </c>
      <c r="I5260" s="340" t="s">
        <v>131</v>
      </c>
      <c r="K5260" s="370"/>
      <c r="N5260" s="370"/>
    </row>
    <row r="5261" spans="1:14" s="347" customFormat="1" x14ac:dyDescent="0.25">
      <c r="A5261" s="369"/>
      <c r="E5261" s="396"/>
      <c r="F5261" s="396"/>
      <c r="G5261" s="396"/>
      <c r="K5261" s="370"/>
      <c r="N5261" s="370"/>
    </row>
    <row r="5262" spans="1:14" s="347" customFormat="1" x14ac:dyDescent="0.25">
      <c r="A5262" s="402">
        <v>44502</v>
      </c>
      <c r="B5262" s="403">
        <f>+MONTH(A5262)</f>
        <v>11</v>
      </c>
      <c r="C5262" s="338">
        <v>115</v>
      </c>
      <c r="D5262" s="340" t="str">
        <f>VLOOKUP(C5262,Plan!A:B,2,0)</f>
        <v>Disponible Cali B.Chile</v>
      </c>
      <c r="E5262" s="341">
        <f>+F5262-G5262</f>
        <v>30000</v>
      </c>
      <c r="F5262" s="346">
        <v>30000</v>
      </c>
      <c r="G5262" s="346">
        <v>0</v>
      </c>
      <c r="H5262" t="s">
        <v>978</v>
      </c>
      <c r="I5262" s="340" t="s">
        <v>131</v>
      </c>
      <c r="K5262" s="370"/>
      <c r="N5262" s="370"/>
    </row>
    <row r="5263" spans="1:14" s="347" customFormat="1" x14ac:dyDescent="0.25">
      <c r="A5263" s="402">
        <f>+A5262</f>
        <v>44502</v>
      </c>
      <c r="B5263" s="403">
        <f>+B5262</f>
        <v>11</v>
      </c>
      <c r="C5263" s="338">
        <v>3210</v>
      </c>
      <c r="D5263" s="340" t="str">
        <f>VLOOKUP(C5263,Plan!A:B,2,0)</f>
        <v>Donacion Construccion</v>
      </c>
      <c r="E5263" s="341">
        <f>+F5263-G5263</f>
        <v>-30000</v>
      </c>
      <c r="F5263" s="346">
        <v>0</v>
      </c>
      <c r="G5263" s="346">
        <f>+F5262</f>
        <v>30000</v>
      </c>
      <c r="H5263" s="338" t="str">
        <f>+H5262</f>
        <v>Sergio Rodríguez Oro / Azul</v>
      </c>
      <c r="I5263" s="340" t="s">
        <v>131</v>
      </c>
      <c r="K5263" s="370"/>
      <c r="N5263" s="370"/>
    </row>
    <row r="5264" spans="1:14" s="347" customFormat="1" x14ac:dyDescent="0.25">
      <c r="A5264" s="369"/>
      <c r="E5264" s="396"/>
      <c r="F5264" s="396"/>
      <c r="G5264" s="396"/>
      <c r="K5264" s="370"/>
      <c r="N5264" s="370"/>
    </row>
    <row r="5265" spans="1:14" s="347" customFormat="1" x14ac:dyDescent="0.25">
      <c r="A5265" s="402">
        <v>44502</v>
      </c>
      <c r="B5265" s="403">
        <f>+MONTH(A5265)</f>
        <v>11</v>
      </c>
      <c r="C5265" s="338">
        <v>115</v>
      </c>
      <c r="D5265" s="340" t="str">
        <f>VLOOKUP(C5265,Plan!A:B,2,0)</f>
        <v>Disponible Cali B.Chile</v>
      </c>
      <c r="E5265" s="341">
        <f>+F5265-G5265</f>
        <v>40000</v>
      </c>
      <c r="F5265" s="346">
        <v>40000</v>
      </c>
      <c r="G5265" s="346">
        <v>0</v>
      </c>
      <c r="H5265" t="s">
        <v>1001</v>
      </c>
      <c r="I5265" s="340" t="s">
        <v>131</v>
      </c>
      <c r="K5265" s="370"/>
      <c r="N5265" s="370"/>
    </row>
    <row r="5266" spans="1:14" s="347" customFormat="1" x14ac:dyDescent="0.25">
      <c r="A5266" s="402">
        <f>+A5265</f>
        <v>44502</v>
      </c>
      <c r="B5266" s="403">
        <f>+B5265</f>
        <v>11</v>
      </c>
      <c r="C5266" s="338">
        <v>3210</v>
      </c>
      <c r="D5266" s="340" t="str">
        <f>VLOOKUP(C5266,Plan!A:B,2,0)</f>
        <v>Donacion Construccion</v>
      </c>
      <c r="E5266" s="341">
        <f>+F5266-G5266</f>
        <v>-40000</v>
      </c>
      <c r="F5266" s="346">
        <v>0</v>
      </c>
      <c r="G5266" s="346">
        <f>+F5265</f>
        <v>40000</v>
      </c>
      <c r="H5266" s="338" t="str">
        <f>+H5265</f>
        <v>Karina Rabino de Alonso /Azul</v>
      </c>
      <c r="I5266" s="340" t="s">
        <v>131</v>
      </c>
      <c r="K5266" s="370"/>
      <c r="N5266" s="370"/>
    </row>
    <row r="5267" spans="1:14" s="347" customFormat="1" x14ac:dyDescent="0.25">
      <c r="A5267" s="369"/>
      <c r="E5267" s="396"/>
      <c r="F5267" s="396"/>
      <c r="G5267" s="396"/>
      <c r="K5267" s="370"/>
      <c r="N5267" s="370"/>
    </row>
    <row r="5268" spans="1:14" s="347" customFormat="1" x14ac:dyDescent="0.25">
      <c r="A5268" s="402">
        <v>44502</v>
      </c>
      <c r="B5268" s="403">
        <f>+MONTH(A5268)</f>
        <v>11</v>
      </c>
      <c r="C5268" s="338">
        <v>115</v>
      </c>
      <c r="D5268" s="340" t="str">
        <f>VLOOKUP(C5268,Plan!A:B,2,0)</f>
        <v>Disponible Cali B.Chile</v>
      </c>
      <c r="E5268" s="341">
        <f>+F5268-G5268</f>
        <v>50000</v>
      </c>
      <c r="F5268" s="346">
        <v>50000</v>
      </c>
      <c r="G5268" s="346">
        <v>0</v>
      </c>
      <c r="H5268" t="s">
        <v>547</v>
      </c>
      <c r="I5268" s="340" t="s">
        <v>131</v>
      </c>
      <c r="K5268" s="370"/>
      <c r="N5268" s="370"/>
    </row>
    <row r="5269" spans="1:14" s="347" customFormat="1" x14ac:dyDescent="0.25">
      <c r="A5269" s="402">
        <f>+A5268</f>
        <v>44502</v>
      </c>
      <c r="B5269" s="403">
        <f>+B5268</f>
        <v>11</v>
      </c>
      <c r="C5269" s="338">
        <v>1222</v>
      </c>
      <c r="D5269" s="340" t="str">
        <f>VLOOKUP(C5269,Plan!A:B,2,0)</f>
        <v>Otros Valores -Oficina y Transferencias (249)</v>
      </c>
      <c r="E5269" s="341">
        <f>+F5269-G5269</f>
        <v>-50000</v>
      </c>
      <c r="F5269" s="346">
        <v>0</v>
      </c>
      <c r="G5269" s="346">
        <f>+F5268</f>
        <v>50000</v>
      </c>
      <c r="H5269" s="338" t="str">
        <f>+H5268</f>
        <v>Jorge Claude / 249</v>
      </c>
      <c r="I5269" s="340" t="s">
        <v>131</v>
      </c>
      <c r="K5269" s="370"/>
      <c r="N5269" s="370"/>
    </row>
    <row r="5270" spans="1:14" s="347" customFormat="1" x14ac:dyDescent="0.25">
      <c r="A5270" s="369"/>
      <c r="E5270" s="396"/>
      <c r="F5270" s="396"/>
      <c r="G5270" s="396"/>
      <c r="K5270" s="370"/>
      <c r="N5270" s="370"/>
    </row>
    <row r="5271" spans="1:14" s="347" customFormat="1" x14ac:dyDescent="0.25">
      <c r="A5271" s="402">
        <v>44502</v>
      </c>
      <c r="B5271" s="403">
        <f>+MONTH(A5271)</f>
        <v>11</v>
      </c>
      <c r="C5271" s="338">
        <v>115</v>
      </c>
      <c r="D5271" s="340" t="str">
        <f>VLOOKUP(C5271,Plan!A:B,2,0)</f>
        <v>Disponible Cali B.Chile</v>
      </c>
      <c r="E5271" s="341">
        <f>+F5271-G5271</f>
        <v>15000</v>
      </c>
      <c r="F5271" s="346">
        <v>15000</v>
      </c>
      <c r="G5271" s="346">
        <v>0</v>
      </c>
      <c r="H5271" t="s">
        <v>979</v>
      </c>
      <c r="I5271" s="340" t="s">
        <v>131</v>
      </c>
      <c r="K5271" s="370"/>
      <c r="N5271" s="370"/>
    </row>
    <row r="5272" spans="1:14" s="347" customFormat="1" x14ac:dyDescent="0.25">
      <c r="A5272" s="402">
        <f>+A5271</f>
        <v>44502</v>
      </c>
      <c r="B5272" s="403">
        <f>+B5271</f>
        <v>11</v>
      </c>
      <c r="C5272" s="338">
        <v>1222</v>
      </c>
      <c r="D5272" s="340" t="str">
        <f>VLOOKUP(C5272,Plan!A:B,2,0)</f>
        <v>Otros Valores -Oficina y Transferencias (249)</v>
      </c>
      <c r="E5272" s="341">
        <f>+F5272-G5272</f>
        <v>-15000</v>
      </c>
      <c r="F5272" s="346">
        <v>0</v>
      </c>
      <c r="G5272" s="346">
        <f>+F5271</f>
        <v>15000</v>
      </c>
      <c r="H5272" s="338" t="str">
        <f>+H5271</f>
        <v>María Paulina Grez / 249</v>
      </c>
      <c r="I5272" s="340" t="s">
        <v>131</v>
      </c>
      <c r="K5272" s="370"/>
      <c r="N5272" s="370"/>
    </row>
    <row r="5273" spans="1:14" s="347" customFormat="1" x14ac:dyDescent="0.25">
      <c r="A5273" s="369"/>
      <c r="E5273" s="396"/>
      <c r="F5273" s="396"/>
      <c r="G5273" s="396"/>
      <c r="K5273" s="370"/>
      <c r="N5273" s="370"/>
    </row>
    <row r="5274" spans="1:14" s="347" customFormat="1" x14ac:dyDescent="0.25">
      <c r="A5274" s="402">
        <v>44502</v>
      </c>
      <c r="B5274" s="403">
        <f>+MONTH(A5274)</f>
        <v>11</v>
      </c>
      <c r="C5274" s="338">
        <v>115</v>
      </c>
      <c r="D5274" s="340" t="str">
        <f>VLOOKUP(C5274,Plan!A:B,2,0)</f>
        <v>Disponible Cali B.Chile</v>
      </c>
      <c r="E5274" s="341">
        <f>+F5274-G5274</f>
        <v>45000</v>
      </c>
      <c r="F5274" s="346">
        <v>45000</v>
      </c>
      <c r="G5274" s="346">
        <v>0</v>
      </c>
      <c r="H5274" t="s">
        <v>993</v>
      </c>
      <c r="I5274" s="340" t="s">
        <v>131</v>
      </c>
      <c r="K5274" s="370"/>
      <c r="N5274" s="370"/>
    </row>
    <row r="5275" spans="1:14" s="347" customFormat="1" x14ac:dyDescent="0.25">
      <c r="A5275" s="402">
        <f>+A5274</f>
        <v>44502</v>
      </c>
      <c r="B5275" s="403">
        <f>+B5274</f>
        <v>11</v>
      </c>
      <c r="C5275" s="338">
        <v>3210</v>
      </c>
      <c r="D5275" s="340" t="str">
        <f>VLOOKUP(C5275,Plan!A:B,2,0)</f>
        <v>Donacion Construccion</v>
      </c>
      <c r="E5275" s="341">
        <f>+F5275-G5275</f>
        <v>-45000</v>
      </c>
      <c r="F5275" s="346">
        <v>0</v>
      </c>
      <c r="G5275" s="346">
        <f>+F5274</f>
        <v>45000</v>
      </c>
      <c r="H5275" s="338" t="str">
        <f>+H5274</f>
        <v>Patricia Romero Navarro / Azul</v>
      </c>
      <c r="I5275" s="340" t="s">
        <v>131</v>
      </c>
      <c r="K5275" s="370"/>
      <c r="N5275" s="370"/>
    </row>
    <row r="5276" spans="1:14" s="347" customFormat="1" x14ac:dyDescent="0.25">
      <c r="A5276" s="369"/>
      <c r="E5276" s="396"/>
      <c r="F5276" s="396"/>
      <c r="G5276" s="396"/>
      <c r="K5276" s="370"/>
      <c r="N5276" s="370"/>
    </row>
    <row r="5277" spans="1:14" s="347" customFormat="1" x14ac:dyDescent="0.25">
      <c r="A5277" s="402">
        <v>44502</v>
      </c>
      <c r="B5277" s="403">
        <f>+MONTH(A5277)</f>
        <v>11</v>
      </c>
      <c r="C5277" s="338">
        <v>115</v>
      </c>
      <c r="D5277" s="340" t="str">
        <f>VLOOKUP(C5277,Plan!A:B,2,0)</f>
        <v>Disponible Cali B.Chile</v>
      </c>
      <c r="E5277" s="341">
        <f>+F5277-G5277</f>
        <v>160000</v>
      </c>
      <c r="F5277" s="346">
        <v>160000</v>
      </c>
      <c r="G5277" s="346">
        <v>0</v>
      </c>
      <c r="H5277" t="s">
        <v>797</v>
      </c>
      <c r="I5277" s="340" t="s">
        <v>131</v>
      </c>
      <c r="K5277" s="370"/>
      <c r="N5277" s="370"/>
    </row>
    <row r="5278" spans="1:14" s="347" customFormat="1" x14ac:dyDescent="0.25">
      <c r="A5278" s="402">
        <f>+A5277</f>
        <v>44502</v>
      </c>
      <c r="B5278" s="403">
        <f>+B5277</f>
        <v>11</v>
      </c>
      <c r="C5278" s="338">
        <v>1217</v>
      </c>
      <c r="D5278" s="340" t="str">
        <f>VLOOKUP(C5278,Plan!A:B,2,0)</f>
        <v>Otros Valores -Oficina y Transferencias (248)</v>
      </c>
      <c r="E5278" s="341">
        <f>+F5278-G5278</f>
        <v>-160000</v>
      </c>
      <c r="F5278" s="346">
        <v>0</v>
      </c>
      <c r="G5278" s="346">
        <f>+F5277</f>
        <v>160000</v>
      </c>
      <c r="H5278" s="338" t="str">
        <f>+H5277</f>
        <v>R. Casas del Valle / 248</v>
      </c>
      <c r="I5278" s="340" t="s">
        <v>131</v>
      </c>
      <c r="K5278" s="370"/>
      <c r="N5278" s="370"/>
    </row>
    <row r="5279" spans="1:14" s="347" customFormat="1" x14ac:dyDescent="0.25">
      <c r="A5279" s="369"/>
      <c r="E5279" s="396"/>
      <c r="F5279" s="396"/>
      <c r="G5279" s="396"/>
      <c r="K5279" s="370"/>
      <c r="N5279" s="370"/>
    </row>
    <row r="5280" spans="1:14" s="347" customFormat="1" x14ac:dyDescent="0.25">
      <c r="A5280" s="402">
        <v>44502</v>
      </c>
      <c r="B5280" s="403">
        <f>+MONTH(A5280)</f>
        <v>11</v>
      </c>
      <c r="C5280" s="338">
        <v>115</v>
      </c>
      <c r="D5280" s="340" t="str">
        <f>VLOOKUP(C5280,Plan!A:B,2,0)</f>
        <v>Disponible Cali B.Chile</v>
      </c>
      <c r="E5280" s="341">
        <f>+F5280-G5280</f>
        <v>85000</v>
      </c>
      <c r="F5280" s="346">
        <v>85000</v>
      </c>
      <c r="G5280" s="346">
        <v>0</v>
      </c>
      <c r="H5280" t="s">
        <v>2325</v>
      </c>
      <c r="I5280" s="340" t="s">
        <v>131</v>
      </c>
      <c r="K5280" s="370"/>
      <c r="N5280" s="370"/>
    </row>
    <row r="5281" spans="1:14" s="347" customFormat="1" x14ac:dyDescent="0.25">
      <c r="A5281" s="402">
        <f>+A5280</f>
        <v>44502</v>
      </c>
      <c r="B5281" s="403">
        <f>+B5280</f>
        <v>11</v>
      </c>
      <c r="C5281" s="338">
        <v>3210</v>
      </c>
      <c r="D5281" s="340" t="str">
        <f>VLOOKUP(C5281,Plan!A:B,2,0)</f>
        <v>Donacion Construccion</v>
      </c>
      <c r="E5281" s="341">
        <f>+F5281-G5281</f>
        <v>-85000</v>
      </c>
      <c r="F5281" s="346">
        <v>0</v>
      </c>
      <c r="G5281" s="346">
        <f>+F5280</f>
        <v>85000</v>
      </c>
      <c r="H5281" s="338" t="str">
        <f>+H5280</f>
        <v>Guillermo Correa Tocornal / Azul</v>
      </c>
      <c r="I5281" s="340" t="s">
        <v>131</v>
      </c>
      <c r="K5281" s="370"/>
      <c r="N5281" s="370"/>
    </row>
    <row r="5282" spans="1:14" s="347" customFormat="1" x14ac:dyDescent="0.25">
      <c r="A5282" s="369"/>
      <c r="E5282" s="396"/>
      <c r="F5282" s="396"/>
      <c r="G5282" s="396"/>
      <c r="K5282" s="370"/>
      <c r="N5282" s="370"/>
    </row>
    <row r="5283" spans="1:14" s="347" customFormat="1" x14ac:dyDescent="0.25">
      <c r="A5283" s="402">
        <v>44502</v>
      </c>
      <c r="B5283" s="403">
        <f>+MONTH(A5283)</f>
        <v>11</v>
      </c>
      <c r="C5283" s="338">
        <v>115</v>
      </c>
      <c r="D5283" s="340" t="str">
        <f>VLOOKUP(C5283,Plan!A:B,2,0)</f>
        <v>Disponible Cali B.Chile</v>
      </c>
      <c r="E5283" s="341">
        <f>+F5283-G5283</f>
        <v>12000</v>
      </c>
      <c r="F5283" s="346">
        <v>12000</v>
      </c>
      <c r="G5283" s="346">
        <v>0</v>
      </c>
      <c r="H5283" t="s">
        <v>1008</v>
      </c>
      <c r="I5283" s="340" t="s">
        <v>131</v>
      </c>
      <c r="K5283" s="370"/>
      <c r="N5283" s="370"/>
    </row>
    <row r="5284" spans="1:14" s="347" customFormat="1" x14ac:dyDescent="0.25">
      <c r="A5284" s="402">
        <f>+A5283</f>
        <v>44502</v>
      </c>
      <c r="B5284" s="403">
        <f>+B5283</f>
        <v>11</v>
      </c>
      <c r="C5284" s="338">
        <v>1222</v>
      </c>
      <c r="D5284" s="340" t="str">
        <f>VLOOKUP(C5284,Plan!A:B,2,0)</f>
        <v>Otros Valores -Oficina y Transferencias (249)</v>
      </c>
      <c r="E5284" s="341">
        <f>+F5284-G5284</f>
        <v>-12000</v>
      </c>
      <c r="F5284" s="346">
        <v>0</v>
      </c>
      <c r="G5284" s="346">
        <f>+F5283</f>
        <v>12000</v>
      </c>
      <c r="H5284" s="338" t="str">
        <f>+H5283</f>
        <v>M.Alejandra de la Lastra J./249</v>
      </c>
      <c r="I5284" s="340" t="s">
        <v>131</v>
      </c>
      <c r="K5284" s="370"/>
      <c r="N5284" s="370"/>
    </row>
    <row r="5285" spans="1:14" s="347" customFormat="1" x14ac:dyDescent="0.25">
      <c r="A5285" s="369"/>
      <c r="E5285" s="396"/>
      <c r="F5285" s="396"/>
      <c r="G5285" s="396"/>
      <c r="K5285" s="370"/>
      <c r="N5285" s="370"/>
    </row>
    <row r="5286" spans="1:14" s="347" customFormat="1" x14ac:dyDescent="0.25">
      <c r="A5286" s="402">
        <v>44502</v>
      </c>
      <c r="B5286" s="403">
        <f>+MONTH(A5286)</f>
        <v>11</v>
      </c>
      <c r="C5286" s="338">
        <v>115</v>
      </c>
      <c r="D5286" s="340" t="str">
        <f>VLOOKUP(C5286,Plan!A:B,2,0)</f>
        <v>Disponible Cali B.Chile</v>
      </c>
      <c r="E5286" s="341">
        <f>+F5286-G5286</f>
        <v>500000</v>
      </c>
      <c r="F5286" s="346">
        <v>500000</v>
      </c>
      <c r="G5286" s="346">
        <v>0</v>
      </c>
      <c r="H5286" t="s">
        <v>2170</v>
      </c>
      <c r="I5286" s="340" t="s">
        <v>131</v>
      </c>
      <c r="K5286" s="370"/>
      <c r="N5286" s="370"/>
    </row>
    <row r="5287" spans="1:14" s="347" customFormat="1" x14ac:dyDescent="0.25">
      <c r="A5287" s="402">
        <f>+A5286</f>
        <v>44502</v>
      </c>
      <c r="B5287" s="403">
        <f>+B5286</f>
        <v>11</v>
      </c>
      <c r="C5287" s="338">
        <v>3210</v>
      </c>
      <c r="D5287" s="340" t="str">
        <f>VLOOKUP(C5287,Plan!A:B,2,0)</f>
        <v>Donacion Construccion</v>
      </c>
      <c r="E5287" s="341">
        <f>+F5287-G5287</f>
        <v>-500000</v>
      </c>
      <c r="F5287" s="346">
        <v>0</v>
      </c>
      <c r="G5287" s="346">
        <f>+F5286</f>
        <v>500000</v>
      </c>
      <c r="H5287" s="338" t="str">
        <f>+H5286</f>
        <v>Pablo Antonio Medina Herrera / Azul</v>
      </c>
      <c r="I5287" s="340" t="s">
        <v>131</v>
      </c>
      <c r="K5287" s="370"/>
      <c r="N5287" s="370"/>
    </row>
    <row r="5288" spans="1:14" s="347" customFormat="1" x14ac:dyDescent="0.25">
      <c r="A5288" s="369"/>
      <c r="E5288" s="396"/>
      <c r="F5288" s="396"/>
      <c r="G5288" s="396"/>
      <c r="K5288" s="370"/>
      <c r="N5288" s="370"/>
    </row>
    <row r="5289" spans="1:14" s="347" customFormat="1" x14ac:dyDescent="0.25">
      <c r="A5289" s="402">
        <v>44502</v>
      </c>
      <c r="B5289" s="403">
        <f>+MONTH(A5289)</f>
        <v>11</v>
      </c>
      <c r="C5289" s="338">
        <v>115</v>
      </c>
      <c r="D5289" s="340" t="str">
        <f>VLOOKUP(C5289,Plan!A:B,2,0)</f>
        <v>Disponible Cali B.Chile</v>
      </c>
      <c r="E5289" s="341">
        <f>+F5289-G5289</f>
        <v>20000</v>
      </c>
      <c r="F5289" s="346">
        <v>20000</v>
      </c>
      <c r="G5289" s="346">
        <v>0</v>
      </c>
      <c r="H5289" t="s">
        <v>1035</v>
      </c>
      <c r="I5289" s="340" t="s">
        <v>131</v>
      </c>
      <c r="K5289" s="370"/>
      <c r="N5289" s="370"/>
    </row>
    <row r="5290" spans="1:14" s="347" customFormat="1" x14ac:dyDescent="0.25">
      <c r="A5290" s="402">
        <f>+A5289</f>
        <v>44502</v>
      </c>
      <c r="B5290" s="403">
        <f>+B5289</f>
        <v>11</v>
      </c>
      <c r="C5290" s="338">
        <v>1217</v>
      </c>
      <c r="D5290" s="340" t="str">
        <f>VLOOKUP(C5290,Plan!A:B,2,0)</f>
        <v>Otros Valores -Oficina y Transferencias (248)</v>
      </c>
      <c r="E5290" s="341">
        <f>+F5290-G5290</f>
        <v>-20000</v>
      </c>
      <c r="F5290" s="346">
        <v>0</v>
      </c>
      <c r="G5290" s="346">
        <f>+F5289</f>
        <v>20000</v>
      </c>
      <c r="H5290" s="338" t="str">
        <f>+H5289</f>
        <v xml:space="preserve">Fabián Rodríguez Ch. / 248 </v>
      </c>
      <c r="I5290" s="340" t="s">
        <v>131</v>
      </c>
      <c r="K5290" s="370"/>
      <c r="N5290" s="370"/>
    </row>
    <row r="5291" spans="1:14" s="347" customFormat="1" x14ac:dyDescent="0.25">
      <c r="A5291" s="369"/>
      <c r="E5291" s="396"/>
      <c r="F5291" s="396"/>
      <c r="G5291" s="396"/>
      <c r="K5291" s="370"/>
      <c r="N5291" s="370"/>
    </row>
    <row r="5292" spans="1:14" s="347" customFormat="1" x14ac:dyDescent="0.25">
      <c r="A5292" s="402">
        <v>44502</v>
      </c>
      <c r="B5292" s="403">
        <f>+MONTH(A5292)</f>
        <v>11</v>
      </c>
      <c r="C5292" s="338">
        <v>115</v>
      </c>
      <c r="D5292" s="340" t="str">
        <f>VLOOKUP(C5292,Plan!A:B,2,0)</f>
        <v>Disponible Cali B.Chile</v>
      </c>
      <c r="E5292" s="341">
        <f>+F5292-G5292</f>
        <v>30000</v>
      </c>
      <c r="F5292" s="346">
        <v>30000</v>
      </c>
      <c r="G5292" s="346">
        <v>0</v>
      </c>
      <c r="H5292" t="s">
        <v>1876</v>
      </c>
      <c r="I5292" s="340" t="s">
        <v>131</v>
      </c>
      <c r="K5292" s="370"/>
      <c r="N5292" s="370"/>
    </row>
    <row r="5293" spans="1:14" s="347" customFormat="1" x14ac:dyDescent="0.25">
      <c r="A5293" s="402">
        <f>+A5292</f>
        <v>44502</v>
      </c>
      <c r="B5293" s="403">
        <f>+B5292</f>
        <v>11</v>
      </c>
      <c r="C5293" s="338">
        <v>1222</v>
      </c>
      <c r="D5293" s="340" t="str">
        <f>VLOOKUP(C5293,Plan!A:B,2,0)</f>
        <v>Otros Valores -Oficina y Transferencias (249)</v>
      </c>
      <c r="E5293" s="341">
        <f>+F5293-G5293</f>
        <v>-30000</v>
      </c>
      <c r="F5293" s="346">
        <v>0</v>
      </c>
      <c r="G5293" s="346">
        <f>+F5292</f>
        <v>30000</v>
      </c>
      <c r="H5293" s="338" t="str">
        <f>+H5292</f>
        <v>Selim Guillermo Abara Elías / 249</v>
      </c>
      <c r="I5293" s="340" t="s">
        <v>131</v>
      </c>
      <c r="K5293" s="370"/>
      <c r="N5293" s="370"/>
    </row>
    <row r="5294" spans="1:14" s="347" customFormat="1" x14ac:dyDescent="0.25">
      <c r="A5294" s="369"/>
      <c r="E5294" s="396"/>
      <c r="F5294" s="396"/>
      <c r="G5294" s="396"/>
      <c r="K5294" s="370"/>
      <c r="N5294" s="370"/>
    </row>
    <row r="5295" spans="1:14" s="347" customFormat="1" x14ac:dyDescent="0.25">
      <c r="A5295" s="402">
        <v>44502</v>
      </c>
      <c r="B5295" s="403">
        <f>+MONTH(A5295)</f>
        <v>11</v>
      </c>
      <c r="C5295" s="338">
        <v>115</v>
      </c>
      <c r="D5295" s="340" t="str">
        <f>VLOOKUP(C5295,Plan!A:B,2,0)</f>
        <v>Disponible Cali B.Chile</v>
      </c>
      <c r="E5295" s="341">
        <f>+F5295-G5295</f>
        <v>10000</v>
      </c>
      <c r="F5295" s="346">
        <v>10000</v>
      </c>
      <c r="G5295" s="346">
        <v>0</v>
      </c>
      <c r="H5295" t="s">
        <v>973</v>
      </c>
      <c r="I5295" s="340" t="s">
        <v>131</v>
      </c>
      <c r="K5295" s="370"/>
      <c r="N5295" s="370"/>
    </row>
    <row r="5296" spans="1:14" s="347" customFormat="1" x14ac:dyDescent="0.25">
      <c r="A5296" s="402">
        <f>+A5295</f>
        <v>44502</v>
      </c>
      <c r="B5296" s="403">
        <f>+B5295</f>
        <v>11</v>
      </c>
      <c r="C5296" s="338">
        <v>1222</v>
      </c>
      <c r="D5296" s="340" t="str">
        <f>VLOOKUP(C5296,Plan!A:B,2,0)</f>
        <v>Otros Valores -Oficina y Transferencias (249)</v>
      </c>
      <c r="E5296" s="341">
        <f>+F5296-G5296</f>
        <v>-10000</v>
      </c>
      <c r="F5296" s="346">
        <v>0</v>
      </c>
      <c r="G5296" s="346">
        <f>+F5295</f>
        <v>10000</v>
      </c>
      <c r="H5296" s="338" t="str">
        <f>+H5295</f>
        <v>Ana María Ugarte / 249</v>
      </c>
      <c r="I5296" s="340" t="s">
        <v>131</v>
      </c>
      <c r="K5296" s="370"/>
      <c r="N5296" s="370"/>
    </row>
    <row r="5297" spans="1:14" s="347" customFormat="1" x14ac:dyDescent="0.25">
      <c r="A5297" s="369"/>
      <c r="E5297" s="396"/>
      <c r="F5297" s="396"/>
      <c r="G5297" s="396"/>
      <c r="K5297" s="370"/>
      <c r="N5297" s="370"/>
    </row>
    <row r="5298" spans="1:14" s="347" customFormat="1" x14ac:dyDescent="0.25">
      <c r="A5298" s="402">
        <v>44502</v>
      </c>
      <c r="B5298" s="403">
        <f>+MONTH(A5298)</f>
        <v>11</v>
      </c>
      <c r="C5298" s="338">
        <v>115</v>
      </c>
      <c r="D5298" s="340" t="str">
        <f>VLOOKUP(C5298,Plan!A:B,2,0)</f>
        <v>Disponible Cali B.Chile</v>
      </c>
      <c r="E5298" s="341">
        <f>+F5298-G5298</f>
        <v>50000</v>
      </c>
      <c r="F5298" s="346">
        <v>50000</v>
      </c>
      <c r="G5298" s="346">
        <v>0</v>
      </c>
      <c r="H5298" t="s">
        <v>974</v>
      </c>
      <c r="I5298" s="340" t="s">
        <v>131</v>
      </c>
      <c r="K5298" s="370"/>
      <c r="N5298" s="370"/>
    </row>
    <row r="5299" spans="1:14" s="347" customFormat="1" x14ac:dyDescent="0.25">
      <c r="A5299" s="402">
        <f>+A5298</f>
        <v>44502</v>
      </c>
      <c r="B5299" s="403">
        <f>+B5298</f>
        <v>11</v>
      </c>
      <c r="C5299" s="338">
        <v>1222</v>
      </c>
      <c r="D5299" s="340" t="str">
        <f>VLOOKUP(C5299,Plan!A:B,2,0)</f>
        <v>Otros Valores -Oficina y Transferencias (249)</v>
      </c>
      <c r="E5299" s="341">
        <f>+F5299-G5299</f>
        <v>-50000</v>
      </c>
      <c r="F5299" s="346">
        <v>0</v>
      </c>
      <c r="G5299" s="346">
        <f>+F5298</f>
        <v>50000</v>
      </c>
      <c r="H5299" s="338" t="str">
        <f>+H5298</f>
        <v>Matías Rafael Ubilla Silva / 249</v>
      </c>
      <c r="I5299" s="340" t="s">
        <v>131</v>
      </c>
      <c r="K5299" s="370"/>
      <c r="N5299" s="370"/>
    </row>
    <row r="5300" spans="1:14" s="347" customFormat="1" x14ac:dyDescent="0.25">
      <c r="A5300" s="369"/>
      <c r="E5300" s="396"/>
      <c r="F5300" s="396"/>
      <c r="G5300" s="396"/>
      <c r="K5300" s="370"/>
      <c r="N5300" s="370"/>
    </row>
    <row r="5301" spans="1:14" s="347" customFormat="1" x14ac:dyDescent="0.25">
      <c r="A5301" s="402">
        <v>44502</v>
      </c>
      <c r="B5301" s="403">
        <f>+MONTH(A5301)</f>
        <v>11</v>
      </c>
      <c r="C5301" s="338">
        <v>115</v>
      </c>
      <c r="D5301" s="340" t="str">
        <f>VLOOKUP(C5301,Plan!A:B,2,0)</f>
        <v>Disponible Cali B.Chile</v>
      </c>
      <c r="E5301" s="341">
        <f>+F5301-G5301</f>
        <v>14000</v>
      </c>
      <c r="F5301" s="346">
        <v>14000</v>
      </c>
      <c r="G5301" s="346">
        <v>0</v>
      </c>
      <c r="H5301" t="s">
        <v>1104</v>
      </c>
      <c r="I5301" s="340" t="s">
        <v>131</v>
      </c>
      <c r="K5301" s="370"/>
      <c r="N5301" s="370"/>
    </row>
    <row r="5302" spans="1:14" s="347" customFormat="1" x14ac:dyDescent="0.25">
      <c r="A5302" s="402">
        <f>+A5301</f>
        <v>44502</v>
      </c>
      <c r="B5302" s="403">
        <f>+B5301</f>
        <v>11</v>
      </c>
      <c r="C5302" s="338">
        <v>3210</v>
      </c>
      <c r="D5302" s="340" t="str">
        <f>VLOOKUP(C5302,Plan!A:B,2,0)</f>
        <v>Donacion Construccion</v>
      </c>
      <c r="E5302" s="341">
        <f>+F5302-G5302</f>
        <v>-14000</v>
      </c>
      <c r="F5302" s="346">
        <v>0</v>
      </c>
      <c r="G5302" s="346">
        <f>+F5301</f>
        <v>14000</v>
      </c>
      <c r="H5302" s="338" t="str">
        <f>+H5301</f>
        <v>María Luisa Ilharreborde Illanes / Azul</v>
      </c>
      <c r="I5302" s="340" t="s">
        <v>131</v>
      </c>
      <c r="K5302" s="370"/>
      <c r="N5302" s="370"/>
    </row>
    <row r="5303" spans="1:14" s="347" customFormat="1" x14ac:dyDescent="0.25">
      <c r="A5303" s="369"/>
      <c r="E5303" s="396"/>
      <c r="F5303" s="396"/>
      <c r="G5303" s="396"/>
      <c r="K5303" s="370"/>
      <c r="N5303" s="370"/>
    </row>
    <row r="5304" spans="1:14" s="347" customFormat="1" x14ac:dyDescent="0.25">
      <c r="A5304" s="402">
        <v>44502</v>
      </c>
      <c r="B5304" s="403">
        <f>+MONTH(A5304)</f>
        <v>11</v>
      </c>
      <c r="C5304" s="338">
        <v>115</v>
      </c>
      <c r="D5304" s="340" t="str">
        <f>VLOOKUP(C5304,Plan!A:B,2,0)</f>
        <v>Disponible Cali B.Chile</v>
      </c>
      <c r="E5304" s="341">
        <f>+F5304-G5304</f>
        <v>30000</v>
      </c>
      <c r="F5304" s="346">
        <v>30000</v>
      </c>
      <c r="G5304" s="346">
        <v>0</v>
      </c>
      <c r="H5304" t="s">
        <v>1026</v>
      </c>
      <c r="I5304" s="340" t="s">
        <v>131</v>
      </c>
      <c r="K5304" s="370"/>
      <c r="N5304" s="370"/>
    </row>
    <row r="5305" spans="1:14" s="347" customFormat="1" x14ac:dyDescent="0.25">
      <c r="A5305" s="402">
        <f>+A5304</f>
        <v>44502</v>
      </c>
      <c r="B5305" s="403">
        <f>+B5304</f>
        <v>11</v>
      </c>
      <c r="C5305" s="338">
        <v>3210</v>
      </c>
      <c r="D5305" s="340" t="str">
        <f>VLOOKUP(C5305,Plan!A:B,2,0)</f>
        <v>Donacion Construccion</v>
      </c>
      <c r="E5305" s="341">
        <f>+F5305-G5305</f>
        <v>-30000</v>
      </c>
      <c r="F5305" s="346">
        <v>0</v>
      </c>
      <c r="G5305" s="346">
        <f>+F5304</f>
        <v>30000</v>
      </c>
      <c r="H5305" s="338" t="str">
        <f>+H5304</f>
        <v>Daniela Lubiano/azul</v>
      </c>
      <c r="I5305" s="340" t="s">
        <v>131</v>
      </c>
      <c r="K5305" s="370"/>
      <c r="N5305" s="370"/>
    </row>
    <row r="5306" spans="1:14" s="347" customFormat="1" x14ac:dyDescent="0.25">
      <c r="A5306" s="369"/>
      <c r="E5306" s="396"/>
      <c r="F5306" s="396"/>
      <c r="G5306" s="396"/>
      <c r="K5306" s="370"/>
      <c r="N5306" s="370"/>
    </row>
    <row r="5307" spans="1:14" s="347" customFormat="1" x14ac:dyDescent="0.25">
      <c r="A5307" s="402">
        <v>44502</v>
      </c>
      <c r="B5307" s="403">
        <f>+MONTH(A5307)</f>
        <v>11</v>
      </c>
      <c r="C5307" s="338">
        <v>115</v>
      </c>
      <c r="D5307" s="340" t="str">
        <f>VLOOKUP(C5307,Plan!A:B,2,0)</f>
        <v>Disponible Cali B.Chile</v>
      </c>
      <c r="E5307" s="341">
        <f>+F5307-G5307</f>
        <v>20000</v>
      </c>
      <c r="F5307" s="346">
        <v>20000</v>
      </c>
      <c r="G5307" s="346">
        <v>0</v>
      </c>
      <c r="H5307" t="s">
        <v>2326</v>
      </c>
      <c r="I5307" s="340" t="s">
        <v>131</v>
      </c>
      <c r="K5307" s="370"/>
      <c r="N5307" s="370"/>
    </row>
    <row r="5308" spans="1:14" s="347" customFormat="1" x14ac:dyDescent="0.25">
      <c r="A5308" s="402">
        <f>+A5307</f>
        <v>44502</v>
      </c>
      <c r="B5308" s="403">
        <f>+B5307</f>
        <v>11</v>
      </c>
      <c r="C5308" s="338">
        <v>1130</v>
      </c>
      <c r="D5308" s="340" t="str">
        <f>VLOOKUP(C5308,Plan!A:B,2,0)</f>
        <v>Disponible Ch. Fecha</v>
      </c>
      <c r="E5308" s="341">
        <f>+F5308-G5308</f>
        <v>-20000</v>
      </c>
      <c r="F5308" s="346">
        <v>0</v>
      </c>
      <c r="G5308" s="346">
        <f>+F5307</f>
        <v>20000</v>
      </c>
      <c r="H5308" s="338" t="str">
        <f>+H5307</f>
        <v>CALI Recaudadora Octubre</v>
      </c>
      <c r="I5308" s="340" t="s">
        <v>131</v>
      </c>
      <c r="K5308" s="370"/>
      <c r="N5308" s="370"/>
    </row>
    <row r="5309" spans="1:14" s="347" customFormat="1" x14ac:dyDescent="0.25">
      <c r="A5309" s="369"/>
      <c r="E5309" s="396"/>
      <c r="F5309" s="396"/>
      <c r="G5309" s="396"/>
      <c r="K5309" s="370"/>
      <c r="N5309" s="370"/>
    </row>
    <row r="5310" spans="1:14" s="347" customFormat="1" x14ac:dyDescent="0.25">
      <c r="A5310" s="402">
        <v>44502</v>
      </c>
      <c r="B5310" s="403">
        <f>+MONTH(A5310)</f>
        <v>11</v>
      </c>
      <c r="C5310" s="338">
        <v>115</v>
      </c>
      <c r="D5310" s="340" t="str">
        <f>VLOOKUP(C5310,Plan!A:B,2,0)</f>
        <v>Disponible Cali B.Chile</v>
      </c>
      <c r="E5310" s="341">
        <f>+F5310-G5310</f>
        <v>65000</v>
      </c>
      <c r="F5310" s="346">
        <v>65000</v>
      </c>
      <c r="G5310" s="346">
        <v>0</v>
      </c>
      <c r="H5310" t="s">
        <v>2326</v>
      </c>
      <c r="I5310" s="340" t="s">
        <v>131</v>
      </c>
      <c r="K5310" s="370"/>
      <c r="N5310" s="370"/>
    </row>
    <row r="5311" spans="1:14" s="347" customFormat="1" x14ac:dyDescent="0.25">
      <c r="A5311" s="402">
        <f>+A5310</f>
        <v>44502</v>
      </c>
      <c r="B5311" s="403">
        <f>+B5310</f>
        <v>11</v>
      </c>
      <c r="C5311" s="338">
        <v>1130</v>
      </c>
      <c r="D5311" s="340" t="str">
        <f>VLOOKUP(C5311,Plan!A:B,2,0)</f>
        <v>Disponible Ch. Fecha</v>
      </c>
      <c r="E5311" s="341">
        <f>+F5311-G5311</f>
        <v>-65000</v>
      </c>
      <c r="F5311" s="346">
        <v>0</v>
      </c>
      <c r="G5311" s="346">
        <f>+F5310</f>
        <v>65000</v>
      </c>
      <c r="H5311" s="338" t="str">
        <f>+H5310</f>
        <v>CALI Recaudadora Octubre</v>
      </c>
      <c r="I5311" s="340" t="s">
        <v>131</v>
      </c>
      <c r="K5311" s="370"/>
      <c r="N5311" s="370"/>
    </row>
    <row r="5312" spans="1:14" s="347" customFormat="1" x14ac:dyDescent="0.25">
      <c r="A5312" s="369"/>
      <c r="E5312" s="396"/>
      <c r="F5312" s="396"/>
      <c r="G5312" s="396"/>
      <c r="K5312" s="370"/>
      <c r="N5312" s="370"/>
    </row>
    <row r="5313" spans="1:14" s="347" customFormat="1" x14ac:dyDescent="0.25">
      <c r="A5313" s="402">
        <v>44502</v>
      </c>
      <c r="B5313" s="403">
        <f>+MONTH(A5313)</f>
        <v>11</v>
      </c>
      <c r="C5313" s="338">
        <v>115</v>
      </c>
      <c r="D5313" s="340" t="str">
        <f>VLOOKUP(C5313,Plan!A:B,2,0)</f>
        <v>Disponible Cali B.Chile</v>
      </c>
      <c r="E5313" s="341">
        <f>+F5313-G5313</f>
        <v>80000</v>
      </c>
      <c r="F5313" s="346">
        <v>80000</v>
      </c>
      <c r="G5313" s="346">
        <v>0</v>
      </c>
      <c r="H5313" t="s">
        <v>2326</v>
      </c>
      <c r="I5313" s="340" t="s">
        <v>131</v>
      </c>
      <c r="K5313" s="370"/>
      <c r="N5313" s="370"/>
    </row>
    <row r="5314" spans="1:14" s="347" customFormat="1" x14ac:dyDescent="0.25">
      <c r="A5314" s="402">
        <f>+A5313</f>
        <v>44502</v>
      </c>
      <c r="B5314" s="403">
        <f>+B5313</f>
        <v>11</v>
      </c>
      <c r="C5314" s="338">
        <v>1130</v>
      </c>
      <c r="D5314" s="340" t="str">
        <f>VLOOKUP(C5314,Plan!A:B,2,0)</f>
        <v>Disponible Ch. Fecha</v>
      </c>
      <c r="E5314" s="341">
        <f>+F5314-G5314</f>
        <v>-80000</v>
      </c>
      <c r="F5314" s="346">
        <v>0</v>
      </c>
      <c r="G5314" s="346">
        <f>+F5313</f>
        <v>80000</v>
      </c>
      <c r="H5314" s="338" t="str">
        <f>+H5313</f>
        <v>CALI Recaudadora Octubre</v>
      </c>
      <c r="I5314" s="340" t="s">
        <v>131</v>
      </c>
      <c r="K5314" s="370"/>
      <c r="N5314" s="370"/>
    </row>
    <row r="5315" spans="1:14" s="347" customFormat="1" x14ac:dyDescent="0.25">
      <c r="A5315" s="369"/>
      <c r="E5315" s="396"/>
      <c r="F5315" s="396"/>
      <c r="G5315" s="396"/>
      <c r="K5315" s="370"/>
      <c r="N5315" s="370"/>
    </row>
    <row r="5316" spans="1:14" s="347" customFormat="1" x14ac:dyDescent="0.25">
      <c r="A5316" s="402">
        <v>44502</v>
      </c>
      <c r="B5316" s="403">
        <f>+MONTH(A5316)</f>
        <v>11</v>
      </c>
      <c r="C5316" s="338">
        <v>115</v>
      </c>
      <c r="D5316" s="340" t="str">
        <f>VLOOKUP(C5316,Plan!A:B,2,0)</f>
        <v>Disponible Cali B.Chile</v>
      </c>
      <c r="E5316" s="341">
        <f>+F5316-G5316</f>
        <v>30000</v>
      </c>
      <c r="F5316" s="346">
        <v>30000</v>
      </c>
      <c r="G5316" s="346">
        <v>0</v>
      </c>
      <c r="H5316" t="s">
        <v>1669</v>
      </c>
      <c r="I5316" s="340" t="s">
        <v>131</v>
      </c>
      <c r="K5316" s="370"/>
      <c r="N5316" s="370"/>
    </row>
    <row r="5317" spans="1:14" s="347" customFormat="1" x14ac:dyDescent="0.25">
      <c r="A5317" s="402">
        <f>+A5316</f>
        <v>44502</v>
      </c>
      <c r="B5317" s="403">
        <f>+B5316</f>
        <v>11</v>
      </c>
      <c r="C5317" s="338">
        <v>1222</v>
      </c>
      <c r="D5317" s="340" t="str">
        <f>VLOOKUP(C5317,Plan!A:B,2,0)</f>
        <v>Otros Valores -Oficina y Transferencias (249)</v>
      </c>
      <c r="E5317" s="341">
        <f>+F5317-G5317</f>
        <v>-30000</v>
      </c>
      <c r="F5317" s="346">
        <v>0</v>
      </c>
      <c r="G5317" s="346">
        <f>+F5316</f>
        <v>30000</v>
      </c>
      <c r="H5317" s="338" t="str">
        <f>+H5316</f>
        <v>Carlos Enrique Blanco Plummer / 249</v>
      </c>
      <c r="I5317" s="340" t="s">
        <v>131</v>
      </c>
      <c r="K5317" s="370"/>
      <c r="N5317" s="370"/>
    </row>
    <row r="5318" spans="1:14" s="347" customFormat="1" x14ac:dyDescent="0.25">
      <c r="A5318" s="369"/>
      <c r="E5318" s="396"/>
      <c r="F5318" s="396"/>
      <c r="G5318" s="396"/>
      <c r="K5318" s="370"/>
      <c r="N5318" s="370"/>
    </row>
    <row r="5319" spans="1:14" s="347" customFormat="1" x14ac:dyDescent="0.25">
      <c r="A5319" s="402">
        <v>44502</v>
      </c>
      <c r="B5319" s="403">
        <f>+MONTH(A5319)</f>
        <v>11</v>
      </c>
      <c r="C5319" s="338">
        <v>115</v>
      </c>
      <c r="D5319" s="340" t="str">
        <f>VLOOKUP(C5319,Plan!A:B,2,0)</f>
        <v>Disponible Cali B.Chile</v>
      </c>
      <c r="E5319" s="341">
        <f>+F5319-G5319</f>
        <v>20000</v>
      </c>
      <c r="F5319" s="346">
        <v>20000</v>
      </c>
      <c r="G5319" s="346">
        <v>0</v>
      </c>
      <c r="H5319" t="s">
        <v>1056</v>
      </c>
      <c r="I5319" s="340" t="s">
        <v>131</v>
      </c>
      <c r="K5319" s="370"/>
      <c r="N5319" s="370"/>
    </row>
    <row r="5320" spans="1:14" s="347" customFormat="1" x14ac:dyDescent="0.25">
      <c r="A5320" s="402">
        <f>+A5319</f>
        <v>44502</v>
      </c>
      <c r="B5320" s="403">
        <f>+B5319</f>
        <v>11</v>
      </c>
      <c r="C5320" s="338">
        <v>1222</v>
      </c>
      <c r="D5320" s="340" t="str">
        <f>VLOOKUP(C5320,Plan!A:B,2,0)</f>
        <v>Otros Valores -Oficina y Transferencias (249)</v>
      </c>
      <c r="E5320" s="341">
        <f>+F5320-G5320</f>
        <v>-20000</v>
      </c>
      <c r="F5320" s="346">
        <v>0</v>
      </c>
      <c r="G5320" s="346">
        <f>+F5319</f>
        <v>20000</v>
      </c>
      <c r="H5320" s="338" t="str">
        <f>+H5319</f>
        <v>María José Muñoz Reinoso / 249</v>
      </c>
      <c r="I5320" s="340" t="s">
        <v>131</v>
      </c>
      <c r="K5320" s="370"/>
      <c r="N5320" s="370"/>
    </row>
    <row r="5321" spans="1:14" s="347" customFormat="1" x14ac:dyDescent="0.25">
      <c r="A5321" s="369"/>
      <c r="E5321" s="396"/>
      <c r="F5321" s="396"/>
      <c r="G5321" s="396"/>
      <c r="K5321" s="370"/>
      <c r="N5321" s="370"/>
    </row>
    <row r="5322" spans="1:14" s="347" customFormat="1" x14ac:dyDescent="0.25">
      <c r="A5322" s="402">
        <v>44503</v>
      </c>
      <c r="B5322" s="403">
        <f>+MONTH(A5322)</f>
        <v>11</v>
      </c>
      <c r="C5322" s="338">
        <v>115</v>
      </c>
      <c r="D5322" s="340" t="str">
        <f>VLOOKUP(C5322,Plan!A:B,2,0)</f>
        <v>Disponible Cali B.Chile</v>
      </c>
      <c r="E5322" s="341">
        <f>+F5322-G5322</f>
        <v>100000</v>
      </c>
      <c r="F5322" s="346">
        <v>100000</v>
      </c>
      <c r="G5322" s="346">
        <v>0</v>
      </c>
      <c r="H5322" t="s">
        <v>1726</v>
      </c>
      <c r="I5322" s="340" t="s">
        <v>131</v>
      </c>
      <c r="K5322" s="370"/>
      <c r="N5322" s="370"/>
    </row>
    <row r="5323" spans="1:14" s="347" customFormat="1" x14ac:dyDescent="0.25">
      <c r="A5323" s="402">
        <f>+A5322</f>
        <v>44503</v>
      </c>
      <c r="B5323" s="403">
        <f>+B5322</f>
        <v>11</v>
      </c>
      <c r="C5323" s="338">
        <v>3210</v>
      </c>
      <c r="D5323" s="340" t="str">
        <f>VLOOKUP(C5323,Plan!A:B,2,0)</f>
        <v>Donacion Construccion</v>
      </c>
      <c r="E5323" s="341">
        <f>+F5323-G5323</f>
        <v>-100000</v>
      </c>
      <c r="F5323" s="346">
        <v>0</v>
      </c>
      <c r="G5323" s="346">
        <f>+F5322</f>
        <v>100000</v>
      </c>
      <c r="H5323" s="338" t="str">
        <f>+H5322</f>
        <v>Juan Carlos Latorre Díaz / Azul</v>
      </c>
      <c r="I5323" s="340" t="s">
        <v>131</v>
      </c>
      <c r="K5323" s="370"/>
      <c r="N5323" s="370"/>
    </row>
    <row r="5324" spans="1:14" s="347" customFormat="1" x14ac:dyDescent="0.25">
      <c r="A5324" s="369"/>
      <c r="E5324" s="396"/>
      <c r="F5324" s="396"/>
      <c r="G5324" s="396"/>
      <c r="K5324" s="370"/>
      <c r="N5324" s="370"/>
    </row>
    <row r="5325" spans="1:14" s="347" customFormat="1" x14ac:dyDescent="0.25">
      <c r="A5325" s="402">
        <v>44503</v>
      </c>
      <c r="B5325" s="403">
        <f>+MONTH(A5325)</f>
        <v>11</v>
      </c>
      <c r="C5325" s="338">
        <v>115</v>
      </c>
      <c r="D5325" s="340" t="str">
        <f>VLOOKUP(C5325,Plan!A:B,2,0)</f>
        <v>Disponible Cali B.Chile</v>
      </c>
      <c r="E5325" s="341">
        <f>+F5325-G5325</f>
        <v>25000</v>
      </c>
      <c r="F5325" s="346">
        <v>25000</v>
      </c>
      <c r="G5325" s="346">
        <v>0</v>
      </c>
      <c r="H5325" t="s">
        <v>1413</v>
      </c>
      <c r="I5325" s="340" t="s">
        <v>131</v>
      </c>
      <c r="K5325" s="370"/>
      <c r="N5325" s="370"/>
    </row>
    <row r="5326" spans="1:14" s="347" customFormat="1" x14ac:dyDescent="0.25">
      <c r="A5326" s="402">
        <f>+A5325</f>
        <v>44503</v>
      </c>
      <c r="B5326" s="403">
        <f>+B5325</f>
        <v>11</v>
      </c>
      <c r="C5326" s="338">
        <v>1217</v>
      </c>
      <c r="D5326" s="340" t="str">
        <f>VLOOKUP(C5326,Plan!A:B,2,0)</f>
        <v>Otros Valores -Oficina y Transferencias (248)</v>
      </c>
      <c r="E5326" s="341">
        <f>+F5326-G5326</f>
        <v>-25000</v>
      </c>
      <c r="F5326" s="346">
        <v>0</v>
      </c>
      <c r="G5326" s="346">
        <f>+F5325</f>
        <v>25000</v>
      </c>
      <c r="H5326" s="338" t="str">
        <f>+H5325</f>
        <v>María Macarena Besa Prieto/248</v>
      </c>
      <c r="I5326" s="340" t="s">
        <v>131</v>
      </c>
      <c r="K5326" s="370"/>
      <c r="N5326" s="370"/>
    </row>
    <row r="5327" spans="1:14" s="347" customFormat="1" x14ac:dyDescent="0.25">
      <c r="A5327" s="369"/>
      <c r="E5327" s="396"/>
      <c r="F5327" s="396"/>
      <c r="G5327" s="396"/>
      <c r="K5327" s="370"/>
      <c r="N5327" s="370"/>
    </row>
    <row r="5328" spans="1:14" s="347" customFormat="1" x14ac:dyDescent="0.25">
      <c r="A5328" s="402">
        <v>44503</v>
      </c>
      <c r="B5328" s="403">
        <f>+MONTH(A5328)</f>
        <v>11</v>
      </c>
      <c r="C5328" s="338">
        <v>115</v>
      </c>
      <c r="D5328" s="340" t="str">
        <f>VLOOKUP(C5328,Plan!A:B,2,0)</f>
        <v>Disponible Cali B.Chile</v>
      </c>
      <c r="E5328" s="341">
        <f>+F5328-G5328</f>
        <v>50000</v>
      </c>
      <c r="F5328" s="346">
        <v>50000</v>
      </c>
      <c r="G5328" s="346">
        <v>0</v>
      </c>
      <c r="H5328" t="s">
        <v>2161</v>
      </c>
      <c r="I5328" s="340" t="s">
        <v>131</v>
      </c>
      <c r="K5328" s="370"/>
      <c r="N5328" s="370"/>
    </row>
    <row r="5329" spans="1:14" s="347" customFormat="1" x14ac:dyDescent="0.25">
      <c r="A5329" s="402">
        <f>+A5328</f>
        <v>44503</v>
      </c>
      <c r="B5329" s="403">
        <f>+B5328</f>
        <v>11</v>
      </c>
      <c r="C5329" s="338">
        <v>3210</v>
      </c>
      <c r="D5329" s="340" t="str">
        <f>VLOOKUP(C5329,Plan!A:B,2,0)</f>
        <v>Donacion Construccion</v>
      </c>
      <c r="E5329" s="341">
        <f>+F5329-G5329</f>
        <v>-50000</v>
      </c>
      <c r="F5329" s="346">
        <v>0</v>
      </c>
      <c r="G5329" s="346">
        <f>+F5328</f>
        <v>50000</v>
      </c>
      <c r="H5329" s="338" t="str">
        <f>+H5328</f>
        <v>Juan Bautista Duhart Charles / Azul</v>
      </c>
      <c r="I5329" s="340" t="s">
        <v>131</v>
      </c>
      <c r="K5329" s="370"/>
      <c r="N5329" s="370"/>
    </row>
    <row r="5330" spans="1:14" s="347" customFormat="1" x14ac:dyDescent="0.25">
      <c r="A5330" s="369"/>
      <c r="E5330" s="396"/>
      <c r="F5330" s="396"/>
      <c r="G5330" s="396"/>
      <c r="K5330" s="370"/>
      <c r="N5330" s="370"/>
    </row>
    <row r="5331" spans="1:14" s="347" customFormat="1" x14ac:dyDescent="0.25">
      <c r="A5331" s="402">
        <v>44503</v>
      </c>
      <c r="B5331" s="403">
        <f>+MONTH(A5331)</f>
        <v>11</v>
      </c>
      <c r="C5331" s="338">
        <v>115</v>
      </c>
      <c r="D5331" s="340" t="str">
        <f>VLOOKUP(C5331,Plan!A:B,2,0)</f>
        <v>Disponible Cali B.Chile</v>
      </c>
      <c r="E5331" s="341">
        <f>+F5331-G5331</f>
        <v>60000</v>
      </c>
      <c r="F5331" s="346">
        <v>60000</v>
      </c>
      <c r="G5331" s="346">
        <v>0</v>
      </c>
      <c r="H5331" t="s">
        <v>1724</v>
      </c>
      <c r="I5331" s="340" t="s">
        <v>131</v>
      </c>
      <c r="K5331" s="370"/>
      <c r="N5331" s="370"/>
    </row>
    <row r="5332" spans="1:14" s="347" customFormat="1" x14ac:dyDescent="0.25">
      <c r="A5332" s="402">
        <f>+A5331</f>
        <v>44503</v>
      </c>
      <c r="B5332" s="403">
        <f>+B5331</f>
        <v>11</v>
      </c>
      <c r="C5332" s="338">
        <v>1222</v>
      </c>
      <c r="D5332" s="340" t="str">
        <f>VLOOKUP(C5332,Plan!A:B,2,0)</f>
        <v>Otros Valores -Oficina y Transferencias (249)</v>
      </c>
      <c r="E5332" s="341">
        <f>+F5332-G5332</f>
        <v>-60000</v>
      </c>
      <c r="F5332" s="346">
        <v>0</v>
      </c>
      <c r="G5332" s="346">
        <f>+F5331</f>
        <v>60000</v>
      </c>
      <c r="H5332" s="338" t="str">
        <f>+H5331</f>
        <v>Patricio Oelckers Álvarez / 249</v>
      </c>
      <c r="I5332" s="340" t="s">
        <v>131</v>
      </c>
      <c r="K5332" s="370"/>
      <c r="N5332" s="370"/>
    </row>
    <row r="5333" spans="1:14" s="347" customFormat="1" x14ac:dyDescent="0.25">
      <c r="A5333" s="369"/>
      <c r="E5333" s="396"/>
      <c r="F5333" s="396"/>
      <c r="G5333" s="396"/>
      <c r="K5333" s="370"/>
      <c r="N5333" s="370"/>
    </row>
    <row r="5334" spans="1:14" s="347" customFormat="1" x14ac:dyDescent="0.25">
      <c r="A5334" s="402">
        <v>44503</v>
      </c>
      <c r="B5334" s="403">
        <f>+MONTH(A5334)</f>
        <v>11</v>
      </c>
      <c r="C5334" s="338">
        <v>115</v>
      </c>
      <c r="D5334" s="340" t="str">
        <f>VLOOKUP(C5334,Plan!A:B,2,0)</f>
        <v>Disponible Cali B.Chile</v>
      </c>
      <c r="E5334" s="341">
        <f>+F5334-G5334</f>
        <v>12000</v>
      </c>
      <c r="F5334" s="346">
        <v>12000</v>
      </c>
      <c r="G5334" s="346">
        <v>0</v>
      </c>
      <c r="H5334" t="s">
        <v>1673</v>
      </c>
      <c r="I5334" s="340" t="s">
        <v>131</v>
      </c>
      <c r="K5334" s="370"/>
      <c r="N5334" s="370"/>
    </row>
    <row r="5335" spans="1:14" s="347" customFormat="1" x14ac:dyDescent="0.25">
      <c r="A5335" s="402">
        <f>+A5334</f>
        <v>44503</v>
      </c>
      <c r="B5335" s="403">
        <f>+B5334</f>
        <v>11</v>
      </c>
      <c r="C5335" s="338">
        <v>1222</v>
      </c>
      <c r="D5335" s="340" t="str">
        <f>VLOOKUP(C5335,Plan!A:B,2,0)</f>
        <v>Otros Valores -Oficina y Transferencias (249)</v>
      </c>
      <c r="E5335" s="341">
        <f>+F5335-G5335</f>
        <v>-12000</v>
      </c>
      <c r="F5335" s="346">
        <v>0</v>
      </c>
      <c r="G5335" s="346">
        <f>+F5334</f>
        <v>12000</v>
      </c>
      <c r="H5335" s="338" t="str">
        <f>+H5334</f>
        <v xml:space="preserve">Martín Fuenzalida Izquierdo / 249 </v>
      </c>
      <c r="I5335" s="340" t="s">
        <v>131</v>
      </c>
      <c r="K5335" s="370"/>
      <c r="N5335" s="370"/>
    </row>
    <row r="5336" spans="1:14" s="347" customFormat="1" x14ac:dyDescent="0.25">
      <c r="A5336" s="369"/>
      <c r="E5336" s="396"/>
      <c r="F5336" s="396"/>
      <c r="G5336" s="396"/>
      <c r="K5336" s="370"/>
      <c r="N5336" s="370"/>
    </row>
    <row r="5337" spans="1:14" s="347" customFormat="1" x14ac:dyDescent="0.25">
      <c r="A5337" s="402">
        <v>44503</v>
      </c>
      <c r="B5337" s="403">
        <f>+MONTH(A5337)</f>
        <v>11</v>
      </c>
      <c r="C5337" s="338">
        <v>115</v>
      </c>
      <c r="D5337" s="340" t="str">
        <f>VLOOKUP(C5337,Plan!A:B,2,0)</f>
        <v>Disponible Cali B.Chile</v>
      </c>
      <c r="E5337" s="341">
        <f>+F5337-G5337</f>
        <v>30000</v>
      </c>
      <c r="F5337" s="346">
        <v>30000</v>
      </c>
      <c r="G5337" s="346">
        <v>0</v>
      </c>
      <c r="H5337" t="s">
        <v>996</v>
      </c>
      <c r="I5337" s="340" t="s">
        <v>131</v>
      </c>
      <c r="K5337" s="370"/>
      <c r="N5337" s="370"/>
    </row>
    <row r="5338" spans="1:14" s="347" customFormat="1" x14ac:dyDescent="0.25">
      <c r="A5338" s="402">
        <f>+A5337</f>
        <v>44503</v>
      </c>
      <c r="B5338" s="403">
        <f>+B5337</f>
        <v>11</v>
      </c>
      <c r="C5338" s="338">
        <v>3210</v>
      </c>
      <c r="D5338" s="340" t="str">
        <f>VLOOKUP(C5338,Plan!A:B,2,0)</f>
        <v>Donacion Construccion</v>
      </c>
      <c r="E5338" s="341">
        <f>+F5338-G5338</f>
        <v>-30000</v>
      </c>
      <c r="F5338" s="346">
        <v>0</v>
      </c>
      <c r="G5338" s="346">
        <f>+F5337</f>
        <v>30000</v>
      </c>
      <c r="H5338" s="338" t="str">
        <f>+H5337</f>
        <v>Patrick Reginald Horn Garcia / Azul</v>
      </c>
      <c r="I5338" s="340" t="s">
        <v>131</v>
      </c>
      <c r="K5338" s="370"/>
      <c r="N5338" s="370"/>
    </row>
    <row r="5339" spans="1:14" s="347" customFormat="1" x14ac:dyDescent="0.25">
      <c r="A5339" s="369"/>
      <c r="E5339" s="396"/>
      <c r="F5339" s="396"/>
      <c r="G5339" s="396"/>
      <c r="K5339" s="370"/>
      <c r="N5339" s="370"/>
    </row>
    <row r="5340" spans="1:14" s="347" customFormat="1" x14ac:dyDescent="0.25">
      <c r="A5340" s="402">
        <v>44503</v>
      </c>
      <c r="B5340" s="403">
        <f>+MONTH(A5340)</f>
        <v>11</v>
      </c>
      <c r="C5340" s="338">
        <v>115</v>
      </c>
      <c r="D5340" s="340" t="str">
        <f>VLOOKUP(C5340,Plan!A:B,2,0)</f>
        <v>Disponible Cali B.Chile</v>
      </c>
      <c r="E5340" s="341">
        <f>+F5340-G5340</f>
        <v>70000</v>
      </c>
      <c r="F5340" s="346">
        <v>70000</v>
      </c>
      <c r="G5340" s="346">
        <v>0</v>
      </c>
      <c r="H5340" t="s">
        <v>997</v>
      </c>
      <c r="I5340" s="340" t="s">
        <v>131</v>
      </c>
      <c r="K5340" s="370"/>
      <c r="N5340" s="370"/>
    </row>
    <row r="5341" spans="1:14" s="347" customFormat="1" x14ac:dyDescent="0.25">
      <c r="A5341" s="402">
        <f>+A5340</f>
        <v>44503</v>
      </c>
      <c r="B5341" s="403">
        <f>+B5340</f>
        <v>11</v>
      </c>
      <c r="C5341" s="338">
        <v>1222</v>
      </c>
      <c r="D5341" s="340" t="str">
        <f>VLOOKUP(C5341,Plan!A:B,2,0)</f>
        <v>Otros Valores -Oficina y Transferencias (249)</v>
      </c>
      <c r="E5341" s="341">
        <f>+F5341-G5341</f>
        <v>-70000</v>
      </c>
      <c r="F5341" s="346">
        <v>0</v>
      </c>
      <c r="G5341" s="346">
        <f>+F5340</f>
        <v>70000</v>
      </c>
      <c r="H5341" s="338" t="str">
        <f>+H5340</f>
        <v>Alberto Altermatt C. / 249</v>
      </c>
      <c r="I5341" s="340" t="s">
        <v>131</v>
      </c>
      <c r="K5341" s="370"/>
      <c r="N5341" s="370"/>
    </row>
    <row r="5342" spans="1:14" s="347" customFormat="1" x14ac:dyDescent="0.25">
      <c r="A5342" s="369"/>
      <c r="E5342" s="396"/>
      <c r="F5342" s="396"/>
      <c r="G5342" s="396"/>
      <c r="K5342" s="370"/>
      <c r="N5342" s="370"/>
    </row>
    <row r="5343" spans="1:14" s="347" customFormat="1" x14ac:dyDescent="0.25">
      <c r="A5343" s="402">
        <v>44503</v>
      </c>
      <c r="B5343" s="403">
        <f>+MONTH(A5343)</f>
        <v>11</v>
      </c>
      <c r="C5343" s="338">
        <v>115</v>
      </c>
      <c r="D5343" s="340" t="str">
        <f>VLOOKUP(C5343,Plan!A:B,2,0)</f>
        <v>Disponible Cali B.Chile</v>
      </c>
      <c r="E5343" s="341">
        <f>+F5343-G5343</f>
        <v>36000</v>
      </c>
      <c r="F5343" s="346">
        <v>36000</v>
      </c>
      <c r="G5343" s="346">
        <v>0</v>
      </c>
      <c r="H5343" t="s">
        <v>2327</v>
      </c>
      <c r="I5343" s="340" t="s">
        <v>131</v>
      </c>
      <c r="K5343" s="370"/>
      <c r="N5343" s="370"/>
    </row>
    <row r="5344" spans="1:14" s="347" customFormat="1" x14ac:dyDescent="0.25">
      <c r="A5344" s="402">
        <f>+A5343</f>
        <v>44503</v>
      </c>
      <c r="B5344" s="403">
        <f>+B5343</f>
        <v>11</v>
      </c>
      <c r="C5344" s="338">
        <v>1217</v>
      </c>
      <c r="D5344" s="340" t="str">
        <f>VLOOKUP(C5344,Plan!A:B,2,0)</f>
        <v>Otros Valores -Oficina y Transferencias (248)</v>
      </c>
      <c r="E5344" s="341">
        <f>+F5344-G5344</f>
        <v>-36000</v>
      </c>
      <c r="F5344" s="346">
        <v>0</v>
      </c>
      <c r="G5344" s="346">
        <f>+F5343</f>
        <v>36000</v>
      </c>
      <c r="H5344" s="338" t="str">
        <f>+H5343</f>
        <v>Pablo Eyzaguirre Chadwick/248 (O-N-D)</v>
      </c>
      <c r="I5344" s="340" t="s">
        <v>131</v>
      </c>
      <c r="K5344" s="370"/>
      <c r="N5344" s="370"/>
    </row>
    <row r="5345" spans="1:14" s="347" customFormat="1" x14ac:dyDescent="0.25">
      <c r="A5345" s="369"/>
      <c r="E5345" s="396"/>
      <c r="F5345" s="396"/>
      <c r="G5345" s="396"/>
      <c r="K5345" s="370"/>
      <c r="N5345" s="370"/>
    </row>
    <row r="5346" spans="1:14" s="347" customFormat="1" x14ac:dyDescent="0.25">
      <c r="A5346" s="402">
        <v>44503</v>
      </c>
      <c r="B5346" s="403">
        <f>+MONTH(A5346)</f>
        <v>11</v>
      </c>
      <c r="C5346" s="338">
        <v>115</v>
      </c>
      <c r="D5346" s="340" t="str">
        <f>VLOOKUP(C5346,Plan!A:B,2,0)</f>
        <v>Disponible Cali B.Chile</v>
      </c>
      <c r="E5346" s="341">
        <f>+F5346-G5346</f>
        <v>50000</v>
      </c>
      <c r="F5346" s="346">
        <v>50000</v>
      </c>
      <c r="G5346" s="346">
        <v>0</v>
      </c>
      <c r="H5346" t="s">
        <v>995</v>
      </c>
      <c r="I5346" s="340" t="s">
        <v>131</v>
      </c>
      <c r="K5346" s="370"/>
      <c r="N5346" s="370"/>
    </row>
    <row r="5347" spans="1:14" s="347" customFormat="1" x14ac:dyDescent="0.25">
      <c r="A5347" s="402">
        <f>+A5346</f>
        <v>44503</v>
      </c>
      <c r="B5347" s="403">
        <f>+B5346</f>
        <v>11</v>
      </c>
      <c r="C5347" s="338">
        <v>1222</v>
      </c>
      <c r="D5347" s="340" t="str">
        <f>VLOOKUP(C5347,Plan!A:B,2,0)</f>
        <v>Otros Valores -Oficina y Transferencias (249)</v>
      </c>
      <c r="E5347" s="341">
        <f>+F5347-G5347</f>
        <v>-50000</v>
      </c>
      <c r="F5347" s="346">
        <v>0</v>
      </c>
      <c r="G5347" s="346">
        <f>+F5346</f>
        <v>50000</v>
      </c>
      <c r="H5347" s="338" t="str">
        <f>+H5346</f>
        <v>Francisco Salazar González / 249</v>
      </c>
      <c r="I5347" s="340" t="s">
        <v>131</v>
      </c>
      <c r="K5347" s="370"/>
      <c r="N5347" s="370"/>
    </row>
    <row r="5348" spans="1:14" s="347" customFormat="1" x14ac:dyDescent="0.25">
      <c r="A5348" s="369"/>
      <c r="E5348" s="396"/>
      <c r="F5348" s="396"/>
      <c r="G5348" s="396"/>
      <c r="K5348" s="370"/>
      <c r="N5348" s="370"/>
    </row>
    <row r="5349" spans="1:14" s="347" customFormat="1" x14ac:dyDescent="0.25">
      <c r="A5349" s="402">
        <v>44503</v>
      </c>
      <c r="B5349" s="403">
        <f>+MONTH(A5349)</f>
        <v>11</v>
      </c>
      <c r="C5349" s="338">
        <v>115</v>
      </c>
      <c r="D5349" s="340" t="str">
        <f>VLOOKUP(C5349,Plan!A:B,2,0)</f>
        <v>Disponible Cali B.Chile</v>
      </c>
      <c r="E5349" s="341">
        <f>+F5349-G5349</f>
        <v>30000</v>
      </c>
      <c r="F5349" s="346">
        <v>30000</v>
      </c>
      <c r="G5349" s="346">
        <v>0</v>
      </c>
      <c r="H5349" t="s">
        <v>2328</v>
      </c>
      <c r="I5349" s="340" t="s">
        <v>131</v>
      </c>
      <c r="K5349" s="370"/>
      <c r="N5349" s="370"/>
    </row>
    <row r="5350" spans="1:14" s="347" customFormat="1" x14ac:dyDescent="0.25">
      <c r="A5350" s="402">
        <f>+A5349</f>
        <v>44503</v>
      </c>
      <c r="B5350" s="403">
        <f>+B5349</f>
        <v>11</v>
      </c>
      <c r="C5350" s="338">
        <v>1222</v>
      </c>
      <c r="D5350" s="340" t="str">
        <f>VLOOKUP(C5350,Plan!A:B,2,0)</f>
        <v>Otros Valores -Oficina y Transferencias (249)</v>
      </c>
      <c r="E5350" s="341">
        <f>+F5350-G5350</f>
        <v>-30000</v>
      </c>
      <c r="F5350" s="346">
        <v>0</v>
      </c>
      <c r="G5350" s="346">
        <f>+F5349</f>
        <v>30000</v>
      </c>
      <c r="H5350" s="338" t="str">
        <f>+H5349</f>
        <v>Wilfred Arturo Spikin Valdivia / 249</v>
      </c>
      <c r="I5350" s="340" t="s">
        <v>131</v>
      </c>
      <c r="K5350" s="370"/>
      <c r="N5350" s="370"/>
    </row>
    <row r="5351" spans="1:14" s="347" customFormat="1" x14ac:dyDescent="0.25">
      <c r="A5351" s="369"/>
      <c r="E5351" s="396"/>
      <c r="F5351" s="396"/>
      <c r="G5351" s="396"/>
      <c r="K5351" s="370"/>
      <c r="N5351" s="370"/>
    </row>
    <row r="5352" spans="1:14" s="347" customFormat="1" x14ac:dyDescent="0.25">
      <c r="A5352" s="402">
        <v>44503</v>
      </c>
      <c r="B5352" s="403">
        <f>+MONTH(A5352)</f>
        <v>11</v>
      </c>
      <c r="C5352" s="338">
        <v>115</v>
      </c>
      <c r="D5352" s="340" t="str">
        <f>VLOOKUP(C5352,Plan!A:B,2,0)</f>
        <v>Disponible Cali B.Chile</v>
      </c>
      <c r="E5352" s="341">
        <f>+F5352-G5352</f>
        <v>30000</v>
      </c>
      <c r="F5352" s="346">
        <v>30000</v>
      </c>
      <c r="G5352" s="346">
        <v>0</v>
      </c>
      <c r="H5352" t="s">
        <v>1990</v>
      </c>
      <c r="I5352" s="340" t="s">
        <v>131</v>
      </c>
      <c r="K5352" s="370"/>
      <c r="N5352" s="370"/>
    </row>
    <row r="5353" spans="1:14" s="347" customFormat="1" x14ac:dyDescent="0.25">
      <c r="A5353" s="402">
        <f>+A5352</f>
        <v>44503</v>
      </c>
      <c r="B5353" s="403">
        <f>+B5352</f>
        <v>11</v>
      </c>
      <c r="C5353" s="338">
        <v>1222</v>
      </c>
      <c r="D5353" s="340" t="str">
        <f>VLOOKUP(C5353,Plan!A:B,2,0)</f>
        <v>Otros Valores -Oficina y Transferencias (249)</v>
      </c>
      <c r="E5353" s="341">
        <f>+F5353-G5353</f>
        <v>-30000</v>
      </c>
      <c r="F5353" s="346">
        <v>0</v>
      </c>
      <c r="G5353" s="346">
        <f>+F5352</f>
        <v>30000</v>
      </c>
      <c r="H5353" s="338" t="str">
        <f>+H5352</f>
        <v>Renato Guidio Rezende de Castro/ 249</v>
      </c>
      <c r="I5353" s="340" t="s">
        <v>131</v>
      </c>
      <c r="K5353" s="370"/>
      <c r="N5353" s="370"/>
    </row>
    <row r="5354" spans="1:14" s="347" customFormat="1" x14ac:dyDescent="0.25">
      <c r="A5354" s="369"/>
      <c r="E5354" s="396"/>
      <c r="F5354" s="396"/>
      <c r="G5354" s="396"/>
      <c r="K5354" s="370"/>
      <c r="N5354" s="370"/>
    </row>
    <row r="5355" spans="1:14" s="347" customFormat="1" x14ac:dyDescent="0.25">
      <c r="A5355" s="402">
        <v>44504</v>
      </c>
      <c r="B5355" s="403">
        <f>+MONTH(A5355)</f>
        <v>11</v>
      </c>
      <c r="C5355" s="338">
        <v>115</v>
      </c>
      <c r="D5355" s="340" t="str">
        <f>VLOOKUP(C5355,Plan!A:B,2,0)</f>
        <v>Disponible Cali B.Chile</v>
      </c>
      <c r="E5355" s="341">
        <f>+F5355-G5355</f>
        <v>25000</v>
      </c>
      <c r="F5355" s="346">
        <v>25000</v>
      </c>
      <c r="G5355" s="346">
        <v>0</v>
      </c>
      <c r="H5355" t="s">
        <v>981</v>
      </c>
      <c r="I5355" s="340" t="s">
        <v>131</v>
      </c>
      <c r="K5355" s="370"/>
      <c r="N5355" s="370"/>
    </row>
    <row r="5356" spans="1:14" s="347" customFormat="1" x14ac:dyDescent="0.25">
      <c r="A5356" s="402">
        <f>+A5355</f>
        <v>44504</v>
      </c>
      <c r="B5356" s="403">
        <f>+B5355</f>
        <v>11</v>
      </c>
      <c r="C5356" s="338">
        <v>1222</v>
      </c>
      <c r="D5356" s="340" t="str">
        <f>VLOOKUP(C5356,Plan!A:B,2,0)</f>
        <v>Otros Valores -Oficina y Transferencias (249)</v>
      </c>
      <c r="E5356" s="341">
        <f>+F5356-G5356</f>
        <v>-25000</v>
      </c>
      <c r="F5356" s="346">
        <v>0</v>
      </c>
      <c r="G5356" s="346">
        <f>+F5355</f>
        <v>25000</v>
      </c>
      <c r="H5356" s="338" t="str">
        <f>+H5355</f>
        <v xml:space="preserve">Soledad Celis / 249 </v>
      </c>
      <c r="I5356" s="340" t="s">
        <v>131</v>
      </c>
      <c r="K5356" s="370"/>
      <c r="N5356" s="370"/>
    </row>
    <row r="5357" spans="1:14" s="347" customFormat="1" x14ac:dyDescent="0.25">
      <c r="A5357" s="369"/>
      <c r="E5357" s="396"/>
      <c r="F5357" s="396"/>
      <c r="G5357" s="396"/>
      <c r="K5357" s="370"/>
      <c r="N5357" s="370"/>
    </row>
    <row r="5358" spans="1:14" s="347" customFormat="1" x14ac:dyDescent="0.25">
      <c r="A5358" s="402">
        <v>44504</v>
      </c>
      <c r="B5358" s="403">
        <f>+MONTH(A5358)</f>
        <v>11</v>
      </c>
      <c r="C5358" s="338">
        <v>115</v>
      </c>
      <c r="D5358" s="340" t="str">
        <f>VLOOKUP(C5358,Plan!A:B,2,0)</f>
        <v>Disponible Cali B.Chile</v>
      </c>
      <c r="E5358" s="341">
        <f>+F5358-G5358</f>
        <v>15000</v>
      </c>
      <c r="F5358" s="346">
        <v>15000</v>
      </c>
      <c r="G5358" s="346">
        <v>0</v>
      </c>
      <c r="H5358" t="s">
        <v>982</v>
      </c>
      <c r="I5358" s="340" t="s">
        <v>131</v>
      </c>
      <c r="K5358" s="370"/>
      <c r="N5358" s="370"/>
    </row>
    <row r="5359" spans="1:14" s="347" customFormat="1" x14ac:dyDescent="0.25">
      <c r="A5359" s="402">
        <f>+A5358</f>
        <v>44504</v>
      </c>
      <c r="B5359" s="403">
        <f>+B5358</f>
        <v>11</v>
      </c>
      <c r="C5359" s="338">
        <v>216</v>
      </c>
      <c r="D5359" s="340" t="str">
        <f>VLOOKUP(C5359,Plan!A:B,2,0)</f>
        <v>Cuenta por Pagar a Administración Colectas</v>
      </c>
      <c r="E5359" s="341">
        <f>+F5359-G5359</f>
        <v>-15000</v>
      </c>
      <c r="F5359" s="346">
        <v>0</v>
      </c>
      <c r="G5359" s="346">
        <f>+F5358</f>
        <v>15000</v>
      </c>
      <c r="H5359" s="338" t="str">
        <f>+H5358</f>
        <v>Colecta CELIS CELEDON MARIA SOLEDAD</v>
      </c>
      <c r="I5359" s="340" t="s">
        <v>131</v>
      </c>
      <c r="K5359" s="370"/>
      <c r="N5359" s="370"/>
    </row>
    <row r="5360" spans="1:14" s="347" customFormat="1" x14ac:dyDescent="0.25">
      <c r="A5360" s="369"/>
      <c r="E5360" s="396"/>
      <c r="F5360" s="396"/>
      <c r="G5360" s="396"/>
      <c r="K5360" s="370"/>
      <c r="N5360" s="370"/>
    </row>
    <row r="5361" spans="1:14" s="347" customFormat="1" x14ac:dyDescent="0.25">
      <c r="A5361" s="402">
        <v>44504</v>
      </c>
      <c r="B5361" s="403">
        <f>+MONTH(A5361)</f>
        <v>11</v>
      </c>
      <c r="C5361" s="338">
        <v>115</v>
      </c>
      <c r="D5361" s="340" t="str">
        <f>VLOOKUP(C5361,Plan!A:B,2,0)</f>
        <v>Disponible Cali B.Chile</v>
      </c>
      <c r="E5361" s="341">
        <f>+F5361-G5361</f>
        <v>15000</v>
      </c>
      <c r="F5361" s="346">
        <v>15000</v>
      </c>
      <c r="G5361" s="346">
        <v>0</v>
      </c>
      <c r="H5361" t="s">
        <v>1099</v>
      </c>
      <c r="I5361" s="340" t="s">
        <v>131</v>
      </c>
      <c r="K5361" s="370"/>
      <c r="N5361" s="370"/>
    </row>
    <row r="5362" spans="1:14" s="347" customFormat="1" x14ac:dyDescent="0.25">
      <c r="A5362" s="402">
        <f>+A5361</f>
        <v>44504</v>
      </c>
      <c r="B5362" s="403">
        <f>+B5361</f>
        <v>11</v>
      </c>
      <c r="C5362" s="338">
        <v>1222</v>
      </c>
      <c r="D5362" s="340" t="str">
        <f>VLOOKUP(C5362,Plan!A:B,2,0)</f>
        <v>Otros Valores -Oficina y Transferencias (249)</v>
      </c>
      <c r="E5362" s="341">
        <f>+F5362-G5362</f>
        <v>-15000</v>
      </c>
      <c r="F5362" s="346">
        <v>0</v>
      </c>
      <c r="G5362" s="346">
        <f>+F5361</f>
        <v>15000</v>
      </c>
      <c r="H5362" s="338" t="str">
        <f>+H5361</f>
        <v>María Consuelo Fuenzalida Walker/249</v>
      </c>
      <c r="I5362" s="340" t="s">
        <v>131</v>
      </c>
      <c r="K5362" s="370"/>
      <c r="N5362" s="370"/>
    </row>
    <row r="5363" spans="1:14" s="347" customFormat="1" x14ac:dyDescent="0.25">
      <c r="A5363" s="369"/>
      <c r="E5363" s="396"/>
      <c r="F5363" s="396"/>
      <c r="G5363" s="396"/>
      <c r="K5363" s="370"/>
      <c r="N5363" s="370"/>
    </row>
    <row r="5364" spans="1:14" s="347" customFormat="1" x14ac:dyDescent="0.25">
      <c r="A5364" s="402">
        <v>44504</v>
      </c>
      <c r="B5364" s="403">
        <f>+MONTH(A5364)</f>
        <v>11</v>
      </c>
      <c r="C5364" s="338">
        <v>115</v>
      </c>
      <c r="D5364" s="340" t="str">
        <f>VLOOKUP(C5364,Plan!A:B,2,0)</f>
        <v>Disponible Cali B.Chile</v>
      </c>
      <c r="E5364" s="341">
        <f>+F5364-G5364</f>
        <v>60000</v>
      </c>
      <c r="F5364" s="346">
        <v>60000</v>
      </c>
      <c r="G5364" s="346">
        <v>0</v>
      </c>
      <c r="H5364" t="s">
        <v>992</v>
      </c>
      <c r="I5364" s="340" t="s">
        <v>131</v>
      </c>
      <c r="K5364" s="370"/>
      <c r="N5364" s="370"/>
    </row>
    <row r="5365" spans="1:14" s="347" customFormat="1" x14ac:dyDescent="0.25">
      <c r="A5365" s="402">
        <f>+A5364</f>
        <v>44504</v>
      </c>
      <c r="B5365" s="403">
        <f>+B5364</f>
        <v>11</v>
      </c>
      <c r="C5365" s="338">
        <v>1222</v>
      </c>
      <c r="D5365" s="340" t="str">
        <f>VLOOKUP(C5365,Plan!A:B,2,0)</f>
        <v>Otros Valores -Oficina y Transferencias (249)</v>
      </c>
      <c r="E5365" s="341">
        <f>+F5365-G5365</f>
        <v>-60000</v>
      </c>
      <c r="F5365" s="346">
        <v>0</v>
      </c>
      <c r="G5365" s="346">
        <f>+F5364</f>
        <v>60000</v>
      </c>
      <c r="H5365" s="338" t="str">
        <f>+H5364</f>
        <v>Enrique Brahm García / 249</v>
      </c>
      <c r="I5365" s="340" t="s">
        <v>131</v>
      </c>
      <c r="K5365" s="370"/>
      <c r="N5365" s="370"/>
    </row>
    <row r="5366" spans="1:14" s="347" customFormat="1" x14ac:dyDescent="0.25">
      <c r="A5366" s="369"/>
      <c r="E5366" s="396"/>
      <c r="F5366" s="396"/>
      <c r="G5366" s="396"/>
      <c r="K5366" s="370"/>
      <c r="N5366" s="370"/>
    </row>
    <row r="5367" spans="1:14" s="347" customFormat="1" x14ac:dyDescent="0.25">
      <c r="A5367" s="402">
        <v>44504</v>
      </c>
      <c r="B5367" s="403">
        <f>+MONTH(A5367)</f>
        <v>11</v>
      </c>
      <c r="C5367" s="338">
        <v>115</v>
      </c>
      <c r="D5367" s="340" t="str">
        <f>VLOOKUP(C5367,Plan!A:B,2,0)</f>
        <v>Disponible Cali B.Chile</v>
      </c>
      <c r="E5367" s="341">
        <f>+F5367-G5367</f>
        <v>20000</v>
      </c>
      <c r="F5367" s="346">
        <v>20000</v>
      </c>
      <c r="G5367" s="346">
        <v>0</v>
      </c>
      <c r="H5367" t="s">
        <v>1670</v>
      </c>
      <c r="I5367" s="340" t="s">
        <v>131</v>
      </c>
      <c r="K5367" s="370"/>
      <c r="N5367" s="370"/>
    </row>
    <row r="5368" spans="1:14" s="347" customFormat="1" x14ac:dyDescent="0.25">
      <c r="A5368" s="402">
        <f>+A5367</f>
        <v>44504</v>
      </c>
      <c r="B5368" s="403">
        <f>+B5367</f>
        <v>11</v>
      </c>
      <c r="C5368" s="338">
        <v>1222</v>
      </c>
      <c r="D5368" s="340" t="str">
        <f>VLOOKUP(C5368,Plan!A:B,2,0)</f>
        <v>Otros Valores -Oficina y Transferencias (249)</v>
      </c>
      <c r="E5368" s="341">
        <f>+F5368-G5368</f>
        <v>-20000</v>
      </c>
      <c r="F5368" s="346">
        <v>0</v>
      </c>
      <c r="G5368" s="346">
        <f>+F5367</f>
        <v>20000</v>
      </c>
      <c r="H5368" s="338" t="str">
        <f>+H5367</f>
        <v>María Virginia Fernández Oyarzún / 249</v>
      </c>
      <c r="I5368" s="340" t="s">
        <v>131</v>
      </c>
      <c r="K5368" s="370"/>
      <c r="N5368" s="370"/>
    </row>
    <row r="5369" spans="1:14" s="347" customFormat="1" x14ac:dyDescent="0.25">
      <c r="A5369" s="369"/>
      <c r="E5369" s="396"/>
      <c r="F5369" s="396"/>
      <c r="G5369" s="396"/>
      <c r="K5369" s="370"/>
      <c r="N5369" s="370"/>
    </row>
    <row r="5370" spans="1:14" s="347" customFormat="1" x14ac:dyDescent="0.25">
      <c r="A5370" s="402">
        <v>44504</v>
      </c>
      <c r="B5370" s="403">
        <f>+MONTH(A5370)</f>
        <v>11</v>
      </c>
      <c r="C5370" s="338">
        <v>115</v>
      </c>
      <c r="D5370" s="340" t="str">
        <f>VLOOKUP(C5370,Plan!A:B,2,0)</f>
        <v>Disponible Cali B.Chile</v>
      </c>
      <c r="E5370" s="341">
        <f>+F5370-G5370</f>
        <v>40000</v>
      </c>
      <c r="F5370" s="346">
        <v>40000</v>
      </c>
      <c r="G5370" s="346">
        <v>0</v>
      </c>
      <c r="H5370" t="s">
        <v>1003</v>
      </c>
      <c r="I5370" s="340" t="s">
        <v>131</v>
      </c>
      <c r="K5370" s="370"/>
      <c r="N5370" s="370"/>
    </row>
    <row r="5371" spans="1:14" s="347" customFormat="1" x14ac:dyDescent="0.25">
      <c r="A5371" s="402">
        <f>+A5370</f>
        <v>44504</v>
      </c>
      <c r="B5371" s="403">
        <f>+B5370</f>
        <v>11</v>
      </c>
      <c r="C5371" s="338">
        <v>3210</v>
      </c>
      <c r="D5371" s="340" t="str">
        <f>VLOOKUP(C5371,Plan!A:B,2,0)</f>
        <v>Donacion Construccion</v>
      </c>
      <c r="E5371" s="341">
        <f>+F5371-G5371</f>
        <v>-40000</v>
      </c>
      <c r="F5371" s="346">
        <v>0</v>
      </c>
      <c r="G5371" s="346">
        <f>+F5370</f>
        <v>40000</v>
      </c>
      <c r="H5371" s="338" t="str">
        <f>+H5370</f>
        <v>Marcela Rebeca Pinto Zepeda / Azul</v>
      </c>
      <c r="I5371" s="340" t="s">
        <v>131</v>
      </c>
      <c r="K5371" s="370"/>
      <c r="N5371" s="370"/>
    </row>
    <row r="5372" spans="1:14" s="347" customFormat="1" x14ac:dyDescent="0.25">
      <c r="A5372" s="369"/>
      <c r="E5372" s="396"/>
      <c r="F5372" s="396"/>
      <c r="G5372" s="396"/>
      <c r="K5372" s="370"/>
      <c r="N5372" s="370"/>
    </row>
    <row r="5373" spans="1:14" s="347" customFormat="1" x14ac:dyDescent="0.25">
      <c r="A5373" s="402">
        <v>44504</v>
      </c>
      <c r="B5373" s="403">
        <f>+MONTH(A5373)</f>
        <v>11</v>
      </c>
      <c r="C5373" s="338">
        <v>115</v>
      </c>
      <c r="D5373" s="340" t="str">
        <f>VLOOKUP(C5373,Plan!A:B,2,0)</f>
        <v>Disponible Cali B.Chile</v>
      </c>
      <c r="E5373" s="341">
        <f>+F5373-G5373</f>
        <v>150000</v>
      </c>
      <c r="F5373" s="346">
        <v>150000</v>
      </c>
      <c r="G5373" s="346">
        <v>0</v>
      </c>
      <c r="H5373" t="s">
        <v>1002</v>
      </c>
      <c r="I5373" s="340" t="s">
        <v>131</v>
      </c>
      <c r="K5373" s="370"/>
      <c r="N5373" s="370"/>
    </row>
    <row r="5374" spans="1:14" s="347" customFormat="1" x14ac:dyDescent="0.25">
      <c r="A5374" s="402">
        <f>+A5373</f>
        <v>44504</v>
      </c>
      <c r="B5374" s="403">
        <f>+B5373</f>
        <v>11</v>
      </c>
      <c r="C5374" s="338">
        <v>1222</v>
      </c>
      <c r="D5374" s="340" t="str">
        <f>VLOOKUP(C5374,Plan!A:B,2,0)</f>
        <v>Otros Valores -Oficina y Transferencias (249)</v>
      </c>
      <c r="E5374" s="341">
        <f>+F5374-G5374</f>
        <v>-150000</v>
      </c>
      <c r="F5374" s="346">
        <v>0</v>
      </c>
      <c r="G5374" s="346">
        <f>+F5373</f>
        <v>150000</v>
      </c>
      <c r="H5374" s="338" t="str">
        <f>+H5373</f>
        <v>José Miguel Ureta Cardoen / 249</v>
      </c>
      <c r="I5374" s="340" t="s">
        <v>131</v>
      </c>
      <c r="K5374" s="370"/>
      <c r="N5374" s="370"/>
    </row>
    <row r="5375" spans="1:14" s="347" customFormat="1" x14ac:dyDescent="0.25">
      <c r="A5375" s="369"/>
      <c r="E5375" s="396"/>
      <c r="F5375" s="396"/>
      <c r="G5375" s="396"/>
      <c r="K5375" s="370"/>
      <c r="N5375" s="370"/>
    </row>
    <row r="5376" spans="1:14" s="347" customFormat="1" x14ac:dyDescent="0.25">
      <c r="A5376" s="402">
        <v>44504</v>
      </c>
      <c r="B5376" s="403">
        <f>+MONTH(A5376)</f>
        <v>11</v>
      </c>
      <c r="C5376" s="338">
        <v>115</v>
      </c>
      <c r="D5376" s="340" t="str">
        <f>VLOOKUP(C5376,Plan!A:B,2,0)</f>
        <v>Disponible Cali B.Chile</v>
      </c>
      <c r="E5376" s="341">
        <f>+F5376-G5376</f>
        <v>11953189</v>
      </c>
      <c r="F5376" s="346">
        <v>11953189</v>
      </c>
      <c r="G5376" s="346">
        <v>0</v>
      </c>
      <c r="H5376" s="155" t="s">
        <v>2329</v>
      </c>
      <c r="I5376" s="340" t="s">
        <v>131</v>
      </c>
      <c r="K5376" s="370"/>
      <c r="N5376" s="370"/>
    </row>
    <row r="5377" spans="1:14" s="347" customFormat="1" x14ac:dyDescent="0.25">
      <c r="A5377" s="402">
        <f>+A5376</f>
        <v>44504</v>
      </c>
      <c r="B5377" s="403">
        <f>+B5376</f>
        <v>11</v>
      </c>
      <c r="C5377" s="338">
        <v>1218</v>
      </c>
      <c r="D5377" s="340" t="str">
        <f>VLOOKUP(C5377,Plan!A:B,2,0)</f>
        <v>Otros Valores Tarjeta de Credito</v>
      </c>
      <c r="E5377" s="341">
        <f>+F5377-G5377</f>
        <v>-11953189</v>
      </c>
      <c r="F5377" s="346">
        <v>0</v>
      </c>
      <c r="G5377" s="346">
        <f>+F5376</f>
        <v>11953189</v>
      </c>
      <c r="H5377" s="338" t="str">
        <f>+H5376</f>
        <v>248 y 249 octubre 2021</v>
      </c>
      <c r="I5377" s="340" t="s">
        <v>131</v>
      </c>
      <c r="K5377" s="370"/>
      <c r="N5377" s="370"/>
    </row>
    <row r="5378" spans="1:14" s="347" customFormat="1" x14ac:dyDescent="0.25">
      <c r="A5378" s="369"/>
      <c r="E5378" s="396"/>
      <c r="F5378" s="396"/>
      <c r="G5378" s="396"/>
      <c r="K5378" s="370"/>
      <c r="N5378" s="370"/>
    </row>
    <row r="5379" spans="1:14" s="347" customFormat="1" x14ac:dyDescent="0.25">
      <c r="A5379" s="402">
        <v>44505</v>
      </c>
      <c r="B5379" s="403">
        <f>+MONTH(A5379)</f>
        <v>11</v>
      </c>
      <c r="C5379" s="338">
        <v>205</v>
      </c>
      <c r="D5379" s="340" t="str">
        <f>VLOOKUP(C5379,Plan!A:B,2,0)</f>
        <v>Honorarios por pagar Cali</v>
      </c>
      <c r="E5379" s="341">
        <f>+F5379-G5379</f>
        <v>300000</v>
      </c>
      <c r="F5379" s="346">
        <v>300000</v>
      </c>
      <c r="G5379" s="346">
        <v>0</v>
      </c>
      <c r="H5379" t="s">
        <v>2330</v>
      </c>
      <c r="I5379" s="340" t="s">
        <v>131</v>
      </c>
      <c r="K5379" s="370"/>
      <c r="N5379" s="370"/>
    </row>
    <row r="5380" spans="1:14" s="347" customFormat="1" x14ac:dyDescent="0.25">
      <c r="A5380" s="402">
        <f>+A5379</f>
        <v>44505</v>
      </c>
      <c r="B5380" s="403">
        <f>+B5379</f>
        <v>11</v>
      </c>
      <c r="C5380" s="338">
        <v>115</v>
      </c>
      <c r="D5380" s="340" t="str">
        <f>VLOOKUP(C5380,Plan!A:B,2,0)</f>
        <v>Disponible Cali B.Chile</v>
      </c>
      <c r="E5380" s="341">
        <f>+F5380-G5380</f>
        <v>-300000</v>
      </c>
      <c r="F5380" s="346">
        <v>0</v>
      </c>
      <c r="G5380" s="346">
        <f>+F5379</f>
        <v>300000</v>
      </c>
      <c r="H5380" s="338" t="str">
        <f>+H5379</f>
        <v>Be 320 Guillermo de la Vega Ivovich  Asesoria 1% Septiembre 2021</v>
      </c>
      <c r="I5380" s="340" t="s">
        <v>131</v>
      </c>
      <c r="K5380" s="370"/>
      <c r="N5380" s="370"/>
    </row>
    <row r="5381" spans="1:14" s="347" customFormat="1" x14ac:dyDescent="0.25">
      <c r="K5381" s="370"/>
      <c r="N5381" s="370"/>
    </row>
    <row r="5382" spans="1:14" s="347" customFormat="1" x14ac:dyDescent="0.25">
      <c r="A5382" s="402">
        <v>44505</v>
      </c>
      <c r="B5382" s="403">
        <f>+MONTH(A5382)</f>
        <v>11</v>
      </c>
      <c r="C5382" s="338">
        <v>115</v>
      </c>
      <c r="D5382" s="340" t="str">
        <f>VLOOKUP(C5382,Plan!A:B,2,0)</f>
        <v>Disponible Cali B.Chile</v>
      </c>
      <c r="E5382" s="341">
        <f>+F5382-G5382</f>
        <v>100000</v>
      </c>
      <c r="F5382" s="346">
        <v>100000</v>
      </c>
      <c r="G5382" s="346">
        <v>0</v>
      </c>
      <c r="H5382" t="s">
        <v>1715</v>
      </c>
      <c r="I5382" s="340" t="s">
        <v>131</v>
      </c>
      <c r="K5382" s="370"/>
      <c r="N5382" s="370"/>
    </row>
    <row r="5383" spans="1:14" s="347" customFormat="1" x14ac:dyDescent="0.25">
      <c r="A5383" s="402">
        <f>+A5382</f>
        <v>44505</v>
      </c>
      <c r="B5383" s="403">
        <f>+B5382</f>
        <v>11</v>
      </c>
      <c r="C5383" s="338">
        <v>1222</v>
      </c>
      <c r="D5383" s="340" t="str">
        <f>VLOOKUP(C5383,Plan!A:B,2,0)</f>
        <v>Otros Valores -Oficina y Transferencias (249)</v>
      </c>
      <c r="E5383" s="341">
        <f>+F5383-G5383</f>
        <v>-100000</v>
      </c>
      <c r="F5383" s="346">
        <v>0</v>
      </c>
      <c r="G5383" s="346">
        <f>+F5382</f>
        <v>100000</v>
      </c>
      <c r="H5383" s="338" t="str">
        <f>+H5382</f>
        <v>Santiago Ireneo Doña Vial / 249</v>
      </c>
      <c r="I5383" s="340" t="s">
        <v>131</v>
      </c>
      <c r="K5383" s="370"/>
      <c r="N5383" s="370"/>
    </row>
    <row r="5384" spans="1:14" s="347" customFormat="1" x14ac:dyDescent="0.25">
      <c r="A5384" s="369"/>
      <c r="E5384" s="396"/>
      <c r="F5384" s="396"/>
      <c r="G5384" s="396"/>
      <c r="K5384" s="370"/>
      <c r="N5384" s="370"/>
    </row>
    <row r="5385" spans="1:14" s="347" customFormat="1" x14ac:dyDescent="0.25">
      <c r="A5385" s="402">
        <v>44505</v>
      </c>
      <c r="B5385" s="403">
        <f>+MONTH(A5385)</f>
        <v>11</v>
      </c>
      <c r="C5385" s="338">
        <v>115</v>
      </c>
      <c r="D5385" s="340" t="str">
        <f>VLOOKUP(C5385,Plan!A:B,2,0)</f>
        <v>Disponible Cali B.Chile</v>
      </c>
      <c r="E5385" s="341">
        <f>+F5385-G5385</f>
        <v>35000</v>
      </c>
      <c r="F5385" s="346">
        <v>35000</v>
      </c>
      <c r="G5385" s="346">
        <v>0</v>
      </c>
      <c r="H5385" t="s">
        <v>2162</v>
      </c>
      <c r="I5385" s="340" t="s">
        <v>131</v>
      </c>
      <c r="K5385" s="370"/>
      <c r="N5385" s="370"/>
    </row>
    <row r="5386" spans="1:14" s="347" customFormat="1" x14ac:dyDescent="0.25">
      <c r="A5386" s="402">
        <f>+A5385</f>
        <v>44505</v>
      </c>
      <c r="B5386" s="403">
        <f>+B5385</f>
        <v>11</v>
      </c>
      <c r="C5386" s="338">
        <v>1222</v>
      </c>
      <c r="D5386" s="340" t="str">
        <f>VLOOKUP(C5386,Plan!A:B,2,0)</f>
        <v>Otros Valores -Oficina y Transferencias (249)</v>
      </c>
      <c r="E5386" s="341">
        <f>+F5386-G5386</f>
        <v>-35000</v>
      </c>
      <c r="F5386" s="346">
        <v>0</v>
      </c>
      <c r="G5386" s="346">
        <f>+F5385</f>
        <v>35000</v>
      </c>
      <c r="H5386" s="338" t="str">
        <f>+H5385</f>
        <v>Carolina Guridi Gubbins / 249</v>
      </c>
      <c r="I5386" s="340" t="s">
        <v>131</v>
      </c>
      <c r="K5386" s="370"/>
      <c r="N5386" s="370"/>
    </row>
    <row r="5387" spans="1:14" s="347" customFormat="1" x14ac:dyDescent="0.25">
      <c r="A5387" s="369"/>
      <c r="E5387" s="396"/>
      <c r="F5387" s="396"/>
      <c r="G5387" s="396"/>
      <c r="K5387" s="370"/>
      <c r="N5387" s="370"/>
    </row>
    <row r="5388" spans="1:14" s="347" customFormat="1" x14ac:dyDescent="0.25">
      <c r="A5388" s="402">
        <v>44505</v>
      </c>
      <c r="B5388" s="403">
        <f>+MONTH(A5388)</f>
        <v>11</v>
      </c>
      <c r="C5388" s="338">
        <v>115</v>
      </c>
      <c r="D5388" s="340" t="str">
        <f>VLOOKUP(C5388,Plan!A:B,2,0)</f>
        <v>Disponible Cali B.Chile</v>
      </c>
      <c r="E5388" s="341">
        <f>+F5388-G5388</f>
        <v>75000</v>
      </c>
      <c r="F5388" s="346">
        <v>75000</v>
      </c>
      <c r="G5388" s="346">
        <v>0</v>
      </c>
      <c r="H5388" t="s">
        <v>1679</v>
      </c>
      <c r="I5388" s="340" t="s">
        <v>131</v>
      </c>
      <c r="K5388" s="370"/>
      <c r="N5388" s="370"/>
    </row>
    <row r="5389" spans="1:14" s="347" customFormat="1" x14ac:dyDescent="0.25">
      <c r="A5389" s="402">
        <f>+A5388</f>
        <v>44505</v>
      </c>
      <c r="B5389" s="403">
        <f>+B5388</f>
        <v>11</v>
      </c>
      <c r="C5389" s="338">
        <v>1222</v>
      </c>
      <c r="D5389" s="340" t="str">
        <f>VLOOKUP(C5389,Plan!A:B,2,0)</f>
        <v>Otros Valores -Oficina y Transferencias (249)</v>
      </c>
      <c r="E5389" s="341">
        <f>+F5389-G5389</f>
        <v>-75000</v>
      </c>
      <c r="F5389" s="346">
        <v>0</v>
      </c>
      <c r="G5389" s="346">
        <f>+F5388</f>
        <v>75000</v>
      </c>
      <c r="H5389" s="338" t="str">
        <f>+H5388</f>
        <v>María Teresa Ibañez Vial / 249</v>
      </c>
      <c r="I5389" s="340" t="s">
        <v>131</v>
      </c>
      <c r="K5389" s="370"/>
      <c r="N5389" s="370"/>
    </row>
    <row r="5390" spans="1:14" s="347" customFormat="1" x14ac:dyDescent="0.25">
      <c r="A5390" s="369"/>
      <c r="E5390" s="396"/>
      <c r="F5390" s="396"/>
      <c r="G5390" s="396"/>
      <c r="K5390" s="370"/>
      <c r="N5390" s="370"/>
    </row>
    <row r="5391" spans="1:14" s="347" customFormat="1" x14ac:dyDescent="0.25">
      <c r="A5391" s="402">
        <v>44505</v>
      </c>
      <c r="B5391" s="403">
        <f>+MONTH(A5391)</f>
        <v>11</v>
      </c>
      <c r="C5391" s="338">
        <v>115</v>
      </c>
      <c r="D5391" s="340" t="str">
        <f>VLOOKUP(C5391,Plan!A:B,2,0)</f>
        <v>Disponible Cali B.Chile</v>
      </c>
      <c r="E5391" s="341">
        <f>+F5391-G5391</f>
        <v>45000</v>
      </c>
      <c r="F5391" s="346">
        <v>45000</v>
      </c>
      <c r="G5391" s="346">
        <v>0</v>
      </c>
      <c r="H5391" t="s">
        <v>1011</v>
      </c>
      <c r="I5391" s="340" t="s">
        <v>131</v>
      </c>
      <c r="K5391" s="370"/>
      <c r="N5391" s="370"/>
    </row>
    <row r="5392" spans="1:14" s="347" customFormat="1" x14ac:dyDescent="0.25">
      <c r="A5392" s="402">
        <f>+A5391</f>
        <v>44505</v>
      </c>
      <c r="B5392" s="403">
        <f>+B5391</f>
        <v>11</v>
      </c>
      <c r="C5392" s="338">
        <v>1222</v>
      </c>
      <c r="D5392" s="340" t="str">
        <f>VLOOKUP(C5392,Plan!A:B,2,0)</f>
        <v>Otros Valores -Oficina y Transferencias (249)</v>
      </c>
      <c r="E5392" s="341">
        <f>+F5392-G5392</f>
        <v>-45000</v>
      </c>
      <c r="F5392" s="346">
        <v>0</v>
      </c>
      <c r="G5392" s="346">
        <f>+F5391</f>
        <v>45000</v>
      </c>
      <c r="H5392" s="338" t="str">
        <f>+H5391</f>
        <v>Mauricio Hargous Larraín / 249</v>
      </c>
      <c r="I5392" s="340" t="s">
        <v>131</v>
      </c>
      <c r="K5392" s="370"/>
      <c r="N5392" s="370"/>
    </row>
    <row r="5393" spans="1:14" s="347" customFormat="1" x14ac:dyDescent="0.25">
      <c r="A5393" s="369"/>
      <c r="E5393" s="396"/>
      <c r="F5393" s="396"/>
      <c r="G5393" s="396"/>
      <c r="K5393" s="370"/>
      <c r="N5393" s="370"/>
    </row>
    <row r="5394" spans="1:14" s="347" customFormat="1" x14ac:dyDescent="0.25">
      <c r="A5394" s="402">
        <v>44505</v>
      </c>
      <c r="B5394" s="403">
        <f>+MONTH(A5394)</f>
        <v>11</v>
      </c>
      <c r="C5394" s="338">
        <v>115</v>
      </c>
      <c r="D5394" s="340" t="str">
        <f>VLOOKUP(C5394,Plan!A:B,2,0)</f>
        <v>Disponible Cali B.Chile</v>
      </c>
      <c r="E5394" s="341">
        <f>+F5394-G5394</f>
        <v>11000</v>
      </c>
      <c r="F5394" s="346">
        <v>11000</v>
      </c>
      <c r="G5394" s="346">
        <v>0</v>
      </c>
      <c r="H5394" t="s">
        <v>1020</v>
      </c>
      <c r="I5394" s="340" t="s">
        <v>131</v>
      </c>
      <c r="K5394" s="370"/>
      <c r="N5394" s="370"/>
    </row>
    <row r="5395" spans="1:14" s="347" customFormat="1" x14ac:dyDescent="0.25">
      <c r="A5395" s="402">
        <f>+A5394</f>
        <v>44505</v>
      </c>
      <c r="B5395" s="403">
        <f>+B5394</f>
        <v>11</v>
      </c>
      <c r="C5395" s="338">
        <v>1217</v>
      </c>
      <c r="D5395" s="340" t="str">
        <f>VLOOKUP(C5395,Plan!A:B,2,0)</f>
        <v>Otros Valores -Oficina y Transferencias (248)</v>
      </c>
      <c r="E5395" s="341">
        <f>+F5395-G5395</f>
        <v>-11000</v>
      </c>
      <c r="F5395" s="346">
        <v>0</v>
      </c>
      <c r="G5395" s="346">
        <f>+F5394</f>
        <v>11000</v>
      </c>
      <c r="H5395" s="338" t="str">
        <f>+H5394</f>
        <v xml:space="preserve">M.Cristina Valenzuela L./248 </v>
      </c>
      <c r="I5395" s="340" t="s">
        <v>131</v>
      </c>
      <c r="K5395" s="370"/>
      <c r="N5395" s="370"/>
    </row>
    <row r="5396" spans="1:14" s="347" customFormat="1" x14ac:dyDescent="0.25">
      <c r="A5396" s="369"/>
      <c r="E5396" s="396"/>
      <c r="F5396" s="396"/>
      <c r="G5396" s="396"/>
      <c r="K5396" s="370"/>
      <c r="N5396" s="370"/>
    </row>
    <row r="5397" spans="1:14" s="347" customFormat="1" x14ac:dyDescent="0.25">
      <c r="A5397" s="402">
        <v>44505</v>
      </c>
      <c r="B5397" s="403">
        <f>+MONTH(A5397)</f>
        <v>11</v>
      </c>
      <c r="C5397" s="338">
        <v>115</v>
      </c>
      <c r="D5397" s="340" t="str">
        <f>VLOOKUP(C5397,Plan!A:B,2,0)</f>
        <v>Disponible Cali B.Chile</v>
      </c>
      <c r="E5397" s="341">
        <f>+F5397-G5397</f>
        <v>10000</v>
      </c>
      <c r="F5397" s="346">
        <v>10000</v>
      </c>
      <c r="G5397" s="346">
        <v>0</v>
      </c>
      <c r="H5397" t="s">
        <v>2331</v>
      </c>
      <c r="I5397" s="340" t="s">
        <v>131</v>
      </c>
      <c r="K5397" s="370"/>
      <c r="N5397" s="370"/>
    </row>
    <row r="5398" spans="1:14" s="347" customFormat="1" x14ac:dyDescent="0.25">
      <c r="A5398" s="402">
        <f>+A5397</f>
        <v>44505</v>
      </c>
      <c r="B5398" s="403">
        <f>+B5397</f>
        <v>11</v>
      </c>
      <c r="C5398" s="338">
        <v>1222</v>
      </c>
      <c r="D5398" s="340" t="str">
        <f>VLOOKUP(C5398,Plan!A:B,2,0)</f>
        <v>Otros Valores -Oficina y Transferencias (249)</v>
      </c>
      <c r="E5398" s="341">
        <f>+F5398-G5398</f>
        <v>-10000</v>
      </c>
      <c r="F5398" s="346">
        <v>0</v>
      </c>
      <c r="G5398" s="346">
        <f>+F5397</f>
        <v>10000</v>
      </c>
      <c r="H5398" s="338" t="str">
        <f>+H5397</f>
        <v>Patricia Valdés Grandón / 249 (Mandato del 05/11)</v>
      </c>
      <c r="I5398" s="340" t="s">
        <v>131</v>
      </c>
      <c r="K5398" s="370"/>
      <c r="N5398" s="370"/>
    </row>
    <row r="5399" spans="1:14" s="347" customFormat="1" x14ac:dyDescent="0.25">
      <c r="A5399" s="369"/>
      <c r="E5399" s="396"/>
      <c r="F5399" s="396"/>
      <c r="G5399" s="396"/>
      <c r="K5399" s="370"/>
      <c r="N5399" s="370"/>
    </row>
    <row r="5400" spans="1:14" s="347" customFormat="1" x14ac:dyDescent="0.25">
      <c r="A5400" s="402">
        <v>44508</v>
      </c>
      <c r="B5400" s="403">
        <f>+MONTH(A5400)</f>
        <v>11</v>
      </c>
      <c r="C5400" s="338">
        <v>115</v>
      </c>
      <c r="D5400" s="340" t="str">
        <f>VLOOKUP(C5400,Plan!A:B,2,0)</f>
        <v>Disponible Cali B.Chile</v>
      </c>
      <c r="E5400" s="341">
        <f>+F5400-G5400</f>
        <v>30000</v>
      </c>
      <c r="F5400" s="346">
        <v>30000</v>
      </c>
      <c r="G5400" s="346">
        <v>0</v>
      </c>
      <c r="H5400" t="s">
        <v>970</v>
      </c>
      <c r="I5400" s="340" t="s">
        <v>131</v>
      </c>
      <c r="K5400" s="370"/>
      <c r="N5400" s="370"/>
    </row>
    <row r="5401" spans="1:14" s="347" customFormat="1" x14ac:dyDescent="0.25">
      <c r="A5401" s="402">
        <f>+A5400</f>
        <v>44508</v>
      </c>
      <c r="B5401" s="403">
        <f>+B5400</f>
        <v>11</v>
      </c>
      <c r="C5401" s="338">
        <v>1222</v>
      </c>
      <c r="D5401" s="340" t="str">
        <f>VLOOKUP(C5401,Plan!A:B,2,0)</f>
        <v>Otros Valores -Oficina y Transferencias (249)</v>
      </c>
      <c r="E5401" s="341">
        <f>+F5401-G5401</f>
        <v>-30000</v>
      </c>
      <c r="F5401" s="346">
        <v>0</v>
      </c>
      <c r="G5401" s="346">
        <f>+F5400</f>
        <v>30000</v>
      </c>
      <c r="H5401" s="338" t="str">
        <f>+H5400</f>
        <v>Horacio Cartagena Fagerstrom/249</v>
      </c>
      <c r="I5401" s="340" t="s">
        <v>131</v>
      </c>
      <c r="K5401" s="370"/>
      <c r="N5401" s="370"/>
    </row>
    <row r="5402" spans="1:14" s="347" customFormat="1" x14ac:dyDescent="0.25">
      <c r="A5402" s="369"/>
      <c r="E5402" s="396"/>
      <c r="F5402" s="396"/>
      <c r="G5402" s="396"/>
      <c r="K5402" s="370"/>
      <c r="N5402" s="370"/>
    </row>
    <row r="5403" spans="1:14" s="347" customFormat="1" x14ac:dyDescent="0.25">
      <c r="A5403" s="402">
        <v>44508</v>
      </c>
      <c r="B5403" s="403">
        <f>+MONTH(A5403)</f>
        <v>11</v>
      </c>
      <c r="C5403" s="338">
        <v>115</v>
      </c>
      <c r="D5403" s="340" t="str">
        <f>VLOOKUP(C5403,Plan!A:B,2,0)</f>
        <v>Disponible Cali B.Chile</v>
      </c>
      <c r="E5403" s="341">
        <f>+F5403-G5403</f>
        <v>1000000</v>
      </c>
      <c r="F5403" s="346">
        <v>1000000</v>
      </c>
      <c r="G5403" s="346">
        <v>0</v>
      </c>
      <c r="H5403" t="s">
        <v>2077</v>
      </c>
      <c r="I5403" s="340" t="s">
        <v>131</v>
      </c>
      <c r="K5403" s="370"/>
      <c r="N5403" s="370"/>
    </row>
    <row r="5404" spans="1:14" s="347" customFormat="1" x14ac:dyDescent="0.25">
      <c r="A5404" s="402">
        <f>+A5403</f>
        <v>44508</v>
      </c>
      <c r="B5404" s="403">
        <f>+B5403</f>
        <v>11</v>
      </c>
      <c r="C5404" s="338">
        <v>3210</v>
      </c>
      <c r="D5404" s="340" t="str">
        <f>VLOOKUP(C5404,Plan!A:B,2,0)</f>
        <v>Donacion Construccion</v>
      </c>
      <c r="E5404" s="341">
        <f>+F5404-G5404</f>
        <v>-1000000</v>
      </c>
      <c r="F5404" s="346">
        <v>0</v>
      </c>
      <c r="G5404" s="346">
        <f>+F5403</f>
        <v>1000000</v>
      </c>
      <c r="H5404" s="338" t="str">
        <f>+H5403</f>
        <v>Pedro Armando Alvarez Marin/250</v>
      </c>
      <c r="I5404" s="340" t="s">
        <v>131</v>
      </c>
      <c r="K5404" s="370"/>
      <c r="N5404" s="370"/>
    </row>
    <row r="5405" spans="1:14" s="347" customFormat="1" x14ac:dyDescent="0.25">
      <c r="A5405" s="369"/>
      <c r="E5405" s="396"/>
      <c r="F5405" s="396"/>
      <c r="G5405" s="396"/>
      <c r="K5405" s="370"/>
      <c r="N5405" s="370"/>
    </row>
    <row r="5406" spans="1:14" s="347" customFormat="1" x14ac:dyDescent="0.25">
      <c r="A5406" s="402">
        <v>44508</v>
      </c>
      <c r="B5406" s="403">
        <f>+MONTH(A5406)</f>
        <v>11</v>
      </c>
      <c r="C5406" s="338">
        <v>115</v>
      </c>
      <c r="D5406" s="340" t="str">
        <f>VLOOKUP(C5406,Plan!A:B,2,0)</f>
        <v>Disponible Cali B.Chile</v>
      </c>
      <c r="E5406" s="341">
        <f>+F5406-G5406</f>
        <v>40000</v>
      </c>
      <c r="F5406" s="346">
        <v>40000</v>
      </c>
      <c r="G5406" s="346">
        <v>0</v>
      </c>
      <c r="H5406" t="s">
        <v>1009</v>
      </c>
      <c r="I5406" s="340" t="s">
        <v>131</v>
      </c>
      <c r="K5406" s="370"/>
      <c r="N5406" s="370"/>
    </row>
    <row r="5407" spans="1:14" s="347" customFormat="1" x14ac:dyDescent="0.25">
      <c r="A5407" s="402">
        <f>+A5406</f>
        <v>44508</v>
      </c>
      <c r="B5407" s="403">
        <f>+B5406</f>
        <v>11</v>
      </c>
      <c r="C5407" s="338">
        <v>1222</v>
      </c>
      <c r="D5407" s="340" t="str">
        <f>VLOOKUP(C5407,Plan!A:B,2,0)</f>
        <v>Otros Valores -Oficina y Transferencias (249)</v>
      </c>
      <c r="E5407" s="341">
        <f>+F5407-G5407</f>
        <v>-40000</v>
      </c>
      <c r="F5407" s="346">
        <v>0</v>
      </c>
      <c r="G5407" s="346">
        <f>+F5406</f>
        <v>40000</v>
      </c>
      <c r="H5407" s="338" t="str">
        <f>+H5406</f>
        <v>Juan Rafael Arnaiz Johnson / 249</v>
      </c>
      <c r="I5407" s="340" t="s">
        <v>131</v>
      </c>
      <c r="K5407" s="370"/>
      <c r="N5407" s="370"/>
    </row>
    <row r="5408" spans="1:14" s="347" customFormat="1" x14ac:dyDescent="0.25">
      <c r="A5408" s="369"/>
      <c r="E5408" s="396"/>
      <c r="F5408" s="396"/>
      <c r="G5408" s="396"/>
      <c r="K5408" s="370"/>
      <c r="N5408" s="370"/>
    </row>
    <row r="5409" spans="1:14" s="347" customFormat="1" x14ac:dyDescent="0.25">
      <c r="A5409" s="402">
        <v>44508</v>
      </c>
      <c r="B5409" s="403">
        <f>+MONTH(A5409)</f>
        <v>11</v>
      </c>
      <c r="C5409" s="338">
        <v>115</v>
      </c>
      <c r="D5409" s="340" t="str">
        <f>VLOOKUP(C5409,Plan!A:B,2,0)</f>
        <v>Disponible Cali B.Chile</v>
      </c>
      <c r="E5409" s="341">
        <f>+F5409-G5409</f>
        <v>54100</v>
      </c>
      <c r="F5409" s="346">
        <v>54100</v>
      </c>
      <c r="G5409" s="346">
        <v>0</v>
      </c>
      <c r="H5409" t="s">
        <v>2332</v>
      </c>
      <c r="I5409" s="340" t="s">
        <v>131</v>
      </c>
      <c r="K5409" s="370"/>
      <c r="N5409" s="370"/>
    </row>
    <row r="5410" spans="1:14" s="347" customFormat="1" x14ac:dyDescent="0.25">
      <c r="A5410" s="402">
        <f>+A5409</f>
        <v>44508</v>
      </c>
      <c r="B5410" s="403">
        <f>+B5409</f>
        <v>11</v>
      </c>
      <c r="C5410" s="338">
        <v>1217</v>
      </c>
      <c r="D5410" s="340" t="str">
        <f>VLOOKUP(C5410,Plan!A:B,2,0)</f>
        <v>Otros Valores -Oficina y Transferencias (248)</v>
      </c>
      <c r="E5410" s="341">
        <f>+F5410-G5410</f>
        <v>-54100</v>
      </c>
      <c r="F5410" s="346">
        <v>0</v>
      </c>
      <c r="G5410" s="346">
        <f>+F5409</f>
        <v>54100</v>
      </c>
      <c r="H5410" s="338" t="str">
        <f>+H5409</f>
        <v>Maria Elisa Cruzat Silva / 248 (Ago-Sept)</v>
      </c>
      <c r="I5410" s="340" t="s">
        <v>131</v>
      </c>
      <c r="K5410" s="370"/>
      <c r="N5410" s="370"/>
    </row>
    <row r="5411" spans="1:14" s="347" customFormat="1" x14ac:dyDescent="0.25">
      <c r="A5411" s="369"/>
      <c r="E5411" s="396"/>
      <c r="F5411" s="396"/>
      <c r="G5411" s="396"/>
      <c r="K5411" s="370"/>
      <c r="N5411" s="370"/>
    </row>
    <row r="5412" spans="1:14" s="347" customFormat="1" x14ac:dyDescent="0.25">
      <c r="A5412" s="402">
        <v>44508</v>
      </c>
      <c r="B5412" s="403">
        <f>+MONTH(A5412)</f>
        <v>11</v>
      </c>
      <c r="C5412" s="338">
        <v>115</v>
      </c>
      <c r="D5412" s="340" t="str">
        <f>VLOOKUP(C5412,Plan!A:B,2,0)</f>
        <v>Disponible Cali B.Chile</v>
      </c>
      <c r="E5412" s="341">
        <f>+F5412-G5412</f>
        <v>2000</v>
      </c>
      <c r="F5412" s="346">
        <v>2000</v>
      </c>
      <c r="G5412" s="346">
        <v>0</v>
      </c>
      <c r="H5412" t="s">
        <v>1010</v>
      </c>
      <c r="I5412" s="340" t="s">
        <v>131</v>
      </c>
      <c r="K5412" s="370"/>
      <c r="N5412" s="370"/>
    </row>
    <row r="5413" spans="1:14" s="347" customFormat="1" x14ac:dyDescent="0.25">
      <c r="A5413" s="402">
        <f>+A5412</f>
        <v>44508</v>
      </c>
      <c r="B5413" s="403">
        <f>+B5412</f>
        <v>11</v>
      </c>
      <c r="C5413" s="338">
        <v>216</v>
      </c>
      <c r="D5413" s="340" t="str">
        <f>VLOOKUP(C5413,Plan!A:B,2,0)</f>
        <v>Cuenta por Pagar a Administración Colectas</v>
      </c>
      <c r="E5413" s="341">
        <f>+F5413-G5413</f>
        <v>-2000</v>
      </c>
      <c r="F5413" s="346">
        <v>0</v>
      </c>
      <c r="G5413" s="346">
        <f>+F5412</f>
        <v>2000</v>
      </c>
      <c r="H5413" s="338" t="str">
        <f>+H5412</f>
        <v>Colecta Raimundo Barros</v>
      </c>
      <c r="I5413" s="340" t="s">
        <v>131</v>
      </c>
      <c r="K5413" s="370"/>
      <c r="N5413" s="370"/>
    </row>
    <row r="5414" spans="1:14" s="347" customFormat="1" x14ac:dyDescent="0.25">
      <c r="A5414" s="369"/>
      <c r="E5414" s="396"/>
      <c r="F5414" s="396"/>
      <c r="G5414" s="396"/>
      <c r="K5414" s="370"/>
      <c r="N5414" s="370"/>
    </row>
    <row r="5415" spans="1:14" s="347" customFormat="1" x14ac:dyDescent="0.25">
      <c r="A5415" s="402">
        <v>44508</v>
      </c>
      <c r="B5415" s="403">
        <f>+MONTH(A5415)</f>
        <v>11</v>
      </c>
      <c r="C5415" s="338">
        <v>115</v>
      </c>
      <c r="D5415" s="340" t="str">
        <f>VLOOKUP(C5415,Plan!A:B,2,0)</f>
        <v>Disponible Cali B.Chile</v>
      </c>
      <c r="E5415" s="341">
        <f>+F5415-G5415</f>
        <v>25000</v>
      </c>
      <c r="F5415" s="346">
        <v>25000</v>
      </c>
      <c r="G5415" s="346">
        <v>0</v>
      </c>
      <c r="H5415" t="s">
        <v>980</v>
      </c>
      <c r="I5415" s="340" t="s">
        <v>131</v>
      </c>
      <c r="K5415" s="370"/>
      <c r="N5415" s="370"/>
    </row>
    <row r="5416" spans="1:14" s="347" customFormat="1" x14ac:dyDescent="0.25">
      <c r="A5416" s="402">
        <f>+A5415</f>
        <v>44508</v>
      </c>
      <c r="B5416" s="403">
        <f>+B5415</f>
        <v>11</v>
      </c>
      <c r="C5416" s="338">
        <v>1217</v>
      </c>
      <c r="D5416" s="340" t="str">
        <f>VLOOKUP(C5416,Plan!A:B,2,0)</f>
        <v>Otros Valores -Oficina y Transferencias (248)</v>
      </c>
      <c r="E5416" s="341">
        <f>+F5416-G5416</f>
        <v>-25000</v>
      </c>
      <c r="F5416" s="346">
        <v>0</v>
      </c>
      <c r="G5416" s="346">
        <f>+F5415</f>
        <v>25000</v>
      </c>
      <c r="H5416" s="338" t="str">
        <f>+H5415</f>
        <v xml:space="preserve">Florencia García /248 </v>
      </c>
      <c r="I5416" s="340" t="s">
        <v>131</v>
      </c>
      <c r="K5416" s="370"/>
      <c r="N5416" s="370"/>
    </row>
    <row r="5417" spans="1:14" s="347" customFormat="1" x14ac:dyDescent="0.25">
      <c r="A5417" s="369"/>
      <c r="E5417" s="396"/>
      <c r="F5417" s="396"/>
      <c r="G5417" s="396"/>
      <c r="K5417" s="370"/>
      <c r="N5417" s="370"/>
    </row>
    <row r="5418" spans="1:14" s="347" customFormat="1" x14ac:dyDescent="0.25">
      <c r="A5418" s="402">
        <v>44508</v>
      </c>
      <c r="B5418" s="403">
        <f>+MONTH(A5418)</f>
        <v>11</v>
      </c>
      <c r="C5418" s="338">
        <v>115</v>
      </c>
      <c r="D5418" s="340" t="str">
        <f>VLOOKUP(C5418,Plan!A:B,2,0)</f>
        <v>Disponible Cali B.Chile</v>
      </c>
      <c r="E5418" s="341">
        <f>+F5418-G5418</f>
        <v>30000</v>
      </c>
      <c r="F5418" s="346">
        <v>30000</v>
      </c>
      <c r="G5418" s="346">
        <v>0</v>
      </c>
      <c r="H5418" t="s">
        <v>1066</v>
      </c>
      <c r="I5418" s="340" t="s">
        <v>131</v>
      </c>
      <c r="K5418" s="370"/>
      <c r="N5418" s="370"/>
    </row>
    <row r="5419" spans="1:14" s="347" customFormat="1" x14ac:dyDescent="0.25">
      <c r="A5419" s="402">
        <f>+A5418</f>
        <v>44508</v>
      </c>
      <c r="B5419" s="403">
        <f>+B5418</f>
        <v>11</v>
      </c>
      <c r="C5419" s="338">
        <v>1222</v>
      </c>
      <c r="D5419" s="340" t="str">
        <f>VLOOKUP(C5419,Plan!A:B,2,0)</f>
        <v>Otros Valores -Oficina y Transferencias (249)</v>
      </c>
      <c r="E5419" s="341">
        <f>+F5419-G5419</f>
        <v>-30000</v>
      </c>
      <c r="F5419" s="346">
        <v>0</v>
      </c>
      <c r="G5419" s="346">
        <f>+F5418</f>
        <v>30000</v>
      </c>
      <c r="H5419" s="338" t="str">
        <f>+H5418</f>
        <v>Marie Solange Vinet Homar / 249</v>
      </c>
      <c r="I5419" s="340" t="s">
        <v>131</v>
      </c>
      <c r="K5419" s="370"/>
      <c r="N5419" s="370"/>
    </row>
    <row r="5420" spans="1:14" s="347" customFormat="1" x14ac:dyDescent="0.25">
      <c r="A5420" s="369"/>
      <c r="E5420" s="396"/>
      <c r="F5420" s="396"/>
      <c r="G5420" s="396"/>
      <c r="K5420" s="370"/>
      <c r="N5420" s="370"/>
    </row>
    <row r="5421" spans="1:14" s="347" customFormat="1" x14ac:dyDescent="0.25">
      <c r="A5421" s="402">
        <v>44508</v>
      </c>
      <c r="B5421" s="403">
        <f>+MONTH(A5421)</f>
        <v>11</v>
      </c>
      <c r="C5421" s="338">
        <v>115</v>
      </c>
      <c r="D5421" s="340" t="str">
        <f>VLOOKUP(C5421,Plan!A:B,2,0)</f>
        <v>Disponible Cali B.Chile</v>
      </c>
      <c r="E5421" s="341">
        <f>+F5421-G5421</f>
        <v>60000</v>
      </c>
      <c r="F5421" s="346">
        <v>60000</v>
      </c>
      <c r="G5421" s="346">
        <v>0</v>
      </c>
      <c r="H5421" t="s">
        <v>1047</v>
      </c>
      <c r="I5421" s="340" t="s">
        <v>131</v>
      </c>
      <c r="K5421" s="370"/>
      <c r="N5421" s="370"/>
    </row>
    <row r="5422" spans="1:14" s="347" customFormat="1" x14ac:dyDescent="0.25">
      <c r="A5422" s="402">
        <f>+A5421</f>
        <v>44508</v>
      </c>
      <c r="B5422" s="403">
        <f>+B5421</f>
        <v>11</v>
      </c>
      <c r="C5422" s="338">
        <v>1222</v>
      </c>
      <c r="D5422" s="340" t="str">
        <f>VLOOKUP(C5422,Plan!A:B,2,0)</f>
        <v>Otros Valores -Oficina y Transferencias (249)</v>
      </c>
      <c r="E5422" s="341">
        <f>+F5422-G5422</f>
        <v>-60000</v>
      </c>
      <c r="F5422" s="346">
        <v>0</v>
      </c>
      <c r="G5422" s="346">
        <f>+F5421</f>
        <v>60000</v>
      </c>
      <c r="H5422" s="338" t="str">
        <f>+H5421</f>
        <v>Carlos Lecaros Price / 249</v>
      </c>
      <c r="I5422" s="340" t="s">
        <v>131</v>
      </c>
      <c r="K5422" s="370"/>
      <c r="N5422" s="370"/>
    </row>
    <row r="5423" spans="1:14" s="347" customFormat="1" x14ac:dyDescent="0.25">
      <c r="A5423" s="369"/>
      <c r="E5423" s="396"/>
      <c r="F5423" s="396"/>
      <c r="G5423" s="396"/>
      <c r="K5423" s="370"/>
      <c r="N5423" s="370"/>
    </row>
    <row r="5424" spans="1:14" s="347" customFormat="1" x14ac:dyDescent="0.25">
      <c r="A5424" s="402">
        <v>44508</v>
      </c>
      <c r="B5424" s="403">
        <f>+MONTH(A5424)</f>
        <v>11</v>
      </c>
      <c r="C5424" s="338">
        <v>115</v>
      </c>
      <c r="D5424" s="340" t="str">
        <f>VLOOKUP(C5424,Plan!A:B,2,0)</f>
        <v>Disponible Cali B.Chile</v>
      </c>
      <c r="E5424" s="341">
        <f>+F5424-G5424</f>
        <v>85000</v>
      </c>
      <c r="F5424" s="346">
        <v>85000</v>
      </c>
      <c r="G5424" s="346">
        <v>0</v>
      </c>
      <c r="H5424" t="s">
        <v>986</v>
      </c>
      <c r="I5424" s="340" t="s">
        <v>131</v>
      </c>
      <c r="K5424" s="370"/>
      <c r="N5424" s="370"/>
    </row>
    <row r="5425" spans="1:14" s="347" customFormat="1" x14ac:dyDescent="0.25">
      <c r="A5425" s="402">
        <f>+A5424</f>
        <v>44508</v>
      </c>
      <c r="B5425" s="403">
        <f>+B5424</f>
        <v>11</v>
      </c>
      <c r="C5425" s="338">
        <v>141</v>
      </c>
      <c r="D5425" s="340" t="str">
        <f>VLOOKUP(C5425,Plan!A:B,2,0)</f>
        <v>Cuentas por Cobrar a Administración</v>
      </c>
      <c r="E5425" s="341">
        <f>+F5425-G5425</f>
        <v>-85000</v>
      </c>
      <c r="F5425" s="346">
        <v>0</v>
      </c>
      <c r="G5425" s="346">
        <f>+F5424</f>
        <v>85000</v>
      </c>
      <c r="H5425" s="338" t="str">
        <f>+H5424</f>
        <v>Colecta Ignacio Ureta L.</v>
      </c>
      <c r="I5425" s="340" t="s">
        <v>131</v>
      </c>
      <c r="K5425" s="370"/>
      <c r="N5425" s="370"/>
    </row>
    <row r="5426" spans="1:14" s="347" customFormat="1" x14ac:dyDescent="0.25">
      <c r="A5426" s="369"/>
      <c r="E5426" s="396"/>
      <c r="F5426" s="396"/>
      <c r="G5426" s="396"/>
      <c r="K5426" s="370"/>
      <c r="N5426" s="370"/>
    </row>
    <row r="5427" spans="1:14" s="347" customFormat="1" x14ac:dyDescent="0.25">
      <c r="A5427" s="402">
        <v>44508</v>
      </c>
      <c r="B5427" s="403">
        <f>+MONTH(A5427)</f>
        <v>11</v>
      </c>
      <c r="C5427" s="338">
        <v>115</v>
      </c>
      <c r="D5427" s="340" t="str">
        <f>VLOOKUP(C5427,Plan!A:B,2,0)</f>
        <v>Disponible Cali B.Chile</v>
      </c>
      <c r="E5427" s="341">
        <f>+F5427-G5427</f>
        <v>19631</v>
      </c>
      <c r="F5427" s="346">
        <v>19631</v>
      </c>
      <c r="G5427" s="346">
        <v>0</v>
      </c>
      <c r="H5427" t="s">
        <v>1858</v>
      </c>
      <c r="I5427" s="340" t="s">
        <v>131</v>
      </c>
      <c r="K5427" s="370"/>
      <c r="N5427" s="370"/>
    </row>
    <row r="5428" spans="1:14" s="347" customFormat="1" x14ac:dyDescent="0.25">
      <c r="A5428" s="402">
        <f>+A5427</f>
        <v>44508</v>
      </c>
      <c r="B5428" s="403">
        <f>+B5427</f>
        <v>11</v>
      </c>
      <c r="C5428" s="338">
        <v>1222</v>
      </c>
      <c r="D5428" s="340" t="str">
        <f>VLOOKUP(C5428,Plan!A:B,2,0)</f>
        <v>Otros Valores -Oficina y Transferencias (249)</v>
      </c>
      <c r="E5428" s="341">
        <f>+F5428-G5428</f>
        <v>-20000</v>
      </c>
      <c r="F5428" s="346">
        <v>0</v>
      </c>
      <c r="G5428" s="346">
        <v>20000</v>
      </c>
      <c r="H5428" s="338" t="str">
        <f>+H5427</f>
        <v>Sofía Guerrero V. / 249 D.C.T.($20.000)</v>
      </c>
      <c r="I5428" s="340" t="s">
        <v>131</v>
      </c>
      <c r="K5428" s="370"/>
      <c r="N5428" s="370"/>
    </row>
    <row r="5429" spans="1:14" s="347" customFormat="1" x14ac:dyDescent="0.25">
      <c r="A5429" s="402">
        <f>+A5428</f>
        <v>44508</v>
      </c>
      <c r="B5429" s="403">
        <f>+B5428</f>
        <v>11</v>
      </c>
      <c r="C5429" s="338">
        <v>4170</v>
      </c>
      <c r="D5429" s="340" t="str">
        <f>VLOOKUP(C5429,Plan!A:B,2,0)</f>
        <v>Cali otros</v>
      </c>
      <c r="E5429" s="341">
        <f>+F5429-G5429</f>
        <v>369</v>
      </c>
      <c r="F5429" s="346">
        <v>369</v>
      </c>
      <c r="G5429" s="346">
        <f>+F5428</f>
        <v>0</v>
      </c>
      <c r="H5429" s="338" t="str">
        <f>+H5428</f>
        <v>Sofía Guerrero V. / 249 D.C.T.($20.000)</v>
      </c>
      <c r="I5429" s="340" t="s">
        <v>131</v>
      </c>
      <c r="K5429" s="370"/>
      <c r="N5429" s="370"/>
    </row>
    <row r="5430" spans="1:14" s="347" customFormat="1" x14ac:dyDescent="0.25">
      <c r="A5430" s="369"/>
      <c r="E5430" s="396"/>
      <c r="F5430" s="396"/>
      <c r="G5430" s="396"/>
      <c r="K5430" s="370"/>
      <c r="N5430" s="370"/>
    </row>
    <row r="5431" spans="1:14" s="347" customFormat="1" x14ac:dyDescent="0.25">
      <c r="A5431" s="402">
        <v>44508</v>
      </c>
      <c r="B5431" s="403">
        <f>+MONTH(A5431)</f>
        <v>11</v>
      </c>
      <c r="C5431" s="338">
        <v>115</v>
      </c>
      <c r="D5431" s="340" t="str">
        <f>VLOOKUP(C5431,Plan!A:B,2,0)</f>
        <v>Disponible Cali B.Chile</v>
      </c>
      <c r="E5431" s="341">
        <f>+F5431-G5431</f>
        <v>60000</v>
      </c>
      <c r="F5431" s="346">
        <v>60000</v>
      </c>
      <c r="G5431" s="346">
        <v>0</v>
      </c>
      <c r="H5431" t="s">
        <v>1031</v>
      </c>
      <c r="I5431" s="340" t="s">
        <v>131</v>
      </c>
      <c r="K5431" s="370"/>
      <c r="N5431" s="370"/>
    </row>
    <row r="5432" spans="1:14" s="347" customFormat="1" x14ac:dyDescent="0.25">
      <c r="A5432" s="402">
        <f>+A5431</f>
        <v>44508</v>
      </c>
      <c r="B5432" s="403">
        <f>+B5431</f>
        <v>11</v>
      </c>
      <c r="C5432" s="338">
        <v>1217</v>
      </c>
      <c r="D5432" s="340" t="str">
        <f>VLOOKUP(C5432,Plan!A:B,2,0)</f>
        <v>Otros Valores -Oficina y Transferencias (248)</v>
      </c>
      <c r="E5432" s="341">
        <f>+F5432-G5432</f>
        <v>-60000</v>
      </c>
      <c r="F5432" s="346">
        <v>0</v>
      </c>
      <c r="G5432" s="346">
        <f>+F5431</f>
        <v>60000</v>
      </c>
      <c r="H5432" s="338" t="str">
        <f>+H5431</f>
        <v xml:space="preserve">D. Vassiliu /248 </v>
      </c>
      <c r="I5432" s="340" t="s">
        <v>131</v>
      </c>
      <c r="K5432" s="370"/>
      <c r="N5432" s="370"/>
    </row>
    <row r="5433" spans="1:14" s="347" customFormat="1" x14ac:dyDescent="0.25">
      <c r="K5433" s="370"/>
      <c r="N5433" s="370"/>
    </row>
    <row r="5434" spans="1:14" s="347" customFormat="1" x14ac:dyDescent="0.25">
      <c r="A5434" s="402">
        <v>44509</v>
      </c>
      <c r="B5434" s="403">
        <f>+MONTH(A5434)</f>
        <v>11</v>
      </c>
      <c r="C5434" s="338">
        <v>115</v>
      </c>
      <c r="D5434" s="340" t="str">
        <f>VLOOKUP(C5434,Plan!A:B,2,0)</f>
        <v>Disponible Cali B.Chile</v>
      </c>
      <c r="E5434" s="341">
        <f>+F5434-G5434</f>
        <v>150000</v>
      </c>
      <c r="F5434" s="346">
        <v>150000</v>
      </c>
      <c r="G5434" s="346">
        <v>0</v>
      </c>
      <c r="H5434" t="s">
        <v>1061</v>
      </c>
      <c r="I5434" s="340" t="s">
        <v>131</v>
      </c>
      <c r="K5434" s="370"/>
      <c r="N5434" s="370"/>
    </row>
    <row r="5435" spans="1:14" s="347" customFormat="1" x14ac:dyDescent="0.25">
      <c r="A5435" s="402">
        <f>+A5434</f>
        <v>44509</v>
      </c>
      <c r="B5435" s="403">
        <f>+B5434</f>
        <v>11</v>
      </c>
      <c r="C5435" s="338">
        <v>1217</v>
      </c>
      <c r="D5435" s="340" t="str">
        <f>VLOOKUP(C5435,Plan!A:B,2,0)</f>
        <v>Otros Valores -Oficina y Transferencias (248)</v>
      </c>
      <c r="E5435" s="341">
        <f>+F5435-G5435</f>
        <v>-150000</v>
      </c>
      <c r="F5435" s="346">
        <v>0</v>
      </c>
      <c r="G5435" s="346">
        <f>+F5434</f>
        <v>150000</v>
      </c>
      <c r="H5435" s="338" t="str">
        <f>+H5434</f>
        <v>Patricio Abalos /248</v>
      </c>
      <c r="I5435" s="340" t="s">
        <v>131</v>
      </c>
      <c r="K5435" s="370"/>
      <c r="N5435" s="370"/>
    </row>
    <row r="5436" spans="1:14" s="347" customFormat="1" x14ac:dyDescent="0.25">
      <c r="A5436" s="369"/>
      <c r="E5436" s="396"/>
      <c r="F5436" s="396"/>
      <c r="G5436" s="396"/>
      <c r="K5436" s="370"/>
      <c r="N5436" s="370"/>
    </row>
    <row r="5437" spans="1:14" s="347" customFormat="1" x14ac:dyDescent="0.25">
      <c r="A5437" s="402">
        <v>44509</v>
      </c>
      <c r="B5437" s="403">
        <f>+MONTH(A5437)</f>
        <v>11</v>
      </c>
      <c r="C5437" s="338">
        <v>115</v>
      </c>
      <c r="D5437" s="340" t="str">
        <f>VLOOKUP(C5437,Plan!A:B,2,0)</f>
        <v>Disponible Cali B.Chile</v>
      </c>
      <c r="E5437" s="341">
        <f>+F5437-G5437</f>
        <v>15000</v>
      </c>
      <c r="F5437" s="346">
        <v>15000</v>
      </c>
      <c r="G5437" s="346">
        <v>0</v>
      </c>
      <c r="H5437" t="s">
        <v>940</v>
      </c>
      <c r="I5437" s="340" t="s">
        <v>131</v>
      </c>
      <c r="K5437" s="370"/>
      <c r="N5437" s="370"/>
    </row>
    <row r="5438" spans="1:14" s="347" customFormat="1" x14ac:dyDescent="0.25">
      <c r="A5438" s="402">
        <f>+A5437</f>
        <v>44509</v>
      </c>
      <c r="B5438" s="403">
        <f>+B5437</f>
        <v>11</v>
      </c>
      <c r="C5438" s="338">
        <v>1216</v>
      </c>
      <c r="D5438" s="340" t="str">
        <f>VLOOKUP(C5438,Plan!A:B,2,0)</f>
        <v>Otros Valores Recaudadoras</v>
      </c>
      <c r="E5438" s="341">
        <f>+F5438-G5438</f>
        <v>-15000</v>
      </c>
      <c r="F5438" s="346">
        <v>0</v>
      </c>
      <c r="G5438" s="346">
        <f>+F5437</f>
        <v>15000</v>
      </c>
      <c r="H5438" s="338" t="str">
        <f>+H5437</f>
        <v>Ana María Reyes Garín / 248</v>
      </c>
      <c r="I5438" s="340" t="s">
        <v>131</v>
      </c>
      <c r="K5438" s="370"/>
      <c r="N5438" s="370"/>
    </row>
    <row r="5439" spans="1:14" s="347" customFormat="1" x14ac:dyDescent="0.25">
      <c r="A5439" s="369"/>
      <c r="E5439" s="396"/>
      <c r="F5439" s="396"/>
      <c r="G5439" s="396"/>
      <c r="K5439" s="370"/>
      <c r="N5439" s="370"/>
    </row>
    <row r="5440" spans="1:14" s="347" customFormat="1" x14ac:dyDescent="0.25">
      <c r="A5440" s="402">
        <v>44509</v>
      </c>
      <c r="B5440" s="403">
        <f>+MONTH(A5440)</f>
        <v>11</v>
      </c>
      <c r="C5440" s="338">
        <v>115</v>
      </c>
      <c r="D5440" s="340" t="str">
        <f>VLOOKUP(C5440,Plan!A:B,2,0)</f>
        <v>Disponible Cali B.Chile</v>
      </c>
      <c r="E5440" s="341">
        <f>+F5440-G5440</f>
        <v>30000</v>
      </c>
      <c r="F5440" s="346">
        <v>30000</v>
      </c>
      <c r="G5440" s="346">
        <v>0</v>
      </c>
      <c r="H5440" t="s">
        <v>1012</v>
      </c>
      <c r="I5440" s="340" t="s">
        <v>131</v>
      </c>
      <c r="K5440" s="370"/>
      <c r="N5440" s="370"/>
    </row>
    <row r="5441" spans="1:14" s="347" customFormat="1" x14ac:dyDescent="0.25">
      <c r="A5441" s="402">
        <f>+A5440</f>
        <v>44509</v>
      </c>
      <c r="B5441" s="403">
        <f>+B5440</f>
        <v>11</v>
      </c>
      <c r="C5441" s="338">
        <v>1222</v>
      </c>
      <c r="D5441" s="340" t="str">
        <f>VLOOKUP(C5441,Plan!A:B,2,0)</f>
        <v>Otros Valores -Oficina y Transferencias (249)</v>
      </c>
      <c r="E5441" s="341">
        <f>+F5441-G5441</f>
        <v>-30000</v>
      </c>
      <c r="F5441" s="346">
        <v>0</v>
      </c>
      <c r="G5441" s="346">
        <f>+F5440</f>
        <v>30000</v>
      </c>
      <c r="H5441" s="338" t="str">
        <f>+H5440</f>
        <v>María Luz Parodi Gil / 249</v>
      </c>
      <c r="I5441" s="340" t="s">
        <v>131</v>
      </c>
      <c r="K5441" s="370"/>
      <c r="N5441" s="370"/>
    </row>
    <row r="5442" spans="1:14" s="347" customFormat="1" x14ac:dyDescent="0.25">
      <c r="A5442" s="369"/>
      <c r="E5442" s="396"/>
      <c r="F5442" s="396"/>
      <c r="G5442" s="396"/>
      <c r="K5442" s="370"/>
      <c r="N5442" s="370"/>
    </row>
    <row r="5443" spans="1:14" s="347" customFormat="1" x14ac:dyDescent="0.25">
      <c r="A5443" s="402">
        <v>44509</v>
      </c>
      <c r="B5443" s="403">
        <f>+MONTH(A5443)</f>
        <v>11</v>
      </c>
      <c r="C5443" s="338">
        <v>115</v>
      </c>
      <c r="D5443" s="340" t="str">
        <f>VLOOKUP(C5443,Plan!A:B,2,0)</f>
        <v>Disponible Cali B.Chile</v>
      </c>
      <c r="E5443" s="341">
        <f>+F5443-G5443</f>
        <v>15000</v>
      </c>
      <c r="F5443" s="346">
        <v>15000</v>
      </c>
      <c r="G5443" s="346">
        <v>0</v>
      </c>
      <c r="H5443" t="s">
        <v>1761</v>
      </c>
      <c r="I5443" s="340" t="s">
        <v>131</v>
      </c>
      <c r="K5443" s="370"/>
      <c r="N5443" s="370"/>
    </row>
    <row r="5444" spans="1:14" s="347" customFormat="1" x14ac:dyDescent="0.25">
      <c r="A5444" s="402">
        <f>+A5443</f>
        <v>44509</v>
      </c>
      <c r="B5444" s="403">
        <f>+B5443</f>
        <v>11</v>
      </c>
      <c r="C5444" s="338">
        <v>3210</v>
      </c>
      <c r="D5444" s="340" t="str">
        <f>VLOOKUP(C5444,Plan!A:B,2,0)</f>
        <v>Donacion Construccion</v>
      </c>
      <c r="E5444" s="341">
        <f>+F5444-G5444</f>
        <v>-15000</v>
      </c>
      <c r="F5444" s="346">
        <v>0</v>
      </c>
      <c r="G5444" s="346">
        <f>+F5443</f>
        <v>15000</v>
      </c>
      <c r="H5444" s="338" t="str">
        <f>+H5443</f>
        <v>Carlos Alberto Fonck Limann / Azul</v>
      </c>
      <c r="I5444" s="340" t="s">
        <v>131</v>
      </c>
      <c r="K5444" s="370"/>
      <c r="N5444" s="370"/>
    </row>
    <row r="5445" spans="1:14" s="347" customFormat="1" x14ac:dyDescent="0.25">
      <c r="A5445" s="369"/>
      <c r="E5445" s="396"/>
      <c r="F5445" s="396"/>
      <c r="G5445" s="396"/>
      <c r="K5445" s="370"/>
      <c r="N5445" s="370"/>
    </row>
    <row r="5446" spans="1:14" s="347" customFormat="1" x14ac:dyDescent="0.25">
      <c r="A5446" s="402">
        <v>44509</v>
      </c>
      <c r="B5446" s="403">
        <f>+MONTH(A5446)</f>
        <v>11</v>
      </c>
      <c r="C5446" s="338">
        <v>115</v>
      </c>
      <c r="D5446" s="340" t="str">
        <f>VLOOKUP(C5446,Plan!A:B,2,0)</f>
        <v>Disponible Cali B.Chile</v>
      </c>
      <c r="E5446" s="341">
        <f>+F5446-G5446</f>
        <v>15705</v>
      </c>
      <c r="F5446" s="346">
        <v>15705</v>
      </c>
      <c r="G5446" s="346">
        <v>0</v>
      </c>
      <c r="H5446" t="s">
        <v>2333</v>
      </c>
      <c r="I5446" s="340" t="s">
        <v>131</v>
      </c>
      <c r="K5446" s="370"/>
      <c r="N5446" s="370"/>
    </row>
    <row r="5447" spans="1:14" s="347" customFormat="1" x14ac:dyDescent="0.25">
      <c r="A5447" s="402">
        <f>+A5446</f>
        <v>44509</v>
      </c>
      <c r="B5447" s="403">
        <f>+B5446</f>
        <v>11</v>
      </c>
      <c r="C5447" s="338">
        <v>1222</v>
      </c>
      <c r="D5447" s="340" t="str">
        <f>VLOOKUP(C5447,Plan!A:B,2,0)</f>
        <v>Otros Valores -Oficina y Transferencias (249)</v>
      </c>
      <c r="E5447" s="341">
        <f>+F5447-G5447</f>
        <v>-16000</v>
      </c>
      <c r="F5447" s="346">
        <v>0</v>
      </c>
      <c r="G5447" s="346">
        <v>16000</v>
      </c>
      <c r="H5447" s="338" t="str">
        <f>+H5446</f>
        <v>Carolina Reyes Dermer / 249 D.C.T.(M$16)10306033-8</v>
      </c>
      <c r="I5447" s="340" t="s">
        <v>131</v>
      </c>
      <c r="K5447" s="370"/>
      <c r="N5447" s="370"/>
    </row>
    <row r="5448" spans="1:14" s="347" customFormat="1" x14ac:dyDescent="0.25">
      <c r="A5448" s="402">
        <f>+A5447</f>
        <v>44509</v>
      </c>
      <c r="B5448" s="403">
        <f>+B5447</f>
        <v>11</v>
      </c>
      <c r="C5448" s="338">
        <v>4170</v>
      </c>
      <c r="D5448" s="340" t="str">
        <f>VLOOKUP(C5448,Plan!A:B,2,0)</f>
        <v>Cali otros</v>
      </c>
      <c r="E5448" s="341">
        <f>+F5448-G5448</f>
        <v>295</v>
      </c>
      <c r="F5448" s="346">
        <v>295</v>
      </c>
      <c r="G5448" s="346">
        <f>+F5447</f>
        <v>0</v>
      </c>
      <c r="H5448" s="338" t="str">
        <f>+H5447</f>
        <v>Carolina Reyes Dermer / 249 D.C.T.(M$16)10306033-8</v>
      </c>
      <c r="I5448" s="340" t="s">
        <v>131</v>
      </c>
      <c r="K5448" s="370"/>
      <c r="N5448" s="370"/>
    </row>
    <row r="5449" spans="1:14" s="347" customFormat="1" x14ac:dyDescent="0.25">
      <c r="A5449" s="369"/>
      <c r="E5449" s="396"/>
      <c r="F5449" s="396"/>
      <c r="G5449" s="396"/>
      <c r="K5449" s="370"/>
      <c r="N5449" s="370"/>
    </row>
    <row r="5450" spans="1:14" s="347" customFormat="1" x14ac:dyDescent="0.25">
      <c r="A5450" s="402">
        <v>44510</v>
      </c>
      <c r="B5450" s="403">
        <f>+MONTH(A5450)</f>
        <v>11</v>
      </c>
      <c r="C5450" s="338">
        <v>115</v>
      </c>
      <c r="D5450" s="340" t="str">
        <f>VLOOKUP(C5450,Plan!A:B,2,0)</f>
        <v>Disponible Cali B.Chile</v>
      </c>
      <c r="E5450" s="341">
        <f>+F5450-G5450</f>
        <v>30000</v>
      </c>
      <c r="F5450" s="346">
        <v>30000</v>
      </c>
      <c r="G5450" s="346">
        <v>0</v>
      </c>
      <c r="H5450" t="s">
        <v>1015</v>
      </c>
      <c r="I5450" s="340" t="s">
        <v>131</v>
      </c>
      <c r="K5450" s="370"/>
      <c r="N5450" s="370"/>
    </row>
    <row r="5451" spans="1:14" s="347" customFormat="1" x14ac:dyDescent="0.25">
      <c r="A5451" s="402">
        <f>+A5450</f>
        <v>44510</v>
      </c>
      <c r="B5451" s="403">
        <f>+B5450</f>
        <v>11</v>
      </c>
      <c r="C5451" s="338">
        <v>1222</v>
      </c>
      <c r="D5451" s="340" t="str">
        <f>VLOOKUP(C5451,Plan!A:B,2,0)</f>
        <v>Otros Valores -Oficina y Transferencias (249)</v>
      </c>
      <c r="E5451" s="341">
        <f>+F5451-G5451</f>
        <v>-30000</v>
      </c>
      <c r="F5451" s="346">
        <v>0</v>
      </c>
      <c r="G5451" s="346">
        <f>+F5450</f>
        <v>30000</v>
      </c>
      <c r="H5451" s="338" t="str">
        <f>+H5450</f>
        <v>Enrique Hurtado Ruiz-Tagle / 249</v>
      </c>
      <c r="I5451" s="340" t="s">
        <v>131</v>
      </c>
      <c r="K5451" s="370"/>
      <c r="N5451" s="370"/>
    </row>
    <row r="5452" spans="1:14" s="347" customFormat="1" x14ac:dyDescent="0.25">
      <c r="A5452" s="369"/>
      <c r="E5452" s="396"/>
      <c r="F5452" s="396"/>
      <c r="G5452" s="396"/>
      <c r="K5452" s="370"/>
      <c r="N5452" s="370"/>
    </row>
    <row r="5453" spans="1:14" s="347" customFormat="1" x14ac:dyDescent="0.25">
      <c r="A5453" s="402">
        <v>44510</v>
      </c>
      <c r="B5453" s="403">
        <f>+MONTH(A5453)</f>
        <v>11</v>
      </c>
      <c r="C5453" s="338">
        <v>115</v>
      </c>
      <c r="D5453" s="340" t="str">
        <f>VLOOKUP(C5453,Plan!A:B,2,0)</f>
        <v>Disponible Cali B.Chile</v>
      </c>
      <c r="E5453" s="341">
        <f>+F5453-G5453</f>
        <v>17000</v>
      </c>
      <c r="F5453" s="346">
        <v>17000</v>
      </c>
      <c r="G5453" s="346">
        <v>0</v>
      </c>
      <c r="H5453" t="s">
        <v>1016</v>
      </c>
      <c r="I5453" s="340" t="s">
        <v>131</v>
      </c>
      <c r="K5453" s="370"/>
      <c r="N5453" s="370"/>
    </row>
    <row r="5454" spans="1:14" s="347" customFormat="1" x14ac:dyDescent="0.25">
      <c r="A5454" s="402">
        <f>+A5453</f>
        <v>44510</v>
      </c>
      <c r="B5454" s="403">
        <f>+B5453</f>
        <v>11</v>
      </c>
      <c r="C5454" s="338">
        <v>1222</v>
      </c>
      <c r="D5454" s="340" t="str">
        <f>VLOOKUP(C5454,Plan!A:B,2,0)</f>
        <v>Otros Valores -Oficina y Transferencias (249)</v>
      </c>
      <c r="E5454" s="341">
        <f>+F5454-G5454</f>
        <v>-17000</v>
      </c>
      <c r="F5454" s="346">
        <v>0</v>
      </c>
      <c r="G5454" s="346">
        <f>+F5453</f>
        <v>17000</v>
      </c>
      <c r="H5454" s="338" t="str">
        <f>+H5453</f>
        <v>Alejandra Pérez Fabres / 249</v>
      </c>
      <c r="I5454" s="340" t="s">
        <v>131</v>
      </c>
      <c r="K5454" s="370"/>
      <c r="N5454" s="370"/>
    </row>
    <row r="5455" spans="1:14" s="347" customFormat="1" x14ac:dyDescent="0.25">
      <c r="A5455" s="369"/>
      <c r="E5455" s="396"/>
      <c r="F5455" s="396"/>
      <c r="G5455" s="396"/>
      <c r="K5455" s="370"/>
      <c r="N5455" s="370"/>
    </row>
    <row r="5456" spans="1:14" s="347" customFormat="1" x14ac:dyDescent="0.25">
      <c r="A5456" s="402">
        <v>44511</v>
      </c>
      <c r="B5456" s="403">
        <f>+MONTH(A5456)</f>
        <v>11</v>
      </c>
      <c r="C5456" s="338">
        <v>115</v>
      </c>
      <c r="D5456" s="340" t="str">
        <f>VLOOKUP(C5456,Plan!A:B,2,0)</f>
        <v>Disponible Cali B.Chile</v>
      </c>
      <c r="E5456" s="341">
        <f>+F5456-G5456</f>
        <v>3000000</v>
      </c>
      <c r="F5456" s="346">
        <v>3000000</v>
      </c>
      <c r="G5456" s="346">
        <v>0</v>
      </c>
      <c r="H5456" t="s">
        <v>1668</v>
      </c>
      <c r="I5456" s="340" t="s">
        <v>131</v>
      </c>
      <c r="K5456" s="370"/>
      <c r="N5456" s="370"/>
    </row>
    <row r="5457" spans="1:14" s="347" customFormat="1" x14ac:dyDescent="0.25">
      <c r="A5457" s="402">
        <f>+A5456</f>
        <v>44511</v>
      </c>
      <c r="B5457" s="403">
        <f>+B5456</f>
        <v>11</v>
      </c>
      <c r="C5457" s="338">
        <v>3210</v>
      </c>
      <c r="D5457" s="340" t="str">
        <f>VLOOKUP(C5457,Plan!A:B,2,0)</f>
        <v>Donacion Construccion</v>
      </c>
      <c r="E5457" s="341">
        <f>+F5457-G5457</f>
        <v>-3000000</v>
      </c>
      <c r="F5457" s="346">
        <v>0</v>
      </c>
      <c r="G5457" s="346">
        <f>+F5456</f>
        <v>3000000</v>
      </c>
      <c r="H5457" s="338" t="str">
        <f>+H5456</f>
        <v>José Tomás Guzmán Rencoret / Azul</v>
      </c>
      <c r="I5457" s="340" t="s">
        <v>131</v>
      </c>
      <c r="K5457" s="370"/>
      <c r="N5457" s="370"/>
    </row>
    <row r="5458" spans="1:14" s="347" customFormat="1" x14ac:dyDescent="0.25">
      <c r="A5458" s="369"/>
      <c r="E5458" s="396"/>
      <c r="F5458" s="396"/>
      <c r="G5458" s="396"/>
      <c r="K5458" s="370"/>
      <c r="N5458" s="370"/>
    </row>
    <row r="5459" spans="1:14" s="347" customFormat="1" x14ac:dyDescent="0.25">
      <c r="A5459" s="402">
        <v>44511</v>
      </c>
      <c r="B5459" s="403">
        <f>+MONTH(A5459)</f>
        <v>11</v>
      </c>
      <c r="C5459" s="338">
        <v>115</v>
      </c>
      <c r="D5459" s="340" t="str">
        <f>VLOOKUP(C5459,Plan!A:B,2,0)</f>
        <v>Disponible Cali B.Chile</v>
      </c>
      <c r="E5459" s="341">
        <f>+F5459-G5459</f>
        <v>65000</v>
      </c>
      <c r="F5459" s="346">
        <v>65000</v>
      </c>
      <c r="G5459" s="346">
        <v>0</v>
      </c>
      <c r="H5459" t="s">
        <v>550</v>
      </c>
      <c r="I5459" s="340" t="s">
        <v>131</v>
      </c>
      <c r="K5459" s="370"/>
      <c r="N5459" s="370"/>
    </row>
    <row r="5460" spans="1:14" s="347" customFormat="1" x14ac:dyDescent="0.25">
      <c r="A5460" s="402">
        <f>+A5459</f>
        <v>44511</v>
      </c>
      <c r="B5460" s="403">
        <f>+B5459</f>
        <v>11</v>
      </c>
      <c r="C5460" s="338">
        <v>1217</v>
      </c>
      <c r="D5460" s="340" t="str">
        <f>VLOOKUP(C5460,Plan!A:B,2,0)</f>
        <v>Otros Valores -Oficina y Transferencias (248)</v>
      </c>
      <c r="E5460" s="341">
        <f>+F5460-G5460</f>
        <v>-65000</v>
      </c>
      <c r="F5460" s="346">
        <v>0</v>
      </c>
      <c r="G5460" s="346">
        <f>+F5459</f>
        <v>65000</v>
      </c>
      <c r="H5460" s="338" t="str">
        <f>+H5459</f>
        <v>Leonardo Robles / 248</v>
      </c>
      <c r="I5460" s="340" t="s">
        <v>131</v>
      </c>
      <c r="K5460" s="370"/>
      <c r="N5460" s="370"/>
    </row>
    <row r="5461" spans="1:14" s="347" customFormat="1" x14ac:dyDescent="0.25">
      <c r="A5461" s="369"/>
      <c r="E5461" s="396"/>
      <c r="F5461" s="396"/>
      <c r="G5461" s="396"/>
      <c r="K5461" s="370"/>
      <c r="N5461" s="370"/>
    </row>
    <row r="5462" spans="1:14" s="347" customFormat="1" x14ac:dyDescent="0.25">
      <c r="A5462" s="402">
        <v>44512</v>
      </c>
      <c r="B5462" s="403">
        <f>+MONTH(A5462)</f>
        <v>11</v>
      </c>
      <c r="C5462" s="338">
        <v>115</v>
      </c>
      <c r="D5462" s="340" t="str">
        <f>VLOOKUP(C5462,Plan!A:B,2,0)</f>
        <v>Disponible Cali B.Chile</v>
      </c>
      <c r="E5462" s="341">
        <f>+F5462-G5462</f>
        <v>60000</v>
      </c>
      <c r="F5462" s="346">
        <v>60000</v>
      </c>
      <c r="G5462" s="346">
        <v>0</v>
      </c>
      <c r="H5462" t="s">
        <v>1042</v>
      </c>
      <c r="I5462" s="340" t="s">
        <v>131</v>
      </c>
      <c r="K5462" s="370"/>
      <c r="N5462" s="370"/>
    </row>
    <row r="5463" spans="1:14" s="347" customFormat="1" x14ac:dyDescent="0.25">
      <c r="A5463" s="402">
        <f>+A5462</f>
        <v>44512</v>
      </c>
      <c r="B5463" s="403">
        <f>+B5462</f>
        <v>11</v>
      </c>
      <c r="C5463" s="338">
        <v>1216</v>
      </c>
      <c r="D5463" s="340" t="str">
        <f>VLOOKUP(C5463,Plan!A:B,2,0)</f>
        <v>Otros Valores Recaudadoras</v>
      </c>
      <c r="E5463" s="341">
        <f>+F5463-G5463</f>
        <v>-60000</v>
      </c>
      <c r="F5463" s="346">
        <v>0</v>
      </c>
      <c r="G5463" s="346">
        <f>+F5462</f>
        <v>60000</v>
      </c>
      <c r="H5463" s="338" t="str">
        <f>+H5462</f>
        <v>José Tomás Poblete Jara / 248</v>
      </c>
      <c r="I5463" s="340" t="s">
        <v>131</v>
      </c>
      <c r="K5463" s="370"/>
      <c r="N5463" s="370"/>
    </row>
    <row r="5464" spans="1:14" s="347" customFormat="1" x14ac:dyDescent="0.25">
      <c r="A5464" s="369"/>
      <c r="E5464" s="396"/>
      <c r="F5464" s="396"/>
      <c r="G5464" s="396"/>
      <c r="K5464" s="370"/>
      <c r="N5464" s="370"/>
    </row>
    <row r="5465" spans="1:14" s="347" customFormat="1" x14ac:dyDescent="0.25">
      <c r="A5465" s="402">
        <v>44512</v>
      </c>
      <c r="B5465" s="403">
        <f>+MONTH(A5465)</f>
        <v>11</v>
      </c>
      <c r="C5465" s="338">
        <v>115</v>
      </c>
      <c r="D5465" s="340" t="str">
        <f>VLOOKUP(C5465,Plan!A:B,2,0)</f>
        <v>Disponible Cali B.Chile</v>
      </c>
      <c r="E5465" s="341">
        <f>+F5465-G5465</f>
        <v>20000</v>
      </c>
      <c r="F5465" s="346">
        <v>20000</v>
      </c>
      <c r="G5465" s="346">
        <v>0</v>
      </c>
      <c r="H5465" t="s">
        <v>1028</v>
      </c>
      <c r="I5465" s="340" t="s">
        <v>131</v>
      </c>
      <c r="K5465" s="370"/>
      <c r="N5465" s="370"/>
    </row>
    <row r="5466" spans="1:14" s="347" customFormat="1" x14ac:dyDescent="0.25">
      <c r="A5466" s="402">
        <f>+A5465</f>
        <v>44512</v>
      </c>
      <c r="B5466" s="403">
        <f>+B5465</f>
        <v>11</v>
      </c>
      <c r="C5466" s="338">
        <v>1217</v>
      </c>
      <c r="D5466" s="340" t="str">
        <f>VLOOKUP(C5466,Plan!A:B,2,0)</f>
        <v>Otros Valores -Oficina y Transferencias (248)</v>
      </c>
      <c r="E5466" s="341">
        <f>+F5466-G5466</f>
        <v>-20000</v>
      </c>
      <c r="F5466" s="346">
        <v>0</v>
      </c>
      <c r="G5466" s="346">
        <f>+F5465</f>
        <v>20000</v>
      </c>
      <c r="H5466" s="338" t="str">
        <f>+H5465</f>
        <v>Carmen Gloria Rivas Varas / 248</v>
      </c>
      <c r="I5466" s="340" t="s">
        <v>131</v>
      </c>
      <c r="K5466" s="370"/>
      <c r="N5466" s="370"/>
    </row>
    <row r="5467" spans="1:14" s="347" customFormat="1" x14ac:dyDescent="0.25">
      <c r="A5467" s="369"/>
      <c r="E5467" s="396"/>
      <c r="F5467" s="396"/>
      <c r="G5467" s="396"/>
      <c r="K5467" s="370"/>
      <c r="N5467" s="370"/>
    </row>
    <row r="5468" spans="1:14" s="347" customFormat="1" x14ac:dyDescent="0.25">
      <c r="A5468" s="402">
        <v>44515</v>
      </c>
      <c r="B5468" s="403">
        <f>+MONTH(A5468)</f>
        <v>11</v>
      </c>
      <c r="C5468" s="338">
        <v>115</v>
      </c>
      <c r="D5468" s="340" t="str">
        <f>VLOOKUP(C5468,Plan!A:B,2,0)</f>
        <v>Disponible Cali B.Chile</v>
      </c>
      <c r="E5468" s="341">
        <f>+F5468-G5468</f>
        <v>20000</v>
      </c>
      <c r="F5468" s="346">
        <v>20000</v>
      </c>
      <c r="G5468" s="346">
        <v>0</v>
      </c>
      <c r="H5468" t="s">
        <v>999</v>
      </c>
      <c r="I5468" s="340" t="s">
        <v>131</v>
      </c>
      <c r="K5468" s="370"/>
      <c r="N5468" s="370"/>
    </row>
    <row r="5469" spans="1:14" s="347" customFormat="1" x14ac:dyDescent="0.25">
      <c r="A5469" s="402">
        <f>+A5468</f>
        <v>44515</v>
      </c>
      <c r="B5469" s="403">
        <f>+B5468</f>
        <v>11</v>
      </c>
      <c r="C5469" s="338">
        <v>1222</v>
      </c>
      <c r="D5469" s="340" t="str">
        <f>VLOOKUP(C5469,Plan!A:B,2,0)</f>
        <v>Otros Valores -Oficina y Transferencias (249)</v>
      </c>
      <c r="E5469" s="341">
        <f>+F5469-G5469</f>
        <v>-20000</v>
      </c>
      <c r="F5469" s="346">
        <v>0</v>
      </c>
      <c r="G5469" s="346">
        <f>+F5468</f>
        <v>20000</v>
      </c>
      <c r="H5469" s="338" t="str">
        <f>+H5468</f>
        <v>Carmen Mónica Barañao Rojas/249</v>
      </c>
      <c r="I5469" s="340" t="s">
        <v>131</v>
      </c>
      <c r="K5469" s="370"/>
      <c r="N5469" s="370"/>
    </row>
    <row r="5470" spans="1:14" s="347" customFormat="1" x14ac:dyDescent="0.25">
      <c r="A5470" s="369"/>
      <c r="E5470" s="396"/>
      <c r="F5470" s="396"/>
      <c r="G5470" s="396"/>
      <c r="K5470" s="370"/>
      <c r="N5470" s="370"/>
    </row>
    <row r="5471" spans="1:14" s="347" customFormat="1" x14ac:dyDescent="0.25">
      <c r="A5471" s="402">
        <v>44515</v>
      </c>
      <c r="B5471" s="403">
        <f>+MONTH(A5471)</f>
        <v>11</v>
      </c>
      <c r="C5471" s="338">
        <v>115</v>
      </c>
      <c r="D5471" s="340" t="str">
        <f>VLOOKUP(C5471,Plan!A:B,2,0)</f>
        <v>Disponible Cali B.Chile</v>
      </c>
      <c r="E5471" s="341">
        <f>+F5471-G5471</f>
        <v>7000</v>
      </c>
      <c r="F5471" s="346">
        <v>7000</v>
      </c>
      <c r="G5471" s="346">
        <v>0</v>
      </c>
      <c r="H5471" t="s">
        <v>1078</v>
      </c>
      <c r="I5471" s="340" t="s">
        <v>131</v>
      </c>
      <c r="K5471" s="370"/>
      <c r="N5471" s="370"/>
    </row>
    <row r="5472" spans="1:14" s="347" customFormat="1" x14ac:dyDescent="0.25">
      <c r="A5472" s="402">
        <f>+A5471</f>
        <v>44515</v>
      </c>
      <c r="B5472" s="403">
        <f>+B5471</f>
        <v>11</v>
      </c>
      <c r="C5472" s="338">
        <v>1222</v>
      </c>
      <c r="D5472" s="340" t="str">
        <f>VLOOKUP(C5472,Plan!A:B,2,0)</f>
        <v>Otros Valores -Oficina y Transferencias (249)</v>
      </c>
      <c r="E5472" s="341">
        <f>+F5472-G5472</f>
        <v>-7000</v>
      </c>
      <c r="F5472" s="346">
        <v>0</v>
      </c>
      <c r="G5472" s="346">
        <f>+F5471</f>
        <v>7000</v>
      </c>
      <c r="H5472" s="338" t="str">
        <f>+H5471</f>
        <v>Isabel Margarita Cortés Testart/249</v>
      </c>
      <c r="I5472" s="340" t="s">
        <v>131</v>
      </c>
      <c r="K5472" s="370"/>
      <c r="N5472" s="370"/>
    </row>
    <row r="5473" spans="1:14" s="347" customFormat="1" x14ac:dyDescent="0.25">
      <c r="A5473" s="369"/>
      <c r="E5473" s="396"/>
      <c r="F5473" s="396"/>
      <c r="G5473" s="396"/>
      <c r="K5473" s="370"/>
      <c r="N5473" s="370"/>
    </row>
    <row r="5474" spans="1:14" s="347" customFormat="1" x14ac:dyDescent="0.25">
      <c r="A5474" s="402">
        <v>44515</v>
      </c>
      <c r="B5474" s="403">
        <f>+MONTH(A5474)</f>
        <v>11</v>
      </c>
      <c r="C5474" s="338">
        <v>115</v>
      </c>
      <c r="D5474" s="340" t="str">
        <f>VLOOKUP(C5474,Plan!A:B,2,0)</f>
        <v>Disponible Cali B.Chile</v>
      </c>
      <c r="E5474" s="341">
        <f>+F5474-G5474</f>
        <v>2000</v>
      </c>
      <c r="F5474" s="346">
        <v>2000</v>
      </c>
      <c r="G5474" s="346">
        <v>0</v>
      </c>
      <c r="H5474" t="s">
        <v>1010</v>
      </c>
      <c r="I5474" s="340" t="s">
        <v>131</v>
      </c>
      <c r="K5474" s="370"/>
      <c r="N5474" s="370"/>
    </row>
    <row r="5475" spans="1:14" s="347" customFormat="1" x14ac:dyDescent="0.25">
      <c r="A5475" s="402">
        <f>+A5474</f>
        <v>44515</v>
      </c>
      <c r="B5475" s="403">
        <f>+B5474</f>
        <v>11</v>
      </c>
      <c r="C5475" s="338">
        <v>216</v>
      </c>
      <c r="D5475" s="340" t="str">
        <f>VLOOKUP(C5475,Plan!A:B,2,0)</f>
        <v>Cuenta por Pagar a Administración Colectas</v>
      </c>
      <c r="E5475" s="341">
        <f>+F5475-G5475</f>
        <v>-2000</v>
      </c>
      <c r="F5475" s="346">
        <v>0</v>
      </c>
      <c r="G5475" s="346">
        <f>+F5474</f>
        <v>2000</v>
      </c>
      <c r="H5475" s="338" t="str">
        <f>+H5474</f>
        <v>Colecta Raimundo Barros</v>
      </c>
      <c r="I5475" s="340" t="s">
        <v>131</v>
      </c>
      <c r="K5475" s="370"/>
      <c r="N5475" s="370"/>
    </row>
    <row r="5476" spans="1:14" s="347" customFormat="1" x14ac:dyDescent="0.25">
      <c r="A5476" s="369"/>
      <c r="E5476" s="396"/>
      <c r="F5476" s="396"/>
      <c r="G5476" s="396"/>
      <c r="K5476" s="370"/>
      <c r="N5476" s="370"/>
    </row>
    <row r="5477" spans="1:14" s="347" customFormat="1" x14ac:dyDescent="0.25">
      <c r="A5477" s="402">
        <v>44515</v>
      </c>
      <c r="B5477" s="403">
        <f>+MONTH(A5477)</f>
        <v>11</v>
      </c>
      <c r="C5477" s="338">
        <v>115</v>
      </c>
      <c r="D5477" s="340" t="str">
        <f>VLOOKUP(C5477,Plan!A:B,2,0)</f>
        <v>Disponible Cali B.Chile</v>
      </c>
      <c r="E5477" s="341">
        <f>+F5477-G5477</f>
        <v>20000</v>
      </c>
      <c r="F5477" s="346">
        <v>20000</v>
      </c>
      <c r="G5477" s="346">
        <v>0</v>
      </c>
      <c r="H5477" t="s">
        <v>1022</v>
      </c>
      <c r="I5477" s="340" t="s">
        <v>131</v>
      </c>
      <c r="K5477" s="370"/>
      <c r="N5477" s="370"/>
    </row>
    <row r="5478" spans="1:14" s="347" customFormat="1" x14ac:dyDescent="0.25">
      <c r="A5478" s="402">
        <f>+A5477</f>
        <v>44515</v>
      </c>
      <c r="B5478" s="403">
        <f>+B5477</f>
        <v>11</v>
      </c>
      <c r="C5478" s="338">
        <v>3210</v>
      </c>
      <c r="D5478" s="340" t="str">
        <f>VLOOKUP(C5478,Plan!A:B,2,0)</f>
        <v>Donacion Construccion</v>
      </c>
      <c r="E5478" s="341">
        <f>+F5478-G5478</f>
        <v>-20000</v>
      </c>
      <c r="F5478" s="346">
        <v>0</v>
      </c>
      <c r="G5478" s="346">
        <f>+F5477</f>
        <v>20000</v>
      </c>
      <c r="H5478" s="338" t="str">
        <f>+H5477</f>
        <v>M.Graciela Garrido C. / Azul</v>
      </c>
      <c r="I5478" s="340" t="s">
        <v>131</v>
      </c>
      <c r="K5478" s="370"/>
      <c r="N5478" s="370"/>
    </row>
    <row r="5479" spans="1:14" s="347" customFormat="1" x14ac:dyDescent="0.25">
      <c r="A5479" s="369"/>
      <c r="E5479" s="396"/>
      <c r="F5479" s="396"/>
      <c r="G5479" s="396"/>
      <c r="K5479" s="370"/>
      <c r="N5479" s="370"/>
    </row>
    <row r="5480" spans="1:14" s="347" customFormat="1" x14ac:dyDescent="0.25">
      <c r="A5480" s="402">
        <v>44515</v>
      </c>
      <c r="B5480" s="403">
        <f>+MONTH(A5480)</f>
        <v>11</v>
      </c>
      <c r="C5480" s="338">
        <v>115</v>
      </c>
      <c r="D5480" s="340" t="str">
        <f>VLOOKUP(C5480,Plan!A:B,2,0)</f>
        <v>Disponible Cali B.Chile</v>
      </c>
      <c r="E5480" s="341">
        <f>+F5480-G5480</f>
        <v>25000</v>
      </c>
      <c r="F5480" s="346">
        <v>25000</v>
      </c>
      <c r="G5480" s="346">
        <v>0</v>
      </c>
      <c r="H5480" t="s">
        <v>1023</v>
      </c>
      <c r="I5480" s="340" t="s">
        <v>131</v>
      </c>
      <c r="K5480" s="370"/>
      <c r="N5480" s="370"/>
    </row>
    <row r="5481" spans="1:14" s="347" customFormat="1" x14ac:dyDescent="0.25">
      <c r="A5481" s="402">
        <f>+A5480</f>
        <v>44515</v>
      </c>
      <c r="B5481" s="403">
        <f>+B5480</f>
        <v>11</v>
      </c>
      <c r="C5481" s="338">
        <v>1222</v>
      </c>
      <c r="D5481" s="340" t="str">
        <f>VLOOKUP(C5481,Plan!A:B,2,0)</f>
        <v>Otros Valores -Oficina y Transferencias (249)</v>
      </c>
      <c r="E5481" s="341">
        <f>+F5481-G5481</f>
        <v>-25000</v>
      </c>
      <c r="F5481" s="346">
        <v>0</v>
      </c>
      <c r="G5481" s="346">
        <f>+F5480</f>
        <v>25000</v>
      </c>
      <c r="H5481" s="338" t="str">
        <f>+H5480</f>
        <v>M.Graciela Garrido C. / 249</v>
      </c>
      <c r="I5481" s="340" t="s">
        <v>131</v>
      </c>
      <c r="K5481" s="370"/>
      <c r="N5481" s="370"/>
    </row>
    <row r="5482" spans="1:14" s="347" customFormat="1" x14ac:dyDescent="0.25">
      <c r="A5482" s="369"/>
      <c r="E5482" s="396"/>
      <c r="F5482" s="396"/>
      <c r="G5482" s="396"/>
      <c r="K5482" s="370"/>
      <c r="N5482" s="370"/>
    </row>
    <row r="5483" spans="1:14" s="347" customFormat="1" x14ac:dyDescent="0.25">
      <c r="A5483" s="402">
        <v>44515</v>
      </c>
      <c r="B5483" s="403">
        <f>+MONTH(A5483)</f>
        <v>11</v>
      </c>
      <c r="C5483" s="338">
        <v>115</v>
      </c>
      <c r="D5483" s="340" t="str">
        <f>VLOOKUP(C5483,Plan!A:B,2,0)</f>
        <v>Disponible Cali B.Chile</v>
      </c>
      <c r="E5483" s="341">
        <f>+F5483-G5483</f>
        <v>50000</v>
      </c>
      <c r="F5483" s="346">
        <v>50000</v>
      </c>
      <c r="G5483" s="346">
        <v>0</v>
      </c>
      <c r="H5483" t="s">
        <v>1024</v>
      </c>
      <c r="I5483" s="340" t="s">
        <v>131</v>
      </c>
      <c r="K5483" s="370"/>
      <c r="N5483" s="370"/>
    </row>
    <row r="5484" spans="1:14" s="347" customFormat="1" x14ac:dyDescent="0.25">
      <c r="A5484" s="402">
        <f>+A5483</f>
        <v>44515</v>
      </c>
      <c r="B5484" s="403">
        <f>+B5483</f>
        <v>11</v>
      </c>
      <c r="C5484" s="338">
        <v>1222</v>
      </c>
      <c r="D5484" s="340" t="str">
        <f>VLOOKUP(C5484,Plan!A:B,2,0)</f>
        <v>Otros Valores -Oficina y Transferencias (249)</v>
      </c>
      <c r="E5484" s="341">
        <f>+F5484-G5484</f>
        <v>-50000</v>
      </c>
      <c r="F5484" s="346">
        <v>0</v>
      </c>
      <c r="G5484" s="346">
        <f>+F5483</f>
        <v>50000</v>
      </c>
      <c r="H5484" s="338" t="str">
        <f>+H5483</f>
        <v>Bernardita Mujica Gutierrez  / 249</v>
      </c>
      <c r="I5484" s="340" t="s">
        <v>131</v>
      </c>
      <c r="K5484" s="370"/>
      <c r="N5484" s="370"/>
    </row>
    <row r="5485" spans="1:14" s="347" customFormat="1" x14ac:dyDescent="0.25">
      <c r="A5485" s="369"/>
      <c r="E5485" s="396"/>
      <c r="F5485" s="396"/>
      <c r="G5485" s="396"/>
      <c r="K5485" s="370"/>
      <c r="N5485" s="370"/>
    </row>
    <row r="5486" spans="1:14" s="347" customFormat="1" x14ac:dyDescent="0.25">
      <c r="A5486" s="402">
        <v>44515</v>
      </c>
      <c r="B5486" s="403">
        <f>+MONTH(A5486)</f>
        <v>11</v>
      </c>
      <c r="C5486" s="338">
        <v>115</v>
      </c>
      <c r="D5486" s="340" t="str">
        <f>VLOOKUP(C5486,Plan!A:B,2,0)</f>
        <v>Disponible Cali B.Chile</v>
      </c>
      <c r="E5486" s="341">
        <f>+F5486-G5486</f>
        <v>5000</v>
      </c>
      <c r="F5486" s="346">
        <v>5000</v>
      </c>
      <c r="G5486" s="346">
        <v>0</v>
      </c>
      <c r="H5486" t="s">
        <v>1861</v>
      </c>
      <c r="I5486" s="340" t="s">
        <v>131</v>
      </c>
      <c r="K5486" s="370"/>
      <c r="N5486" s="370"/>
    </row>
    <row r="5487" spans="1:14" s="347" customFormat="1" x14ac:dyDescent="0.25">
      <c r="A5487" s="402">
        <f>+A5486</f>
        <v>44515</v>
      </c>
      <c r="B5487" s="403">
        <f>+B5486</f>
        <v>11</v>
      </c>
      <c r="C5487" s="338">
        <v>216</v>
      </c>
      <c r="D5487" s="340" t="str">
        <f>VLOOKUP(C5487,Plan!A:B,2,0)</f>
        <v>Cuenta por Pagar a Administración Colectas</v>
      </c>
      <c r="E5487" s="341">
        <f>+F5487-G5487</f>
        <v>-5000</v>
      </c>
      <c r="F5487" s="346">
        <v>0</v>
      </c>
      <c r="G5487" s="346">
        <f>+F5486</f>
        <v>5000</v>
      </c>
      <c r="H5487" s="338" t="str">
        <f>+H5486</f>
        <v>Colecta Pilar Bustamante</v>
      </c>
      <c r="I5487" s="340" t="s">
        <v>131</v>
      </c>
      <c r="K5487" s="370"/>
      <c r="N5487" s="370"/>
    </row>
    <row r="5488" spans="1:14" s="347" customFormat="1" x14ac:dyDescent="0.25">
      <c r="A5488" s="369"/>
      <c r="E5488" s="396"/>
      <c r="F5488" s="396"/>
      <c r="G5488" s="396"/>
      <c r="K5488" s="370"/>
      <c r="N5488" s="370"/>
    </row>
    <row r="5489" spans="1:14" s="347" customFormat="1" x14ac:dyDescent="0.25">
      <c r="A5489" s="402">
        <v>44515</v>
      </c>
      <c r="B5489" s="403">
        <f>+MONTH(A5489)</f>
        <v>11</v>
      </c>
      <c r="C5489" s="338">
        <v>115</v>
      </c>
      <c r="D5489" s="340" t="str">
        <f>VLOOKUP(C5489,Plan!A:B,2,0)</f>
        <v>Disponible Cali B.Chile</v>
      </c>
      <c r="E5489" s="341">
        <f>+F5489-G5489</f>
        <v>20000</v>
      </c>
      <c r="F5489" s="346">
        <v>20000</v>
      </c>
      <c r="G5489" s="346">
        <v>0</v>
      </c>
      <c r="H5489" t="s">
        <v>1025</v>
      </c>
      <c r="I5489" s="340" t="s">
        <v>131</v>
      </c>
      <c r="K5489" s="370"/>
      <c r="N5489" s="370"/>
    </row>
    <row r="5490" spans="1:14" s="347" customFormat="1" x14ac:dyDescent="0.25">
      <c r="A5490" s="402">
        <f>+A5489</f>
        <v>44515</v>
      </c>
      <c r="B5490" s="403">
        <f>+B5489</f>
        <v>11</v>
      </c>
      <c r="C5490" s="338">
        <v>1222</v>
      </c>
      <c r="D5490" s="340" t="str">
        <f>VLOOKUP(C5490,Plan!A:B,2,0)</f>
        <v>Otros Valores -Oficina y Transferencias (249)</v>
      </c>
      <c r="E5490" s="341">
        <f>+F5490-G5490</f>
        <v>-20000</v>
      </c>
      <c r="F5490" s="346">
        <v>0</v>
      </c>
      <c r="G5490" s="346">
        <f>+F5489</f>
        <v>20000</v>
      </c>
      <c r="H5490" s="338" t="str">
        <f>+H5489</f>
        <v>Bernardita Egaña Baraona  / 249</v>
      </c>
      <c r="I5490" s="340" t="s">
        <v>131</v>
      </c>
      <c r="K5490" s="370"/>
      <c r="N5490" s="370"/>
    </row>
    <row r="5491" spans="1:14" s="347" customFormat="1" x14ac:dyDescent="0.25">
      <c r="A5491" s="369"/>
      <c r="E5491" s="396"/>
      <c r="F5491" s="396"/>
      <c r="G5491" s="396"/>
      <c r="K5491" s="370"/>
      <c r="N5491" s="370"/>
    </row>
    <row r="5492" spans="1:14" s="347" customFormat="1" x14ac:dyDescent="0.25">
      <c r="A5492" s="402">
        <v>44515</v>
      </c>
      <c r="B5492" s="403">
        <f>+MONTH(A5492)</f>
        <v>11</v>
      </c>
      <c r="C5492" s="338">
        <v>115</v>
      </c>
      <c r="D5492" s="340" t="str">
        <f>VLOOKUP(C5492,Plan!A:B,2,0)</f>
        <v>Disponible Cali B.Chile</v>
      </c>
      <c r="E5492" s="341">
        <f>+F5492-G5492</f>
        <v>64000</v>
      </c>
      <c r="F5492" s="346">
        <v>64000</v>
      </c>
      <c r="G5492" s="346">
        <v>0</v>
      </c>
      <c r="H5492" t="s">
        <v>2334</v>
      </c>
      <c r="I5492" s="340" t="s">
        <v>131</v>
      </c>
      <c r="K5492" s="370"/>
      <c r="N5492" s="370"/>
    </row>
    <row r="5493" spans="1:14" s="347" customFormat="1" x14ac:dyDescent="0.25">
      <c r="A5493" s="402">
        <f>+A5492</f>
        <v>44515</v>
      </c>
      <c r="B5493" s="403">
        <f>+B5492</f>
        <v>11</v>
      </c>
      <c r="C5493" s="338">
        <v>141</v>
      </c>
      <c r="D5493" s="340" t="str">
        <f>VLOOKUP(C5493,Plan!A:B,2,0)</f>
        <v>Cuentas por Cobrar a Administración</v>
      </c>
      <c r="E5493" s="341">
        <f>+F5493-G5493</f>
        <v>-64000</v>
      </c>
      <c r="F5493" s="346">
        <v>0</v>
      </c>
      <c r="G5493" s="346">
        <f>+F5492</f>
        <v>64000</v>
      </c>
      <c r="H5493" s="338" t="str">
        <f>+H5492</f>
        <v>Caja Navidad Sergio Rodriguez Oro</v>
      </c>
      <c r="I5493" s="340" t="s">
        <v>131</v>
      </c>
      <c r="K5493" s="370"/>
      <c r="N5493" s="370"/>
    </row>
    <row r="5494" spans="1:14" s="347" customFormat="1" x14ac:dyDescent="0.25">
      <c r="A5494" s="369"/>
      <c r="E5494" s="396"/>
      <c r="F5494" s="396"/>
      <c r="G5494" s="396"/>
      <c r="K5494" s="370"/>
      <c r="N5494" s="370"/>
    </row>
    <row r="5495" spans="1:14" s="347" customFormat="1" x14ac:dyDescent="0.25">
      <c r="A5495" s="402">
        <v>44517</v>
      </c>
      <c r="B5495" s="403">
        <f>+MONTH(A5495)</f>
        <v>11</v>
      </c>
      <c r="C5495" s="338">
        <v>203</v>
      </c>
      <c r="D5495" s="340" t="str">
        <f>VLOOKUP(C5495,Plan!A:B,2,0)</f>
        <v>Recaudadoras por pagar</v>
      </c>
      <c r="E5495" s="341">
        <f>+F5495-G5495</f>
        <v>67440</v>
      </c>
      <c r="F5495" s="346">
        <f>+G5496+G5497</f>
        <v>67440</v>
      </c>
      <c r="G5495" s="346">
        <v>0</v>
      </c>
      <c r="H5495" t="s">
        <v>2335</v>
      </c>
      <c r="I5495" s="340" t="s">
        <v>131</v>
      </c>
      <c r="K5495" s="370"/>
      <c r="N5495" s="370"/>
    </row>
    <row r="5496" spans="1:14" s="347" customFormat="1" x14ac:dyDescent="0.25">
      <c r="A5496" s="402">
        <f>+A5495</f>
        <v>44517</v>
      </c>
      <c r="B5496" s="403">
        <f>+B5495</f>
        <v>11</v>
      </c>
      <c r="C5496" s="338">
        <v>204</v>
      </c>
      <c r="D5496" s="340" t="str">
        <f>VLOOKUP(C5496,Plan!A:B,2,0)</f>
        <v>Retención Honorarios Cali</v>
      </c>
      <c r="E5496" s="341">
        <f>+F5496-G5496</f>
        <v>-7756</v>
      </c>
      <c r="F5496" s="346">
        <v>0</v>
      </c>
      <c r="G5496" s="346">
        <v>7756</v>
      </c>
      <c r="H5496" s="338" t="str">
        <f>+H5495</f>
        <v>BE-503 Maria Angelica Sepulveda</v>
      </c>
      <c r="I5496" s="340" t="s">
        <v>131</v>
      </c>
      <c r="K5496" s="370"/>
      <c r="N5496" s="370"/>
    </row>
    <row r="5497" spans="1:14" s="347" customFormat="1" x14ac:dyDescent="0.25">
      <c r="A5497" s="402">
        <f>+A5496</f>
        <v>44517</v>
      </c>
      <c r="B5497" s="403">
        <f>+B5496</f>
        <v>11</v>
      </c>
      <c r="C5497" s="338">
        <v>115</v>
      </c>
      <c r="D5497" s="340" t="str">
        <f>VLOOKUP(C5497,Plan!A:B,2,0)</f>
        <v>Disponible Cali B.Chile</v>
      </c>
      <c r="E5497" s="341">
        <f>+F5497-G5497</f>
        <v>-59684</v>
      </c>
      <c r="F5497" s="346">
        <v>0</v>
      </c>
      <c r="G5497" s="346">
        <v>59684</v>
      </c>
      <c r="H5497" s="338" t="str">
        <f>+H5496</f>
        <v>BE-503 Maria Angelica Sepulveda</v>
      </c>
      <c r="I5497" s="340" t="s">
        <v>131</v>
      </c>
      <c r="K5497" s="370"/>
      <c r="N5497" s="370"/>
    </row>
    <row r="5498" spans="1:14" s="347" customFormat="1" x14ac:dyDescent="0.25">
      <c r="A5498" s="369"/>
      <c r="E5498" s="396"/>
      <c r="F5498" s="396"/>
      <c r="G5498" s="396"/>
      <c r="K5498" s="370"/>
      <c r="N5498" s="370"/>
    </row>
    <row r="5499" spans="1:14" s="347" customFormat="1" x14ac:dyDescent="0.25">
      <c r="A5499" s="402">
        <v>44515</v>
      </c>
      <c r="B5499" s="403">
        <f>+MONTH(A5499)</f>
        <v>11</v>
      </c>
      <c r="C5499" s="338">
        <v>116</v>
      </c>
      <c r="D5499" s="340" t="str">
        <f>VLOOKUP(C5499,Plan!A:B,2,0)</f>
        <v>Disponible CALI Security</v>
      </c>
      <c r="E5499" s="341">
        <f>+F5499-G5499</f>
        <v>30000000</v>
      </c>
      <c r="F5499" s="346">
        <v>30000000</v>
      </c>
      <c r="G5499" s="346">
        <v>0</v>
      </c>
      <c r="H5499" t="s">
        <v>1768</v>
      </c>
      <c r="I5499" s="340" t="s">
        <v>131</v>
      </c>
      <c r="K5499" s="370"/>
      <c r="N5499" s="370"/>
    </row>
    <row r="5500" spans="1:14" s="347" customFormat="1" x14ac:dyDescent="0.25">
      <c r="A5500" s="402">
        <f>+A5499</f>
        <v>44515</v>
      </c>
      <c r="B5500" s="403">
        <f>+B5499</f>
        <v>11</v>
      </c>
      <c r="C5500" s="338">
        <v>115</v>
      </c>
      <c r="D5500" s="340" t="str">
        <f>VLOOKUP(C5500,Plan!A:B,2,0)</f>
        <v>Disponible Cali B.Chile</v>
      </c>
      <c r="E5500" s="341">
        <f>+F5500-G5500</f>
        <v>-30000000</v>
      </c>
      <c r="F5500" s="346">
        <v>0</v>
      </c>
      <c r="G5500" s="346">
        <f>+F5499</f>
        <v>30000000</v>
      </c>
      <c r="H5500" s="338" t="str">
        <f>+H5499</f>
        <v>Trasp.a Cta. Security</v>
      </c>
      <c r="I5500" s="340" t="s">
        <v>131</v>
      </c>
      <c r="K5500" s="370"/>
      <c r="N5500" s="370"/>
    </row>
    <row r="5501" spans="1:14" s="347" customFormat="1" x14ac:dyDescent="0.25">
      <c r="A5501" s="369"/>
      <c r="E5501" s="396"/>
      <c r="F5501" s="396"/>
      <c r="G5501" s="396"/>
      <c r="K5501" s="370"/>
      <c r="N5501" s="370"/>
    </row>
    <row r="5502" spans="1:14" s="347" customFormat="1" x14ac:dyDescent="0.25">
      <c r="A5502" s="402">
        <v>44517</v>
      </c>
      <c r="B5502" s="403">
        <f>+MONTH(A5502)</f>
        <v>11</v>
      </c>
      <c r="C5502" s="338">
        <v>4170</v>
      </c>
      <c r="D5502" s="340" t="str">
        <f>VLOOKUP(C5502,Plan!A:B,2,0)</f>
        <v>Cali otros</v>
      </c>
      <c r="E5502" s="341">
        <f>+F5502-G5502</f>
        <v>90000</v>
      </c>
      <c r="F5502" s="346">
        <v>90000</v>
      </c>
      <c r="G5502" s="346">
        <v>0</v>
      </c>
      <c r="H5502" t="s">
        <v>2336</v>
      </c>
      <c r="I5502" s="340" t="s">
        <v>131</v>
      </c>
      <c r="K5502" s="370"/>
      <c r="N5502" s="370"/>
    </row>
    <row r="5503" spans="1:14" s="347" customFormat="1" x14ac:dyDescent="0.25">
      <c r="A5503" s="402">
        <f>+A5502</f>
        <v>44517</v>
      </c>
      <c r="B5503" s="403">
        <f>+B5502</f>
        <v>11</v>
      </c>
      <c r="C5503" s="338">
        <v>115</v>
      </c>
      <c r="D5503" s="340" t="str">
        <f>VLOOKUP(C5503,Plan!A:B,2,0)</f>
        <v>Disponible Cali B.Chile</v>
      </c>
      <c r="E5503" s="341">
        <f>+F5503-G5503</f>
        <v>-90000</v>
      </c>
      <c r="F5503" s="346">
        <v>0</v>
      </c>
      <c r="G5503" s="346">
        <f>+F5502</f>
        <v>90000</v>
      </c>
      <c r="H5503" s="338" t="str">
        <f>+H5502</f>
        <v>Ren.Gtos Notariales (Firma Escrit. Hipoteca Ptmo)</v>
      </c>
      <c r="I5503" s="340" t="s">
        <v>131</v>
      </c>
      <c r="K5503" s="370"/>
      <c r="N5503" s="370"/>
    </row>
    <row r="5504" spans="1:14" s="347" customFormat="1" x14ac:dyDescent="0.25">
      <c r="A5504" s="369"/>
      <c r="E5504" s="396"/>
      <c r="F5504" s="396"/>
      <c r="G5504" s="396"/>
      <c r="K5504" s="370"/>
      <c r="N5504" s="370"/>
    </row>
    <row r="5505" spans="1:14" s="347" customFormat="1" x14ac:dyDescent="0.25">
      <c r="A5505" s="402">
        <v>44517</v>
      </c>
      <c r="B5505" s="403">
        <f>+MONTH(A5505)</f>
        <v>11</v>
      </c>
      <c r="C5505" s="338">
        <v>115</v>
      </c>
      <c r="D5505" s="340" t="str">
        <f>VLOOKUP(C5505,Plan!A:B,2,0)</f>
        <v>Disponible Cali B.Chile</v>
      </c>
      <c r="E5505" s="341">
        <f>+F5505-G5505</f>
        <v>30000</v>
      </c>
      <c r="F5505" s="346">
        <v>30000</v>
      </c>
      <c r="G5505" s="346">
        <v>0</v>
      </c>
      <c r="H5505" t="s">
        <v>1017</v>
      </c>
      <c r="I5505" s="340" t="s">
        <v>131</v>
      </c>
      <c r="K5505" s="370"/>
      <c r="N5505" s="370"/>
    </row>
    <row r="5506" spans="1:14" s="347" customFormat="1" x14ac:dyDescent="0.25">
      <c r="A5506" s="402">
        <f>+A5505</f>
        <v>44517</v>
      </c>
      <c r="B5506" s="403">
        <f>+B5505</f>
        <v>11</v>
      </c>
      <c r="C5506" s="338">
        <v>1216</v>
      </c>
      <c r="D5506" s="340" t="str">
        <f>VLOOKUP(C5506,Plan!A:B,2,0)</f>
        <v>Otros Valores Recaudadoras</v>
      </c>
      <c r="E5506" s="341">
        <f>+F5506-G5506</f>
        <v>-30000</v>
      </c>
      <c r="F5506" s="346">
        <v>0</v>
      </c>
      <c r="G5506" s="346">
        <f>+F5505</f>
        <v>30000</v>
      </c>
      <c r="H5506" s="338" t="str">
        <f>+H5505</f>
        <v>María Pía Laura Parodi Gil / 249</v>
      </c>
      <c r="I5506" s="340" t="s">
        <v>131</v>
      </c>
      <c r="K5506" s="370"/>
      <c r="N5506" s="370"/>
    </row>
    <row r="5507" spans="1:14" s="347" customFormat="1" x14ac:dyDescent="0.25">
      <c r="A5507" s="369"/>
      <c r="E5507" s="396"/>
      <c r="F5507" s="396"/>
      <c r="G5507" s="396"/>
      <c r="K5507" s="370"/>
      <c r="N5507" s="370"/>
    </row>
    <row r="5508" spans="1:14" s="347" customFormat="1" x14ac:dyDescent="0.25">
      <c r="A5508" s="402">
        <v>44517</v>
      </c>
      <c r="B5508" s="403">
        <f>+MONTH(A5508)</f>
        <v>11</v>
      </c>
      <c r="C5508" s="338">
        <v>115</v>
      </c>
      <c r="D5508" s="340" t="str">
        <f>VLOOKUP(C5508,Plan!A:B,2,0)</f>
        <v>Disponible Cali B.Chile</v>
      </c>
      <c r="E5508" s="341">
        <f>+F5508-G5508</f>
        <v>5000</v>
      </c>
      <c r="F5508" s="346">
        <v>5000</v>
      </c>
      <c r="G5508" s="346">
        <v>0</v>
      </c>
      <c r="H5508" t="s">
        <v>1719</v>
      </c>
      <c r="I5508" s="340" t="s">
        <v>131</v>
      </c>
      <c r="K5508" s="370"/>
      <c r="N5508" s="370"/>
    </row>
    <row r="5509" spans="1:14" s="347" customFormat="1" x14ac:dyDescent="0.25">
      <c r="A5509" s="402">
        <f>+A5508</f>
        <v>44517</v>
      </c>
      <c r="B5509" s="403">
        <f>+B5508</f>
        <v>11</v>
      </c>
      <c r="C5509" s="338">
        <v>1222</v>
      </c>
      <c r="D5509" s="340" t="str">
        <f>VLOOKUP(C5509,Plan!A:B,2,0)</f>
        <v>Otros Valores -Oficina y Transferencias (249)</v>
      </c>
      <c r="E5509" s="341">
        <f>+F5509-G5509</f>
        <v>-5000</v>
      </c>
      <c r="F5509" s="346">
        <v>0</v>
      </c>
      <c r="G5509" s="346">
        <f>+F5508</f>
        <v>5000</v>
      </c>
      <c r="H5509" s="338" t="str">
        <f>+H5508</f>
        <v>María Angélica Pérez-Villamil /249</v>
      </c>
      <c r="I5509" s="340" t="s">
        <v>131</v>
      </c>
      <c r="K5509" s="370"/>
      <c r="N5509" s="370"/>
    </row>
    <row r="5510" spans="1:14" s="347" customFormat="1" x14ac:dyDescent="0.25">
      <c r="A5510" s="369"/>
      <c r="E5510" s="396"/>
      <c r="F5510" s="396"/>
      <c r="G5510" s="396"/>
      <c r="K5510" s="370"/>
      <c r="N5510" s="370"/>
    </row>
    <row r="5511" spans="1:14" s="347" customFormat="1" x14ac:dyDescent="0.25">
      <c r="A5511" s="402">
        <v>44518</v>
      </c>
      <c r="B5511" s="403">
        <f>+MONTH(A5511)</f>
        <v>11</v>
      </c>
      <c r="C5511" s="338">
        <v>115</v>
      </c>
      <c r="D5511" s="340" t="str">
        <f>VLOOKUP(C5511,Plan!A:B,2,0)</f>
        <v>Disponible Cali B.Chile</v>
      </c>
      <c r="E5511" s="341">
        <f>+F5511-G5511</f>
        <v>50000</v>
      </c>
      <c r="F5511" s="346">
        <v>50000</v>
      </c>
      <c r="G5511" s="346">
        <v>0</v>
      </c>
      <c r="H5511" t="s">
        <v>1738</v>
      </c>
      <c r="I5511" s="340" t="s">
        <v>131</v>
      </c>
      <c r="K5511" s="370"/>
      <c r="N5511" s="370"/>
    </row>
    <row r="5512" spans="1:14" s="347" customFormat="1" x14ac:dyDescent="0.25">
      <c r="A5512" s="402">
        <f>+A5511</f>
        <v>44518</v>
      </c>
      <c r="B5512" s="403">
        <f>+B5511</f>
        <v>11</v>
      </c>
      <c r="C5512" s="338">
        <v>1217</v>
      </c>
      <c r="D5512" s="340" t="str">
        <f>VLOOKUP(C5512,Plan!A:B,2,0)</f>
        <v>Otros Valores -Oficina y Transferencias (248)</v>
      </c>
      <c r="E5512" s="341">
        <f>+F5512-G5512</f>
        <v>-50000</v>
      </c>
      <c r="F5512" s="346">
        <v>0</v>
      </c>
      <c r="G5512" s="346">
        <f>+F5511</f>
        <v>50000</v>
      </c>
      <c r="H5512" s="338" t="str">
        <f>+H5511</f>
        <v>Pedro Irarrázaval/M.Mercedes Calvo Montt/248</v>
      </c>
      <c r="I5512" s="340" t="s">
        <v>131</v>
      </c>
      <c r="K5512" s="370"/>
      <c r="N5512" s="370"/>
    </row>
    <row r="5513" spans="1:14" s="347" customFormat="1" x14ac:dyDescent="0.25">
      <c r="A5513" s="369"/>
      <c r="E5513" s="396"/>
      <c r="F5513" s="396"/>
      <c r="G5513" s="396"/>
      <c r="K5513" s="370"/>
      <c r="N5513" s="370"/>
    </row>
    <row r="5514" spans="1:14" s="347" customFormat="1" x14ac:dyDescent="0.25">
      <c r="A5514" s="402">
        <v>44518</v>
      </c>
      <c r="B5514" s="403">
        <f>+MONTH(A5514)</f>
        <v>11</v>
      </c>
      <c r="C5514" s="338">
        <v>115</v>
      </c>
      <c r="D5514" s="340" t="str">
        <f>VLOOKUP(C5514,Plan!A:B,2,0)</f>
        <v>Disponible Cali B.Chile</v>
      </c>
      <c r="E5514" s="341">
        <f>+F5514-G5514</f>
        <v>20000</v>
      </c>
      <c r="F5514" s="346">
        <v>20000</v>
      </c>
      <c r="G5514" s="346">
        <v>0</v>
      </c>
      <c r="H5514" t="s">
        <v>1030</v>
      </c>
      <c r="I5514" s="340" t="s">
        <v>131</v>
      </c>
      <c r="K5514" s="370"/>
      <c r="N5514" s="370"/>
    </row>
    <row r="5515" spans="1:14" s="347" customFormat="1" x14ac:dyDescent="0.25">
      <c r="A5515" s="402">
        <f>+A5514</f>
        <v>44518</v>
      </c>
      <c r="B5515" s="403">
        <f>+B5514</f>
        <v>11</v>
      </c>
      <c r="C5515" s="338">
        <v>1222</v>
      </c>
      <c r="D5515" s="340" t="str">
        <f>VLOOKUP(C5515,Plan!A:B,2,0)</f>
        <v>Otros Valores -Oficina y Transferencias (249)</v>
      </c>
      <c r="E5515" s="341">
        <f>+F5515-G5515</f>
        <v>-20000</v>
      </c>
      <c r="F5515" s="346">
        <v>0</v>
      </c>
      <c r="G5515" s="346">
        <f>+F5514</f>
        <v>20000</v>
      </c>
      <c r="H5515" s="338" t="str">
        <f>+H5514</f>
        <v>S. Villegas / 249</v>
      </c>
      <c r="I5515" s="340" t="s">
        <v>131</v>
      </c>
      <c r="K5515" s="370"/>
      <c r="N5515" s="370"/>
    </row>
    <row r="5516" spans="1:14" s="347" customFormat="1" x14ac:dyDescent="0.25">
      <c r="A5516" s="369"/>
      <c r="E5516" s="396"/>
      <c r="F5516" s="396"/>
      <c r="G5516" s="396"/>
      <c r="K5516" s="370"/>
      <c r="N5516" s="370"/>
    </row>
    <row r="5517" spans="1:14" s="347" customFormat="1" x14ac:dyDescent="0.25">
      <c r="A5517" s="402">
        <v>44518</v>
      </c>
      <c r="B5517" s="403">
        <f>+MONTH(A5517)</f>
        <v>11</v>
      </c>
      <c r="C5517" s="338">
        <v>115</v>
      </c>
      <c r="D5517" s="340" t="str">
        <f>VLOOKUP(C5517,Plan!A:B,2,0)</f>
        <v>Disponible Cali B.Chile</v>
      </c>
      <c r="E5517" s="341">
        <f>+F5517-G5517</f>
        <v>20000</v>
      </c>
      <c r="F5517" s="346">
        <v>20000</v>
      </c>
      <c r="G5517" s="346">
        <v>0</v>
      </c>
      <c r="H5517" t="s">
        <v>1687</v>
      </c>
      <c r="I5517" s="340" t="s">
        <v>131</v>
      </c>
      <c r="K5517" s="370"/>
      <c r="N5517" s="370"/>
    </row>
    <row r="5518" spans="1:14" s="347" customFormat="1" x14ac:dyDescent="0.25">
      <c r="A5518" s="402">
        <f>+A5517</f>
        <v>44518</v>
      </c>
      <c r="B5518" s="403">
        <f>+B5517</f>
        <v>11</v>
      </c>
      <c r="C5518" s="338">
        <v>1216</v>
      </c>
      <c r="D5518" s="340" t="str">
        <f>VLOOKUP(C5518,Plan!A:B,2,0)</f>
        <v>Otros Valores Recaudadoras</v>
      </c>
      <c r="E5518" s="341">
        <f>+F5518-G5518</f>
        <v>-20000</v>
      </c>
      <c r="F5518" s="346">
        <v>0</v>
      </c>
      <c r="G5518" s="346">
        <f>+F5517</f>
        <v>20000</v>
      </c>
      <c r="H5518" s="338" t="str">
        <f>+H5517</f>
        <v>Recaudadora</v>
      </c>
      <c r="I5518" s="340" t="s">
        <v>131</v>
      </c>
      <c r="K5518" s="370"/>
      <c r="N5518" s="370"/>
    </row>
    <row r="5519" spans="1:14" s="347" customFormat="1" x14ac:dyDescent="0.25">
      <c r="A5519" s="369"/>
      <c r="E5519" s="396"/>
      <c r="F5519" s="396"/>
      <c r="G5519" s="396"/>
      <c r="K5519" s="370"/>
      <c r="N5519" s="370"/>
    </row>
    <row r="5520" spans="1:14" s="347" customFormat="1" x14ac:dyDescent="0.25">
      <c r="A5520" s="402">
        <v>44518</v>
      </c>
      <c r="B5520" s="403">
        <f>+MONTH(A5520)</f>
        <v>11</v>
      </c>
      <c r="C5520" s="338">
        <v>115</v>
      </c>
      <c r="D5520" s="340" t="str">
        <f>VLOOKUP(C5520,Plan!A:B,2,0)</f>
        <v>Disponible Cali B.Chile</v>
      </c>
      <c r="E5520" s="341">
        <f>+F5520-G5520</f>
        <v>62000</v>
      </c>
      <c r="F5520" s="346">
        <v>62000</v>
      </c>
      <c r="G5520" s="346">
        <v>0</v>
      </c>
      <c r="H5520" t="s">
        <v>1687</v>
      </c>
      <c r="I5520" s="340" t="s">
        <v>131</v>
      </c>
      <c r="K5520" s="370"/>
      <c r="N5520" s="370"/>
    </row>
    <row r="5521" spans="1:14" s="347" customFormat="1" x14ac:dyDescent="0.25">
      <c r="A5521" s="402">
        <f>+A5520</f>
        <v>44518</v>
      </c>
      <c r="B5521" s="403">
        <f>+B5520</f>
        <v>11</v>
      </c>
      <c r="C5521" s="338">
        <v>1216</v>
      </c>
      <c r="D5521" s="340" t="str">
        <f>VLOOKUP(C5521,Plan!A:B,2,0)</f>
        <v>Otros Valores Recaudadoras</v>
      </c>
      <c r="E5521" s="341">
        <f>+F5521-G5521</f>
        <v>-62000</v>
      </c>
      <c r="F5521" s="346">
        <v>0</v>
      </c>
      <c r="G5521" s="346">
        <f>+F5520</f>
        <v>62000</v>
      </c>
      <c r="H5521" s="338" t="str">
        <f>+H5520</f>
        <v>Recaudadora</v>
      </c>
      <c r="I5521" s="340" t="s">
        <v>131</v>
      </c>
      <c r="K5521" s="370"/>
      <c r="N5521" s="370"/>
    </row>
    <row r="5522" spans="1:14" s="347" customFormat="1" x14ac:dyDescent="0.25">
      <c r="A5522" s="369"/>
      <c r="E5522" s="396"/>
      <c r="F5522" s="396"/>
      <c r="G5522" s="396"/>
      <c r="K5522" s="370"/>
      <c r="N5522" s="370"/>
    </row>
    <row r="5523" spans="1:14" s="347" customFormat="1" x14ac:dyDescent="0.25">
      <c r="A5523" s="402">
        <v>44518</v>
      </c>
      <c r="B5523" s="403">
        <f>+MONTH(A5523)</f>
        <v>11</v>
      </c>
      <c r="C5523" s="338">
        <v>115</v>
      </c>
      <c r="D5523" s="340" t="str">
        <f>VLOOKUP(C5523,Plan!A:B,2,0)</f>
        <v>Disponible Cali B.Chile</v>
      </c>
      <c r="E5523" s="341">
        <f>+F5523-G5523</f>
        <v>240000</v>
      </c>
      <c r="F5523" s="346">
        <v>240000</v>
      </c>
      <c r="G5523" s="346">
        <v>0</v>
      </c>
      <c r="H5523" t="s">
        <v>1687</v>
      </c>
      <c r="I5523" s="340" t="s">
        <v>131</v>
      </c>
      <c r="K5523" s="370"/>
      <c r="N5523" s="370"/>
    </row>
    <row r="5524" spans="1:14" s="347" customFormat="1" x14ac:dyDescent="0.25">
      <c r="A5524" s="402">
        <f>+A5523</f>
        <v>44518</v>
      </c>
      <c r="B5524" s="403">
        <f>+B5523</f>
        <v>11</v>
      </c>
      <c r="C5524" s="338">
        <v>1216</v>
      </c>
      <c r="D5524" s="340" t="str">
        <f>VLOOKUP(C5524,Plan!A:B,2,0)</f>
        <v>Otros Valores Recaudadoras</v>
      </c>
      <c r="E5524" s="341">
        <f>+F5524-G5524</f>
        <v>-240000</v>
      </c>
      <c r="F5524" s="346">
        <v>0</v>
      </c>
      <c r="G5524" s="346">
        <f>+F5523</f>
        <v>240000</v>
      </c>
      <c r="H5524" s="338" t="str">
        <f>+H5523</f>
        <v>Recaudadora</v>
      </c>
      <c r="I5524" s="340" t="s">
        <v>131</v>
      </c>
      <c r="K5524" s="370"/>
      <c r="N5524" s="370"/>
    </row>
    <row r="5525" spans="1:14" s="347" customFormat="1" x14ac:dyDescent="0.25">
      <c r="A5525" s="369"/>
      <c r="E5525" s="396"/>
      <c r="F5525" s="396"/>
      <c r="G5525" s="396"/>
      <c r="K5525" s="370"/>
      <c r="N5525" s="370"/>
    </row>
    <row r="5526" spans="1:14" s="347" customFormat="1" x14ac:dyDescent="0.25">
      <c r="A5526" s="402">
        <v>44522</v>
      </c>
      <c r="B5526" s="403">
        <f>+MONTH(A5526)</f>
        <v>11</v>
      </c>
      <c r="C5526" s="338">
        <v>115</v>
      </c>
      <c r="D5526" s="340" t="str">
        <f>VLOOKUP(C5526,Plan!A:B,2,0)</f>
        <v>Disponible Cali B.Chile</v>
      </c>
      <c r="E5526" s="341">
        <f>+F5526-G5526</f>
        <v>150000</v>
      </c>
      <c r="F5526" s="346">
        <v>150000</v>
      </c>
      <c r="G5526" s="346">
        <v>0</v>
      </c>
      <c r="H5526" t="s">
        <v>1770</v>
      </c>
      <c r="I5526" s="340" t="s">
        <v>131</v>
      </c>
      <c r="K5526" s="370"/>
      <c r="N5526" s="370"/>
    </row>
    <row r="5527" spans="1:14" s="347" customFormat="1" x14ac:dyDescent="0.25">
      <c r="A5527" s="402">
        <f>+A5526</f>
        <v>44522</v>
      </c>
      <c r="B5527" s="403">
        <f>+B5526</f>
        <v>11</v>
      </c>
      <c r="C5527" s="338">
        <v>1222</v>
      </c>
      <c r="D5527" s="340" t="str">
        <f>VLOOKUP(C5527,Plan!A:B,2,0)</f>
        <v>Otros Valores -Oficina y Transferencias (249)</v>
      </c>
      <c r="E5527" s="341">
        <f>+F5527-G5527</f>
        <v>-150000</v>
      </c>
      <c r="F5527" s="346">
        <v>0</v>
      </c>
      <c r="G5527" s="346">
        <f>+F5526</f>
        <v>150000</v>
      </c>
      <c r="H5527" s="338" t="str">
        <f>+H5526</f>
        <v>Luis Felipe Zanolli De Solminihac/249</v>
      </c>
      <c r="I5527" s="340" t="s">
        <v>131</v>
      </c>
      <c r="K5527" s="370"/>
      <c r="N5527" s="370"/>
    </row>
    <row r="5528" spans="1:14" s="347" customFormat="1" x14ac:dyDescent="0.25">
      <c r="A5528" s="369"/>
      <c r="E5528" s="396"/>
      <c r="F5528" s="396"/>
      <c r="G5528" s="396"/>
      <c r="K5528" s="370"/>
      <c r="N5528" s="370"/>
    </row>
    <row r="5529" spans="1:14" s="347" customFormat="1" x14ac:dyDescent="0.25">
      <c r="A5529" s="402">
        <v>44522</v>
      </c>
      <c r="B5529" s="403">
        <f>+MONTH(A5529)</f>
        <v>11</v>
      </c>
      <c r="C5529" s="338">
        <v>115</v>
      </c>
      <c r="D5529" s="340" t="str">
        <f>VLOOKUP(C5529,Plan!A:B,2,0)</f>
        <v>Disponible Cali B.Chile</v>
      </c>
      <c r="E5529" s="341">
        <f>+F5529-G5529</f>
        <v>10000</v>
      </c>
      <c r="F5529" s="346">
        <v>10000</v>
      </c>
      <c r="G5529" s="346">
        <v>0</v>
      </c>
      <c r="H5529" t="s">
        <v>1517</v>
      </c>
      <c r="I5529" s="340" t="s">
        <v>131</v>
      </c>
      <c r="K5529" s="370"/>
      <c r="N5529" s="370"/>
    </row>
    <row r="5530" spans="1:14" s="347" customFormat="1" x14ac:dyDescent="0.25">
      <c r="A5530" s="402">
        <f>+A5529</f>
        <v>44522</v>
      </c>
      <c r="B5530" s="403">
        <f>+B5529</f>
        <v>11</v>
      </c>
      <c r="C5530" s="338">
        <v>1222</v>
      </c>
      <c r="D5530" s="340" t="str">
        <f>VLOOKUP(C5530,Plan!A:B,2,0)</f>
        <v>Otros Valores -Oficina y Transferencias (249)</v>
      </c>
      <c r="E5530" s="341">
        <f>+F5530-G5530</f>
        <v>-10000</v>
      </c>
      <c r="F5530" s="346">
        <v>0</v>
      </c>
      <c r="G5530" s="346">
        <f>+F5529</f>
        <v>10000</v>
      </c>
      <c r="H5530" s="338" t="str">
        <f>+H5529</f>
        <v>Jacqueline Dale / 249</v>
      </c>
      <c r="I5530" s="340" t="s">
        <v>131</v>
      </c>
      <c r="K5530" s="370"/>
      <c r="N5530" s="370"/>
    </row>
    <row r="5531" spans="1:14" s="347" customFormat="1" x14ac:dyDescent="0.25">
      <c r="A5531" s="369"/>
      <c r="E5531" s="396"/>
      <c r="F5531" s="396"/>
      <c r="G5531" s="396"/>
      <c r="K5531" s="370"/>
      <c r="N5531" s="370"/>
    </row>
    <row r="5532" spans="1:14" s="347" customFormat="1" x14ac:dyDescent="0.25">
      <c r="A5532" s="402">
        <v>44522</v>
      </c>
      <c r="B5532" s="403">
        <f>+MONTH(A5532)</f>
        <v>11</v>
      </c>
      <c r="C5532" s="338">
        <v>4170</v>
      </c>
      <c r="D5532" s="340" t="str">
        <f>VLOOKUP(C5532,Plan!A:B,2,0)</f>
        <v>Cali otros</v>
      </c>
      <c r="E5532" s="341">
        <f>+F5532-G5532</f>
        <v>1084</v>
      </c>
      <c r="F5532" s="346">
        <v>1084</v>
      </c>
      <c r="G5532" s="346">
        <v>0</v>
      </c>
      <c r="H5532" t="s">
        <v>1005</v>
      </c>
      <c r="I5532" s="340" t="s">
        <v>131</v>
      </c>
      <c r="K5532" s="370"/>
      <c r="N5532" s="370"/>
    </row>
    <row r="5533" spans="1:14" s="347" customFormat="1" x14ac:dyDescent="0.25">
      <c r="A5533" s="402">
        <f>+A5532</f>
        <v>44522</v>
      </c>
      <c r="B5533" s="403">
        <f>+B5532</f>
        <v>11</v>
      </c>
      <c r="C5533" s="338">
        <v>115</v>
      </c>
      <c r="D5533" s="340" t="str">
        <f>VLOOKUP(C5533,Plan!A:B,2,0)</f>
        <v>Disponible Cali B.Chile</v>
      </c>
      <c r="E5533" s="341">
        <f>+F5533-G5533</f>
        <v>-1084</v>
      </c>
      <c r="F5533" s="346">
        <v>0</v>
      </c>
      <c r="G5533" s="346">
        <f>+F5532</f>
        <v>1084</v>
      </c>
      <c r="H5533" s="338" t="str">
        <f>+H5532</f>
        <v>Com.Bco.Chile</v>
      </c>
      <c r="I5533" s="340" t="s">
        <v>131</v>
      </c>
      <c r="K5533" s="370"/>
      <c r="N5533" s="370"/>
    </row>
    <row r="5534" spans="1:14" s="347" customFormat="1" x14ac:dyDescent="0.25">
      <c r="A5534" s="369"/>
      <c r="E5534" s="396"/>
      <c r="F5534" s="396"/>
      <c r="G5534" s="396"/>
      <c r="K5534" s="370"/>
      <c r="N5534" s="370"/>
    </row>
    <row r="5535" spans="1:14" s="347" customFormat="1" x14ac:dyDescent="0.25">
      <c r="A5535" s="402">
        <v>44523</v>
      </c>
      <c r="B5535" s="403">
        <f>+MONTH(A5535)</f>
        <v>11</v>
      </c>
      <c r="C5535" s="338">
        <v>115</v>
      </c>
      <c r="D5535" s="340" t="str">
        <f>VLOOKUP(C5535,Plan!A:B,2,0)</f>
        <v>Disponible Cali B.Chile</v>
      </c>
      <c r="E5535" s="341">
        <f>+F5535-G5535</f>
        <v>200000</v>
      </c>
      <c r="F5535" s="346">
        <v>200000</v>
      </c>
      <c r="G5535" s="346">
        <v>0</v>
      </c>
      <c r="H5535" t="s">
        <v>1021</v>
      </c>
      <c r="I5535" s="340" t="s">
        <v>131</v>
      </c>
      <c r="K5535" s="370"/>
      <c r="N5535" s="370"/>
    </row>
    <row r="5536" spans="1:14" s="347" customFormat="1" x14ac:dyDescent="0.25">
      <c r="A5536" s="402">
        <f>+A5535</f>
        <v>44523</v>
      </c>
      <c r="B5536" s="403">
        <f>+B5535</f>
        <v>11</v>
      </c>
      <c r="C5536" s="338">
        <v>3210</v>
      </c>
      <c r="D5536" s="340" t="str">
        <f>VLOOKUP(C5536,Plan!A:B,2,0)</f>
        <v>Donacion Construccion</v>
      </c>
      <c r="E5536" s="341">
        <f>+F5536-G5536</f>
        <v>-200000</v>
      </c>
      <c r="F5536" s="346">
        <v>0</v>
      </c>
      <c r="G5536" s="346">
        <f>+F5535</f>
        <v>200000</v>
      </c>
      <c r="H5536" s="338" t="str">
        <f>+H5535</f>
        <v>Italo Lubiano Tassara/Azul</v>
      </c>
      <c r="I5536" s="340" t="s">
        <v>131</v>
      </c>
      <c r="K5536" s="370"/>
      <c r="N5536" s="370"/>
    </row>
    <row r="5537" spans="1:14" s="347" customFormat="1" x14ac:dyDescent="0.25">
      <c r="A5537" s="369"/>
      <c r="E5537" s="396"/>
      <c r="F5537" s="396"/>
      <c r="G5537" s="396"/>
      <c r="K5537" s="370"/>
      <c r="N5537" s="370"/>
    </row>
    <row r="5538" spans="1:14" s="347" customFormat="1" x14ac:dyDescent="0.25">
      <c r="A5538" s="402">
        <v>44523</v>
      </c>
      <c r="B5538" s="403">
        <f>+MONTH(A5538)</f>
        <v>11</v>
      </c>
      <c r="C5538" s="338">
        <v>115</v>
      </c>
      <c r="D5538" s="340" t="str">
        <f>VLOOKUP(C5538,Plan!A:B,2,0)</f>
        <v>Disponible Cali B.Chile</v>
      </c>
      <c r="E5538" s="341">
        <f>+F5538-G5538</f>
        <v>30000</v>
      </c>
      <c r="F5538" s="346">
        <v>30000</v>
      </c>
      <c r="G5538" s="346">
        <v>0</v>
      </c>
      <c r="H5538" t="s">
        <v>1032</v>
      </c>
      <c r="I5538" s="340" t="s">
        <v>131</v>
      </c>
      <c r="K5538" s="370"/>
      <c r="N5538" s="370"/>
    </row>
    <row r="5539" spans="1:14" s="347" customFormat="1" x14ac:dyDescent="0.25">
      <c r="A5539" s="402">
        <f>+A5538</f>
        <v>44523</v>
      </c>
      <c r="B5539" s="403">
        <f>+B5538</f>
        <v>11</v>
      </c>
      <c r="C5539" s="338">
        <v>1217</v>
      </c>
      <c r="D5539" s="340" t="str">
        <f>VLOOKUP(C5539,Plan!A:B,2,0)</f>
        <v>Otros Valores -Oficina y Transferencias (248)</v>
      </c>
      <c r="E5539" s="341">
        <f>+F5539-G5539</f>
        <v>-30000</v>
      </c>
      <c r="F5539" s="346">
        <v>0</v>
      </c>
      <c r="G5539" s="346">
        <f>+F5538</f>
        <v>30000</v>
      </c>
      <c r="H5539" s="338" t="str">
        <f>+H5538</f>
        <v>Luis  E. Domínguez / 248</v>
      </c>
      <c r="I5539" s="340" t="s">
        <v>131</v>
      </c>
      <c r="K5539" s="370"/>
      <c r="N5539" s="370"/>
    </row>
    <row r="5540" spans="1:14" s="347" customFormat="1" x14ac:dyDescent="0.25">
      <c r="A5540" s="369"/>
      <c r="E5540" s="396"/>
      <c r="F5540" s="396"/>
      <c r="G5540" s="396"/>
      <c r="K5540" s="370"/>
      <c r="N5540" s="370"/>
    </row>
    <row r="5541" spans="1:14" s="347" customFormat="1" x14ac:dyDescent="0.25">
      <c r="A5541" s="402">
        <v>44523</v>
      </c>
      <c r="B5541" s="403">
        <f>+MONTH(A5541)</f>
        <v>11</v>
      </c>
      <c r="C5541" s="338">
        <v>115</v>
      </c>
      <c r="D5541" s="340" t="str">
        <f>VLOOKUP(C5541,Plan!A:B,2,0)</f>
        <v>Disponible Cali B.Chile</v>
      </c>
      <c r="E5541" s="341">
        <f>+F5541-G5541</f>
        <v>100000</v>
      </c>
      <c r="F5541" s="346">
        <v>100000</v>
      </c>
      <c r="G5541" s="346">
        <v>0</v>
      </c>
      <c r="H5541" t="s">
        <v>1695</v>
      </c>
      <c r="I5541" s="340" t="s">
        <v>131</v>
      </c>
      <c r="K5541" s="370"/>
      <c r="N5541" s="370"/>
    </row>
    <row r="5542" spans="1:14" s="347" customFormat="1" x14ac:dyDescent="0.25">
      <c r="A5542" s="402">
        <f>+A5541</f>
        <v>44523</v>
      </c>
      <c r="B5542" s="403">
        <f>+B5541</f>
        <v>11</v>
      </c>
      <c r="C5542" s="338">
        <v>3210</v>
      </c>
      <c r="D5542" s="340" t="str">
        <f>VLOOKUP(C5542,Plan!A:B,2,0)</f>
        <v>Donacion Construccion</v>
      </c>
      <c r="E5542" s="341">
        <f>+F5542-G5542</f>
        <v>-100000</v>
      </c>
      <c r="F5542" s="346">
        <v>0</v>
      </c>
      <c r="G5542" s="346">
        <f>+F5541</f>
        <v>100000</v>
      </c>
      <c r="H5542" s="338" t="str">
        <f>+H5541</f>
        <v>Ricardo Cruzat Ochagavia / Azul</v>
      </c>
      <c r="I5542" s="340" t="s">
        <v>131</v>
      </c>
      <c r="K5542" s="370"/>
      <c r="N5542" s="370"/>
    </row>
    <row r="5543" spans="1:14" s="347" customFormat="1" x14ac:dyDescent="0.25">
      <c r="A5543" s="369"/>
      <c r="E5543" s="396"/>
      <c r="F5543" s="396"/>
      <c r="G5543" s="396"/>
      <c r="K5543" s="370"/>
      <c r="N5543" s="370"/>
    </row>
    <row r="5544" spans="1:14" s="347" customFormat="1" x14ac:dyDescent="0.25">
      <c r="A5544" s="402">
        <v>44523</v>
      </c>
      <c r="B5544" s="403">
        <f>+MONTH(A5544)</f>
        <v>11</v>
      </c>
      <c r="C5544" s="338">
        <v>115</v>
      </c>
      <c r="D5544" s="340" t="str">
        <f>VLOOKUP(C5544,Plan!A:B,2,0)</f>
        <v>Disponible Cali B.Chile</v>
      </c>
      <c r="E5544" s="341">
        <f>+F5544-G5544</f>
        <v>20000</v>
      </c>
      <c r="F5544" s="346">
        <v>20000</v>
      </c>
      <c r="G5544" s="346">
        <v>0</v>
      </c>
      <c r="H5544" t="s">
        <v>1033</v>
      </c>
      <c r="I5544" s="340" t="s">
        <v>131</v>
      </c>
      <c r="K5544" s="370"/>
      <c r="N5544" s="370"/>
    </row>
    <row r="5545" spans="1:14" s="347" customFormat="1" x14ac:dyDescent="0.25">
      <c r="A5545" s="402">
        <f>+A5544</f>
        <v>44523</v>
      </c>
      <c r="B5545" s="403">
        <f>+B5544</f>
        <v>11</v>
      </c>
      <c r="C5545" s="338">
        <v>1222</v>
      </c>
      <c r="D5545" s="340" t="str">
        <f>VLOOKUP(C5545,Plan!A:B,2,0)</f>
        <v>Otros Valores -Oficina y Transferencias (249)</v>
      </c>
      <c r="E5545" s="341">
        <f>+F5545-G5545</f>
        <v>-20000</v>
      </c>
      <c r="F5545" s="346">
        <v>0</v>
      </c>
      <c r="G5545" s="346">
        <f>+F5544</f>
        <v>20000</v>
      </c>
      <c r="H5545" s="338" t="str">
        <f>+H5544</f>
        <v>Verónica Sapag Puelma / 249</v>
      </c>
      <c r="I5545" s="340" t="s">
        <v>131</v>
      </c>
      <c r="K5545" s="370"/>
      <c r="N5545" s="370"/>
    </row>
    <row r="5546" spans="1:14" s="347" customFormat="1" x14ac:dyDescent="0.25">
      <c r="A5546" s="369"/>
      <c r="E5546" s="396"/>
      <c r="F5546" s="396"/>
      <c r="G5546" s="396"/>
      <c r="K5546" s="370"/>
      <c r="N5546" s="370"/>
    </row>
    <row r="5547" spans="1:14" s="347" customFormat="1" x14ac:dyDescent="0.25">
      <c r="A5547" s="402">
        <v>44523</v>
      </c>
      <c r="B5547" s="403">
        <f>+MONTH(A5547)</f>
        <v>11</v>
      </c>
      <c r="C5547" s="338">
        <v>115</v>
      </c>
      <c r="D5547" s="340" t="str">
        <f>VLOOKUP(C5547,Plan!A:B,2,0)</f>
        <v>Disponible Cali B.Chile</v>
      </c>
      <c r="E5547" s="341">
        <f>+F5547-G5547</f>
        <v>65967</v>
      </c>
      <c r="F5547" s="346">
        <v>65967</v>
      </c>
      <c r="G5547" s="346">
        <v>0</v>
      </c>
      <c r="H5547" t="s">
        <v>2271</v>
      </c>
      <c r="I5547" s="340" t="s">
        <v>131</v>
      </c>
      <c r="K5547" s="370"/>
      <c r="N5547" s="370"/>
    </row>
    <row r="5548" spans="1:14" s="347" customFormat="1" x14ac:dyDescent="0.25">
      <c r="A5548" s="402">
        <f>+A5547</f>
        <v>44523</v>
      </c>
      <c r="B5548" s="403">
        <f>+B5547</f>
        <v>11</v>
      </c>
      <c r="C5548" s="338">
        <v>141</v>
      </c>
      <c r="D5548" s="340" t="str">
        <f>VLOOKUP(C5548,Plan!A:B,2,0)</f>
        <v>Cuentas por Cobrar a Administración</v>
      </c>
      <c r="E5548" s="341">
        <f>+F5548-G5548</f>
        <v>-65967</v>
      </c>
      <c r="F5548" s="346">
        <v>0</v>
      </c>
      <c r="G5548" s="346">
        <f>+F5547</f>
        <v>65967</v>
      </c>
      <c r="H5548" s="338" t="str">
        <f>+H5547</f>
        <v>Caja Navidad DCT</v>
      </c>
      <c r="I5548" s="340" t="s">
        <v>131</v>
      </c>
      <c r="K5548" s="370"/>
      <c r="N5548" s="370"/>
    </row>
    <row r="5549" spans="1:14" s="347" customFormat="1" x14ac:dyDescent="0.25">
      <c r="A5549" s="369"/>
      <c r="E5549" s="396"/>
      <c r="F5549" s="396"/>
      <c r="G5549" s="396"/>
      <c r="K5549" s="370"/>
      <c r="N5549" s="370"/>
    </row>
    <row r="5550" spans="1:14" s="347" customFormat="1" x14ac:dyDescent="0.25">
      <c r="A5550" s="402">
        <v>44524</v>
      </c>
      <c r="B5550" s="403">
        <f>+MONTH(A5550)</f>
        <v>11</v>
      </c>
      <c r="C5550" s="338">
        <v>115</v>
      </c>
      <c r="D5550" s="340" t="str">
        <f>VLOOKUP(C5550,Plan!A:B,2,0)</f>
        <v>Disponible Cali B.Chile</v>
      </c>
      <c r="E5550" s="341">
        <f>+F5550-G5550</f>
        <v>94229</v>
      </c>
      <c r="F5550" s="346">
        <v>94229</v>
      </c>
      <c r="G5550" s="346">
        <v>0</v>
      </c>
      <c r="H5550" t="s">
        <v>2218</v>
      </c>
      <c r="I5550" s="340" t="s">
        <v>131</v>
      </c>
      <c r="K5550" s="370"/>
      <c r="N5550" s="370"/>
    </row>
    <row r="5551" spans="1:14" s="347" customFormat="1" x14ac:dyDescent="0.25">
      <c r="A5551" s="402">
        <f>+A5550</f>
        <v>44524</v>
      </c>
      <c r="B5551" s="403">
        <f>+B5550</f>
        <v>11</v>
      </c>
      <c r="C5551" s="338">
        <v>141</v>
      </c>
      <c r="D5551" s="340" t="str">
        <f>VLOOKUP(C5551,Plan!A:B,2,0)</f>
        <v>Cuentas por Cobrar a Administración</v>
      </c>
      <c r="E5551" s="341">
        <f>+F5551-G5551</f>
        <v>-94229</v>
      </c>
      <c r="F5551" s="346">
        <v>0</v>
      </c>
      <c r="G5551" s="346">
        <f>+F5550</f>
        <v>94229</v>
      </c>
      <c r="H5551" s="338" t="str">
        <f>+H5550</f>
        <v>Caja Navidad POS</v>
      </c>
      <c r="I5551" s="340" t="s">
        <v>131</v>
      </c>
      <c r="K5551" s="370"/>
      <c r="N5551" s="370"/>
    </row>
    <row r="5552" spans="1:14" s="347" customFormat="1" x14ac:dyDescent="0.25">
      <c r="A5552" s="369"/>
      <c r="E5552" s="396"/>
      <c r="F5552" s="396"/>
      <c r="G5552" s="396"/>
      <c r="K5552" s="370"/>
      <c r="N5552" s="370"/>
    </row>
    <row r="5553" spans="1:14" s="347" customFormat="1" x14ac:dyDescent="0.25">
      <c r="A5553" s="402">
        <v>44525</v>
      </c>
      <c r="B5553" s="403">
        <f>+MONTH(A5553)</f>
        <v>11</v>
      </c>
      <c r="C5553" s="338">
        <v>115</v>
      </c>
      <c r="D5553" s="340" t="str">
        <f>VLOOKUP(C5553,Plan!A:B,2,0)</f>
        <v>Disponible Cali B.Chile</v>
      </c>
      <c r="E5553" s="341">
        <f>+F5553-G5553</f>
        <v>10000</v>
      </c>
      <c r="F5553" s="346">
        <v>10000</v>
      </c>
      <c r="G5553" s="346">
        <v>0</v>
      </c>
      <c r="H5553" t="s">
        <v>1036</v>
      </c>
      <c r="I5553" s="340" t="s">
        <v>131</v>
      </c>
      <c r="K5553" s="370"/>
      <c r="N5553" s="370"/>
    </row>
    <row r="5554" spans="1:14" s="347" customFormat="1" x14ac:dyDescent="0.25">
      <c r="A5554" s="402">
        <f>+A5553</f>
        <v>44525</v>
      </c>
      <c r="B5554" s="403">
        <f>+B5553</f>
        <v>11</v>
      </c>
      <c r="C5554" s="338">
        <v>3210</v>
      </c>
      <c r="D5554" s="340" t="str">
        <f>VLOOKUP(C5554,Plan!A:B,2,0)</f>
        <v>Donacion Construccion</v>
      </c>
      <c r="E5554" s="341">
        <f>+F5554-G5554</f>
        <v>-10000</v>
      </c>
      <c r="F5554" s="346">
        <v>0</v>
      </c>
      <c r="G5554" s="346">
        <f>+F5553</f>
        <v>10000</v>
      </c>
      <c r="H5554" s="338" t="str">
        <f>+H5553</f>
        <v>Francisco Sanhueza /Azul</v>
      </c>
      <c r="I5554" s="340" t="s">
        <v>131</v>
      </c>
      <c r="K5554" s="370"/>
      <c r="N5554" s="370"/>
    </row>
    <row r="5555" spans="1:14" s="347" customFormat="1" x14ac:dyDescent="0.25">
      <c r="A5555" s="369"/>
      <c r="E5555" s="396"/>
      <c r="F5555" s="396"/>
      <c r="G5555" s="396"/>
      <c r="K5555" s="370"/>
      <c r="N5555" s="370"/>
    </row>
    <row r="5556" spans="1:14" s="347" customFormat="1" x14ac:dyDescent="0.25">
      <c r="A5556" s="402">
        <v>44526</v>
      </c>
      <c r="B5556" s="403">
        <f>+MONTH(A5556)</f>
        <v>11</v>
      </c>
      <c r="C5556" s="338">
        <v>115</v>
      </c>
      <c r="D5556" s="340" t="str">
        <f>VLOOKUP(C5556,Plan!A:B,2,0)</f>
        <v>Disponible Cali B.Chile</v>
      </c>
      <c r="E5556" s="341">
        <f>+F5556-G5556</f>
        <v>11917543</v>
      </c>
      <c r="F5556" s="346">
        <v>11917543</v>
      </c>
      <c r="G5556" s="346">
        <v>0</v>
      </c>
      <c r="H5556" s="155" t="s">
        <v>2337</v>
      </c>
      <c r="I5556" s="340" t="s">
        <v>131</v>
      </c>
      <c r="K5556" s="370"/>
      <c r="N5556" s="370"/>
    </row>
    <row r="5557" spans="1:14" s="347" customFormat="1" x14ac:dyDescent="0.25">
      <c r="A5557" s="402">
        <f>+A5556</f>
        <v>44526</v>
      </c>
      <c r="B5557" s="403">
        <f>+B5556</f>
        <v>11</v>
      </c>
      <c r="C5557" s="338">
        <v>1218</v>
      </c>
      <c r="D5557" s="340" t="str">
        <f>VLOOKUP(C5557,Plan!A:B,2,0)</f>
        <v>Otros Valores Tarjeta de Credito</v>
      </c>
      <c r="E5557" s="341">
        <f>+F5557-G5557</f>
        <v>-11917543</v>
      </c>
      <c r="F5557" s="346">
        <v>0</v>
      </c>
      <c r="G5557" s="346">
        <f>+F5556</f>
        <v>11917543</v>
      </c>
      <c r="H5557" s="338" t="str">
        <f>+H5556</f>
        <v>248 y 249 noviembre 2021</v>
      </c>
      <c r="I5557" s="340" t="s">
        <v>131</v>
      </c>
      <c r="K5557" s="370"/>
      <c r="N5557" s="370"/>
    </row>
    <row r="5558" spans="1:14" s="347" customFormat="1" x14ac:dyDescent="0.25">
      <c r="A5558" s="369"/>
      <c r="E5558" s="396"/>
      <c r="F5558" s="396"/>
      <c r="G5558" s="396"/>
      <c r="K5558" s="370"/>
      <c r="N5558" s="370"/>
    </row>
    <row r="5559" spans="1:14" s="347" customFormat="1" x14ac:dyDescent="0.25">
      <c r="A5559" s="402">
        <v>44526</v>
      </c>
      <c r="B5559" s="403">
        <f>+MONTH(A5559)</f>
        <v>11</v>
      </c>
      <c r="C5559" s="338">
        <v>115</v>
      </c>
      <c r="D5559" s="340" t="str">
        <f>VLOOKUP(C5559,Plan!A:B,2,0)</f>
        <v>Disponible Cali B.Chile</v>
      </c>
      <c r="E5559" s="341">
        <f>+F5559-G5559</f>
        <v>1908925</v>
      </c>
      <c r="F5559" s="346">
        <v>1908925</v>
      </c>
      <c r="G5559" s="346">
        <v>0</v>
      </c>
      <c r="H5559" s="155" t="s">
        <v>2360</v>
      </c>
      <c r="I5559" s="340" t="s">
        <v>131</v>
      </c>
      <c r="K5559" s="370"/>
      <c r="N5559" s="370"/>
    </row>
    <row r="5560" spans="1:14" s="347" customFormat="1" x14ac:dyDescent="0.25">
      <c r="A5560" s="402">
        <f>+A5559</f>
        <v>44526</v>
      </c>
      <c r="B5560" s="403">
        <f>+B5559</f>
        <v>11</v>
      </c>
      <c r="C5560" s="338">
        <v>3210</v>
      </c>
      <c r="D5560" s="340" t="str">
        <f>VLOOKUP(C5560,Plan!A:B,2,0)</f>
        <v>Donacion Construccion</v>
      </c>
      <c r="E5560" s="341">
        <f>+F5560-G5560</f>
        <v>-1908925</v>
      </c>
      <c r="F5560" s="346">
        <v>0</v>
      </c>
      <c r="G5560" s="346">
        <f>+F5559</f>
        <v>1908925</v>
      </c>
      <c r="H5560" s="338" t="str">
        <f>+H5559</f>
        <v>Tarjetas Azules</v>
      </c>
      <c r="I5560" s="340" t="s">
        <v>131</v>
      </c>
      <c r="K5560" s="370"/>
      <c r="N5560" s="370"/>
    </row>
    <row r="5561" spans="1:14" s="347" customFormat="1" x14ac:dyDescent="0.25">
      <c r="A5561" s="369"/>
      <c r="E5561" s="396"/>
      <c r="F5561" s="396"/>
      <c r="G5561" s="396"/>
      <c r="K5561" s="370"/>
      <c r="N5561" s="370"/>
    </row>
    <row r="5562" spans="1:14" s="347" customFormat="1" x14ac:dyDescent="0.25">
      <c r="A5562" s="402">
        <v>44526</v>
      </c>
      <c r="B5562" s="403">
        <f>+MONTH(A5562)</f>
        <v>11</v>
      </c>
      <c r="C5562" s="338">
        <v>115</v>
      </c>
      <c r="D5562" s="340" t="str">
        <f>VLOOKUP(C5562,Plan!A:B,2,0)</f>
        <v>Disponible Cali B.Chile</v>
      </c>
      <c r="E5562" s="341">
        <f>+F5562-G5562</f>
        <v>45000</v>
      </c>
      <c r="F5562" s="346">
        <v>45000</v>
      </c>
      <c r="G5562" s="346">
        <v>0</v>
      </c>
      <c r="H5562" t="s">
        <v>2338</v>
      </c>
      <c r="I5562" s="340" t="s">
        <v>131</v>
      </c>
      <c r="K5562" s="370"/>
      <c r="N5562" s="370"/>
    </row>
    <row r="5563" spans="1:14" s="347" customFormat="1" x14ac:dyDescent="0.25">
      <c r="A5563" s="402">
        <f>+A5562</f>
        <v>44526</v>
      </c>
      <c r="B5563" s="403">
        <f>+B5562</f>
        <v>11</v>
      </c>
      <c r="C5563" s="338">
        <v>1222</v>
      </c>
      <c r="D5563" s="340" t="str">
        <f>VLOOKUP(C5563,Plan!A:B,2,0)</f>
        <v>Otros Valores -Oficina y Transferencias (249)</v>
      </c>
      <c r="E5563" s="341">
        <f>+F5563-G5563</f>
        <v>-45000</v>
      </c>
      <c r="F5563" s="346">
        <v>0</v>
      </c>
      <c r="G5563" s="346">
        <f>+F5562</f>
        <v>45000</v>
      </c>
      <c r="H5563" s="338" t="str">
        <f>+H5562</f>
        <v>Santiago Ríos García / 249</v>
      </c>
      <c r="I5563" s="340" t="s">
        <v>131</v>
      </c>
      <c r="K5563" s="370"/>
      <c r="N5563" s="370"/>
    </row>
    <row r="5564" spans="1:14" s="347" customFormat="1" x14ac:dyDescent="0.25">
      <c r="A5564" s="369"/>
      <c r="E5564" s="396"/>
      <c r="F5564" s="396"/>
      <c r="G5564" s="396"/>
      <c r="K5564" s="370"/>
      <c r="N5564" s="370"/>
    </row>
    <row r="5565" spans="1:14" s="347" customFormat="1" x14ac:dyDescent="0.25">
      <c r="A5565" s="402">
        <v>44526</v>
      </c>
      <c r="B5565" s="403">
        <f>+MONTH(A5565)</f>
        <v>11</v>
      </c>
      <c r="C5565" s="338">
        <v>115</v>
      </c>
      <c r="D5565" s="340" t="str">
        <f>VLOOKUP(C5565,Plan!A:B,2,0)</f>
        <v>Disponible Cali B.Chile</v>
      </c>
      <c r="E5565" s="341">
        <f>+F5565-G5565</f>
        <v>64000</v>
      </c>
      <c r="F5565" s="346">
        <v>64000</v>
      </c>
      <c r="G5565" s="346">
        <v>0</v>
      </c>
      <c r="H5565" t="s">
        <v>2339</v>
      </c>
      <c r="I5565" s="340" t="s">
        <v>131</v>
      </c>
      <c r="K5565" s="370"/>
      <c r="N5565" s="370"/>
    </row>
    <row r="5566" spans="1:14" s="347" customFormat="1" x14ac:dyDescent="0.25">
      <c r="A5566" s="402">
        <f>+A5565</f>
        <v>44526</v>
      </c>
      <c r="B5566" s="403">
        <f>+B5565</f>
        <v>11</v>
      </c>
      <c r="C5566" s="338">
        <v>141</v>
      </c>
      <c r="D5566" s="340" t="str">
        <f>VLOOKUP(C5566,Plan!A:B,2,0)</f>
        <v>Cuentas por Cobrar a Administración</v>
      </c>
      <c r="E5566" s="341">
        <f>+F5566-G5566</f>
        <v>-64000</v>
      </c>
      <c r="F5566" s="346">
        <v>0</v>
      </c>
      <c r="G5566" s="346">
        <f>+F5565</f>
        <v>64000</v>
      </c>
      <c r="H5566" s="338" t="str">
        <f>+H5565</f>
        <v>Caja Navidad Soledad Celis</v>
      </c>
      <c r="I5566" s="340" t="s">
        <v>131</v>
      </c>
      <c r="K5566" s="370"/>
      <c r="N5566" s="370"/>
    </row>
    <row r="5567" spans="1:14" s="347" customFormat="1" x14ac:dyDescent="0.25">
      <c r="A5567" s="369"/>
      <c r="E5567" s="396"/>
      <c r="F5567" s="396"/>
      <c r="G5567" s="396"/>
      <c r="K5567" s="370"/>
      <c r="N5567" s="370"/>
    </row>
    <row r="5568" spans="1:14" s="347" customFormat="1" x14ac:dyDescent="0.25">
      <c r="A5568" s="402">
        <v>44529</v>
      </c>
      <c r="B5568" s="403">
        <f>+MONTH(A5568)</f>
        <v>11</v>
      </c>
      <c r="C5568" s="338">
        <v>115</v>
      </c>
      <c r="D5568" s="340" t="str">
        <f>VLOOKUP(C5568,Plan!A:B,2,0)</f>
        <v>Disponible Cali B.Chile</v>
      </c>
      <c r="E5568" s="341">
        <f>+F5568-G5568</f>
        <v>10000</v>
      </c>
      <c r="F5568" s="346">
        <v>10000</v>
      </c>
      <c r="G5568" s="346">
        <v>0</v>
      </c>
      <c r="H5568" t="s">
        <v>1045</v>
      </c>
      <c r="I5568" s="340" t="s">
        <v>131</v>
      </c>
      <c r="K5568" s="370"/>
      <c r="N5568" s="370"/>
    </row>
    <row r="5569" spans="1:14" s="347" customFormat="1" x14ac:dyDescent="0.25">
      <c r="A5569" s="402">
        <f>+A5568</f>
        <v>44529</v>
      </c>
      <c r="B5569" s="403">
        <f>+B5568</f>
        <v>11</v>
      </c>
      <c r="C5569" s="338">
        <v>1222</v>
      </c>
      <c r="D5569" s="340" t="str">
        <f>VLOOKUP(C5569,Plan!A:B,2,0)</f>
        <v>Otros Valores -Oficina y Transferencias (249)</v>
      </c>
      <c r="E5569" s="341">
        <f>+F5569-G5569</f>
        <v>-10000</v>
      </c>
      <c r="F5569" s="346">
        <v>0</v>
      </c>
      <c r="G5569" s="346">
        <f>+F5568</f>
        <v>10000</v>
      </c>
      <c r="H5569" s="338" t="str">
        <f>+H5568</f>
        <v>Isabel Margarita Guarda Larrañaga/249</v>
      </c>
      <c r="I5569" s="340" t="s">
        <v>131</v>
      </c>
      <c r="K5569" s="370"/>
      <c r="N5569" s="370"/>
    </row>
    <row r="5570" spans="1:14" s="347" customFormat="1" x14ac:dyDescent="0.25">
      <c r="A5570" s="369"/>
      <c r="E5570" s="396"/>
      <c r="F5570" s="396"/>
      <c r="G5570" s="396"/>
      <c r="K5570" s="370"/>
      <c r="N5570" s="370"/>
    </row>
    <row r="5571" spans="1:14" s="347" customFormat="1" x14ac:dyDescent="0.25">
      <c r="A5571" s="402">
        <v>44529</v>
      </c>
      <c r="B5571" s="403">
        <f>+MONTH(A5571)</f>
        <v>11</v>
      </c>
      <c r="C5571" s="338">
        <v>115</v>
      </c>
      <c r="D5571" s="340" t="str">
        <f>VLOOKUP(C5571,Plan!A:B,2,0)</f>
        <v>Disponible Cali B.Chile</v>
      </c>
      <c r="E5571" s="341">
        <f>+F5571-G5571</f>
        <v>60000</v>
      </c>
      <c r="F5571" s="346">
        <v>60000</v>
      </c>
      <c r="G5571" s="346">
        <v>0</v>
      </c>
      <c r="H5571" t="s">
        <v>1047</v>
      </c>
      <c r="I5571" s="340" t="s">
        <v>131</v>
      </c>
      <c r="K5571" s="370"/>
      <c r="N5571" s="370"/>
    </row>
    <row r="5572" spans="1:14" s="347" customFormat="1" x14ac:dyDescent="0.25">
      <c r="A5572" s="402">
        <f>+A5571</f>
        <v>44529</v>
      </c>
      <c r="B5572" s="403">
        <f>+B5571</f>
        <v>11</v>
      </c>
      <c r="C5572" s="338">
        <v>1222</v>
      </c>
      <c r="D5572" s="340" t="str">
        <f>VLOOKUP(C5572,Plan!A:B,2,0)</f>
        <v>Otros Valores -Oficina y Transferencias (249)</v>
      </c>
      <c r="E5572" s="341">
        <f>+F5572-G5572</f>
        <v>-60000</v>
      </c>
      <c r="F5572" s="346">
        <v>0</v>
      </c>
      <c r="G5572" s="346">
        <f>+F5571</f>
        <v>60000</v>
      </c>
      <c r="H5572" s="338" t="str">
        <f>+H5571</f>
        <v>Carlos Lecaros Price / 249</v>
      </c>
      <c r="I5572" s="340" t="s">
        <v>131</v>
      </c>
      <c r="K5572" s="370"/>
      <c r="N5572" s="370"/>
    </row>
    <row r="5573" spans="1:14" s="347" customFormat="1" x14ac:dyDescent="0.25">
      <c r="A5573" s="369"/>
      <c r="E5573" s="396"/>
      <c r="F5573" s="396"/>
      <c r="G5573" s="396"/>
      <c r="K5573" s="370"/>
      <c r="N5573" s="370"/>
    </row>
    <row r="5574" spans="1:14" s="347" customFormat="1" x14ac:dyDescent="0.25">
      <c r="A5574" s="402">
        <v>44529</v>
      </c>
      <c r="B5574" s="403">
        <f>+MONTH(A5574)</f>
        <v>11</v>
      </c>
      <c r="C5574" s="338">
        <v>115</v>
      </c>
      <c r="D5574" s="340" t="str">
        <f>VLOOKUP(C5574,Plan!A:B,2,0)</f>
        <v>Disponible Cali B.Chile</v>
      </c>
      <c r="E5574" s="341">
        <f>+F5574-G5574</f>
        <v>10000</v>
      </c>
      <c r="F5574" s="346">
        <v>10000</v>
      </c>
      <c r="G5574" s="346">
        <v>0</v>
      </c>
      <c r="H5574" t="s">
        <v>1093</v>
      </c>
      <c r="I5574" s="340" t="s">
        <v>131</v>
      </c>
      <c r="K5574" s="370"/>
      <c r="N5574" s="370"/>
    </row>
    <row r="5575" spans="1:14" s="347" customFormat="1" x14ac:dyDescent="0.25">
      <c r="A5575" s="402">
        <f>+A5574</f>
        <v>44529</v>
      </c>
      <c r="B5575" s="403">
        <f>+B5574</f>
        <v>11</v>
      </c>
      <c r="C5575" s="338">
        <v>1222</v>
      </c>
      <c r="D5575" s="340" t="str">
        <f>VLOOKUP(C5575,Plan!A:B,2,0)</f>
        <v>Otros Valores -Oficina y Transferencias (249)</v>
      </c>
      <c r="E5575" s="341">
        <f>+F5575-G5575</f>
        <v>-10000</v>
      </c>
      <c r="F5575" s="346">
        <v>0</v>
      </c>
      <c r="G5575" s="346">
        <f>+F5574</f>
        <v>10000</v>
      </c>
      <c r="H5575" s="338" t="str">
        <f>+H5574</f>
        <v>José Miguel Pérez de Castro Z./249</v>
      </c>
      <c r="I5575" s="340" t="s">
        <v>131</v>
      </c>
      <c r="K5575" s="370"/>
      <c r="N5575" s="370"/>
    </row>
    <row r="5576" spans="1:14" s="347" customFormat="1" x14ac:dyDescent="0.25">
      <c r="A5576" s="369"/>
      <c r="E5576" s="396"/>
      <c r="F5576" s="396"/>
      <c r="G5576" s="396"/>
      <c r="K5576" s="370"/>
      <c r="N5576" s="370"/>
    </row>
    <row r="5577" spans="1:14" s="347" customFormat="1" x14ac:dyDescent="0.25">
      <c r="A5577" s="402">
        <v>44529</v>
      </c>
      <c r="B5577" s="403">
        <f>+MONTH(A5577)</f>
        <v>11</v>
      </c>
      <c r="C5577" s="338">
        <v>115</v>
      </c>
      <c r="D5577" s="340" t="str">
        <f>VLOOKUP(C5577,Plan!A:B,2,0)</f>
        <v>Disponible Cali B.Chile</v>
      </c>
      <c r="E5577" s="341">
        <f>+F5577-G5577</f>
        <v>73000</v>
      </c>
      <c r="F5577" s="346">
        <v>73000</v>
      </c>
      <c r="G5577" s="346">
        <v>0</v>
      </c>
      <c r="H5577" t="s">
        <v>1050</v>
      </c>
      <c r="I5577" s="340" t="s">
        <v>131</v>
      </c>
      <c r="K5577" s="370"/>
      <c r="N5577" s="370"/>
    </row>
    <row r="5578" spans="1:14" s="347" customFormat="1" x14ac:dyDescent="0.25">
      <c r="A5578" s="402">
        <f>+A5577</f>
        <v>44529</v>
      </c>
      <c r="B5578" s="403">
        <f>+B5577</f>
        <v>11</v>
      </c>
      <c r="C5578" s="338">
        <v>3210</v>
      </c>
      <c r="D5578" s="340" t="str">
        <f>VLOOKUP(C5578,Plan!A:B,2,0)</f>
        <v>Donacion Construccion</v>
      </c>
      <c r="E5578" s="341">
        <f>+F5578-G5578</f>
        <v>-73000</v>
      </c>
      <c r="F5578" s="346">
        <v>0</v>
      </c>
      <c r="G5578" s="346">
        <f>+F5577</f>
        <v>73000</v>
      </c>
      <c r="H5578" s="338" t="str">
        <f>+H5577</f>
        <v>Matías Silva Olmos / Azul</v>
      </c>
      <c r="I5578" s="340" t="s">
        <v>131</v>
      </c>
      <c r="K5578" s="370"/>
      <c r="N5578" s="370"/>
    </row>
    <row r="5579" spans="1:14" s="347" customFormat="1" x14ac:dyDescent="0.25">
      <c r="A5579" s="369"/>
      <c r="E5579" s="396"/>
      <c r="F5579" s="396"/>
      <c r="G5579" s="396"/>
      <c r="K5579" s="370"/>
      <c r="N5579" s="370"/>
    </row>
    <row r="5580" spans="1:14" s="347" customFormat="1" x14ac:dyDescent="0.25">
      <c r="A5580" s="402">
        <v>44529</v>
      </c>
      <c r="B5580" s="403">
        <f>+MONTH(A5580)</f>
        <v>11</v>
      </c>
      <c r="C5580" s="338">
        <v>115</v>
      </c>
      <c r="D5580" s="340" t="str">
        <f>VLOOKUP(C5580,Plan!A:B,2,0)</f>
        <v>Disponible Cali B.Chile</v>
      </c>
      <c r="E5580" s="341">
        <f>+F5580-G5580</f>
        <v>40000</v>
      </c>
      <c r="F5580" s="346">
        <v>40000</v>
      </c>
      <c r="G5580" s="346">
        <v>0</v>
      </c>
      <c r="H5580" t="s">
        <v>1051</v>
      </c>
      <c r="I5580" s="340" t="s">
        <v>131</v>
      </c>
      <c r="K5580" s="370"/>
      <c r="N5580" s="370"/>
    </row>
    <row r="5581" spans="1:14" s="347" customFormat="1" x14ac:dyDescent="0.25">
      <c r="A5581" s="402">
        <f>+A5580</f>
        <v>44529</v>
      </c>
      <c r="B5581" s="403">
        <f>+B5580</f>
        <v>11</v>
      </c>
      <c r="C5581" s="338">
        <v>3210</v>
      </c>
      <c r="D5581" s="340" t="str">
        <f>VLOOKUP(C5581,Plan!A:B,2,0)</f>
        <v>Donacion Construccion</v>
      </c>
      <c r="E5581" s="341">
        <f>+F5581-G5581</f>
        <v>-40000</v>
      </c>
      <c r="F5581" s="346">
        <v>0</v>
      </c>
      <c r="G5581" s="346">
        <f>+F5580</f>
        <v>40000</v>
      </c>
      <c r="H5581" s="338" t="str">
        <f>+H5580</f>
        <v>Pedro Vicuña Illanes / Azul</v>
      </c>
      <c r="I5581" s="340" t="s">
        <v>131</v>
      </c>
      <c r="K5581" s="370"/>
      <c r="N5581" s="370"/>
    </row>
    <row r="5582" spans="1:14" s="347" customFormat="1" x14ac:dyDescent="0.25">
      <c r="A5582" s="369"/>
      <c r="E5582" s="396"/>
      <c r="F5582" s="396"/>
      <c r="G5582" s="396"/>
      <c r="K5582" s="370"/>
      <c r="N5582" s="370"/>
    </row>
    <row r="5583" spans="1:14" s="347" customFormat="1" x14ac:dyDescent="0.25">
      <c r="A5583" s="402">
        <v>44529</v>
      </c>
      <c r="B5583" s="403">
        <f>+MONTH(A5583)</f>
        <v>11</v>
      </c>
      <c r="C5583" s="338">
        <v>115</v>
      </c>
      <c r="D5583" s="340" t="str">
        <f>VLOOKUP(C5583,Plan!A:B,2,0)</f>
        <v>Disponible Cali B.Chile</v>
      </c>
      <c r="E5583" s="341">
        <f>+F5583-G5583</f>
        <v>25000</v>
      </c>
      <c r="F5583" s="346">
        <v>25000</v>
      </c>
      <c r="G5583" s="346">
        <v>0</v>
      </c>
      <c r="H5583" t="s">
        <v>969</v>
      </c>
      <c r="I5583" s="340" t="s">
        <v>131</v>
      </c>
      <c r="K5583" s="370"/>
      <c r="N5583" s="370"/>
    </row>
    <row r="5584" spans="1:14" s="347" customFormat="1" x14ac:dyDescent="0.25">
      <c r="A5584" s="402">
        <f>+A5583</f>
        <v>44529</v>
      </c>
      <c r="B5584" s="403">
        <f>+B5583</f>
        <v>11</v>
      </c>
      <c r="C5584" s="338">
        <v>1217</v>
      </c>
      <c r="D5584" s="340" t="str">
        <f>VLOOKUP(C5584,Plan!A:B,2,0)</f>
        <v>Otros Valores -Oficina y Transferencias (248)</v>
      </c>
      <c r="E5584" s="341">
        <f>+F5584-G5584</f>
        <v>-25000</v>
      </c>
      <c r="F5584" s="346">
        <v>0</v>
      </c>
      <c r="G5584" s="346">
        <f>+F5583</f>
        <v>25000</v>
      </c>
      <c r="H5584" s="338" t="str">
        <f>+H5583</f>
        <v>José L. Barros / 248</v>
      </c>
      <c r="I5584" s="340" t="s">
        <v>131</v>
      </c>
      <c r="K5584" s="370"/>
      <c r="N5584" s="370"/>
    </row>
    <row r="5585" spans="1:14" s="347" customFormat="1" x14ac:dyDescent="0.25">
      <c r="A5585" s="369"/>
      <c r="E5585" s="396"/>
      <c r="F5585" s="396"/>
      <c r="G5585" s="396"/>
      <c r="K5585" s="370"/>
      <c r="N5585" s="370"/>
    </row>
    <row r="5586" spans="1:14" s="347" customFormat="1" x14ac:dyDescent="0.25">
      <c r="A5586" s="402">
        <v>44530</v>
      </c>
      <c r="B5586" s="403">
        <f>+MONTH(A5586)</f>
        <v>11</v>
      </c>
      <c r="C5586" s="338">
        <v>202</v>
      </c>
      <c r="D5586" s="340" t="str">
        <f>VLOOKUP(C5586,Plan!A:B,2,0)</f>
        <v>Arzobispado por pagar</v>
      </c>
      <c r="E5586" s="341">
        <f>+F5586-G5586</f>
        <v>2967795</v>
      </c>
      <c r="F5586" s="346">
        <v>2967795</v>
      </c>
      <c r="G5586" s="346">
        <v>0</v>
      </c>
      <c r="H5586" t="s">
        <v>2340</v>
      </c>
      <c r="I5586" s="340" t="s">
        <v>131</v>
      </c>
      <c r="K5586" s="370"/>
      <c r="N5586" s="370"/>
    </row>
    <row r="5587" spans="1:14" s="347" customFormat="1" x14ac:dyDescent="0.25">
      <c r="A5587" s="402">
        <f>+A5586</f>
        <v>44530</v>
      </c>
      <c r="B5587" s="403">
        <f>+B5586</f>
        <v>11</v>
      </c>
      <c r="C5587" s="338">
        <v>201</v>
      </c>
      <c r="D5587" s="340" t="str">
        <f>VLOOKUP(C5587,Plan!A:B,2,0)</f>
        <v>1% por pagar</v>
      </c>
      <c r="E5587" s="341">
        <f>+F5587-G5587</f>
        <v>175140</v>
      </c>
      <c r="F5587" s="346">
        <v>175140</v>
      </c>
      <c r="G5587" s="346">
        <v>0</v>
      </c>
      <c r="H5587" s="338" t="str">
        <f>+H5586</f>
        <v>Arzobispado de Santiago Rend. CALI Oct./21</v>
      </c>
      <c r="I5587" s="340" t="s">
        <v>131</v>
      </c>
      <c r="K5587" s="370"/>
      <c r="N5587" s="370"/>
    </row>
    <row r="5588" spans="1:14" s="347" customFormat="1" x14ac:dyDescent="0.25">
      <c r="A5588" s="402">
        <f>+A5587</f>
        <v>44530</v>
      </c>
      <c r="B5588" s="403">
        <f>+B5587</f>
        <v>11</v>
      </c>
      <c r="C5588" s="338">
        <v>115</v>
      </c>
      <c r="D5588" s="340" t="str">
        <f>VLOOKUP(C5588,Plan!A:B,2,0)</f>
        <v>Disponible Cali B.Chile</v>
      </c>
      <c r="E5588" s="341">
        <f>+F5588-G5588</f>
        <v>-3134885</v>
      </c>
      <c r="F5588" s="346">
        <v>0</v>
      </c>
      <c r="G5588" s="346">
        <v>3134885</v>
      </c>
      <c r="H5588" s="338" t="str">
        <f>+H5587</f>
        <v>Arzobispado de Santiago Rend. CALI Oct./21</v>
      </c>
      <c r="I5588" s="340" t="s">
        <v>131</v>
      </c>
      <c r="K5588" s="370"/>
      <c r="N5588" s="370"/>
    </row>
    <row r="5589" spans="1:14" s="347" customFormat="1" x14ac:dyDescent="0.25">
      <c r="A5589" s="402">
        <v>44530</v>
      </c>
      <c r="B5589" s="403">
        <f>+MONTH(A5589)</f>
        <v>11</v>
      </c>
      <c r="C5589" s="338">
        <v>202</v>
      </c>
      <c r="D5589" s="340" t="str">
        <f>VLOOKUP(C5589,Plan!A:B,2,0)</f>
        <v>Arzobispado por pagar</v>
      </c>
      <c r="E5589" s="341">
        <f>+F5589-G5589</f>
        <v>-8050</v>
      </c>
      <c r="F5589" s="346">
        <v>0</v>
      </c>
      <c r="G5589" s="346">
        <v>8050</v>
      </c>
      <c r="H5589" t="s">
        <v>2341</v>
      </c>
      <c r="I5589" s="340" t="s">
        <v>131</v>
      </c>
      <c r="K5589" s="370"/>
      <c r="N5589" s="370"/>
    </row>
    <row r="5590" spans="1:14" s="347" customFormat="1" x14ac:dyDescent="0.25">
      <c r="A5590" s="402"/>
      <c r="B5590" s="403"/>
      <c r="C5590" s="338"/>
      <c r="D5590" s="340"/>
      <c r="E5590" s="341"/>
      <c r="F5590" s="342"/>
      <c r="G5590" s="342"/>
      <c r="H5590"/>
      <c r="I5590" s="340"/>
      <c r="K5590" s="370"/>
      <c r="N5590" s="370"/>
    </row>
    <row r="5591" spans="1:14" s="347" customFormat="1" x14ac:dyDescent="0.25">
      <c r="A5591" s="402">
        <v>44529</v>
      </c>
      <c r="B5591" s="403">
        <f>+MONTH(A5591)</f>
        <v>11</v>
      </c>
      <c r="C5591" s="338">
        <v>4170</v>
      </c>
      <c r="D5591" s="340" t="str">
        <f>VLOOKUP(C5591,Plan!A:B,2,0)</f>
        <v>Cali otros</v>
      </c>
      <c r="E5591" s="341">
        <f>+F5591-G5591</f>
        <v>338983</v>
      </c>
      <c r="F5591" s="346">
        <f>+G5592+G5593</f>
        <v>338983</v>
      </c>
      <c r="G5591" s="346">
        <v>0</v>
      </c>
      <c r="H5591" t="s">
        <v>2356</v>
      </c>
      <c r="I5591" s="340" t="s">
        <v>131</v>
      </c>
      <c r="K5591" s="370"/>
      <c r="N5591" s="370"/>
    </row>
    <row r="5592" spans="1:14" s="347" customFormat="1" x14ac:dyDescent="0.25">
      <c r="A5592" s="402">
        <f>+A5591</f>
        <v>44529</v>
      </c>
      <c r="B5592" s="403">
        <f>+B5591</f>
        <v>11</v>
      </c>
      <c r="C5592" s="338">
        <v>204</v>
      </c>
      <c r="D5592" s="340" t="str">
        <f>VLOOKUP(C5592,Plan!A:B,2,0)</f>
        <v>Retención Honorarios Cali</v>
      </c>
      <c r="E5592" s="341">
        <f>+F5592-G5592</f>
        <v>-38983</v>
      </c>
      <c r="F5592" s="346">
        <v>0</v>
      </c>
      <c r="G5592" s="346">
        <v>38983</v>
      </c>
      <c r="H5592" s="338" t="str">
        <f>+H5591</f>
        <v>Be 321 Guillermo de la Vega Ivovich  Asesoria 1% Octubre 2021</v>
      </c>
      <c r="I5592" s="340" t="s">
        <v>131</v>
      </c>
      <c r="K5592" s="370"/>
      <c r="N5592" s="370"/>
    </row>
    <row r="5593" spans="1:14" s="347" customFormat="1" x14ac:dyDescent="0.25">
      <c r="A5593" s="402">
        <f>+A5592</f>
        <v>44529</v>
      </c>
      <c r="B5593" s="403">
        <f>+B5592</f>
        <v>11</v>
      </c>
      <c r="C5593" s="338">
        <v>115</v>
      </c>
      <c r="D5593" s="340" t="str">
        <f>VLOOKUP(C5593,Plan!A:B,2,0)</f>
        <v>Disponible Cali B.Chile</v>
      </c>
      <c r="E5593" s="341">
        <f>+F5593-G5593</f>
        <v>-300000</v>
      </c>
      <c r="F5593" s="346">
        <v>0</v>
      </c>
      <c r="G5593" s="346">
        <v>300000</v>
      </c>
      <c r="H5593" s="338" t="str">
        <f>+H5592</f>
        <v>Be 321 Guillermo de la Vega Ivovich  Asesoria 1% Octubre 2021</v>
      </c>
      <c r="I5593" s="340" t="s">
        <v>131</v>
      </c>
      <c r="K5593" s="370"/>
      <c r="N5593" s="370"/>
    </row>
    <row r="5594" spans="1:14" s="347" customFormat="1" x14ac:dyDescent="0.25">
      <c r="K5594" s="370"/>
      <c r="N5594" s="370"/>
    </row>
    <row r="5595" spans="1:14" s="347" customFormat="1" x14ac:dyDescent="0.25">
      <c r="A5595" s="402">
        <v>44530</v>
      </c>
      <c r="B5595" s="403">
        <f>+MONTH(A5595)</f>
        <v>11</v>
      </c>
      <c r="C5595" s="338">
        <v>115</v>
      </c>
      <c r="D5595" s="340" t="str">
        <f>VLOOKUP(C5595,Plan!A:B,2,0)</f>
        <v>Disponible Cali B.Chile</v>
      </c>
      <c r="E5595" s="341">
        <f>+F5595-G5595</f>
        <v>10000</v>
      </c>
      <c r="F5595" s="346">
        <v>10000</v>
      </c>
      <c r="G5595" s="346">
        <v>0</v>
      </c>
      <c r="H5595" t="s">
        <v>1027</v>
      </c>
      <c r="I5595" s="340" t="s">
        <v>131</v>
      </c>
      <c r="K5595" s="370"/>
      <c r="N5595" s="370"/>
    </row>
    <row r="5596" spans="1:14" s="347" customFormat="1" x14ac:dyDescent="0.25">
      <c r="A5596" s="402">
        <f>+A5595</f>
        <v>44530</v>
      </c>
      <c r="B5596" s="403">
        <f>+B5595</f>
        <v>11</v>
      </c>
      <c r="C5596" s="338">
        <v>1217</v>
      </c>
      <c r="D5596" s="340" t="str">
        <f>VLOOKUP(C5596,Plan!A:B,2,0)</f>
        <v>Otros Valores -Oficina y Transferencias (248)</v>
      </c>
      <c r="E5596" s="341">
        <f>+F5596-G5596</f>
        <v>-10000</v>
      </c>
      <c r="F5596" s="346">
        <v>0</v>
      </c>
      <c r="G5596" s="346">
        <f>+F5595</f>
        <v>10000</v>
      </c>
      <c r="H5596" s="338" t="str">
        <f>+H5595</f>
        <v>GODOY CAMUS CARLOS IGNACIO/248</v>
      </c>
      <c r="I5596" s="340" t="s">
        <v>131</v>
      </c>
      <c r="K5596" s="370"/>
      <c r="N5596" s="370"/>
    </row>
    <row r="5597" spans="1:14" s="347" customFormat="1" x14ac:dyDescent="0.25">
      <c r="A5597" s="369"/>
      <c r="E5597" s="396"/>
      <c r="F5597" s="396"/>
      <c r="G5597" s="396"/>
      <c r="K5597" s="370"/>
      <c r="N5597" s="370"/>
    </row>
    <row r="5598" spans="1:14" s="347" customFormat="1" x14ac:dyDescent="0.25">
      <c r="A5598" s="402">
        <v>44530</v>
      </c>
      <c r="B5598" s="403">
        <f>+MONTH(A5598)</f>
        <v>11</v>
      </c>
      <c r="C5598" s="338">
        <v>115</v>
      </c>
      <c r="D5598" s="340" t="str">
        <f>VLOOKUP(C5598,Plan!A:B,2,0)</f>
        <v>Disponible Cali B.Chile</v>
      </c>
      <c r="E5598" s="341">
        <f>+F5598-G5598</f>
        <v>2195995</v>
      </c>
      <c r="F5598" s="346">
        <v>2195995</v>
      </c>
      <c r="G5598" s="346">
        <v>0</v>
      </c>
      <c r="H5598" t="s">
        <v>2342</v>
      </c>
      <c r="I5598" s="340" t="s">
        <v>131</v>
      </c>
      <c r="K5598" s="370"/>
      <c r="N5598" s="370"/>
    </row>
    <row r="5599" spans="1:14" s="347" customFormat="1" x14ac:dyDescent="0.25">
      <c r="A5599" s="402">
        <f>+A5598</f>
        <v>44530</v>
      </c>
      <c r="B5599" s="403">
        <f>+B5598</f>
        <v>11</v>
      </c>
      <c r="C5599" s="338">
        <v>1219</v>
      </c>
      <c r="D5599" s="340" t="str">
        <f>VLOOKUP(C5599,Plan!A:B,2,0)</f>
        <v>Otros Valores Arzobispado (248)</v>
      </c>
      <c r="E5599" s="341">
        <f>+F5599-G5599</f>
        <v>-2195995</v>
      </c>
      <c r="F5599" s="346">
        <v>0</v>
      </c>
      <c r="G5599" s="346">
        <f>+F5598</f>
        <v>2195995</v>
      </c>
      <c r="H5599" s="338" t="str">
        <f>+H5598</f>
        <v>Arzobispado de Stgo Octubre / 248</v>
      </c>
      <c r="I5599" s="340" t="s">
        <v>131</v>
      </c>
      <c r="K5599" s="370"/>
      <c r="N5599" s="370"/>
    </row>
    <row r="5600" spans="1:14" s="347" customFormat="1" x14ac:dyDescent="0.25">
      <c r="A5600" s="369"/>
      <c r="E5600" s="396"/>
      <c r="F5600" s="396"/>
      <c r="G5600" s="396"/>
      <c r="K5600" s="370"/>
      <c r="N5600" s="370"/>
    </row>
    <row r="5601" spans="1:14" s="347" customFormat="1" x14ac:dyDescent="0.25">
      <c r="A5601" s="402">
        <v>44530</v>
      </c>
      <c r="B5601" s="403">
        <f>+MONTH(A5601)</f>
        <v>11</v>
      </c>
      <c r="C5601" s="338">
        <v>115</v>
      </c>
      <c r="D5601" s="340" t="str">
        <f>VLOOKUP(C5601,Plan!A:B,2,0)</f>
        <v>Disponible Cali B.Chile</v>
      </c>
      <c r="E5601" s="341">
        <f>+F5601-G5601</f>
        <v>1964258</v>
      </c>
      <c r="F5601" s="346">
        <v>1964258</v>
      </c>
      <c r="G5601" s="346">
        <v>0</v>
      </c>
      <c r="H5601" t="s">
        <v>2343</v>
      </c>
      <c r="I5601" s="340" t="s">
        <v>131</v>
      </c>
      <c r="K5601" s="370"/>
      <c r="N5601" s="370"/>
    </row>
    <row r="5602" spans="1:14" s="347" customFormat="1" x14ac:dyDescent="0.25">
      <c r="A5602" s="402">
        <f>+A5601</f>
        <v>44530</v>
      </c>
      <c r="B5602" s="403">
        <f>+B5601</f>
        <v>11</v>
      </c>
      <c r="C5602" s="338">
        <v>1220</v>
      </c>
      <c r="D5602" s="340" t="str">
        <f>VLOOKUP(C5602,Plan!A:B,2,0)</f>
        <v>Otros Valores Arzobispado (249)</v>
      </c>
      <c r="E5602" s="341">
        <f>+F5602-G5602</f>
        <v>-1964258</v>
      </c>
      <c r="F5602" s="346">
        <v>0</v>
      </c>
      <c r="G5602" s="346">
        <f>+F5601</f>
        <v>1964258</v>
      </c>
      <c r="H5602" s="338" t="str">
        <f>+H5601</f>
        <v>Arzobispado de Stgo Octubre / 249</v>
      </c>
      <c r="I5602" s="340" t="s">
        <v>131</v>
      </c>
      <c r="K5602" s="370"/>
      <c r="N5602" s="370"/>
    </row>
    <row r="5603" spans="1:14" s="347" customFormat="1" x14ac:dyDescent="0.25">
      <c r="A5603" s="369"/>
      <c r="E5603" s="396"/>
      <c r="F5603" s="396"/>
      <c r="G5603" s="396"/>
      <c r="K5603" s="370"/>
      <c r="N5603" s="370"/>
    </row>
    <row r="5604" spans="1:14" s="347" customFormat="1" x14ac:dyDescent="0.25">
      <c r="A5604" s="402">
        <v>44530</v>
      </c>
      <c r="B5604" s="403">
        <f>+MONTH(A5604)</f>
        <v>11</v>
      </c>
      <c r="C5604" s="338">
        <v>115</v>
      </c>
      <c r="D5604" s="340" t="str">
        <f>VLOOKUP(C5604,Plan!A:B,2,0)</f>
        <v>Disponible Cali B.Chile</v>
      </c>
      <c r="E5604" s="341">
        <f>+F5604-G5604</f>
        <v>30000</v>
      </c>
      <c r="F5604" s="346">
        <v>30000</v>
      </c>
      <c r="G5604" s="346">
        <v>0</v>
      </c>
      <c r="H5604" t="s">
        <v>1413</v>
      </c>
      <c r="I5604" s="340" t="s">
        <v>131</v>
      </c>
      <c r="K5604" s="370"/>
      <c r="N5604" s="370"/>
    </row>
    <row r="5605" spans="1:14" s="347" customFormat="1" x14ac:dyDescent="0.25">
      <c r="A5605" s="402">
        <f>+A5604</f>
        <v>44530</v>
      </c>
      <c r="B5605" s="403">
        <f>+B5604</f>
        <v>11</v>
      </c>
      <c r="C5605" s="338">
        <v>1217</v>
      </c>
      <c r="D5605" s="340" t="str">
        <f>VLOOKUP(C5605,Plan!A:B,2,0)</f>
        <v>Otros Valores -Oficina y Transferencias (248)</v>
      </c>
      <c r="E5605" s="341">
        <f>+F5605-G5605</f>
        <v>-30000</v>
      </c>
      <c r="F5605" s="346">
        <v>0</v>
      </c>
      <c r="G5605" s="346">
        <f>+F5604</f>
        <v>30000</v>
      </c>
      <c r="H5605" s="338" t="str">
        <f>+H5604</f>
        <v>María Macarena Besa Prieto/248</v>
      </c>
      <c r="I5605" s="340" t="s">
        <v>131</v>
      </c>
      <c r="K5605" s="370"/>
      <c r="N5605" s="370"/>
    </row>
    <row r="5606" spans="1:14" s="347" customFormat="1" x14ac:dyDescent="0.25">
      <c r="A5606" s="369"/>
      <c r="E5606" s="396"/>
      <c r="F5606" s="396"/>
      <c r="G5606" s="396"/>
      <c r="K5606" s="370"/>
      <c r="N5606" s="370"/>
    </row>
    <row r="5607" spans="1:14" s="347" customFormat="1" x14ac:dyDescent="0.25">
      <c r="A5607" s="402">
        <v>44530</v>
      </c>
      <c r="B5607" s="403">
        <f>+MONTH(A5607)</f>
        <v>11</v>
      </c>
      <c r="C5607" s="338">
        <v>115</v>
      </c>
      <c r="D5607" s="340" t="str">
        <f>VLOOKUP(C5607,Plan!A:B,2,0)</f>
        <v>Disponible Cali B.Chile</v>
      </c>
      <c r="E5607" s="341">
        <f>+F5607-G5607</f>
        <v>30000</v>
      </c>
      <c r="F5607" s="346">
        <v>30000</v>
      </c>
      <c r="G5607" s="346">
        <v>0</v>
      </c>
      <c r="H5607" t="s">
        <v>1670</v>
      </c>
      <c r="I5607" s="340" t="s">
        <v>131</v>
      </c>
      <c r="K5607" s="370"/>
      <c r="N5607" s="370"/>
    </row>
    <row r="5608" spans="1:14" s="347" customFormat="1" x14ac:dyDescent="0.25">
      <c r="A5608" s="402">
        <f>+A5607</f>
        <v>44530</v>
      </c>
      <c r="B5608" s="403">
        <f>+B5607</f>
        <v>11</v>
      </c>
      <c r="C5608" s="338">
        <v>1222</v>
      </c>
      <c r="D5608" s="340" t="str">
        <f>VLOOKUP(C5608,Plan!A:B,2,0)</f>
        <v>Otros Valores -Oficina y Transferencias (249)</v>
      </c>
      <c r="E5608" s="341">
        <f>+F5608-G5608</f>
        <v>-30000</v>
      </c>
      <c r="F5608" s="346">
        <v>0</v>
      </c>
      <c r="G5608" s="346">
        <f>+F5607</f>
        <v>30000</v>
      </c>
      <c r="H5608" s="338" t="str">
        <f>+H5607</f>
        <v>María Virginia Fernández Oyarzún / 249</v>
      </c>
      <c r="I5608" s="340" t="s">
        <v>131</v>
      </c>
      <c r="K5608" s="370"/>
      <c r="N5608" s="370"/>
    </row>
    <row r="5609" spans="1:14" s="347" customFormat="1" x14ac:dyDescent="0.25">
      <c r="A5609" s="369"/>
      <c r="E5609" s="396"/>
      <c r="F5609" s="396"/>
      <c r="G5609" s="396"/>
      <c r="K5609" s="370"/>
      <c r="N5609" s="370"/>
    </row>
    <row r="5610" spans="1:14" s="347" customFormat="1" x14ac:dyDescent="0.25">
      <c r="A5610" s="402">
        <v>44530</v>
      </c>
      <c r="B5610" s="403">
        <f>+MONTH(A5610)</f>
        <v>11</v>
      </c>
      <c r="C5610" s="338">
        <v>115</v>
      </c>
      <c r="D5610" s="340" t="str">
        <f>VLOOKUP(C5610,Plan!A:B,2,0)</f>
        <v>Disponible Cali B.Chile</v>
      </c>
      <c r="E5610" s="341">
        <f>+F5610-G5610</f>
        <v>20000</v>
      </c>
      <c r="F5610" s="346">
        <v>20000</v>
      </c>
      <c r="G5610" s="346">
        <v>0</v>
      </c>
      <c r="H5610" t="s">
        <v>1703</v>
      </c>
      <c r="I5610" s="340" t="s">
        <v>131</v>
      </c>
      <c r="K5610" s="370"/>
      <c r="N5610" s="370"/>
    </row>
    <row r="5611" spans="1:14" s="347" customFormat="1" x14ac:dyDescent="0.25">
      <c r="A5611" s="402">
        <f>+A5610</f>
        <v>44530</v>
      </c>
      <c r="B5611" s="403">
        <f>+B5610</f>
        <v>11</v>
      </c>
      <c r="C5611" s="338">
        <v>1222</v>
      </c>
      <c r="D5611" s="340" t="str">
        <f>VLOOKUP(C5611,Plan!A:B,2,0)</f>
        <v>Otros Valores -Oficina y Transferencias (249)</v>
      </c>
      <c r="E5611" s="341">
        <f>+F5611-G5611</f>
        <v>-20000</v>
      </c>
      <c r="F5611" s="346">
        <v>0</v>
      </c>
      <c r="G5611" s="346">
        <f>+F5610</f>
        <v>20000</v>
      </c>
      <c r="H5611" s="338" t="str">
        <f>+H5610</f>
        <v>Arantxa Ereche Tuzzini/249</v>
      </c>
      <c r="I5611" s="340" t="s">
        <v>131</v>
      </c>
      <c r="K5611" s="370"/>
      <c r="N5611" s="370"/>
    </row>
    <row r="5612" spans="1:14" s="347" customFormat="1" x14ac:dyDescent="0.25">
      <c r="K5612" s="370"/>
      <c r="N5612" s="370"/>
    </row>
    <row r="5613" spans="1:14" s="347" customFormat="1" x14ac:dyDescent="0.25">
      <c r="A5613" s="402">
        <v>44530</v>
      </c>
      <c r="B5613" s="403">
        <f>+MONTH(A5613)</f>
        <v>11</v>
      </c>
      <c r="C5613" s="338">
        <v>115</v>
      </c>
      <c r="D5613" s="340" t="str">
        <f>VLOOKUP(C5613,Plan!A:B,2,0)</f>
        <v>Disponible Cali B.Chile</v>
      </c>
      <c r="E5613" s="341">
        <f>+F5613-G5613</f>
        <v>20000</v>
      </c>
      <c r="F5613" s="346">
        <v>20000</v>
      </c>
      <c r="G5613" s="346">
        <v>0</v>
      </c>
      <c r="H5613" t="s">
        <v>963</v>
      </c>
      <c r="I5613" s="340" t="s">
        <v>131</v>
      </c>
      <c r="K5613" s="370"/>
      <c r="N5613" s="370"/>
    </row>
    <row r="5614" spans="1:14" s="347" customFormat="1" x14ac:dyDescent="0.25">
      <c r="A5614" s="402">
        <f>+A5613</f>
        <v>44530</v>
      </c>
      <c r="B5614" s="403">
        <f>+B5613</f>
        <v>11</v>
      </c>
      <c r="C5614" s="338">
        <v>1222</v>
      </c>
      <c r="D5614" s="340" t="str">
        <f>VLOOKUP(C5614,Plan!A:B,2,0)</f>
        <v>Otros Valores -Oficina y Transferencias (249)</v>
      </c>
      <c r="E5614" s="341">
        <f>+F5614-G5614</f>
        <v>-20000</v>
      </c>
      <c r="F5614" s="346">
        <v>0</v>
      </c>
      <c r="G5614" s="346">
        <f>+F5613</f>
        <v>20000</v>
      </c>
      <c r="H5614" s="338" t="str">
        <f>+H5613</f>
        <v>Benjamín Gutierrez Perlwitz / 249</v>
      </c>
      <c r="I5614" s="340" t="s">
        <v>131</v>
      </c>
      <c r="K5614" s="370"/>
      <c r="N5614" s="370"/>
    </row>
    <row r="5615" spans="1:14" s="347" customFormat="1" x14ac:dyDescent="0.25">
      <c r="A5615" s="369"/>
      <c r="E5615" s="396"/>
      <c r="F5615" s="396"/>
      <c r="G5615" s="396"/>
      <c r="K5615" s="370"/>
      <c r="N5615" s="370"/>
    </row>
    <row r="5616" spans="1:14" s="347" customFormat="1" x14ac:dyDescent="0.25">
      <c r="A5616" s="402">
        <v>44530</v>
      </c>
      <c r="B5616" s="403">
        <f>+MONTH(A5616)</f>
        <v>11</v>
      </c>
      <c r="C5616" s="338">
        <v>115</v>
      </c>
      <c r="D5616" s="340" t="str">
        <f>VLOOKUP(C5616,Plan!A:B,2,0)</f>
        <v>Disponible Cali B.Chile</v>
      </c>
      <c r="E5616" s="341">
        <f>+F5616-G5616</f>
        <v>30000</v>
      </c>
      <c r="F5616" s="346">
        <v>30000</v>
      </c>
      <c r="G5616" s="346">
        <v>0</v>
      </c>
      <c r="H5616" t="s">
        <v>1876</v>
      </c>
      <c r="I5616" s="340" t="s">
        <v>131</v>
      </c>
      <c r="K5616" s="370"/>
      <c r="N5616" s="370"/>
    </row>
    <row r="5617" spans="1:14" s="347" customFormat="1" x14ac:dyDescent="0.25">
      <c r="A5617" s="402">
        <f>+A5616</f>
        <v>44530</v>
      </c>
      <c r="B5617" s="403">
        <f>+B5616</f>
        <v>11</v>
      </c>
      <c r="C5617" s="338">
        <v>1222</v>
      </c>
      <c r="D5617" s="340" t="str">
        <f>VLOOKUP(C5617,Plan!A:B,2,0)</f>
        <v>Otros Valores -Oficina y Transferencias (249)</v>
      </c>
      <c r="E5617" s="341">
        <f>+F5617-G5617</f>
        <v>-30000</v>
      </c>
      <c r="F5617" s="346">
        <v>0</v>
      </c>
      <c r="G5617" s="346">
        <f>+F5616</f>
        <v>30000</v>
      </c>
      <c r="H5617" s="338" t="str">
        <f>+H5616</f>
        <v>Selim Guillermo Abara Elías / 249</v>
      </c>
      <c r="I5617" s="340" t="s">
        <v>131</v>
      </c>
      <c r="K5617" s="370"/>
      <c r="N5617" s="370"/>
    </row>
    <row r="5618" spans="1:14" s="347" customFormat="1" x14ac:dyDescent="0.25">
      <c r="A5618" s="369"/>
      <c r="E5618" s="396"/>
      <c r="F5618" s="396"/>
      <c r="G5618" s="396"/>
      <c r="K5618" s="370"/>
      <c r="N5618" s="370"/>
    </row>
    <row r="5619" spans="1:14" s="347" customFormat="1" x14ac:dyDescent="0.25">
      <c r="A5619" s="402">
        <v>44530</v>
      </c>
      <c r="B5619" s="403">
        <f>+MONTH(A5619)</f>
        <v>11</v>
      </c>
      <c r="C5619" s="338">
        <v>115</v>
      </c>
      <c r="D5619" s="340" t="str">
        <f>VLOOKUP(C5619,Plan!A:B,2,0)</f>
        <v>Disponible Cali B.Chile</v>
      </c>
      <c r="E5619" s="341">
        <f>+F5619-G5619</f>
        <v>20000</v>
      </c>
      <c r="F5619" s="346">
        <v>20000</v>
      </c>
      <c r="G5619" s="346">
        <v>0</v>
      </c>
      <c r="H5619" t="s">
        <v>1007</v>
      </c>
      <c r="I5619" s="340" t="s">
        <v>131</v>
      </c>
      <c r="K5619" s="370"/>
      <c r="N5619" s="370"/>
    </row>
    <row r="5620" spans="1:14" s="347" customFormat="1" x14ac:dyDescent="0.25">
      <c r="A5620" s="402">
        <f>+A5619</f>
        <v>44530</v>
      </c>
      <c r="B5620" s="403">
        <f>+B5619</f>
        <v>11</v>
      </c>
      <c r="C5620" s="338">
        <v>1222</v>
      </c>
      <c r="D5620" s="340" t="str">
        <f>VLOOKUP(C5620,Plan!A:B,2,0)</f>
        <v>Otros Valores -Oficina y Transferencias (249)</v>
      </c>
      <c r="E5620" s="341">
        <f>+F5620-G5620</f>
        <v>-20000</v>
      </c>
      <c r="F5620" s="346">
        <v>0</v>
      </c>
      <c r="G5620" s="346">
        <f>+F5619</f>
        <v>20000</v>
      </c>
      <c r="H5620" s="338" t="str">
        <f>+H5619</f>
        <v>Oscar Guarda Barros / 249</v>
      </c>
      <c r="I5620" s="340" t="s">
        <v>131</v>
      </c>
      <c r="K5620" s="370"/>
      <c r="N5620" s="370"/>
    </row>
    <row r="5621" spans="1:14" s="347" customFormat="1" x14ac:dyDescent="0.25">
      <c r="A5621" s="369"/>
      <c r="E5621" s="396"/>
      <c r="F5621" s="396"/>
      <c r="G5621" s="396"/>
      <c r="K5621" s="370"/>
      <c r="N5621" s="370"/>
    </row>
    <row r="5622" spans="1:14" s="347" customFormat="1" x14ac:dyDescent="0.25">
      <c r="A5622" s="402">
        <v>44530</v>
      </c>
      <c r="B5622" s="403">
        <f>+MONTH(A5622)</f>
        <v>11</v>
      </c>
      <c r="C5622" s="338">
        <v>115</v>
      </c>
      <c r="D5622" s="340" t="str">
        <f>VLOOKUP(C5622,Plan!A:B,2,0)</f>
        <v>Disponible Cali B.Chile</v>
      </c>
      <c r="E5622" s="341">
        <f>+F5622-G5622</f>
        <v>100000</v>
      </c>
      <c r="F5622" s="346">
        <v>100000</v>
      </c>
      <c r="G5622" s="346">
        <v>0</v>
      </c>
      <c r="H5622" t="s">
        <v>965</v>
      </c>
      <c r="I5622" s="340" t="s">
        <v>131</v>
      </c>
      <c r="K5622" s="370"/>
      <c r="N5622" s="370"/>
    </row>
    <row r="5623" spans="1:14" s="347" customFormat="1" x14ac:dyDescent="0.25">
      <c r="A5623" s="402">
        <f>+A5622</f>
        <v>44530</v>
      </c>
      <c r="B5623" s="403">
        <f>+B5622</f>
        <v>11</v>
      </c>
      <c r="C5623" s="338">
        <v>3210</v>
      </c>
      <c r="D5623" s="340" t="str">
        <f>VLOOKUP(C5623,Plan!A:B,2,0)</f>
        <v>Donacion Construccion</v>
      </c>
      <c r="E5623" s="341">
        <f>+F5623-G5623</f>
        <v>-100000</v>
      </c>
      <c r="F5623" s="346">
        <v>0</v>
      </c>
      <c r="G5623" s="346">
        <f>+F5622</f>
        <v>100000</v>
      </c>
      <c r="H5623" s="338" t="str">
        <f>+H5622</f>
        <v>Rafael Marín Jordán/azul</v>
      </c>
      <c r="I5623" s="340" t="s">
        <v>131</v>
      </c>
      <c r="K5623" s="370"/>
      <c r="N5623" s="370"/>
    </row>
    <row r="5624" spans="1:14" s="347" customFormat="1" x14ac:dyDescent="0.25">
      <c r="A5624" s="369"/>
      <c r="E5624" s="396"/>
      <c r="F5624" s="396"/>
      <c r="G5624" s="396"/>
      <c r="K5624" s="370"/>
      <c r="N5624" s="370"/>
    </row>
    <row r="5625" spans="1:14" s="347" customFormat="1" x14ac:dyDescent="0.25">
      <c r="A5625" s="402">
        <v>44530</v>
      </c>
      <c r="B5625" s="403">
        <f>+MONTH(A5625)</f>
        <v>11</v>
      </c>
      <c r="C5625" s="338">
        <v>115</v>
      </c>
      <c r="D5625" s="340" t="str">
        <f>VLOOKUP(C5625,Plan!A:B,2,0)</f>
        <v>Disponible Cali B.Chile</v>
      </c>
      <c r="E5625" s="341">
        <f>+F5625-G5625</f>
        <v>50000</v>
      </c>
      <c r="F5625" s="346">
        <v>50000</v>
      </c>
      <c r="G5625" s="346">
        <v>0</v>
      </c>
      <c r="H5625" t="s">
        <v>966</v>
      </c>
      <c r="I5625" s="340" t="s">
        <v>131</v>
      </c>
      <c r="K5625" s="370"/>
      <c r="N5625" s="370"/>
    </row>
    <row r="5626" spans="1:14" s="347" customFormat="1" x14ac:dyDescent="0.25">
      <c r="A5626" s="402">
        <f>+A5625</f>
        <v>44530</v>
      </c>
      <c r="B5626" s="403">
        <f>+B5625</f>
        <v>11</v>
      </c>
      <c r="C5626" s="338">
        <v>3210</v>
      </c>
      <c r="D5626" s="340" t="str">
        <f>VLOOKUP(C5626,Plan!A:B,2,0)</f>
        <v>Donacion Construccion</v>
      </c>
      <c r="E5626" s="341">
        <f>+F5626-G5626</f>
        <v>-50000</v>
      </c>
      <c r="F5626" s="346">
        <v>0</v>
      </c>
      <c r="G5626" s="346">
        <f>+F5625</f>
        <v>50000</v>
      </c>
      <c r="H5626" s="338" t="str">
        <f>+H5625</f>
        <v xml:space="preserve">Ricardo Fernández Oyarzún / Azul </v>
      </c>
      <c r="I5626" s="340" t="s">
        <v>131</v>
      </c>
      <c r="K5626" s="370"/>
      <c r="N5626" s="370"/>
    </row>
    <row r="5627" spans="1:14" s="347" customFormat="1" x14ac:dyDescent="0.25">
      <c r="A5627" s="369"/>
      <c r="E5627" s="396"/>
      <c r="F5627" s="396"/>
      <c r="G5627" s="396"/>
      <c r="K5627" s="370"/>
      <c r="N5627" s="370"/>
    </row>
    <row r="5628" spans="1:14" s="347" customFormat="1" x14ac:dyDescent="0.25">
      <c r="A5628" s="402">
        <v>44530</v>
      </c>
      <c r="B5628" s="403">
        <f>+MONTH(A5628)</f>
        <v>11</v>
      </c>
      <c r="C5628" s="338">
        <v>115</v>
      </c>
      <c r="D5628" s="340" t="str">
        <f>VLOOKUP(C5628,Plan!A:B,2,0)</f>
        <v>Disponible Cali B.Chile</v>
      </c>
      <c r="E5628" s="341">
        <f>+F5628-G5628</f>
        <v>40000</v>
      </c>
      <c r="F5628" s="346">
        <v>40000</v>
      </c>
      <c r="G5628" s="346">
        <v>0</v>
      </c>
      <c r="H5628" t="s">
        <v>964</v>
      </c>
      <c r="I5628" s="340" t="s">
        <v>131</v>
      </c>
      <c r="K5628" s="370"/>
      <c r="N5628" s="370"/>
    </row>
    <row r="5629" spans="1:14" s="347" customFormat="1" x14ac:dyDescent="0.25">
      <c r="A5629" s="402">
        <f>+A5628</f>
        <v>44530</v>
      </c>
      <c r="B5629" s="403">
        <f>+B5628</f>
        <v>11</v>
      </c>
      <c r="C5629" s="338">
        <v>1222</v>
      </c>
      <c r="D5629" s="340" t="str">
        <f>VLOOKUP(C5629,Plan!A:B,2,0)</f>
        <v>Otros Valores -Oficina y Transferencias (249)</v>
      </c>
      <c r="E5629" s="341">
        <f>+F5629-G5629</f>
        <v>-40000</v>
      </c>
      <c r="F5629" s="346">
        <v>0</v>
      </c>
      <c r="G5629" s="346">
        <f>+F5628</f>
        <v>40000</v>
      </c>
      <c r="H5629" s="338" t="str">
        <f>+H5628</f>
        <v>Raimundo Barros / 249</v>
      </c>
      <c r="I5629" s="340" t="s">
        <v>131</v>
      </c>
      <c r="K5629" s="370"/>
      <c r="N5629" s="370"/>
    </row>
    <row r="5630" spans="1:14" s="347" customFormat="1" x14ac:dyDescent="0.25">
      <c r="A5630" s="369"/>
      <c r="E5630" s="396"/>
      <c r="F5630" s="396"/>
      <c r="G5630" s="396"/>
      <c r="K5630" s="370"/>
      <c r="N5630" s="370"/>
    </row>
    <row r="5631" spans="1:14" s="347" customFormat="1" x14ac:dyDescent="0.25">
      <c r="A5631" s="402">
        <v>44530</v>
      </c>
      <c r="B5631" s="403">
        <f>+MONTH(A5631)</f>
        <v>11</v>
      </c>
      <c r="C5631" s="338">
        <v>115</v>
      </c>
      <c r="D5631" s="340" t="str">
        <f>VLOOKUP(C5631,Plan!A:B,2,0)</f>
        <v>Disponible Cali B.Chile</v>
      </c>
      <c r="E5631" s="341">
        <f>+F5631-G5631</f>
        <v>19360</v>
      </c>
      <c r="F5631" s="346">
        <v>19360</v>
      </c>
      <c r="G5631" s="346">
        <v>0</v>
      </c>
      <c r="H5631" t="s">
        <v>2344</v>
      </c>
      <c r="I5631" s="340" t="s">
        <v>131</v>
      </c>
      <c r="K5631" s="370"/>
      <c r="N5631" s="370"/>
    </row>
    <row r="5632" spans="1:14" s="347" customFormat="1" x14ac:dyDescent="0.25">
      <c r="A5632" s="402">
        <f>+A5631</f>
        <v>44530</v>
      </c>
      <c r="B5632" s="403">
        <f>+B5631</f>
        <v>11</v>
      </c>
      <c r="C5632" s="338">
        <v>1222</v>
      </c>
      <c r="D5632" s="340" t="str">
        <f>VLOOKUP(C5632,Plan!A:B,2,0)</f>
        <v>Otros Valores -Oficina y Transferencias (249)</v>
      </c>
      <c r="E5632" s="341">
        <f>+F5632-G5632</f>
        <v>-20000</v>
      </c>
      <c r="F5632" s="346">
        <v>0</v>
      </c>
      <c r="G5632" s="346">
        <v>20000</v>
      </c>
      <c r="H5632" s="338" t="str">
        <f>+H5631</f>
        <v xml:space="preserve">María Ignacia Lewin Urzúa ($20.000) </v>
      </c>
      <c r="I5632" s="340" t="s">
        <v>131</v>
      </c>
      <c r="K5632" s="370"/>
      <c r="N5632" s="370"/>
    </row>
    <row r="5633" spans="1:14" s="347" customFormat="1" x14ac:dyDescent="0.25">
      <c r="A5633" s="402">
        <f>+A5632</f>
        <v>44530</v>
      </c>
      <c r="B5633" s="403">
        <f>+B5632</f>
        <v>11</v>
      </c>
      <c r="C5633" s="338">
        <v>4170</v>
      </c>
      <c r="D5633" s="340" t="str">
        <f>VLOOKUP(C5633,Plan!A:B,2,0)</f>
        <v>Cali otros</v>
      </c>
      <c r="E5633" s="341">
        <f>+F5633-G5633</f>
        <v>640</v>
      </c>
      <c r="F5633" s="346">
        <v>640</v>
      </c>
      <c r="G5633" s="346">
        <f>+F5632</f>
        <v>0</v>
      </c>
      <c r="H5633" s="338" t="str">
        <f>+H5632</f>
        <v xml:space="preserve">María Ignacia Lewin Urzúa ($20.000) </v>
      </c>
      <c r="I5633" s="340" t="s">
        <v>131</v>
      </c>
      <c r="K5633" s="370"/>
      <c r="N5633" s="370"/>
    </row>
    <row r="5634" spans="1:14" s="347" customFormat="1" x14ac:dyDescent="0.25">
      <c r="A5634" s="369"/>
      <c r="E5634" s="396"/>
      <c r="F5634" s="396"/>
      <c r="G5634" s="396"/>
      <c r="K5634" s="370"/>
      <c r="N5634" s="370"/>
    </row>
    <row r="5635" spans="1:14" s="347" customFormat="1" x14ac:dyDescent="0.25">
      <c r="A5635" s="402">
        <v>44530</v>
      </c>
      <c r="B5635" s="403">
        <f>+MONTH(A5635)</f>
        <v>11</v>
      </c>
      <c r="C5635" s="338">
        <v>115</v>
      </c>
      <c r="D5635" s="340" t="str">
        <f>VLOOKUP(C5635,Plan!A:B,2,0)</f>
        <v>Disponible Cali B.Chile</v>
      </c>
      <c r="E5635" s="341">
        <f>+F5635-G5635</f>
        <v>20000</v>
      </c>
      <c r="F5635" s="346">
        <v>20000</v>
      </c>
      <c r="G5635" s="346">
        <v>0</v>
      </c>
      <c r="H5635" t="s">
        <v>983</v>
      </c>
      <c r="I5635" s="340" t="s">
        <v>131</v>
      </c>
      <c r="K5635" s="370"/>
      <c r="N5635" s="370"/>
    </row>
    <row r="5636" spans="1:14" s="347" customFormat="1" x14ac:dyDescent="0.25">
      <c r="A5636" s="402">
        <f>+A5635</f>
        <v>44530</v>
      </c>
      <c r="B5636" s="403">
        <f>+B5635</f>
        <v>11</v>
      </c>
      <c r="C5636" s="338">
        <v>1222</v>
      </c>
      <c r="D5636" s="340" t="str">
        <f>VLOOKUP(C5636,Plan!A:B,2,0)</f>
        <v>Otros Valores -Oficina y Transferencias (249)</v>
      </c>
      <c r="E5636" s="341">
        <f>+F5636-G5636</f>
        <v>-20000</v>
      </c>
      <c r="F5636" s="346">
        <v>0</v>
      </c>
      <c r="G5636" s="346">
        <f>+F5635</f>
        <v>20000</v>
      </c>
      <c r="H5636" s="338" t="str">
        <f>+H5635</f>
        <v>Macarena Gálvez Roa / 249</v>
      </c>
      <c r="I5636" s="340" t="s">
        <v>131</v>
      </c>
      <c r="K5636" s="370"/>
      <c r="N5636" s="370"/>
    </row>
    <row r="5637" spans="1:14" s="347" customFormat="1" x14ac:dyDescent="0.25">
      <c r="A5637" s="369"/>
      <c r="E5637" s="396"/>
      <c r="F5637" s="396"/>
      <c r="G5637" s="396"/>
      <c r="K5637" s="370"/>
      <c r="N5637" s="370"/>
    </row>
    <row r="5638" spans="1:14" s="347" customFormat="1" x14ac:dyDescent="0.25">
      <c r="A5638" s="402">
        <v>44530</v>
      </c>
      <c r="B5638" s="403">
        <f>+MONTH(A5638)</f>
        <v>11</v>
      </c>
      <c r="C5638" s="338">
        <v>115</v>
      </c>
      <c r="D5638" s="340" t="str">
        <f>VLOOKUP(C5638,Plan!A:B,2,0)</f>
        <v>Disponible Cali B.Chile</v>
      </c>
      <c r="E5638" s="341">
        <f>+F5638-G5638</f>
        <v>60000</v>
      </c>
      <c r="F5638" s="346">
        <v>60000</v>
      </c>
      <c r="G5638" s="346">
        <v>0</v>
      </c>
      <c r="H5638" t="s">
        <v>1687</v>
      </c>
      <c r="I5638" s="340" t="s">
        <v>131</v>
      </c>
      <c r="K5638" s="370"/>
      <c r="N5638" s="370"/>
    </row>
    <row r="5639" spans="1:14" s="347" customFormat="1" x14ac:dyDescent="0.25">
      <c r="A5639" s="402">
        <f>+A5638</f>
        <v>44530</v>
      </c>
      <c r="B5639" s="403">
        <f>+B5638</f>
        <v>11</v>
      </c>
      <c r="C5639" s="338">
        <v>1216</v>
      </c>
      <c r="D5639" s="340" t="str">
        <f>VLOOKUP(C5639,Plan!A:B,2,0)</f>
        <v>Otros Valores Recaudadoras</v>
      </c>
      <c r="E5639" s="341">
        <f>+F5639-G5639</f>
        <v>-60000</v>
      </c>
      <c r="F5639" s="346">
        <v>0</v>
      </c>
      <c r="G5639" s="346">
        <f>+F5638</f>
        <v>60000</v>
      </c>
      <c r="H5639" s="338" t="str">
        <f>+H5638</f>
        <v>Recaudadora</v>
      </c>
      <c r="I5639" s="340" t="s">
        <v>131</v>
      </c>
      <c r="K5639" s="370"/>
      <c r="N5639" s="370"/>
    </row>
    <row r="5640" spans="1:14" s="347" customFormat="1" x14ac:dyDescent="0.25">
      <c r="A5640" s="369"/>
      <c r="E5640" s="396"/>
      <c r="F5640" s="396"/>
      <c r="G5640" s="396"/>
      <c r="K5640" s="370"/>
      <c r="N5640" s="370"/>
    </row>
    <row r="5641" spans="1:14" s="347" customFormat="1" x14ac:dyDescent="0.25">
      <c r="A5641" s="402">
        <v>44530</v>
      </c>
      <c r="B5641" s="403">
        <f>+MONTH(A5641)</f>
        <v>11</v>
      </c>
      <c r="C5641" s="338">
        <v>115</v>
      </c>
      <c r="D5641" s="340" t="str">
        <f>VLOOKUP(C5641,Plan!A:B,2,0)</f>
        <v>Disponible Cali B.Chile</v>
      </c>
      <c r="E5641" s="341">
        <f>+F5641-G5641</f>
        <v>30000</v>
      </c>
      <c r="F5641" s="346">
        <v>30000</v>
      </c>
      <c r="G5641" s="346">
        <v>0</v>
      </c>
      <c r="H5641" t="s">
        <v>1687</v>
      </c>
      <c r="I5641" s="340" t="s">
        <v>131</v>
      </c>
      <c r="K5641" s="370"/>
      <c r="N5641" s="370"/>
    </row>
    <row r="5642" spans="1:14" s="347" customFormat="1" x14ac:dyDescent="0.25">
      <c r="A5642" s="402">
        <f>+A5641</f>
        <v>44530</v>
      </c>
      <c r="B5642" s="403">
        <f>+B5641</f>
        <v>11</v>
      </c>
      <c r="C5642" s="338">
        <v>1216</v>
      </c>
      <c r="D5642" s="340" t="str">
        <f>VLOOKUP(C5642,Plan!A:B,2,0)</f>
        <v>Otros Valores Recaudadoras</v>
      </c>
      <c r="E5642" s="341">
        <f>+F5642-G5642</f>
        <v>-30000</v>
      </c>
      <c r="F5642" s="346">
        <v>0</v>
      </c>
      <c r="G5642" s="346">
        <f>+F5641</f>
        <v>30000</v>
      </c>
      <c r="H5642" s="338" t="str">
        <f>+H5641</f>
        <v>Recaudadora</v>
      </c>
      <c r="I5642" s="340" t="s">
        <v>131</v>
      </c>
      <c r="K5642" s="370"/>
      <c r="N5642" s="370"/>
    </row>
    <row r="5643" spans="1:14" s="347" customFormat="1" x14ac:dyDescent="0.25">
      <c r="A5643" s="369"/>
      <c r="E5643" s="396"/>
      <c r="F5643" s="396"/>
      <c r="G5643" s="396"/>
      <c r="K5643" s="370"/>
      <c r="N5643" s="370"/>
    </row>
    <row r="5644" spans="1:14" s="347" customFormat="1" x14ac:dyDescent="0.25">
      <c r="A5644" s="402">
        <v>44530</v>
      </c>
      <c r="B5644" s="403">
        <f>+MONTH(A5644)</f>
        <v>11</v>
      </c>
      <c r="C5644" s="338">
        <v>115</v>
      </c>
      <c r="D5644" s="340" t="str">
        <f>VLOOKUP(C5644,Plan!A:B,2,0)</f>
        <v>Disponible Cali B.Chile</v>
      </c>
      <c r="E5644" s="341">
        <f>+F5644-G5644</f>
        <v>20000</v>
      </c>
      <c r="F5644" s="346">
        <v>20000</v>
      </c>
      <c r="G5644" s="346">
        <v>0</v>
      </c>
      <c r="H5644" t="s">
        <v>1687</v>
      </c>
      <c r="I5644" s="340" t="s">
        <v>131</v>
      </c>
      <c r="K5644" s="370"/>
      <c r="N5644" s="370"/>
    </row>
    <row r="5645" spans="1:14" s="347" customFormat="1" x14ac:dyDescent="0.25">
      <c r="A5645" s="402">
        <f>+A5644</f>
        <v>44530</v>
      </c>
      <c r="B5645" s="403">
        <f>+B5644</f>
        <v>11</v>
      </c>
      <c r="C5645" s="338">
        <v>1216</v>
      </c>
      <c r="D5645" s="340" t="str">
        <f>VLOOKUP(C5645,Plan!A:B,2,0)</f>
        <v>Otros Valores Recaudadoras</v>
      </c>
      <c r="E5645" s="341">
        <f>+F5645-G5645</f>
        <v>-20000</v>
      </c>
      <c r="F5645" s="346">
        <v>0</v>
      </c>
      <c r="G5645" s="346">
        <f>+F5644</f>
        <v>20000</v>
      </c>
      <c r="H5645" s="338" t="str">
        <f>+H5644</f>
        <v>Recaudadora</v>
      </c>
      <c r="I5645" s="340" t="s">
        <v>131</v>
      </c>
      <c r="K5645" s="370"/>
      <c r="N5645" s="370"/>
    </row>
    <row r="5646" spans="1:14" s="347" customFormat="1" x14ac:dyDescent="0.25">
      <c r="A5646" s="369"/>
      <c r="E5646" s="396"/>
      <c r="F5646" s="396"/>
      <c r="G5646" s="396"/>
      <c r="K5646" s="370"/>
      <c r="N5646" s="370"/>
    </row>
    <row r="5647" spans="1:14" s="347" customFormat="1" x14ac:dyDescent="0.25">
      <c r="A5647" s="402">
        <v>44530</v>
      </c>
      <c r="B5647" s="403">
        <f>+MONTH(A5647)</f>
        <v>11</v>
      </c>
      <c r="C5647" s="338">
        <v>115</v>
      </c>
      <c r="D5647" s="340" t="str">
        <f>VLOOKUP(C5647,Plan!A:B,2,0)</f>
        <v>Disponible Cali B.Chile</v>
      </c>
      <c r="E5647" s="341">
        <f>+F5647-G5647</f>
        <v>40000</v>
      </c>
      <c r="F5647" s="346">
        <v>40000</v>
      </c>
      <c r="G5647" s="346">
        <v>0</v>
      </c>
      <c r="H5647" t="s">
        <v>989</v>
      </c>
      <c r="I5647" s="340" t="s">
        <v>131</v>
      </c>
      <c r="K5647" s="370"/>
      <c r="N5647" s="370"/>
    </row>
    <row r="5648" spans="1:14" s="347" customFormat="1" x14ac:dyDescent="0.25">
      <c r="A5648" s="402">
        <f>+A5647</f>
        <v>44530</v>
      </c>
      <c r="B5648" s="403">
        <f>+B5647</f>
        <v>11</v>
      </c>
      <c r="C5648" s="338">
        <v>1217</v>
      </c>
      <c r="D5648" s="340" t="str">
        <f>VLOOKUP(C5648,Plan!A:B,2,0)</f>
        <v>Otros Valores -Oficina y Transferencias (248)</v>
      </c>
      <c r="E5648" s="341">
        <f>+F5648-G5648</f>
        <v>-40000</v>
      </c>
      <c r="F5648" s="346">
        <v>0</v>
      </c>
      <c r="G5648" s="346">
        <f>+F5647</f>
        <v>40000</v>
      </c>
      <c r="H5648" s="338" t="str">
        <f>+H5647</f>
        <v>M. Domínguez / 248</v>
      </c>
      <c r="I5648" s="340" t="s">
        <v>131</v>
      </c>
      <c r="K5648" s="370"/>
      <c r="N5648" s="370"/>
    </row>
    <row r="5649" spans="1:14" s="347" customFormat="1" x14ac:dyDescent="0.25">
      <c r="A5649" s="369"/>
      <c r="E5649" s="396"/>
      <c r="F5649" s="396"/>
      <c r="G5649" s="396"/>
      <c r="K5649" s="370"/>
      <c r="N5649" s="370"/>
    </row>
    <row r="5650" spans="1:14" s="347" customFormat="1" x14ac:dyDescent="0.25">
      <c r="A5650" s="402">
        <v>44530</v>
      </c>
      <c r="B5650" s="403">
        <f>+MONTH(A5650)</f>
        <v>11</v>
      </c>
      <c r="C5650" s="338">
        <v>115</v>
      </c>
      <c r="D5650" s="340" t="str">
        <f>VLOOKUP(C5650,Plan!A:B,2,0)</f>
        <v>Disponible Cali B.Chile</v>
      </c>
      <c r="E5650" s="341">
        <f>+F5650-G5650</f>
        <v>50000</v>
      </c>
      <c r="F5650" s="346">
        <v>50000</v>
      </c>
      <c r="G5650" s="346">
        <v>0</v>
      </c>
      <c r="H5650" t="s">
        <v>2180</v>
      </c>
      <c r="I5650" s="340" t="s">
        <v>131</v>
      </c>
      <c r="K5650" s="370"/>
      <c r="N5650" s="370"/>
    </row>
    <row r="5651" spans="1:14" s="347" customFormat="1" x14ac:dyDescent="0.25">
      <c r="A5651" s="402">
        <f>+A5650</f>
        <v>44530</v>
      </c>
      <c r="B5651" s="403">
        <f>+B5650</f>
        <v>11</v>
      </c>
      <c r="C5651" s="338">
        <v>1222</v>
      </c>
      <c r="D5651" s="340" t="str">
        <f>VLOOKUP(C5651,Plan!A:B,2,0)</f>
        <v>Otros Valores -Oficina y Transferencias (249)</v>
      </c>
      <c r="E5651" s="341">
        <f>+F5651-G5651</f>
        <v>-50000</v>
      </c>
      <c r="F5651" s="346">
        <v>0</v>
      </c>
      <c r="G5651" s="346">
        <f>+F5650</f>
        <v>50000</v>
      </c>
      <c r="H5651" s="338" t="str">
        <f>+H5650</f>
        <v>Osasun Com. Ltda. (RUT:76668530-7)</v>
      </c>
      <c r="I5651" s="340" t="s">
        <v>131</v>
      </c>
      <c r="K5651" s="370"/>
      <c r="N5651" s="370"/>
    </row>
    <row r="5652" spans="1:14" s="347" customFormat="1" x14ac:dyDescent="0.25">
      <c r="A5652" s="369"/>
      <c r="E5652" s="396"/>
      <c r="F5652" s="396"/>
      <c r="G5652" s="396"/>
      <c r="K5652" s="370"/>
      <c r="N5652" s="370"/>
    </row>
    <row r="5653" spans="1:14" s="347" customFormat="1" x14ac:dyDescent="0.25">
      <c r="A5653" s="402">
        <v>44530</v>
      </c>
      <c r="B5653" s="403">
        <f>+MONTH(A5653)</f>
        <v>11</v>
      </c>
      <c r="C5653" s="338">
        <v>115</v>
      </c>
      <c r="D5653" s="340" t="str">
        <f>VLOOKUP(C5653,Plan!A:B,2,0)</f>
        <v>Disponible Cali B.Chile</v>
      </c>
      <c r="E5653" s="341">
        <f>+F5653-G5653</f>
        <v>20000</v>
      </c>
      <c r="F5653" s="346">
        <v>20000</v>
      </c>
      <c r="G5653" s="346">
        <v>0</v>
      </c>
      <c r="H5653" t="s">
        <v>1056</v>
      </c>
      <c r="I5653" s="340" t="s">
        <v>131</v>
      </c>
      <c r="K5653" s="370"/>
      <c r="N5653" s="370"/>
    </row>
    <row r="5654" spans="1:14" s="347" customFormat="1" x14ac:dyDescent="0.25">
      <c r="A5654" s="402">
        <f>+A5653</f>
        <v>44530</v>
      </c>
      <c r="B5654" s="403">
        <f>+B5653</f>
        <v>11</v>
      </c>
      <c r="C5654" s="338">
        <v>1222</v>
      </c>
      <c r="D5654" s="340" t="str">
        <f>VLOOKUP(C5654,Plan!A:B,2,0)</f>
        <v>Otros Valores -Oficina y Transferencias (249)</v>
      </c>
      <c r="E5654" s="341">
        <f>+F5654-G5654</f>
        <v>-20000</v>
      </c>
      <c r="F5654" s="346">
        <v>0</v>
      </c>
      <c r="G5654" s="346">
        <f>+F5653</f>
        <v>20000</v>
      </c>
      <c r="H5654" s="338" t="str">
        <f>+H5653</f>
        <v>María José Muñoz Reinoso / 249</v>
      </c>
      <c r="I5654" s="340" t="s">
        <v>131</v>
      </c>
      <c r="K5654" s="370"/>
      <c r="N5654" s="370"/>
    </row>
    <row r="5655" spans="1:14" s="347" customFormat="1" x14ac:dyDescent="0.25">
      <c r="A5655" s="369"/>
      <c r="E5655" s="396"/>
      <c r="F5655" s="396"/>
      <c r="G5655" s="396"/>
      <c r="K5655" s="370"/>
      <c r="N5655" s="370"/>
    </row>
    <row r="5656" spans="1:14" s="347" customFormat="1" x14ac:dyDescent="0.25">
      <c r="A5656" s="339">
        <v>44530</v>
      </c>
      <c r="B5656" s="403">
        <f t="shared" ref="B5656:B5682" si="95">+MONTH(A5656)</f>
        <v>11</v>
      </c>
      <c r="C5656" s="352">
        <v>3620</v>
      </c>
      <c r="D5656" s="340" t="str">
        <f>VLOOKUP(C5656,Plan!A:B,2,0)</f>
        <v>Cali Recaudadores</v>
      </c>
      <c r="E5656" s="341">
        <f t="shared" ref="E5656:E5682" si="96">+F5656-G5656</f>
        <v>-592000</v>
      </c>
      <c r="F5656" s="405">
        <v>0</v>
      </c>
      <c r="G5656" s="405">
        <v>592000</v>
      </c>
      <c r="H5656" s="404" t="s">
        <v>2345</v>
      </c>
      <c r="I5656" s="355" t="s">
        <v>131</v>
      </c>
      <c r="K5656" s="370"/>
      <c r="N5656" s="370"/>
    </row>
    <row r="5657" spans="1:14" s="347" customFormat="1" x14ac:dyDescent="0.25">
      <c r="A5657" s="350">
        <f>+A5656</f>
        <v>44530</v>
      </c>
      <c r="B5657" s="403">
        <f t="shared" si="95"/>
        <v>11</v>
      </c>
      <c r="C5657" s="352">
        <v>3621</v>
      </c>
      <c r="D5657" s="340" t="str">
        <f>VLOOKUP(C5657,Plan!A:B,2,0)</f>
        <v>Cali Recaudadores (249)</v>
      </c>
      <c r="E5657" s="341">
        <f t="shared" si="96"/>
        <v>0</v>
      </c>
      <c r="F5657" s="405">
        <v>0</v>
      </c>
      <c r="G5657" s="405">
        <v>0</v>
      </c>
      <c r="H5657" s="404" t="s">
        <v>2345</v>
      </c>
      <c r="I5657" s="355" t="s">
        <v>131</v>
      </c>
      <c r="K5657" s="370"/>
      <c r="N5657" s="370"/>
    </row>
    <row r="5658" spans="1:14" s="347" customFormat="1" x14ac:dyDescent="0.25">
      <c r="A5658" s="350">
        <f>+A5656</f>
        <v>44530</v>
      </c>
      <c r="B5658" s="403">
        <f t="shared" si="95"/>
        <v>11</v>
      </c>
      <c r="C5658" s="352">
        <v>3630</v>
      </c>
      <c r="D5658" s="340" t="str">
        <f>VLOOKUP(C5658,Plan!A:B,2,0)</f>
        <v>Cali Oficina Parroquial</v>
      </c>
      <c r="E5658" s="341">
        <f t="shared" si="96"/>
        <v>-1000100</v>
      </c>
      <c r="F5658" s="405">
        <v>0</v>
      </c>
      <c r="G5658" s="405">
        <v>1000100</v>
      </c>
      <c r="H5658" s="404" t="s">
        <v>2345</v>
      </c>
      <c r="I5658" s="355" t="s">
        <v>131</v>
      </c>
      <c r="K5658" s="370"/>
      <c r="N5658" s="370"/>
    </row>
    <row r="5659" spans="1:14" s="347" customFormat="1" x14ac:dyDescent="0.25">
      <c r="A5659" s="350">
        <f>+A5657</f>
        <v>44530</v>
      </c>
      <c r="B5659" s="403">
        <f t="shared" si="95"/>
        <v>11</v>
      </c>
      <c r="C5659" s="352">
        <v>3631</v>
      </c>
      <c r="D5659" s="340" t="str">
        <f>VLOOKUP(C5659,Plan!A:B,2,0)</f>
        <v>Cali Oficina Parroquial (249)</v>
      </c>
      <c r="E5659" s="341">
        <f t="shared" si="96"/>
        <v>-3666000</v>
      </c>
      <c r="F5659" s="405">
        <v>0</v>
      </c>
      <c r="G5659" s="405">
        <v>3666000</v>
      </c>
      <c r="H5659" s="404" t="s">
        <v>2345</v>
      </c>
      <c r="I5659" s="355" t="s">
        <v>131</v>
      </c>
      <c r="K5659" s="370"/>
      <c r="N5659" s="370"/>
    </row>
    <row r="5660" spans="1:14" s="347" customFormat="1" x14ac:dyDescent="0.25">
      <c r="A5660" s="350">
        <f>+A5658</f>
        <v>44530</v>
      </c>
      <c r="B5660" s="403">
        <f t="shared" si="95"/>
        <v>11</v>
      </c>
      <c r="C5660" s="352">
        <v>3640</v>
      </c>
      <c r="D5660" s="340" t="str">
        <f>VLOOKUP(C5660,Plan!A:B,2,0)</f>
        <v>Cali Tarjetas de Creditos</v>
      </c>
      <c r="E5660" s="341">
        <f t="shared" si="96"/>
        <v>-4310600</v>
      </c>
      <c r="F5660" s="405">
        <v>0</v>
      </c>
      <c r="G5660" s="405">
        <v>4310600</v>
      </c>
      <c r="H5660" s="404" t="s">
        <v>2345</v>
      </c>
      <c r="I5660" s="355" t="s">
        <v>131</v>
      </c>
      <c r="K5660" s="370"/>
      <c r="N5660" s="370"/>
    </row>
    <row r="5661" spans="1:14" s="347" customFormat="1" x14ac:dyDescent="0.25">
      <c r="A5661" s="350">
        <f>+A5659</f>
        <v>44530</v>
      </c>
      <c r="B5661" s="403">
        <f t="shared" si="95"/>
        <v>11</v>
      </c>
      <c r="C5661" s="352">
        <v>3641</v>
      </c>
      <c r="D5661" s="340" t="str">
        <f>VLOOKUP(C5661,Plan!A:B,2,0)</f>
        <v>Cali Tarjetas de Creditos (249)</v>
      </c>
      <c r="E5661" s="341">
        <f t="shared" si="96"/>
        <v>-8692913</v>
      </c>
      <c r="F5661" s="405">
        <v>0</v>
      </c>
      <c r="G5661" s="405">
        <v>8692913</v>
      </c>
      <c r="H5661" s="404" t="s">
        <v>2345</v>
      </c>
      <c r="I5661" s="355" t="s">
        <v>131</v>
      </c>
      <c r="K5661" s="370"/>
      <c r="N5661" s="370"/>
    </row>
    <row r="5662" spans="1:14" s="347" customFormat="1" x14ac:dyDescent="0.25">
      <c r="A5662" s="350">
        <f>+A5660</f>
        <v>44530</v>
      </c>
      <c r="B5662" s="403">
        <f t="shared" si="95"/>
        <v>11</v>
      </c>
      <c r="C5662" s="352">
        <v>1216</v>
      </c>
      <c r="D5662" s="340" t="str">
        <f>VLOOKUP(C5662,Plan!A:B,2,0)</f>
        <v>Otros Valores Recaudadoras</v>
      </c>
      <c r="E5662" s="341">
        <f t="shared" si="96"/>
        <v>592000</v>
      </c>
      <c r="F5662" s="405">
        <v>592000</v>
      </c>
      <c r="G5662" s="405">
        <v>0</v>
      </c>
      <c r="H5662" s="404" t="s">
        <v>2345</v>
      </c>
      <c r="I5662" s="355" t="s">
        <v>131</v>
      </c>
      <c r="K5662" s="370"/>
      <c r="N5662" s="370"/>
    </row>
    <row r="5663" spans="1:14" s="347" customFormat="1" x14ac:dyDescent="0.25">
      <c r="A5663" s="350">
        <f>+A5662</f>
        <v>44530</v>
      </c>
      <c r="B5663" s="403">
        <f t="shared" si="95"/>
        <v>11</v>
      </c>
      <c r="C5663" s="352">
        <v>1217</v>
      </c>
      <c r="D5663" s="340" t="str">
        <f>VLOOKUP(C5663,Plan!A:B,2,0)</f>
        <v>Otros Valores -Oficina y Transferencias (248)</v>
      </c>
      <c r="E5663" s="341">
        <f t="shared" si="96"/>
        <v>1000100</v>
      </c>
      <c r="F5663" s="405">
        <v>1000100</v>
      </c>
      <c r="G5663" s="405">
        <v>0</v>
      </c>
      <c r="H5663" s="404" t="s">
        <v>2345</v>
      </c>
      <c r="I5663" s="355" t="s">
        <v>131</v>
      </c>
      <c r="K5663" s="370"/>
      <c r="N5663" s="370"/>
    </row>
    <row r="5664" spans="1:14" s="347" customFormat="1" x14ac:dyDescent="0.25">
      <c r="A5664" s="350">
        <f>+A5663</f>
        <v>44530</v>
      </c>
      <c r="B5664" s="403">
        <f t="shared" si="95"/>
        <v>11</v>
      </c>
      <c r="C5664" s="352">
        <v>1222</v>
      </c>
      <c r="D5664" s="340" t="str">
        <f>VLOOKUP(C5664,Plan!A:B,2,0)</f>
        <v>Otros Valores -Oficina y Transferencias (249)</v>
      </c>
      <c r="E5664" s="341">
        <f t="shared" si="96"/>
        <v>3666000</v>
      </c>
      <c r="F5664" s="405">
        <v>3666000</v>
      </c>
      <c r="G5664" s="405">
        <v>0</v>
      </c>
      <c r="H5664" s="404" t="s">
        <v>2345</v>
      </c>
      <c r="I5664" s="355" t="s">
        <v>131</v>
      </c>
      <c r="K5664" s="370"/>
      <c r="N5664" s="370"/>
    </row>
    <row r="5665" spans="1:14" s="347" customFormat="1" x14ac:dyDescent="0.25">
      <c r="A5665" s="350">
        <f>+A5663</f>
        <v>44530</v>
      </c>
      <c r="B5665" s="403">
        <f t="shared" si="95"/>
        <v>11</v>
      </c>
      <c r="C5665" s="352">
        <v>1218</v>
      </c>
      <c r="D5665" s="340" t="str">
        <f>VLOOKUP(C5665,Plan!A:B,2,0)</f>
        <v>Otros Valores Tarjeta de Credito</v>
      </c>
      <c r="E5665" s="341">
        <f t="shared" si="96"/>
        <v>13003513</v>
      </c>
      <c r="F5665" s="405">
        <v>13003513</v>
      </c>
      <c r="G5665" s="405">
        <v>0</v>
      </c>
      <c r="H5665" s="404" t="s">
        <v>2345</v>
      </c>
      <c r="I5665" s="355" t="s">
        <v>131</v>
      </c>
      <c r="K5665" s="370"/>
      <c r="N5665" s="370"/>
    </row>
    <row r="5666" spans="1:14" s="347" customFormat="1" x14ac:dyDescent="0.25">
      <c r="A5666" s="350">
        <f t="shared" ref="A5666:A5673" si="97">+A5665</f>
        <v>44530</v>
      </c>
      <c r="B5666" s="403">
        <f t="shared" si="95"/>
        <v>11</v>
      </c>
      <c r="C5666" s="352">
        <v>202</v>
      </c>
      <c r="D5666" s="340" t="str">
        <f>VLOOKUP(C5666,Plan!A:B,2,0)</f>
        <v>Arzobispado por pagar</v>
      </c>
      <c r="E5666" s="341">
        <f t="shared" si="96"/>
        <v>-3085459</v>
      </c>
      <c r="F5666" s="405">
        <v>0</v>
      </c>
      <c r="G5666" s="405">
        <v>3085459</v>
      </c>
      <c r="H5666" s="404" t="s">
        <v>2345</v>
      </c>
      <c r="I5666" s="355" t="s">
        <v>131</v>
      </c>
      <c r="K5666" s="370"/>
      <c r="N5666" s="370"/>
    </row>
    <row r="5667" spans="1:14" s="347" customFormat="1" x14ac:dyDescent="0.25">
      <c r="A5667" s="350">
        <f t="shared" si="97"/>
        <v>44530</v>
      </c>
      <c r="B5667" s="403">
        <f t="shared" si="95"/>
        <v>11</v>
      </c>
      <c r="C5667" s="352">
        <v>4120</v>
      </c>
      <c r="D5667" s="340" t="str">
        <f>VLOOKUP(C5667,Plan!A:B,2,0)</f>
        <v>Aporte Arzobispado</v>
      </c>
      <c r="E5667" s="341">
        <f t="shared" si="96"/>
        <v>3085459</v>
      </c>
      <c r="F5667" s="405">
        <v>3085459</v>
      </c>
      <c r="G5667" s="405">
        <v>0</v>
      </c>
      <c r="H5667" s="404" t="s">
        <v>2345</v>
      </c>
      <c r="I5667" s="355" t="s">
        <v>131</v>
      </c>
      <c r="K5667" s="370"/>
      <c r="N5667" s="370"/>
    </row>
    <row r="5668" spans="1:14" s="347" customFormat="1" x14ac:dyDescent="0.25">
      <c r="A5668" s="350">
        <f t="shared" si="97"/>
        <v>44530</v>
      </c>
      <c r="B5668" s="403">
        <f t="shared" si="95"/>
        <v>11</v>
      </c>
      <c r="C5668" s="352">
        <v>203</v>
      </c>
      <c r="D5668" s="340" t="str">
        <f>VLOOKUP(C5668,Plan!A:B,2,0)</f>
        <v>Recaudadoras por pagar</v>
      </c>
      <c r="E5668" s="341">
        <f t="shared" si="96"/>
        <v>-71040</v>
      </c>
      <c r="F5668" s="405">
        <v>0</v>
      </c>
      <c r="G5668" s="525">
        <v>71040</v>
      </c>
      <c r="H5668" s="404" t="s">
        <v>2345</v>
      </c>
      <c r="I5668" s="355" t="s">
        <v>131</v>
      </c>
      <c r="K5668" s="370"/>
      <c r="N5668" s="370"/>
    </row>
    <row r="5669" spans="1:14" s="347" customFormat="1" x14ac:dyDescent="0.25">
      <c r="A5669" s="350">
        <f t="shared" si="97"/>
        <v>44530</v>
      </c>
      <c r="B5669" s="403">
        <f t="shared" si="95"/>
        <v>11</v>
      </c>
      <c r="C5669" s="352">
        <v>201</v>
      </c>
      <c r="D5669" s="340" t="str">
        <f>VLOOKUP(C5669,Plan!A:B,2,0)</f>
        <v>1% por pagar</v>
      </c>
      <c r="E5669" s="341">
        <f t="shared" si="96"/>
        <v>-182616</v>
      </c>
      <c r="F5669" s="405">
        <v>0</v>
      </c>
      <c r="G5669" s="525">
        <v>182616</v>
      </c>
      <c r="H5669" s="404" t="s">
        <v>2345</v>
      </c>
      <c r="I5669" s="355" t="s">
        <v>131</v>
      </c>
      <c r="K5669" s="370"/>
      <c r="N5669" s="370"/>
    </row>
    <row r="5670" spans="1:14" s="347" customFormat="1" x14ac:dyDescent="0.25">
      <c r="A5670" s="350">
        <f t="shared" si="97"/>
        <v>44530</v>
      </c>
      <c r="B5670" s="403">
        <f t="shared" si="95"/>
        <v>11</v>
      </c>
      <c r="C5670" s="352">
        <v>4140</v>
      </c>
      <c r="D5670" s="340" t="str">
        <f>VLOOKUP(C5670,Plan!A:B,2,0)</f>
        <v>Comisiones Cali Recaudadores</v>
      </c>
      <c r="E5670" s="341">
        <f t="shared" si="96"/>
        <v>71040</v>
      </c>
      <c r="F5670" s="405">
        <v>71040</v>
      </c>
      <c r="G5670" s="405">
        <v>0</v>
      </c>
      <c r="H5670" s="404" t="s">
        <v>2345</v>
      </c>
      <c r="I5670" s="355" t="s">
        <v>131</v>
      </c>
      <c r="K5670" s="370"/>
      <c r="N5670" s="370"/>
    </row>
    <row r="5671" spans="1:14" s="347" customFormat="1" x14ac:dyDescent="0.25">
      <c r="A5671" s="350">
        <f t="shared" si="97"/>
        <v>44530</v>
      </c>
      <c r="B5671" s="403">
        <f t="shared" si="95"/>
        <v>11</v>
      </c>
      <c r="C5671" s="352">
        <v>4110</v>
      </c>
      <c r="D5671" s="340" t="str">
        <f>VLOOKUP(C5671,Plan!A:B,2,0)</f>
        <v>Aporte Papal</v>
      </c>
      <c r="E5671" s="341">
        <f t="shared" si="96"/>
        <v>182616</v>
      </c>
      <c r="F5671" s="405">
        <v>182616</v>
      </c>
      <c r="G5671" s="405">
        <v>0</v>
      </c>
      <c r="H5671" s="404" t="s">
        <v>2345</v>
      </c>
      <c r="I5671" s="355" t="s">
        <v>131</v>
      </c>
      <c r="K5671" s="370"/>
      <c r="N5671" s="370"/>
    </row>
    <row r="5672" spans="1:14" s="347" customFormat="1" x14ac:dyDescent="0.25">
      <c r="A5672" s="470">
        <f t="shared" si="97"/>
        <v>44530</v>
      </c>
      <c r="B5672" s="403">
        <f t="shared" si="95"/>
        <v>11</v>
      </c>
      <c r="C5672" s="471">
        <v>3610</v>
      </c>
      <c r="D5672" s="472" t="str">
        <f>VLOOKUP(C5672,Plan!A:B,2,0)</f>
        <v>Cali  Arzobispado</v>
      </c>
      <c r="E5672" s="341">
        <f t="shared" si="96"/>
        <v>-5957168</v>
      </c>
      <c r="F5672" s="522">
        <v>0</v>
      </c>
      <c r="G5672" s="522">
        <v>5957168</v>
      </c>
      <c r="H5672" s="523" t="s">
        <v>2345</v>
      </c>
      <c r="I5672" s="474" t="s">
        <v>131</v>
      </c>
      <c r="K5672" s="370"/>
      <c r="N5672" s="370"/>
    </row>
    <row r="5673" spans="1:14" s="347" customFormat="1" x14ac:dyDescent="0.25">
      <c r="A5673" s="470">
        <f t="shared" si="97"/>
        <v>44530</v>
      </c>
      <c r="B5673" s="403">
        <f t="shared" si="95"/>
        <v>11</v>
      </c>
      <c r="C5673" s="471">
        <v>3611</v>
      </c>
      <c r="D5673" s="472" t="str">
        <f>VLOOKUP(C5673,Plan!A:B,2,0)</f>
        <v>Cali  Arzobispado (249)</v>
      </c>
      <c r="E5673" s="341">
        <f t="shared" si="96"/>
        <v>-2035500</v>
      </c>
      <c r="F5673" s="522">
        <v>0</v>
      </c>
      <c r="G5673" s="522">
        <v>2035500</v>
      </c>
      <c r="H5673" s="523" t="s">
        <v>2345</v>
      </c>
      <c r="I5673" s="474" t="s">
        <v>131</v>
      </c>
      <c r="K5673" s="370"/>
      <c r="N5673" s="370"/>
    </row>
    <row r="5674" spans="1:14" s="347" customFormat="1" x14ac:dyDescent="0.25">
      <c r="A5674" s="470">
        <f>+A5672</f>
        <v>44530</v>
      </c>
      <c r="B5674" s="403">
        <f t="shared" si="95"/>
        <v>11</v>
      </c>
      <c r="C5674" s="471">
        <v>4160</v>
      </c>
      <c r="D5674" s="472" t="str">
        <f>VLOOKUP(C5674,Plan!A:B,2,0)</f>
        <v>Comisiones Cali Arzobispado</v>
      </c>
      <c r="E5674" s="341">
        <f t="shared" si="96"/>
        <v>407610</v>
      </c>
      <c r="F5674" s="522">
        <v>407610</v>
      </c>
      <c r="G5674" s="522">
        <v>0</v>
      </c>
      <c r="H5674" s="523" t="s">
        <v>2345</v>
      </c>
      <c r="I5674" s="474" t="s">
        <v>131</v>
      </c>
      <c r="K5674" s="370"/>
      <c r="N5674" s="370"/>
    </row>
    <row r="5675" spans="1:14" s="347" customFormat="1" x14ac:dyDescent="0.25">
      <c r="A5675" s="470">
        <f>+A5673</f>
        <v>44530</v>
      </c>
      <c r="B5675" s="403">
        <f t="shared" si="95"/>
        <v>11</v>
      </c>
      <c r="C5675" s="471">
        <v>4160</v>
      </c>
      <c r="D5675" s="472" t="str">
        <f>VLOOKUP(C5675,Plan!A:B,2,0)</f>
        <v>Comisiones Cali Arzobispado</v>
      </c>
      <c r="E5675" s="341">
        <f t="shared" si="96"/>
        <v>50888</v>
      </c>
      <c r="F5675" s="522">
        <v>50888</v>
      </c>
      <c r="G5675" s="522">
        <v>0</v>
      </c>
      <c r="H5675" s="523" t="s">
        <v>2345</v>
      </c>
      <c r="I5675" s="474" t="s">
        <v>131</v>
      </c>
      <c r="K5675" s="370"/>
      <c r="N5675" s="370"/>
    </row>
    <row r="5676" spans="1:14" s="347" customFormat="1" x14ac:dyDescent="0.25">
      <c r="A5676" s="350">
        <f>+A5674</f>
        <v>44530</v>
      </c>
      <c r="B5676" s="403">
        <f t="shared" si="95"/>
        <v>11</v>
      </c>
      <c r="C5676" s="352">
        <v>4120</v>
      </c>
      <c r="D5676" s="340" t="str">
        <f>VLOOKUP(C5676,Plan!A:B,2,0)</f>
        <v>Aporte Arzobispado</v>
      </c>
      <c r="E5676" s="341">
        <f t="shared" si="96"/>
        <v>3293992</v>
      </c>
      <c r="F5676" s="405">
        <v>3293992</v>
      </c>
      <c r="G5676" s="405">
        <v>0</v>
      </c>
      <c r="H5676" s="404" t="s">
        <v>2345</v>
      </c>
      <c r="I5676" s="355" t="s">
        <v>131</v>
      </c>
      <c r="K5676" s="370"/>
      <c r="N5676" s="370"/>
    </row>
    <row r="5677" spans="1:14" s="347" customFormat="1" x14ac:dyDescent="0.25">
      <c r="A5677" s="350">
        <f>+A5676</f>
        <v>44530</v>
      </c>
      <c r="B5677" s="403">
        <f t="shared" si="95"/>
        <v>11</v>
      </c>
      <c r="C5677" s="352">
        <v>4110</v>
      </c>
      <c r="D5677" s="340" t="str">
        <f>VLOOKUP(C5677,Plan!A:B,2,0)</f>
        <v>Aporte Papal</v>
      </c>
      <c r="E5677" s="341">
        <f t="shared" si="96"/>
        <v>59572</v>
      </c>
      <c r="F5677" s="405">
        <v>59572</v>
      </c>
      <c r="G5677" s="405">
        <v>0</v>
      </c>
      <c r="H5677" s="404" t="s">
        <v>2345</v>
      </c>
      <c r="I5677" s="355" t="s">
        <v>131</v>
      </c>
      <c r="K5677" s="370"/>
      <c r="N5677" s="370"/>
    </row>
    <row r="5678" spans="1:14" s="347" customFormat="1" x14ac:dyDescent="0.25">
      <c r="A5678" s="350">
        <f>+A5677</f>
        <v>44530</v>
      </c>
      <c r="B5678" s="403">
        <f t="shared" si="95"/>
        <v>11</v>
      </c>
      <c r="C5678" s="352">
        <v>4110</v>
      </c>
      <c r="D5678" s="340" t="str">
        <f>VLOOKUP(C5678,Plan!A:B,2,0)</f>
        <v>Aporte Papal</v>
      </c>
      <c r="E5678" s="341">
        <f t="shared" si="96"/>
        <v>20355</v>
      </c>
      <c r="F5678" s="405">
        <v>20355</v>
      </c>
      <c r="G5678" s="405">
        <v>0</v>
      </c>
      <c r="H5678" s="404" t="s">
        <v>2345</v>
      </c>
      <c r="I5678" s="355" t="s">
        <v>131</v>
      </c>
      <c r="K5678" s="370"/>
      <c r="N5678" s="370"/>
    </row>
    <row r="5679" spans="1:14" s="347" customFormat="1" x14ac:dyDescent="0.25">
      <c r="A5679" s="350">
        <f>+A5677</f>
        <v>44530</v>
      </c>
      <c r="B5679" s="403">
        <f t="shared" si="95"/>
        <v>11</v>
      </c>
      <c r="C5679" s="352">
        <v>1219</v>
      </c>
      <c r="D5679" s="340" t="str">
        <f>VLOOKUP(C5679,Plan!A:B,2,0)</f>
        <v>Otros Valores Arzobispado (248)</v>
      </c>
      <c r="E5679" s="341">
        <f t="shared" si="96"/>
        <v>2195994</v>
      </c>
      <c r="F5679" s="405">
        <v>2195994</v>
      </c>
      <c r="G5679" s="405">
        <v>0</v>
      </c>
      <c r="H5679" s="404" t="s">
        <v>2345</v>
      </c>
      <c r="I5679" s="355" t="s">
        <v>131</v>
      </c>
      <c r="K5679" s="370"/>
      <c r="N5679" s="370"/>
    </row>
    <row r="5680" spans="1:14" s="347" customFormat="1" x14ac:dyDescent="0.25">
      <c r="A5680" s="350">
        <f>+A5679</f>
        <v>44530</v>
      </c>
      <c r="B5680" s="403">
        <f t="shared" si="95"/>
        <v>11</v>
      </c>
      <c r="C5680" s="352">
        <v>1220</v>
      </c>
      <c r="D5680" s="340" t="str">
        <f>VLOOKUP(C5680,Plan!A:B,2,0)</f>
        <v>Otros Valores Arzobispado (249)</v>
      </c>
      <c r="E5680" s="341">
        <f t="shared" si="96"/>
        <v>1964257</v>
      </c>
      <c r="F5680" s="405">
        <v>1964257</v>
      </c>
      <c r="G5680" s="405">
        <v>0</v>
      </c>
      <c r="H5680" s="404" t="s">
        <v>2345</v>
      </c>
      <c r="I5680" s="355" t="s">
        <v>131</v>
      </c>
      <c r="K5680" s="370"/>
      <c r="N5680" s="370"/>
    </row>
    <row r="5681" spans="1:14" s="347" customFormat="1" x14ac:dyDescent="0.25">
      <c r="A5681" s="350">
        <f>+A5679</f>
        <v>44530</v>
      </c>
      <c r="B5681" s="403">
        <f t="shared" si="95"/>
        <v>11</v>
      </c>
      <c r="C5681" s="352">
        <v>1218</v>
      </c>
      <c r="D5681" s="340" t="str">
        <f>VLOOKUP(C5681,Plan!A:B,2,0)</f>
        <v>Otros Valores Tarjeta de Credito</v>
      </c>
      <c r="E5681" s="341">
        <f t="shared" si="96"/>
        <v>-416255</v>
      </c>
      <c r="F5681" s="405">
        <v>0</v>
      </c>
      <c r="G5681" s="405">
        <v>416255</v>
      </c>
      <c r="H5681" s="404" t="s">
        <v>2345</v>
      </c>
      <c r="I5681" s="355" t="s">
        <v>131</v>
      </c>
      <c r="K5681" s="370"/>
      <c r="N5681" s="370"/>
    </row>
    <row r="5682" spans="1:14" s="347" customFormat="1" x14ac:dyDescent="0.25">
      <c r="A5682" s="350">
        <f>+A5679</f>
        <v>44530</v>
      </c>
      <c r="B5682" s="403">
        <f t="shared" si="95"/>
        <v>11</v>
      </c>
      <c r="C5682" s="352">
        <v>4150</v>
      </c>
      <c r="D5682" s="340" t="str">
        <f>VLOOKUP(C5682,Plan!A:B,2,0)</f>
        <v>Comisiones Cali Tarjetas de Creditos</v>
      </c>
      <c r="E5682" s="341">
        <f t="shared" si="96"/>
        <v>416255</v>
      </c>
      <c r="F5682" s="405">
        <v>416255</v>
      </c>
      <c r="G5682" s="405">
        <v>0</v>
      </c>
      <c r="H5682" s="404" t="s">
        <v>2345</v>
      </c>
      <c r="I5682" s="355" t="s">
        <v>131</v>
      </c>
      <c r="K5682" s="370"/>
      <c r="N5682" s="370"/>
    </row>
    <row r="5683" spans="1:14" s="347" customFormat="1" x14ac:dyDescent="0.25">
      <c r="A5683" s="369"/>
      <c r="E5683" s="396"/>
      <c r="F5683" s="396"/>
      <c r="G5683" s="396"/>
      <c r="K5683" s="370"/>
      <c r="N5683" s="370"/>
    </row>
    <row r="5684" spans="1:14" s="347" customFormat="1" x14ac:dyDescent="0.25">
      <c r="A5684" s="350">
        <v>44530</v>
      </c>
      <c r="B5684" s="403">
        <f t="shared" ref="B5684:B5716" si="98">+MONTH(A5684)</f>
        <v>11</v>
      </c>
      <c r="C5684" s="352">
        <v>141</v>
      </c>
      <c r="D5684" s="340" t="str">
        <f>VLOOKUP(C5684,Plan!A:B,2,0)</f>
        <v>Cuentas por Cobrar a Administración</v>
      </c>
      <c r="E5684" s="341">
        <f t="shared" ref="E5684:E5716" si="99">+F5684-G5684</f>
        <v>30000</v>
      </c>
      <c r="F5684" s="396">
        <v>30000</v>
      </c>
      <c r="G5684" s="396">
        <v>0</v>
      </c>
      <c r="H5684" t="s">
        <v>1641</v>
      </c>
      <c r="I5684" s="355" t="s">
        <v>131</v>
      </c>
      <c r="J5684" s="396"/>
      <c r="K5684"/>
      <c r="L5684" s="264"/>
      <c r="N5684" s="370"/>
    </row>
    <row r="5685" spans="1:14" s="347" customFormat="1" x14ac:dyDescent="0.25">
      <c r="A5685" s="350">
        <f>+A5684</f>
        <v>44530</v>
      </c>
      <c r="B5685" s="403">
        <f t="shared" si="98"/>
        <v>11</v>
      </c>
      <c r="C5685" s="352">
        <v>141</v>
      </c>
      <c r="D5685" s="340" t="str">
        <f>VLOOKUP(C5685,Plan!A:B,2,0)</f>
        <v>Cuentas por Cobrar a Administración</v>
      </c>
      <c r="E5685" s="341">
        <f t="shared" si="99"/>
        <v>30000</v>
      </c>
      <c r="F5685" s="396">
        <v>30000</v>
      </c>
      <c r="G5685" s="396">
        <v>0</v>
      </c>
      <c r="H5685" t="s">
        <v>747</v>
      </c>
      <c r="I5685" s="355" t="s">
        <v>131</v>
      </c>
      <c r="J5685" s="396"/>
      <c r="K5685"/>
      <c r="L5685" s="264"/>
      <c r="N5685" s="370"/>
    </row>
    <row r="5686" spans="1:14" s="347" customFormat="1" x14ac:dyDescent="0.25">
      <c r="A5686" s="350">
        <f>+A5684</f>
        <v>44530</v>
      </c>
      <c r="B5686" s="403">
        <f t="shared" si="98"/>
        <v>11</v>
      </c>
      <c r="C5686" s="352">
        <v>141</v>
      </c>
      <c r="D5686" s="340" t="str">
        <f>VLOOKUP(C5686,Plan!A:B,2,0)</f>
        <v>Cuentas por Cobrar a Administración</v>
      </c>
      <c r="E5686" s="341">
        <f t="shared" si="99"/>
        <v>29040</v>
      </c>
      <c r="F5686" s="396">
        <v>29040</v>
      </c>
      <c r="G5686" s="396">
        <v>0</v>
      </c>
      <c r="H5686" t="s">
        <v>2244</v>
      </c>
      <c r="I5686" s="355" t="s">
        <v>131</v>
      </c>
      <c r="J5686" s="396"/>
      <c r="K5686"/>
      <c r="L5686" s="264"/>
      <c r="N5686" s="370"/>
    </row>
    <row r="5687" spans="1:14" s="347" customFormat="1" x14ac:dyDescent="0.25">
      <c r="A5687" s="350">
        <f>+A5685</f>
        <v>44530</v>
      </c>
      <c r="B5687" s="403">
        <f t="shared" si="98"/>
        <v>11</v>
      </c>
      <c r="C5687" s="352">
        <v>141</v>
      </c>
      <c r="D5687" s="340" t="str">
        <f>VLOOKUP(C5687,Plan!A:B,2,0)</f>
        <v>Cuentas por Cobrar a Administración</v>
      </c>
      <c r="E5687" s="341">
        <f t="shared" si="99"/>
        <v>20000</v>
      </c>
      <c r="F5687" s="396">
        <v>20000</v>
      </c>
      <c r="G5687" s="396">
        <v>0</v>
      </c>
      <c r="H5687" t="s">
        <v>1236</v>
      </c>
      <c r="I5687" s="355" t="s">
        <v>131</v>
      </c>
      <c r="J5687" s="396"/>
      <c r="K5687"/>
      <c r="L5687" s="264"/>
      <c r="N5687" s="370"/>
    </row>
    <row r="5688" spans="1:14" s="347" customFormat="1" x14ac:dyDescent="0.25">
      <c r="A5688" s="350">
        <f>+A5686</f>
        <v>44530</v>
      </c>
      <c r="B5688" s="403">
        <f t="shared" si="98"/>
        <v>11</v>
      </c>
      <c r="C5688" s="352">
        <v>141</v>
      </c>
      <c r="D5688" s="340" t="str">
        <f>VLOOKUP(C5688,Plan!A:B,2,0)</f>
        <v>Cuentas por Cobrar a Administración</v>
      </c>
      <c r="E5688" s="341">
        <f t="shared" si="99"/>
        <v>80000</v>
      </c>
      <c r="F5688" s="396">
        <v>80000</v>
      </c>
      <c r="G5688" s="396">
        <v>0</v>
      </c>
      <c r="H5688" s="312" t="s">
        <v>1631</v>
      </c>
      <c r="I5688" s="355" t="s">
        <v>131</v>
      </c>
      <c r="J5688" s="396"/>
      <c r="K5688" s="312"/>
      <c r="L5688" s="476"/>
      <c r="N5688" s="370"/>
    </row>
    <row r="5689" spans="1:14" s="347" customFormat="1" x14ac:dyDescent="0.25">
      <c r="A5689" s="350">
        <f>+A5687</f>
        <v>44530</v>
      </c>
      <c r="B5689" s="403">
        <f t="shared" si="98"/>
        <v>11</v>
      </c>
      <c r="C5689" s="352">
        <v>141</v>
      </c>
      <c r="D5689" s="340" t="str">
        <f>VLOOKUP(C5689,Plan!A:B,2,0)</f>
        <v>Cuentas por Cobrar a Administración</v>
      </c>
      <c r="E5689" s="341">
        <f t="shared" si="99"/>
        <v>20000</v>
      </c>
      <c r="F5689" s="396">
        <v>20000</v>
      </c>
      <c r="G5689" s="396">
        <v>0</v>
      </c>
      <c r="H5689" t="s">
        <v>2200</v>
      </c>
      <c r="I5689" s="355" t="s">
        <v>131</v>
      </c>
      <c r="J5689" s="396"/>
      <c r="K5689"/>
      <c r="L5689" s="264"/>
      <c r="N5689" s="370"/>
    </row>
    <row r="5690" spans="1:14" s="347" customFormat="1" x14ac:dyDescent="0.25">
      <c r="A5690" s="350">
        <f>+A5688</f>
        <v>44530</v>
      </c>
      <c r="B5690" s="403">
        <f t="shared" si="98"/>
        <v>11</v>
      </c>
      <c r="C5690" s="352">
        <v>141</v>
      </c>
      <c r="D5690" s="340" t="str">
        <f>VLOOKUP(C5690,Plan!A:B,2,0)</f>
        <v>Cuentas por Cobrar a Administración</v>
      </c>
      <c r="E5690" s="341">
        <f t="shared" si="99"/>
        <v>50000</v>
      </c>
      <c r="F5690" s="396">
        <v>50000</v>
      </c>
      <c r="G5690" s="396">
        <v>0</v>
      </c>
      <c r="H5690" s="312" t="s">
        <v>733</v>
      </c>
      <c r="I5690" s="355" t="s">
        <v>131</v>
      </c>
      <c r="J5690" s="396"/>
      <c r="K5690" s="312"/>
      <c r="L5690" s="476"/>
      <c r="N5690" s="370"/>
    </row>
    <row r="5691" spans="1:14" s="347" customFormat="1" x14ac:dyDescent="0.25">
      <c r="A5691" s="350">
        <f>+A5690</f>
        <v>44530</v>
      </c>
      <c r="B5691" s="403">
        <f t="shared" si="98"/>
        <v>11</v>
      </c>
      <c r="C5691" s="352">
        <v>141</v>
      </c>
      <c r="D5691" s="340" t="str">
        <f>VLOOKUP(C5691,Plan!A:B,2,0)</f>
        <v>Cuentas por Cobrar a Administración</v>
      </c>
      <c r="E5691" s="341">
        <f t="shared" si="99"/>
        <v>50000</v>
      </c>
      <c r="F5691" s="396">
        <v>50000</v>
      </c>
      <c r="G5691" s="396">
        <v>0</v>
      </c>
      <c r="H5691" t="s">
        <v>743</v>
      </c>
      <c r="I5691" s="355" t="s">
        <v>131</v>
      </c>
      <c r="J5691" s="396"/>
      <c r="K5691"/>
      <c r="L5691" s="264"/>
      <c r="N5691" s="370"/>
    </row>
    <row r="5692" spans="1:14" s="347" customFormat="1" x14ac:dyDescent="0.25">
      <c r="A5692" s="350">
        <f t="shared" ref="A5692:A5698" si="100">+A5690</f>
        <v>44530</v>
      </c>
      <c r="B5692" s="403">
        <f t="shared" si="98"/>
        <v>11</v>
      </c>
      <c r="C5692" s="352">
        <v>141</v>
      </c>
      <c r="D5692" s="340" t="str">
        <f>VLOOKUP(C5692,Plan!A:B,2,0)</f>
        <v>Cuentas por Cobrar a Administración</v>
      </c>
      <c r="E5692" s="341">
        <f t="shared" si="99"/>
        <v>120000</v>
      </c>
      <c r="F5692" s="396">
        <v>120000</v>
      </c>
      <c r="G5692" s="396">
        <v>0</v>
      </c>
      <c r="H5692" t="s">
        <v>987</v>
      </c>
      <c r="I5692" s="355" t="s">
        <v>131</v>
      </c>
      <c r="J5692" s="396"/>
      <c r="K5692"/>
      <c r="L5692" s="264"/>
      <c r="N5692" s="370"/>
    </row>
    <row r="5693" spans="1:14" s="347" customFormat="1" x14ac:dyDescent="0.25">
      <c r="A5693" s="350">
        <f t="shared" si="100"/>
        <v>44530</v>
      </c>
      <c r="B5693" s="403">
        <f t="shared" si="98"/>
        <v>11</v>
      </c>
      <c r="C5693" s="352">
        <v>141</v>
      </c>
      <c r="D5693" s="340" t="str">
        <f>VLOOKUP(C5693,Plan!A:B,2,0)</f>
        <v>Cuentas por Cobrar a Administración</v>
      </c>
      <c r="E5693" s="341">
        <f t="shared" si="99"/>
        <v>-45290</v>
      </c>
      <c r="F5693" s="396">
        <v>0</v>
      </c>
      <c r="G5693" s="396">
        <v>45290</v>
      </c>
      <c r="H5693" t="s">
        <v>2209</v>
      </c>
      <c r="I5693" s="355" t="s">
        <v>131</v>
      </c>
      <c r="J5693" s="396"/>
      <c r="K5693"/>
      <c r="L5693" s="264"/>
      <c r="N5693" s="370"/>
    </row>
    <row r="5694" spans="1:14" s="347" customFormat="1" x14ac:dyDescent="0.25">
      <c r="A5694" s="350">
        <f t="shared" si="100"/>
        <v>44530</v>
      </c>
      <c r="B5694" s="403">
        <f t="shared" si="98"/>
        <v>11</v>
      </c>
      <c r="C5694" s="352">
        <v>141</v>
      </c>
      <c r="D5694" s="340" t="str">
        <f>VLOOKUP(C5694,Plan!A:B,2,0)</f>
        <v>Cuentas por Cobrar a Administración</v>
      </c>
      <c r="E5694" s="341">
        <f t="shared" si="99"/>
        <v>30000</v>
      </c>
      <c r="F5694" s="396">
        <v>30000</v>
      </c>
      <c r="G5694" s="396">
        <v>0</v>
      </c>
      <c r="H5694" t="s">
        <v>737</v>
      </c>
      <c r="I5694" s="355" t="s">
        <v>131</v>
      </c>
      <c r="J5694" s="396"/>
      <c r="K5694"/>
      <c r="L5694" s="264"/>
      <c r="N5694" s="370"/>
    </row>
    <row r="5695" spans="1:14" s="347" customFormat="1" x14ac:dyDescent="0.25">
      <c r="A5695" s="350">
        <f t="shared" si="100"/>
        <v>44530</v>
      </c>
      <c r="B5695" s="403">
        <f t="shared" si="98"/>
        <v>11</v>
      </c>
      <c r="C5695" s="352">
        <v>141</v>
      </c>
      <c r="D5695" s="340" t="str">
        <f>VLOOKUP(C5695,Plan!A:B,2,0)</f>
        <v>Cuentas por Cobrar a Administración</v>
      </c>
      <c r="E5695" s="341">
        <f t="shared" si="99"/>
        <v>16686</v>
      </c>
      <c r="F5695" s="396">
        <v>16686</v>
      </c>
      <c r="G5695" s="396">
        <v>0</v>
      </c>
      <c r="H5695" t="s">
        <v>2240</v>
      </c>
      <c r="I5695" s="355" t="s">
        <v>131</v>
      </c>
      <c r="J5695" s="396"/>
      <c r="K5695"/>
      <c r="L5695" s="264"/>
      <c r="N5695" s="370"/>
    </row>
    <row r="5696" spans="1:14" s="347" customFormat="1" x14ac:dyDescent="0.25">
      <c r="A5696" s="350">
        <f t="shared" si="100"/>
        <v>44530</v>
      </c>
      <c r="B5696" s="403">
        <f t="shared" si="98"/>
        <v>11</v>
      </c>
      <c r="C5696" s="352">
        <v>141</v>
      </c>
      <c r="D5696" s="340" t="str">
        <f>VLOOKUP(C5696,Plan!A:B,2,0)</f>
        <v>Cuentas por Cobrar a Administración</v>
      </c>
      <c r="E5696" s="341">
        <f t="shared" si="99"/>
        <v>21000</v>
      </c>
      <c r="F5696" s="396">
        <v>21000</v>
      </c>
      <c r="G5696" s="396">
        <v>0</v>
      </c>
      <c r="H5696" t="s">
        <v>1938</v>
      </c>
      <c r="I5696" s="355" t="s">
        <v>131</v>
      </c>
      <c r="J5696" s="396"/>
      <c r="K5696"/>
      <c r="L5696" s="264"/>
      <c r="N5696" s="370"/>
    </row>
    <row r="5697" spans="1:14" s="347" customFormat="1" x14ac:dyDescent="0.25">
      <c r="A5697" s="350">
        <f t="shared" si="100"/>
        <v>44530</v>
      </c>
      <c r="B5697" s="403">
        <f t="shared" si="98"/>
        <v>11</v>
      </c>
      <c r="C5697" s="352">
        <v>141</v>
      </c>
      <c r="D5697" s="340" t="str">
        <f>VLOOKUP(C5697,Plan!A:B,2,0)</f>
        <v>Cuentas por Cobrar a Administración</v>
      </c>
      <c r="E5697" s="341">
        <f t="shared" si="99"/>
        <v>35000</v>
      </c>
      <c r="F5697" s="396">
        <v>35000</v>
      </c>
      <c r="G5697" s="396">
        <v>0</v>
      </c>
      <c r="H5697" t="s">
        <v>1902</v>
      </c>
      <c r="I5697" s="355" t="s">
        <v>131</v>
      </c>
      <c r="J5697" s="396"/>
      <c r="K5697"/>
      <c r="L5697" s="264"/>
      <c r="N5697" s="370"/>
    </row>
    <row r="5698" spans="1:14" s="347" customFormat="1" x14ac:dyDescent="0.25">
      <c r="A5698" s="350">
        <f t="shared" si="100"/>
        <v>44530</v>
      </c>
      <c r="B5698" s="403">
        <f t="shared" si="98"/>
        <v>11</v>
      </c>
      <c r="C5698" s="352">
        <v>141</v>
      </c>
      <c r="D5698" s="340" t="str">
        <f>VLOOKUP(C5698,Plan!A:B,2,0)</f>
        <v>Cuentas por Cobrar a Administración</v>
      </c>
      <c r="E5698" s="341">
        <f t="shared" si="99"/>
        <v>15000</v>
      </c>
      <c r="F5698" s="396">
        <v>15000</v>
      </c>
      <c r="G5698" s="396">
        <v>0</v>
      </c>
      <c r="H5698" t="s">
        <v>688</v>
      </c>
      <c r="I5698" s="355" t="s">
        <v>131</v>
      </c>
      <c r="J5698" s="396"/>
      <c r="K5698"/>
      <c r="L5698" s="264"/>
      <c r="N5698" s="370"/>
    </row>
    <row r="5699" spans="1:14" s="347" customFormat="1" x14ac:dyDescent="0.25">
      <c r="A5699" s="350">
        <f>+A5698</f>
        <v>44530</v>
      </c>
      <c r="B5699" s="403">
        <f t="shared" si="98"/>
        <v>11</v>
      </c>
      <c r="C5699" s="352">
        <v>141</v>
      </c>
      <c r="D5699" s="340" t="str">
        <f>VLOOKUP(C5699,Plan!A:B,2,0)</f>
        <v>Cuentas por Cobrar a Administración</v>
      </c>
      <c r="E5699" s="341">
        <f t="shared" si="99"/>
        <v>9816</v>
      </c>
      <c r="F5699" s="396">
        <v>9816</v>
      </c>
      <c r="G5699" s="396">
        <v>0</v>
      </c>
      <c r="H5699" t="s">
        <v>2272</v>
      </c>
      <c r="I5699" s="355" t="s">
        <v>131</v>
      </c>
      <c r="J5699" s="396"/>
      <c r="K5699"/>
      <c r="L5699" s="264"/>
      <c r="N5699" s="370"/>
    </row>
    <row r="5700" spans="1:14" s="347" customFormat="1" x14ac:dyDescent="0.25">
      <c r="A5700" s="350">
        <f t="shared" ref="A5700:A5709" si="101">+A5698</f>
        <v>44530</v>
      </c>
      <c r="B5700" s="403">
        <f t="shared" si="98"/>
        <v>11</v>
      </c>
      <c r="C5700" s="352">
        <v>141</v>
      </c>
      <c r="D5700" s="340" t="str">
        <f>VLOOKUP(C5700,Plan!A:B,2,0)</f>
        <v>Cuentas por Cobrar a Administración</v>
      </c>
      <c r="E5700" s="341">
        <f t="shared" si="99"/>
        <v>14519</v>
      </c>
      <c r="F5700" s="396">
        <v>14519</v>
      </c>
      <c r="G5700" s="396">
        <v>0</v>
      </c>
      <c r="H5700" t="s">
        <v>2261</v>
      </c>
      <c r="I5700" s="355" t="s">
        <v>131</v>
      </c>
      <c r="J5700" s="396"/>
      <c r="K5700"/>
      <c r="L5700" s="264"/>
      <c r="N5700" s="370"/>
    </row>
    <row r="5701" spans="1:14" s="347" customFormat="1" x14ac:dyDescent="0.25">
      <c r="A5701" s="350">
        <f t="shared" si="101"/>
        <v>44530</v>
      </c>
      <c r="B5701" s="403">
        <f t="shared" si="98"/>
        <v>11</v>
      </c>
      <c r="C5701" s="352">
        <v>141</v>
      </c>
      <c r="D5701" s="340" t="str">
        <f>VLOOKUP(C5701,Plan!A:B,2,0)</f>
        <v>Cuentas por Cobrar a Administración</v>
      </c>
      <c r="E5701" s="341">
        <f t="shared" si="99"/>
        <v>29040</v>
      </c>
      <c r="F5701" s="396">
        <v>29040</v>
      </c>
      <c r="G5701" s="396">
        <v>0</v>
      </c>
      <c r="H5701" t="s">
        <v>2292</v>
      </c>
      <c r="I5701" s="355" t="s">
        <v>131</v>
      </c>
      <c r="J5701" s="396"/>
      <c r="K5701"/>
      <c r="L5701" s="264"/>
      <c r="N5701" s="370"/>
    </row>
    <row r="5702" spans="1:14" s="347" customFormat="1" x14ac:dyDescent="0.25">
      <c r="A5702" s="350">
        <f t="shared" si="101"/>
        <v>44530</v>
      </c>
      <c r="B5702" s="403">
        <f t="shared" si="98"/>
        <v>11</v>
      </c>
      <c r="C5702" s="352">
        <v>141</v>
      </c>
      <c r="D5702" s="340" t="str">
        <f>VLOOKUP(C5702,Plan!A:B,2,0)</f>
        <v>Cuentas por Cobrar a Administración</v>
      </c>
      <c r="E5702" s="341">
        <f t="shared" si="99"/>
        <v>49078</v>
      </c>
      <c r="F5702" s="396">
        <v>49078</v>
      </c>
      <c r="G5702" s="396">
        <v>0</v>
      </c>
      <c r="H5702" t="s">
        <v>2239</v>
      </c>
      <c r="I5702" s="355" t="s">
        <v>131</v>
      </c>
      <c r="J5702" s="396"/>
      <c r="K5702"/>
      <c r="L5702" s="264"/>
      <c r="N5702" s="370"/>
    </row>
    <row r="5703" spans="1:14" s="347" customFormat="1" x14ac:dyDescent="0.25">
      <c r="A5703" s="350">
        <f t="shared" si="101"/>
        <v>44530</v>
      </c>
      <c r="B5703" s="403">
        <f t="shared" si="98"/>
        <v>11</v>
      </c>
      <c r="C5703" s="352">
        <v>141</v>
      </c>
      <c r="D5703" s="340" t="str">
        <f>VLOOKUP(C5703,Plan!A:B,2,0)</f>
        <v>Cuentas por Cobrar a Administración</v>
      </c>
      <c r="E5703" s="341">
        <f t="shared" si="99"/>
        <v>90000</v>
      </c>
      <c r="F5703" s="396">
        <v>90000</v>
      </c>
      <c r="G5703" s="396">
        <v>0</v>
      </c>
      <c r="H5703" t="s">
        <v>1459</v>
      </c>
      <c r="I5703" s="355" t="s">
        <v>131</v>
      </c>
      <c r="J5703" s="396"/>
      <c r="K5703"/>
      <c r="L5703" s="264"/>
      <c r="N5703" s="370"/>
    </row>
    <row r="5704" spans="1:14" s="347" customFormat="1" x14ac:dyDescent="0.25">
      <c r="A5704" s="350">
        <f t="shared" si="101"/>
        <v>44530</v>
      </c>
      <c r="B5704" s="403">
        <f t="shared" si="98"/>
        <v>11</v>
      </c>
      <c r="C5704" s="352">
        <v>141</v>
      </c>
      <c r="D5704" s="340" t="str">
        <f>VLOOKUP(C5704,Plan!A:B,2,0)</f>
        <v>Cuentas por Cobrar a Administración</v>
      </c>
      <c r="E5704" s="341">
        <f t="shared" si="99"/>
        <v>9816</v>
      </c>
      <c r="F5704" s="396">
        <v>9816</v>
      </c>
      <c r="G5704" s="396">
        <v>0</v>
      </c>
      <c r="H5704" t="s">
        <v>2198</v>
      </c>
      <c r="I5704" s="355" t="s">
        <v>131</v>
      </c>
      <c r="J5704" s="396"/>
      <c r="K5704"/>
      <c r="L5704" s="264"/>
      <c r="N5704" s="370"/>
    </row>
    <row r="5705" spans="1:14" s="347" customFormat="1" x14ac:dyDescent="0.25">
      <c r="A5705" s="350">
        <f t="shared" si="101"/>
        <v>44530</v>
      </c>
      <c r="B5705" s="403">
        <f t="shared" si="98"/>
        <v>11</v>
      </c>
      <c r="C5705" s="352">
        <v>141</v>
      </c>
      <c r="D5705" s="340" t="str">
        <f>VLOOKUP(C5705,Plan!A:B,2,0)</f>
        <v>Cuentas por Cobrar a Administración</v>
      </c>
      <c r="E5705" s="341">
        <f t="shared" si="99"/>
        <v>60000</v>
      </c>
      <c r="F5705" s="396">
        <v>60000</v>
      </c>
      <c r="G5705" s="396">
        <v>0</v>
      </c>
      <c r="H5705" t="s">
        <v>2217</v>
      </c>
      <c r="I5705" s="355" t="s">
        <v>131</v>
      </c>
      <c r="J5705" s="396"/>
      <c r="K5705"/>
      <c r="L5705" s="264"/>
      <c r="N5705" s="370"/>
    </row>
    <row r="5706" spans="1:14" s="347" customFormat="1" x14ac:dyDescent="0.25">
      <c r="A5706" s="350">
        <f t="shared" si="101"/>
        <v>44530</v>
      </c>
      <c r="B5706" s="403">
        <f t="shared" si="98"/>
        <v>11</v>
      </c>
      <c r="C5706" s="352">
        <v>141</v>
      </c>
      <c r="D5706" s="340" t="str">
        <f>VLOOKUP(C5706,Plan!A:B,2,0)</f>
        <v>Cuentas por Cobrar a Administración</v>
      </c>
      <c r="E5706" s="341">
        <f t="shared" si="99"/>
        <v>9816</v>
      </c>
      <c r="F5706" s="396">
        <v>9816</v>
      </c>
      <c r="G5706" s="396">
        <v>0</v>
      </c>
      <c r="H5706" t="s">
        <v>2260</v>
      </c>
      <c r="I5706" s="355" t="s">
        <v>131</v>
      </c>
      <c r="J5706" s="396"/>
      <c r="K5706"/>
      <c r="L5706" s="264"/>
      <c r="N5706" s="370"/>
    </row>
    <row r="5707" spans="1:14" s="347" customFormat="1" x14ac:dyDescent="0.25">
      <c r="A5707" s="350">
        <f t="shared" si="101"/>
        <v>44530</v>
      </c>
      <c r="B5707" s="403">
        <f t="shared" si="98"/>
        <v>11</v>
      </c>
      <c r="C5707" s="352">
        <v>141</v>
      </c>
      <c r="D5707" s="340" t="str">
        <f>VLOOKUP(C5707,Plan!A:B,2,0)</f>
        <v>Cuentas por Cobrar a Administración</v>
      </c>
      <c r="E5707" s="341">
        <f t="shared" si="99"/>
        <v>60000</v>
      </c>
      <c r="F5707" s="396">
        <v>60000</v>
      </c>
      <c r="G5707" s="396">
        <v>0</v>
      </c>
      <c r="H5707" t="s">
        <v>2220</v>
      </c>
      <c r="I5707" s="355" t="s">
        <v>131</v>
      </c>
      <c r="J5707" s="396"/>
      <c r="K5707"/>
      <c r="L5707" s="264"/>
      <c r="N5707" s="370"/>
    </row>
    <row r="5708" spans="1:14" s="347" customFormat="1" x14ac:dyDescent="0.25">
      <c r="A5708" s="350">
        <f t="shared" si="101"/>
        <v>44530</v>
      </c>
      <c r="B5708" s="403">
        <f t="shared" si="98"/>
        <v>11</v>
      </c>
      <c r="C5708" s="352">
        <v>141</v>
      </c>
      <c r="D5708" s="340" t="str">
        <f>VLOOKUP(C5708,Plan!A:B,2,0)</f>
        <v>Cuentas por Cobrar a Administración</v>
      </c>
      <c r="E5708" s="341">
        <f t="shared" si="99"/>
        <v>30000</v>
      </c>
      <c r="F5708" s="396">
        <v>30000</v>
      </c>
      <c r="G5708" s="396">
        <v>0</v>
      </c>
      <c r="H5708" t="s">
        <v>675</v>
      </c>
      <c r="I5708" s="355" t="s">
        <v>131</v>
      </c>
      <c r="J5708" s="396"/>
      <c r="K5708"/>
      <c r="L5708" s="264"/>
      <c r="N5708" s="370"/>
    </row>
    <row r="5709" spans="1:14" s="347" customFormat="1" x14ac:dyDescent="0.25">
      <c r="A5709" s="350">
        <f t="shared" si="101"/>
        <v>44530</v>
      </c>
      <c r="B5709" s="403">
        <f t="shared" si="98"/>
        <v>11</v>
      </c>
      <c r="C5709" s="352">
        <v>1216</v>
      </c>
      <c r="D5709" s="340" t="str">
        <f>VLOOKUP(C5709,Plan!A:B,2,0)</f>
        <v>Otros Valores Recaudadoras</v>
      </c>
      <c r="E5709" s="341">
        <f t="shared" si="99"/>
        <v>-30000</v>
      </c>
      <c r="F5709" s="396">
        <v>0</v>
      </c>
      <c r="G5709" s="396">
        <v>30000</v>
      </c>
      <c r="H5709" t="s">
        <v>1641</v>
      </c>
      <c r="I5709" s="355" t="s">
        <v>131</v>
      </c>
      <c r="K5709" s="370"/>
      <c r="N5709" s="370"/>
    </row>
    <row r="5710" spans="1:14" s="347" customFormat="1" x14ac:dyDescent="0.25">
      <c r="A5710" s="350">
        <f>+A5709</f>
        <v>44530</v>
      </c>
      <c r="B5710" s="403">
        <f t="shared" si="98"/>
        <v>11</v>
      </c>
      <c r="C5710" s="352">
        <v>3210</v>
      </c>
      <c r="D5710" s="340" t="str">
        <f>VLOOKUP(C5710,Plan!A:B,2,0)</f>
        <v>Donacion Construccion</v>
      </c>
      <c r="E5710" s="341">
        <f t="shared" si="99"/>
        <v>-30000</v>
      </c>
      <c r="F5710" s="396">
        <v>0</v>
      </c>
      <c r="G5710" s="396">
        <v>30000</v>
      </c>
      <c r="H5710" t="s">
        <v>747</v>
      </c>
      <c r="I5710" s="355" t="s">
        <v>131</v>
      </c>
      <c r="K5710" s="370"/>
      <c r="N5710" s="370"/>
    </row>
    <row r="5711" spans="1:14" s="347" customFormat="1" x14ac:dyDescent="0.25">
      <c r="A5711" s="350">
        <f>+A5709</f>
        <v>44530</v>
      </c>
      <c r="B5711" s="403">
        <f t="shared" si="98"/>
        <v>11</v>
      </c>
      <c r="C5711" s="352">
        <v>1222</v>
      </c>
      <c r="D5711" s="340" t="str">
        <f>VLOOKUP(C5711,Plan!A:B,2,0)</f>
        <v>Otros Valores -Oficina y Transferencias (249)</v>
      </c>
      <c r="E5711" s="341">
        <f t="shared" si="99"/>
        <v>-30000</v>
      </c>
      <c r="F5711" s="396">
        <v>0</v>
      </c>
      <c r="G5711" s="396">
        <v>30000</v>
      </c>
      <c r="H5711" t="s">
        <v>2244</v>
      </c>
      <c r="I5711" s="355" t="s">
        <v>131</v>
      </c>
      <c r="K5711" s="370"/>
      <c r="N5711" s="370"/>
    </row>
    <row r="5712" spans="1:14" s="347" customFormat="1" x14ac:dyDescent="0.25">
      <c r="A5712" s="350">
        <f>+A5710</f>
        <v>44530</v>
      </c>
      <c r="B5712" s="403">
        <f t="shared" si="98"/>
        <v>11</v>
      </c>
      <c r="C5712" s="352">
        <v>4170</v>
      </c>
      <c r="D5712" s="340" t="str">
        <f>VLOOKUP(C5712,Plan!A:B,2,0)</f>
        <v>Cali otros</v>
      </c>
      <c r="E5712" s="341">
        <f t="shared" ref="E5712" si="102">+F5712-G5712</f>
        <v>960</v>
      </c>
      <c r="F5712" s="396">
        <v>960</v>
      </c>
      <c r="G5712" s="396">
        <v>0</v>
      </c>
      <c r="H5712" t="s">
        <v>2244</v>
      </c>
      <c r="I5712" s="355" t="s">
        <v>131</v>
      </c>
      <c r="K5712" s="370"/>
      <c r="N5712" s="370"/>
    </row>
    <row r="5713" spans="1:14" s="347" customFormat="1" x14ac:dyDescent="0.25">
      <c r="A5713" s="350">
        <f>+A5710</f>
        <v>44530</v>
      </c>
      <c r="B5713" s="403">
        <f t="shared" si="98"/>
        <v>11</v>
      </c>
      <c r="C5713" s="352">
        <v>3210</v>
      </c>
      <c r="D5713" s="340" t="str">
        <f>VLOOKUP(C5713,Plan!A:B,2,0)</f>
        <v>Donacion Construccion</v>
      </c>
      <c r="E5713" s="341">
        <f t="shared" si="99"/>
        <v>-20000</v>
      </c>
      <c r="F5713" s="396">
        <v>0</v>
      </c>
      <c r="G5713" s="396">
        <v>20000</v>
      </c>
      <c r="H5713" t="s">
        <v>1236</v>
      </c>
      <c r="I5713" s="355" t="s">
        <v>131</v>
      </c>
      <c r="K5713" s="370"/>
      <c r="N5713" s="370"/>
    </row>
    <row r="5714" spans="1:14" s="347" customFormat="1" x14ac:dyDescent="0.25">
      <c r="A5714" s="350">
        <f>+A5711</f>
        <v>44530</v>
      </c>
      <c r="B5714" s="403">
        <f t="shared" si="98"/>
        <v>11</v>
      </c>
      <c r="C5714" s="352">
        <v>1222</v>
      </c>
      <c r="D5714" s="340" t="str">
        <f>VLOOKUP(C5714,Plan!A:B,2,0)</f>
        <v>Otros Valores -Oficina y Transferencias (249)</v>
      </c>
      <c r="E5714" s="341">
        <f t="shared" si="99"/>
        <v>-80000</v>
      </c>
      <c r="F5714" s="396">
        <v>0</v>
      </c>
      <c r="G5714" s="396">
        <v>80000</v>
      </c>
      <c r="H5714" s="312" t="s">
        <v>1631</v>
      </c>
      <c r="I5714" s="355" t="s">
        <v>131</v>
      </c>
      <c r="K5714" s="370"/>
      <c r="N5714" s="370"/>
    </row>
    <row r="5715" spans="1:14" s="347" customFormat="1" x14ac:dyDescent="0.25">
      <c r="A5715" s="350">
        <f>+A5713</f>
        <v>44530</v>
      </c>
      <c r="B5715" s="403">
        <f t="shared" si="98"/>
        <v>11</v>
      </c>
      <c r="C5715" s="352">
        <v>1222</v>
      </c>
      <c r="D5715" s="340" t="str">
        <f>VLOOKUP(C5715,Plan!A:B,2,0)</f>
        <v>Otros Valores -Oficina y Transferencias (249)</v>
      </c>
      <c r="E5715" s="341">
        <f t="shared" si="99"/>
        <v>-20000</v>
      </c>
      <c r="F5715" s="396">
        <v>0</v>
      </c>
      <c r="G5715" s="396">
        <v>20000</v>
      </c>
      <c r="H5715" t="s">
        <v>2200</v>
      </c>
      <c r="I5715" s="355" t="s">
        <v>131</v>
      </c>
      <c r="K5715" s="370"/>
      <c r="N5715" s="370"/>
    </row>
    <row r="5716" spans="1:14" s="347" customFormat="1" x14ac:dyDescent="0.25">
      <c r="A5716" s="350">
        <f>+A5714</f>
        <v>44530</v>
      </c>
      <c r="B5716" s="403">
        <f t="shared" si="98"/>
        <v>11</v>
      </c>
      <c r="C5716" s="352">
        <v>3210</v>
      </c>
      <c r="D5716" s="340" t="str">
        <f>VLOOKUP(C5716,Plan!A:B,2,0)</f>
        <v>Donacion Construccion</v>
      </c>
      <c r="E5716" s="341">
        <f t="shared" si="99"/>
        <v>-50000</v>
      </c>
      <c r="F5716" s="396">
        <v>0</v>
      </c>
      <c r="G5716" s="396">
        <v>50000</v>
      </c>
      <c r="H5716" s="312" t="s">
        <v>733</v>
      </c>
      <c r="I5716" s="355" t="s">
        <v>131</v>
      </c>
      <c r="K5716" s="370"/>
      <c r="N5716" s="370"/>
    </row>
    <row r="5717" spans="1:14" s="347" customFormat="1" x14ac:dyDescent="0.25">
      <c r="A5717" s="350">
        <f>+A5716</f>
        <v>44530</v>
      </c>
      <c r="B5717" s="403">
        <f t="shared" ref="B5717:B5741" si="103">+MONTH(A5717)</f>
        <v>11</v>
      </c>
      <c r="C5717" s="352">
        <v>1222</v>
      </c>
      <c r="D5717" s="340" t="str">
        <f>VLOOKUP(C5717,Plan!A:B,2,0)</f>
        <v>Otros Valores -Oficina y Transferencias (249)</v>
      </c>
      <c r="E5717" s="341">
        <f t="shared" ref="E5717:E5741" si="104">+F5717-G5717</f>
        <v>-50000</v>
      </c>
      <c r="F5717" s="396">
        <v>0</v>
      </c>
      <c r="G5717" s="396">
        <v>50000</v>
      </c>
      <c r="H5717" t="s">
        <v>743</v>
      </c>
      <c r="I5717" s="355" t="s">
        <v>131</v>
      </c>
      <c r="K5717" s="370"/>
      <c r="N5717" s="370"/>
    </row>
    <row r="5718" spans="1:14" s="347" customFormat="1" x14ac:dyDescent="0.25">
      <c r="A5718" s="350">
        <f t="shared" ref="A5718:A5725" si="105">+A5716</f>
        <v>44530</v>
      </c>
      <c r="B5718" s="403">
        <f t="shared" si="103"/>
        <v>11</v>
      </c>
      <c r="C5718" s="352">
        <v>1217</v>
      </c>
      <c r="D5718" s="340" t="str">
        <f>VLOOKUP(C5718,Plan!A:B,2,0)</f>
        <v>Otros Valores -Oficina y Transferencias (248)</v>
      </c>
      <c r="E5718" s="341">
        <f t="shared" si="104"/>
        <v>-120000</v>
      </c>
      <c r="F5718" s="396">
        <v>0</v>
      </c>
      <c r="G5718" s="396">
        <v>120000</v>
      </c>
      <c r="H5718" t="s">
        <v>987</v>
      </c>
      <c r="I5718" s="355" t="s">
        <v>131</v>
      </c>
      <c r="K5718" s="370"/>
      <c r="N5718" s="370"/>
    </row>
    <row r="5719" spans="1:14" s="347" customFormat="1" x14ac:dyDescent="0.25">
      <c r="A5719" s="350">
        <f t="shared" si="105"/>
        <v>44530</v>
      </c>
      <c r="B5719" s="403">
        <f t="shared" si="103"/>
        <v>11</v>
      </c>
      <c r="C5719" s="352">
        <v>204</v>
      </c>
      <c r="D5719" s="340" t="str">
        <f>VLOOKUP(C5719,Plan!A:B,2,0)</f>
        <v>Retención Honorarios Cali</v>
      </c>
      <c r="E5719" s="341">
        <f t="shared" si="104"/>
        <v>45290</v>
      </c>
      <c r="F5719" s="396">
        <v>45290</v>
      </c>
      <c r="G5719" s="396">
        <v>0</v>
      </c>
      <c r="H5719" t="s">
        <v>2209</v>
      </c>
      <c r="I5719" s="355" t="s">
        <v>131</v>
      </c>
      <c r="K5719" s="370"/>
      <c r="N5719" s="370"/>
    </row>
    <row r="5720" spans="1:14" s="347" customFormat="1" x14ac:dyDescent="0.25">
      <c r="A5720" s="350">
        <f t="shared" si="105"/>
        <v>44530</v>
      </c>
      <c r="B5720" s="403">
        <f t="shared" si="103"/>
        <v>11</v>
      </c>
      <c r="C5720" s="352">
        <v>1222</v>
      </c>
      <c r="D5720" s="340" t="str">
        <f>VLOOKUP(C5720,Plan!A:B,2,0)</f>
        <v>Otros Valores -Oficina y Transferencias (249)</v>
      </c>
      <c r="E5720" s="341">
        <f t="shared" si="104"/>
        <v>-30000</v>
      </c>
      <c r="F5720" s="396">
        <v>0</v>
      </c>
      <c r="G5720" s="396">
        <v>30000</v>
      </c>
      <c r="H5720" t="s">
        <v>737</v>
      </c>
      <c r="I5720" s="355" t="s">
        <v>131</v>
      </c>
      <c r="K5720" s="370"/>
      <c r="N5720" s="370"/>
    </row>
    <row r="5721" spans="1:14" s="347" customFormat="1" x14ac:dyDescent="0.25">
      <c r="A5721" s="350">
        <f t="shared" si="105"/>
        <v>44530</v>
      </c>
      <c r="B5721" s="403">
        <f t="shared" si="103"/>
        <v>11</v>
      </c>
      <c r="C5721" s="352">
        <v>1222</v>
      </c>
      <c r="D5721" s="340" t="str">
        <f>VLOOKUP(C5721,Plan!A:B,2,0)</f>
        <v>Otros Valores -Oficina y Transferencias (249)</v>
      </c>
      <c r="E5721" s="341">
        <f t="shared" si="104"/>
        <v>-17000</v>
      </c>
      <c r="F5721" s="396">
        <v>0</v>
      </c>
      <c r="G5721" s="396">
        <v>17000</v>
      </c>
      <c r="H5721" t="s">
        <v>2240</v>
      </c>
      <c r="I5721" s="355" t="s">
        <v>131</v>
      </c>
      <c r="K5721" s="370"/>
      <c r="N5721" s="370"/>
    </row>
    <row r="5722" spans="1:14" s="347" customFormat="1" x14ac:dyDescent="0.25">
      <c r="A5722" s="350">
        <f t="shared" si="105"/>
        <v>44530</v>
      </c>
      <c r="B5722" s="403">
        <f t="shared" si="103"/>
        <v>11</v>
      </c>
      <c r="C5722" s="352">
        <v>4170</v>
      </c>
      <c r="D5722" s="340" t="str">
        <f>VLOOKUP(C5722,Plan!A:B,2,0)</f>
        <v>Cali otros</v>
      </c>
      <c r="E5722" s="341">
        <f t="shared" ref="E5722" si="106">+F5722-G5722</f>
        <v>314</v>
      </c>
      <c r="F5722" s="396">
        <v>314</v>
      </c>
      <c r="G5722" s="396">
        <v>0</v>
      </c>
      <c r="H5722" t="s">
        <v>2240</v>
      </c>
      <c r="I5722" s="355" t="s">
        <v>131</v>
      </c>
      <c r="K5722" s="370"/>
      <c r="N5722" s="370"/>
    </row>
    <row r="5723" spans="1:14" s="347" customFormat="1" x14ac:dyDescent="0.25">
      <c r="A5723" s="350">
        <f>+A5720</f>
        <v>44530</v>
      </c>
      <c r="B5723" s="403">
        <f t="shared" si="103"/>
        <v>11</v>
      </c>
      <c r="C5723" s="352">
        <v>1217</v>
      </c>
      <c r="D5723" s="340" t="str">
        <f>VLOOKUP(C5723,Plan!A:B,2,0)</f>
        <v>Otros Valores -Oficina y Transferencias (248)</v>
      </c>
      <c r="E5723" s="341">
        <f t="shared" si="104"/>
        <v>-21000</v>
      </c>
      <c r="F5723" s="396">
        <v>0</v>
      </c>
      <c r="G5723" s="396">
        <v>21000</v>
      </c>
      <c r="H5723" t="s">
        <v>1938</v>
      </c>
      <c r="I5723" s="355" t="s">
        <v>131</v>
      </c>
      <c r="K5723" s="370"/>
      <c r="N5723" s="370"/>
    </row>
    <row r="5724" spans="1:14" s="347" customFormat="1" x14ac:dyDescent="0.25">
      <c r="A5724" s="350">
        <f>+A5721</f>
        <v>44530</v>
      </c>
      <c r="B5724" s="403">
        <f t="shared" si="103"/>
        <v>11</v>
      </c>
      <c r="C5724" s="352">
        <v>1222</v>
      </c>
      <c r="D5724" s="340" t="str">
        <f>VLOOKUP(C5724,Plan!A:B,2,0)</f>
        <v>Otros Valores -Oficina y Transferencias (249)</v>
      </c>
      <c r="E5724" s="341">
        <f t="shared" si="104"/>
        <v>-35000</v>
      </c>
      <c r="F5724" s="396">
        <v>0</v>
      </c>
      <c r="G5724" s="396">
        <v>35000</v>
      </c>
      <c r="H5724" t="s">
        <v>1902</v>
      </c>
      <c r="I5724" s="355" t="s">
        <v>131</v>
      </c>
      <c r="K5724" s="370"/>
      <c r="N5724" s="370"/>
    </row>
    <row r="5725" spans="1:14" s="347" customFormat="1" x14ac:dyDescent="0.25">
      <c r="A5725" s="350">
        <f t="shared" si="105"/>
        <v>44530</v>
      </c>
      <c r="B5725" s="403">
        <f t="shared" si="103"/>
        <v>11</v>
      </c>
      <c r="C5725" s="352">
        <v>1222</v>
      </c>
      <c r="D5725" s="340" t="str">
        <f>VLOOKUP(C5725,Plan!A:B,2,0)</f>
        <v>Otros Valores -Oficina y Transferencias (249)</v>
      </c>
      <c r="E5725" s="341">
        <f t="shared" si="104"/>
        <v>-15000</v>
      </c>
      <c r="F5725" s="396">
        <v>0</v>
      </c>
      <c r="G5725" s="396">
        <v>15000</v>
      </c>
      <c r="H5725" t="s">
        <v>688</v>
      </c>
      <c r="I5725" s="355" t="s">
        <v>131</v>
      </c>
      <c r="K5725" s="370"/>
      <c r="N5725" s="370"/>
    </row>
    <row r="5726" spans="1:14" s="347" customFormat="1" x14ac:dyDescent="0.25">
      <c r="A5726" s="350">
        <f>+A5725</f>
        <v>44530</v>
      </c>
      <c r="B5726" s="403">
        <f t="shared" si="103"/>
        <v>11</v>
      </c>
      <c r="C5726" s="352">
        <v>1222</v>
      </c>
      <c r="D5726" s="340" t="str">
        <f>VLOOKUP(C5726,Plan!A:B,2,0)</f>
        <v>Otros Valores -Oficina y Transferencias (249)</v>
      </c>
      <c r="E5726" s="341">
        <f t="shared" si="104"/>
        <v>-10000</v>
      </c>
      <c r="F5726" s="396">
        <v>0</v>
      </c>
      <c r="G5726" s="396">
        <v>10000</v>
      </c>
      <c r="H5726" t="s">
        <v>2272</v>
      </c>
      <c r="I5726" s="355" t="s">
        <v>131</v>
      </c>
      <c r="K5726" s="370"/>
      <c r="N5726" s="370"/>
    </row>
    <row r="5727" spans="1:14" s="347" customFormat="1" x14ac:dyDescent="0.25">
      <c r="A5727" s="350">
        <f>+A5726</f>
        <v>44530</v>
      </c>
      <c r="B5727" s="403">
        <f t="shared" si="103"/>
        <v>11</v>
      </c>
      <c r="C5727" s="352">
        <v>4170</v>
      </c>
      <c r="D5727" s="340" t="str">
        <f>VLOOKUP(C5727,Plan!A:B,2,0)</f>
        <v>Cali otros</v>
      </c>
      <c r="E5727" s="341">
        <f t="shared" ref="E5727" si="107">+F5727-G5727</f>
        <v>184</v>
      </c>
      <c r="F5727" s="396">
        <v>184</v>
      </c>
      <c r="G5727" s="396">
        <v>0</v>
      </c>
      <c r="H5727" t="s">
        <v>2272</v>
      </c>
      <c r="I5727" s="355" t="s">
        <v>131</v>
      </c>
      <c r="K5727" s="370"/>
      <c r="N5727" s="370"/>
    </row>
    <row r="5728" spans="1:14" s="347" customFormat="1" x14ac:dyDescent="0.25">
      <c r="A5728" s="350">
        <f>+A5725</f>
        <v>44530</v>
      </c>
      <c r="B5728" s="403">
        <f t="shared" si="103"/>
        <v>11</v>
      </c>
      <c r="C5728" s="352">
        <v>1222</v>
      </c>
      <c r="D5728" s="340" t="str">
        <f>VLOOKUP(C5728,Plan!A:B,2,0)</f>
        <v>Otros Valores -Oficina y Transferencias (249)</v>
      </c>
      <c r="E5728" s="341">
        <f t="shared" si="104"/>
        <v>-15000</v>
      </c>
      <c r="F5728" s="396">
        <v>0</v>
      </c>
      <c r="G5728" s="396">
        <v>15000</v>
      </c>
      <c r="H5728" t="s">
        <v>2261</v>
      </c>
      <c r="I5728" s="355" t="s">
        <v>131</v>
      </c>
      <c r="K5728" s="370"/>
      <c r="N5728" s="370"/>
    </row>
    <row r="5729" spans="1:14" s="347" customFormat="1" x14ac:dyDescent="0.25">
      <c r="A5729" s="350">
        <f>+A5726</f>
        <v>44530</v>
      </c>
      <c r="B5729" s="403">
        <f t="shared" si="103"/>
        <v>11</v>
      </c>
      <c r="C5729" s="352">
        <v>4170</v>
      </c>
      <c r="D5729" s="340" t="str">
        <f>VLOOKUP(C5729,Plan!A:B,2,0)</f>
        <v>Cali otros</v>
      </c>
      <c r="E5729" s="341">
        <f t="shared" ref="E5729" si="108">+F5729-G5729</f>
        <v>481</v>
      </c>
      <c r="F5729" s="396">
        <v>481</v>
      </c>
      <c r="G5729" s="396">
        <v>0</v>
      </c>
      <c r="H5729" t="s">
        <v>2261</v>
      </c>
      <c r="I5729" s="355" t="s">
        <v>131</v>
      </c>
      <c r="K5729" s="370"/>
      <c r="N5729" s="370"/>
    </row>
    <row r="5730" spans="1:14" s="347" customFormat="1" x14ac:dyDescent="0.25">
      <c r="A5730" s="350">
        <f>+A5726</f>
        <v>44530</v>
      </c>
      <c r="B5730" s="403">
        <f t="shared" si="103"/>
        <v>11</v>
      </c>
      <c r="C5730" s="352">
        <v>1222</v>
      </c>
      <c r="D5730" s="340" t="str">
        <f>VLOOKUP(C5730,Plan!A:B,2,0)</f>
        <v>Otros Valores -Oficina y Transferencias (249)</v>
      </c>
      <c r="E5730" s="341">
        <f t="shared" si="104"/>
        <v>-30000</v>
      </c>
      <c r="F5730" s="396">
        <v>0</v>
      </c>
      <c r="G5730" s="396">
        <v>30000</v>
      </c>
      <c r="H5730" t="s">
        <v>2292</v>
      </c>
      <c r="I5730" s="355" t="s">
        <v>131</v>
      </c>
      <c r="K5730" s="370"/>
      <c r="N5730" s="370"/>
    </row>
    <row r="5731" spans="1:14" s="347" customFormat="1" x14ac:dyDescent="0.25">
      <c r="A5731" s="350">
        <f>+A5727</f>
        <v>44530</v>
      </c>
      <c r="B5731" s="403">
        <f t="shared" si="103"/>
        <v>11</v>
      </c>
      <c r="C5731" s="352">
        <v>4170</v>
      </c>
      <c r="D5731" s="340" t="str">
        <f>VLOOKUP(C5731,Plan!A:B,2,0)</f>
        <v>Cali otros</v>
      </c>
      <c r="E5731" s="341">
        <f t="shared" ref="E5731" si="109">+F5731-G5731</f>
        <v>960</v>
      </c>
      <c r="F5731" s="396">
        <v>960</v>
      </c>
      <c r="G5731" s="396">
        <v>0</v>
      </c>
      <c r="H5731" t="s">
        <v>2292</v>
      </c>
      <c r="I5731" s="355" t="s">
        <v>131</v>
      </c>
      <c r="K5731" s="370"/>
      <c r="N5731" s="370"/>
    </row>
    <row r="5732" spans="1:14" s="347" customFormat="1" x14ac:dyDescent="0.25">
      <c r="A5732" s="350">
        <f>+A5728</f>
        <v>44530</v>
      </c>
      <c r="B5732" s="403">
        <f t="shared" si="103"/>
        <v>11</v>
      </c>
      <c r="C5732" s="352">
        <v>1222</v>
      </c>
      <c r="D5732" s="340" t="str">
        <f>VLOOKUP(C5732,Plan!A:B,2,0)</f>
        <v>Otros Valores -Oficina y Transferencias (249)</v>
      </c>
      <c r="E5732" s="341">
        <f t="shared" si="104"/>
        <v>-50000</v>
      </c>
      <c r="F5732" s="396">
        <v>0</v>
      </c>
      <c r="G5732" s="396">
        <v>50000</v>
      </c>
      <c r="H5732" t="s">
        <v>2239</v>
      </c>
      <c r="I5732" s="355" t="s">
        <v>131</v>
      </c>
      <c r="K5732" s="370"/>
      <c r="N5732" s="370"/>
    </row>
    <row r="5733" spans="1:14" s="347" customFormat="1" x14ac:dyDescent="0.25">
      <c r="A5733" s="350">
        <f>+A5729</f>
        <v>44530</v>
      </c>
      <c r="B5733" s="403">
        <f t="shared" si="103"/>
        <v>11</v>
      </c>
      <c r="C5733" s="352">
        <v>4170</v>
      </c>
      <c r="D5733" s="340" t="str">
        <f>VLOOKUP(C5733,Plan!A:B,2,0)</f>
        <v>Cali otros</v>
      </c>
      <c r="E5733" s="341">
        <f t="shared" ref="E5733" si="110">+F5733-G5733</f>
        <v>922</v>
      </c>
      <c r="F5733" s="396">
        <v>922</v>
      </c>
      <c r="G5733" s="396">
        <v>0</v>
      </c>
      <c r="H5733" t="s">
        <v>2239</v>
      </c>
      <c r="I5733" s="355" t="s">
        <v>131</v>
      </c>
      <c r="K5733" s="370"/>
      <c r="N5733" s="370"/>
    </row>
    <row r="5734" spans="1:14" s="347" customFormat="1" x14ac:dyDescent="0.25">
      <c r="A5734" s="350">
        <f>+A5730</f>
        <v>44530</v>
      </c>
      <c r="B5734" s="403">
        <f t="shared" si="103"/>
        <v>11</v>
      </c>
      <c r="C5734" s="352">
        <v>1222</v>
      </c>
      <c r="D5734" s="340" t="str">
        <f>VLOOKUP(C5734,Plan!A:B,2,0)</f>
        <v>Otros Valores -Oficina y Transferencias (249)</v>
      </c>
      <c r="E5734" s="341">
        <f t="shared" si="104"/>
        <v>-90000</v>
      </c>
      <c r="F5734" s="396">
        <v>0</v>
      </c>
      <c r="G5734" s="396">
        <v>90000</v>
      </c>
      <c r="H5734" t="s">
        <v>1459</v>
      </c>
      <c r="I5734" s="355" t="s">
        <v>131</v>
      </c>
      <c r="K5734" s="370"/>
      <c r="N5734" s="370"/>
    </row>
    <row r="5735" spans="1:14" s="347" customFormat="1" x14ac:dyDescent="0.25">
      <c r="A5735" s="350">
        <f t="shared" ref="A5735:A5741" si="111">+A5732</f>
        <v>44530</v>
      </c>
      <c r="B5735" s="403">
        <f t="shared" si="103"/>
        <v>11</v>
      </c>
      <c r="C5735" s="352">
        <v>1222</v>
      </c>
      <c r="D5735" s="340" t="str">
        <f>VLOOKUP(C5735,Plan!A:B,2,0)</f>
        <v>Otros Valores -Oficina y Transferencias (249)</v>
      </c>
      <c r="E5735" s="341">
        <f t="shared" si="104"/>
        <v>-10000</v>
      </c>
      <c r="F5735" s="396">
        <v>0</v>
      </c>
      <c r="G5735" s="396">
        <v>10000</v>
      </c>
      <c r="H5735" t="s">
        <v>2198</v>
      </c>
      <c r="I5735" s="355" t="s">
        <v>131</v>
      </c>
      <c r="K5735" s="370"/>
      <c r="N5735" s="370"/>
    </row>
    <row r="5736" spans="1:14" s="347" customFormat="1" x14ac:dyDescent="0.25">
      <c r="A5736" s="350">
        <f t="shared" si="111"/>
        <v>44530</v>
      </c>
      <c r="B5736" s="403">
        <f t="shared" si="103"/>
        <v>11</v>
      </c>
      <c r="C5736" s="352">
        <v>4170</v>
      </c>
      <c r="D5736" s="340" t="str">
        <f>VLOOKUP(C5736,Plan!A:B,2,0)</f>
        <v>Cali otros</v>
      </c>
      <c r="E5736" s="341">
        <f t="shared" ref="E5736" si="112">+F5736-G5736</f>
        <v>184</v>
      </c>
      <c r="F5736" s="396">
        <v>184</v>
      </c>
      <c r="G5736" s="396">
        <v>0</v>
      </c>
      <c r="H5736" t="s">
        <v>2198</v>
      </c>
      <c r="I5736" s="355" t="s">
        <v>131</v>
      </c>
      <c r="K5736" s="370"/>
      <c r="N5736" s="370"/>
    </row>
    <row r="5737" spans="1:14" s="347" customFormat="1" x14ac:dyDescent="0.25">
      <c r="A5737" s="350">
        <f t="shared" si="111"/>
        <v>44530</v>
      </c>
      <c r="B5737" s="403">
        <f t="shared" si="103"/>
        <v>11</v>
      </c>
      <c r="C5737" s="352">
        <v>1222</v>
      </c>
      <c r="D5737" s="340" t="str">
        <f>VLOOKUP(C5737,Plan!A:B,2,0)</f>
        <v>Otros Valores -Oficina y Transferencias (249)</v>
      </c>
      <c r="E5737" s="341">
        <f t="shared" si="104"/>
        <v>-60000</v>
      </c>
      <c r="F5737" s="396">
        <v>0</v>
      </c>
      <c r="G5737" s="396">
        <v>60000</v>
      </c>
      <c r="H5737" t="s">
        <v>2217</v>
      </c>
      <c r="I5737" s="355" t="s">
        <v>131</v>
      </c>
      <c r="K5737" s="370"/>
      <c r="N5737" s="370"/>
    </row>
    <row r="5738" spans="1:14" s="347" customFormat="1" x14ac:dyDescent="0.25">
      <c r="A5738" s="350">
        <f t="shared" si="111"/>
        <v>44530</v>
      </c>
      <c r="B5738" s="403">
        <f t="shared" si="103"/>
        <v>11</v>
      </c>
      <c r="C5738" s="352">
        <v>1222</v>
      </c>
      <c r="D5738" s="340" t="str">
        <f>VLOOKUP(C5738,Plan!A:B,2,0)</f>
        <v>Otros Valores -Oficina y Transferencias (249)</v>
      </c>
      <c r="E5738" s="341">
        <f t="shared" si="104"/>
        <v>-10000</v>
      </c>
      <c r="F5738" s="396">
        <v>0</v>
      </c>
      <c r="G5738" s="396">
        <v>10000</v>
      </c>
      <c r="H5738" t="s">
        <v>2260</v>
      </c>
      <c r="I5738" s="355" t="s">
        <v>131</v>
      </c>
      <c r="K5738" s="370"/>
      <c r="N5738" s="370"/>
    </row>
    <row r="5739" spans="1:14" s="347" customFormat="1" x14ac:dyDescent="0.25">
      <c r="A5739" s="350">
        <f t="shared" si="111"/>
        <v>44530</v>
      </c>
      <c r="B5739" s="403">
        <f t="shared" si="103"/>
        <v>11</v>
      </c>
      <c r="C5739" s="352">
        <v>4170</v>
      </c>
      <c r="D5739" s="340" t="str">
        <f>VLOOKUP(C5739,Plan!A:B,2,0)</f>
        <v>Cali otros</v>
      </c>
      <c r="E5739" s="341">
        <f t="shared" ref="E5739" si="113">+F5739-G5739</f>
        <v>184</v>
      </c>
      <c r="F5739" s="396">
        <v>184</v>
      </c>
      <c r="G5739" s="396">
        <v>0</v>
      </c>
      <c r="H5739" t="s">
        <v>2260</v>
      </c>
      <c r="I5739" s="355" t="s">
        <v>131</v>
      </c>
      <c r="K5739" s="370"/>
      <c r="N5739" s="370"/>
    </row>
    <row r="5740" spans="1:14" s="347" customFormat="1" x14ac:dyDescent="0.25">
      <c r="A5740" s="350">
        <f t="shared" si="111"/>
        <v>44530</v>
      </c>
      <c r="B5740" s="403">
        <f t="shared" si="103"/>
        <v>11</v>
      </c>
      <c r="C5740" s="352">
        <v>1222</v>
      </c>
      <c r="D5740" s="340" t="str">
        <f>VLOOKUP(C5740,Plan!A:B,2,0)</f>
        <v>Otros Valores -Oficina y Transferencias (249)</v>
      </c>
      <c r="E5740" s="341">
        <f t="shared" si="104"/>
        <v>-60000</v>
      </c>
      <c r="F5740" s="396">
        <v>0</v>
      </c>
      <c r="G5740" s="396">
        <v>60000</v>
      </c>
      <c r="H5740" t="s">
        <v>2220</v>
      </c>
      <c r="I5740" s="355" t="s">
        <v>131</v>
      </c>
      <c r="K5740" s="370"/>
      <c r="N5740" s="370"/>
    </row>
    <row r="5741" spans="1:14" s="347" customFormat="1" x14ac:dyDescent="0.25">
      <c r="A5741" s="350">
        <f t="shared" si="111"/>
        <v>44530</v>
      </c>
      <c r="B5741" s="403">
        <f t="shared" si="103"/>
        <v>11</v>
      </c>
      <c r="C5741" s="352">
        <v>1222</v>
      </c>
      <c r="D5741" s="340" t="str">
        <f>VLOOKUP(C5741,Plan!A:B,2,0)</f>
        <v>Otros Valores -Oficina y Transferencias (249)</v>
      </c>
      <c r="E5741" s="341">
        <f t="shared" si="104"/>
        <v>-30000</v>
      </c>
      <c r="F5741" s="396">
        <v>0</v>
      </c>
      <c r="G5741" s="396">
        <v>30000</v>
      </c>
      <c r="H5741" t="s">
        <v>675</v>
      </c>
      <c r="I5741" s="355" t="s">
        <v>131</v>
      </c>
      <c r="K5741" s="370"/>
      <c r="N5741" s="370"/>
    </row>
    <row r="5742" spans="1:14" s="347" customFormat="1" x14ac:dyDescent="0.25">
      <c r="A5742" s="369"/>
      <c r="E5742" s="396"/>
      <c r="F5742" s="396"/>
      <c r="G5742" s="396"/>
      <c r="K5742" s="370"/>
      <c r="N5742" s="370"/>
    </row>
    <row r="5743" spans="1:14" s="347" customFormat="1" x14ac:dyDescent="0.25">
      <c r="A5743" s="350">
        <v>44510</v>
      </c>
      <c r="B5743" s="403">
        <f>+MONTH(A5743)</f>
        <v>11</v>
      </c>
      <c r="C5743" s="352">
        <v>4170</v>
      </c>
      <c r="D5743" s="340" t="str">
        <f>VLOOKUP(C5743,Plan!A:B,2,0)</f>
        <v>Cali otros</v>
      </c>
      <c r="E5743" s="341">
        <f>+F5743-G5743</f>
        <v>12274</v>
      </c>
      <c r="F5743" s="396">
        <v>12274</v>
      </c>
      <c r="G5743" s="396">
        <v>0</v>
      </c>
      <c r="H5743" t="s">
        <v>2348</v>
      </c>
      <c r="I5743" s="355" t="s">
        <v>131</v>
      </c>
      <c r="K5743" s="370"/>
      <c r="N5743" s="370"/>
    </row>
    <row r="5744" spans="1:14" s="347" customFormat="1" x14ac:dyDescent="0.25">
      <c r="A5744" s="350">
        <f>+A5743</f>
        <v>44510</v>
      </c>
      <c r="B5744" s="403">
        <f>+MONTH(A5744)</f>
        <v>11</v>
      </c>
      <c r="C5744" s="352">
        <v>117</v>
      </c>
      <c r="D5744" s="340" t="str">
        <f>VLOOKUP(C5744,Plan!A:B,2,0)</f>
        <v>Disponible CALI Santander</v>
      </c>
      <c r="E5744" s="341">
        <f>+F5744-G5744</f>
        <v>-12274</v>
      </c>
      <c r="F5744" s="396">
        <v>0</v>
      </c>
      <c r="G5744" s="396">
        <f>+F5743</f>
        <v>12274</v>
      </c>
      <c r="H5744" t="str">
        <f>+H5743</f>
        <v>COM.SERV.PAC SEPT. 2021 34 TRX.</v>
      </c>
      <c r="I5744" s="355" t="s">
        <v>131</v>
      </c>
      <c r="K5744" s="370"/>
      <c r="N5744" s="370"/>
    </row>
    <row r="5745" spans="1:14" s="347" customFormat="1" x14ac:dyDescent="0.25">
      <c r="A5745" s="369"/>
      <c r="E5745" s="396"/>
      <c r="F5745" s="396"/>
      <c r="G5745" s="396"/>
      <c r="K5745" s="370"/>
      <c r="N5745" s="370"/>
    </row>
    <row r="5746" spans="1:14" s="347" customFormat="1" x14ac:dyDescent="0.25">
      <c r="A5746" s="350">
        <v>44518</v>
      </c>
      <c r="B5746" s="403">
        <f>+MONTH(A5746)</f>
        <v>11</v>
      </c>
      <c r="C5746" s="352">
        <v>117</v>
      </c>
      <c r="D5746" s="340" t="str">
        <f>VLOOKUP(C5746,Plan!A:B,2,0)</f>
        <v>Disponible CALI Santander</v>
      </c>
      <c r="E5746" s="341">
        <f>+F5746-G5746</f>
        <v>371036000</v>
      </c>
      <c r="F5746" s="396">
        <v>371036000</v>
      </c>
      <c r="G5746" s="396">
        <v>0</v>
      </c>
      <c r="H5746" t="s">
        <v>2189</v>
      </c>
      <c r="I5746" s="355" t="s">
        <v>131</v>
      </c>
      <c r="K5746" s="370"/>
      <c r="N5746" s="370"/>
    </row>
    <row r="5747" spans="1:14" s="347" customFormat="1" x14ac:dyDescent="0.25">
      <c r="A5747" s="350">
        <f>+A5746</f>
        <v>44518</v>
      </c>
      <c r="B5747" s="403">
        <f>+MONTH(A5747)</f>
        <v>11</v>
      </c>
      <c r="C5747" s="352">
        <v>113</v>
      </c>
      <c r="D5747" s="340" t="str">
        <f>VLOOKUP(C5747,Plan!A:B,2,0)</f>
        <v>Depósito a plazo Cali Banco Santander</v>
      </c>
      <c r="E5747" s="341">
        <f>+F5747-G5747</f>
        <v>-371036000</v>
      </c>
      <c r="F5747" s="396">
        <v>0</v>
      </c>
      <c r="G5747" s="396">
        <f>+F5746</f>
        <v>371036000</v>
      </c>
      <c r="H5747" t="str">
        <f>+H5746</f>
        <v xml:space="preserve">Abono Venc. DAP </v>
      </c>
      <c r="I5747" s="355" t="s">
        <v>131</v>
      </c>
      <c r="K5747" s="370"/>
      <c r="N5747" s="370"/>
    </row>
    <row r="5748" spans="1:14" s="347" customFormat="1" x14ac:dyDescent="0.25">
      <c r="A5748" s="369"/>
      <c r="E5748" s="396"/>
      <c r="F5748" s="396"/>
      <c r="G5748" s="396"/>
      <c r="K5748" s="370"/>
      <c r="N5748" s="370"/>
    </row>
    <row r="5749" spans="1:14" s="347" customFormat="1" x14ac:dyDescent="0.25">
      <c r="A5749" s="350">
        <f>+A5747</f>
        <v>44518</v>
      </c>
      <c r="B5749" s="403">
        <f>+MONTH(A5749)</f>
        <v>11</v>
      </c>
      <c r="C5749" s="352">
        <v>113</v>
      </c>
      <c r="D5749" s="340" t="str">
        <f>VLOOKUP(C5749,Plan!A:B,2,0)</f>
        <v>Depósito a plazo Cali Banco Santander</v>
      </c>
      <c r="E5749" s="341">
        <f>+F5749-G5749</f>
        <v>289000000</v>
      </c>
      <c r="F5749" s="396">
        <v>289000000</v>
      </c>
      <c r="G5749" s="396">
        <v>0</v>
      </c>
      <c r="H5749" t="s">
        <v>2349</v>
      </c>
      <c r="I5749" s="355" t="s">
        <v>131</v>
      </c>
      <c r="K5749" s="370"/>
      <c r="N5749" s="370"/>
    </row>
    <row r="5750" spans="1:14" s="347" customFormat="1" x14ac:dyDescent="0.25">
      <c r="A5750" s="350">
        <f>+A5749</f>
        <v>44518</v>
      </c>
      <c r="B5750" s="403">
        <f>+MONTH(A5750)</f>
        <v>11</v>
      </c>
      <c r="C5750" s="352">
        <v>117</v>
      </c>
      <c r="D5750" s="340" t="str">
        <f>VLOOKUP(C5750,Plan!A:B,2,0)</f>
        <v>Disponible CALI Santander</v>
      </c>
      <c r="E5750" s="341">
        <f>+F5750-G5750</f>
        <v>-289000000</v>
      </c>
      <c r="F5750" s="396">
        <v>0</v>
      </c>
      <c r="G5750" s="396">
        <f>+F5749</f>
        <v>289000000</v>
      </c>
      <c r="H5750" t="str">
        <f>+H5749</f>
        <v>Toma DAP a 32 ds.</v>
      </c>
      <c r="I5750" s="355" t="s">
        <v>131</v>
      </c>
      <c r="K5750" s="370"/>
      <c r="N5750" s="370"/>
    </row>
    <row r="5751" spans="1:14" s="347" customFormat="1" x14ac:dyDescent="0.25">
      <c r="A5751" s="369"/>
      <c r="E5751" s="396"/>
      <c r="F5751" s="396"/>
      <c r="G5751" s="396"/>
      <c r="K5751" s="370"/>
      <c r="N5751" s="370"/>
    </row>
    <row r="5752" spans="1:14" s="347" customFormat="1" x14ac:dyDescent="0.25">
      <c r="A5752" s="350">
        <f>+A5750</f>
        <v>44518</v>
      </c>
      <c r="B5752" s="403">
        <f>+MONTH(A5752)</f>
        <v>11</v>
      </c>
      <c r="C5752" s="352">
        <v>116</v>
      </c>
      <c r="D5752" s="340" t="str">
        <f>VLOOKUP(C5752,Plan!A:B,2,0)</f>
        <v>Disponible CALI Security</v>
      </c>
      <c r="E5752" s="341">
        <f>+F5752-G5752</f>
        <v>82000000</v>
      </c>
      <c r="F5752" s="396">
        <v>82000000</v>
      </c>
      <c r="G5752" s="396">
        <v>0</v>
      </c>
      <c r="H5752" t="s">
        <v>2350</v>
      </c>
      <c r="I5752" s="355" t="s">
        <v>131</v>
      </c>
      <c r="K5752" s="370"/>
      <c r="N5752" s="370"/>
    </row>
    <row r="5753" spans="1:14" s="347" customFormat="1" x14ac:dyDescent="0.25">
      <c r="A5753" s="350">
        <f>+A5752</f>
        <v>44518</v>
      </c>
      <c r="B5753" s="403">
        <f>+MONTH(A5753)</f>
        <v>11</v>
      </c>
      <c r="C5753" s="352">
        <v>117</v>
      </c>
      <c r="D5753" s="340" t="str">
        <f>VLOOKUP(C5753,Plan!A:B,2,0)</f>
        <v>Disponible CALI Santander</v>
      </c>
      <c r="E5753" s="341">
        <f>+F5753-G5753</f>
        <v>-82000000</v>
      </c>
      <c r="F5753" s="396">
        <v>0</v>
      </c>
      <c r="G5753" s="396">
        <f>+F5752</f>
        <v>82000000</v>
      </c>
      <c r="H5753" t="str">
        <f>+H5752</f>
        <v>DAP B.Santander</v>
      </c>
      <c r="I5753" s="355" t="s">
        <v>131</v>
      </c>
      <c r="K5753" s="370"/>
      <c r="N5753" s="370"/>
    </row>
    <row r="5754" spans="1:14" s="347" customFormat="1" x14ac:dyDescent="0.25">
      <c r="A5754" s="369"/>
      <c r="E5754" s="396"/>
      <c r="F5754" s="396"/>
      <c r="G5754" s="396"/>
      <c r="K5754" s="370"/>
      <c r="N5754" s="370"/>
    </row>
    <row r="5755" spans="1:14" s="347" customFormat="1" x14ac:dyDescent="0.25">
      <c r="A5755" s="350">
        <v>44508</v>
      </c>
      <c r="B5755" s="403">
        <f>+MONTH(A5755)</f>
        <v>11</v>
      </c>
      <c r="C5755" s="352">
        <v>4170</v>
      </c>
      <c r="D5755" s="340" t="str">
        <f>VLOOKUP(C5755,Plan!A:B,2,0)</f>
        <v>Cali otros</v>
      </c>
      <c r="E5755" s="341">
        <f>+F5755-G5755</f>
        <v>2187</v>
      </c>
      <c r="F5755" s="396">
        <v>2187</v>
      </c>
      <c r="G5755" s="396">
        <v>0</v>
      </c>
      <c r="H5755" t="s">
        <v>1068</v>
      </c>
      <c r="I5755" s="355" t="s">
        <v>131</v>
      </c>
      <c r="K5755" s="370"/>
      <c r="N5755" s="370"/>
    </row>
    <row r="5756" spans="1:14" s="347" customFormat="1" x14ac:dyDescent="0.25">
      <c r="A5756" s="350">
        <f>+A5755</f>
        <v>44508</v>
      </c>
      <c r="B5756" s="403">
        <f>+MONTH(A5756)</f>
        <v>11</v>
      </c>
      <c r="C5756" s="352">
        <v>116</v>
      </c>
      <c r="D5756" s="340" t="str">
        <f>VLOOKUP(C5756,Plan!A:B,2,0)</f>
        <v>Disponible CALI Security</v>
      </c>
      <c r="E5756" s="341">
        <f>+F5756-G5756</f>
        <v>-2187</v>
      </c>
      <c r="F5756" s="396">
        <v>0</v>
      </c>
      <c r="G5756" s="396">
        <f>+F5755</f>
        <v>2187</v>
      </c>
      <c r="H5756" t="str">
        <f>+H5755</f>
        <v>COM.PAGOS MASIVOS OTROS BANCOS</v>
      </c>
      <c r="I5756" s="355" t="s">
        <v>131</v>
      </c>
      <c r="K5756" s="370"/>
      <c r="N5756" s="370"/>
    </row>
    <row r="5757" spans="1:14" s="347" customFormat="1" x14ac:dyDescent="0.25">
      <c r="A5757" s="369"/>
      <c r="E5757" s="396"/>
      <c r="F5757" s="396"/>
      <c r="G5757" s="396"/>
      <c r="K5757" s="370"/>
      <c r="N5757" s="370"/>
    </row>
    <row r="5758" spans="1:14" s="347" customFormat="1" x14ac:dyDescent="0.25">
      <c r="A5758" s="350">
        <v>44508</v>
      </c>
      <c r="B5758" s="403">
        <f>+MONTH(A5758)</f>
        <v>11</v>
      </c>
      <c r="C5758" s="352">
        <v>4170</v>
      </c>
      <c r="D5758" s="340" t="str">
        <f>VLOOKUP(C5758,Plan!A:B,2,0)</f>
        <v>Cali otros</v>
      </c>
      <c r="E5758" s="341">
        <f>+F5758-G5758</f>
        <v>416</v>
      </c>
      <c r="F5758" s="396">
        <v>416</v>
      </c>
      <c r="G5758" s="396">
        <v>0</v>
      </c>
      <c r="H5758" t="s">
        <v>1068</v>
      </c>
      <c r="I5758" s="355" t="s">
        <v>131</v>
      </c>
      <c r="K5758" s="370"/>
      <c r="N5758" s="370"/>
    </row>
    <row r="5759" spans="1:14" s="347" customFormat="1" x14ac:dyDescent="0.25">
      <c r="A5759" s="350">
        <f>+A5758</f>
        <v>44508</v>
      </c>
      <c r="B5759" s="403">
        <f>+MONTH(A5759)</f>
        <v>11</v>
      </c>
      <c r="C5759" s="352">
        <v>116</v>
      </c>
      <c r="D5759" s="340" t="str">
        <f>VLOOKUP(C5759,Plan!A:B,2,0)</f>
        <v>Disponible CALI Security</v>
      </c>
      <c r="E5759" s="341">
        <f>+F5759-G5759</f>
        <v>-416</v>
      </c>
      <c r="F5759" s="396">
        <v>0</v>
      </c>
      <c r="G5759" s="396">
        <f>+F5758</f>
        <v>416</v>
      </c>
      <c r="H5759" t="str">
        <f>+H5758</f>
        <v>COM.PAGOS MASIVOS OTROS BANCOS</v>
      </c>
      <c r="I5759" s="355" t="s">
        <v>131</v>
      </c>
      <c r="K5759" s="370"/>
      <c r="N5759" s="370"/>
    </row>
    <row r="5760" spans="1:14" s="347" customFormat="1" x14ac:dyDescent="0.25">
      <c r="A5760" s="369"/>
      <c r="E5760" s="396"/>
      <c r="F5760" s="396"/>
      <c r="G5760" s="396"/>
      <c r="K5760" s="370"/>
      <c r="N5760" s="370"/>
    </row>
    <row r="5761" spans="1:14" s="347" customFormat="1" x14ac:dyDescent="0.25">
      <c r="A5761" s="369">
        <v>44509</v>
      </c>
      <c r="B5761" s="347">
        <f>+MONTH(A5761)</f>
        <v>11</v>
      </c>
      <c r="C5761" s="347">
        <v>138</v>
      </c>
      <c r="D5761" s="340" t="str">
        <f>VLOOKUP(C5761,Plan!A$1:B$65542,2,0)</f>
        <v>Proyectos Especialidades</v>
      </c>
      <c r="E5761" s="341">
        <f>+F5761-G5761</f>
        <v>5493952</v>
      </c>
      <c r="F5761" s="155">
        <v>5493952</v>
      </c>
      <c r="G5761" s="396">
        <v>0</v>
      </c>
      <c r="H5761" s="370" t="s">
        <v>2351</v>
      </c>
      <c r="I5761" s="347" t="s">
        <v>131</v>
      </c>
      <c r="J5761" t="s">
        <v>1952</v>
      </c>
      <c r="K5761" t="s">
        <v>1953</v>
      </c>
      <c r="L5761" s="347">
        <v>2889020</v>
      </c>
      <c r="N5761" s="370"/>
    </row>
    <row r="5762" spans="1:14" s="347" customFormat="1" x14ac:dyDescent="0.25">
      <c r="A5762" s="369">
        <f>+A5761</f>
        <v>44509</v>
      </c>
      <c r="B5762" s="347">
        <f>+B5761</f>
        <v>11</v>
      </c>
      <c r="C5762" s="347">
        <v>116</v>
      </c>
      <c r="D5762" s="340" t="str">
        <f>VLOOKUP(C5762,Plan!A$1:B$65542,2,0)</f>
        <v>Disponible CALI Security</v>
      </c>
      <c r="E5762" s="341">
        <f>+F5762-G5762</f>
        <v>-5493952</v>
      </c>
      <c r="F5762" s="396">
        <v>0</v>
      </c>
      <c r="G5762" s="396">
        <f>+F5761</f>
        <v>5493952</v>
      </c>
      <c r="H5762" t="str">
        <f>+H5761</f>
        <v>F.  NV2889020 Enel (Empalme PSAH)</v>
      </c>
      <c r="I5762" s="347" t="s">
        <v>131</v>
      </c>
      <c r="J5762" t="s">
        <v>1952</v>
      </c>
      <c r="K5762" t="s">
        <v>1953</v>
      </c>
      <c r="L5762" s="347">
        <f>+L5761</f>
        <v>2889020</v>
      </c>
      <c r="N5762" s="370"/>
    </row>
    <row r="5763" spans="1:14" s="347" customFormat="1" x14ac:dyDescent="0.25">
      <c r="A5763" s="369"/>
      <c r="E5763" s="396"/>
      <c r="F5763" s="396"/>
      <c r="G5763" s="396"/>
      <c r="K5763" s="370"/>
      <c r="N5763" s="370"/>
    </row>
    <row r="5764" spans="1:14" s="347" customFormat="1" x14ac:dyDescent="0.25">
      <c r="A5764" s="369">
        <v>44522</v>
      </c>
      <c r="B5764" s="347">
        <f>+MONTH(A5764)</f>
        <v>11</v>
      </c>
      <c r="C5764" s="347">
        <v>138</v>
      </c>
      <c r="D5764" s="340" t="str">
        <f>VLOOKUP(C5764,Plan!A$1:B$65542,2,0)</f>
        <v>Proyectos Especialidades</v>
      </c>
      <c r="E5764" s="341">
        <f>+F5764-G5764</f>
        <v>4400048</v>
      </c>
      <c r="F5764" s="155">
        <v>4400048</v>
      </c>
      <c r="G5764" s="396">
        <v>0</v>
      </c>
      <c r="H5764" s="370" t="s">
        <v>2353</v>
      </c>
      <c r="I5764" s="347" t="s">
        <v>131</v>
      </c>
      <c r="J5764" t="s">
        <v>605</v>
      </c>
      <c r="K5764" t="s">
        <v>606</v>
      </c>
      <c r="L5764">
        <v>6495</v>
      </c>
      <c r="M5764" s="343" t="s">
        <v>614</v>
      </c>
      <c r="N5764" t="str">
        <f>IF(M5764&lt;&gt;"",VLOOKUP(M5764,[1]Plan!F$1:G$65536,2,0),"")</f>
        <v>ITO</v>
      </c>
    </row>
    <row r="5765" spans="1:14" s="347" customFormat="1" x14ac:dyDescent="0.25">
      <c r="A5765" s="369">
        <f>+A5764</f>
        <v>44522</v>
      </c>
      <c r="B5765" s="347">
        <f>+B5764</f>
        <v>11</v>
      </c>
      <c r="C5765" s="347">
        <v>116</v>
      </c>
      <c r="D5765" s="340" t="str">
        <f>VLOOKUP(C5765,Plan!A$1:B$65542,2,0)</f>
        <v>Disponible CALI Security</v>
      </c>
      <c r="E5765" s="341">
        <f>+F5765-G5765</f>
        <v>-4400048</v>
      </c>
      <c r="F5765" s="396">
        <v>0</v>
      </c>
      <c r="G5765" s="396">
        <f>+F5764</f>
        <v>4400048</v>
      </c>
      <c r="H5765" t="str">
        <f>+H5764</f>
        <v>Fact. 6495, EE.PP. N° 23, ITO Oct./21</v>
      </c>
      <c r="I5765" s="347" t="s">
        <v>131</v>
      </c>
      <c r="J5765" t="s">
        <v>605</v>
      </c>
      <c r="K5765" t="s">
        <v>606</v>
      </c>
      <c r="L5765">
        <f>+L5764</f>
        <v>6495</v>
      </c>
      <c r="M5765" s="343" t="s">
        <v>614</v>
      </c>
      <c r="N5765" t="str">
        <f>IF(M5765&lt;&gt;"",VLOOKUP(M5765,[1]Plan!F$1:G$65536,2,0),"")</f>
        <v>ITO</v>
      </c>
    </row>
    <row r="5766" spans="1:14" s="347" customFormat="1" x14ac:dyDescent="0.25">
      <c r="A5766" s="369"/>
      <c r="E5766" s="396"/>
      <c r="F5766" s="396"/>
      <c r="G5766" s="396"/>
      <c r="K5766" s="370"/>
      <c r="N5766" s="370"/>
    </row>
    <row r="5767" spans="1:14" s="347" customFormat="1" x14ac:dyDescent="0.25">
      <c r="A5767" s="369">
        <v>44522</v>
      </c>
      <c r="B5767" s="347">
        <f>+MONTH(A5767)</f>
        <v>11</v>
      </c>
      <c r="C5767" s="347">
        <v>228</v>
      </c>
      <c r="D5767" s="340" t="str">
        <f>VLOOKUP(C5767,Plan!A$1:B$65542,2,0)</f>
        <v>Proveedores CALI</v>
      </c>
      <c r="E5767" s="341">
        <f>+F5767-G5767</f>
        <v>106523067</v>
      </c>
      <c r="F5767" s="155">
        <v>106523067</v>
      </c>
      <c r="G5767" s="396">
        <v>0</v>
      </c>
      <c r="H5767" t="s">
        <v>2354</v>
      </c>
      <c r="I5767" s="347" t="s">
        <v>131</v>
      </c>
      <c r="J5767" s="403" t="s">
        <v>588</v>
      </c>
      <c r="K5767" s="208" t="str">
        <f>IF(J5767&lt;&gt;"",VLOOKUP(J5767,'Libro De Compras 2021'!D:E,2,0),"")</f>
        <v>PROYECTOS Y CONSTRUCCIONES TASCO LIMITADA</v>
      </c>
      <c r="L5767">
        <v>3075</v>
      </c>
      <c r="N5767" s="370"/>
    </row>
    <row r="5768" spans="1:14" s="347" customFormat="1" x14ac:dyDescent="0.25">
      <c r="A5768" s="369">
        <f>+A5767</f>
        <v>44522</v>
      </c>
      <c r="B5768" s="347">
        <f>+B5767</f>
        <v>11</v>
      </c>
      <c r="C5768" s="347">
        <v>116</v>
      </c>
      <c r="D5768" s="340" t="str">
        <f>VLOOKUP(C5768,Plan!A$1:B$65542,2,0)</f>
        <v>Disponible CALI Security</v>
      </c>
      <c r="E5768" s="341">
        <f>+F5768-G5768</f>
        <v>-106523067</v>
      </c>
      <c r="F5768" s="396">
        <v>0</v>
      </c>
      <c r="G5768" s="396">
        <f>+F5767</f>
        <v>106523067</v>
      </c>
      <c r="H5768" t="str">
        <f>+H5767</f>
        <v>Fact. 3075, EE.PP. N° 16</v>
      </c>
      <c r="I5768" s="347" t="s">
        <v>131</v>
      </c>
      <c r="J5768" s="403" t="s">
        <v>588</v>
      </c>
      <c r="K5768" s="208" t="str">
        <f>IF(J5768&lt;&gt;"",VLOOKUP(J5768,'Libro De Compras 2021'!D:E,2,0),"")</f>
        <v>PROYECTOS Y CONSTRUCCIONES TASCO LIMITADA</v>
      </c>
      <c r="L5768" s="403">
        <f>+L5767</f>
        <v>3075</v>
      </c>
      <c r="N5768" s="370"/>
    </row>
    <row r="5769" spans="1:14" s="347" customFormat="1" x14ac:dyDescent="0.25">
      <c r="A5769" s="369"/>
      <c r="E5769" s="396"/>
      <c r="F5769" s="396"/>
      <c r="G5769" s="396"/>
      <c r="K5769" s="370"/>
      <c r="N5769" s="370"/>
    </row>
    <row r="5770" spans="1:14" s="347" customFormat="1" x14ac:dyDescent="0.25">
      <c r="A5770" s="369">
        <v>44522</v>
      </c>
      <c r="B5770" s="347">
        <f>+MONTH(A5770)</f>
        <v>11</v>
      </c>
      <c r="C5770" s="347">
        <v>138</v>
      </c>
      <c r="D5770" s="340" t="str">
        <f>VLOOKUP(C5770,Plan!A$1:B$65542,2,0)</f>
        <v>Proyectos Especialidades</v>
      </c>
      <c r="E5770" s="341">
        <f>+F5770-G5770</f>
        <v>3005600</v>
      </c>
      <c r="F5770" s="155">
        <v>3005600</v>
      </c>
      <c r="G5770" s="396">
        <v>0</v>
      </c>
      <c r="H5770" s="370" t="s">
        <v>2352</v>
      </c>
      <c r="I5770" s="347" t="s">
        <v>131</v>
      </c>
      <c r="K5770" s="370"/>
      <c r="L5770" s="347">
        <v>440</v>
      </c>
      <c r="N5770" s="370"/>
    </row>
    <row r="5771" spans="1:14" s="347" customFormat="1" x14ac:dyDescent="0.25">
      <c r="A5771" s="369">
        <f>+A5770</f>
        <v>44522</v>
      </c>
      <c r="B5771" s="347">
        <f>+B5770</f>
        <v>11</v>
      </c>
      <c r="C5771" s="347">
        <v>116</v>
      </c>
      <c r="D5771" s="340" t="str">
        <f>VLOOKUP(C5771,Plan!A$1:B$65542,2,0)</f>
        <v>Disponible CALI Security</v>
      </c>
      <c r="E5771" s="341">
        <f>+F5771-G5771</f>
        <v>-3005600</v>
      </c>
      <c r="F5771" s="396">
        <v>0</v>
      </c>
      <c r="G5771" s="396">
        <f>+F5770</f>
        <v>3005600</v>
      </c>
      <c r="H5771" t="str">
        <f>+H5770</f>
        <v>Fact. 440  EE.PP.N°7</v>
      </c>
      <c r="I5771" s="347" t="s">
        <v>131</v>
      </c>
      <c r="K5771" s="370"/>
      <c r="L5771" s="347">
        <v>440</v>
      </c>
      <c r="N5771" s="370"/>
    </row>
    <row r="5772" spans="1:14" s="347" customFormat="1" x14ac:dyDescent="0.25">
      <c r="A5772" s="369"/>
      <c r="E5772" s="396"/>
      <c r="F5772" s="396"/>
      <c r="G5772" s="396"/>
      <c r="K5772" s="370"/>
      <c r="N5772" s="370"/>
    </row>
    <row r="5773" spans="1:14" s="347" customFormat="1" x14ac:dyDescent="0.25">
      <c r="A5773" s="402">
        <v>44522</v>
      </c>
      <c r="B5773" s="403">
        <f>+MONTH(A5773)</f>
        <v>11</v>
      </c>
      <c r="C5773" s="338">
        <v>137</v>
      </c>
      <c r="D5773" s="340" t="str">
        <f>VLOOKUP(C5773,Plan!A:B,2,0)</f>
        <v>Anticipo Construcción</v>
      </c>
      <c r="E5773" s="341">
        <f>+F5773-G5773</f>
        <v>-14930099</v>
      </c>
      <c r="F5773" s="465"/>
      <c r="G5773" s="465">
        <v>14930099</v>
      </c>
      <c r="H5773" s="429" t="s">
        <v>2362</v>
      </c>
      <c r="I5773" s="403" t="s">
        <v>131</v>
      </c>
      <c r="J5773" s="403" t="s">
        <v>588</v>
      </c>
      <c r="K5773" s="208" t="str">
        <f>IF(J5773&lt;&gt;"",VLOOKUP(J5773,'Libro De Compras 2021'!D:E,2,0),"")</f>
        <v>PROYECTOS Y CONSTRUCCIONES TASCO LIMITADA</v>
      </c>
      <c r="L5773">
        <v>3075</v>
      </c>
      <c r="N5773" s="370"/>
    </row>
    <row r="5774" spans="1:14" s="347" customFormat="1" x14ac:dyDescent="0.25">
      <c r="A5774" s="402">
        <f t="shared" ref="A5774:B5776" si="114">+A5773</f>
        <v>44522</v>
      </c>
      <c r="B5774" s="403">
        <f t="shared" si="114"/>
        <v>11</v>
      </c>
      <c r="C5774" s="338">
        <v>136</v>
      </c>
      <c r="D5774" s="340" t="str">
        <f>VLOOKUP(C5774,Plan!A:B,2,0)</f>
        <v>Obras en Construcción</v>
      </c>
      <c r="E5774" s="341">
        <f>+F5774-G5774</f>
        <v>126950219</v>
      </c>
      <c r="F5774" s="465">
        <v>126950219</v>
      </c>
      <c r="G5774" s="465"/>
      <c r="H5774" s="429" t="s">
        <v>589</v>
      </c>
      <c r="I5774" s="403" t="s">
        <v>131</v>
      </c>
      <c r="J5774" s="403" t="s">
        <v>588</v>
      </c>
      <c r="K5774" s="208" t="str">
        <f>IF(J5774&lt;&gt;"",VLOOKUP(J5774,'Libro De Compras 2021'!D:E,2,0),"")</f>
        <v>PROYECTOS Y CONSTRUCCIONES TASCO LIMITADA</v>
      </c>
      <c r="L5774" s="403">
        <f>+L5773</f>
        <v>3075</v>
      </c>
      <c r="N5774" s="370"/>
    </row>
    <row r="5775" spans="1:14" s="347" customFormat="1" x14ac:dyDescent="0.25">
      <c r="A5775" s="402">
        <f t="shared" si="114"/>
        <v>44522</v>
      </c>
      <c r="B5775" s="403">
        <f t="shared" si="114"/>
        <v>11</v>
      </c>
      <c r="C5775" s="338">
        <v>210</v>
      </c>
      <c r="D5775" s="340" t="str">
        <f>VLOOKUP(C5775,Plan!A:B,2,0)</f>
        <v>Retenciones Construcción</v>
      </c>
      <c r="E5775" s="341">
        <f>+F5775-G5775</f>
        <v>-5497053</v>
      </c>
      <c r="F5775" s="465"/>
      <c r="G5775" s="465">
        <v>5497053</v>
      </c>
      <c r="H5775" s="429" t="s">
        <v>2363</v>
      </c>
      <c r="I5775" s="403" t="s">
        <v>131</v>
      </c>
      <c r="J5775" s="403" t="s">
        <v>588</v>
      </c>
      <c r="K5775" s="208" t="str">
        <f>IF(J5775&lt;&gt;"",VLOOKUP(J5775,'Libro De Compras 2021'!D:E,2,0),"")</f>
        <v>PROYECTOS Y CONSTRUCCIONES TASCO LIMITADA</v>
      </c>
      <c r="L5775" s="403">
        <f>+L5774</f>
        <v>3075</v>
      </c>
      <c r="N5775" s="370"/>
    </row>
    <row r="5776" spans="1:14" s="347" customFormat="1" x14ac:dyDescent="0.25">
      <c r="A5776" s="402">
        <f t="shared" si="114"/>
        <v>44522</v>
      </c>
      <c r="B5776" s="403">
        <f t="shared" si="114"/>
        <v>11</v>
      </c>
      <c r="C5776" s="338">
        <v>228</v>
      </c>
      <c r="D5776" s="340" t="str">
        <f>VLOOKUP(C5776,Plan!A:B,2,0)</f>
        <v>Proveedores CALI</v>
      </c>
      <c r="E5776" s="341">
        <f>+F5776-G5776</f>
        <v>-106523067</v>
      </c>
      <c r="F5776" s="465"/>
      <c r="G5776" s="465">
        <v>106523067</v>
      </c>
      <c r="H5776" s="429" t="s">
        <v>2364</v>
      </c>
      <c r="I5776" s="403" t="s">
        <v>131</v>
      </c>
      <c r="J5776" s="403" t="s">
        <v>588</v>
      </c>
      <c r="K5776" s="208" t="str">
        <f>IF(J5776&lt;&gt;"",VLOOKUP(J5776,'Libro De Compras 2021'!D:E,2,0),"")</f>
        <v>PROYECTOS Y CONSTRUCCIONES TASCO LIMITADA</v>
      </c>
      <c r="L5776" s="403">
        <f>+L5775</f>
        <v>3075</v>
      </c>
      <c r="N5776" s="370"/>
    </row>
    <row r="5777" spans="1:14" s="347" customFormat="1" x14ac:dyDescent="0.25">
      <c r="A5777" s="369"/>
      <c r="E5777" s="396"/>
      <c r="F5777" s="396"/>
      <c r="G5777" s="396"/>
      <c r="K5777" s="370"/>
      <c r="N5777" s="370"/>
    </row>
    <row r="5778" spans="1:14" s="347" customFormat="1" x14ac:dyDescent="0.25">
      <c r="A5778" s="369">
        <v>44522</v>
      </c>
      <c r="B5778" s="347">
        <f>+MONTH(A5778)</f>
        <v>11</v>
      </c>
      <c r="C5778" s="347">
        <v>4170</v>
      </c>
      <c r="D5778" s="340" t="str">
        <f>VLOOKUP(C5778,Plan!A$1:B$65542,2,0)</f>
        <v>Cali otros</v>
      </c>
      <c r="E5778" s="341">
        <f>+F5778-G5778</f>
        <v>4644</v>
      </c>
      <c r="F5778" s="155">
        <v>4644</v>
      </c>
      <c r="G5778" s="396">
        <v>0</v>
      </c>
      <c r="H5778" s="289" t="s">
        <v>2355</v>
      </c>
      <c r="I5778" s="347" t="s">
        <v>131</v>
      </c>
      <c r="K5778" s="370"/>
      <c r="N5778" s="370"/>
    </row>
    <row r="5779" spans="1:14" s="347" customFormat="1" x14ac:dyDescent="0.25">
      <c r="A5779" s="369">
        <f>+A5778</f>
        <v>44522</v>
      </c>
      <c r="B5779" s="347">
        <f>+B5778</f>
        <v>11</v>
      </c>
      <c r="C5779" s="347">
        <v>116</v>
      </c>
      <c r="D5779" s="340" t="str">
        <f>VLOOKUP(C5779,Plan!A$1:B$65542,2,0)</f>
        <v>Disponible CALI Security</v>
      </c>
      <c r="E5779" s="341">
        <f>+F5779-G5779</f>
        <v>-4644</v>
      </c>
      <c r="F5779" s="396">
        <v>0</v>
      </c>
      <c r="G5779" s="396">
        <f>+F5778</f>
        <v>4644</v>
      </c>
      <c r="H5779" t="str">
        <f>+H5778</f>
        <v>PLAN EXTRA SOCIEDAD (UF 0.1800)</v>
      </c>
      <c r="I5779" s="347" t="s">
        <v>131</v>
      </c>
      <c r="K5779" s="370"/>
      <c r="N5779" s="370"/>
    </row>
    <row r="5780" spans="1:14" s="347" customFormat="1" x14ac:dyDescent="0.25">
      <c r="A5780" s="369"/>
      <c r="E5780" s="396"/>
      <c r="F5780" s="396"/>
      <c r="G5780" s="396"/>
      <c r="K5780" s="370"/>
      <c r="N5780" s="370"/>
    </row>
    <row r="5781" spans="1:14" s="347" customFormat="1" x14ac:dyDescent="0.25">
      <c r="A5781" s="369">
        <v>44522</v>
      </c>
      <c r="B5781" s="347">
        <f>+MONTH(A5781)</f>
        <v>11</v>
      </c>
      <c r="C5781" s="347">
        <v>4170</v>
      </c>
      <c r="D5781" s="340" t="str">
        <f>VLOOKUP(C5781,Plan!A$1:B$65542,2,0)</f>
        <v>Cali otros</v>
      </c>
      <c r="E5781" s="341">
        <f>+F5781-G5781</f>
        <v>882</v>
      </c>
      <c r="F5781" s="155">
        <v>882</v>
      </c>
      <c r="G5781" s="396">
        <v>0</v>
      </c>
      <c r="H5781" s="289" t="s">
        <v>2355</v>
      </c>
      <c r="I5781" s="347" t="s">
        <v>131</v>
      </c>
      <c r="K5781" s="370"/>
      <c r="N5781" s="370"/>
    </row>
    <row r="5782" spans="1:14" s="347" customFormat="1" x14ac:dyDescent="0.25">
      <c r="A5782" s="369">
        <f>+A5781</f>
        <v>44522</v>
      </c>
      <c r="B5782" s="347">
        <f>+B5781</f>
        <v>11</v>
      </c>
      <c r="C5782" s="347">
        <v>116</v>
      </c>
      <c r="D5782" s="340" t="str">
        <f>VLOOKUP(C5782,Plan!A$1:B$65542,2,0)</f>
        <v>Disponible CALI Security</v>
      </c>
      <c r="E5782" s="341">
        <f>+F5782-G5782</f>
        <v>-882</v>
      </c>
      <c r="F5782" s="396">
        <v>0</v>
      </c>
      <c r="G5782" s="396">
        <f>+F5781</f>
        <v>882</v>
      </c>
      <c r="H5782" t="str">
        <f>+H5781</f>
        <v>PLAN EXTRA SOCIEDAD (UF 0.1800)</v>
      </c>
      <c r="I5782" s="347" t="s">
        <v>131</v>
      </c>
      <c r="K5782" s="370"/>
      <c r="N5782" s="370"/>
    </row>
    <row r="5783" spans="1:14" s="347" customFormat="1" x14ac:dyDescent="0.25">
      <c r="A5783" s="369"/>
      <c r="E5783" s="396"/>
      <c r="F5783" s="396"/>
      <c r="G5783" s="396"/>
      <c r="K5783" s="370"/>
      <c r="N5783" s="370"/>
    </row>
    <row r="5784" spans="1:14" s="347" customFormat="1" x14ac:dyDescent="0.25">
      <c r="A5784" s="350">
        <v>44530</v>
      </c>
      <c r="B5784" s="403">
        <f>+MONTH(A5784)</f>
        <v>11</v>
      </c>
      <c r="C5784" s="352">
        <v>1130</v>
      </c>
      <c r="D5784" s="340" t="str">
        <f>VLOOKUP(C5784,Plan!A:B,2,0)</f>
        <v>Disponible Ch. Fecha</v>
      </c>
      <c r="E5784" s="341">
        <f>+F5784-G5784</f>
        <v>875000</v>
      </c>
      <c r="F5784" s="396">
        <v>875000</v>
      </c>
      <c r="G5784" s="396">
        <v>0</v>
      </c>
      <c r="H5784" t="s">
        <v>2357</v>
      </c>
      <c r="I5784" s="355" t="s">
        <v>131</v>
      </c>
      <c r="K5784" s="370"/>
      <c r="N5784" s="370"/>
    </row>
    <row r="5785" spans="1:14" s="347" customFormat="1" x14ac:dyDescent="0.25">
      <c r="A5785" s="350">
        <f>+A5784</f>
        <v>44530</v>
      </c>
      <c r="B5785" s="403">
        <f>+MONTH(A5785)</f>
        <v>11</v>
      </c>
      <c r="C5785" s="352">
        <v>1222</v>
      </c>
      <c r="D5785" s="340" t="str">
        <f>VLOOKUP(C5785,Plan!A:B,2,0)</f>
        <v>Otros Valores -Oficina y Transferencias (249)</v>
      </c>
      <c r="E5785" s="341">
        <f>+F5785-G5785</f>
        <v>-875000</v>
      </c>
      <c r="F5785" s="396">
        <v>0</v>
      </c>
      <c r="G5785" s="396">
        <f>+F5784</f>
        <v>875000</v>
      </c>
      <c r="H5785" t="str">
        <f>+H5784</f>
        <v>MANDATOS PAC SANTANDER NOVIEMBRE</v>
      </c>
      <c r="I5785" s="355" t="s">
        <v>131</v>
      </c>
      <c r="K5785" s="370"/>
      <c r="N5785" s="370"/>
    </row>
    <row r="5786" spans="1:14" s="347" customFormat="1" x14ac:dyDescent="0.25">
      <c r="A5786" s="369"/>
      <c r="E5786" s="396"/>
      <c r="F5786" s="396"/>
      <c r="G5786" s="396"/>
      <c r="K5786" s="370"/>
      <c r="N5786" s="370"/>
    </row>
    <row r="5787" spans="1:14" s="347" customFormat="1" x14ac:dyDescent="0.25">
      <c r="A5787" s="350">
        <v>44530</v>
      </c>
      <c r="B5787" s="403">
        <f>+MONTH(A5787)</f>
        <v>11</v>
      </c>
      <c r="C5787" s="352">
        <v>1130</v>
      </c>
      <c r="D5787" s="340" t="str">
        <f>VLOOKUP(C5787,Plan!A:B,2,0)</f>
        <v>Disponible Ch. Fecha</v>
      </c>
      <c r="E5787" s="341">
        <f>+F5787-G5787</f>
        <v>25000</v>
      </c>
      <c r="F5787" s="396">
        <v>25000</v>
      </c>
      <c r="G5787" s="396">
        <v>0</v>
      </c>
      <c r="H5787" t="s">
        <v>2358</v>
      </c>
      <c r="I5787" s="355" t="s">
        <v>131</v>
      </c>
      <c r="K5787" s="370"/>
      <c r="N5787" s="370"/>
    </row>
    <row r="5788" spans="1:14" s="347" customFormat="1" x14ac:dyDescent="0.25">
      <c r="A5788" s="350">
        <f>+A5787</f>
        <v>44530</v>
      </c>
      <c r="B5788" s="403">
        <f>+MONTH(A5788)</f>
        <v>11</v>
      </c>
      <c r="C5788" s="352">
        <v>1216</v>
      </c>
      <c r="D5788" s="340" t="str">
        <f>VLOOKUP(C5788,Plan!A:B,2,0)</f>
        <v>Otros Valores Recaudadoras</v>
      </c>
      <c r="E5788" s="341">
        <f>+F5788-G5788</f>
        <v>-25000</v>
      </c>
      <c r="F5788" s="396">
        <v>0</v>
      </c>
      <c r="G5788" s="396">
        <f>+F5787</f>
        <v>25000</v>
      </c>
      <c r="H5788" t="str">
        <f>+H5787</f>
        <v>CHEQUE A FECHA RECAUDADORA NOVIEMBRE</v>
      </c>
      <c r="I5788" s="355" t="s">
        <v>131</v>
      </c>
      <c r="K5788" s="370"/>
      <c r="N5788" s="370"/>
    </row>
    <row r="5789" spans="1:14" s="347" customFormat="1" x14ac:dyDescent="0.25">
      <c r="A5789" s="369"/>
      <c r="E5789" s="396"/>
      <c r="F5789" s="396"/>
      <c r="G5789" s="396"/>
      <c r="K5789" s="370"/>
      <c r="N5789" s="370"/>
    </row>
    <row r="5790" spans="1:14" s="347" customFormat="1" x14ac:dyDescent="0.25">
      <c r="A5790" s="350">
        <v>44530</v>
      </c>
      <c r="B5790" s="403">
        <f>+MONTH(A5790)</f>
        <v>11</v>
      </c>
      <c r="C5790" s="352">
        <v>4170</v>
      </c>
      <c r="D5790" s="340" t="str">
        <f>VLOOKUP(C5790,Plan!A:B,2,0)</f>
        <v>Cali otros</v>
      </c>
      <c r="E5790" s="341">
        <f>+F5790-G5790</f>
        <v>10000</v>
      </c>
      <c r="F5790" s="396">
        <v>10000</v>
      </c>
      <c r="G5790" s="396">
        <v>0</v>
      </c>
      <c r="H5790" t="s">
        <v>2359</v>
      </c>
      <c r="I5790" s="355" t="s">
        <v>131</v>
      </c>
      <c r="K5790" s="370"/>
      <c r="N5790" s="370"/>
    </row>
    <row r="5791" spans="1:14" s="347" customFormat="1" x14ac:dyDescent="0.25">
      <c r="A5791" s="350">
        <f>+A5790</f>
        <v>44530</v>
      </c>
      <c r="B5791" s="403">
        <f>+MONTH(A5791)</f>
        <v>11</v>
      </c>
      <c r="C5791" s="352">
        <v>1217</v>
      </c>
      <c r="D5791" s="340" t="str">
        <f>VLOOKUP(C5791,Plan!A:B,2,0)</f>
        <v>Otros Valores -Oficina y Transferencias (248)</v>
      </c>
      <c r="E5791" s="341">
        <f>+F5791-G5791</f>
        <v>-10000</v>
      </c>
      <c r="F5791" s="396">
        <v>0</v>
      </c>
      <c r="G5791" s="396">
        <f>+F5790</f>
        <v>10000</v>
      </c>
      <c r="H5791" t="str">
        <f>+H5790</f>
        <v xml:space="preserve">RECLASIFICA DIFERENCIA 248 </v>
      </c>
      <c r="I5791" s="355" t="s">
        <v>131</v>
      </c>
      <c r="K5791" s="370"/>
      <c r="N5791" s="370"/>
    </row>
    <row r="5792" spans="1:14" s="347" customFormat="1" x14ac:dyDescent="0.25">
      <c r="A5792" s="350"/>
      <c r="B5792" s="403"/>
      <c r="C5792" s="352"/>
      <c r="D5792" s="340"/>
      <c r="E5792" s="341"/>
      <c r="F5792" s="396"/>
      <c r="G5792" s="396"/>
      <c r="H5792"/>
      <c r="I5792" s="355"/>
      <c r="K5792" s="370"/>
      <c r="N5792" s="370"/>
    </row>
    <row r="5793" spans="1:14" s="347" customFormat="1" x14ac:dyDescent="0.25">
      <c r="A5793" s="402">
        <f>+A5790</f>
        <v>44530</v>
      </c>
      <c r="B5793" s="403">
        <f>+B5765</f>
        <v>11</v>
      </c>
      <c r="C5793" s="338">
        <v>125</v>
      </c>
      <c r="D5793" s="340" t="str">
        <f>VLOOKUP(C5793,Plan!A:B,2,0)</f>
        <v>Depósito a plazo Cali</v>
      </c>
      <c r="E5793" s="341">
        <f>+F5793-G5793</f>
        <v>0</v>
      </c>
      <c r="F5793" s="346">
        <v>0</v>
      </c>
      <c r="G5793" s="346">
        <v>0</v>
      </c>
      <c r="H5793" s="343" t="s">
        <v>858</v>
      </c>
      <c r="I5793" s="340" t="s">
        <v>131</v>
      </c>
      <c r="K5793" s="370"/>
      <c r="N5793" s="370"/>
    </row>
    <row r="5794" spans="1:14" s="347" customFormat="1" x14ac:dyDescent="0.25">
      <c r="A5794" s="402">
        <f>+A5793</f>
        <v>44530</v>
      </c>
      <c r="B5794" s="403">
        <f>+B5793</f>
        <v>11</v>
      </c>
      <c r="C5794" s="338">
        <v>6002</v>
      </c>
      <c r="D5794" s="340" t="str">
        <f>VLOOKUP(C5794,Plan!A:B,2,0)</f>
        <v>Intereses Financieros Cali</v>
      </c>
      <c r="E5794" s="341">
        <f>+F5794-G5794</f>
        <v>0</v>
      </c>
      <c r="F5794" s="346">
        <v>0</v>
      </c>
      <c r="G5794" s="346">
        <f>+F5793</f>
        <v>0</v>
      </c>
      <c r="H5794" s="338" t="s">
        <v>858</v>
      </c>
      <c r="I5794" s="340" t="s">
        <v>131</v>
      </c>
      <c r="K5794" s="370"/>
      <c r="N5794" s="370"/>
    </row>
    <row r="5795" spans="1:14" s="347" customFormat="1" x14ac:dyDescent="0.25">
      <c r="A5795" s="339"/>
      <c r="B5795" s="340"/>
      <c r="C5795" s="338"/>
      <c r="D5795" s="340"/>
      <c r="E5795" s="396"/>
      <c r="F5795" s="396"/>
      <c r="G5795" s="396"/>
      <c r="H5795" s="338"/>
      <c r="I5795" s="340"/>
      <c r="K5795" s="370"/>
      <c r="N5795" s="370"/>
    </row>
    <row r="5796" spans="1:14" s="347" customFormat="1" x14ac:dyDescent="0.25">
      <c r="A5796" s="402">
        <f>+A5793</f>
        <v>44530</v>
      </c>
      <c r="B5796" s="403">
        <f>+B5793</f>
        <v>11</v>
      </c>
      <c r="C5796" s="338">
        <v>118</v>
      </c>
      <c r="D5796" s="340" t="str">
        <f>VLOOKUP(C5796,Plan!A:B,2,0)</f>
        <v>Depósito a plazo Cali Banco Security</v>
      </c>
      <c r="E5796" s="341">
        <f>+F5796-G5796</f>
        <v>0</v>
      </c>
      <c r="F5796" s="346">
        <v>0</v>
      </c>
      <c r="G5796" s="346">
        <v>0</v>
      </c>
      <c r="H5796" s="343" t="s">
        <v>859</v>
      </c>
      <c r="I5796" s="340" t="s">
        <v>131</v>
      </c>
      <c r="K5796" s="370"/>
      <c r="N5796" s="370"/>
    </row>
    <row r="5797" spans="1:14" s="347" customFormat="1" x14ac:dyDescent="0.25">
      <c r="A5797" s="402">
        <f>+A5796</f>
        <v>44530</v>
      </c>
      <c r="B5797" s="403">
        <f>+B5796</f>
        <v>11</v>
      </c>
      <c r="C5797" s="338">
        <v>6002</v>
      </c>
      <c r="D5797" s="340" t="str">
        <f>VLOOKUP(C5797,Plan!A:B,2,0)</f>
        <v>Intereses Financieros Cali</v>
      </c>
      <c r="E5797" s="341">
        <f>+F5797-G5797</f>
        <v>0</v>
      </c>
      <c r="F5797" s="346">
        <v>0</v>
      </c>
      <c r="G5797" s="346">
        <f>+F5796</f>
        <v>0</v>
      </c>
      <c r="H5797" s="338" t="s">
        <v>859</v>
      </c>
      <c r="I5797" s="340" t="s">
        <v>131</v>
      </c>
      <c r="K5797" s="370"/>
      <c r="N5797" s="370"/>
    </row>
    <row r="5798" spans="1:14" s="347" customFormat="1" x14ac:dyDescent="0.25">
      <c r="A5798" s="339"/>
      <c r="B5798" s="340"/>
      <c r="C5798" s="338"/>
      <c r="D5798" s="340"/>
      <c r="E5798" s="396"/>
      <c r="F5798" s="396"/>
      <c r="G5798" s="396"/>
      <c r="H5798" s="338"/>
      <c r="I5798" s="340"/>
      <c r="K5798" s="370"/>
      <c r="N5798" s="370"/>
    </row>
    <row r="5799" spans="1:14" s="347" customFormat="1" x14ac:dyDescent="0.25">
      <c r="A5799" s="402">
        <f>+A5796</f>
        <v>44530</v>
      </c>
      <c r="B5799" s="403">
        <f>+B5796</f>
        <v>11</v>
      </c>
      <c r="C5799" s="338">
        <v>119</v>
      </c>
      <c r="D5799" s="340" t="str">
        <f>VLOOKUP(C5799,Plan!A:B,2,0)</f>
        <v>FM Cali Banco Security</v>
      </c>
      <c r="E5799" s="341">
        <f>+F5799-G5799</f>
        <v>0</v>
      </c>
      <c r="F5799" s="346">
        <v>0</v>
      </c>
      <c r="G5799" s="346">
        <v>0</v>
      </c>
      <c r="H5799" s="343" t="s">
        <v>554</v>
      </c>
      <c r="I5799" s="340" t="s">
        <v>131</v>
      </c>
      <c r="K5799" s="370"/>
      <c r="N5799" s="370"/>
    </row>
    <row r="5800" spans="1:14" s="347" customFormat="1" x14ac:dyDescent="0.25">
      <c r="A5800" s="402">
        <f>+A5799</f>
        <v>44530</v>
      </c>
      <c r="B5800" s="403">
        <f>+B5799</f>
        <v>11</v>
      </c>
      <c r="C5800" s="338">
        <v>6002</v>
      </c>
      <c r="D5800" s="340" t="str">
        <f>VLOOKUP(C5800,Plan!A:B,2,0)</f>
        <v>Intereses Financieros Cali</v>
      </c>
      <c r="E5800" s="341">
        <f>+F5800-G5800</f>
        <v>0</v>
      </c>
      <c r="F5800" s="346">
        <v>0</v>
      </c>
      <c r="G5800" s="346">
        <f>+F5799</f>
        <v>0</v>
      </c>
      <c r="H5800" s="338" t="s">
        <v>554</v>
      </c>
      <c r="I5800" s="340" t="s">
        <v>131</v>
      </c>
      <c r="K5800" s="370"/>
      <c r="N5800" s="370"/>
    </row>
    <row r="5801" spans="1:14" s="347" customFormat="1" x14ac:dyDescent="0.25">
      <c r="A5801" s="369"/>
      <c r="E5801" s="396"/>
      <c r="F5801" s="396"/>
      <c r="G5801" s="396"/>
      <c r="K5801" s="370"/>
      <c r="N5801" s="370"/>
    </row>
    <row r="5802" spans="1:14" s="347" customFormat="1" x14ac:dyDescent="0.25">
      <c r="A5802" s="402">
        <f>+A5799</f>
        <v>44530</v>
      </c>
      <c r="B5802" s="403">
        <f>+B5799</f>
        <v>11</v>
      </c>
      <c r="C5802" s="338">
        <v>113</v>
      </c>
      <c r="D5802" s="340" t="str">
        <f>VLOOKUP(C5802,Plan!A:B,2,0)</f>
        <v>Depósito a plazo Cali Banco Santander</v>
      </c>
      <c r="E5802" s="341">
        <f>+F5802-G5802</f>
        <v>1036000</v>
      </c>
      <c r="F5802" s="346">
        <v>1036000</v>
      </c>
      <c r="G5802" s="346">
        <v>0</v>
      </c>
      <c r="H5802" s="343" t="s">
        <v>2122</v>
      </c>
      <c r="I5802" s="340" t="s">
        <v>131</v>
      </c>
      <c r="K5802" s="370"/>
      <c r="N5802" s="370"/>
    </row>
    <row r="5803" spans="1:14" s="347" customFormat="1" x14ac:dyDescent="0.25">
      <c r="A5803" s="402">
        <f>+A5802</f>
        <v>44530</v>
      </c>
      <c r="B5803" s="403">
        <f>+B5802</f>
        <v>11</v>
      </c>
      <c r="C5803" s="338">
        <v>6002</v>
      </c>
      <c r="D5803" s="340" t="str">
        <f>VLOOKUP(C5803,Plan!A:B,2,0)</f>
        <v>Intereses Financieros Cali</v>
      </c>
      <c r="E5803" s="341">
        <f>+F5803-G5803</f>
        <v>-1036000</v>
      </c>
      <c r="F5803" s="346">
        <v>0</v>
      </c>
      <c r="G5803" s="346">
        <f>+F5802</f>
        <v>1036000</v>
      </c>
      <c r="H5803" s="338" t="str">
        <f>+H5802</f>
        <v>Intereses Devengados DAP Santander</v>
      </c>
      <c r="I5803" s="340" t="s">
        <v>131</v>
      </c>
      <c r="K5803" s="370"/>
      <c r="N5803" s="370"/>
    </row>
    <row r="5804" spans="1:14" s="347" customFormat="1" x14ac:dyDescent="0.25">
      <c r="A5804" s="369"/>
      <c r="E5804" s="396"/>
      <c r="F5804" s="396"/>
      <c r="G5804" s="396"/>
      <c r="K5804" s="370"/>
      <c r="N5804" s="370"/>
    </row>
    <row r="5805" spans="1:14" s="347" customFormat="1" x14ac:dyDescent="0.25">
      <c r="A5805" s="350">
        <v>44531</v>
      </c>
      <c r="B5805" s="403">
        <f>+MONTH(A5805)</f>
        <v>12</v>
      </c>
      <c r="C5805" s="352">
        <v>115</v>
      </c>
      <c r="D5805" s="340" t="str">
        <f>VLOOKUP(C5805,Plan!A:B,2,0)</f>
        <v>Disponible Cali B.Chile</v>
      </c>
      <c r="E5805" s="341">
        <f>+F5805-G5805</f>
        <v>12000</v>
      </c>
      <c r="F5805" s="396">
        <v>12000</v>
      </c>
      <c r="G5805" s="396">
        <v>0</v>
      </c>
      <c r="H5805" t="s">
        <v>1008</v>
      </c>
      <c r="I5805" s="355" t="s">
        <v>131</v>
      </c>
      <c r="K5805" s="370"/>
      <c r="N5805" s="370"/>
    </row>
    <row r="5806" spans="1:14" s="347" customFormat="1" x14ac:dyDescent="0.25">
      <c r="A5806" s="350">
        <f>+A5805</f>
        <v>44531</v>
      </c>
      <c r="B5806" s="403">
        <f>+MONTH(A5806)</f>
        <v>12</v>
      </c>
      <c r="C5806" s="352">
        <v>1222</v>
      </c>
      <c r="D5806" s="340" t="str">
        <f>VLOOKUP(C5806,Plan!A:B,2,0)</f>
        <v>Otros Valores -Oficina y Transferencias (249)</v>
      </c>
      <c r="E5806" s="341">
        <f>+F5806-G5806</f>
        <v>-12000</v>
      </c>
      <c r="F5806" s="396">
        <v>0</v>
      </c>
      <c r="G5806" s="396">
        <f>+F5805</f>
        <v>12000</v>
      </c>
      <c r="H5806" t="str">
        <f>+H5805</f>
        <v>M.Alejandra de la Lastra J./249</v>
      </c>
      <c r="I5806" s="355" t="s">
        <v>131</v>
      </c>
      <c r="K5806" s="370"/>
      <c r="N5806" s="370"/>
    </row>
    <row r="5807" spans="1:14" s="347" customFormat="1" x14ac:dyDescent="0.25">
      <c r="A5807" s="369"/>
      <c r="E5807" s="396"/>
      <c r="F5807" s="396"/>
      <c r="G5807" s="396"/>
      <c r="K5807" s="370"/>
      <c r="N5807" s="370"/>
    </row>
    <row r="5808" spans="1:14" s="347" customFormat="1" x14ac:dyDescent="0.25">
      <c r="A5808" s="350">
        <v>44531</v>
      </c>
      <c r="B5808" s="403">
        <f>+MONTH(A5808)</f>
        <v>12</v>
      </c>
      <c r="C5808" s="352">
        <v>115</v>
      </c>
      <c r="D5808" s="340" t="str">
        <f>VLOOKUP(C5808,Plan!A:B,2,0)</f>
        <v>Disponible Cali B.Chile</v>
      </c>
      <c r="E5808" s="341">
        <f>+F5808-G5808</f>
        <v>10000</v>
      </c>
      <c r="F5808" s="396">
        <v>10000</v>
      </c>
      <c r="G5808" s="396">
        <v>0</v>
      </c>
      <c r="H5808" t="s">
        <v>973</v>
      </c>
      <c r="I5808" s="355" t="s">
        <v>131</v>
      </c>
      <c r="K5808" s="370"/>
      <c r="N5808" s="370"/>
    </row>
    <row r="5809" spans="1:14" s="347" customFormat="1" x14ac:dyDescent="0.25">
      <c r="A5809" s="350">
        <f>+A5808</f>
        <v>44531</v>
      </c>
      <c r="B5809" s="403">
        <f>+MONTH(A5809)</f>
        <v>12</v>
      </c>
      <c r="C5809" s="352">
        <v>1222</v>
      </c>
      <c r="D5809" s="340" t="str">
        <f>VLOOKUP(C5809,Plan!A:B,2,0)</f>
        <v>Otros Valores -Oficina y Transferencias (249)</v>
      </c>
      <c r="E5809" s="341">
        <f>+F5809-G5809</f>
        <v>-10000</v>
      </c>
      <c r="F5809" s="396">
        <v>0</v>
      </c>
      <c r="G5809" s="396">
        <f>+F5808</f>
        <v>10000</v>
      </c>
      <c r="H5809" t="str">
        <f>+H5808</f>
        <v>Ana María Ugarte / 249</v>
      </c>
      <c r="I5809" s="355" t="s">
        <v>131</v>
      </c>
      <c r="K5809" s="370"/>
      <c r="N5809" s="370"/>
    </row>
    <row r="5810" spans="1:14" s="347" customFormat="1" x14ac:dyDescent="0.25">
      <c r="A5810" s="369"/>
      <c r="E5810" s="396"/>
      <c r="F5810" s="396"/>
      <c r="G5810" s="396"/>
      <c r="K5810" s="370"/>
      <c r="N5810" s="370"/>
    </row>
    <row r="5811" spans="1:14" s="347" customFormat="1" x14ac:dyDescent="0.25">
      <c r="A5811" s="350">
        <v>44531</v>
      </c>
      <c r="B5811" s="403">
        <f>+MONTH(A5811)</f>
        <v>12</v>
      </c>
      <c r="C5811" s="352">
        <v>115</v>
      </c>
      <c r="D5811" s="340" t="str">
        <f>VLOOKUP(C5811,Plan!A:B,2,0)</f>
        <v>Disponible Cali B.Chile</v>
      </c>
      <c r="E5811" s="341">
        <f>+F5811-G5811</f>
        <v>50000</v>
      </c>
      <c r="F5811" s="396">
        <v>50000</v>
      </c>
      <c r="G5811" s="396">
        <v>0</v>
      </c>
      <c r="H5811" t="s">
        <v>974</v>
      </c>
      <c r="I5811" s="355" t="s">
        <v>131</v>
      </c>
      <c r="K5811" s="370"/>
      <c r="N5811" s="370"/>
    </row>
    <row r="5812" spans="1:14" s="347" customFormat="1" x14ac:dyDescent="0.25">
      <c r="A5812" s="350">
        <f>+A5811</f>
        <v>44531</v>
      </c>
      <c r="B5812" s="403">
        <f>+MONTH(A5812)</f>
        <v>12</v>
      </c>
      <c r="C5812" s="352">
        <v>1222</v>
      </c>
      <c r="D5812" s="340" t="str">
        <f>VLOOKUP(C5812,Plan!A:B,2,0)</f>
        <v>Otros Valores -Oficina y Transferencias (249)</v>
      </c>
      <c r="E5812" s="341">
        <f>+F5812-G5812</f>
        <v>-50000</v>
      </c>
      <c r="F5812" s="396">
        <v>0</v>
      </c>
      <c r="G5812" s="396">
        <f>+F5811</f>
        <v>50000</v>
      </c>
      <c r="H5812" t="str">
        <f>+H5811</f>
        <v>Matías Rafael Ubilla Silva / 249</v>
      </c>
      <c r="I5812" s="355" t="s">
        <v>131</v>
      </c>
      <c r="K5812" s="370"/>
      <c r="N5812" s="370"/>
    </row>
    <row r="5813" spans="1:14" s="347" customFormat="1" x14ac:dyDescent="0.25">
      <c r="A5813" s="369"/>
      <c r="E5813" s="396"/>
      <c r="F5813" s="396"/>
      <c r="G5813" s="396"/>
      <c r="K5813" s="370"/>
      <c r="N5813" s="370"/>
    </row>
    <row r="5814" spans="1:14" s="347" customFormat="1" x14ac:dyDescent="0.25">
      <c r="A5814" s="350">
        <v>44531</v>
      </c>
      <c r="B5814" s="403">
        <f>+MONTH(A5814)</f>
        <v>12</v>
      </c>
      <c r="C5814" s="352">
        <v>115</v>
      </c>
      <c r="D5814" s="340" t="str">
        <f>VLOOKUP(C5814,Plan!A:B,2,0)</f>
        <v>Disponible Cali B.Chile</v>
      </c>
      <c r="E5814" s="341">
        <f>+F5814-G5814</f>
        <v>14000</v>
      </c>
      <c r="F5814" s="396">
        <v>14000</v>
      </c>
      <c r="G5814" s="396">
        <v>0</v>
      </c>
      <c r="H5814" t="s">
        <v>1104</v>
      </c>
      <c r="I5814" s="355" t="s">
        <v>131</v>
      </c>
      <c r="K5814" s="370"/>
      <c r="N5814" s="370"/>
    </row>
    <row r="5815" spans="1:14" s="347" customFormat="1" x14ac:dyDescent="0.25">
      <c r="A5815" s="350">
        <f>+A5814</f>
        <v>44531</v>
      </c>
      <c r="B5815" s="403">
        <f>+MONTH(A5815)</f>
        <v>12</v>
      </c>
      <c r="C5815" s="352">
        <v>3210</v>
      </c>
      <c r="D5815" s="340" t="str">
        <f>VLOOKUP(C5815,Plan!A:B,2,0)</f>
        <v>Donacion Construccion</v>
      </c>
      <c r="E5815" s="341">
        <f>+F5815-G5815</f>
        <v>-14000</v>
      </c>
      <c r="F5815" s="396">
        <v>0</v>
      </c>
      <c r="G5815" s="396">
        <f>+F5814</f>
        <v>14000</v>
      </c>
      <c r="H5815" t="str">
        <f>+H5814</f>
        <v>María Luisa Ilharreborde Illanes / Azul</v>
      </c>
      <c r="I5815" s="355" t="s">
        <v>131</v>
      </c>
      <c r="K5815" s="370"/>
      <c r="N5815" s="370"/>
    </row>
    <row r="5816" spans="1:14" s="347" customFormat="1" x14ac:dyDescent="0.25">
      <c r="A5816" s="369"/>
      <c r="E5816" s="396"/>
      <c r="F5816" s="396"/>
      <c r="G5816" s="396"/>
      <c r="K5816" s="370"/>
      <c r="N5816" s="370"/>
    </row>
    <row r="5817" spans="1:14" s="347" customFormat="1" x14ac:dyDescent="0.25">
      <c r="A5817" s="350">
        <v>44531</v>
      </c>
      <c r="B5817" s="403">
        <f>+MONTH(A5817)</f>
        <v>12</v>
      </c>
      <c r="C5817" s="352">
        <v>115</v>
      </c>
      <c r="D5817" s="340" t="str">
        <f>VLOOKUP(C5817,Plan!A:B,2,0)</f>
        <v>Disponible Cali B.Chile</v>
      </c>
      <c r="E5817" s="341">
        <f>+F5817-G5817</f>
        <v>48000</v>
      </c>
      <c r="F5817" s="396">
        <v>48000</v>
      </c>
      <c r="G5817" s="396">
        <v>0</v>
      </c>
      <c r="H5817" t="s">
        <v>975</v>
      </c>
      <c r="I5817" s="355" t="s">
        <v>131</v>
      </c>
      <c r="K5817" s="370"/>
      <c r="N5817" s="370"/>
    </row>
    <row r="5818" spans="1:14" s="347" customFormat="1" x14ac:dyDescent="0.25">
      <c r="A5818" s="350">
        <f>+A5817</f>
        <v>44531</v>
      </c>
      <c r="B5818" s="403">
        <f>+MONTH(A5818)</f>
        <v>12</v>
      </c>
      <c r="C5818" s="352">
        <v>1217</v>
      </c>
      <c r="D5818" s="340" t="str">
        <f>VLOOKUP(C5818,Plan!A:B,2,0)</f>
        <v>Otros Valores -Oficina y Transferencias (248)</v>
      </c>
      <c r="E5818" s="341">
        <f>+F5818-G5818</f>
        <v>-48000</v>
      </c>
      <c r="F5818" s="396">
        <v>0</v>
      </c>
      <c r="G5818" s="396">
        <f>+F5817</f>
        <v>48000</v>
      </c>
      <c r="H5818" t="str">
        <f>+H5817</f>
        <v>Enrique José Manuel Ferrer/248</v>
      </c>
      <c r="I5818" s="355" t="s">
        <v>131</v>
      </c>
      <c r="K5818" s="370"/>
      <c r="N5818" s="370"/>
    </row>
    <row r="5819" spans="1:14" s="347" customFormat="1" x14ac:dyDescent="0.25">
      <c r="A5819" s="369"/>
      <c r="E5819" s="396"/>
      <c r="F5819" s="396"/>
      <c r="G5819" s="396"/>
      <c r="K5819" s="370"/>
      <c r="N5819" s="370"/>
    </row>
    <row r="5820" spans="1:14" s="347" customFormat="1" x14ac:dyDescent="0.25">
      <c r="A5820" s="350">
        <v>44531</v>
      </c>
      <c r="B5820" s="403">
        <f>+MONTH(A5820)</f>
        <v>12</v>
      </c>
      <c r="C5820" s="352">
        <v>115</v>
      </c>
      <c r="D5820" s="340" t="str">
        <f>VLOOKUP(C5820,Plan!A:B,2,0)</f>
        <v>Disponible Cali B.Chile</v>
      </c>
      <c r="E5820" s="341">
        <f>+F5820-G5820</f>
        <v>40000</v>
      </c>
      <c r="F5820" s="396">
        <v>40000</v>
      </c>
      <c r="G5820" s="396">
        <v>0</v>
      </c>
      <c r="H5820" t="s">
        <v>976</v>
      </c>
      <c r="I5820" s="355" t="s">
        <v>131</v>
      </c>
      <c r="K5820" s="370"/>
      <c r="N5820" s="370"/>
    </row>
    <row r="5821" spans="1:14" s="347" customFormat="1" x14ac:dyDescent="0.25">
      <c r="A5821" s="350">
        <f>+A5820</f>
        <v>44531</v>
      </c>
      <c r="B5821" s="403">
        <f>+MONTH(A5821)</f>
        <v>12</v>
      </c>
      <c r="C5821" s="352">
        <v>1222</v>
      </c>
      <c r="D5821" s="340" t="str">
        <f>VLOOKUP(C5821,Plan!A:B,2,0)</f>
        <v>Otros Valores -Oficina y Transferencias (249)</v>
      </c>
      <c r="E5821" s="341">
        <f>+F5821-G5821</f>
        <v>-40000</v>
      </c>
      <c r="F5821" s="396">
        <v>0</v>
      </c>
      <c r="G5821" s="396">
        <f>+F5820</f>
        <v>40000</v>
      </c>
      <c r="H5821" t="str">
        <f>+H5820</f>
        <v>Ricardo Cañas Cambiaso / 249</v>
      </c>
      <c r="I5821" s="355" t="s">
        <v>131</v>
      </c>
      <c r="K5821" s="370"/>
      <c r="N5821" s="370"/>
    </row>
    <row r="5822" spans="1:14" s="347" customFormat="1" x14ac:dyDescent="0.25">
      <c r="A5822" s="369"/>
      <c r="E5822" s="396"/>
      <c r="F5822" s="396"/>
      <c r="G5822" s="396"/>
      <c r="K5822" s="370"/>
      <c r="N5822" s="370"/>
    </row>
    <row r="5823" spans="1:14" s="347" customFormat="1" x14ac:dyDescent="0.25">
      <c r="A5823" s="350">
        <v>44531</v>
      </c>
      <c r="B5823" s="403">
        <f>+MONTH(A5823)</f>
        <v>12</v>
      </c>
      <c r="C5823" s="352">
        <v>115</v>
      </c>
      <c r="D5823" s="340" t="str">
        <f>VLOOKUP(C5823,Plan!A:B,2,0)</f>
        <v>Disponible Cali B.Chile</v>
      </c>
      <c r="E5823" s="341">
        <f>+F5823-G5823</f>
        <v>30000</v>
      </c>
      <c r="F5823" s="396">
        <v>30000</v>
      </c>
      <c r="G5823" s="396">
        <v>0</v>
      </c>
      <c r="H5823" t="s">
        <v>978</v>
      </c>
      <c r="I5823" s="355" t="s">
        <v>131</v>
      </c>
      <c r="K5823" s="370"/>
      <c r="N5823" s="370"/>
    </row>
    <row r="5824" spans="1:14" s="347" customFormat="1" x14ac:dyDescent="0.25">
      <c r="A5824" s="350">
        <f>+A5823</f>
        <v>44531</v>
      </c>
      <c r="B5824" s="403">
        <f>+MONTH(A5824)</f>
        <v>12</v>
      </c>
      <c r="C5824" s="352">
        <v>3210</v>
      </c>
      <c r="D5824" s="340" t="str">
        <f>VLOOKUP(C5824,Plan!A:B,2,0)</f>
        <v>Donacion Construccion</v>
      </c>
      <c r="E5824" s="341">
        <f>+F5824-G5824</f>
        <v>-30000</v>
      </c>
      <c r="F5824" s="396">
        <v>0</v>
      </c>
      <c r="G5824" s="396">
        <f>+F5823</f>
        <v>30000</v>
      </c>
      <c r="H5824" t="str">
        <f>+H5823</f>
        <v>Sergio Rodríguez Oro / Azul</v>
      </c>
      <c r="I5824" s="355" t="s">
        <v>131</v>
      </c>
      <c r="K5824" s="370"/>
      <c r="N5824" s="370"/>
    </row>
    <row r="5825" spans="1:14" s="347" customFormat="1" x14ac:dyDescent="0.25">
      <c r="A5825" s="369"/>
      <c r="E5825" s="396"/>
      <c r="F5825" s="396"/>
      <c r="G5825" s="396"/>
      <c r="K5825" s="370"/>
      <c r="N5825" s="370"/>
    </row>
    <row r="5826" spans="1:14" s="347" customFormat="1" x14ac:dyDescent="0.25">
      <c r="A5826" s="350">
        <v>44531</v>
      </c>
      <c r="B5826" s="403">
        <f>+MONTH(A5826)</f>
        <v>12</v>
      </c>
      <c r="C5826" s="352">
        <v>115</v>
      </c>
      <c r="D5826" s="340" t="str">
        <f>VLOOKUP(C5826,Plan!A:B,2,0)</f>
        <v>Disponible Cali B.Chile</v>
      </c>
      <c r="E5826" s="341">
        <f>+F5826-G5826</f>
        <v>40000</v>
      </c>
      <c r="F5826" s="396">
        <v>40000</v>
      </c>
      <c r="G5826" s="396">
        <v>0</v>
      </c>
      <c r="H5826" t="s">
        <v>1001</v>
      </c>
      <c r="I5826" s="355" t="s">
        <v>131</v>
      </c>
      <c r="K5826" s="370"/>
      <c r="N5826" s="370"/>
    </row>
    <row r="5827" spans="1:14" s="347" customFormat="1" x14ac:dyDescent="0.25">
      <c r="A5827" s="350">
        <f>+A5826</f>
        <v>44531</v>
      </c>
      <c r="B5827" s="403">
        <f>+MONTH(A5827)</f>
        <v>12</v>
      </c>
      <c r="C5827" s="352">
        <v>3210</v>
      </c>
      <c r="D5827" s="340" t="str">
        <f>VLOOKUP(C5827,Plan!A:B,2,0)</f>
        <v>Donacion Construccion</v>
      </c>
      <c r="E5827" s="341">
        <f>+F5827-G5827</f>
        <v>-40000</v>
      </c>
      <c r="F5827" s="396">
        <v>0</v>
      </c>
      <c r="G5827" s="396">
        <f>+F5826</f>
        <v>40000</v>
      </c>
      <c r="H5827" t="str">
        <f>+H5826</f>
        <v>Karina Rabino de Alonso /Azul</v>
      </c>
      <c r="I5827" s="355" t="s">
        <v>131</v>
      </c>
      <c r="K5827" s="370"/>
      <c r="N5827" s="370"/>
    </row>
    <row r="5828" spans="1:14" s="347" customFormat="1" x14ac:dyDescent="0.25">
      <c r="A5828" s="369"/>
      <c r="E5828" s="396"/>
      <c r="F5828" s="396"/>
      <c r="G5828" s="396"/>
      <c r="K5828" s="370"/>
      <c r="N5828" s="370"/>
    </row>
    <row r="5829" spans="1:14" s="347" customFormat="1" x14ac:dyDescent="0.25">
      <c r="A5829" s="350">
        <v>44531</v>
      </c>
      <c r="B5829" s="403">
        <f>+MONTH(A5829)</f>
        <v>12</v>
      </c>
      <c r="C5829" s="352">
        <v>115</v>
      </c>
      <c r="D5829" s="340" t="str">
        <f>VLOOKUP(C5829,Plan!A:B,2,0)</f>
        <v>Disponible Cali B.Chile</v>
      </c>
      <c r="E5829" s="341">
        <f>+F5829-G5829</f>
        <v>15000</v>
      </c>
      <c r="F5829" s="396">
        <v>15000</v>
      </c>
      <c r="G5829" s="396">
        <v>0</v>
      </c>
      <c r="H5829" t="s">
        <v>1716</v>
      </c>
      <c r="I5829" s="355" t="s">
        <v>131</v>
      </c>
      <c r="K5829" s="370"/>
      <c r="N5829" s="370"/>
    </row>
    <row r="5830" spans="1:14" s="347" customFormat="1" x14ac:dyDescent="0.25">
      <c r="A5830" s="350">
        <f>+A5829</f>
        <v>44531</v>
      </c>
      <c r="B5830" s="403">
        <f>+MONTH(A5830)</f>
        <v>12</v>
      </c>
      <c r="C5830" s="352">
        <v>1222</v>
      </c>
      <c r="D5830" s="340" t="str">
        <f>VLOOKUP(C5830,Plan!A:B,2,0)</f>
        <v>Otros Valores -Oficina y Transferencias (249)</v>
      </c>
      <c r="E5830" s="341">
        <f>+F5830-G5830</f>
        <v>-15000</v>
      </c>
      <c r="F5830" s="396">
        <v>0</v>
      </c>
      <c r="G5830" s="396">
        <f>+F5829</f>
        <v>15000</v>
      </c>
      <c r="H5830" t="str">
        <f>+H5829</f>
        <v>María Carolina Marín Montes / 249</v>
      </c>
      <c r="I5830" s="355" t="s">
        <v>131</v>
      </c>
      <c r="K5830" s="370"/>
      <c r="N5830" s="370"/>
    </row>
    <row r="5831" spans="1:14" s="347" customFormat="1" x14ac:dyDescent="0.25">
      <c r="A5831" s="369"/>
      <c r="E5831" s="396"/>
      <c r="F5831" s="396"/>
      <c r="G5831" s="396"/>
      <c r="K5831" s="370"/>
      <c r="N5831" s="370"/>
    </row>
    <row r="5832" spans="1:14" s="347" customFormat="1" x14ac:dyDescent="0.25">
      <c r="A5832" s="350">
        <v>44531</v>
      </c>
      <c r="B5832" s="403">
        <f>+MONTH(A5832)</f>
        <v>12</v>
      </c>
      <c r="C5832" s="352">
        <v>115</v>
      </c>
      <c r="D5832" s="340" t="str">
        <f>VLOOKUP(C5832,Plan!A:B,2,0)</f>
        <v>Disponible Cali B.Chile</v>
      </c>
      <c r="E5832" s="341">
        <f>+F5832-G5832</f>
        <v>100000</v>
      </c>
      <c r="F5832" s="396">
        <v>100000</v>
      </c>
      <c r="G5832" s="396">
        <v>0</v>
      </c>
      <c r="H5832" t="s">
        <v>2366</v>
      </c>
      <c r="I5832" s="355" t="s">
        <v>131</v>
      </c>
      <c r="K5832" s="370"/>
      <c r="N5832" s="370"/>
    </row>
    <row r="5833" spans="1:14" s="347" customFormat="1" x14ac:dyDescent="0.25">
      <c r="A5833" s="350">
        <f>+A5832</f>
        <v>44531</v>
      </c>
      <c r="B5833" s="403">
        <f>+MONTH(A5833)</f>
        <v>12</v>
      </c>
      <c r="C5833" s="352">
        <v>1222</v>
      </c>
      <c r="D5833" s="340" t="str">
        <f>VLOOKUP(C5833,Plan!A:B,2,0)</f>
        <v>Otros Valores -Oficina y Transferencias (249)</v>
      </c>
      <c r="E5833" s="341">
        <f>+F5833-G5833</f>
        <v>-100000</v>
      </c>
      <c r="F5833" s="396">
        <v>0</v>
      </c>
      <c r="G5833" s="396">
        <f>+F5832</f>
        <v>100000</v>
      </c>
      <c r="H5833" t="str">
        <f>+H5832</f>
        <v xml:space="preserve">Alessandro Bizzarri Carvallo /249 </v>
      </c>
      <c r="I5833" s="355" t="s">
        <v>131</v>
      </c>
      <c r="K5833" s="370"/>
      <c r="N5833" s="370"/>
    </row>
    <row r="5834" spans="1:14" s="347" customFormat="1" x14ac:dyDescent="0.25">
      <c r="A5834" s="369"/>
      <c r="E5834" s="396"/>
      <c r="F5834" s="396"/>
      <c r="G5834" s="396"/>
      <c r="K5834" s="370"/>
      <c r="N5834" s="370"/>
    </row>
    <row r="5835" spans="1:14" s="347" customFormat="1" x14ac:dyDescent="0.25">
      <c r="A5835" s="350">
        <v>44531</v>
      </c>
      <c r="B5835" s="403">
        <f>+MONTH(A5835)</f>
        <v>12</v>
      </c>
      <c r="C5835" s="352">
        <v>115</v>
      </c>
      <c r="D5835" s="340" t="str">
        <f>VLOOKUP(C5835,Plan!A:B,2,0)</f>
        <v>Disponible Cali B.Chile</v>
      </c>
      <c r="E5835" s="341">
        <f>+F5835-G5835</f>
        <v>20000</v>
      </c>
      <c r="F5835" s="396">
        <v>20000</v>
      </c>
      <c r="G5835" s="396">
        <v>0</v>
      </c>
      <c r="H5835" t="s">
        <v>548</v>
      </c>
      <c r="I5835" s="355" t="s">
        <v>131</v>
      </c>
      <c r="K5835" s="370"/>
      <c r="N5835" s="370"/>
    </row>
    <row r="5836" spans="1:14" s="347" customFormat="1" x14ac:dyDescent="0.25">
      <c r="A5836" s="350">
        <f>+A5835</f>
        <v>44531</v>
      </c>
      <c r="B5836" s="403">
        <f>+MONTH(A5836)</f>
        <v>12</v>
      </c>
      <c r="C5836" s="352">
        <v>1222</v>
      </c>
      <c r="D5836" s="340" t="str">
        <f>VLOOKUP(C5836,Plan!A:B,2,0)</f>
        <v>Otros Valores -Oficina y Transferencias (249)</v>
      </c>
      <c r="E5836" s="341">
        <f>+F5836-G5836</f>
        <v>-20000</v>
      </c>
      <c r="F5836" s="396">
        <v>0</v>
      </c>
      <c r="G5836" s="396">
        <f>+F5835</f>
        <v>20000</v>
      </c>
      <c r="H5836" t="str">
        <f>+H5835</f>
        <v>Josefina Claude / 249</v>
      </c>
      <c r="I5836" s="355" t="s">
        <v>131</v>
      </c>
      <c r="K5836" s="370"/>
      <c r="N5836" s="370"/>
    </row>
    <row r="5837" spans="1:14" s="347" customFormat="1" x14ac:dyDescent="0.25">
      <c r="A5837" s="369"/>
      <c r="E5837" s="396"/>
      <c r="F5837" s="396"/>
      <c r="G5837" s="396"/>
      <c r="K5837" s="370"/>
      <c r="N5837" s="370"/>
    </row>
    <row r="5838" spans="1:14" s="347" customFormat="1" x14ac:dyDescent="0.25">
      <c r="A5838" s="350">
        <v>44531</v>
      </c>
      <c r="B5838" s="403">
        <f>+MONTH(A5838)</f>
        <v>12</v>
      </c>
      <c r="C5838" s="352">
        <v>115</v>
      </c>
      <c r="D5838" s="340" t="str">
        <f>VLOOKUP(C5838,Plan!A:B,2,0)</f>
        <v>Disponible Cali B.Chile</v>
      </c>
      <c r="E5838" s="341">
        <f>+F5838-G5838</f>
        <v>50000</v>
      </c>
      <c r="F5838" s="396">
        <v>50000</v>
      </c>
      <c r="G5838" s="396">
        <v>0</v>
      </c>
      <c r="H5838" t="s">
        <v>547</v>
      </c>
      <c r="I5838" s="355" t="s">
        <v>131</v>
      </c>
      <c r="K5838" s="370"/>
      <c r="N5838" s="370"/>
    </row>
    <row r="5839" spans="1:14" s="347" customFormat="1" x14ac:dyDescent="0.25">
      <c r="A5839" s="350">
        <f>+A5838</f>
        <v>44531</v>
      </c>
      <c r="B5839" s="403">
        <f>+MONTH(A5839)</f>
        <v>12</v>
      </c>
      <c r="C5839" s="352">
        <v>1222</v>
      </c>
      <c r="D5839" s="340" t="str">
        <f>VLOOKUP(C5839,Plan!A:B,2,0)</f>
        <v>Otros Valores -Oficina y Transferencias (249)</v>
      </c>
      <c r="E5839" s="341">
        <f>+F5839-G5839</f>
        <v>-50000</v>
      </c>
      <c r="F5839" s="396">
        <v>0</v>
      </c>
      <c r="G5839" s="396">
        <f>+F5838</f>
        <v>50000</v>
      </c>
      <c r="H5839" t="str">
        <f>+H5838</f>
        <v>Jorge Claude / 249</v>
      </c>
      <c r="I5839" s="355" t="s">
        <v>131</v>
      </c>
      <c r="K5839" s="370"/>
      <c r="N5839" s="370"/>
    </row>
    <row r="5840" spans="1:14" s="347" customFormat="1" x14ac:dyDescent="0.25">
      <c r="A5840" s="369"/>
      <c r="E5840" s="396"/>
      <c r="F5840" s="396"/>
      <c r="G5840" s="396"/>
      <c r="K5840" s="370"/>
      <c r="N5840" s="370"/>
    </row>
    <row r="5841" spans="1:14" s="347" customFormat="1" x14ac:dyDescent="0.25">
      <c r="A5841" s="350">
        <v>44531</v>
      </c>
      <c r="B5841" s="403">
        <f>+MONTH(A5841)</f>
        <v>12</v>
      </c>
      <c r="C5841" s="352">
        <v>115</v>
      </c>
      <c r="D5841" s="340" t="str">
        <f>VLOOKUP(C5841,Plan!A:B,2,0)</f>
        <v>Disponible Cali B.Chile</v>
      </c>
      <c r="E5841" s="341">
        <f>+F5841-G5841</f>
        <v>15000</v>
      </c>
      <c r="F5841" s="396">
        <v>15000</v>
      </c>
      <c r="G5841" s="396">
        <v>0</v>
      </c>
      <c r="H5841" t="s">
        <v>979</v>
      </c>
      <c r="I5841" s="355" t="s">
        <v>131</v>
      </c>
      <c r="K5841" s="370"/>
      <c r="N5841" s="370"/>
    </row>
    <row r="5842" spans="1:14" s="347" customFormat="1" x14ac:dyDescent="0.25">
      <c r="A5842" s="350">
        <f>+A5841</f>
        <v>44531</v>
      </c>
      <c r="B5842" s="403">
        <f>+MONTH(A5842)</f>
        <v>12</v>
      </c>
      <c r="C5842" s="352">
        <v>1222</v>
      </c>
      <c r="D5842" s="340" t="str">
        <f>VLOOKUP(C5842,Plan!A:B,2,0)</f>
        <v>Otros Valores -Oficina y Transferencias (249)</v>
      </c>
      <c r="E5842" s="341">
        <f>+F5842-G5842</f>
        <v>-15000</v>
      </c>
      <c r="F5842" s="396">
        <v>0</v>
      </c>
      <c r="G5842" s="396">
        <f>+F5841</f>
        <v>15000</v>
      </c>
      <c r="H5842" t="str">
        <f>+H5841</f>
        <v>María Paulina Grez / 249</v>
      </c>
      <c r="I5842" s="355" t="s">
        <v>131</v>
      </c>
      <c r="K5842" s="370"/>
      <c r="N5842" s="370"/>
    </row>
    <row r="5843" spans="1:14" s="347" customFormat="1" x14ac:dyDescent="0.25">
      <c r="A5843" s="369"/>
      <c r="E5843" s="396"/>
      <c r="F5843" s="396"/>
      <c r="G5843" s="396"/>
      <c r="K5843" s="370"/>
      <c r="N5843" s="370"/>
    </row>
    <row r="5844" spans="1:14" s="347" customFormat="1" x14ac:dyDescent="0.25">
      <c r="A5844" s="350">
        <v>44531</v>
      </c>
      <c r="B5844" s="403">
        <f>+MONTH(A5844)</f>
        <v>12</v>
      </c>
      <c r="C5844" s="352">
        <v>115</v>
      </c>
      <c r="D5844" s="340" t="str">
        <f>VLOOKUP(C5844,Plan!A:B,2,0)</f>
        <v>Disponible Cali B.Chile</v>
      </c>
      <c r="E5844" s="341">
        <f>+F5844-G5844</f>
        <v>70000</v>
      </c>
      <c r="F5844" s="396">
        <v>70000</v>
      </c>
      <c r="G5844" s="396">
        <v>0</v>
      </c>
      <c r="H5844" t="s">
        <v>1991</v>
      </c>
      <c r="I5844" s="355" t="s">
        <v>131</v>
      </c>
      <c r="K5844" s="370"/>
      <c r="N5844" s="370"/>
    </row>
    <row r="5845" spans="1:14" s="347" customFormat="1" x14ac:dyDescent="0.25">
      <c r="A5845" s="350">
        <f>+A5844</f>
        <v>44531</v>
      </c>
      <c r="B5845" s="403">
        <f>+MONTH(A5845)</f>
        <v>12</v>
      </c>
      <c r="C5845" s="352">
        <v>3210</v>
      </c>
      <c r="D5845" s="340" t="str">
        <f>VLOOKUP(C5845,Plan!A:B,2,0)</f>
        <v>Donacion Construccion</v>
      </c>
      <c r="E5845" s="341">
        <f>+F5845-G5845</f>
        <v>-70000</v>
      </c>
      <c r="F5845" s="396">
        <v>0</v>
      </c>
      <c r="G5845" s="396">
        <f>+F5844</f>
        <v>70000</v>
      </c>
      <c r="H5845" t="str">
        <f>+H5844</f>
        <v>Juan Pablo Munita Morgan / Azul</v>
      </c>
      <c r="I5845" s="355" t="s">
        <v>131</v>
      </c>
      <c r="K5845" s="370"/>
      <c r="N5845" s="370"/>
    </row>
    <row r="5846" spans="1:14" s="347" customFormat="1" x14ac:dyDescent="0.25">
      <c r="A5846" s="369"/>
      <c r="E5846" s="396"/>
      <c r="F5846" s="396"/>
      <c r="G5846" s="396"/>
      <c r="K5846" s="370"/>
      <c r="N5846" s="370"/>
    </row>
    <row r="5847" spans="1:14" s="347" customFormat="1" x14ac:dyDescent="0.25">
      <c r="A5847" s="350">
        <v>44531</v>
      </c>
      <c r="B5847" s="403">
        <f>+MONTH(A5847)</f>
        <v>12</v>
      </c>
      <c r="C5847" s="352">
        <v>115</v>
      </c>
      <c r="D5847" s="340" t="str">
        <f>VLOOKUP(C5847,Plan!A:B,2,0)</f>
        <v>Disponible Cali B.Chile</v>
      </c>
      <c r="E5847" s="341">
        <f>+F5847-G5847</f>
        <v>67759</v>
      </c>
      <c r="F5847" s="396">
        <v>67759</v>
      </c>
      <c r="G5847" s="396">
        <v>0</v>
      </c>
      <c r="H5847" t="s">
        <v>2367</v>
      </c>
      <c r="I5847" s="355" t="s">
        <v>131</v>
      </c>
      <c r="K5847" s="370"/>
      <c r="N5847" s="370"/>
    </row>
    <row r="5848" spans="1:14" s="347" customFormat="1" x14ac:dyDescent="0.25">
      <c r="A5848" s="350">
        <f>+A5847</f>
        <v>44531</v>
      </c>
      <c r="B5848" s="403">
        <f>+MONTH(A5848)</f>
        <v>12</v>
      </c>
      <c r="C5848" s="352">
        <v>1222</v>
      </c>
      <c r="D5848" s="340" t="str">
        <f>VLOOKUP(C5848,Plan!A:B,2,0)</f>
        <v>Otros Valores -Oficina y Transferencias (249)</v>
      </c>
      <c r="E5848" s="341">
        <f>+F5848-G5848</f>
        <v>-70000</v>
      </c>
      <c r="F5848" s="396">
        <v>0</v>
      </c>
      <c r="G5848" s="396">
        <v>70000</v>
      </c>
      <c r="H5848" t="str">
        <f>+H5847</f>
        <v>José Francisco Vargas Serrano/249 D.C.T.(M$70)15376972-9</v>
      </c>
      <c r="I5848" s="355" t="s">
        <v>131</v>
      </c>
      <c r="K5848" s="370"/>
      <c r="N5848" s="370"/>
    </row>
    <row r="5849" spans="1:14" s="347" customFormat="1" x14ac:dyDescent="0.25">
      <c r="A5849" s="350">
        <f>+A5848</f>
        <v>44531</v>
      </c>
      <c r="B5849" s="403">
        <f>+MONTH(A5849)</f>
        <v>12</v>
      </c>
      <c r="C5849" s="352">
        <v>4170</v>
      </c>
      <c r="D5849" s="340" t="str">
        <f>VLOOKUP(C5849,Plan!A:B,2,0)</f>
        <v>Cali otros</v>
      </c>
      <c r="E5849" s="341">
        <f>+F5849-G5849</f>
        <v>2241</v>
      </c>
      <c r="F5849" s="396">
        <v>2241</v>
      </c>
      <c r="G5849" s="396">
        <f>+F5848</f>
        <v>0</v>
      </c>
      <c r="H5849" t="str">
        <f>+H5848</f>
        <v>José Francisco Vargas Serrano/249 D.C.T.(M$70)15376972-9</v>
      </c>
      <c r="I5849" s="355" t="s">
        <v>131</v>
      </c>
      <c r="K5849" s="370"/>
      <c r="N5849" s="370"/>
    </row>
    <row r="5850" spans="1:14" s="347" customFormat="1" x14ac:dyDescent="0.25">
      <c r="A5850" s="369"/>
      <c r="E5850" s="396"/>
      <c r="F5850" s="396"/>
      <c r="G5850" s="396"/>
      <c r="K5850" s="370"/>
      <c r="N5850" s="370"/>
    </row>
    <row r="5851" spans="1:14" s="347" customFormat="1" x14ac:dyDescent="0.25">
      <c r="A5851" s="350">
        <v>44531</v>
      </c>
      <c r="B5851" s="403">
        <f>+MONTH(A5851)</f>
        <v>12</v>
      </c>
      <c r="C5851" s="352">
        <v>115</v>
      </c>
      <c r="D5851" s="340" t="str">
        <f>VLOOKUP(C5851,Plan!A:B,2,0)</f>
        <v>Disponible Cali B.Chile</v>
      </c>
      <c r="E5851" s="341">
        <f>+F5851-G5851</f>
        <v>160000</v>
      </c>
      <c r="F5851" s="396">
        <v>160000</v>
      </c>
      <c r="G5851" s="396">
        <v>0</v>
      </c>
      <c r="H5851" t="s">
        <v>797</v>
      </c>
      <c r="I5851" s="355" t="s">
        <v>131</v>
      </c>
      <c r="K5851" s="370"/>
      <c r="N5851" s="370"/>
    </row>
    <row r="5852" spans="1:14" s="347" customFormat="1" x14ac:dyDescent="0.25">
      <c r="A5852" s="350">
        <f>+A5851</f>
        <v>44531</v>
      </c>
      <c r="B5852" s="403">
        <f>+MONTH(A5852)</f>
        <v>12</v>
      </c>
      <c r="C5852" s="352">
        <v>1217</v>
      </c>
      <c r="D5852" s="340" t="str">
        <f>VLOOKUP(C5852,Plan!A:B,2,0)</f>
        <v>Otros Valores -Oficina y Transferencias (248)</v>
      </c>
      <c r="E5852" s="341">
        <f>+F5852-G5852</f>
        <v>-160000</v>
      </c>
      <c r="F5852" s="396">
        <v>0</v>
      </c>
      <c r="G5852" s="396">
        <f>+F5851</f>
        <v>160000</v>
      </c>
      <c r="H5852" t="str">
        <f>+H5851</f>
        <v>R. Casas del Valle / 248</v>
      </c>
      <c r="I5852" s="355" t="s">
        <v>131</v>
      </c>
      <c r="K5852" s="370"/>
      <c r="N5852" s="370"/>
    </row>
    <row r="5853" spans="1:14" s="347" customFormat="1" x14ac:dyDescent="0.25">
      <c r="A5853" s="369"/>
      <c r="E5853" s="396"/>
      <c r="F5853" s="396"/>
      <c r="G5853" s="396"/>
      <c r="K5853" s="370"/>
      <c r="N5853" s="370"/>
    </row>
    <row r="5854" spans="1:14" s="347" customFormat="1" x14ac:dyDescent="0.25">
      <c r="A5854" s="350">
        <v>44531</v>
      </c>
      <c r="B5854" s="403">
        <f>+MONTH(A5854)</f>
        <v>12</v>
      </c>
      <c r="C5854" s="352">
        <v>115</v>
      </c>
      <c r="D5854" s="340" t="str">
        <f>VLOOKUP(C5854,Plan!A:B,2,0)</f>
        <v>Disponible Cali B.Chile</v>
      </c>
      <c r="E5854" s="341">
        <f>+F5854-G5854</f>
        <v>50000</v>
      </c>
      <c r="F5854" s="396">
        <v>50000</v>
      </c>
      <c r="G5854" s="396">
        <v>0</v>
      </c>
      <c r="H5854" t="s">
        <v>2324</v>
      </c>
      <c r="I5854" s="355" t="s">
        <v>131</v>
      </c>
      <c r="K5854" s="370"/>
      <c r="N5854" s="370"/>
    </row>
    <row r="5855" spans="1:14" s="347" customFormat="1" x14ac:dyDescent="0.25">
      <c r="A5855" s="350">
        <f>+A5854</f>
        <v>44531</v>
      </c>
      <c r="B5855" s="403">
        <f>+MONTH(A5855)</f>
        <v>12</v>
      </c>
      <c r="C5855" s="352">
        <v>3210</v>
      </c>
      <c r="D5855" s="340" t="str">
        <f>VLOOKUP(C5855,Plan!A:B,2,0)</f>
        <v>Donacion Construccion</v>
      </c>
      <c r="E5855" s="341">
        <f>+F5855-G5855</f>
        <v>-50000</v>
      </c>
      <c r="F5855" s="396">
        <v>0</v>
      </c>
      <c r="G5855" s="396">
        <f>+F5854</f>
        <v>50000</v>
      </c>
      <c r="H5855" t="str">
        <f>+H5854</f>
        <v>Andrés Munita Izquierdo / Azul</v>
      </c>
      <c r="I5855" s="355" t="s">
        <v>131</v>
      </c>
      <c r="K5855" s="370"/>
      <c r="N5855" s="370"/>
    </row>
    <row r="5856" spans="1:14" s="347" customFormat="1" x14ac:dyDescent="0.25">
      <c r="A5856" s="369"/>
      <c r="E5856" s="396"/>
      <c r="F5856" s="396"/>
      <c r="G5856" s="396"/>
      <c r="K5856" s="370"/>
      <c r="N5856" s="370"/>
    </row>
    <row r="5857" spans="1:14" s="347" customFormat="1" x14ac:dyDescent="0.25">
      <c r="A5857" s="350">
        <v>44531</v>
      </c>
      <c r="B5857" s="403">
        <f>+MONTH(A5857)</f>
        <v>12</v>
      </c>
      <c r="C5857" s="352">
        <v>115</v>
      </c>
      <c r="D5857" s="340" t="str">
        <f>VLOOKUP(C5857,Plan!A:B,2,0)</f>
        <v>Disponible Cali B.Chile</v>
      </c>
      <c r="E5857" s="341">
        <f>+F5857-G5857</f>
        <v>30000</v>
      </c>
      <c r="F5857" s="396">
        <v>30000</v>
      </c>
      <c r="G5857" s="396">
        <v>0</v>
      </c>
      <c r="H5857" t="s">
        <v>1669</v>
      </c>
      <c r="I5857" s="355" t="s">
        <v>131</v>
      </c>
      <c r="K5857" s="370"/>
      <c r="N5857" s="370"/>
    </row>
    <row r="5858" spans="1:14" s="347" customFormat="1" x14ac:dyDescent="0.25">
      <c r="A5858" s="350">
        <f>+A5857</f>
        <v>44531</v>
      </c>
      <c r="B5858" s="403">
        <f>+MONTH(A5858)</f>
        <v>12</v>
      </c>
      <c r="C5858" s="352">
        <v>1222</v>
      </c>
      <c r="D5858" s="340" t="str">
        <f>VLOOKUP(C5858,Plan!A:B,2,0)</f>
        <v>Otros Valores -Oficina y Transferencias (249)</v>
      </c>
      <c r="E5858" s="341">
        <f>+F5858-G5858</f>
        <v>-30000</v>
      </c>
      <c r="F5858" s="396">
        <v>0</v>
      </c>
      <c r="G5858" s="396">
        <f>+F5857</f>
        <v>30000</v>
      </c>
      <c r="H5858" t="str">
        <f>+H5857</f>
        <v>Carlos Enrique Blanco Plummer / 249</v>
      </c>
      <c r="I5858" s="355" t="s">
        <v>131</v>
      </c>
      <c r="K5858" s="370"/>
      <c r="N5858" s="370"/>
    </row>
    <row r="5859" spans="1:14" s="347" customFormat="1" x14ac:dyDescent="0.25">
      <c r="A5859" s="369"/>
      <c r="E5859" s="396"/>
      <c r="F5859" s="396"/>
      <c r="G5859" s="396"/>
      <c r="K5859" s="370"/>
      <c r="N5859" s="370"/>
    </row>
    <row r="5860" spans="1:14" s="347" customFormat="1" x14ac:dyDescent="0.25">
      <c r="A5860" s="350">
        <v>44531</v>
      </c>
      <c r="B5860" s="403">
        <f>+MONTH(A5860)</f>
        <v>12</v>
      </c>
      <c r="C5860" s="352">
        <v>115</v>
      </c>
      <c r="D5860" s="340" t="str">
        <f>VLOOKUP(C5860,Plan!A:B,2,0)</f>
        <v>Disponible Cali B.Chile</v>
      </c>
      <c r="E5860" s="341">
        <f>+F5860-G5860</f>
        <v>250000</v>
      </c>
      <c r="F5860" s="396">
        <v>250000</v>
      </c>
      <c r="G5860" s="396">
        <v>0</v>
      </c>
      <c r="H5860" t="s">
        <v>2538</v>
      </c>
      <c r="I5860" s="355" t="s">
        <v>131</v>
      </c>
      <c r="K5860" s="370"/>
      <c r="N5860" s="370" t="s">
        <v>2368</v>
      </c>
    </row>
    <row r="5861" spans="1:14" s="347" customFormat="1" x14ac:dyDescent="0.25">
      <c r="A5861" s="350">
        <f>+A5860</f>
        <v>44531</v>
      </c>
      <c r="B5861" s="403">
        <f>+MONTH(A5861)</f>
        <v>12</v>
      </c>
      <c r="C5861" s="352">
        <v>233</v>
      </c>
      <c r="D5861" s="340" t="str">
        <f>VLOOKUP(C5861,Plan!A:B,2,0)</f>
        <v>Otras Provisiones (Proyecto Especificos)</v>
      </c>
      <c r="E5861" s="341">
        <f>+F5861-G5861</f>
        <v>-250000</v>
      </c>
      <c r="F5861" s="396">
        <v>0</v>
      </c>
      <c r="G5861" s="396">
        <f>+F5860</f>
        <v>250000</v>
      </c>
      <c r="H5861" t="str">
        <f>+H5860</f>
        <v>San Jóse, Tomas Alcalde</v>
      </c>
      <c r="I5861" s="355" t="s">
        <v>131</v>
      </c>
      <c r="K5861" s="370"/>
      <c r="N5861" s="370" t="s">
        <v>2368</v>
      </c>
    </row>
    <row r="5862" spans="1:14" s="347" customFormat="1" x14ac:dyDescent="0.25">
      <c r="A5862" s="369"/>
      <c r="E5862" s="396"/>
      <c r="F5862" s="396"/>
      <c r="G5862" s="396"/>
      <c r="K5862" s="370"/>
      <c r="N5862" s="370"/>
    </row>
    <row r="5863" spans="1:14" s="347" customFormat="1" x14ac:dyDescent="0.25">
      <c r="A5863" s="350">
        <v>44531</v>
      </c>
      <c r="B5863" s="403">
        <f>+MONTH(A5863)</f>
        <v>12</v>
      </c>
      <c r="C5863" s="352">
        <v>115</v>
      </c>
      <c r="D5863" s="340" t="str">
        <f>VLOOKUP(C5863,Plan!A:B,2,0)</f>
        <v>Disponible Cali B.Chile</v>
      </c>
      <c r="E5863" s="341">
        <f>+F5863-G5863</f>
        <v>25000</v>
      </c>
      <c r="F5863" s="396">
        <v>25000</v>
      </c>
      <c r="G5863" s="396">
        <v>0</v>
      </c>
      <c r="H5863" t="s">
        <v>1687</v>
      </c>
      <c r="I5863" s="355" t="s">
        <v>131</v>
      </c>
      <c r="K5863" s="370"/>
      <c r="N5863" s="370"/>
    </row>
    <row r="5864" spans="1:14" s="347" customFormat="1" x14ac:dyDescent="0.25">
      <c r="A5864" s="350">
        <f>+A5863</f>
        <v>44531</v>
      </c>
      <c r="B5864" s="403">
        <f>+MONTH(A5864)</f>
        <v>12</v>
      </c>
      <c r="C5864" s="352">
        <v>1130</v>
      </c>
      <c r="D5864" s="340" t="str">
        <f>VLOOKUP(C5864,Plan!A:B,2,0)</f>
        <v>Disponible Ch. Fecha</v>
      </c>
      <c r="E5864" s="341">
        <f>+F5864-G5864</f>
        <v>-25000</v>
      </c>
      <c r="F5864" s="396">
        <v>0</v>
      </c>
      <c r="G5864" s="396">
        <f>+F5863</f>
        <v>25000</v>
      </c>
      <c r="H5864" t="str">
        <f>+H5863</f>
        <v>Recaudadora</v>
      </c>
      <c r="I5864" s="355" t="s">
        <v>131</v>
      </c>
      <c r="K5864" s="370"/>
      <c r="N5864" s="370"/>
    </row>
    <row r="5865" spans="1:14" s="347" customFormat="1" x14ac:dyDescent="0.25">
      <c r="A5865" s="369"/>
      <c r="E5865" s="396"/>
      <c r="F5865" s="396"/>
      <c r="G5865" s="396"/>
      <c r="K5865" s="370"/>
      <c r="N5865" s="370"/>
    </row>
    <row r="5866" spans="1:14" s="347" customFormat="1" x14ac:dyDescent="0.25">
      <c r="A5866" s="350">
        <v>44532</v>
      </c>
      <c r="B5866" s="403">
        <f>+MONTH(A5866)</f>
        <v>12</v>
      </c>
      <c r="C5866" s="352">
        <v>115</v>
      </c>
      <c r="D5866" s="340" t="str">
        <f>VLOOKUP(C5866,Plan!A:B,2,0)</f>
        <v>Disponible Cali B.Chile</v>
      </c>
      <c r="E5866" s="341">
        <f>+F5866-G5866</f>
        <v>500000</v>
      </c>
      <c r="F5866" s="396">
        <v>500000</v>
      </c>
      <c r="G5866" s="396">
        <v>0</v>
      </c>
      <c r="H5866" t="s">
        <v>2170</v>
      </c>
      <c r="I5866" s="355" t="s">
        <v>131</v>
      </c>
      <c r="K5866" s="370"/>
      <c r="N5866" s="370"/>
    </row>
    <row r="5867" spans="1:14" s="347" customFormat="1" x14ac:dyDescent="0.25">
      <c r="A5867" s="350">
        <f>+A5866</f>
        <v>44532</v>
      </c>
      <c r="B5867" s="403">
        <f>+MONTH(A5867)</f>
        <v>12</v>
      </c>
      <c r="C5867" s="352">
        <v>3210</v>
      </c>
      <c r="D5867" s="340" t="str">
        <f>VLOOKUP(C5867,Plan!A:B,2,0)</f>
        <v>Donacion Construccion</v>
      </c>
      <c r="E5867" s="341">
        <f>+F5867-G5867</f>
        <v>-500000</v>
      </c>
      <c r="F5867" s="396">
        <v>0</v>
      </c>
      <c r="G5867" s="396">
        <f>+F5866</f>
        <v>500000</v>
      </c>
      <c r="H5867" t="str">
        <f>+H5866</f>
        <v>Pablo Antonio Medina Herrera / Azul</v>
      </c>
      <c r="I5867" s="355" t="s">
        <v>131</v>
      </c>
      <c r="K5867" s="370"/>
      <c r="N5867" s="370"/>
    </row>
    <row r="5868" spans="1:14" s="347" customFormat="1" x14ac:dyDescent="0.25">
      <c r="K5868" s="370"/>
      <c r="N5868" s="370"/>
    </row>
    <row r="5869" spans="1:14" s="347" customFormat="1" x14ac:dyDescent="0.25">
      <c r="A5869" s="350">
        <v>44532</v>
      </c>
      <c r="B5869" s="403">
        <f>+MONTH(A5869)</f>
        <v>12</v>
      </c>
      <c r="C5869" s="352">
        <v>115</v>
      </c>
      <c r="D5869" s="340" t="str">
        <f>VLOOKUP(C5869,Plan!A:B,2,0)</f>
        <v>Disponible Cali B.Chile</v>
      </c>
      <c r="E5869" s="341">
        <f>+F5869-G5869</f>
        <v>15000</v>
      </c>
      <c r="F5869" s="396">
        <v>15000</v>
      </c>
      <c r="G5869" s="396">
        <v>0</v>
      </c>
      <c r="H5869" t="s">
        <v>1756</v>
      </c>
      <c r="I5869" s="355" t="s">
        <v>131</v>
      </c>
      <c r="K5869" s="370"/>
      <c r="N5869" s="370"/>
    </row>
    <row r="5870" spans="1:14" s="347" customFormat="1" x14ac:dyDescent="0.25">
      <c r="A5870" s="350">
        <f>+A5869</f>
        <v>44532</v>
      </c>
      <c r="B5870" s="403">
        <f>+MONTH(A5870)</f>
        <v>12</v>
      </c>
      <c r="C5870" s="352">
        <v>1222</v>
      </c>
      <c r="D5870" s="340" t="str">
        <f>VLOOKUP(C5870,Plan!A:B,2,0)</f>
        <v>Otros Valores -Oficina y Transferencias (249)</v>
      </c>
      <c r="E5870" s="341">
        <f>+F5870-G5870</f>
        <v>-15000</v>
      </c>
      <c r="F5870" s="396">
        <v>0</v>
      </c>
      <c r="G5870" s="396">
        <f>+F5869</f>
        <v>15000</v>
      </c>
      <c r="H5870" t="str">
        <f>+H5869</f>
        <v>María José Valdés Valdés / 249</v>
      </c>
      <c r="I5870" s="355" t="s">
        <v>131</v>
      </c>
      <c r="K5870" s="370"/>
      <c r="N5870" s="370"/>
    </row>
    <row r="5871" spans="1:14" s="347" customFormat="1" x14ac:dyDescent="0.25">
      <c r="A5871" s="369"/>
      <c r="E5871" s="396"/>
      <c r="F5871" s="396"/>
      <c r="G5871" s="396"/>
      <c r="K5871" s="370"/>
      <c r="N5871" s="370"/>
    </row>
    <row r="5872" spans="1:14" s="347" customFormat="1" x14ac:dyDescent="0.25">
      <c r="A5872" s="350">
        <v>44532</v>
      </c>
      <c r="B5872" s="403">
        <f>+MONTH(A5872)</f>
        <v>12</v>
      </c>
      <c r="C5872" s="352">
        <v>115</v>
      </c>
      <c r="D5872" s="340" t="str">
        <f>VLOOKUP(C5872,Plan!A:B,2,0)</f>
        <v>Disponible Cali B.Chile</v>
      </c>
      <c r="E5872" s="341">
        <f>+F5872-G5872</f>
        <v>30000</v>
      </c>
      <c r="F5872" s="396">
        <v>30000</v>
      </c>
      <c r="G5872" s="396">
        <v>0</v>
      </c>
      <c r="H5872" t="s">
        <v>1048</v>
      </c>
      <c r="I5872" s="355" t="s">
        <v>131</v>
      </c>
      <c r="K5872" s="370"/>
      <c r="N5872" s="370"/>
    </row>
    <row r="5873" spans="1:14" s="347" customFormat="1" x14ac:dyDescent="0.25">
      <c r="A5873" s="350">
        <f>+A5872</f>
        <v>44532</v>
      </c>
      <c r="B5873" s="403">
        <f>+MONTH(A5873)</f>
        <v>12</v>
      </c>
      <c r="C5873" s="352">
        <v>1217</v>
      </c>
      <c r="D5873" s="340" t="str">
        <f>VLOOKUP(C5873,Plan!A:B,2,0)</f>
        <v>Otros Valores -Oficina y Transferencias (248)</v>
      </c>
      <c r="E5873" s="341">
        <f>+F5873-G5873</f>
        <v>-30000</v>
      </c>
      <c r="F5873" s="396">
        <v>0</v>
      </c>
      <c r="G5873" s="396">
        <f>+F5872</f>
        <v>30000</v>
      </c>
      <c r="H5873" t="str">
        <f>+H5872</f>
        <v>José Miguel Guzmán Morandé/248</v>
      </c>
      <c r="I5873" s="355" t="s">
        <v>131</v>
      </c>
      <c r="K5873" s="370"/>
      <c r="N5873" s="370"/>
    </row>
    <row r="5874" spans="1:14" s="347" customFormat="1" x14ac:dyDescent="0.25">
      <c r="A5874" s="369"/>
      <c r="E5874" s="396"/>
      <c r="F5874" s="396"/>
      <c r="G5874" s="396"/>
      <c r="K5874" s="370"/>
      <c r="N5874" s="370"/>
    </row>
    <row r="5875" spans="1:14" s="347" customFormat="1" x14ac:dyDescent="0.25">
      <c r="A5875" s="350">
        <v>44532</v>
      </c>
      <c r="B5875" s="403">
        <f>+MONTH(A5875)</f>
        <v>12</v>
      </c>
      <c r="C5875" s="352">
        <v>115</v>
      </c>
      <c r="D5875" s="340" t="str">
        <f>VLOOKUP(C5875,Plan!A:B,2,0)</f>
        <v>Disponible Cali B.Chile</v>
      </c>
      <c r="E5875" s="341">
        <f>+F5875-G5875</f>
        <v>30000</v>
      </c>
      <c r="F5875" s="396">
        <v>30000</v>
      </c>
      <c r="G5875" s="396">
        <v>0</v>
      </c>
      <c r="H5875" t="s">
        <v>1082</v>
      </c>
      <c r="I5875" s="355" t="s">
        <v>131</v>
      </c>
      <c r="K5875" s="370"/>
      <c r="N5875" s="370"/>
    </row>
    <row r="5876" spans="1:14" s="347" customFormat="1" x14ac:dyDescent="0.25">
      <c r="A5876" s="350">
        <f>+A5875</f>
        <v>44532</v>
      </c>
      <c r="B5876" s="403">
        <f>+MONTH(A5876)</f>
        <v>12</v>
      </c>
      <c r="C5876" s="352">
        <v>1222</v>
      </c>
      <c r="D5876" s="340" t="str">
        <f>VLOOKUP(C5876,Plan!A:B,2,0)</f>
        <v>Otros Valores -Oficina y Transferencias (249)</v>
      </c>
      <c r="E5876" s="341">
        <f>+F5876-G5876</f>
        <v>-30000</v>
      </c>
      <c r="F5876" s="396">
        <v>0</v>
      </c>
      <c r="G5876" s="396">
        <f>+F5875</f>
        <v>30000</v>
      </c>
      <c r="H5876" t="str">
        <f>+H5875</f>
        <v>Carmen Gloria Ovalle de la Cuadra/ 249</v>
      </c>
      <c r="I5876" s="355" t="s">
        <v>131</v>
      </c>
      <c r="K5876" s="370"/>
      <c r="N5876" s="370"/>
    </row>
    <row r="5877" spans="1:14" s="347" customFormat="1" x14ac:dyDescent="0.25">
      <c r="A5877" s="369"/>
      <c r="E5877" s="396"/>
      <c r="F5877" s="396"/>
      <c r="G5877" s="396"/>
      <c r="K5877" s="370"/>
      <c r="N5877" s="370"/>
    </row>
    <row r="5878" spans="1:14" s="347" customFormat="1" x14ac:dyDescent="0.25">
      <c r="A5878" s="350">
        <v>44532</v>
      </c>
      <c r="B5878" s="403">
        <f>+MONTH(A5878)</f>
        <v>12</v>
      </c>
      <c r="C5878" s="352">
        <v>115</v>
      </c>
      <c r="D5878" s="340" t="str">
        <f>VLOOKUP(C5878,Plan!A:B,2,0)</f>
        <v>Disponible Cali B.Chile</v>
      </c>
      <c r="E5878" s="341">
        <f>+F5878-G5878</f>
        <v>20000</v>
      </c>
      <c r="F5878" s="396">
        <v>20000</v>
      </c>
      <c r="G5878" s="396">
        <v>0</v>
      </c>
      <c r="H5878" t="s">
        <v>998</v>
      </c>
      <c r="I5878" s="355" t="s">
        <v>131</v>
      </c>
      <c r="K5878" s="370"/>
      <c r="N5878" s="370"/>
    </row>
    <row r="5879" spans="1:14" s="347" customFormat="1" x14ac:dyDescent="0.25">
      <c r="A5879" s="350">
        <f>+A5878</f>
        <v>44532</v>
      </c>
      <c r="B5879" s="403">
        <f>+MONTH(A5879)</f>
        <v>12</v>
      </c>
      <c r="C5879" s="352">
        <v>1222</v>
      </c>
      <c r="D5879" s="340" t="str">
        <f>VLOOKUP(C5879,Plan!A:B,2,0)</f>
        <v>Otros Valores -Oficina y Transferencias (249)</v>
      </c>
      <c r="E5879" s="341">
        <f>+F5879-G5879</f>
        <v>-20000</v>
      </c>
      <c r="F5879" s="396">
        <v>0</v>
      </c>
      <c r="G5879" s="396">
        <f>+F5878</f>
        <v>20000</v>
      </c>
      <c r="H5879" t="str">
        <f>+H5878</f>
        <v>Fca. Orrego/249</v>
      </c>
      <c r="I5879" s="355" t="s">
        <v>131</v>
      </c>
      <c r="K5879" s="370"/>
      <c r="N5879" s="370"/>
    </row>
    <row r="5880" spans="1:14" s="347" customFormat="1" x14ac:dyDescent="0.25">
      <c r="A5880" s="369"/>
      <c r="E5880" s="396"/>
      <c r="F5880" s="396"/>
      <c r="G5880" s="396"/>
      <c r="K5880" s="370"/>
      <c r="N5880" s="370"/>
    </row>
    <row r="5881" spans="1:14" s="347" customFormat="1" x14ac:dyDescent="0.25">
      <c r="A5881" s="350">
        <v>44532</v>
      </c>
      <c r="B5881" s="403">
        <f>+MONTH(A5881)</f>
        <v>12</v>
      </c>
      <c r="C5881" s="352">
        <v>115</v>
      </c>
      <c r="D5881" s="340" t="str">
        <f>VLOOKUP(C5881,Plan!A:B,2,0)</f>
        <v>Disponible Cali B.Chile</v>
      </c>
      <c r="E5881" s="341">
        <f>+F5881-G5881</f>
        <v>30000</v>
      </c>
      <c r="F5881" s="396">
        <v>30000</v>
      </c>
      <c r="G5881" s="396">
        <v>0</v>
      </c>
      <c r="H5881" t="s">
        <v>1012</v>
      </c>
      <c r="I5881" s="355" t="s">
        <v>131</v>
      </c>
      <c r="K5881" s="370"/>
      <c r="N5881" s="370"/>
    </row>
    <row r="5882" spans="1:14" s="347" customFormat="1" x14ac:dyDescent="0.25">
      <c r="A5882" s="350">
        <f>+A5881</f>
        <v>44532</v>
      </c>
      <c r="B5882" s="403">
        <f>+MONTH(A5882)</f>
        <v>12</v>
      </c>
      <c r="C5882" s="352">
        <v>1222</v>
      </c>
      <c r="D5882" s="340" t="str">
        <f>VLOOKUP(C5882,Plan!A:B,2,0)</f>
        <v>Otros Valores -Oficina y Transferencias (249)</v>
      </c>
      <c r="E5882" s="341">
        <f>+F5882-G5882</f>
        <v>-30000</v>
      </c>
      <c r="F5882" s="396">
        <v>0</v>
      </c>
      <c r="G5882" s="396">
        <f>+F5881</f>
        <v>30000</v>
      </c>
      <c r="H5882" t="str">
        <f>+H5881</f>
        <v>María Luz Parodi Gil / 249</v>
      </c>
      <c r="I5882" s="355" t="s">
        <v>131</v>
      </c>
      <c r="K5882" s="370"/>
      <c r="N5882" s="370"/>
    </row>
    <row r="5883" spans="1:14" s="347" customFormat="1" x14ac:dyDescent="0.25">
      <c r="A5883" s="369"/>
      <c r="E5883" s="396"/>
      <c r="F5883" s="396"/>
      <c r="G5883" s="396"/>
      <c r="K5883" s="370"/>
      <c r="N5883" s="370"/>
    </row>
    <row r="5884" spans="1:14" s="347" customFormat="1" x14ac:dyDescent="0.25">
      <c r="A5884" s="350">
        <v>44532</v>
      </c>
      <c r="B5884" s="403">
        <f>+MONTH(A5884)</f>
        <v>12</v>
      </c>
      <c r="C5884" s="352">
        <v>115</v>
      </c>
      <c r="D5884" s="340" t="str">
        <f>VLOOKUP(C5884,Plan!A:B,2,0)</f>
        <v>Disponible Cali B.Chile</v>
      </c>
      <c r="E5884" s="341">
        <f>+F5884-G5884</f>
        <v>100000</v>
      </c>
      <c r="F5884" s="396">
        <v>100000</v>
      </c>
      <c r="G5884" s="396">
        <v>0</v>
      </c>
      <c r="H5884" t="s">
        <v>1726</v>
      </c>
      <c r="I5884" s="355" t="s">
        <v>131</v>
      </c>
      <c r="K5884" s="370"/>
      <c r="N5884" s="370"/>
    </row>
    <row r="5885" spans="1:14" s="347" customFormat="1" x14ac:dyDescent="0.25">
      <c r="A5885" s="350">
        <f>+A5884</f>
        <v>44532</v>
      </c>
      <c r="B5885" s="403">
        <f>+MONTH(A5885)</f>
        <v>12</v>
      </c>
      <c r="C5885" s="352">
        <v>3210</v>
      </c>
      <c r="D5885" s="340" t="str">
        <f>VLOOKUP(C5885,Plan!A:B,2,0)</f>
        <v>Donacion Construccion</v>
      </c>
      <c r="E5885" s="341">
        <f>+F5885-G5885</f>
        <v>-100000</v>
      </c>
      <c r="F5885" s="396">
        <v>0</v>
      </c>
      <c r="G5885" s="396">
        <f>+F5884</f>
        <v>100000</v>
      </c>
      <c r="H5885" t="str">
        <f>+H5884</f>
        <v>Juan Carlos Latorre Díaz / Azul</v>
      </c>
      <c r="I5885" s="355" t="s">
        <v>131</v>
      </c>
      <c r="K5885" s="370"/>
      <c r="N5885" s="370"/>
    </row>
    <row r="5886" spans="1:14" s="347" customFormat="1" x14ac:dyDescent="0.25">
      <c r="A5886" s="369"/>
      <c r="E5886" s="396"/>
      <c r="F5886" s="396"/>
      <c r="G5886" s="396"/>
      <c r="K5886" s="370"/>
      <c r="N5886" s="370"/>
    </row>
    <row r="5887" spans="1:14" s="347" customFormat="1" x14ac:dyDescent="0.25">
      <c r="A5887" s="350">
        <v>44533</v>
      </c>
      <c r="B5887" s="403">
        <f>+MONTH(A5887)</f>
        <v>12</v>
      </c>
      <c r="C5887" s="352">
        <v>115</v>
      </c>
      <c r="D5887" s="340" t="str">
        <f>VLOOKUP(C5887,Plan!A:B,2,0)</f>
        <v>Disponible Cali B.Chile</v>
      </c>
      <c r="E5887" s="341">
        <f>+F5887-G5887</f>
        <v>60000</v>
      </c>
      <c r="F5887" s="396">
        <v>60000</v>
      </c>
      <c r="G5887" s="396">
        <v>0</v>
      </c>
      <c r="H5887" t="s">
        <v>992</v>
      </c>
      <c r="I5887" s="355" t="s">
        <v>131</v>
      </c>
      <c r="K5887" s="370"/>
      <c r="N5887" s="370"/>
    </row>
    <row r="5888" spans="1:14" s="347" customFormat="1" x14ac:dyDescent="0.25">
      <c r="A5888" s="350">
        <f>+A5887</f>
        <v>44533</v>
      </c>
      <c r="B5888" s="403">
        <f>+MONTH(A5888)</f>
        <v>12</v>
      </c>
      <c r="C5888" s="352">
        <v>1222</v>
      </c>
      <c r="D5888" s="340" t="str">
        <f>VLOOKUP(C5888,Plan!A:B,2,0)</f>
        <v>Otros Valores -Oficina y Transferencias (249)</v>
      </c>
      <c r="E5888" s="341">
        <f>+F5888-G5888</f>
        <v>-60000</v>
      </c>
      <c r="F5888" s="396">
        <v>0</v>
      </c>
      <c r="G5888" s="396">
        <f>+F5887</f>
        <v>60000</v>
      </c>
      <c r="H5888" t="str">
        <f>+H5887</f>
        <v>Enrique Brahm García / 249</v>
      </c>
      <c r="I5888" s="355" t="s">
        <v>131</v>
      </c>
      <c r="K5888" s="370"/>
      <c r="N5888" s="370"/>
    </row>
    <row r="5889" spans="1:14" s="347" customFormat="1" x14ac:dyDescent="0.25">
      <c r="A5889" s="369"/>
      <c r="E5889" s="396"/>
      <c r="F5889" s="396"/>
      <c r="G5889" s="396"/>
      <c r="K5889" s="370"/>
      <c r="N5889" s="370"/>
    </row>
    <row r="5890" spans="1:14" s="347" customFormat="1" x14ac:dyDescent="0.25">
      <c r="A5890" s="350">
        <v>44533</v>
      </c>
      <c r="B5890" s="403">
        <f>+MONTH(A5890)</f>
        <v>12</v>
      </c>
      <c r="C5890" s="352">
        <v>115</v>
      </c>
      <c r="D5890" s="340" t="str">
        <f>VLOOKUP(C5890,Plan!A:B,2,0)</f>
        <v>Disponible Cali B.Chile</v>
      </c>
      <c r="E5890" s="341">
        <f>+F5890-G5890</f>
        <v>50000</v>
      </c>
      <c r="F5890" s="396">
        <v>50000</v>
      </c>
      <c r="G5890" s="396">
        <v>0</v>
      </c>
      <c r="H5890" t="s">
        <v>995</v>
      </c>
      <c r="I5890" s="355" t="s">
        <v>131</v>
      </c>
      <c r="K5890" s="370"/>
      <c r="N5890" s="370"/>
    </row>
    <row r="5891" spans="1:14" s="347" customFormat="1" x14ac:dyDescent="0.25">
      <c r="A5891" s="350">
        <f>+A5890</f>
        <v>44533</v>
      </c>
      <c r="B5891" s="403">
        <f>+MONTH(A5891)</f>
        <v>12</v>
      </c>
      <c r="C5891" s="352">
        <v>1222</v>
      </c>
      <c r="D5891" s="340" t="str">
        <f>VLOOKUP(C5891,Plan!A:B,2,0)</f>
        <v>Otros Valores -Oficina y Transferencias (249)</v>
      </c>
      <c r="E5891" s="341">
        <f>+F5891-G5891</f>
        <v>-50000</v>
      </c>
      <c r="F5891" s="396">
        <v>0</v>
      </c>
      <c r="G5891" s="396">
        <f>+F5890</f>
        <v>50000</v>
      </c>
      <c r="H5891" t="str">
        <f>+H5890</f>
        <v>Francisco Salazar González / 249</v>
      </c>
      <c r="I5891" s="355" t="s">
        <v>131</v>
      </c>
      <c r="K5891" s="370"/>
      <c r="N5891" s="370"/>
    </row>
    <row r="5892" spans="1:14" s="347" customFormat="1" x14ac:dyDescent="0.25">
      <c r="A5892" s="369"/>
      <c r="E5892" s="396"/>
      <c r="F5892" s="396"/>
      <c r="G5892" s="396"/>
      <c r="K5892" s="370"/>
      <c r="N5892" s="370"/>
    </row>
    <row r="5893" spans="1:14" s="347" customFormat="1" x14ac:dyDescent="0.25">
      <c r="A5893" s="350">
        <v>44533</v>
      </c>
      <c r="B5893" s="403">
        <f>+MONTH(A5893)</f>
        <v>12</v>
      </c>
      <c r="C5893" s="352">
        <v>115</v>
      </c>
      <c r="D5893" s="340" t="str">
        <f>VLOOKUP(C5893,Plan!A:B,2,0)</f>
        <v>Disponible Cali B.Chile</v>
      </c>
      <c r="E5893" s="341">
        <f>+F5893-G5893</f>
        <v>5000000</v>
      </c>
      <c r="F5893" s="396">
        <v>5000000</v>
      </c>
      <c r="G5893" s="396">
        <v>0</v>
      </c>
      <c r="H5893" t="s">
        <v>2369</v>
      </c>
      <c r="I5893" s="355" t="s">
        <v>131</v>
      </c>
      <c r="K5893" s="370"/>
      <c r="N5893" s="370" t="s">
        <v>2368</v>
      </c>
    </row>
    <row r="5894" spans="1:14" s="347" customFormat="1" x14ac:dyDescent="0.25">
      <c r="A5894" s="350">
        <f>+A5893</f>
        <v>44533</v>
      </c>
      <c r="B5894" s="403">
        <f>+MONTH(A5894)</f>
        <v>12</v>
      </c>
      <c r="C5894" s="352">
        <v>233</v>
      </c>
      <c r="D5894" s="340" t="str">
        <f>VLOOKUP(C5894,Plan!A:B,2,0)</f>
        <v>Otras Provisiones (Proyecto Especificos)</v>
      </c>
      <c r="E5894" s="341">
        <f>+F5894-G5894</f>
        <v>-5000000</v>
      </c>
      <c r="F5894" s="396">
        <v>0</v>
      </c>
      <c r="G5894" s="396">
        <f>+F5893</f>
        <v>5000000</v>
      </c>
      <c r="H5894" t="str">
        <f>+H5893</f>
        <v>San Jóse Tomas Alcalde</v>
      </c>
      <c r="I5894" s="355" t="s">
        <v>131</v>
      </c>
      <c r="K5894" s="370"/>
      <c r="N5894" s="370" t="s">
        <v>2368</v>
      </c>
    </row>
    <row r="5895" spans="1:14" s="347" customFormat="1" x14ac:dyDescent="0.25">
      <c r="A5895" s="369"/>
      <c r="E5895" s="396"/>
      <c r="F5895" s="396"/>
      <c r="G5895" s="396"/>
      <c r="K5895" s="370"/>
      <c r="N5895" s="370"/>
    </row>
    <row r="5896" spans="1:14" s="347" customFormat="1" x14ac:dyDescent="0.25">
      <c r="A5896" s="350">
        <v>44533</v>
      </c>
      <c r="B5896" s="403">
        <f>+MONTH(A5896)</f>
        <v>12</v>
      </c>
      <c r="C5896" s="352">
        <v>115</v>
      </c>
      <c r="D5896" s="340" t="str">
        <f>VLOOKUP(C5896,Plan!A:B,2,0)</f>
        <v>Disponible Cali B.Chile</v>
      </c>
      <c r="E5896" s="341">
        <f>+F5896-G5896</f>
        <v>32000</v>
      </c>
      <c r="F5896" s="396">
        <v>32000</v>
      </c>
      <c r="G5896" s="396">
        <v>0</v>
      </c>
      <c r="H5896" t="s">
        <v>2370</v>
      </c>
      <c r="I5896" s="355" t="s">
        <v>131</v>
      </c>
      <c r="K5896" s="370"/>
      <c r="N5896" s="370"/>
    </row>
    <row r="5897" spans="1:14" s="347" customFormat="1" x14ac:dyDescent="0.25">
      <c r="A5897" s="350">
        <f>+A5896</f>
        <v>44533</v>
      </c>
      <c r="B5897" s="403">
        <f>+MONTH(A5897)</f>
        <v>12</v>
      </c>
      <c r="C5897" s="352">
        <v>141</v>
      </c>
      <c r="D5897" s="340" t="str">
        <f>VLOOKUP(C5897,Plan!A:B,2,0)</f>
        <v>Cuentas por Cobrar a Administración</v>
      </c>
      <c r="E5897" s="341">
        <f>+F5897-G5897</f>
        <v>-32000</v>
      </c>
      <c r="F5897" s="396">
        <v>0</v>
      </c>
      <c r="G5897" s="396">
        <f>+F5896</f>
        <v>32000</v>
      </c>
      <c r="H5897" t="str">
        <f>+H5896</f>
        <v>Caja Navidad Carlos Alberto Fonck Limann</v>
      </c>
      <c r="I5897" s="355" t="s">
        <v>131</v>
      </c>
      <c r="K5897" s="370"/>
      <c r="N5897" s="370"/>
    </row>
    <row r="5898" spans="1:14" s="347" customFormat="1" x14ac:dyDescent="0.25">
      <c r="A5898" s="369"/>
      <c r="E5898" s="396"/>
      <c r="F5898" s="396"/>
      <c r="G5898" s="396"/>
      <c r="K5898" s="370"/>
      <c r="N5898" s="370"/>
    </row>
    <row r="5899" spans="1:14" s="347" customFormat="1" x14ac:dyDescent="0.25">
      <c r="A5899" s="350">
        <v>44533</v>
      </c>
      <c r="B5899" s="403">
        <f>+MONTH(A5899)</f>
        <v>12</v>
      </c>
      <c r="C5899" s="352">
        <v>115</v>
      </c>
      <c r="D5899" s="340" t="str">
        <f>VLOOKUP(C5899,Plan!A:B,2,0)</f>
        <v>Disponible Cali B.Chile</v>
      </c>
      <c r="E5899" s="341">
        <f>+F5899-G5899</f>
        <v>45000</v>
      </c>
      <c r="F5899" s="396">
        <v>45000</v>
      </c>
      <c r="G5899" s="396">
        <v>0</v>
      </c>
      <c r="H5899" t="s">
        <v>993</v>
      </c>
      <c r="I5899" s="355" t="s">
        <v>131</v>
      </c>
      <c r="K5899" s="370"/>
      <c r="N5899" s="370"/>
    </row>
    <row r="5900" spans="1:14" s="347" customFormat="1" x14ac:dyDescent="0.25">
      <c r="A5900" s="350">
        <f>+A5899</f>
        <v>44533</v>
      </c>
      <c r="B5900" s="403">
        <f>+MONTH(A5900)</f>
        <v>12</v>
      </c>
      <c r="C5900" s="352">
        <v>3210</v>
      </c>
      <c r="D5900" s="340" t="str">
        <f>VLOOKUP(C5900,Plan!A:B,2,0)</f>
        <v>Donacion Construccion</v>
      </c>
      <c r="E5900" s="341">
        <f>+F5900-G5900</f>
        <v>-45000</v>
      </c>
      <c r="F5900" s="396">
        <v>0</v>
      </c>
      <c r="G5900" s="396">
        <f>+F5899</f>
        <v>45000</v>
      </c>
      <c r="H5900" t="str">
        <f>+H5899</f>
        <v>Patricia Romero Navarro / Azul</v>
      </c>
      <c r="I5900" s="355" t="s">
        <v>131</v>
      </c>
      <c r="K5900" s="370"/>
      <c r="N5900" s="370"/>
    </row>
    <row r="5901" spans="1:14" s="347" customFormat="1" x14ac:dyDescent="0.25">
      <c r="A5901" s="369"/>
      <c r="E5901" s="396"/>
      <c r="F5901" s="396"/>
      <c r="G5901" s="396"/>
      <c r="K5901" s="370"/>
      <c r="N5901" s="370"/>
    </row>
    <row r="5902" spans="1:14" s="347" customFormat="1" x14ac:dyDescent="0.25">
      <c r="A5902" s="350">
        <v>44533</v>
      </c>
      <c r="B5902" s="403">
        <f>+MONTH(A5902)</f>
        <v>12</v>
      </c>
      <c r="C5902" s="352">
        <v>115</v>
      </c>
      <c r="D5902" s="340" t="str">
        <f>VLOOKUP(C5902,Plan!A:B,2,0)</f>
        <v>Disponible Cali B.Chile</v>
      </c>
      <c r="E5902" s="341">
        <f>+F5902-G5902</f>
        <v>200000</v>
      </c>
      <c r="F5902" s="396">
        <v>200000</v>
      </c>
      <c r="G5902" s="396">
        <v>0</v>
      </c>
      <c r="H5902" t="s">
        <v>1052</v>
      </c>
      <c r="I5902" s="355" t="s">
        <v>131</v>
      </c>
      <c r="K5902" s="370"/>
      <c r="N5902" s="370"/>
    </row>
    <row r="5903" spans="1:14" s="347" customFormat="1" x14ac:dyDescent="0.25">
      <c r="A5903" s="350">
        <f>+A5902</f>
        <v>44533</v>
      </c>
      <c r="B5903" s="403">
        <f>+MONTH(A5903)</f>
        <v>12</v>
      </c>
      <c r="C5903" s="352">
        <v>3210</v>
      </c>
      <c r="D5903" s="340" t="str">
        <f>VLOOKUP(C5903,Plan!A:B,2,0)</f>
        <v>Donacion Construccion</v>
      </c>
      <c r="E5903" s="341">
        <f>+F5903-G5903</f>
        <v>-200000</v>
      </c>
      <c r="F5903" s="396">
        <v>0</v>
      </c>
      <c r="G5903" s="396">
        <f>+F5902</f>
        <v>200000</v>
      </c>
      <c r="H5903" t="str">
        <f>+H5902</f>
        <v>Jorge Hernán Rodríguez Wilson/Azul</v>
      </c>
      <c r="I5903" s="355" t="s">
        <v>131</v>
      </c>
      <c r="K5903" s="370"/>
      <c r="N5903" s="370"/>
    </row>
    <row r="5904" spans="1:14" s="347" customFormat="1" x14ac:dyDescent="0.25">
      <c r="A5904" s="369"/>
      <c r="E5904" s="396"/>
      <c r="F5904" s="396"/>
      <c r="G5904" s="396"/>
      <c r="K5904" s="370"/>
      <c r="N5904" s="370"/>
    </row>
    <row r="5905" spans="1:14" s="347" customFormat="1" x14ac:dyDescent="0.25">
      <c r="A5905" s="350">
        <v>44533</v>
      </c>
      <c r="B5905" s="403">
        <f>+MONTH(A5905)</f>
        <v>12</v>
      </c>
      <c r="C5905" s="352">
        <v>115</v>
      </c>
      <c r="D5905" s="340" t="str">
        <f>VLOOKUP(C5905,Plan!A:B,2,0)</f>
        <v>Disponible Cali B.Chile</v>
      </c>
      <c r="E5905" s="341">
        <f>+F5905-G5905</f>
        <v>60000</v>
      </c>
      <c r="F5905" s="396">
        <v>60000</v>
      </c>
      <c r="G5905" s="396">
        <v>0</v>
      </c>
      <c r="H5905" t="s">
        <v>1724</v>
      </c>
      <c r="I5905" s="355" t="s">
        <v>131</v>
      </c>
      <c r="K5905" s="370"/>
      <c r="N5905" s="370"/>
    </row>
    <row r="5906" spans="1:14" s="347" customFormat="1" x14ac:dyDescent="0.25">
      <c r="A5906" s="350">
        <f>+A5905</f>
        <v>44533</v>
      </c>
      <c r="B5906" s="403">
        <f>+MONTH(A5906)</f>
        <v>12</v>
      </c>
      <c r="C5906" s="352">
        <v>1222</v>
      </c>
      <c r="D5906" s="340" t="str">
        <f>VLOOKUP(C5906,Plan!A:B,2,0)</f>
        <v>Otros Valores -Oficina y Transferencias (249)</v>
      </c>
      <c r="E5906" s="341">
        <f>+F5906-G5906</f>
        <v>-60000</v>
      </c>
      <c r="F5906" s="396">
        <v>0</v>
      </c>
      <c r="G5906" s="396">
        <f>+F5905</f>
        <v>60000</v>
      </c>
      <c r="H5906" t="str">
        <f>+H5905</f>
        <v>Patricio Oelckers Álvarez / 249</v>
      </c>
      <c r="I5906" s="355" t="s">
        <v>131</v>
      </c>
      <c r="K5906" s="370"/>
      <c r="N5906" s="370"/>
    </row>
    <row r="5907" spans="1:14" s="347" customFormat="1" x14ac:dyDescent="0.25">
      <c r="A5907" s="369"/>
      <c r="E5907" s="396"/>
      <c r="F5907" s="396"/>
      <c r="G5907" s="396"/>
      <c r="K5907" s="370"/>
      <c r="N5907" s="370"/>
    </row>
    <row r="5908" spans="1:14" s="347" customFormat="1" x14ac:dyDescent="0.25">
      <c r="A5908" s="350">
        <v>44533</v>
      </c>
      <c r="B5908" s="403">
        <f>+MONTH(A5908)</f>
        <v>12</v>
      </c>
      <c r="C5908" s="352">
        <v>115</v>
      </c>
      <c r="D5908" s="340" t="str">
        <f>VLOOKUP(C5908,Plan!A:B,2,0)</f>
        <v>Disponible Cali B.Chile</v>
      </c>
      <c r="E5908" s="341">
        <f>+F5908-G5908</f>
        <v>12000</v>
      </c>
      <c r="F5908" s="396">
        <v>12000</v>
      </c>
      <c r="G5908" s="396">
        <v>0</v>
      </c>
      <c r="H5908" t="s">
        <v>1673</v>
      </c>
      <c r="I5908" s="355" t="s">
        <v>131</v>
      </c>
      <c r="K5908" s="370"/>
      <c r="N5908" s="370"/>
    </row>
    <row r="5909" spans="1:14" s="347" customFormat="1" x14ac:dyDescent="0.25">
      <c r="A5909" s="350">
        <f>+A5908</f>
        <v>44533</v>
      </c>
      <c r="B5909" s="403">
        <f>+MONTH(A5909)</f>
        <v>12</v>
      </c>
      <c r="C5909" s="352">
        <v>1222</v>
      </c>
      <c r="D5909" s="340" t="str">
        <f>VLOOKUP(C5909,Plan!A:B,2,0)</f>
        <v>Otros Valores -Oficina y Transferencias (249)</v>
      </c>
      <c r="E5909" s="341">
        <f>+F5909-G5909</f>
        <v>-12000</v>
      </c>
      <c r="F5909" s="396">
        <v>0</v>
      </c>
      <c r="G5909" s="396">
        <f>+F5908</f>
        <v>12000</v>
      </c>
      <c r="H5909" t="str">
        <f>+H5908</f>
        <v xml:space="preserve">Martín Fuenzalida Izquierdo / 249 </v>
      </c>
      <c r="I5909" s="355" t="s">
        <v>131</v>
      </c>
      <c r="K5909" s="370"/>
      <c r="N5909" s="370"/>
    </row>
    <row r="5910" spans="1:14" s="347" customFormat="1" x14ac:dyDescent="0.25">
      <c r="A5910" s="369"/>
      <c r="E5910" s="396"/>
      <c r="F5910" s="396"/>
      <c r="G5910" s="396"/>
      <c r="K5910" s="370"/>
      <c r="N5910" s="370"/>
    </row>
    <row r="5911" spans="1:14" s="347" customFormat="1" x14ac:dyDescent="0.25">
      <c r="A5911" s="350">
        <v>44533</v>
      </c>
      <c r="B5911" s="403">
        <f>+MONTH(A5911)</f>
        <v>12</v>
      </c>
      <c r="C5911" s="352">
        <v>115</v>
      </c>
      <c r="D5911" s="340" t="str">
        <f>VLOOKUP(C5911,Plan!A:B,2,0)</f>
        <v>Disponible Cali B.Chile</v>
      </c>
      <c r="E5911" s="341">
        <f>+F5911-G5911</f>
        <v>30000</v>
      </c>
      <c r="F5911" s="396">
        <v>30000</v>
      </c>
      <c r="G5911" s="396">
        <v>0</v>
      </c>
      <c r="H5911" t="s">
        <v>996</v>
      </c>
      <c r="I5911" s="355" t="s">
        <v>131</v>
      </c>
      <c r="K5911" s="370"/>
      <c r="N5911" s="370"/>
    </row>
    <row r="5912" spans="1:14" s="347" customFormat="1" x14ac:dyDescent="0.25">
      <c r="A5912" s="350">
        <f>+A5911</f>
        <v>44533</v>
      </c>
      <c r="B5912" s="403">
        <f>+MONTH(A5912)</f>
        <v>12</v>
      </c>
      <c r="C5912" s="352">
        <v>3210</v>
      </c>
      <c r="D5912" s="340" t="str">
        <f>VLOOKUP(C5912,Plan!A:B,2,0)</f>
        <v>Donacion Construccion</v>
      </c>
      <c r="E5912" s="341">
        <f>+F5912-G5912</f>
        <v>-30000</v>
      </c>
      <c r="F5912" s="396">
        <v>0</v>
      </c>
      <c r="G5912" s="396">
        <f>+F5911</f>
        <v>30000</v>
      </c>
      <c r="H5912" t="str">
        <f>+H5911</f>
        <v>Patrick Reginald Horn Garcia / Azul</v>
      </c>
      <c r="I5912" s="355" t="s">
        <v>131</v>
      </c>
      <c r="K5912" s="370"/>
      <c r="N5912" s="370"/>
    </row>
    <row r="5913" spans="1:14" s="347" customFormat="1" x14ac:dyDescent="0.25">
      <c r="A5913" s="369"/>
      <c r="E5913" s="396"/>
      <c r="F5913" s="396"/>
      <c r="G5913" s="396"/>
      <c r="K5913" s="370"/>
      <c r="N5913" s="370"/>
    </row>
    <row r="5914" spans="1:14" s="347" customFormat="1" x14ac:dyDescent="0.25">
      <c r="A5914" s="350">
        <v>44533</v>
      </c>
      <c r="B5914" s="403">
        <f>+MONTH(A5914)</f>
        <v>12</v>
      </c>
      <c r="C5914" s="352">
        <v>115</v>
      </c>
      <c r="D5914" s="340" t="str">
        <f>VLOOKUP(C5914,Plan!A:B,2,0)</f>
        <v>Disponible Cali B.Chile</v>
      </c>
      <c r="E5914" s="341">
        <f>+F5914-G5914</f>
        <v>15000</v>
      </c>
      <c r="F5914" s="396">
        <v>15000</v>
      </c>
      <c r="G5914" s="396">
        <v>0</v>
      </c>
      <c r="H5914" t="s">
        <v>1099</v>
      </c>
      <c r="I5914" s="355" t="s">
        <v>131</v>
      </c>
      <c r="K5914" s="370"/>
      <c r="N5914" s="370"/>
    </row>
    <row r="5915" spans="1:14" s="347" customFormat="1" x14ac:dyDescent="0.25">
      <c r="A5915" s="350">
        <f>+A5914</f>
        <v>44533</v>
      </c>
      <c r="B5915" s="403">
        <f>+MONTH(A5915)</f>
        <v>12</v>
      </c>
      <c r="C5915" s="352">
        <v>1222</v>
      </c>
      <c r="D5915" s="340" t="str">
        <f>VLOOKUP(C5915,Plan!A:B,2,0)</f>
        <v>Otros Valores -Oficina y Transferencias (249)</v>
      </c>
      <c r="E5915" s="341">
        <f>+F5915-G5915</f>
        <v>-15000</v>
      </c>
      <c r="F5915" s="396">
        <v>0</v>
      </c>
      <c r="G5915" s="396">
        <f>+F5914</f>
        <v>15000</v>
      </c>
      <c r="H5915" t="str">
        <f>+H5914</f>
        <v>María Consuelo Fuenzalida Walker/249</v>
      </c>
      <c r="I5915" s="355" t="s">
        <v>131</v>
      </c>
      <c r="K5915" s="370"/>
      <c r="N5915" s="370"/>
    </row>
    <row r="5916" spans="1:14" s="347" customFormat="1" x14ac:dyDescent="0.25">
      <c r="A5916" s="369"/>
      <c r="E5916" s="396"/>
      <c r="F5916" s="396"/>
      <c r="G5916" s="396"/>
      <c r="K5916" s="370"/>
      <c r="N5916" s="370"/>
    </row>
    <row r="5917" spans="1:14" s="347" customFormat="1" x14ac:dyDescent="0.25">
      <c r="A5917" s="350">
        <v>44533</v>
      </c>
      <c r="B5917" s="403">
        <f>+MONTH(A5917)</f>
        <v>12</v>
      </c>
      <c r="C5917" s="352">
        <v>115</v>
      </c>
      <c r="D5917" s="340" t="str">
        <f>VLOOKUP(C5917,Plan!A:B,2,0)</f>
        <v>Disponible Cali B.Chile</v>
      </c>
      <c r="E5917" s="341">
        <f>+F5917-G5917</f>
        <v>20000</v>
      </c>
      <c r="F5917" s="396">
        <v>20000</v>
      </c>
      <c r="G5917" s="396">
        <v>0</v>
      </c>
      <c r="H5917" t="s">
        <v>999</v>
      </c>
      <c r="I5917" s="355" t="s">
        <v>131</v>
      </c>
      <c r="K5917" s="370"/>
      <c r="N5917" s="370"/>
    </row>
    <row r="5918" spans="1:14" s="347" customFormat="1" x14ac:dyDescent="0.25">
      <c r="A5918" s="350">
        <f>+A5917</f>
        <v>44533</v>
      </c>
      <c r="B5918" s="403">
        <f>+MONTH(A5918)</f>
        <v>12</v>
      </c>
      <c r="C5918" s="352">
        <v>1222</v>
      </c>
      <c r="D5918" s="340" t="str">
        <f>VLOOKUP(C5918,Plan!A:B,2,0)</f>
        <v>Otros Valores -Oficina y Transferencias (249)</v>
      </c>
      <c r="E5918" s="341">
        <f>+F5918-G5918</f>
        <v>-20000</v>
      </c>
      <c r="F5918" s="396">
        <v>0</v>
      </c>
      <c r="G5918" s="396">
        <f>+F5917</f>
        <v>20000</v>
      </c>
      <c r="H5918" t="str">
        <f>+H5917</f>
        <v>Carmen Mónica Barañao Rojas/249</v>
      </c>
      <c r="I5918" s="355" t="s">
        <v>131</v>
      </c>
      <c r="K5918" s="370"/>
      <c r="N5918" s="370"/>
    </row>
    <row r="5919" spans="1:14" s="347" customFormat="1" x14ac:dyDescent="0.25">
      <c r="A5919" s="369"/>
      <c r="E5919" s="396"/>
      <c r="F5919" s="396"/>
      <c r="G5919" s="396"/>
      <c r="K5919" s="370"/>
      <c r="N5919" s="370"/>
    </row>
    <row r="5920" spans="1:14" s="347" customFormat="1" x14ac:dyDescent="0.25">
      <c r="A5920" s="350">
        <v>44533</v>
      </c>
      <c r="B5920" s="403">
        <f>+MONTH(A5920)</f>
        <v>12</v>
      </c>
      <c r="C5920" s="352">
        <v>115</v>
      </c>
      <c r="D5920" s="340" t="str">
        <f>VLOOKUP(C5920,Plan!A:B,2,0)</f>
        <v>Disponible Cali B.Chile</v>
      </c>
      <c r="E5920" s="341">
        <f>+F5920-G5920</f>
        <v>14512</v>
      </c>
      <c r="F5920" s="396">
        <v>14512</v>
      </c>
      <c r="G5920" s="396">
        <v>0</v>
      </c>
      <c r="H5920" t="s">
        <v>2371</v>
      </c>
      <c r="I5920" s="355" t="s">
        <v>131</v>
      </c>
      <c r="K5920" s="370"/>
      <c r="N5920" s="370"/>
    </row>
    <row r="5921" spans="1:14" s="347" customFormat="1" x14ac:dyDescent="0.25">
      <c r="A5921" s="350">
        <f>+A5920</f>
        <v>44533</v>
      </c>
      <c r="B5921" s="403">
        <f>+MONTH(A5921)</f>
        <v>12</v>
      </c>
      <c r="C5921" s="352">
        <v>3210</v>
      </c>
      <c r="D5921" s="340" t="str">
        <f>VLOOKUP(C5921,Plan!A:B,2,0)</f>
        <v>Donacion Construccion</v>
      </c>
      <c r="E5921" s="341">
        <f>+F5921-G5921</f>
        <v>-14512</v>
      </c>
      <c r="F5921" s="396">
        <v>0</v>
      </c>
      <c r="G5921" s="396">
        <f>+F5920</f>
        <v>14512</v>
      </c>
      <c r="H5921" t="str">
        <f>+H5920</f>
        <v>Rosario Riveaux Aris / DCT Azul (M$15)</v>
      </c>
      <c r="I5921" s="355" t="s">
        <v>131</v>
      </c>
      <c r="K5921" s="370"/>
      <c r="N5921" s="370"/>
    </row>
    <row r="5922" spans="1:14" s="347" customFormat="1" x14ac:dyDescent="0.25">
      <c r="A5922" s="369"/>
      <c r="E5922" s="396"/>
      <c r="F5922" s="396"/>
      <c r="G5922" s="396"/>
      <c r="K5922" s="370"/>
      <c r="N5922" s="370"/>
    </row>
    <row r="5923" spans="1:14" s="347" customFormat="1" x14ac:dyDescent="0.25">
      <c r="A5923" s="350">
        <v>44533</v>
      </c>
      <c r="B5923" s="403">
        <f>+MONTH(A5923)</f>
        <v>12</v>
      </c>
      <c r="C5923" s="352">
        <v>115</v>
      </c>
      <c r="D5923" s="340" t="str">
        <f>VLOOKUP(C5923,Plan!A:B,2,0)</f>
        <v>Disponible Cali B.Chile</v>
      </c>
      <c r="E5923" s="341">
        <f>+F5923-G5923</f>
        <v>24187</v>
      </c>
      <c r="F5923" s="396">
        <v>24187</v>
      </c>
      <c r="G5923" s="396">
        <v>0</v>
      </c>
      <c r="H5923" t="s">
        <v>2372</v>
      </c>
      <c r="I5923" s="355" t="s">
        <v>131</v>
      </c>
      <c r="K5923" s="370"/>
      <c r="N5923" s="370"/>
    </row>
    <row r="5924" spans="1:14" s="347" customFormat="1" x14ac:dyDescent="0.25">
      <c r="A5924" s="350">
        <f>+A5923</f>
        <v>44533</v>
      </c>
      <c r="B5924" s="403">
        <f>+MONTH(A5924)</f>
        <v>12</v>
      </c>
      <c r="C5924" s="352">
        <v>1222</v>
      </c>
      <c r="D5924" s="340" t="str">
        <f>VLOOKUP(C5924,Plan!A:B,2,0)</f>
        <v>Otros Valores -Oficina y Transferencias (249)</v>
      </c>
      <c r="E5924" s="341">
        <f>+F5924-G5924</f>
        <v>-25000</v>
      </c>
      <c r="F5924" s="396">
        <v>0</v>
      </c>
      <c r="G5924" s="396">
        <v>25000</v>
      </c>
      <c r="H5924" t="str">
        <f>+H5923</f>
        <v>Sofía de León ($25.000) RUT:14.698.174-7</v>
      </c>
      <c r="I5924" s="355" t="s">
        <v>131</v>
      </c>
      <c r="K5924" s="370"/>
      <c r="N5924" s="370"/>
    </row>
    <row r="5925" spans="1:14" s="347" customFormat="1" x14ac:dyDescent="0.25">
      <c r="A5925" s="350">
        <f>+A5924</f>
        <v>44533</v>
      </c>
      <c r="B5925" s="403">
        <f>+MONTH(A5925)</f>
        <v>12</v>
      </c>
      <c r="C5925" s="352">
        <v>4170</v>
      </c>
      <c r="D5925" s="340" t="str">
        <f>VLOOKUP(C5925,Plan!A:B,2,0)</f>
        <v>Cali otros</v>
      </c>
      <c r="E5925" s="341">
        <f>+F5925-G5925</f>
        <v>813</v>
      </c>
      <c r="F5925" s="396">
        <v>813</v>
      </c>
      <c r="G5925" s="396">
        <f>+F5924</f>
        <v>0</v>
      </c>
      <c r="H5925" t="str">
        <f>+H5924</f>
        <v>Sofía de León ($25.000) RUT:14.698.174-7</v>
      </c>
      <c r="I5925" s="355" t="s">
        <v>131</v>
      </c>
      <c r="K5925" s="370"/>
      <c r="N5925" s="370"/>
    </row>
    <row r="5926" spans="1:14" s="347" customFormat="1" x14ac:dyDescent="0.25">
      <c r="A5926" s="369"/>
      <c r="E5926" s="396"/>
      <c r="F5926" s="396"/>
      <c r="G5926" s="396"/>
      <c r="K5926" s="370"/>
      <c r="N5926" s="370"/>
    </row>
    <row r="5927" spans="1:14" s="347" customFormat="1" x14ac:dyDescent="0.25">
      <c r="A5927" s="350">
        <v>44533</v>
      </c>
      <c r="B5927" s="403">
        <f>+MONTH(A5927)</f>
        <v>12</v>
      </c>
      <c r="C5927" s="352">
        <v>115</v>
      </c>
      <c r="D5927" s="340" t="str">
        <f>VLOOKUP(C5927,Plan!A:B,2,0)</f>
        <v>Disponible Cali B.Chile</v>
      </c>
      <c r="E5927" s="341">
        <f>+F5927-G5927</f>
        <v>30000</v>
      </c>
      <c r="F5927" s="396">
        <v>30000</v>
      </c>
      <c r="G5927" s="396">
        <v>0</v>
      </c>
      <c r="H5927" t="s">
        <v>2328</v>
      </c>
      <c r="I5927" s="355" t="s">
        <v>131</v>
      </c>
      <c r="K5927" s="370"/>
      <c r="N5927" s="370"/>
    </row>
    <row r="5928" spans="1:14" s="347" customFormat="1" x14ac:dyDescent="0.25">
      <c r="A5928" s="350">
        <f>+A5927</f>
        <v>44533</v>
      </c>
      <c r="B5928" s="403">
        <f>+MONTH(A5928)</f>
        <v>12</v>
      </c>
      <c r="C5928" s="352">
        <v>1222</v>
      </c>
      <c r="D5928" s="340" t="str">
        <f>VLOOKUP(C5928,Plan!A:B,2,0)</f>
        <v>Otros Valores -Oficina y Transferencias (249)</v>
      </c>
      <c r="E5928" s="341">
        <f>+F5928-G5928</f>
        <v>-30000</v>
      </c>
      <c r="F5928" s="396">
        <v>0</v>
      </c>
      <c r="G5928" s="396">
        <f>+F5927</f>
        <v>30000</v>
      </c>
      <c r="H5928" t="str">
        <f>+H5927</f>
        <v>Wilfred Arturo Spikin Valdivia / 249</v>
      </c>
      <c r="I5928" s="355" t="s">
        <v>131</v>
      </c>
      <c r="K5928" s="370"/>
      <c r="N5928" s="370"/>
    </row>
    <row r="5929" spans="1:14" s="347" customFormat="1" x14ac:dyDescent="0.25">
      <c r="A5929" s="369"/>
      <c r="E5929" s="396"/>
      <c r="F5929" s="396"/>
      <c r="G5929" s="396"/>
      <c r="K5929" s="370"/>
      <c r="N5929" s="370"/>
    </row>
    <row r="5930" spans="1:14" s="347" customFormat="1" x14ac:dyDescent="0.25">
      <c r="A5930" s="350">
        <v>44533</v>
      </c>
      <c r="B5930" s="403">
        <f>+MONTH(A5930)</f>
        <v>12</v>
      </c>
      <c r="C5930" s="352">
        <v>115</v>
      </c>
      <c r="D5930" s="340" t="str">
        <f>VLOOKUP(C5930,Plan!A:B,2,0)</f>
        <v>Disponible Cali B.Chile</v>
      </c>
      <c r="E5930" s="341">
        <f>+F5930-G5930</f>
        <v>70000</v>
      </c>
      <c r="F5930" s="396">
        <v>70000</v>
      </c>
      <c r="G5930" s="396">
        <v>0</v>
      </c>
      <c r="H5930" t="s">
        <v>997</v>
      </c>
      <c r="I5930" s="355" t="s">
        <v>131</v>
      </c>
      <c r="K5930" s="370"/>
      <c r="N5930" s="370"/>
    </row>
    <row r="5931" spans="1:14" s="347" customFormat="1" x14ac:dyDescent="0.25">
      <c r="A5931" s="350">
        <f>+A5930</f>
        <v>44533</v>
      </c>
      <c r="B5931" s="403">
        <f>+MONTH(A5931)</f>
        <v>12</v>
      </c>
      <c r="C5931" s="352">
        <v>1222</v>
      </c>
      <c r="D5931" s="340" t="str">
        <f>VLOOKUP(C5931,Plan!A:B,2,0)</f>
        <v>Otros Valores -Oficina y Transferencias (249)</v>
      </c>
      <c r="E5931" s="341">
        <f>+F5931-G5931</f>
        <v>-70000</v>
      </c>
      <c r="F5931" s="396">
        <v>0</v>
      </c>
      <c r="G5931" s="396">
        <f>+F5930</f>
        <v>70000</v>
      </c>
      <c r="H5931" t="str">
        <f>+H5930</f>
        <v>Alberto Altermatt C. / 249</v>
      </c>
      <c r="I5931" s="355" t="s">
        <v>131</v>
      </c>
      <c r="K5931" s="370"/>
      <c r="N5931" s="370"/>
    </row>
    <row r="5932" spans="1:14" s="347" customFormat="1" x14ac:dyDescent="0.25">
      <c r="A5932" s="369"/>
      <c r="E5932" s="396"/>
      <c r="F5932" s="396"/>
      <c r="G5932" s="396"/>
      <c r="K5932" s="370"/>
      <c r="N5932" s="370"/>
    </row>
    <row r="5933" spans="1:14" s="347" customFormat="1" x14ac:dyDescent="0.25">
      <c r="A5933" s="350">
        <v>44536</v>
      </c>
      <c r="B5933" s="403">
        <f>+MONTH(A5933)</f>
        <v>12</v>
      </c>
      <c r="C5933" s="352">
        <v>115</v>
      </c>
      <c r="D5933" s="340" t="str">
        <f>VLOOKUP(C5933,Plan!A:B,2,0)</f>
        <v>Disponible Cali B.Chile</v>
      </c>
      <c r="E5933" s="341">
        <f>+F5933-G5933</f>
        <v>30000</v>
      </c>
      <c r="F5933" s="396">
        <v>30000</v>
      </c>
      <c r="G5933" s="396">
        <v>0</v>
      </c>
      <c r="H5933" t="s">
        <v>1671</v>
      </c>
      <c r="I5933" s="355" t="s">
        <v>131</v>
      </c>
      <c r="K5933" s="370"/>
      <c r="N5933" s="370"/>
    </row>
    <row r="5934" spans="1:14" s="347" customFormat="1" x14ac:dyDescent="0.25">
      <c r="A5934" s="350">
        <f>+A5933</f>
        <v>44536</v>
      </c>
      <c r="B5934" s="403">
        <f>+MONTH(A5934)</f>
        <v>12</v>
      </c>
      <c r="C5934" s="352">
        <v>3210</v>
      </c>
      <c r="D5934" s="340" t="str">
        <f>VLOOKUP(C5934,Plan!A:B,2,0)</f>
        <v>Donacion Construccion</v>
      </c>
      <c r="E5934" s="341">
        <f>+F5934-G5934</f>
        <v>-30000</v>
      </c>
      <c r="F5934" s="396">
        <v>0</v>
      </c>
      <c r="G5934" s="396">
        <f>+F5933</f>
        <v>30000</v>
      </c>
      <c r="H5934" t="str">
        <f>+H5933</f>
        <v>Carlos Enrique Celis Celedón / Azul</v>
      </c>
      <c r="I5934" s="355" t="s">
        <v>131</v>
      </c>
      <c r="K5934" s="370"/>
      <c r="N5934" s="370"/>
    </row>
    <row r="5935" spans="1:14" s="347" customFormat="1" x14ac:dyDescent="0.25">
      <c r="A5935" s="369"/>
      <c r="E5935" s="396"/>
      <c r="F5935" s="396"/>
      <c r="G5935" s="396"/>
      <c r="K5935" s="370"/>
      <c r="N5935" s="370"/>
    </row>
    <row r="5936" spans="1:14" s="347" customFormat="1" x14ac:dyDescent="0.25">
      <c r="A5936" s="350">
        <v>44536</v>
      </c>
      <c r="B5936" s="403">
        <f>+MONTH(A5936)</f>
        <v>12</v>
      </c>
      <c r="C5936" s="352">
        <v>115</v>
      </c>
      <c r="D5936" s="340" t="str">
        <f>VLOOKUP(C5936,Plan!A:B,2,0)</f>
        <v>Disponible Cali B.Chile</v>
      </c>
      <c r="E5936" s="341">
        <f>+F5936-G5936</f>
        <v>40000</v>
      </c>
      <c r="F5936" s="396">
        <v>40000</v>
      </c>
      <c r="G5936" s="396">
        <v>0</v>
      </c>
      <c r="H5936" t="s">
        <v>2373</v>
      </c>
      <c r="I5936" s="355" t="s">
        <v>131</v>
      </c>
      <c r="K5936" s="370"/>
      <c r="N5936" s="370"/>
    </row>
    <row r="5937" spans="1:14" s="347" customFormat="1" x14ac:dyDescent="0.25">
      <c r="A5937" s="350">
        <f>+A5936</f>
        <v>44536</v>
      </c>
      <c r="B5937" s="403">
        <f>+MONTH(A5937)</f>
        <v>12</v>
      </c>
      <c r="C5937" s="352">
        <v>1222</v>
      </c>
      <c r="D5937" s="340" t="str">
        <f>VLOOKUP(C5937,Plan!A:B,2,0)</f>
        <v>Otros Valores -Oficina y Transferencias (249)</v>
      </c>
      <c r="E5937" s="341">
        <f>+F5937-G5937</f>
        <v>-40000</v>
      </c>
      <c r="F5937" s="396">
        <v>0</v>
      </c>
      <c r="G5937" s="396">
        <f>+F5936</f>
        <v>40000</v>
      </c>
      <c r="H5937" t="str">
        <f>+H5936</f>
        <v xml:space="preserve">Raúl Strappa Varas / 249 (Nov- dic) </v>
      </c>
      <c r="I5937" s="355" t="s">
        <v>131</v>
      </c>
      <c r="K5937" s="370"/>
      <c r="N5937" s="370"/>
    </row>
    <row r="5938" spans="1:14" s="347" customFormat="1" x14ac:dyDescent="0.25">
      <c r="A5938" s="369"/>
      <c r="E5938" s="396"/>
      <c r="F5938" s="396"/>
      <c r="G5938" s="396"/>
      <c r="K5938" s="370"/>
      <c r="N5938" s="370"/>
    </row>
    <row r="5939" spans="1:14" s="347" customFormat="1" x14ac:dyDescent="0.25">
      <c r="A5939" s="350">
        <v>44536</v>
      </c>
      <c r="B5939" s="403">
        <f>+MONTH(A5939)</f>
        <v>12</v>
      </c>
      <c r="C5939" s="352">
        <v>115</v>
      </c>
      <c r="D5939" s="340" t="str">
        <f>VLOOKUP(C5939,Plan!A:B,2,0)</f>
        <v>Disponible Cali B.Chile</v>
      </c>
      <c r="E5939" s="341">
        <f>+F5939-G5939</f>
        <v>150000</v>
      </c>
      <c r="F5939" s="396">
        <v>150000</v>
      </c>
      <c r="G5939" s="396">
        <v>0</v>
      </c>
      <c r="H5939" t="s">
        <v>1002</v>
      </c>
      <c r="I5939" s="355" t="s">
        <v>131</v>
      </c>
      <c r="K5939" s="370"/>
      <c r="N5939" s="370"/>
    </row>
    <row r="5940" spans="1:14" s="347" customFormat="1" x14ac:dyDescent="0.25">
      <c r="A5940" s="350">
        <f>+A5939</f>
        <v>44536</v>
      </c>
      <c r="B5940" s="403">
        <f>+MONTH(A5940)</f>
        <v>12</v>
      </c>
      <c r="C5940" s="352">
        <v>1222</v>
      </c>
      <c r="D5940" s="340" t="str">
        <f>VLOOKUP(C5940,Plan!A:B,2,0)</f>
        <v>Otros Valores -Oficina y Transferencias (249)</v>
      </c>
      <c r="E5940" s="341">
        <f>+F5940-G5940</f>
        <v>-150000</v>
      </c>
      <c r="F5940" s="396">
        <v>0</v>
      </c>
      <c r="G5940" s="396">
        <f>+F5939</f>
        <v>150000</v>
      </c>
      <c r="H5940" t="str">
        <f>+H5939</f>
        <v>José Miguel Ureta Cardoen / 249</v>
      </c>
      <c r="I5940" s="355" t="s">
        <v>131</v>
      </c>
      <c r="K5940" s="370"/>
      <c r="N5940" s="370"/>
    </row>
    <row r="5941" spans="1:14" s="347" customFormat="1" x14ac:dyDescent="0.25">
      <c r="A5941" s="369"/>
      <c r="E5941" s="396"/>
      <c r="F5941" s="396"/>
      <c r="G5941" s="396"/>
      <c r="K5941" s="370"/>
      <c r="N5941" s="370"/>
    </row>
    <row r="5942" spans="1:14" s="347" customFormat="1" x14ac:dyDescent="0.25">
      <c r="A5942" s="350">
        <v>44536</v>
      </c>
      <c r="B5942" s="403">
        <f>+MONTH(A5942)</f>
        <v>12</v>
      </c>
      <c r="C5942" s="352">
        <v>4170</v>
      </c>
      <c r="D5942" s="340" t="str">
        <f>VLOOKUP(C5942,Plan!A:B,2,0)</f>
        <v>Cali otros</v>
      </c>
      <c r="E5942" s="341">
        <f>+F5942-G5942</f>
        <v>280000</v>
      </c>
      <c r="F5942" s="396">
        <v>280000</v>
      </c>
      <c r="G5942" s="396">
        <v>0</v>
      </c>
      <c r="H5942" t="s">
        <v>2374</v>
      </c>
      <c r="I5942" s="355" t="s">
        <v>131</v>
      </c>
      <c r="K5942" s="370"/>
      <c r="N5942" s="370"/>
    </row>
    <row r="5943" spans="1:14" s="347" customFormat="1" x14ac:dyDescent="0.25">
      <c r="A5943" s="350">
        <f>+A5942</f>
        <v>44536</v>
      </c>
      <c r="B5943" s="403">
        <f>+MONTH(A5943)</f>
        <v>12</v>
      </c>
      <c r="C5943" s="352">
        <v>115</v>
      </c>
      <c r="D5943" s="340" t="str">
        <f>VLOOKUP(C5943,Plan!A:B,2,0)</f>
        <v>Disponible Cali B.Chile</v>
      </c>
      <c r="E5943" s="341">
        <f>+F5943-G5943</f>
        <v>-280000</v>
      </c>
      <c r="F5943" s="396">
        <v>0</v>
      </c>
      <c r="G5943" s="396">
        <f>+F5942</f>
        <v>280000</v>
      </c>
      <c r="H5943" t="str">
        <f>+H5942</f>
        <v>Gastos CBRS Hipoteca -Bco.Santander</v>
      </c>
      <c r="I5943" s="355" t="s">
        <v>131</v>
      </c>
      <c r="K5943" s="370"/>
      <c r="N5943" s="370"/>
    </row>
    <row r="5944" spans="1:14" s="347" customFormat="1" x14ac:dyDescent="0.25">
      <c r="A5944" s="369"/>
      <c r="E5944" s="396"/>
      <c r="F5944" s="396"/>
      <c r="G5944" s="396"/>
      <c r="K5944" s="370"/>
      <c r="N5944" s="370"/>
    </row>
    <row r="5945" spans="1:14" s="347" customFormat="1" x14ac:dyDescent="0.25">
      <c r="A5945" s="350">
        <v>44536</v>
      </c>
      <c r="B5945" s="403">
        <f>+MONTH(A5945)</f>
        <v>12</v>
      </c>
      <c r="C5945" s="352">
        <v>115</v>
      </c>
      <c r="D5945" s="340" t="str">
        <f>VLOOKUP(C5945,Plan!A:B,2,0)</f>
        <v>Disponible Cali B.Chile</v>
      </c>
      <c r="E5945" s="341">
        <f>+F5945-G5945</f>
        <v>350000</v>
      </c>
      <c r="F5945" s="396">
        <v>350000</v>
      </c>
      <c r="G5945" s="396">
        <v>0</v>
      </c>
      <c r="H5945" t="s">
        <v>2375</v>
      </c>
      <c r="I5945" s="355" t="s">
        <v>131</v>
      </c>
      <c r="K5945" s="370"/>
      <c r="N5945" s="370"/>
    </row>
    <row r="5946" spans="1:14" s="347" customFormat="1" x14ac:dyDescent="0.25">
      <c r="A5946" s="350">
        <f>+A5945</f>
        <v>44536</v>
      </c>
      <c r="B5946" s="403">
        <f>+MONTH(A5946)</f>
        <v>12</v>
      </c>
      <c r="C5946" s="352">
        <v>3210</v>
      </c>
      <c r="D5946" s="340" t="str">
        <f>VLOOKUP(C5946,Plan!A:B,2,0)</f>
        <v>Donacion Construccion</v>
      </c>
      <c r="E5946" s="341">
        <f>+F5946-G5946</f>
        <v>-350000</v>
      </c>
      <c r="F5946" s="396">
        <v>0</v>
      </c>
      <c r="G5946" s="396">
        <f>+F5945</f>
        <v>350000</v>
      </c>
      <c r="H5946" t="str">
        <f>+H5945</f>
        <v>IV Medios 2020 Col.Cumbres (Carolinas Reyes)</v>
      </c>
      <c r="I5946" s="355" t="s">
        <v>131</v>
      </c>
      <c r="K5946" s="370"/>
      <c r="N5946" s="370"/>
    </row>
    <row r="5947" spans="1:14" s="347" customFormat="1" x14ac:dyDescent="0.25">
      <c r="A5947" s="369"/>
      <c r="E5947" s="396"/>
      <c r="F5947" s="396"/>
      <c r="G5947" s="396"/>
      <c r="K5947" s="370"/>
      <c r="N5947" s="370"/>
    </row>
    <row r="5948" spans="1:14" s="347" customFormat="1" x14ac:dyDescent="0.25">
      <c r="A5948" s="350">
        <v>44536</v>
      </c>
      <c r="B5948" s="403">
        <f>+MONTH(A5948)</f>
        <v>12</v>
      </c>
      <c r="C5948" s="352">
        <v>115</v>
      </c>
      <c r="D5948" s="340" t="str">
        <f>VLOOKUP(C5948,Plan!A:B,2,0)</f>
        <v>Disponible Cali B.Chile</v>
      </c>
      <c r="E5948" s="341">
        <f>+F5948-G5948</f>
        <v>150000</v>
      </c>
      <c r="F5948" s="396">
        <v>150000</v>
      </c>
      <c r="G5948" s="396">
        <v>0</v>
      </c>
      <c r="H5948" t="s">
        <v>2375</v>
      </c>
      <c r="I5948" s="355" t="s">
        <v>131</v>
      </c>
      <c r="K5948" s="370"/>
      <c r="N5948" s="370"/>
    </row>
    <row r="5949" spans="1:14" s="347" customFormat="1" x14ac:dyDescent="0.25">
      <c r="A5949" s="350">
        <f>+A5948</f>
        <v>44536</v>
      </c>
      <c r="B5949" s="403">
        <f>+MONTH(A5949)</f>
        <v>12</v>
      </c>
      <c r="C5949" s="352">
        <v>3210</v>
      </c>
      <c r="D5949" s="340" t="str">
        <f>VLOOKUP(C5949,Plan!A:B,2,0)</f>
        <v>Donacion Construccion</v>
      </c>
      <c r="E5949" s="341">
        <f>+F5949-G5949</f>
        <v>-150000</v>
      </c>
      <c r="F5949" s="396">
        <v>0</v>
      </c>
      <c r="G5949" s="396">
        <f>+F5948</f>
        <v>150000</v>
      </c>
      <c r="H5949" t="str">
        <f>+H5948</f>
        <v>IV Medios 2020 Col.Cumbres (Carolinas Reyes)</v>
      </c>
      <c r="I5949" s="355" t="s">
        <v>131</v>
      </c>
      <c r="K5949" s="370"/>
      <c r="N5949" s="370"/>
    </row>
    <row r="5950" spans="1:14" s="347" customFormat="1" x14ac:dyDescent="0.25">
      <c r="A5950" s="369"/>
      <c r="E5950" s="396"/>
      <c r="F5950" s="396"/>
      <c r="G5950" s="396"/>
      <c r="K5950" s="370"/>
      <c r="N5950" s="370"/>
    </row>
    <row r="5951" spans="1:14" s="347" customFormat="1" x14ac:dyDescent="0.25">
      <c r="A5951" s="350">
        <v>44536</v>
      </c>
      <c r="B5951" s="403">
        <f>+MONTH(A5951)</f>
        <v>12</v>
      </c>
      <c r="C5951" s="352">
        <v>115</v>
      </c>
      <c r="D5951" s="340" t="str">
        <f>VLOOKUP(C5951,Plan!A:B,2,0)</f>
        <v>Disponible Cali B.Chile</v>
      </c>
      <c r="E5951" s="341">
        <f>+F5951-G5951</f>
        <v>15000</v>
      </c>
      <c r="F5951" s="396">
        <v>15000</v>
      </c>
      <c r="G5951" s="396">
        <v>0</v>
      </c>
      <c r="H5951" t="s">
        <v>968</v>
      </c>
      <c r="I5951" s="355" t="s">
        <v>131</v>
      </c>
      <c r="K5951" s="370"/>
      <c r="N5951" s="370"/>
    </row>
    <row r="5952" spans="1:14" s="347" customFormat="1" x14ac:dyDescent="0.25">
      <c r="A5952" s="350">
        <f>+A5951</f>
        <v>44536</v>
      </c>
      <c r="B5952" s="403">
        <f>+MONTH(A5952)</f>
        <v>12</v>
      </c>
      <c r="C5952" s="352">
        <v>3210</v>
      </c>
      <c r="D5952" s="340" t="str">
        <f>VLOOKUP(C5952,Plan!A:B,2,0)</f>
        <v>Donacion Construccion</v>
      </c>
      <c r="E5952" s="341">
        <f>+F5952-G5952</f>
        <v>-15000</v>
      </c>
      <c r="F5952" s="396">
        <v>0</v>
      </c>
      <c r="G5952" s="396">
        <f>+F5951</f>
        <v>15000</v>
      </c>
      <c r="H5952" t="str">
        <f>+H5951</f>
        <v xml:space="preserve">María del Pilar Herrera/ azul </v>
      </c>
      <c r="I5952" s="355" t="s">
        <v>131</v>
      </c>
      <c r="K5952" s="370"/>
      <c r="N5952" s="370"/>
    </row>
    <row r="5953" spans="1:14" s="347" customFormat="1" x14ac:dyDescent="0.25">
      <c r="A5953" s="369"/>
      <c r="E5953" s="396"/>
      <c r="F5953" s="396"/>
      <c r="G5953" s="396"/>
      <c r="K5953" s="370"/>
      <c r="N5953" s="370"/>
    </row>
    <row r="5954" spans="1:14" s="347" customFormat="1" x14ac:dyDescent="0.25">
      <c r="A5954" s="350">
        <v>44536</v>
      </c>
      <c r="B5954" s="403">
        <f>+MONTH(A5954)</f>
        <v>12</v>
      </c>
      <c r="C5954" s="352">
        <v>115</v>
      </c>
      <c r="D5954" s="340" t="str">
        <f>VLOOKUP(C5954,Plan!A:B,2,0)</f>
        <v>Disponible Cali B.Chile</v>
      </c>
      <c r="E5954" s="341">
        <f>+F5954-G5954</f>
        <v>100000</v>
      </c>
      <c r="F5954" s="396">
        <v>100000</v>
      </c>
      <c r="G5954" s="396">
        <v>0</v>
      </c>
      <c r="H5954" t="s">
        <v>1715</v>
      </c>
      <c r="I5954" s="355" t="s">
        <v>131</v>
      </c>
      <c r="K5954" s="370"/>
      <c r="N5954" s="370"/>
    </row>
    <row r="5955" spans="1:14" s="347" customFormat="1" x14ac:dyDescent="0.25">
      <c r="A5955" s="350">
        <f>+A5954</f>
        <v>44536</v>
      </c>
      <c r="B5955" s="403">
        <f>+MONTH(A5955)</f>
        <v>12</v>
      </c>
      <c r="C5955" s="352">
        <v>1222</v>
      </c>
      <c r="D5955" s="340" t="str">
        <f>VLOOKUP(C5955,Plan!A:B,2,0)</f>
        <v>Otros Valores -Oficina y Transferencias (249)</v>
      </c>
      <c r="E5955" s="341">
        <f>+F5955-G5955</f>
        <v>-100000</v>
      </c>
      <c r="F5955" s="396">
        <v>0</v>
      </c>
      <c r="G5955" s="396">
        <f>+F5954</f>
        <v>100000</v>
      </c>
      <c r="H5955" t="str">
        <f>+H5954</f>
        <v>Santiago Ireneo Doña Vial / 249</v>
      </c>
      <c r="I5955" s="355" t="s">
        <v>131</v>
      </c>
      <c r="K5955" s="370"/>
      <c r="N5955" s="370"/>
    </row>
    <row r="5956" spans="1:14" s="347" customFormat="1" x14ac:dyDescent="0.25">
      <c r="A5956" s="369"/>
      <c r="E5956" s="396"/>
      <c r="F5956" s="396"/>
      <c r="G5956" s="396"/>
      <c r="K5956" s="370"/>
      <c r="N5956" s="370"/>
    </row>
    <row r="5957" spans="1:14" s="347" customFormat="1" x14ac:dyDescent="0.25">
      <c r="A5957" s="350">
        <v>44536</v>
      </c>
      <c r="B5957" s="403">
        <f>+MONTH(A5957)</f>
        <v>12</v>
      </c>
      <c r="C5957" s="352">
        <v>115</v>
      </c>
      <c r="D5957" s="340" t="str">
        <f>VLOOKUP(C5957,Plan!A:B,2,0)</f>
        <v>Disponible Cali B.Chile</v>
      </c>
      <c r="E5957" s="341">
        <f>+F5957-G5957</f>
        <v>75000</v>
      </c>
      <c r="F5957" s="396">
        <v>75000</v>
      </c>
      <c r="G5957" s="396">
        <v>0</v>
      </c>
      <c r="H5957" t="s">
        <v>1679</v>
      </c>
      <c r="I5957" s="355" t="s">
        <v>131</v>
      </c>
      <c r="K5957" s="370"/>
      <c r="N5957" s="370"/>
    </row>
    <row r="5958" spans="1:14" s="347" customFormat="1" x14ac:dyDescent="0.25">
      <c r="A5958" s="350">
        <f>+A5957</f>
        <v>44536</v>
      </c>
      <c r="B5958" s="403">
        <f>+MONTH(A5958)</f>
        <v>12</v>
      </c>
      <c r="C5958" s="352">
        <v>1222</v>
      </c>
      <c r="D5958" s="340" t="str">
        <f>VLOOKUP(C5958,Plan!A:B,2,0)</f>
        <v>Otros Valores -Oficina y Transferencias (249)</v>
      </c>
      <c r="E5958" s="341">
        <f>+F5958-G5958</f>
        <v>-75000</v>
      </c>
      <c r="F5958" s="396">
        <v>0</v>
      </c>
      <c r="G5958" s="396">
        <f>+F5957</f>
        <v>75000</v>
      </c>
      <c r="H5958" t="str">
        <f>+H5957</f>
        <v>María Teresa Ibañez Vial / 249</v>
      </c>
      <c r="I5958" s="355" t="s">
        <v>131</v>
      </c>
      <c r="K5958" s="370"/>
      <c r="N5958" s="370"/>
    </row>
    <row r="5959" spans="1:14" s="347" customFormat="1" x14ac:dyDescent="0.25">
      <c r="A5959" s="369"/>
      <c r="E5959" s="396"/>
      <c r="F5959" s="396"/>
      <c r="G5959" s="396"/>
      <c r="K5959" s="370"/>
      <c r="N5959" s="370"/>
    </row>
    <row r="5960" spans="1:14" s="347" customFormat="1" x14ac:dyDescent="0.25">
      <c r="A5960" s="350">
        <v>44536</v>
      </c>
      <c r="B5960" s="403">
        <f>+MONTH(A5960)</f>
        <v>12</v>
      </c>
      <c r="C5960" s="352">
        <v>115</v>
      </c>
      <c r="D5960" s="340" t="str">
        <f>VLOOKUP(C5960,Plan!A:B,2,0)</f>
        <v>Disponible Cali B.Chile</v>
      </c>
      <c r="E5960" s="341">
        <f>+F5960-G5960</f>
        <v>35000</v>
      </c>
      <c r="F5960" s="396">
        <v>35000</v>
      </c>
      <c r="G5960" s="396">
        <v>0</v>
      </c>
      <c r="H5960" t="s">
        <v>2162</v>
      </c>
      <c r="I5960" s="355" t="s">
        <v>131</v>
      </c>
      <c r="K5960" s="370"/>
      <c r="N5960" s="370"/>
    </row>
    <row r="5961" spans="1:14" s="347" customFormat="1" x14ac:dyDescent="0.25">
      <c r="A5961" s="350">
        <f>+A5960</f>
        <v>44536</v>
      </c>
      <c r="B5961" s="403">
        <f>+MONTH(A5961)</f>
        <v>12</v>
      </c>
      <c r="C5961" s="352">
        <v>1222</v>
      </c>
      <c r="D5961" s="340" t="str">
        <f>VLOOKUP(C5961,Plan!A:B,2,0)</f>
        <v>Otros Valores -Oficina y Transferencias (249)</v>
      </c>
      <c r="E5961" s="341">
        <f>+F5961-G5961</f>
        <v>-35000</v>
      </c>
      <c r="F5961" s="396">
        <v>0</v>
      </c>
      <c r="G5961" s="396">
        <f>+F5960</f>
        <v>35000</v>
      </c>
      <c r="H5961" t="str">
        <f>+H5960</f>
        <v>Carolina Guridi Gubbins / 249</v>
      </c>
      <c r="I5961" s="355" t="s">
        <v>131</v>
      </c>
      <c r="K5961" s="370"/>
      <c r="N5961" s="370"/>
    </row>
    <row r="5962" spans="1:14" s="347" customFormat="1" x14ac:dyDescent="0.25">
      <c r="A5962" s="369"/>
      <c r="E5962" s="396"/>
      <c r="F5962" s="396"/>
      <c r="G5962" s="396"/>
      <c r="K5962" s="370"/>
      <c r="N5962" s="370"/>
    </row>
    <row r="5963" spans="1:14" s="347" customFormat="1" x14ac:dyDescent="0.25">
      <c r="A5963" s="350">
        <v>44536</v>
      </c>
      <c r="B5963" s="403">
        <f>+MONTH(A5963)</f>
        <v>12</v>
      </c>
      <c r="C5963" s="352">
        <v>115</v>
      </c>
      <c r="D5963" s="340" t="str">
        <f>VLOOKUP(C5963,Plan!A:B,2,0)</f>
        <v>Disponible Cali B.Chile</v>
      </c>
      <c r="E5963" s="341">
        <f>+F5963-G5963</f>
        <v>30000</v>
      </c>
      <c r="F5963" s="396">
        <v>30000</v>
      </c>
      <c r="G5963" s="396">
        <v>0</v>
      </c>
      <c r="H5963" t="s">
        <v>1990</v>
      </c>
      <c r="I5963" s="355" t="s">
        <v>131</v>
      </c>
      <c r="K5963" s="370"/>
      <c r="N5963" s="370"/>
    </row>
    <row r="5964" spans="1:14" s="347" customFormat="1" x14ac:dyDescent="0.25">
      <c r="A5964" s="350">
        <f>+A5963</f>
        <v>44536</v>
      </c>
      <c r="B5964" s="403">
        <f>+MONTH(A5964)</f>
        <v>12</v>
      </c>
      <c r="C5964" s="352">
        <v>1222</v>
      </c>
      <c r="D5964" s="340" t="str">
        <f>VLOOKUP(C5964,Plan!A:B,2,0)</f>
        <v>Otros Valores -Oficina y Transferencias (249)</v>
      </c>
      <c r="E5964" s="341">
        <f>+F5964-G5964</f>
        <v>-30000</v>
      </c>
      <c r="F5964" s="396">
        <v>0</v>
      </c>
      <c r="G5964" s="396">
        <f>+F5963</f>
        <v>30000</v>
      </c>
      <c r="H5964" t="str">
        <f>+H5963</f>
        <v>Renato Guidio Rezende de Castro/ 249</v>
      </c>
      <c r="I5964" s="355" t="s">
        <v>131</v>
      </c>
      <c r="K5964" s="370"/>
      <c r="N5964" s="370"/>
    </row>
    <row r="5965" spans="1:14" s="347" customFormat="1" x14ac:dyDescent="0.25">
      <c r="A5965" s="369"/>
      <c r="E5965" s="396"/>
      <c r="F5965" s="396"/>
      <c r="G5965" s="396"/>
      <c r="K5965" s="370"/>
      <c r="N5965" s="370"/>
    </row>
    <row r="5966" spans="1:14" s="347" customFormat="1" x14ac:dyDescent="0.25">
      <c r="A5966" s="350">
        <v>44536</v>
      </c>
      <c r="B5966" s="403">
        <f>+MONTH(A5966)</f>
        <v>12</v>
      </c>
      <c r="C5966" s="352">
        <v>115</v>
      </c>
      <c r="D5966" s="340" t="str">
        <f>VLOOKUP(C5966,Plan!A:B,2,0)</f>
        <v>Disponible Cali B.Chile</v>
      </c>
      <c r="E5966" s="341">
        <f>+F5966-G5966</f>
        <v>2000</v>
      </c>
      <c r="F5966" s="396">
        <v>2000</v>
      </c>
      <c r="G5966" s="396">
        <v>0</v>
      </c>
      <c r="H5966" t="s">
        <v>1010</v>
      </c>
      <c r="I5966" s="355" t="s">
        <v>131</v>
      </c>
      <c r="K5966" s="370"/>
      <c r="N5966" s="370"/>
    </row>
    <row r="5967" spans="1:14" s="347" customFormat="1" x14ac:dyDescent="0.25">
      <c r="A5967" s="350">
        <f>+A5966</f>
        <v>44536</v>
      </c>
      <c r="B5967" s="403">
        <f>+MONTH(A5967)</f>
        <v>12</v>
      </c>
      <c r="C5967" s="352">
        <v>216</v>
      </c>
      <c r="D5967" s="340" t="str">
        <f>VLOOKUP(C5967,Plan!A:B,2,0)</f>
        <v>Cuenta por Pagar a Administración Colectas</v>
      </c>
      <c r="E5967" s="341">
        <f>+F5967-G5967</f>
        <v>-2000</v>
      </c>
      <c r="F5967" s="396">
        <v>0</v>
      </c>
      <c r="G5967" s="396">
        <f>+F5966</f>
        <v>2000</v>
      </c>
      <c r="H5967" t="str">
        <f>+H5966</f>
        <v>Colecta Raimundo Barros</v>
      </c>
      <c r="I5967" s="355" t="s">
        <v>131</v>
      </c>
      <c r="K5967" s="370"/>
      <c r="N5967" s="370"/>
    </row>
    <row r="5968" spans="1:14" s="347" customFormat="1" x14ac:dyDescent="0.25">
      <c r="A5968" s="369"/>
      <c r="E5968" s="396"/>
      <c r="F5968" s="396"/>
      <c r="G5968" s="396"/>
      <c r="K5968" s="370"/>
      <c r="N5968" s="370"/>
    </row>
    <row r="5969" spans="1:14" s="347" customFormat="1" x14ac:dyDescent="0.25">
      <c r="A5969" s="350">
        <v>44536</v>
      </c>
      <c r="B5969" s="403">
        <f>+MONTH(A5969)</f>
        <v>12</v>
      </c>
      <c r="C5969" s="352">
        <v>115</v>
      </c>
      <c r="D5969" s="340" t="str">
        <f>VLOOKUP(C5969,Plan!A:B,2,0)</f>
        <v>Disponible Cali B.Chile</v>
      </c>
      <c r="E5969" s="341">
        <f>+F5969-G5969</f>
        <v>40000</v>
      </c>
      <c r="F5969" s="396">
        <v>40000</v>
      </c>
      <c r="G5969" s="396">
        <v>0</v>
      </c>
      <c r="H5969" t="s">
        <v>1009</v>
      </c>
      <c r="I5969" s="355" t="s">
        <v>131</v>
      </c>
      <c r="K5969" s="370"/>
      <c r="N5969" s="370"/>
    </row>
    <row r="5970" spans="1:14" s="347" customFormat="1" x14ac:dyDescent="0.25">
      <c r="A5970" s="350">
        <f>+A5969</f>
        <v>44536</v>
      </c>
      <c r="B5970" s="403">
        <f>+MONTH(A5970)</f>
        <v>12</v>
      </c>
      <c r="C5970" s="352">
        <v>1222</v>
      </c>
      <c r="D5970" s="340" t="str">
        <f>VLOOKUP(C5970,Plan!A:B,2,0)</f>
        <v>Otros Valores -Oficina y Transferencias (249)</v>
      </c>
      <c r="E5970" s="341">
        <f>+F5970-G5970</f>
        <v>-40000</v>
      </c>
      <c r="F5970" s="396">
        <v>0</v>
      </c>
      <c r="G5970" s="396">
        <f>+F5969</f>
        <v>40000</v>
      </c>
      <c r="H5970" t="str">
        <f>+H5969</f>
        <v>Juan Rafael Arnaiz Johnson / 249</v>
      </c>
      <c r="I5970" s="355" t="s">
        <v>131</v>
      </c>
      <c r="K5970" s="370"/>
      <c r="N5970" s="370"/>
    </row>
    <row r="5971" spans="1:14" s="347" customFormat="1" x14ac:dyDescent="0.25">
      <c r="A5971" s="369"/>
      <c r="E5971" s="396"/>
      <c r="F5971" s="396"/>
      <c r="G5971" s="396"/>
      <c r="K5971" s="370"/>
      <c r="N5971" s="370"/>
    </row>
    <row r="5972" spans="1:14" s="347" customFormat="1" x14ac:dyDescent="0.25">
      <c r="A5972" s="350">
        <v>44536</v>
      </c>
      <c r="B5972" s="403">
        <f>+MONTH(A5972)</f>
        <v>12</v>
      </c>
      <c r="C5972" s="352">
        <v>115</v>
      </c>
      <c r="D5972" s="340" t="str">
        <f>VLOOKUP(C5972,Plan!A:B,2,0)</f>
        <v>Disponible Cali B.Chile</v>
      </c>
      <c r="E5972" s="341">
        <f>+F5972-G5972</f>
        <v>3000000</v>
      </c>
      <c r="F5972" s="396">
        <v>3000000</v>
      </c>
      <c r="G5972" s="396">
        <v>0</v>
      </c>
      <c r="H5972" t="s">
        <v>1668</v>
      </c>
      <c r="I5972" s="355" t="s">
        <v>131</v>
      </c>
      <c r="K5972" s="370"/>
      <c r="N5972" s="370"/>
    </row>
    <row r="5973" spans="1:14" s="347" customFormat="1" x14ac:dyDescent="0.25">
      <c r="A5973" s="350">
        <f>+A5972</f>
        <v>44536</v>
      </c>
      <c r="B5973" s="403">
        <f>+MONTH(A5973)</f>
        <v>12</v>
      </c>
      <c r="C5973" s="352">
        <v>3210</v>
      </c>
      <c r="D5973" s="340" t="str">
        <f>VLOOKUP(C5973,Plan!A:B,2,0)</f>
        <v>Donacion Construccion</v>
      </c>
      <c r="E5973" s="341">
        <f>+F5973-G5973</f>
        <v>-3000000</v>
      </c>
      <c r="F5973" s="396">
        <v>0</v>
      </c>
      <c r="G5973" s="396">
        <f>+F5972</f>
        <v>3000000</v>
      </c>
      <c r="H5973" t="str">
        <f>+H5972</f>
        <v>José Tomás Guzmán Rencoret / Azul</v>
      </c>
      <c r="I5973" s="355" t="s">
        <v>131</v>
      </c>
      <c r="K5973" s="370"/>
      <c r="N5973" s="370"/>
    </row>
    <row r="5974" spans="1:14" s="347" customFormat="1" x14ac:dyDescent="0.25">
      <c r="A5974" s="369"/>
      <c r="E5974" s="396"/>
      <c r="F5974" s="396"/>
      <c r="G5974" s="396"/>
      <c r="K5974" s="370"/>
      <c r="N5974" s="370"/>
    </row>
    <row r="5975" spans="1:14" s="347" customFormat="1" x14ac:dyDescent="0.25">
      <c r="A5975" s="350">
        <v>44537</v>
      </c>
      <c r="B5975" s="403">
        <f>+MONTH(A5975)</f>
        <v>12</v>
      </c>
      <c r="C5975" s="352">
        <v>115</v>
      </c>
      <c r="D5975" s="340" t="str">
        <f>VLOOKUP(C5975,Plan!A:B,2,0)</f>
        <v>Disponible Cali B.Chile</v>
      </c>
      <c r="E5975" s="341">
        <f>+F5975-G5975</f>
        <v>19000</v>
      </c>
      <c r="F5975" s="396">
        <v>19000</v>
      </c>
      <c r="G5975" s="396">
        <v>0</v>
      </c>
      <c r="H5975" t="s">
        <v>2376</v>
      </c>
      <c r="I5975" s="355" t="s">
        <v>131</v>
      </c>
      <c r="K5975" s="370"/>
      <c r="N5975" s="370"/>
    </row>
    <row r="5976" spans="1:14" s="347" customFormat="1" x14ac:dyDescent="0.25">
      <c r="A5976" s="350">
        <f>+A5975</f>
        <v>44537</v>
      </c>
      <c r="B5976" s="403">
        <f>+MONTH(A5976)</f>
        <v>12</v>
      </c>
      <c r="C5976" s="352">
        <v>1217</v>
      </c>
      <c r="D5976" s="340" t="str">
        <f>VLOOKUP(C5976,Plan!A:B,2,0)</f>
        <v>Otros Valores -Oficina y Transferencias (248)</v>
      </c>
      <c r="E5976" s="341">
        <f>+F5976-G5976</f>
        <v>-19000</v>
      </c>
      <c r="F5976" s="396">
        <v>0</v>
      </c>
      <c r="G5976" s="396">
        <f>+F5975</f>
        <v>19000</v>
      </c>
      <c r="H5976" t="str">
        <f>+H5975</f>
        <v xml:space="preserve">Maria Elisa Cruzat Silva / 248 </v>
      </c>
      <c r="I5976" s="355" t="s">
        <v>131</v>
      </c>
      <c r="K5976" s="370"/>
      <c r="N5976" s="370"/>
    </row>
    <row r="5977" spans="1:14" s="347" customFormat="1" x14ac:dyDescent="0.25">
      <c r="A5977" s="369"/>
      <c r="E5977" s="396"/>
      <c r="F5977" s="396"/>
      <c r="G5977" s="396"/>
      <c r="K5977" s="370"/>
      <c r="N5977" s="370"/>
    </row>
    <row r="5978" spans="1:14" s="347" customFormat="1" x14ac:dyDescent="0.25">
      <c r="A5978" s="350">
        <v>44537</v>
      </c>
      <c r="B5978" s="403">
        <f>+MONTH(A5978)</f>
        <v>12</v>
      </c>
      <c r="C5978" s="352">
        <v>115</v>
      </c>
      <c r="D5978" s="340" t="str">
        <f>VLOOKUP(C5978,Plan!A:B,2,0)</f>
        <v>Disponible Cali B.Chile</v>
      </c>
      <c r="E5978" s="341">
        <f>+F5978-G5978</f>
        <v>12000</v>
      </c>
      <c r="F5978" s="396">
        <v>12000</v>
      </c>
      <c r="G5978" s="396">
        <v>0</v>
      </c>
      <c r="H5978" t="s">
        <v>1049</v>
      </c>
      <c r="I5978" s="355" t="s">
        <v>131</v>
      </c>
      <c r="K5978" s="370"/>
      <c r="N5978" s="370"/>
    </row>
    <row r="5979" spans="1:14" s="347" customFormat="1" x14ac:dyDescent="0.25">
      <c r="A5979" s="350">
        <f>+A5978</f>
        <v>44537</v>
      </c>
      <c r="B5979" s="403">
        <f>+MONTH(A5979)</f>
        <v>12</v>
      </c>
      <c r="C5979" s="352">
        <v>216</v>
      </c>
      <c r="D5979" s="340" t="str">
        <f>VLOOKUP(C5979,Plan!A:B,2,0)</f>
        <v>Cuenta por Pagar a Administración Colectas</v>
      </c>
      <c r="E5979" s="341">
        <f>+F5979-G5979</f>
        <v>-12000</v>
      </c>
      <c r="F5979" s="396">
        <v>0</v>
      </c>
      <c r="G5979" s="396">
        <f>+F5978</f>
        <v>12000</v>
      </c>
      <c r="H5979" t="str">
        <f>+H5978</f>
        <v>Colecta Celis Celedon Maria Soledad</v>
      </c>
      <c r="I5979" s="355" t="s">
        <v>131</v>
      </c>
      <c r="K5979" s="370"/>
      <c r="N5979" s="370"/>
    </row>
    <row r="5980" spans="1:14" s="347" customFormat="1" x14ac:dyDescent="0.25">
      <c r="A5980" s="369"/>
      <c r="E5980" s="396"/>
      <c r="F5980" s="396"/>
      <c r="G5980" s="396"/>
      <c r="K5980" s="370"/>
      <c r="N5980" s="370"/>
    </row>
    <row r="5981" spans="1:14" s="347" customFormat="1" x14ac:dyDescent="0.25">
      <c r="A5981" s="350">
        <v>44537</v>
      </c>
      <c r="B5981" s="403">
        <f>+MONTH(A5981)</f>
        <v>12</v>
      </c>
      <c r="C5981" s="352">
        <v>115</v>
      </c>
      <c r="D5981" s="340" t="str">
        <f>VLOOKUP(C5981,Plan!A:B,2,0)</f>
        <v>Disponible Cali B.Chile</v>
      </c>
      <c r="E5981" s="341">
        <f>+F5981-G5981</f>
        <v>25000</v>
      </c>
      <c r="F5981" s="396">
        <v>25000</v>
      </c>
      <c r="G5981" s="396">
        <v>0</v>
      </c>
      <c r="H5981" t="s">
        <v>981</v>
      </c>
      <c r="I5981" s="355" t="s">
        <v>131</v>
      </c>
      <c r="K5981" s="370"/>
      <c r="N5981" s="370"/>
    </row>
    <row r="5982" spans="1:14" s="347" customFormat="1" x14ac:dyDescent="0.25">
      <c r="A5982" s="350">
        <f>+A5981</f>
        <v>44537</v>
      </c>
      <c r="B5982" s="403">
        <f>+MONTH(A5982)</f>
        <v>12</v>
      </c>
      <c r="C5982" s="352">
        <v>1222</v>
      </c>
      <c r="D5982" s="340" t="str">
        <f>VLOOKUP(C5982,Plan!A:B,2,0)</f>
        <v>Otros Valores -Oficina y Transferencias (249)</v>
      </c>
      <c r="E5982" s="341">
        <f>+F5982-G5982</f>
        <v>-25000</v>
      </c>
      <c r="F5982" s="396">
        <v>0</v>
      </c>
      <c r="G5982" s="396">
        <f>+F5981</f>
        <v>25000</v>
      </c>
      <c r="H5982" t="str">
        <f>+H5981</f>
        <v xml:space="preserve">Soledad Celis / 249 </v>
      </c>
      <c r="I5982" s="355" t="s">
        <v>131</v>
      </c>
      <c r="K5982" s="370"/>
      <c r="N5982" s="370"/>
    </row>
    <row r="5983" spans="1:14" s="347" customFormat="1" x14ac:dyDescent="0.25">
      <c r="A5983" s="369"/>
      <c r="E5983" s="396"/>
      <c r="F5983" s="396"/>
      <c r="G5983" s="396"/>
      <c r="K5983" s="370"/>
      <c r="N5983" s="370"/>
    </row>
    <row r="5984" spans="1:14" s="347" customFormat="1" x14ac:dyDescent="0.25">
      <c r="A5984" s="667">
        <v>44537</v>
      </c>
      <c r="B5984" s="429">
        <f>+MONTH(A5984)</f>
        <v>12</v>
      </c>
      <c r="C5984" s="668">
        <v>115</v>
      </c>
      <c r="D5984" s="358" t="str">
        <f>VLOOKUP(C5984,Plan!A:B,2,0)</f>
        <v>Disponible Cali B.Chile</v>
      </c>
      <c r="E5984" s="359">
        <f>+F5984-G5984</f>
        <v>667584</v>
      </c>
      <c r="F5984" s="359">
        <v>667584</v>
      </c>
      <c r="G5984" s="359">
        <v>0</v>
      </c>
      <c r="H5984" s="584" t="s">
        <v>2337</v>
      </c>
      <c r="I5984" s="413" t="s">
        <v>131</v>
      </c>
      <c r="K5984" s="370"/>
      <c r="N5984" s="370"/>
    </row>
    <row r="5985" spans="1:14" s="347" customFormat="1" x14ac:dyDescent="0.25">
      <c r="A5985" s="667">
        <f>+A5984</f>
        <v>44537</v>
      </c>
      <c r="B5985" s="429">
        <f>+MONTH(A5985)</f>
        <v>12</v>
      </c>
      <c r="C5985" s="668">
        <v>1218</v>
      </c>
      <c r="D5985" s="358" t="str">
        <f>VLOOKUP(C5985,Plan!A:B,2,0)</f>
        <v>Otros Valores Tarjeta de Credito</v>
      </c>
      <c r="E5985" s="359">
        <f>+F5985-G5985</f>
        <v>-667584</v>
      </c>
      <c r="F5985" s="359">
        <v>0</v>
      </c>
      <c r="G5985" s="359">
        <f>+F5984</f>
        <v>667584</v>
      </c>
      <c r="H5985" s="428" t="str">
        <f>+H5984</f>
        <v>248 y 249 noviembre 2021</v>
      </c>
      <c r="I5985" s="413" t="s">
        <v>131</v>
      </c>
      <c r="K5985" s="370"/>
      <c r="N5985" s="370"/>
    </row>
    <row r="5986" spans="1:14" s="347" customFormat="1" x14ac:dyDescent="0.25">
      <c r="A5986" s="357"/>
      <c r="B5986" s="358"/>
      <c r="C5986" s="358"/>
      <c r="D5986" s="358"/>
      <c r="E5986" s="359"/>
      <c r="F5986" s="359"/>
      <c r="G5986" s="359"/>
      <c r="H5986" s="358"/>
      <c r="I5986" s="358"/>
      <c r="K5986" s="370"/>
      <c r="N5986" s="370"/>
    </row>
    <row r="5987" spans="1:14" s="347" customFormat="1" x14ac:dyDescent="0.25">
      <c r="A5987" s="667">
        <v>44537</v>
      </c>
      <c r="B5987" s="429">
        <f>+MONTH(A5987)</f>
        <v>12</v>
      </c>
      <c r="C5987" s="668">
        <v>4170</v>
      </c>
      <c r="D5987" s="358" t="str">
        <f>VLOOKUP(C5987,Plan!A:B,2,0)</f>
        <v>Cali otros</v>
      </c>
      <c r="E5987" s="359">
        <f>+F5987-G5987</f>
        <v>131674</v>
      </c>
      <c r="F5987" s="359">
        <v>131674</v>
      </c>
      <c r="G5987" s="359">
        <v>0</v>
      </c>
      <c r="H5987" s="584" t="s">
        <v>2377</v>
      </c>
      <c r="I5987" s="413" t="s">
        <v>131</v>
      </c>
      <c r="K5987" s="370"/>
      <c r="N5987" s="370"/>
    </row>
    <row r="5988" spans="1:14" s="347" customFormat="1" x14ac:dyDescent="0.25">
      <c r="A5988" s="667">
        <f>+A5987</f>
        <v>44537</v>
      </c>
      <c r="B5988" s="429">
        <f>+MONTH(A5988)</f>
        <v>12</v>
      </c>
      <c r="C5988" s="668">
        <v>115</v>
      </c>
      <c r="D5988" s="358" t="str">
        <f>VLOOKUP(C5988,Plan!A:B,2,0)</f>
        <v>Disponible Cali B.Chile</v>
      </c>
      <c r="E5988" s="359">
        <f>+F5988-G5988</f>
        <v>-131674</v>
      </c>
      <c r="F5988" s="359">
        <v>0</v>
      </c>
      <c r="G5988" s="359">
        <f>+F5987</f>
        <v>131674</v>
      </c>
      <c r="H5988" s="428" t="str">
        <f>+H5987</f>
        <v>Arriendo POS</v>
      </c>
      <c r="I5988" s="413" t="s">
        <v>131</v>
      </c>
      <c r="K5988" s="370"/>
      <c r="N5988" s="370"/>
    </row>
    <row r="5989" spans="1:14" s="347" customFormat="1" x14ac:dyDescent="0.25">
      <c r="A5989" s="369"/>
      <c r="E5989" s="396"/>
      <c r="F5989" s="396"/>
      <c r="G5989" s="396"/>
      <c r="K5989" s="370"/>
      <c r="N5989" s="370"/>
    </row>
    <row r="5990" spans="1:14" s="347" customFormat="1" x14ac:dyDescent="0.25">
      <c r="A5990" s="350">
        <v>44537</v>
      </c>
      <c r="B5990" s="403">
        <f>+MONTH(A5990)</f>
        <v>12</v>
      </c>
      <c r="C5990" s="352">
        <v>115</v>
      </c>
      <c r="D5990" s="340" t="str">
        <f>VLOOKUP(C5990,Plan!A:B,2,0)</f>
        <v>Disponible Cali B.Chile</v>
      </c>
      <c r="E5990" s="341">
        <f>+F5990-G5990</f>
        <v>160000</v>
      </c>
      <c r="F5990" s="396">
        <v>160000</v>
      </c>
      <c r="G5990" s="396">
        <v>0</v>
      </c>
      <c r="H5990" t="s">
        <v>1700</v>
      </c>
      <c r="I5990" s="355" t="s">
        <v>131</v>
      </c>
      <c r="K5990" s="370"/>
      <c r="N5990" s="370"/>
    </row>
    <row r="5991" spans="1:14" s="347" customFormat="1" x14ac:dyDescent="0.25">
      <c r="A5991" s="350">
        <f>+A5990</f>
        <v>44537</v>
      </c>
      <c r="B5991" s="403">
        <f>+MONTH(A5991)</f>
        <v>12</v>
      </c>
      <c r="C5991" s="352">
        <v>1217</v>
      </c>
      <c r="D5991" s="340" t="str">
        <f>VLOOKUP(C5991,Plan!A:B,2,0)</f>
        <v>Otros Valores -Oficina y Transferencias (248)</v>
      </c>
      <c r="E5991" s="341">
        <f>+F5991-G5991</f>
        <v>-160000</v>
      </c>
      <c r="F5991" s="396">
        <v>0</v>
      </c>
      <c r="G5991" s="396">
        <f>+F5990</f>
        <v>160000</v>
      </c>
      <c r="H5991" t="str">
        <f>+H5990</f>
        <v>Guillermo Rosende Álvarez / 248</v>
      </c>
      <c r="I5991" s="355" t="s">
        <v>131</v>
      </c>
      <c r="K5991" s="370"/>
      <c r="N5991" s="370"/>
    </row>
    <row r="5992" spans="1:14" s="347" customFormat="1" x14ac:dyDescent="0.25">
      <c r="A5992" s="369"/>
      <c r="E5992" s="396"/>
      <c r="F5992" s="396"/>
      <c r="G5992" s="396"/>
      <c r="K5992" s="370"/>
      <c r="N5992" s="370"/>
    </row>
    <row r="5993" spans="1:14" s="347" customFormat="1" x14ac:dyDescent="0.25">
      <c r="A5993" s="350">
        <v>44539</v>
      </c>
      <c r="B5993" s="403">
        <f>+MONTH(A5993)</f>
        <v>12</v>
      </c>
      <c r="C5993" s="352">
        <v>115</v>
      </c>
      <c r="D5993" s="340" t="str">
        <f>VLOOKUP(C5993,Plan!A:B,2,0)</f>
        <v>Disponible Cali B.Chile</v>
      </c>
      <c r="E5993" s="341">
        <f>+F5993-G5993</f>
        <v>408333</v>
      </c>
      <c r="F5993" s="396">
        <v>408333</v>
      </c>
      <c r="G5993" s="396">
        <v>0</v>
      </c>
      <c r="H5993" t="s">
        <v>2369</v>
      </c>
      <c r="I5993" s="355" t="s">
        <v>131</v>
      </c>
      <c r="K5993" s="370"/>
      <c r="N5993" s="370" t="s">
        <v>2368</v>
      </c>
    </row>
    <row r="5994" spans="1:14" s="347" customFormat="1" x14ac:dyDescent="0.25">
      <c r="A5994" s="350">
        <f>+A5993</f>
        <v>44539</v>
      </c>
      <c r="B5994" s="403">
        <f>+MONTH(A5994)</f>
        <v>12</v>
      </c>
      <c r="C5994" s="352">
        <v>233</v>
      </c>
      <c r="D5994" s="340" t="str">
        <f>VLOOKUP(C5994,Plan!A:B,2,0)</f>
        <v>Otras Provisiones (Proyecto Especificos)</v>
      </c>
      <c r="E5994" s="341">
        <f>+F5994-G5994</f>
        <v>-408333</v>
      </c>
      <c r="F5994" s="396">
        <v>0</v>
      </c>
      <c r="G5994" s="396">
        <f>+F5993</f>
        <v>408333</v>
      </c>
      <c r="H5994" t="str">
        <f>+H5993</f>
        <v>San Jóse Tomas Alcalde</v>
      </c>
      <c r="I5994" s="355" t="s">
        <v>131</v>
      </c>
      <c r="K5994" s="370"/>
      <c r="N5994" s="370" t="s">
        <v>2368</v>
      </c>
    </row>
    <row r="5995" spans="1:14" s="347" customFormat="1" x14ac:dyDescent="0.25">
      <c r="A5995" s="369"/>
      <c r="E5995" s="396"/>
      <c r="F5995" s="396"/>
      <c r="G5995" s="396"/>
      <c r="K5995" s="370"/>
      <c r="N5995" s="370"/>
    </row>
    <row r="5996" spans="1:14" s="347" customFormat="1" x14ac:dyDescent="0.25">
      <c r="A5996" s="350">
        <v>44539</v>
      </c>
      <c r="B5996" s="403">
        <f>+MONTH(A5996)</f>
        <v>12</v>
      </c>
      <c r="C5996" s="352">
        <v>115</v>
      </c>
      <c r="D5996" s="340" t="str">
        <f>VLOOKUP(C5996,Plan!A:B,2,0)</f>
        <v>Disponible Cali B.Chile</v>
      </c>
      <c r="E5996" s="341">
        <f>+F5996-G5996</f>
        <v>250000</v>
      </c>
      <c r="F5996" s="396">
        <v>250000</v>
      </c>
      <c r="G5996" s="396">
        <v>0</v>
      </c>
      <c r="H5996" t="s">
        <v>2378</v>
      </c>
      <c r="I5996" s="355" t="s">
        <v>131</v>
      </c>
      <c r="K5996" s="370"/>
      <c r="N5996" s="370" t="s">
        <v>2368</v>
      </c>
    </row>
    <row r="5997" spans="1:14" s="347" customFormat="1" x14ac:dyDescent="0.25">
      <c r="A5997" s="350">
        <f>+A5996</f>
        <v>44539</v>
      </c>
      <c r="B5997" s="403">
        <f>+MONTH(A5997)</f>
        <v>12</v>
      </c>
      <c r="C5997" s="352">
        <v>233</v>
      </c>
      <c r="D5997" s="340" t="str">
        <f>VLOOKUP(C5997,Plan!A:B,2,0)</f>
        <v>Otras Provisiones (Proyecto Especificos)</v>
      </c>
      <c r="E5997" s="341">
        <f>+F5997-G5997</f>
        <v>-250000</v>
      </c>
      <c r="F5997" s="396">
        <v>0</v>
      </c>
      <c r="G5997" s="396">
        <f>+F5996</f>
        <v>250000</v>
      </c>
      <c r="H5997" t="str">
        <f>+H5996</f>
        <v>San Jóse Guillermo Rosende Alvarez</v>
      </c>
      <c r="I5997" s="355" t="s">
        <v>131</v>
      </c>
      <c r="K5997" s="370"/>
      <c r="N5997" s="370" t="s">
        <v>2368</v>
      </c>
    </row>
    <row r="5998" spans="1:14" s="347" customFormat="1" x14ac:dyDescent="0.25">
      <c r="A5998" s="369"/>
      <c r="E5998" s="396"/>
      <c r="F5998" s="396"/>
      <c r="G5998" s="396"/>
      <c r="K5998" s="370"/>
      <c r="N5998" s="370"/>
    </row>
    <row r="5999" spans="1:14" s="347" customFormat="1" x14ac:dyDescent="0.25">
      <c r="A5999" s="350">
        <v>44539</v>
      </c>
      <c r="B5999" s="403">
        <f>+MONTH(A5999)</f>
        <v>12</v>
      </c>
      <c r="C5999" s="352">
        <v>115</v>
      </c>
      <c r="D5999" s="340" t="str">
        <f>VLOOKUP(C5999,Plan!A:B,2,0)</f>
        <v>Disponible Cali B.Chile</v>
      </c>
      <c r="E5999" s="341">
        <f>+F5999-G5999</f>
        <v>45000</v>
      </c>
      <c r="F5999" s="396">
        <v>45000</v>
      </c>
      <c r="G5999" s="396">
        <v>0</v>
      </c>
      <c r="H5999" t="s">
        <v>1011</v>
      </c>
      <c r="I5999" s="355" t="s">
        <v>131</v>
      </c>
      <c r="K5999" s="370"/>
      <c r="N5999" s="370"/>
    </row>
    <row r="6000" spans="1:14" s="347" customFormat="1" x14ac:dyDescent="0.25">
      <c r="A6000" s="350">
        <f>+A5999</f>
        <v>44539</v>
      </c>
      <c r="B6000" s="403">
        <f>+MONTH(A6000)</f>
        <v>12</v>
      </c>
      <c r="C6000" s="352">
        <v>1222</v>
      </c>
      <c r="D6000" s="340" t="str">
        <f>VLOOKUP(C6000,Plan!A:B,2,0)</f>
        <v>Otros Valores -Oficina y Transferencias (249)</v>
      </c>
      <c r="E6000" s="341">
        <f>+F6000-G6000</f>
        <v>-45000</v>
      </c>
      <c r="F6000" s="396">
        <v>0</v>
      </c>
      <c r="G6000" s="396">
        <f>+F5999</f>
        <v>45000</v>
      </c>
      <c r="H6000" t="str">
        <f>+H5999</f>
        <v>Mauricio Hargous Larraín / 249</v>
      </c>
      <c r="I6000" s="355" t="s">
        <v>131</v>
      </c>
      <c r="K6000" s="370"/>
      <c r="N6000" s="370"/>
    </row>
    <row r="6001" spans="1:14" s="347" customFormat="1" x14ac:dyDescent="0.25">
      <c r="A6001" s="369"/>
      <c r="E6001" s="396"/>
      <c r="F6001" s="396"/>
      <c r="G6001" s="396"/>
      <c r="K6001" s="370"/>
      <c r="N6001" s="370"/>
    </row>
    <row r="6002" spans="1:14" s="347" customFormat="1" x14ac:dyDescent="0.25">
      <c r="A6002" s="350">
        <v>44539</v>
      </c>
      <c r="B6002" s="403">
        <f>+MONTH(A6002)</f>
        <v>12</v>
      </c>
      <c r="C6002" s="352">
        <v>115</v>
      </c>
      <c r="D6002" s="340" t="str">
        <f>VLOOKUP(C6002,Plan!A:B,2,0)</f>
        <v>Disponible Cali B.Chile</v>
      </c>
      <c r="E6002" s="341">
        <f>+F6002-G6002</f>
        <v>15000</v>
      </c>
      <c r="F6002" s="396">
        <v>15000</v>
      </c>
      <c r="G6002" s="396">
        <v>0</v>
      </c>
      <c r="H6002" t="s">
        <v>1761</v>
      </c>
      <c r="I6002" s="355" t="s">
        <v>131</v>
      </c>
      <c r="K6002" s="370"/>
      <c r="N6002" s="370"/>
    </row>
    <row r="6003" spans="1:14" s="347" customFormat="1" x14ac:dyDescent="0.25">
      <c r="A6003" s="350">
        <f>+A6002</f>
        <v>44539</v>
      </c>
      <c r="B6003" s="403">
        <f>+MONTH(A6003)</f>
        <v>12</v>
      </c>
      <c r="C6003" s="352">
        <v>3210</v>
      </c>
      <c r="D6003" s="340" t="str">
        <f>VLOOKUP(C6003,Plan!A:B,2,0)</f>
        <v>Donacion Construccion</v>
      </c>
      <c r="E6003" s="341">
        <f>+F6003-G6003</f>
        <v>-15000</v>
      </c>
      <c r="F6003" s="396">
        <v>0</v>
      </c>
      <c r="G6003" s="396">
        <f>+F6002</f>
        <v>15000</v>
      </c>
      <c r="H6003" t="str">
        <f>+H6002</f>
        <v>Carlos Alberto Fonck Limann / Azul</v>
      </c>
      <c r="I6003" s="355" t="s">
        <v>131</v>
      </c>
      <c r="K6003" s="370"/>
      <c r="N6003" s="370"/>
    </row>
    <row r="6004" spans="1:14" s="347" customFormat="1" x14ac:dyDescent="0.25">
      <c r="A6004" s="369"/>
      <c r="E6004" s="396"/>
      <c r="F6004" s="396"/>
      <c r="G6004" s="396"/>
      <c r="K6004" s="370"/>
      <c r="N6004" s="370"/>
    </row>
    <row r="6005" spans="1:14" s="347" customFormat="1" x14ac:dyDescent="0.25">
      <c r="A6005" s="350">
        <v>44539</v>
      </c>
      <c r="B6005" s="403">
        <f>+MONTH(A6005)</f>
        <v>12</v>
      </c>
      <c r="C6005" s="352">
        <v>115</v>
      </c>
      <c r="D6005" s="340" t="str">
        <f>VLOOKUP(C6005,Plan!A:B,2,0)</f>
        <v>Disponible Cali B.Chile</v>
      </c>
      <c r="E6005" s="341">
        <f>+F6005-G6005</f>
        <v>96751</v>
      </c>
      <c r="F6005" s="396">
        <v>96751</v>
      </c>
      <c r="G6005" s="396">
        <v>0</v>
      </c>
      <c r="H6005" t="s">
        <v>2379</v>
      </c>
      <c r="I6005" s="355" t="s">
        <v>131</v>
      </c>
      <c r="K6005" s="370"/>
      <c r="N6005" s="370"/>
    </row>
    <row r="6006" spans="1:14" s="347" customFormat="1" x14ac:dyDescent="0.25">
      <c r="A6006" s="350">
        <f>+A6005</f>
        <v>44539</v>
      </c>
      <c r="B6006" s="403">
        <f>+MONTH(A6006)</f>
        <v>12</v>
      </c>
      <c r="C6006" s="352">
        <v>3210</v>
      </c>
      <c r="D6006" s="340" t="str">
        <f>VLOOKUP(C6006,Plan!A:B,2,0)</f>
        <v>Donacion Construccion</v>
      </c>
      <c r="E6006" s="341">
        <f>+F6006-G6006</f>
        <v>-96751</v>
      </c>
      <c r="F6006" s="396">
        <v>0</v>
      </c>
      <c r="G6006" s="396">
        <f>+F6005</f>
        <v>96751</v>
      </c>
      <c r="H6006" t="str">
        <f>+H6005</f>
        <v>Germán Undurraga Ossa / Azul (M$100)</v>
      </c>
      <c r="I6006" s="355" t="s">
        <v>131</v>
      </c>
      <c r="K6006" s="370"/>
      <c r="N6006" s="370"/>
    </row>
    <row r="6007" spans="1:14" s="347" customFormat="1" x14ac:dyDescent="0.25">
      <c r="A6007" s="369"/>
      <c r="E6007" s="396"/>
      <c r="F6007" s="396"/>
      <c r="G6007" s="396"/>
      <c r="K6007" s="370"/>
      <c r="N6007" s="370"/>
    </row>
    <row r="6008" spans="1:14" s="347" customFormat="1" x14ac:dyDescent="0.25">
      <c r="A6008" s="350">
        <v>44540</v>
      </c>
      <c r="B6008" s="403">
        <f>+MONTH(A6008)</f>
        <v>12</v>
      </c>
      <c r="C6008" s="352">
        <v>115</v>
      </c>
      <c r="D6008" s="340" t="str">
        <f>VLOOKUP(C6008,Plan!A:B,2,0)</f>
        <v>Disponible Cali B.Chile</v>
      </c>
      <c r="E6008" s="341">
        <f>+F6008-G6008</f>
        <v>120000</v>
      </c>
      <c r="F6008" s="396">
        <v>120000</v>
      </c>
      <c r="G6008" s="396">
        <v>0</v>
      </c>
      <c r="H6008" t="s">
        <v>987</v>
      </c>
      <c r="I6008" s="355" t="s">
        <v>131</v>
      </c>
      <c r="K6008" s="370"/>
      <c r="N6008" s="370"/>
    </row>
    <row r="6009" spans="1:14" s="347" customFormat="1" x14ac:dyDescent="0.25">
      <c r="A6009" s="350">
        <f>+A6008</f>
        <v>44540</v>
      </c>
      <c r="B6009" s="403">
        <f>+MONTH(A6009)</f>
        <v>12</v>
      </c>
      <c r="C6009" s="352">
        <v>1217</v>
      </c>
      <c r="D6009" s="340" t="str">
        <f>VLOOKUP(C6009,Plan!A:B,2,0)</f>
        <v>Otros Valores -Oficina y Transferencias (248)</v>
      </c>
      <c r="E6009" s="341">
        <f>+F6009-G6009</f>
        <v>-120000</v>
      </c>
      <c r="F6009" s="396">
        <v>0</v>
      </c>
      <c r="G6009" s="396">
        <f>+F6008</f>
        <v>120000</v>
      </c>
      <c r="H6009" t="str">
        <f>+H6008</f>
        <v xml:space="preserve">I. Ureta / 248 </v>
      </c>
      <c r="I6009" s="355" t="s">
        <v>131</v>
      </c>
      <c r="K6009" s="370"/>
      <c r="N6009" s="370"/>
    </row>
    <row r="6010" spans="1:14" s="347" customFormat="1" x14ac:dyDescent="0.25">
      <c r="A6010" s="369"/>
      <c r="E6010" s="396"/>
      <c r="F6010" s="396"/>
      <c r="G6010" s="396"/>
      <c r="K6010" s="370"/>
      <c r="N6010" s="370"/>
    </row>
    <row r="6011" spans="1:14" s="347" customFormat="1" x14ac:dyDescent="0.25">
      <c r="A6011" s="350">
        <v>44540</v>
      </c>
      <c r="B6011" s="403">
        <f>+MONTH(A6011)</f>
        <v>12</v>
      </c>
      <c r="C6011" s="352">
        <v>115</v>
      </c>
      <c r="D6011" s="340" t="str">
        <f>VLOOKUP(C6011,Plan!A:B,2,0)</f>
        <v>Disponible Cali B.Chile</v>
      </c>
      <c r="E6011" s="341">
        <f>+F6011-G6011</f>
        <v>12000</v>
      </c>
      <c r="F6011" s="396">
        <v>12000</v>
      </c>
      <c r="G6011" s="396">
        <v>0</v>
      </c>
      <c r="H6011" t="s">
        <v>1020</v>
      </c>
      <c r="I6011" s="355" t="s">
        <v>131</v>
      </c>
      <c r="K6011" s="370"/>
      <c r="N6011" s="370"/>
    </row>
    <row r="6012" spans="1:14" s="347" customFormat="1" x14ac:dyDescent="0.25">
      <c r="A6012" s="350">
        <f>+A6011</f>
        <v>44540</v>
      </c>
      <c r="B6012" s="403">
        <f>+MONTH(A6012)</f>
        <v>12</v>
      </c>
      <c r="C6012" s="352">
        <v>1217</v>
      </c>
      <c r="D6012" s="340" t="str">
        <f>VLOOKUP(C6012,Plan!A:B,2,0)</f>
        <v>Otros Valores -Oficina y Transferencias (248)</v>
      </c>
      <c r="E6012" s="341">
        <f>+F6012-G6012</f>
        <v>-12000</v>
      </c>
      <c r="F6012" s="396">
        <v>0</v>
      </c>
      <c r="G6012" s="396">
        <f>+F6011</f>
        <v>12000</v>
      </c>
      <c r="H6012" t="str">
        <f>+H6011</f>
        <v xml:space="preserve">M.Cristina Valenzuela L./248 </v>
      </c>
      <c r="I6012" s="355" t="s">
        <v>131</v>
      </c>
      <c r="K6012" s="370"/>
      <c r="N6012" s="370"/>
    </row>
    <row r="6013" spans="1:14" s="347" customFormat="1" x14ac:dyDescent="0.25">
      <c r="A6013" s="369"/>
      <c r="E6013" s="396"/>
      <c r="F6013" s="396"/>
      <c r="G6013" s="396"/>
      <c r="K6013" s="370"/>
      <c r="N6013" s="370"/>
    </row>
    <row r="6014" spans="1:14" s="347" customFormat="1" x14ac:dyDescent="0.25">
      <c r="A6014" s="350">
        <v>44540</v>
      </c>
      <c r="B6014" s="403">
        <f>+MONTH(A6014)</f>
        <v>12</v>
      </c>
      <c r="C6014" s="352">
        <v>115</v>
      </c>
      <c r="D6014" s="340" t="str">
        <f>VLOOKUP(C6014,Plan!A:B,2,0)</f>
        <v>Disponible Cali B.Chile</v>
      </c>
      <c r="E6014" s="341">
        <f>+F6014-G6014</f>
        <v>20000</v>
      </c>
      <c r="F6014" s="396">
        <v>20000</v>
      </c>
      <c r="G6014" s="396">
        <v>0</v>
      </c>
      <c r="H6014" t="s">
        <v>1035</v>
      </c>
      <c r="I6014" s="355" t="s">
        <v>131</v>
      </c>
      <c r="K6014" s="370"/>
      <c r="N6014" s="370"/>
    </row>
    <row r="6015" spans="1:14" s="347" customFormat="1" x14ac:dyDescent="0.25">
      <c r="A6015" s="350">
        <f>+A6014</f>
        <v>44540</v>
      </c>
      <c r="B6015" s="403">
        <f>+MONTH(A6015)</f>
        <v>12</v>
      </c>
      <c r="C6015" s="352">
        <v>1217</v>
      </c>
      <c r="D6015" s="340" t="str">
        <f>VLOOKUP(C6015,Plan!A:B,2,0)</f>
        <v>Otros Valores -Oficina y Transferencias (248)</v>
      </c>
      <c r="E6015" s="341">
        <f>+F6015-G6015</f>
        <v>-20000</v>
      </c>
      <c r="F6015" s="396">
        <v>0</v>
      </c>
      <c r="G6015" s="396">
        <f>+F6014</f>
        <v>20000</v>
      </c>
      <c r="H6015" t="str">
        <f>+H6014</f>
        <v xml:space="preserve">Fabián Rodríguez Ch. / 248 </v>
      </c>
      <c r="I6015" s="355" t="s">
        <v>131</v>
      </c>
      <c r="K6015" s="370"/>
      <c r="N6015" s="370"/>
    </row>
    <row r="6016" spans="1:14" s="347" customFormat="1" x14ac:dyDescent="0.25">
      <c r="A6016" s="369"/>
      <c r="E6016" s="396"/>
      <c r="F6016" s="396"/>
      <c r="G6016" s="396"/>
      <c r="K6016" s="370"/>
      <c r="N6016" s="370"/>
    </row>
    <row r="6017" spans="1:14" s="347" customFormat="1" x14ac:dyDescent="0.25">
      <c r="A6017" s="350">
        <v>44540</v>
      </c>
      <c r="B6017" s="403">
        <f>+MONTH(A6017)</f>
        <v>12</v>
      </c>
      <c r="C6017" s="352">
        <v>115</v>
      </c>
      <c r="D6017" s="340" t="str">
        <f>VLOOKUP(C6017,Plan!A:B,2,0)</f>
        <v>Disponible Cali B.Chile</v>
      </c>
      <c r="E6017" s="341">
        <f>+F6017-G6017</f>
        <v>30000</v>
      </c>
      <c r="F6017" s="396">
        <v>30000</v>
      </c>
      <c r="G6017" s="396">
        <v>0</v>
      </c>
      <c r="H6017" t="s">
        <v>1015</v>
      </c>
      <c r="I6017" s="355" t="s">
        <v>131</v>
      </c>
      <c r="K6017" s="370"/>
      <c r="N6017" s="370"/>
    </row>
    <row r="6018" spans="1:14" s="347" customFormat="1" x14ac:dyDescent="0.25">
      <c r="A6018" s="350">
        <f>+A6017</f>
        <v>44540</v>
      </c>
      <c r="B6018" s="403">
        <f>+MONTH(A6018)</f>
        <v>12</v>
      </c>
      <c r="C6018" s="352">
        <v>1222</v>
      </c>
      <c r="D6018" s="340" t="str">
        <f>VLOOKUP(C6018,Plan!A:B,2,0)</f>
        <v>Otros Valores -Oficina y Transferencias (249)</v>
      </c>
      <c r="E6018" s="341">
        <f>+F6018-G6018</f>
        <v>-30000</v>
      </c>
      <c r="F6018" s="396">
        <v>0</v>
      </c>
      <c r="G6018" s="396">
        <f>+F6017</f>
        <v>30000</v>
      </c>
      <c r="H6018" t="str">
        <f>+H6017</f>
        <v>Enrique Hurtado Ruiz-Tagle / 249</v>
      </c>
      <c r="I6018" s="355" t="s">
        <v>131</v>
      </c>
      <c r="K6018" s="370"/>
      <c r="N6018" s="370"/>
    </row>
    <row r="6019" spans="1:14" s="347" customFormat="1" x14ac:dyDescent="0.25">
      <c r="A6019" s="369"/>
      <c r="E6019" s="396"/>
      <c r="F6019" s="396"/>
      <c r="G6019" s="396"/>
      <c r="K6019" s="370"/>
      <c r="N6019" s="370"/>
    </row>
    <row r="6020" spans="1:14" s="347" customFormat="1" x14ac:dyDescent="0.25">
      <c r="A6020" s="350">
        <v>44540</v>
      </c>
      <c r="B6020" s="403">
        <f>+MONTH(A6020)</f>
        <v>12</v>
      </c>
      <c r="C6020" s="352">
        <v>115</v>
      </c>
      <c r="D6020" s="340" t="str">
        <f>VLOOKUP(C6020,Plan!A:B,2,0)</f>
        <v>Disponible Cali B.Chile</v>
      </c>
      <c r="E6020" s="341">
        <f>+F6020-G6020</f>
        <v>17000</v>
      </c>
      <c r="F6020" s="396">
        <v>17000</v>
      </c>
      <c r="G6020" s="396">
        <v>0</v>
      </c>
      <c r="H6020" t="s">
        <v>1016</v>
      </c>
      <c r="I6020" s="355" t="s">
        <v>131</v>
      </c>
      <c r="K6020" s="370"/>
      <c r="N6020" s="370"/>
    </row>
    <row r="6021" spans="1:14" s="347" customFormat="1" x14ac:dyDescent="0.25">
      <c r="A6021" s="350">
        <f>+A6020</f>
        <v>44540</v>
      </c>
      <c r="B6021" s="403">
        <f>+MONTH(A6021)</f>
        <v>12</v>
      </c>
      <c r="C6021" s="352">
        <v>1222</v>
      </c>
      <c r="D6021" s="340" t="str">
        <f>VLOOKUP(C6021,Plan!A:B,2,0)</f>
        <v>Otros Valores -Oficina y Transferencias (249)</v>
      </c>
      <c r="E6021" s="341">
        <f>+F6021-G6021</f>
        <v>-17000</v>
      </c>
      <c r="F6021" s="396">
        <v>0</v>
      </c>
      <c r="G6021" s="396">
        <f>+F6020</f>
        <v>17000</v>
      </c>
      <c r="H6021" t="str">
        <f>+H6020</f>
        <v>Alejandra Pérez Fabres / 249</v>
      </c>
      <c r="I6021" s="355" t="s">
        <v>131</v>
      </c>
      <c r="K6021" s="370"/>
      <c r="N6021" s="370"/>
    </row>
    <row r="6022" spans="1:14" s="347" customFormat="1" x14ac:dyDescent="0.25">
      <c r="A6022" s="369"/>
      <c r="E6022" s="396"/>
      <c r="F6022" s="396"/>
      <c r="G6022" s="396"/>
      <c r="K6022" s="370"/>
      <c r="N6022" s="370"/>
    </row>
    <row r="6023" spans="1:14" s="347" customFormat="1" x14ac:dyDescent="0.25">
      <c r="A6023" s="350">
        <v>44540</v>
      </c>
      <c r="B6023" s="403">
        <f>+MONTH(A6023)</f>
        <v>12</v>
      </c>
      <c r="C6023" s="352">
        <v>115</v>
      </c>
      <c r="D6023" s="340" t="str">
        <f>VLOOKUP(C6023,Plan!A:B,2,0)</f>
        <v>Disponible Cali B.Chile</v>
      </c>
      <c r="E6023" s="341">
        <f>+F6023-G6023</f>
        <v>100000000</v>
      </c>
      <c r="F6023" s="396">
        <v>100000000</v>
      </c>
      <c r="G6023" s="396">
        <v>0</v>
      </c>
      <c r="H6023" t="s">
        <v>2380</v>
      </c>
      <c r="I6023" s="355" t="s">
        <v>131</v>
      </c>
      <c r="K6023" s="370"/>
      <c r="N6023" s="370"/>
    </row>
    <row r="6024" spans="1:14" s="347" customFormat="1" x14ac:dyDescent="0.25">
      <c r="A6024" s="350">
        <f>+A6023</f>
        <v>44540</v>
      </c>
      <c r="B6024" s="403">
        <f>+MONTH(A6024)</f>
        <v>12</v>
      </c>
      <c r="C6024" s="352">
        <v>3210</v>
      </c>
      <c r="D6024" s="340" t="str">
        <f>VLOOKUP(C6024,Plan!A:B,2,0)</f>
        <v>Donacion Construccion</v>
      </c>
      <c r="E6024" s="341">
        <f>+F6024-G6024</f>
        <v>-100000000</v>
      </c>
      <c r="F6024" s="396">
        <v>0</v>
      </c>
      <c r="G6024" s="396">
        <f>+F6023</f>
        <v>100000000</v>
      </c>
      <c r="H6024" t="str">
        <f>+H6023</f>
        <v>Gustavo Pavez / Azul 250</v>
      </c>
      <c r="I6024" s="355" t="s">
        <v>131</v>
      </c>
      <c r="K6024" s="370"/>
      <c r="N6024" s="370"/>
    </row>
    <row r="6025" spans="1:14" s="347" customFormat="1" x14ac:dyDescent="0.25">
      <c r="A6025" s="369"/>
      <c r="E6025" s="396"/>
      <c r="F6025" s="396"/>
      <c r="G6025" s="396"/>
      <c r="K6025" s="370"/>
      <c r="N6025" s="370"/>
    </row>
    <row r="6026" spans="1:14" s="347" customFormat="1" x14ac:dyDescent="0.25">
      <c r="A6026" s="350">
        <v>44540</v>
      </c>
      <c r="B6026" s="403">
        <f>+MONTH(A6026)</f>
        <v>12</v>
      </c>
      <c r="C6026" s="352">
        <v>115</v>
      </c>
      <c r="D6026" s="340" t="str">
        <f>VLOOKUP(C6026,Plan!A:B,2,0)</f>
        <v>Disponible Cali B.Chile</v>
      </c>
      <c r="E6026" s="341">
        <f>+F6026-G6026</f>
        <v>30000</v>
      </c>
      <c r="F6026" s="396">
        <v>30000</v>
      </c>
      <c r="G6026" s="396">
        <v>0</v>
      </c>
      <c r="H6026" t="s">
        <v>1066</v>
      </c>
      <c r="I6026" s="355" t="s">
        <v>131</v>
      </c>
      <c r="K6026" s="370"/>
      <c r="N6026" s="370"/>
    </row>
    <row r="6027" spans="1:14" s="347" customFormat="1" x14ac:dyDescent="0.25">
      <c r="A6027" s="350">
        <f>+A6026</f>
        <v>44540</v>
      </c>
      <c r="B6027" s="403">
        <f>+MONTH(A6027)</f>
        <v>12</v>
      </c>
      <c r="C6027" s="352">
        <v>1222</v>
      </c>
      <c r="D6027" s="340" t="str">
        <f>VLOOKUP(C6027,Plan!A:B,2,0)</f>
        <v>Otros Valores -Oficina y Transferencias (249)</v>
      </c>
      <c r="E6027" s="341">
        <f>+F6027-G6027</f>
        <v>-30000</v>
      </c>
      <c r="F6027" s="396">
        <v>0</v>
      </c>
      <c r="G6027" s="396">
        <f>+F6026</f>
        <v>30000</v>
      </c>
      <c r="H6027" t="str">
        <f>+H6026</f>
        <v>Marie Solange Vinet Homar / 249</v>
      </c>
      <c r="I6027" s="355" t="s">
        <v>131</v>
      </c>
      <c r="K6027" s="370"/>
      <c r="N6027" s="370"/>
    </row>
    <row r="6028" spans="1:14" s="347" customFormat="1" x14ac:dyDescent="0.25">
      <c r="A6028" s="369"/>
      <c r="E6028" s="396"/>
      <c r="F6028" s="396"/>
      <c r="G6028" s="396"/>
      <c r="K6028" s="370"/>
      <c r="N6028" s="370"/>
    </row>
    <row r="6029" spans="1:14" s="347" customFormat="1" x14ac:dyDescent="0.25">
      <c r="A6029" s="350">
        <v>44540</v>
      </c>
      <c r="B6029" s="403">
        <f>+MONTH(A6029)</f>
        <v>12</v>
      </c>
      <c r="C6029" s="352">
        <v>115</v>
      </c>
      <c r="D6029" s="340" t="str">
        <f>VLOOKUP(C6029,Plan!A:B,2,0)</f>
        <v>Disponible Cali B.Chile</v>
      </c>
      <c r="E6029" s="341">
        <f>+F6029-G6029</f>
        <v>60000</v>
      </c>
      <c r="F6029" s="396">
        <v>60000</v>
      </c>
      <c r="G6029" s="396">
        <v>0</v>
      </c>
      <c r="H6029" t="s">
        <v>1031</v>
      </c>
      <c r="I6029" s="355" t="s">
        <v>131</v>
      </c>
      <c r="K6029" s="370"/>
      <c r="N6029" s="370"/>
    </row>
    <row r="6030" spans="1:14" s="347" customFormat="1" x14ac:dyDescent="0.25">
      <c r="A6030" s="350">
        <f>+A6029</f>
        <v>44540</v>
      </c>
      <c r="B6030" s="403">
        <f>+MONTH(A6030)</f>
        <v>12</v>
      </c>
      <c r="C6030" s="352">
        <v>1217</v>
      </c>
      <c r="D6030" s="340" t="str">
        <f>VLOOKUP(C6030,Plan!A:B,2,0)</f>
        <v>Otros Valores -Oficina y Transferencias (248)</v>
      </c>
      <c r="E6030" s="341">
        <f>+F6030-G6030</f>
        <v>-60000</v>
      </c>
      <c r="F6030" s="396">
        <v>0</v>
      </c>
      <c r="G6030" s="396">
        <f>+F6029</f>
        <v>60000</v>
      </c>
      <c r="H6030" t="str">
        <f>+H6029</f>
        <v xml:space="preserve">D. Vassiliu /248 </v>
      </c>
      <c r="I6030" s="355" t="s">
        <v>131</v>
      </c>
      <c r="K6030" s="370"/>
      <c r="N6030" s="370"/>
    </row>
    <row r="6031" spans="1:14" s="347" customFormat="1" x14ac:dyDescent="0.25">
      <c r="A6031" s="369"/>
      <c r="E6031" s="396"/>
      <c r="F6031" s="396"/>
      <c r="G6031" s="396"/>
      <c r="K6031" s="370"/>
      <c r="N6031" s="370"/>
    </row>
    <row r="6032" spans="1:14" s="347" customFormat="1" x14ac:dyDescent="0.25">
      <c r="A6032" s="350">
        <v>44543</v>
      </c>
      <c r="B6032" s="403">
        <f>+MONTH(A6032)</f>
        <v>12</v>
      </c>
      <c r="C6032" s="352">
        <v>115</v>
      </c>
      <c r="D6032" s="340" t="str">
        <f>VLOOKUP(C6032,Plan!A:B,2,0)</f>
        <v>Disponible Cali B.Chile</v>
      </c>
      <c r="E6032" s="341">
        <f>+F6032-G6032</f>
        <v>60000</v>
      </c>
      <c r="F6032" s="396">
        <v>60000</v>
      </c>
      <c r="G6032" s="396">
        <v>0</v>
      </c>
      <c r="H6032" t="s">
        <v>1003</v>
      </c>
      <c r="I6032" s="355" t="s">
        <v>131</v>
      </c>
      <c r="K6032" s="370"/>
      <c r="N6032" s="370"/>
    </row>
    <row r="6033" spans="1:14" s="347" customFormat="1" x14ac:dyDescent="0.25">
      <c r="A6033" s="350">
        <f>+A6032</f>
        <v>44543</v>
      </c>
      <c r="B6033" s="403">
        <f>+MONTH(A6033)</f>
        <v>12</v>
      </c>
      <c r="C6033" s="352">
        <v>3210</v>
      </c>
      <c r="D6033" s="340" t="str">
        <f>VLOOKUP(C6033,Plan!A:B,2,0)</f>
        <v>Donacion Construccion</v>
      </c>
      <c r="E6033" s="341">
        <f>+F6033-G6033</f>
        <v>-60000</v>
      </c>
      <c r="F6033" s="396">
        <v>0</v>
      </c>
      <c r="G6033" s="396">
        <f>+F6032</f>
        <v>60000</v>
      </c>
      <c r="H6033" t="str">
        <f>+H6032</f>
        <v>Marcela Rebeca Pinto Zepeda / Azul</v>
      </c>
      <c r="I6033" s="355" t="s">
        <v>131</v>
      </c>
      <c r="K6033" s="370"/>
      <c r="N6033" s="370"/>
    </row>
    <row r="6034" spans="1:14" s="347" customFormat="1" x14ac:dyDescent="0.25">
      <c r="A6034" s="369"/>
      <c r="E6034" s="396"/>
      <c r="F6034" s="396"/>
      <c r="G6034" s="396"/>
      <c r="K6034" s="370"/>
      <c r="N6034" s="370"/>
    </row>
    <row r="6035" spans="1:14" s="347" customFormat="1" x14ac:dyDescent="0.25">
      <c r="A6035" s="350">
        <v>44543</v>
      </c>
      <c r="B6035" s="403">
        <f>+MONTH(A6035)</f>
        <v>12</v>
      </c>
      <c r="C6035" s="352">
        <v>115</v>
      </c>
      <c r="D6035" s="340" t="str">
        <f>VLOOKUP(C6035,Plan!A:B,2,0)</f>
        <v>Disponible Cali B.Chile</v>
      </c>
      <c r="E6035" s="341">
        <f>+F6035-G6035</f>
        <v>25000</v>
      </c>
      <c r="F6035" s="396">
        <v>25000</v>
      </c>
      <c r="G6035" s="396">
        <v>0</v>
      </c>
      <c r="H6035" t="s">
        <v>980</v>
      </c>
      <c r="I6035" s="355" t="s">
        <v>131</v>
      </c>
      <c r="K6035" s="370"/>
      <c r="N6035" s="370"/>
    </row>
    <row r="6036" spans="1:14" s="347" customFormat="1" x14ac:dyDescent="0.25">
      <c r="A6036" s="350">
        <f>+A6035</f>
        <v>44543</v>
      </c>
      <c r="B6036" s="403">
        <f>+MONTH(A6036)</f>
        <v>12</v>
      </c>
      <c r="C6036" s="352">
        <v>1217</v>
      </c>
      <c r="D6036" s="340" t="str">
        <f>VLOOKUP(C6036,Plan!A:B,2,0)</f>
        <v>Otros Valores -Oficina y Transferencias (248)</v>
      </c>
      <c r="E6036" s="341">
        <f>+F6036-G6036</f>
        <v>-25000</v>
      </c>
      <c r="F6036" s="396">
        <v>0</v>
      </c>
      <c r="G6036" s="396">
        <f>+F6035</f>
        <v>25000</v>
      </c>
      <c r="H6036" t="str">
        <f>+H6035</f>
        <v xml:space="preserve">Florencia García /248 </v>
      </c>
      <c r="I6036" s="355" t="s">
        <v>131</v>
      </c>
      <c r="K6036" s="370"/>
      <c r="N6036" s="370"/>
    </row>
    <row r="6037" spans="1:14" s="347" customFormat="1" x14ac:dyDescent="0.25">
      <c r="A6037" s="369"/>
      <c r="E6037" s="396"/>
      <c r="F6037" s="396"/>
      <c r="G6037" s="396"/>
      <c r="K6037" s="370"/>
      <c r="N6037" s="370"/>
    </row>
    <row r="6038" spans="1:14" s="347" customFormat="1" x14ac:dyDescent="0.25">
      <c r="A6038" s="350">
        <v>44543</v>
      </c>
      <c r="B6038" s="403">
        <f>+MONTH(A6038)</f>
        <v>12</v>
      </c>
      <c r="C6038" s="352">
        <v>115</v>
      </c>
      <c r="D6038" s="340" t="str">
        <f>VLOOKUP(C6038,Plan!A:B,2,0)</f>
        <v>Disponible Cali B.Chile</v>
      </c>
      <c r="E6038" s="341">
        <f>+F6038-G6038</f>
        <v>20000</v>
      </c>
      <c r="F6038" s="396">
        <v>20000</v>
      </c>
      <c r="G6038" s="396">
        <v>0</v>
      </c>
      <c r="H6038" t="s">
        <v>1022</v>
      </c>
      <c r="I6038" s="355" t="s">
        <v>131</v>
      </c>
      <c r="K6038" s="370"/>
      <c r="N6038" s="370"/>
    </row>
    <row r="6039" spans="1:14" s="347" customFormat="1" x14ac:dyDescent="0.25">
      <c r="A6039" s="350">
        <f>+A6038</f>
        <v>44543</v>
      </c>
      <c r="B6039" s="403">
        <f>+MONTH(A6039)</f>
        <v>12</v>
      </c>
      <c r="C6039" s="352">
        <v>3210</v>
      </c>
      <c r="D6039" s="340" t="str">
        <f>VLOOKUP(C6039,Plan!A:B,2,0)</f>
        <v>Donacion Construccion</v>
      </c>
      <c r="E6039" s="341">
        <f>+F6039-G6039</f>
        <v>-20000</v>
      </c>
      <c r="F6039" s="396">
        <v>0</v>
      </c>
      <c r="G6039" s="396">
        <f>+F6038</f>
        <v>20000</v>
      </c>
      <c r="H6039" t="str">
        <f>+H6038</f>
        <v>M.Graciela Garrido C. / Azul</v>
      </c>
      <c r="I6039" s="355" t="s">
        <v>131</v>
      </c>
      <c r="K6039" s="370"/>
      <c r="N6039" s="370"/>
    </row>
    <row r="6040" spans="1:14" s="347" customFormat="1" x14ac:dyDescent="0.25">
      <c r="A6040" s="369"/>
      <c r="E6040" s="396"/>
      <c r="F6040" s="396"/>
      <c r="G6040" s="396"/>
      <c r="K6040" s="370"/>
      <c r="N6040" s="370"/>
    </row>
    <row r="6041" spans="1:14" s="347" customFormat="1" x14ac:dyDescent="0.25">
      <c r="A6041" s="350">
        <v>44543</v>
      </c>
      <c r="B6041" s="403">
        <f>+MONTH(A6041)</f>
        <v>12</v>
      </c>
      <c r="C6041" s="352">
        <v>115</v>
      </c>
      <c r="D6041" s="340" t="str">
        <f>VLOOKUP(C6041,Plan!A:B,2,0)</f>
        <v>Disponible Cali B.Chile</v>
      </c>
      <c r="E6041" s="341">
        <f>+F6041-G6041</f>
        <v>25000</v>
      </c>
      <c r="F6041" s="396">
        <v>25000</v>
      </c>
      <c r="G6041" s="396">
        <v>0</v>
      </c>
      <c r="H6041" t="s">
        <v>1023</v>
      </c>
      <c r="I6041" s="355" t="s">
        <v>131</v>
      </c>
      <c r="K6041" s="370"/>
      <c r="N6041" s="370"/>
    </row>
    <row r="6042" spans="1:14" s="347" customFormat="1" x14ac:dyDescent="0.25">
      <c r="A6042" s="350">
        <f>+A6041</f>
        <v>44543</v>
      </c>
      <c r="B6042" s="403">
        <f>+MONTH(A6042)</f>
        <v>12</v>
      </c>
      <c r="C6042" s="352">
        <v>1222</v>
      </c>
      <c r="D6042" s="340" t="str">
        <f>VLOOKUP(C6042,Plan!A:B,2,0)</f>
        <v>Otros Valores -Oficina y Transferencias (249)</v>
      </c>
      <c r="E6042" s="341">
        <f>+F6042-G6042</f>
        <v>-25000</v>
      </c>
      <c r="F6042" s="396">
        <v>0</v>
      </c>
      <c r="G6042" s="396">
        <f>+F6041</f>
        <v>25000</v>
      </c>
      <c r="H6042" t="str">
        <f>+H6041</f>
        <v>M.Graciela Garrido C. / 249</v>
      </c>
      <c r="I6042" s="355" t="s">
        <v>131</v>
      </c>
      <c r="K6042" s="370"/>
      <c r="N6042" s="370"/>
    </row>
    <row r="6043" spans="1:14" s="347" customFormat="1" x14ac:dyDescent="0.25">
      <c r="A6043" s="369"/>
      <c r="E6043" s="396"/>
      <c r="F6043" s="396"/>
      <c r="G6043" s="396"/>
      <c r="K6043" s="370"/>
      <c r="N6043" s="370"/>
    </row>
    <row r="6044" spans="1:14" s="347" customFormat="1" x14ac:dyDescent="0.25">
      <c r="A6044" s="350">
        <v>44543</v>
      </c>
      <c r="B6044" s="403">
        <f>+MONTH(A6044)</f>
        <v>12</v>
      </c>
      <c r="C6044" s="352">
        <v>115</v>
      </c>
      <c r="D6044" s="340" t="str">
        <f>VLOOKUP(C6044,Plan!A:B,2,0)</f>
        <v>Disponible Cali B.Chile</v>
      </c>
      <c r="E6044" s="341">
        <f>+F6044-G6044</f>
        <v>7000</v>
      </c>
      <c r="F6044" s="396">
        <v>7000</v>
      </c>
      <c r="G6044" s="396">
        <v>0</v>
      </c>
      <c r="H6044" t="s">
        <v>1078</v>
      </c>
      <c r="I6044" s="355" t="s">
        <v>131</v>
      </c>
      <c r="K6044" s="370"/>
      <c r="N6044" s="370"/>
    </row>
    <row r="6045" spans="1:14" s="347" customFormat="1" x14ac:dyDescent="0.25">
      <c r="A6045" s="350">
        <f>+A6044</f>
        <v>44543</v>
      </c>
      <c r="B6045" s="403">
        <f>+MONTH(A6045)</f>
        <v>12</v>
      </c>
      <c r="C6045" s="352">
        <v>1222</v>
      </c>
      <c r="D6045" s="340" t="str">
        <f>VLOOKUP(C6045,Plan!A:B,2,0)</f>
        <v>Otros Valores -Oficina y Transferencias (249)</v>
      </c>
      <c r="E6045" s="341">
        <f>+F6045-G6045</f>
        <v>-7000</v>
      </c>
      <c r="F6045" s="396">
        <v>0</v>
      </c>
      <c r="G6045" s="396">
        <f>+F6044</f>
        <v>7000</v>
      </c>
      <c r="H6045" t="str">
        <f>+H6044</f>
        <v>Isabel Margarita Cortés Testart/249</v>
      </c>
      <c r="I6045" s="355" t="s">
        <v>131</v>
      </c>
      <c r="K6045" s="370"/>
      <c r="N6045" s="370"/>
    </row>
    <row r="6046" spans="1:14" s="347" customFormat="1" x14ac:dyDescent="0.25">
      <c r="A6046" s="369"/>
      <c r="E6046" s="396"/>
      <c r="F6046" s="396"/>
      <c r="G6046" s="396"/>
      <c r="K6046" s="370"/>
      <c r="N6046" s="370"/>
    </row>
    <row r="6047" spans="1:14" s="347" customFormat="1" x14ac:dyDescent="0.25">
      <c r="A6047" s="350">
        <v>44543</v>
      </c>
      <c r="B6047" s="403">
        <f>+MONTH(A6047)</f>
        <v>12</v>
      </c>
      <c r="C6047" s="352">
        <v>115</v>
      </c>
      <c r="D6047" s="340" t="str">
        <f>VLOOKUP(C6047,Plan!A:B,2,0)</f>
        <v>Disponible Cali B.Chile</v>
      </c>
      <c r="E6047" s="341">
        <f>+F6047-G6047</f>
        <v>10000000</v>
      </c>
      <c r="F6047" s="396">
        <v>10000000</v>
      </c>
      <c r="G6047" s="396">
        <v>0</v>
      </c>
      <c r="H6047" t="s">
        <v>2381</v>
      </c>
      <c r="I6047" s="355" t="s">
        <v>131</v>
      </c>
      <c r="K6047" s="370"/>
      <c r="N6047" s="370"/>
    </row>
    <row r="6048" spans="1:14" s="347" customFormat="1" x14ac:dyDescent="0.25">
      <c r="A6048" s="350">
        <f>+A6047</f>
        <v>44543</v>
      </c>
      <c r="B6048" s="403">
        <f>+MONTH(A6048)</f>
        <v>12</v>
      </c>
      <c r="C6048" s="352">
        <v>3210</v>
      </c>
      <c r="D6048" s="340" t="str">
        <f>VLOOKUP(C6048,Plan!A:B,2,0)</f>
        <v>Donacion Construccion</v>
      </c>
      <c r="E6048" s="341">
        <f>+F6048-G6048</f>
        <v>-10000000</v>
      </c>
      <c r="F6048" s="396">
        <v>0</v>
      </c>
      <c r="G6048" s="396">
        <f>+F6047</f>
        <v>10000000</v>
      </c>
      <c r="H6048" t="str">
        <f>+H6047</f>
        <v>María Loreto Marín Estevez / Azul</v>
      </c>
      <c r="I6048" s="355" t="s">
        <v>131</v>
      </c>
      <c r="K6048" s="370"/>
      <c r="N6048" s="370"/>
    </row>
    <row r="6049" spans="1:14" s="347" customFormat="1" x14ac:dyDescent="0.25">
      <c r="A6049" s="369"/>
      <c r="E6049" s="396"/>
      <c r="F6049" s="396"/>
      <c r="G6049" s="396"/>
      <c r="K6049" s="370"/>
      <c r="N6049" s="370"/>
    </row>
    <row r="6050" spans="1:14" s="347" customFormat="1" x14ac:dyDescent="0.25">
      <c r="A6050" s="350">
        <v>44543</v>
      </c>
      <c r="B6050" s="403">
        <f>+MONTH(A6050)</f>
        <v>12</v>
      </c>
      <c r="C6050" s="352">
        <v>115</v>
      </c>
      <c r="D6050" s="340" t="str">
        <f>VLOOKUP(C6050,Plan!A:B,2,0)</f>
        <v>Disponible Cali B.Chile</v>
      </c>
      <c r="E6050" s="341">
        <f>+F6050-G6050</f>
        <v>30000</v>
      </c>
      <c r="F6050" s="396">
        <v>30000</v>
      </c>
      <c r="G6050" s="396">
        <v>0</v>
      </c>
      <c r="H6050" t="s">
        <v>1017</v>
      </c>
      <c r="I6050" s="355" t="s">
        <v>131</v>
      </c>
      <c r="K6050" s="370"/>
      <c r="N6050" s="370"/>
    </row>
    <row r="6051" spans="1:14" s="347" customFormat="1" x14ac:dyDescent="0.25">
      <c r="A6051" s="350">
        <f>+A6050</f>
        <v>44543</v>
      </c>
      <c r="B6051" s="403">
        <f>+MONTH(A6051)</f>
        <v>12</v>
      </c>
      <c r="C6051" s="352">
        <v>1216</v>
      </c>
      <c r="D6051" s="340" t="str">
        <f>VLOOKUP(C6051,Plan!A:B,2,0)</f>
        <v>Otros Valores Recaudadoras</v>
      </c>
      <c r="E6051" s="341">
        <f>+F6051-G6051</f>
        <v>-30000</v>
      </c>
      <c r="F6051" s="396">
        <v>0</v>
      </c>
      <c r="G6051" s="396">
        <f>+F6050</f>
        <v>30000</v>
      </c>
      <c r="H6051" t="str">
        <f>+H6050</f>
        <v>María Pía Laura Parodi Gil / 249</v>
      </c>
      <c r="I6051" s="355" t="s">
        <v>131</v>
      </c>
      <c r="K6051" s="370"/>
      <c r="N6051" s="370"/>
    </row>
    <row r="6052" spans="1:14" s="347" customFormat="1" x14ac:dyDescent="0.25">
      <c r="A6052" s="369"/>
      <c r="E6052" s="396"/>
      <c r="F6052" s="396"/>
      <c r="G6052" s="396"/>
      <c r="K6052" s="370"/>
      <c r="N6052" s="370"/>
    </row>
    <row r="6053" spans="1:14" s="347" customFormat="1" x14ac:dyDescent="0.25">
      <c r="A6053" s="350">
        <v>44544</v>
      </c>
      <c r="B6053" s="403">
        <f>+MONTH(A6053)</f>
        <v>12</v>
      </c>
      <c r="C6053" s="352">
        <v>115</v>
      </c>
      <c r="D6053" s="340" t="str">
        <f>VLOOKUP(C6053,Plan!A:B,2,0)</f>
        <v>Disponible Cali B.Chile</v>
      </c>
      <c r="E6053" s="341">
        <f>+F6053-G6053</f>
        <v>30000</v>
      </c>
      <c r="F6053" s="396">
        <v>30000</v>
      </c>
      <c r="G6053" s="396">
        <v>0</v>
      </c>
      <c r="H6053" t="s">
        <v>988</v>
      </c>
      <c r="I6053" s="355" t="s">
        <v>131</v>
      </c>
      <c r="K6053" s="370"/>
      <c r="N6053" s="370"/>
    </row>
    <row r="6054" spans="1:14" s="347" customFormat="1" x14ac:dyDescent="0.25">
      <c r="A6054" s="350">
        <f>+A6053</f>
        <v>44544</v>
      </c>
      <c r="B6054" s="403">
        <f>+MONTH(A6054)</f>
        <v>12</v>
      </c>
      <c r="C6054" s="352">
        <v>1222</v>
      </c>
      <c r="D6054" s="340" t="str">
        <f>VLOOKUP(C6054,Plan!A:B,2,0)</f>
        <v>Otros Valores -Oficina y Transferencias (249)</v>
      </c>
      <c r="E6054" s="341">
        <f>+F6054-G6054</f>
        <v>-30000</v>
      </c>
      <c r="F6054" s="396">
        <v>0</v>
      </c>
      <c r="G6054" s="396">
        <f>+F6053</f>
        <v>30000</v>
      </c>
      <c r="H6054" t="str">
        <f>+H6053</f>
        <v>María Luz Montt Díaz / 249</v>
      </c>
      <c r="I6054" s="355" t="s">
        <v>131</v>
      </c>
      <c r="K6054" s="370"/>
      <c r="N6054" s="370"/>
    </row>
    <row r="6055" spans="1:14" s="347" customFormat="1" x14ac:dyDescent="0.25">
      <c r="A6055" s="369"/>
      <c r="E6055" s="396"/>
      <c r="F6055" s="396"/>
      <c r="G6055" s="396"/>
      <c r="K6055" s="370"/>
      <c r="N6055" s="370"/>
    </row>
    <row r="6056" spans="1:14" s="347" customFormat="1" x14ac:dyDescent="0.25">
      <c r="A6056" s="350">
        <v>44545</v>
      </c>
      <c r="B6056" s="403">
        <f>+MONTH(A6056)</f>
        <v>12</v>
      </c>
      <c r="C6056" s="352">
        <v>115</v>
      </c>
      <c r="D6056" s="340" t="str">
        <f>VLOOKUP(C6056,Plan!A:B,2,0)</f>
        <v>Disponible Cali B.Chile</v>
      </c>
      <c r="E6056" s="341">
        <f>+F6056-G6056</f>
        <v>65000</v>
      </c>
      <c r="F6056" s="396">
        <v>65000</v>
      </c>
      <c r="G6056" s="396">
        <v>0</v>
      </c>
      <c r="H6056" t="s">
        <v>550</v>
      </c>
      <c r="I6056" s="355" t="s">
        <v>131</v>
      </c>
      <c r="K6056" s="370"/>
      <c r="N6056" s="370"/>
    </row>
    <row r="6057" spans="1:14" s="347" customFormat="1" x14ac:dyDescent="0.25">
      <c r="A6057" s="350">
        <f>+A6056</f>
        <v>44545</v>
      </c>
      <c r="B6057" s="403">
        <f>+MONTH(A6057)</f>
        <v>12</v>
      </c>
      <c r="C6057" s="352">
        <v>1217</v>
      </c>
      <c r="D6057" s="340" t="str">
        <f>VLOOKUP(C6057,Plan!A:B,2,0)</f>
        <v>Otros Valores -Oficina y Transferencias (248)</v>
      </c>
      <c r="E6057" s="341">
        <f>+F6057-G6057</f>
        <v>-65000</v>
      </c>
      <c r="F6057" s="396">
        <v>0</v>
      </c>
      <c r="G6057" s="396">
        <f>+F6056</f>
        <v>65000</v>
      </c>
      <c r="H6057" t="str">
        <f>+H6056</f>
        <v>Leonardo Robles / 248</v>
      </c>
      <c r="I6057" s="355" t="s">
        <v>131</v>
      </c>
      <c r="K6057" s="370"/>
      <c r="N6057" s="370"/>
    </row>
    <row r="6058" spans="1:14" s="347" customFormat="1" x14ac:dyDescent="0.25">
      <c r="A6058" s="369"/>
      <c r="E6058" s="396"/>
      <c r="F6058" s="396"/>
      <c r="G6058" s="396"/>
      <c r="K6058" s="370"/>
      <c r="N6058" s="370"/>
    </row>
    <row r="6059" spans="1:14" s="347" customFormat="1" x14ac:dyDescent="0.25">
      <c r="A6059" s="350">
        <v>44545</v>
      </c>
      <c r="B6059" s="403">
        <f>+MONTH(A6059)</f>
        <v>12</v>
      </c>
      <c r="C6059" s="352">
        <v>115</v>
      </c>
      <c r="D6059" s="340" t="str">
        <f>VLOOKUP(C6059,Plan!A:B,2,0)</f>
        <v>Disponible Cali B.Chile</v>
      </c>
      <c r="E6059" s="341">
        <f>+F6059-G6059</f>
        <v>5000</v>
      </c>
      <c r="F6059" s="396">
        <v>5000</v>
      </c>
      <c r="G6059" s="396">
        <v>0</v>
      </c>
      <c r="H6059" t="s">
        <v>2382</v>
      </c>
      <c r="I6059" s="355" t="s">
        <v>131</v>
      </c>
      <c r="K6059" s="370"/>
      <c r="N6059" s="370"/>
    </row>
    <row r="6060" spans="1:14" s="347" customFormat="1" x14ac:dyDescent="0.25">
      <c r="A6060" s="350">
        <f>+A6059</f>
        <v>44545</v>
      </c>
      <c r="B6060" s="403">
        <f>+MONTH(A6060)</f>
        <v>12</v>
      </c>
      <c r="C6060" s="352">
        <v>1222</v>
      </c>
      <c r="D6060" s="340" t="str">
        <f>VLOOKUP(C6060,Plan!A:B,2,0)</f>
        <v>Otros Valores -Oficina y Transferencias (249)</v>
      </c>
      <c r="E6060" s="341">
        <f>+F6060-G6060</f>
        <v>-5000</v>
      </c>
      <c r="F6060" s="396">
        <v>0</v>
      </c>
      <c r="G6060" s="396">
        <f>+F6059</f>
        <v>5000</v>
      </c>
      <c r="H6060" t="str">
        <f>+H6059</f>
        <v>María Bernardita León Martínez / 249</v>
      </c>
      <c r="I6060" s="355" t="s">
        <v>131</v>
      </c>
      <c r="K6060" s="370"/>
      <c r="N6060" s="370"/>
    </row>
    <row r="6061" spans="1:14" s="347" customFormat="1" x14ac:dyDescent="0.25">
      <c r="A6061" s="369"/>
      <c r="E6061" s="396"/>
      <c r="F6061" s="396"/>
      <c r="G6061" s="396"/>
      <c r="K6061" s="370"/>
      <c r="N6061" s="370"/>
    </row>
    <row r="6062" spans="1:14" s="347" customFormat="1" x14ac:dyDescent="0.25">
      <c r="A6062" s="350">
        <v>44545</v>
      </c>
      <c r="B6062" s="403">
        <f>+MONTH(A6062)</f>
        <v>12</v>
      </c>
      <c r="C6062" s="352">
        <v>115</v>
      </c>
      <c r="D6062" s="340" t="str">
        <f>VLOOKUP(C6062,Plan!A:B,2,0)</f>
        <v>Disponible Cali B.Chile</v>
      </c>
      <c r="E6062" s="341">
        <f>+F6062-G6062</f>
        <v>50000</v>
      </c>
      <c r="F6062" s="396">
        <v>50000</v>
      </c>
      <c r="G6062" s="396">
        <v>0</v>
      </c>
      <c r="H6062" t="s">
        <v>1024</v>
      </c>
      <c r="I6062" s="355" t="s">
        <v>131</v>
      </c>
      <c r="K6062" s="370"/>
      <c r="N6062" s="370"/>
    </row>
    <row r="6063" spans="1:14" s="347" customFormat="1" x14ac:dyDescent="0.25">
      <c r="A6063" s="350">
        <f>+A6062</f>
        <v>44545</v>
      </c>
      <c r="B6063" s="403">
        <f>+MONTH(A6063)</f>
        <v>12</v>
      </c>
      <c r="C6063" s="352">
        <v>1222</v>
      </c>
      <c r="D6063" s="340" t="str">
        <f>VLOOKUP(C6063,Plan!A:B,2,0)</f>
        <v>Otros Valores -Oficina y Transferencias (249)</v>
      </c>
      <c r="E6063" s="341">
        <f>+F6063-G6063</f>
        <v>-50000</v>
      </c>
      <c r="F6063" s="396">
        <v>0</v>
      </c>
      <c r="G6063" s="396">
        <f>+F6062</f>
        <v>50000</v>
      </c>
      <c r="H6063" t="str">
        <f>+H6062</f>
        <v>Bernardita Mujica Gutierrez  / 249</v>
      </c>
      <c r="I6063" s="355" t="s">
        <v>131</v>
      </c>
      <c r="K6063" s="370"/>
      <c r="N6063" s="370"/>
    </row>
    <row r="6064" spans="1:14" s="347" customFormat="1" x14ac:dyDescent="0.25">
      <c r="A6064" s="369"/>
      <c r="E6064" s="396"/>
      <c r="F6064" s="396"/>
      <c r="G6064" s="396"/>
      <c r="K6064" s="370"/>
      <c r="N6064" s="370"/>
    </row>
    <row r="6065" spans="1:14" s="347" customFormat="1" x14ac:dyDescent="0.25">
      <c r="A6065" s="350">
        <v>44545</v>
      </c>
      <c r="B6065" s="403">
        <f>+MONTH(A6065)</f>
        <v>12</v>
      </c>
      <c r="C6065" s="352">
        <v>115</v>
      </c>
      <c r="D6065" s="340" t="str">
        <f>VLOOKUP(C6065,Plan!A:B,2,0)</f>
        <v>Disponible Cali B.Chile</v>
      </c>
      <c r="E6065" s="341">
        <f>+F6065-G6065</f>
        <v>5000</v>
      </c>
      <c r="F6065" s="396">
        <v>5000</v>
      </c>
      <c r="G6065" s="396">
        <v>0</v>
      </c>
      <c r="H6065" t="s">
        <v>1861</v>
      </c>
      <c r="I6065" s="355" t="s">
        <v>131</v>
      </c>
      <c r="K6065" s="370"/>
      <c r="N6065" s="370"/>
    </row>
    <row r="6066" spans="1:14" s="347" customFormat="1" x14ac:dyDescent="0.25">
      <c r="A6066" s="350">
        <f>+A6065</f>
        <v>44545</v>
      </c>
      <c r="B6066" s="403">
        <f>+MONTH(A6066)</f>
        <v>12</v>
      </c>
      <c r="C6066" s="352">
        <v>216</v>
      </c>
      <c r="D6066" s="340" t="str">
        <f>VLOOKUP(C6066,Plan!A:B,2,0)</f>
        <v>Cuenta por Pagar a Administración Colectas</v>
      </c>
      <c r="E6066" s="341">
        <f>+F6066-G6066</f>
        <v>-5000</v>
      </c>
      <c r="F6066" s="396">
        <v>0</v>
      </c>
      <c r="G6066" s="396">
        <f>+F6065</f>
        <v>5000</v>
      </c>
      <c r="H6066" t="str">
        <f>+H6065</f>
        <v>Colecta Pilar Bustamante</v>
      </c>
      <c r="I6066" s="355" t="s">
        <v>131</v>
      </c>
      <c r="K6066" s="370"/>
      <c r="N6066" s="370"/>
    </row>
    <row r="6067" spans="1:14" s="347" customFormat="1" x14ac:dyDescent="0.25">
      <c r="A6067" s="369"/>
      <c r="E6067" s="396"/>
      <c r="F6067" s="396"/>
      <c r="G6067" s="396"/>
      <c r="K6067" s="370"/>
      <c r="N6067" s="370"/>
    </row>
    <row r="6068" spans="1:14" s="347" customFormat="1" x14ac:dyDescent="0.25">
      <c r="A6068" s="350">
        <v>44545</v>
      </c>
      <c r="B6068" s="403">
        <f>+MONTH(A6068)</f>
        <v>12</v>
      </c>
      <c r="C6068" s="352">
        <v>115</v>
      </c>
      <c r="D6068" s="340" t="str">
        <f>VLOOKUP(C6068,Plan!A:B,2,0)</f>
        <v>Disponible Cali B.Chile</v>
      </c>
      <c r="E6068" s="341">
        <f>+F6068-G6068</f>
        <v>20000</v>
      </c>
      <c r="F6068" s="396">
        <v>20000</v>
      </c>
      <c r="G6068" s="396">
        <v>0</v>
      </c>
      <c r="H6068" t="s">
        <v>1025</v>
      </c>
      <c r="I6068" s="355" t="s">
        <v>131</v>
      </c>
      <c r="K6068" s="370"/>
      <c r="N6068" s="370"/>
    </row>
    <row r="6069" spans="1:14" s="347" customFormat="1" x14ac:dyDescent="0.25">
      <c r="A6069" s="350">
        <f>+A6068</f>
        <v>44545</v>
      </c>
      <c r="B6069" s="403">
        <f>+MONTH(A6069)</f>
        <v>12</v>
      </c>
      <c r="C6069" s="352">
        <v>1222</v>
      </c>
      <c r="D6069" s="340" t="str">
        <f>VLOOKUP(C6069,Plan!A:B,2,0)</f>
        <v>Otros Valores -Oficina y Transferencias (249)</v>
      </c>
      <c r="E6069" s="341">
        <f>+F6069-G6069</f>
        <v>-20000</v>
      </c>
      <c r="F6069" s="396">
        <v>0</v>
      </c>
      <c r="G6069" s="396">
        <f>+F6068</f>
        <v>20000</v>
      </c>
      <c r="H6069" t="str">
        <f>+H6068</f>
        <v>Bernardita Egaña Baraona  / 249</v>
      </c>
      <c r="I6069" s="355" t="s">
        <v>131</v>
      </c>
      <c r="K6069" s="370"/>
      <c r="N6069" s="370"/>
    </row>
    <row r="6070" spans="1:14" s="347" customFormat="1" x14ac:dyDescent="0.25">
      <c r="A6070" s="369"/>
      <c r="E6070" s="396"/>
      <c r="F6070" s="396"/>
      <c r="G6070" s="396"/>
      <c r="K6070" s="370"/>
      <c r="N6070" s="370"/>
    </row>
    <row r="6071" spans="1:14" s="347" customFormat="1" x14ac:dyDescent="0.25">
      <c r="A6071" s="350">
        <v>44545</v>
      </c>
      <c r="B6071" s="403">
        <f>+MONTH(A6071)</f>
        <v>12</v>
      </c>
      <c r="C6071" s="352">
        <v>115</v>
      </c>
      <c r="D6071" s="340" t="str">
        <f>VLOOKUP(C6071,Plan!A:B,2,0)</f>
        <v>Disponible Cali B.Chile</v>
      </c>
      <c r="E6071" s="341">
        <f>+F6071-G6071</f>
        <v>48376</v>
      </c>
      <c r="F6071" s="396">
        <v>48376</v>
      </c>
      <c r="G6071" s="396">
        <v>0</v>
      </c>
      <c r="H6071" t="s">
        <v>2383</v>
      </c>
      <c r="I6071" s="355" t="s">
        <v>131</v>
      </c>
      <c r="K6071" s="370"/>
      <c r="N6071" s="370"/>
    </row>
    <row r="6072" spans="1:14" s="347" customFormat="1" x14ac:dyDescent="0.25">
      <c r="A6072" s="350">
        <f>+A6071</f>
        <v>44545</v>
      </c>
      <c r="B6072" s="403">
        <f>+MONTH(A6072)</f>
        <v>12</v>
      </c>
      <c r="C6072" s="352">
        <v>1222</v>
      </c>
      <c r="D6072" s="340" t="str">
        <f>VLOOKUP(C6072,Plan!A:B,2,0)</f>
        <v>Otros Valores -Oficina y Transferencias (249)</v>
      </c>
      <c r="E6072" s="341">
        <f>+F6072-G6072</f>
        <v>-50000</v>
      </c>
      <c r="F6072" s="396">
        <v>0</v>
      </c>
      <c r="G6072" s="396">
        <v>50000</v>
      </c>
      <c r="H6072" t="str">
        <f>+H6071</f>
        <v>Fernando Barroilhet Diez(M$50)RUT:14123234-7</v>
      </c>
      <c r="I6072" s="355" t="s">
        <v>131</v>
      </c>
      <c r="K6072" s="370"/>
      <c r="N6072" s="370"/>
    </row>
    <row r="6073" spans="1:14" s="347" customFormat="1" x14ac:dyDescent="0.25">
      <c r="A6073" s="350">
        <f>+A6072</f>
        <v>44545</v>
      </c>
      <c r="B6073" s="403">
        <f>+MONTH(A6073)</f>
        <v>12</v>
      </c>
      <c r="C6073" s="352">
        <v>4170</v>
      </c>
      <c r="D6073" s="340" t="str">
        <f>VLOOKUP(C6073,Plan!A:B,2,0)</f>
        <v>Cali otros</v>
      </c>
      <c r="E6073" s="341">
        <f>+F6073-G6073</f>
        <v>1624</v>
      </c>
      <c r="F6073" s="396">
        <v>1624</v>
      </c>
      <c r="G6073" s="396">
        <f>+F6072</f>
        <v>0</v>
      </c>
      <c r="H6073" t="str">
        <f>+H6072</f>
        <v>Fernando Barroilhet Diez(M$50)RUT:14123234-7</v>
      </c>
      <c r="I6073" s="355" t="s">
        <v>131</v>
      </c>
      <c r="K6073" s="370"/>
      <c r="N6073" s="370"/>
    </row>
    <row r="6074" spans="1:14" s="347" customFormat="1" x14ac:dyDescent="0.25">
      <c r="A6074" s="369"/>
      <c r="E6074" s="396"/>
      <c r="F6074" s="396"/>
      <c r="G6074" s="396"/>
      <c r="K6074" s="370"/>
      <c r="N6074" s="370"/>
    </row>
    <row r="6075" spans="1:14" s="347" customFormat="1" x14ac:dyDescent="0.25">
      <c r="A6075" s="350">
        <v>44545</v>
      </c>
      <c r="B6075" s="403">
        <f>+MONTH(A6075)</f>
        <v>12</v>
      </c>
      <c r="C6075" s="352">
        <v>4170</v>
      </c>
      <c r="D6075" s="340" t="str">
        <f>VLOOKUP(C6075,Plan!A:B,2,0)</f>
        <v>Cali otros</v>
      </c>
      <c r="E6075" s="341">
        <f>+F6075-G6075</f>
        <v>1830</v>
      </c>
      <c r="F6075" s="396">
        <v>1830</v>
      </c>
      <c r="G6075" s="396">
        <v>0</v>
      </c>
      <c r="H6075" t="s">
        <v>1005</v>
      </c>
      <c r="I6075" s="355" t="s">
        <v>131</v>
      </c>
      <c r="K6075" s="370"/>
      <c r="N6075" s="370"/>
    </row>
    <row r="6076" spans="1:14" s="347" customFormat="1" x14ac:dyDescent="0.25">
      <c r="A6076" s="350">
        <f>+A6075</f>
        <v>44545</v>
      </c>
      <c r="B6076" s="403">
        <f>+MONTH(A6076)</f>
        <v>12</v>
      </c>
      <c r="C6076" s="352">
        <v>115</v>
      </c>
      <c r="D6076" s="340" t="str">
        <f>VLOOKUP(C6076,Plan!A:B,2,0)</f>
        <v>Disponible Cali B.Chile</v>
      </c>
      <c r="E6076" s="341">
        <f>+F6076-G6076</f>
        <v>-1830</v>
      </c>
      <c r="F6076" s="396">
        <v>0</v>
      </c>
      <c r="G6076" s="396">
        <f>+F6075</f>
        <v>1830</v>
      </c>
      <c r="H6076" t="str">
        <f>+H6075</f>
        <v>Com.Bco.Chile</v>
      </c>
      <c r="I6076" s="355" t="s">
        <v>131</v>
      </c>
      <c r="K6076" s="370"/>
      <c r="N6076" s="370"/>
    </row>
    <row r="6077" spans="1:14" s="347" customFormat="1" x14ac:dyDescent="0.25">
      <c r="A6077" s="369"/>
      <c r="E6077" s="396"/>
      <c r="F6077" s="396"/>
      <c r="G6077" s="396"/>
      <c r="K6077" s="370"/>
      <c r="N6077" s="370"/>
    </row>
    <row r="6078" spans="1:14" s="347" customFormat="1" x14ac:dyDescent="0.25">
      <c r="A6078" s="350">
        <v>44546</v>
      </c>
      <c r="B6078" s="403">
        <f>+MONTH(A6078)</f>
        <v>12</v>
      </c>
      <c r="C6078" s="352">
        <v>115</v>
      </c>
      <c r="D6078" s="340" t="str">
        <f>VLOOKUP(C6078,Plan!A:B,2,0)</f>
        <v>Disponible Cali B.Chile</v>
      </c>
      <c r="E6078" s="341">
        <f>+F6078-G6078</f>
        <v>43537</v>
      </c>
      <c r="F6078" s="396">
        <v>43537</v>
      </c>
      <c r="G6078" s="396">
        <v>0</v>
      </c>
      <c r="H6078" t="s">
        <v>2384</v>
      </c>
      <c r="I6078" s="355" t="s">
        <v>131</v>
      </c>
      <c r="K6078" s="370"/>
      <c r="N6078" s="370"/>
    </row>
    <row r="6079" spans="1:14" s="347" customFormat="1" x14ac:dyDescent="0.25">
      <c r="A6079" s="350">
        <f>+A6078</f>
        <v>44546</v>
      </c>
      <c r="B6079" s="403">
        <f>+MONTH(A6079)</f>
        <v>12</v>
      </c>
      <c r="C6079" s="352">
        <v>1222</v>
      </c>
      <c r="D6079" s="340" t="str">
        <f>VLOOKUP(C6079,Plan!A:B,2,0)</f>
        <v>Otros Valores -Oficina y Transferencias (249)</v>
      </c>
      <c r="E6079" s="341">
        <f>+F6079-G6079</f>
        <v>-45000</v>
      </c>
      <c r="F6079" s="396">
        <v>0</v>
      </c>
      <c r="G6079" s="396">
        <v>45000</v>
      </c>
      <c r="H6079" t="str">
        <f>+H6078</f>
        <v>Patricio Escudero H.(M$45)</v>
      </c>
      <c r="I6079" s="355" t="s">
        <v>131</v>
      </c>
      <c r="K6079" s="370"/>
      <c r="N6079" s="370"/>
    </row>
    <row r="6080" spans="1:14" s="347" customFormat="1" x14ac:dyDescent="0.25">
      <c r="A6080" s="350">
        <f>+A6079</f>
        <v>44546</v>
      </c>
      <c r="B6080" s="403">
        <f>+MONTH(A6080)</f>
        <v>12</v>
      </c>
      <c r="C6080" s="352">
        <v>4170</v>
      </c>
      <c r="D6080" s="340" t="str">
        <f>VLOOKUP(C6080,Plan!A:B,2,0)</f>
        <v>Cali otros</v>
      </c>
      <c r="E6080" s="341">
        <f>+F6080-G6080</f>
        <v>1463</v>
      </c>
      <c r="F6080" s="396">
        <v>1463</v>
      </c>
      <c r="G6080" s="396">
        <f>+F6079</f>
        <v>0</v>
      </c>
      <c r="H6080" t="str">
        <f>+H6079</f>
        <v>Patricio Escudero H.(M$45)</v>
      </c>
      <c r="I6080" s="355" t="s">
        <v>131</v>
      </c>
      <c r="K6080" s="370"/>
      <c r="N6080" s="370"/>
    </row>
    <row r="6081" spans="1:14" s="347" customFormat="1" x14ac:dyDescent="0.25">
      <c r="A6081" s="369"/>
      <c r="E6081" s="396"/>
      <c r="F6081" s="396"/>
      <c r="G6081" s="396"/>
      <c r="K6081" s="370"/>
      <c r="N6081" s="370"/>
    </row>
    <row r="6082" spans="1:14" s="347" customFormat="1" x14ac:dyDescent="0.25">
      <c r="A6082" s="350">
        <v>44546</v>
      </c>
      <c r="B6082" s="403">
        <f>+MONTH(A6082)</f>
        <v>12</v>
      </c>
      <c r="C6082" s="352">
        <v>115</v>
      </c>
      <c r="D6082" s="340" t="str">
        <f>VLOOKUP(C6082,Plan!A:B,2,0)</f>
        <v>Disponible Cali B.Chile</v>
      </c>
      <c r="E6082" s="341">
        <f>+F6082-G6082</f>
        <v>43537</v>
      </c>
      <c r="F6082" s="396">
        <v>43537</v>
      </c>
      <c r="G6082" s="396">
        <v>0</v>
      </c>
      <c r="H6082" t="s">
        <v>2385</v>
      </c>
      <c r="I6082" s="355" t="s">
        <v>131</v>
      </c>
      <c r="K6082" s="370"/>
      <c r="N6082" s="370"/>
    </row>
    <row r="6083" spans="1:14" s="347" customFormat="1" x14ac:dyDescent="0.25">
      <c r="A6083" s="350">
        <f>+A6082</f>
        <v>44546</v>
      </c>
      <c r="B6083" s="403">
        <f>+MONTH(A6083)</f>
        <v>12</v>
      </c>
      <c r="C6083" s="352">
        <v>1222</v>
      </c>
      <c r="D6083" s="340" t="str">
        <f>VLOOKUP(C6083,Plan!A:B,2,0)</f>
        <v>Otros Valores -Oficina y Transferencias (249)</v>
      </c>
      <c r="E6083" s="341">
        <f>+F6083-G6083</f>
        <v>-45000</v>
      </c>
      <c r="F6083" s="396">
        <v>0</v>
      </c>
      <c r="G6083" s="396">
        <v>45000</v>
      </c>
      <c r="H6083" t="str">
        <f>+H6082</f>
        <v>Eugenia Muñoz Quezada (M$45)</v>
      </c>
      <c r="I6083" s="355" t="s">
        <v>131</v>
      </c>
      <c r="K6083" s="370"/>
      <c r="N6083" s="370"/>
    </row>
    <row r="6084" spans="1:14" s="347" customFormat="1" x14ac:dyDescent="0.25">
      <c r="A6084" s="350">
        <f>+A6083</f>
        <v>44546</v>
      </c>
      <c r="B6084" s="403">
        <f>+MONTH(A6084)</f>
        <v>12</v>
      </c>
      <c r="C6084" s="352">
        <v>4170</v>
      </c>
      <c r="D6084" s="340" t="str">
        <f>VLOOKUP(C6084,Plan!A:B,2,0)</f>
        <v>Cali otros</v>
      </c>
      <c r="E6084" s="341">
        <f>+F6084-G6084</f>
        <v>1463</v>
      </c>
      <c r="F6084" s="396">
        <v>1463</v>
      </c>
      <c r="G6084" s="396">
        <f>+F6083</f>
        <v>0</v>
      </c>
      <c r="H6084" t="str">
        <f>+H6083</f>
        <v>Eugenia Muñoz Quezada (M$45)</v>
      </c>
      <c r="I6084" s="355" t="s">
        <v>131</v>
      </c>
      <c r="K6084" s="370"/>
      <c r="N6084" s="370"/>
    </row>
    <row r="6085" spans="1:14" s="347" customFormat="1" x14ac:dyDescent="0.25">
      <c r="A6085" s="369"/>
      <c r="E6085" s="396"/>
      <c r="G6085" s="396"/>
      <c r="K6085" s="370"/>
      <c r="N6085" s="370"/>
    </row>
    <row r="6086" spans="1:14" s="347" customFormat="1" x14ac:dyDescent="0.25">
      <c r="A6086" s="350">
        <v>44546</v>
      </c>
      <c r="B6086" s="403">
        <f>+MONTH(A6086)</f>
        <v>12</v>
      </c>
      <c r="C6086" s="352">
        <v>115</v>
      </c>
      <c r="D6086" s="340" t="str">
        <f>VLOOKUP(C6086,Plan!A:B,2,0)</f>
        <v>Disponible Cali B.Chile</v>
      </c>
      <c r="E6086" s="341">
        <f>+F6086-G6086</f>
        <v>30000</v>
      </c>
      <c r="F6086" s="396">
        <v>30000</v>
      </c>
      <c r="G6086" s="396">
        <v>0</v>
      </c>
      <c r="H6086" t="s">
        <v>970</v>
      </c>
      <c r="I6086" s="355" t="s">
        <v>131</v>
      </c>
      <c r="K6086" s="370"/>
      <c r="N6086" s="370"/>
    </row>
    <row r="6087" spans="1:14" s="347" customFormat="1" x14ac:dyDescent="0.25">
      <c r="A6087" s="350">
        <f>+A6086</f>
        <v>44546</v>
      </c>
      <c r="B6087" s="403">
        <f>+MONTH(A6087)</f>
        <v>12</v>
      </c>
      <c r="C6087" s="352">
        <v>1222</v>
      </c>
      <c r="D6087" s="340" t="str">
        <f>VLOOKUP(C6087,Plan!A:B,2,0)</f>
        <v>Otros Valores -Oficina y Transferencias (249)</v>
      </c>
      <c r="E6087" s="341">
        <f>+F6087-G6087</f>
        <v>-30000</v>
      </c>
      <c r="F6087" s="396">
        <v>0</v>
      </c>
      <c r="G6087" s="396">
        <f>+F6086</f>
        <v>30000</v>
      </c>
      <c r="H6087" t="str">
        <f>+H6086</f>
        <v>Horacio Cartagena Fagerstrom/249</v>
      </c>
      <c r="I6087" s="355" t="s">
        <v>131</v>
      </c>
      <c r="K6087" s="370"/>
      <c r="N6087" s="370"/>
    </row>
    <row r="6088" spans="1:14" s="347" customFormat="1" x14ac:dyDescent="0.25">
      <c r="A6088" s="369"/>
      <c r="E6088" s="396"/>
      <c r="F6088" s="396"/>
      <c r="G6088" s="396"/>
      <c r="K6088" s="370"/>
      <c r="N6088" s="370"/>
    </row>
    <row r="6089" spans="1:14" s="347" customFormat="1" x14ac:dyDescent="0.25">
      <c r="A6089" s="350">
        <v>44546</v>
      </c>
      <c r="B6089" s="403">
        <f>+MONTH(A6089)</f>
        <v>12</v>
      </c>
      <c r="C6089" s="352">
        <v>115</v>
      </c>
      <c r="D6089" s="340" t="str">
        <f>VLOOKUP(C6089,Plan!A:B,2,0)</f>
        <v>Disponible Cali B.Chile</v>
      </c>
      <c r="E6089" s="341">
        <f>+F6089-G6089</f>
        <v>150000</v>
      </c>
      <c r="F6089" s="396">
        <v>150000</v>
      </c>
      <c r="G6089" s="396">
        <v>0</v>
      </c>
      <c r="H6089" t="s">
        <v>1061</v>
      </c>
      <c r="I6089" s="355" t="s">
        <v>131</v>
      </c>
      <c r="K6089" s="370"/>
      <c r="N6089" s="370"/>
    </row>
    <row r="6090" spans="1:14" s="347" customFormat="1" x14ac:dyDescent="0.25">
      <c r="A6090" s="350">
        <f>+A6089</f>
        <v>44546</v>
      </c>
      <c r="B6090" s="403">
        <f>+MONTH(A6090)</f>
        <v>12</v>
      </c>
      <c r="C6090" s="352">
        <v>1217</v>
      </c>
      <c r="D6090" s="340" t="str">
        <f>VLOOKUP(C6090,Plan!A:B,2,0)</f>
        <v>Otros Valores -Oficina y Transferencias (248)</v>
      </c>
      <c r="E6090" s="341">
        <f>+F6090-G6090</f>
        <v>-150000</v>
      </c>
      <c r="F6090" s="396">
        <v>0</v>
      </c>
      <c r="G6090" s="396">
        <f>+F6089</f>
        <v>150000</v>
      </c>
      <c r="H6090" t="str">
        <f>+H6089</f>
        <v>Patricio Abalos /248</v>
      </c>
      <c r="I6090" s="355" t="s">
        <v>131</v>
      </c>
      <c r="K6090" s="370"/>
      <c r="N6090" s="370"/>
    </row>
    <row r="6091" spans="1:14" s="347" customFormat="1" x14ac:dyDescent="0.25">
      <c r="A6091" s="369"/>
      <c r="E6091" s="396"/>
      <c r="F6091" s="396"/>
      <c r="G6091" s="396"/>
      <c r="K6091" s="370"/>
      <c r="N6091" s="370"/>
    </row>
    <row r="6092" spans="1:14" s="347" customFormat="1" x14ac:dyDescent="0.25">
      <c r="A6092" s="350">
        <v>44547</v>
      </c>
      <c r="B6092" s="403">
        <f>+MONTH(A6092)</f>
        <v>12</v>
      </c>
      <c r="C6092" s="338">
        <v>203</v>
      </c>
      <c r="D6092" s="340" t="str">
        <f>VLOOKUP(C6092,Plan!A:B,2,0)</f>
        <v>Recaudadoras por pagar</v>
      </c>
      <c r="E6092" s="341">
        <f>+F6092-G6092</f>
        <v>71040</v>
      </c>
      <c r="F6092" s="396">
        <f>+G6093+G6094</f>
        <v>71040</v>
      </c>
      <c r="G6092" s="396">
        <v>0</v>
      </c>
      <c r="H6092" t="s">
        <v>2392</v>
      </c>
      <c r="I6092" s="355" t="s">
        <v>131</v>
      </c>
      <c r="K6092" s="370"/>
      <c r="N6092" s="370"/>
    </row>
    <row r="6093" spans="1:14" s="347" customFormat="1" x14ac:dyDescent="0.25">
      <c r="A6093" s="350">
        <f>+A6092</f>
        <v>44547</v>
      </c>
      <c r="B6093" s="403">
        <f>+MONTH(A6093)</f>
        <v>12</v>
      </c>
      <c r="C6093" s="338">
        <v>204</v>
      </c>
      <c r="D6093" s="340" t="str">
        <f>VLOOKUP(C6093,Plan!A:B,2,0)</f>
        <v>Retención Honorarios Cali</v>
      </c>
      <c r="E6093" s="341">
        <f>+F6093-G6093</f>
        <v>-8170</v>
      </c>
      <c r="F6093" s="396">
        <v>0</v>
      </c>
      <c r="G6093" s="396">
        <v>8170</v>
      </c>
      <c r="H6093" t="str">
        <f>+H6092</f>
        <v>BE-508 Maria Angelica Sepulveda Toro</v>
      </c>
      <c r="I6093" s="355" t="s">
        <v>131</v>
      </c>
      <c r="K6093" s="370"/>
      <c r="N6093" s="370"/>
    </row>
    <row r="6094" spans="1:14" s="347" customFormat="1" x14ac:dyDescent="0.25">
      <c r="A6094" s="350">
        <f>+A6093</f>
        <v>44547</v>
      </c>
      <c r="B6094" s="403">
        <f>+MONTH(A6094)</f>
        <v>12</v>
      </c>
      <c r="C6094" s="338">
        <v>115</v>
      </c>
      <c r="D6094" s="340" t="str">
        <f>VLOOKUP(C6094,Plan!A:B,2,0)</f>
        <v>Disponible Cali B.Chile</v>
      </c>
      <c r="E6094" s="341">
        <f>+F6094-G6094</f>
        <v>-62870</v>
      </c>
      <c r="F6094" s="396">
        <v>0</v>
      </c>
      <c r="G6094" s="396">
        <v>62870</v>
      </c>
      <c r="H6094" t="str">
        <f>+H6093</f>
        <v>BE-508 Maria Angelica Sepulveda Toro</v>
      </c>
      <c r="I6094" s="355" t="s">
        <v>131</v>
      </c>
      <c r="K6094" s="370"/>
      <c r="N6094" s="370"/>
    </row>
    <row r="6095" spans="1:14" s="347" customFormat="1" x14ac:dyDescent="0.25">
      <c r="A6095" s="369"/>
      <c r="E6095" s="396"/>
      <c r="F6095" s="396"/>
      <c r="G6095" s="396"/>
      <c r="K6095" s="370"/>
      <c r="N6095" s="370"/>
    </row>
    <row r="6096" spans="1:14" s="347" customFormat="1" x14ac:dyDescent="0.25">
      <c r="A6096" s="402">
        <v>44547</v>
      </c>
      <c r="B6096" s="403">
        <f>+MONTH(A6096)</f>
        <v>12</v>
      </c>
      <c r="C6096" s="338">
        <v>202</v>
      </c>
      <c r="D6096" s="340" t="str">
        <f>VLOOKUP(C6096,Plan!A:B,2,0)</f>
        <v>Arzobispado por pagar</v>
      </c>
      <c r="E6096" s="341">
        <f>+F6096-G6096</f>
        <v>3085459</v>
      </c>
      <c r="F6096" s="346">
        <v>3085459</v>
      </c>
      <c r="G6096" s="346">
        <v>0</v>
      </c>
      <c r="H6096" t="s">
        <v>2393</v>
      </c>
      <c r="I6096" s="340" t="s">
        <v>131</v>
      </c>
      <c r="K6096" s="370"/>
      <c r="N6096" s="370"/>
    </row>
    <row r="6097" spans="1:14" s="347" customFormat="1" x14ac:dyDescent="0.25">
      <c r="A6097" s="402">
        <f>+A6096</f>
        <v>44547</v>
      </c>
      <c r="B6097" s="403">
        <f>+B6096</f>
        <v>12</v>
      </c>
      <c r="C6097" s="338">
        <v>201</v>
      </c>
      <c r="D6097" s="340" t="str">
        <f>VLOOKUP(C6097,Plan!A:B,2,0)</f>
        <v>1% por pagar</v>
      </c>
      <c r="E6097" s="341">
        <f>+F6097-G6097</f>
        <v>182616</v>
      </c>
      <c r="F6097" s="346">
        <v>182616</v>
      </c>
      <c r="G6097" s="346">
        <v>0</v>
      </c>
      <c r="H6097" s="338" t="str">
        <f>+H6096</f>
        <v>Arzobispado de Santiago Rend. CALI NOV./21</v>
      </c>
      <c r="I6097" s="340" t="s">
        <v>131</v>
      </c>
      <c r="K6097" s="370"/>
      <c r="N6097" s="370"/>
    </row>
    <row r="6098" spans="1:14" s="347" customFormat="1" x14ac:dyDescent="0.25">
      <c r="A6098" s="402">
        <f>+A6097</f>
        <v>44547</v>
      </c>
      <c r="B6098" s="403">
        <f>+B6097</f>
        <v>12</v>
      </c>
      <c r="C6098" s="338">
        <v>115</v>
      </c>
      <c r="D6098" s="340" t="str">
        <f>VLOOKUP(C6098,Plan!A:B,2,0)</f>
        <v>Disponible Cali B.Chile</v>
      </c>
      <c r="E6098" s="341">
        <f>+F6098-G6098</f>
        <v>-3268075</v>
      </c>
      <c r="F6098" s="346">
        <v>0</v>
      </c>
      <c r="G6098" s="346">
        <v>3268075</v>
      </c>
      <c r="H6098" s="338" t="str">
        <f>+H6097</f>
        <v>Arzobispado de Santiago Rend. CALI NOV./21</v>
      </c>
      <c r="I6098" s="340" t="s">
        <v>131</v>
      </c>
      <c r="K6098" s="370"/>
      <c r="N6098" s="370"/>
    </row>
    <row r="6099" spans="1:14" s="347" customFormat="1" x14ac:dyDescent="0.25">
      <c r="A6099" s="369"/>
      <c r="E6099" s="396"/>
      <c r="F6099" s="396"/>
      <c r="G6099" s="396"/>
      <c r="K6099" s="370"/>
      <c r="N6099" s="370"/>
    </row>
    <row r="6100" spans="1:14" s="347" customFormat="1" x14ac:dyDescent="0.25">
      <c r="A6100" s="402">
        <v>44547</v>
      </c>
      <c r="B6100" s="403">
        <f>+MONTH(A6100)</f>
        <v>12</v>
      </c>
      <c r="C6100" s="338">
        <v>4170</v>
      </c>
      <c r="D6100" s="340" t="str">
        <f>VLOOKUP(C6100,Plan!A:B,2,0)</f>
        <v>Cali otros</v>
      </c>
      <c r="E6100" s="341">
        <f>+F6100-G6100</f>
        <v>338983</v>
      </c>
      <c r="F6100" s="346">
        <f>+G6101+G6102</f>
        <v>338983</v>
      </c>
      <c r="G6100" s="346">
        <v>0</v>
      </c>
      <c r="H6100" t="s">
        <v>2394</v>
      </c>
      <c r="I6100" s="340" t="s">
        <v>131</v>
      </c>
      <c r="K6100" s="370"/>
      <c r="N6100" s="370"/>
    </row>
    <row r="6101" spans="1:14" s="347" customFormat="1" x14ac:dyDescent="0.25">
      <c r="A6101" s="402">
        <f>+A6100</f>
        <v>44547</v>
      </c>
      <c r="B6101" s="403">
        <f>+B6100</f>
        <v>12</v>
      </c>
      <c r="C6101" s="338">
        <v>204</v>
      </c>
      <c r="D6101" s="340" t="str">
        <f>VLOOKUP(C6101,Plan!A:B,2,0)</f>
        <v>Retención Honorarios Cali</v>
      </c>
      <c r="E6101" s="341">
        <f>+F6101-G6101</f>
        <v>-38983</v>
      </c>
      <c r="F6101" s="346">
        <v>0</v>
      </c>
      <c r="G6101" s="346">
        <v>38983</v>
      </c>
      <c r="H6101" s="338" t="str">
        <f>+H6100</f>
        <v>Be 322 Guillermo de la Vega Ivovich  Asesoria 1% Octubre 2021</v>
      </c>
      <c r="I6101" s="340" t="s">
        <v>131</v>
      </c>
      <c r="K6101" s="370"/>
      <c r="N6101" s="370"/>
    </row>
    <row r="6102" spans="1:14" s="347" customFormat="1" x14ac:dyDescent="0.25">
      <c r="A6102" s="402">
        <f>+A6101</f>
        <v>44547</v>
      </c>
      <c r="B6102" s="403">
        <f>+B6101</f>
        <v>12</v>
      </c>
      <c r="C6102" s="338">
        <v>115</v>
      </c>
      <c r="D6102" s="340" t="str">
        <f>VLOOKUP(C6102,Plan!A:B,2,0)</f>
        <v>Disponible Cali B.Chile</v>
      </c>
      <c r="E6102" s="341">
        <f>+F6102-G6102</f>
        <v>-300000</v>
      </c>
      <c r="F6102" s="346">
        <v>0</v>
      </c>
      <c r="G6102" s="346">
        <v>300000</v>
      </c>
      <c r="H6102" s="338" t="str">
        <f>+H6101</f>
        <v>Be 322 Guillermo de la Vega Ivovich  Asesoria 1% Octubre 2021</v>
      </c>
      <c r="I6102" s="340" t="s">
        <v>131</v>
      </c>
      <c r="K6102" s="370"/>
      <c r="N6102" s="370"/>
    </row>
    <row r="6103" spans="1:14" s="347" customFormat="1" x14ac:dyDescent="0.25">
      <c r="A6103" s="369"/>
      <c r="E6103" s="396"/>
      <c r="F6103" s="396"/>
      <c r="G6103" s="396"/>
      <c r="K6103" s="370"/>
      <c r="N6103" s="370"/>
    </row>
    <row r="6104" spans="1:14" s="347" customFormat="1" x14ac:dyDescent="0.25">
      <c r="A6104" s="350">
        <v>44547</v>
      </c>
      <c r="B6104" s="403">
        <f>+MONTH(A6104)</f>
        <v>12</v>
      </c>
      <c r="C6104" s="352">
        <v>116</v>
      </c>
      <c r="D6104" s="340" t="str">
        <f>VLOOKUP(C6104,Plan!A:B,2,0)</f>
        <v>Disponible CALI Security</v>
      </c>
      <c r="E6104" s="341">
        <f>+F6104-G6104</f>
        <v>140000000</v>
      </c>
      <c r="F6104" s="396">
        <v>140000000</v>
      </c>
      <c r="G6104" s="396">
        <v>0</v>
      </c>
      <c r="H6104" t="s">
        <v>1768</v>
      </c>
      <c r="I6104" s="355" t="s">
        <v>131</v>
      </c>
      <c r="K6104" s="370"/>
      <c r="N6104" s="370"/>
    </row>
    <row r="6105" spans="1:14" s="347" customFormat="1" x14ac:dyDescent="0.25">
      <c r="A6105" s="350">
        <f>+A6104</f>
        <v>44547</v>
      </c>
      <c r="B6105" s="403">
        <f>+MONTH(A6105)</f>
        <v>12</v>
      </c>
      <c r="C6105" s="352">
        <v>115</v>
      </c>
      <c r="D6105" s="340" t="str">
        <f>VLOOKUP(C6105,Plan!A:B,2,0)</f>
        <v>Disponible Cali B.Chile</v>
      </c>
      <c r="E6105" s="341">
        <f>+F6105-G6105</f>
        <v>-140000000</v>
      </c>
      <c r="F6105" s="396">
        <v>0</v>
      </c>
      <c r="G6105" s="396">
        <f>+F6104</f>
        <v>140000000</v>
      </c>
      <c r="H6105" t="str">
        <f>+H6104</f>
        <v>Trasp.a Cta. Security</v>
      </c>
      <c r="I6105" s="355" t="s">
        <v>131</v>
      </c>
      <c r="K6105" s="370"/>
      <c r="N6105" s="370"/>
    </row>
    <row r="6106" spans="1:14" s="347" customFormat="1" x14ac:dyDescent="0.25">
      <c r="A6106" s="369"/>
      <c r="E6106" s="396"/>
      <c r="F6106" s="396"/>
      <c r="G6106" s="396"/>
      <c r="K6106" s="370"/>
      <c r="N6106" s="370"/>
    </row>
    <row r="6107" spans="1:14" s="347" customFormat="1" x14ac:dyDescent="0.25">
      <c r="A6107" s="350">
        <v>44547</v>
      </c>
      <c r="B6107" s="403">
        <f>+MONTH(A6107)</f>
        <v>12</v>
      </c>
      <c r="C6107" s="352">
        <v>115</v>
      </c>
      <c r="D6107" s="340" t="str">
        <f>VLOOKUP(C6107,Plan!A:B,2,0)</f>
        <v>Disponible Cali B.Chile</v>
      </c>
      <c r="E6107" s="341">
        <f>+F6107-G6107</f>
        <v>30000</v>
      </c>
      <c r="F6107" s="396">
        <v>30000</v>
      </c>
      <c r="G6107" s="396">
        <v>0</v>
      </c>
      <c r="H6107" t="s">
        <v>1082</v>
      </c>
      <c r="I6107" s="355" t="s">
        <v>131</v>
      </c>
      <c r="K6107" s="370"/>
      <c r="N6107" s="370"/>
    </row>
    <row r="6108" spans="1:14" s="347" customFormat="1" x14ac:dyDescent="0.25">
      <c r="A6108" s="350">
        <f>+A6107</f>
        <v>44547</v>
      </c>
      <c r="B6108" s="403">
        <f>+MONTH(A6108)</f>
        <v>12</v>
      </c>
      <c r="C6108" s="352">
        <v>1222</v>
      </c>
      <c r="D6108" s="340" t="str">
        <f>VLOOKUP(C6108,Plan!A:B,2,0)</f>
        <v>Otros Valores -Oficina y Transferencias (249)</v>
      </c>
      <c r="E6108" s="341">
        <f>+F6108-G6108</f>
        <v>-30000</v>
      </c>
      <c r="F6108" s="396">
        <v>0</v>
      </c>
      <c r="G6108" s="396">
        <f>+F6107</f>
        <v>30000</v>
      </c>
      <c r="H6108" t="str">
        <f>+H6107</f>
        <v>Carmen Gloria Ovalle de la Cuadra/ 249</v>
      </c>
      <c r="I6108" s="355" t="s">
        <v>131</v>
      </c>
      <c r="K6108" s="370"/>
      <c r="N6108" s="370"/>
    </row>
    <row r="6109" spans="1:14" s="347" customFormat="1" x14ac:dyDescent="0.25">
      <c r="A6109" s="369"/>
      <c r="E6109" s="396"/>
      <c r="F6109" s="396"/>
      <c r="G6109" s="396"/>
      <c r="K6109" s="370"/>
      <c r="N6109" s="370"/>
    </row>
    <row r="6110" spans="1:14" s="347" customFormat="1" x14ac:dyDescent="0.25">
      <c r="A6110" s="350">
        <v>44547</v>
      </c>
      <c r="B6110" s="403">
        <f>+MONTH(A6110)</f>
        <v>12</v>
      </c>
      <c r="C6110" s="352">
        <v>115</v>
      </c>
      <c r="D6110" s="340" t="str">
        <f>VLOOKUP(C6110,Plan!A:B,2,0)</f>
        <v>Disponible Cali B.Chile</v>
      </c>
      <c r="E6110" s="341">
        <f>+F6110-G6110</f>
        <v>29025</v>
      </c>
      <c r="F6110" s="396">
        <v>29025</v>
      </c>
      <c r="G6110" s="396">
        <v>0</v>
      </c>
      <c r="H6110" t="s">
        <v>2292</v>
      </c>
      <c r="I6110" s="355" t="s">
        <v>131</v>
      </c>
      <c r="K6110" s="370"/>
      <c r="N6110" s="370"/>
    </row>
    <row r="6111" spans="1:14" s="347" customFormat="1" x14ac:dyDescent="0.25">
      <c r="A6111" s="350">
        <f>+A6110</f>
        <v>44547</v>
      </c>
      <c r="B6111" s="403">
        <f>+MONTH(A6111)</f>
        <v>12</v>
      </c>
      <c r="C6111" s="352">
        <v>1222</v>
      </c>
      <c r="D6111" s="340" t="str">
        <f>VLOOKUP(C6111,Plan!A:B,2,0)</f>
        <v>Otros Valores -Oficina y Transferencias (249)</v>
      </c>
      <c r="E6111" s="341">
        <f>+F6111-G6111</f>
        <v>-30000</v>
      </c>
      <c r="F6111" s="396">
        <v>0</v>
      </c>
      <c r="G6111" s="396">
        <v>30000</v>
      </c>
      <c r="H6111" t="str">
        <f>+H6110</f>
        <v>Maria Rebeca Perez Ferrada($30000)</v>
      </c>
      <c r="I6111" s="355" t="s">
        <v>131</v>
      </c>
      <c r="K6111" s="370"/>
      <c r="N6111" s="370"/>
    </row>
    <row r="6112" spans="1:14" s="347" customFormat="1" x14ac:dyDescent="0.25">
      <c r="A6112" s="350">
        <f>+A6111</f>
        <v>44547</v>
      </c>
      <c r="B6112" s="403">
        <f>+MONTH(A6112)</f>
        <v>12</v>
      </c>
      <c r="C6112" s="352">
        <v>4170</v>
      </c>
      <c r="D6112" s="340" t="str">
        <f>VLOOKUP(C6112,Plan!A:B,2,0)</f>
        <v>Cali otros</v>
      </c>
      <c r="E6112" s="341">
        <f>+F6112-G6112</f>
        <v>975</v>
      </c>
      <c r="F6112" s="396">
        <v>975</v>
      </c>
      <c r="G6112" s="396">
        <f>+F6111</f>
        <v>0</v>
      </c>
      <c r="H6112" t="str">
        <f>+H6111</f>
        <v>Maria Rebeca Perez Ferrada($30000)</v>
      </c>
      <c r="I6112" s="355" t="s">
        <v>131</v>
      </c>
      <c r="K6112" s="370"/>
      <c r="N6112" s="370"/>
    </row>
    <row r="6113" spans="1:14" s="347" customFormat="1" x14ac:dyDescent="0.25">
      <c r="A6113" s="369"/>
      <c r="E6113" s="396"/>
      <c r="F6113" s="396"/>
      <c r="G6113" s="396"/>
      <c r="K6113" s="370"/>
      <c r="N6113" s="370"/>
    </row>
    <row r="6114" spans="1:14" s="347" customFormat="1" x14ac:dyDescent="0.25">
      <c r="A6114" s="350">
        <v>44547</v>
      </c>
      <c r="B6114" s="403">
        <f>+MONTH(A6114)</f>
        <v>12</v>
      </c>
      <c r="C6114" s="352">
        <v>115</v>
      </c>
      <c r="D6114" s="340" t="str">
        <f>VLOOKUP(C6114,Plan!A:B,2,0)</f>
        <v>Disponible Cali B.Chile</v>
      </c>
      <c r="E6114" s="341">
        <f>+F6114-G6114</f>
        <v>14513</v>
      </c>
      <c r="F6114" s="396">
        <v>14513</v>
      </c>
      <c r="G6114" s="396">
        <v>0</v>
      </c>
      <c r="H6114" t="s">
        <v>2261</v>
      </c>
      <c r="I6114" s="355" t="s">
        <v>131</v>
      </c>
      <c r="K6114" s="370"/>
      <c r="N6114" s="370"/>
    </row>
    <row r="6115" spans="1:14" s="347" customFormat="1" x14ac:dyDescent="0.25">
      <c r="A6115" s="350">
        <f>+A6114</f>
        <v>44547</v>
      </c>
      <c r="B6115" s="403">
        <f>+MONTH(A6115)</f>
        <v>12</v>
      </c>
      <c r="C6115" s="352">
        <v>1222</v>
      </c>
      <c r="D6115" s="340" t="str">
        <f>VLOOKUP(C6115,Plan!A:B,2,0)</f>
        <v>Otros Valores -Oficina y Transferencias (249)</v>
      </c>
      <c r="E6115" s="341">
        <f>+F6115-G6115</f>
        <v>-15000</v>
      </c>
      <c r="F6115" s="396">
        <v>0</v>
      </c>
      <c r="G6115" s="396">
        <v>15000</v>
      </c>
      <c r="H6115" t="str">
        <f>+H6114</f>
        <v>Maria Paz Rauch Varas ($15000)</v>
      </c>
      <c r="I6115" s="355" t="s">
        <v>131</v>
      </c>
      <c r="K6115" s="370"/>
      <c r="N6115" s="370"/>
    </row>
    <row r="6116" spans="1:14" s="347" customFormat="1" x14ac:dyDescent="0.25">
      <c r="A6116" s="350">
        <f>+A6115</f>
        <v>44547</v>
      </c>
      <c r="B6116" s="403">
        <f>+MONTH(A6116)</f>
        <v>12</v>
      </c>
      <c r="C6116" s="352">
        <v>4170</v>
      </c>
      <c r="D6116" s="340" t="str">
        <f>VLOOKUP(C6116,Plan!A:B,2,0)</f>
        <v>Cali otros</v>
      </c>
      <c r="E6116" s="341">
        <f>+F6116-G6116</f>
        <v>487</v>
      </c>
      <c r="F6116" s="396">
        <v>487</v>
      </c>
      <c r="G6116" s="396">
        <f>+F6115</f>
        <v>0</v>
      </c>
      <c r="H6116" t="str">
        <f>+H6115</f>
        <v>Maria Paz Rauch Varas ($15000)</v>
      </c>
      <c r="I6116" s="355" t="s">
        <v>131</v>
      </c>
      <c r="K6116" s="370"/>
      <c r="N6116" s="370"/>
    </row>
    <row r="6117" spans="1:14" s="347" customFormat="1" x14ac:dyDescent="0.25">
      <c r="A6117" s="369"/>
      <c r="E6117" s="396"/>
      <c r="F6117" s="396"/>
      <c r="G6117" s="396"/>
      <c r="K6117" s="370"/>
      <c r="N6117" s="370"/>
    </row>
    <row r="6118" spans="1:14" s="347" customFormat="1" x14ac:dyDescent="0.25">
      <c r="A6118" s="350">
        <v>44547</v>
      </c>
      <c r="B6118" s="403">
        <f>+MONTH(A6118)</f>
        <v>12</v>
      </c>
      <c r="C6118" s="352">
        <v>115</v>
      </c>
      <c r="D6118" s="340" t="str">
        <f>VLOOKUP(C6118,Plan!A:B,2,0)</f>
        <v>Disponible Cali B.Chile</v>
      </c>
      <c r="E6118" s="341">
        <f>+F6118-G6118</f>
        <v>29025</v>
      </c>
      <c r="F6118" s="396">
        <v>29025</v>
      </c>
      <c r="G6118" s="396">
        <v>0</v>
      </c>
      <c r="H6118" t="s">
        <v>2244</v>
      </c>
      <c r="I6118" s="355" t="s">
        <v>131</v>
      </c>
      <c r="K6118" s="370"/>
      <c r="N6118" s="370"/>
    </row>
    <row r="6119" spans="1:14" s="347" customFormat="1" x14ac:dyDescent="0.25">
      <c r="A6119" s="350">
        <f>+A6118</f>
        <v>44547</v>
      </c>
      <c r="B6119" s="403">
        <f>+MONTH(A6119)</f>
        <v>12</v>
      </c>
      <c r="C6119" s="352">
        <v>1222</v>
      </c>
      <c r="D6119" s="340" t="str">
        <f>VLOOKUP(C6119,Plan!A:B,2,0)</f>
        <v>Otros Valores -Oficina y Transferencias (249)</v>
      </c>
      <c r="E6119" s="341">
        <f>+F6119-G6119</f>
        <v>-30000</v>
      </c>
      <c r="F6119" s="396">
        <v>0</v>
      </c>
      <c r="G6119" s="396">
        <v>30000</v>
      </c>
      <c r="H6119" t="str">
        <f>+H6118</f>
        <v>Carolina Jacir Manterola ($30000)</v>
      </c>
      <c r="I6119" s="355" t="s">
        <v>131</v>
      </c>
      <c r="K6119" s="370"/>
      <c r="N6119" s="370"/>
    </row>
    <row r="6120" spans="1:14" s="347" customFormat="1" x14ac:dyDescent="0.25">
      <c r="A6120" s="350">
        <f>+A6119</f>
        <v>44547</v>
      </c>
      <c r="B6120" s="403">
        <f>+MONTH(A6120)</f>
        <v>12</v>
      </c>
      <c r="C6120" s="352">
        <v>4170</v>
      </c>
      <c r="D6120" s="340" t="str">
        <f>VLOOKUP(C6120,Plan!A:B,2,0)</f>
        <v>Cali otros</v>
      </c>
      <c r="E6120" s="341">
        <f>+F6120-G6120</f>
        <v>975</v>
      </c>
      <c r="F6120" s="396">
        <v>975</v>
      </c>
      <c r="G6120" s="396">
        <f>+F6119</f>
        <v>0</v>
      </c>
      <c r="H6120" t="str">
        <f>+H6119</f>
        <v>Carolina Jacir Manterola ($30000)</v>
      </c>
      <c r="I6120" s="355" t="s">
        <v>131</v>
      </c>
      <c r="K6120" s="370"/>
      <c r="N6120" s="370"/>
    </row>
    <row r="6121" spans="1:14" s="347" customFormat="1" x14ac:dyDescent="0.25">
      <c r="A6121" s="369"/>
      <c r="E6121" s="396"/>
      <c r="F6121" s="396"/>
      <c r="G6121" s="396"/>
      <c r="K6121" s="370"/>
      <c r="N6121" s="370"/>
    </row>
    <row r="6122" spans="1:14" s="347" customFormat="1" x14ac:dyDescent="0.25">
      <c r="A6122" s="350">
        <v>44547</v>
      </c>
      <c r="B6122" s="403">
        <f>+MONTH(A6122)</f>
        <v>12</v>
      </c>
      <c r="C6122" s="352">
        <v>115</v>
      </c>
      <c r="D6122" s="340" t="str">
        <f>VLOOKUP(C6122,Plan!A:B,2,0)</f>
        <v>Disponible Cali B.Chile</v>
      </c>
      <c r="E6122" s="341">
        <f>+F6122-G6122</f>
        <v>19350</v>
      </c>
      <c r="F6122" s="396">
        <v>19350</v>
      </c>
      <c r="G6122" s="396">
        <v>0</v>
      </c>
      <c r="H6122" t="s">
        <v>2344</v>
      </c>
      <c r="I6122" s="355" t="s">
        <v>131</v>
      </c>
      <c r="K6122" s="370"/>
      <c r="N6122" s="370"/>
    </row>
    <row r="6123" spans="1:14" s="347" customFormat="1" x14ac:dyDescent="0.25">
      <c r="A6123" s="350">
        <f>+A6122</f>
        <v>44547</v>
      </c>
      <c r="B6123" s="403">
        <f>+MONTH(A6123)</f>
        <v>12</v>
      </c>
      <c r="C6123" s="352">
        <v>1222</v>
      </c>
      <c r="D6123" s="340" t="str">
        <f>VLOOKUP(C6123,Plan!A:B,2,0)</f>
        <v>Otros Valores -Oficina y Transferencias (249)</v>
      </c>
      <c r="E6123" s="341">
        <f>+F6123-G6123</f>
        <v>-20000</v>
      </c>
      <c r="F6123" s="396">
        <v>0</v>
      </c>
      <c r="G6123" s="396">
        <v>20000</v>
      </c>
      <c r="H6123" t="str">
        <f>+H6122</f>
        <v xml:space="preserve">María Ignacia Lewin Urzúa ($20.000) </v>
      </c>
      <c r="I6123" s="355" t="s">
        <v>131</v>
      </c>
      <c r="K6123" s="370"/>
      <c r="N6123" s="370"/>
    </row>
    <row r="6124" spans="1:14" s="347" customFormat="1" x14ac:dyDescent="0.25">
      <c r="A6124" s="350">
        <f>+A6123</f>
        <v>44547</v>
      </c>
      <c r="B6124" s="403">
        <f>+MONTH(A6124)</f>
        <v>12</v>
      </c>
      <c r="C6124" s="352">
        <v>4170</v>
      </c>
      <c r="D6124" s="340" t="str">
        <f>VLOOKUP(C6124,Plan!A:B,2,0)</f>
        <v>Cali otros</v>
      </c>
      <c r="E6124" s="341">
        <f>+F6124-G6124</f>
        <v>650</v>
      </c>
      <c r="F6124" s="396">
        <v>650</v>
      </c>
      <c r="G6124" s="396">
        <f>+F6123</f>
        <v>0</v>
      </c>
      <c r="H6124" t="str">
        <f>+H6123</f>
        <v xml:space="preserve">María Ignacia Lewin Urzúa ($20.000) </v>
      </c>
      <c r="I6124" s="355" t="s">
        <v>131</v>
      </c>
      <c r="K6124" s="370"/>
      <c r="N6124" s="370"/>
    </row>
    <row r="6125" spans="1:14" s="347" customFormat="1" x14ac:dyDescent="0.25">
      <c r="A6125" s="369"/>
      <c r="E6125" s="396"/>
      <c r="F6125" s="396"/>
      <c r="G6125" s="396"/>
      <c r="K6125" s="370"/>
      <c r="N6125" s="370"/>
    </row>
    <row r="6126" spans="1:14" s="347" customFormat="1" x14ac:dyDescent="0.25">
      <c r="A6126" s="350">
        <v>44547</v>
      </c>
      <c r="B6126" s="403">
        <f>+MONTH(A6126)</f>
        <v>12</v>
      </c>
      <c r="C6126" s="352">
        <v>115</v>
      </c>
      <c r="D6126" s="340" t="str">
        <f>VLOOKUP(C6126,Plan!A:B,2,0)</f>
        <v>Disponible Cali B.Chile</v>
      </c>
      <c r="E6126" s="341">
        <f>+F6126-G6126</f>
        <v>50000</v>
      </c>
      <c r="F6126" s="396">
        <v>50000</v>
      </c>
      <c r="G6126" s="396">
        <v>0</v>
      </c>
      <c r="H6126" t="s">
        <v>2161</v>
      </c>
      <c r="I6126" s="355" t="s">
        <v>131</v>
      </c>
      <c r="K6126" s="370"/>
      <c r="N6126" s="370"/>
    </row>
    <row r="6127" spans="1:14" s="347" customFormat="1" x14ac:dyDescent="0.25">
      <c r="A6127" s="350">
        <f>+A6126</f>
        <v>44547</v>
      </c>
      <c r="B6127" s="403">
        <f>+MONTH(A6127)</f>
        <v>12</v>
      </c>
      <c r="C6127" s="352">
        <v>3210</v>
      </c>
      <c r="D6127" s="340" t="str">
        <f>VLOOKUP(C6127,Plan!A:B,2,0)</f>
        <v>Donacion Construccion</v>
      </c>
      <c r="E6127" s="341">
        <f>+F6127-G6127</f>
        <v>-50000</v>
      </c>
      <c r="F6127" s="396">
        <v>0</v>
      </c>
      <c r="G6127" s="396">
        <f>+F6126</f>
        <v>50000</v>
      </c>
      <c r="H6127" t="str">
        <f>+H6126</f>
        <v>Juan Bautista Duhart Charles / Azul</v>
      </c>
      <c r="I6127" s="355" t="s">
        <v>131</v>
      </c>
      <c r="K6127" s="370"/>
      <c r="N6127" s="370"/>
    </row>
    <row r="6128" spans="1:14" s="347" customFormat="1" x14ac:dyDescent="0.25">
      <c r="A6128" s="369"/>
      <c r="E6128" s="396"/>
      <c r="F6128" s="396"/>
      <c r="G6128" s="396"/>
      <c r="K6128" s="370"/>
      <c r="N6128" s="370"/>
    </row>
    <row r="6129" spans="1:14" s="347" customFormat="1" x14ac:dyDescent="0.25">
      <c r="A6129" s="350">
        <v>44547</v>
      </c>
      <c r="B6129" s="403">
        <f>+MONTH(A6129)</f>
        <v>12</v>
      </c>
      <c r="C6129" s="352">
        <v>115</v>
      </c>
      <c r="D6129" s="340" t="str">
        <f>VLOOKUP(C6129,Plan!A:B,2,0)</f>
        <v>Disponible Cali B.Chile</v>
      </c>
      <c r="E6129" s="341">
        <f>+F6129-G6129</f>
        <v>240000</v>
      </c>
      <c r="F6129" s="396">
        <v>240000</v>
      </c>
      <c r="G6129" s="396">
        <v>0</v>
      </c>
      <c r="H6129" t="s">
        <v>1687</v>
      </c>
      <c r="I6129" s="355" t="s">
        <v>131</v>
      </c>
      <c r="K6129" s="370"/>
      <c r="N6129" s="370"/>
    </row>
    <row r="6130" spans="1:14" s="347" customFormat="1" x14ac:dyDescent="0.25">
      <c r="A6130" s="350">
        <f>+A6129</f>
        <v>44547</v>
      </c>
      <c r="B6130" s="403">
        <f>+MONTH(A6130)</f>
        <v>12</v>
      </c>
      <c r="C6130" s="352">
        <v>1216</v>
      </c>
      <c r="D6130" s="340" t="str">
        <f>VLOOKUP(C6130,Plan!A:B,2,0)</f>
        <v>Otros Valores Recaudadoras</v>
      </c>
      <c r="E6130" s="341">
        <f>+F6130-G6130</f>
        <v>-240000</v>
      </c>
      <c r="F6130" s="396">
        <v>0</v>
      </c>
      <c r="G6130" s="359">
        <f>+F6129</f>
        <v>240000</v>
      </c>
      <c r="H6130" t="str">
        <f>+H6129</f>
        <v>Recaudadora</v>
      </c>
      <c r="I6130" s="355" t="s">
        <v>131</v>
      </c>
      <c r="K6130" s="370"/>
      <c r="N6130" s="370"/>
    </row>
    <row r="6131" spans="1:14" s="347" customFormat="1" x14ac:dyDescent="0.25">
      <c r="A6131" s="369"/>
      <c r="E6131" s="396"/>
      <c r="F6131" s="396"/>
      <c r="G6131" s="396"/>
      <c r="K6131" s="370"/>
      <c r="N6131" s="370"/>
    </row>
    <row r="6132" spans="1:14" s="347" customFormat="1" x14ac:dyDescent="0.25">
      <c r="A6132" s="350">
        <v>44547</v>
      </c>
      <c r="B6132" s="403">
        <f>+MONTH(A6132)</f>
        <v>12</v>
      </c>
      <c r="C6132" s="352">
        <v>115</v>
      </c>
      <c r="D6132" s="340" t="str">
        <f>VLOOKUP(C6132,Plan!A:B,2,0)</f>
        <v>Disponible Cali B.Chile</v>
      </c>
      <c r="E6132" s="341">
        <f>+F6132-G6132</f>
        <v>30000</v>
      </c>
      <c r="F6132" s="396">
        <v>30000</v>
      </c>
      <c r="G6132" s="396">
        <v>0</v>
      </c>
      <c r="H6132" t="s">
        <v>1687</v>
      </c>
      <c r="I6132" s="355" t="s">
        <v>131</v>
      </c>
      <c r="K6132" s="370"/>
      <c r="N6132" s="370"/>
    </row>
    <row r="6133" spans="1:14" s="347" customFormat="1" x14ac:dyDescent="0.25">
      <c r="A6133" s="350">
        <f>+A6132</f>
        <v>44547</v>
      </c>
      <c r="B6133" s="403">
        <f>+MONTH(A6133)</f>
        <v>12</v>
      </c>
      <c r="C6133" s="352">
        <v>1216</v>
      </c>
      <c r="D6133" s="340" t="str">
        <f>VLOOKUP(C6133,Plan!A:B,2,0)</f>
        <v>Otros Valores Recaudadoras</v>
      </c>
      <c r="E6133" s="341">
        <f>+F6133-G6133</f>
        <v>-30000</v>
      </c>
      <c r="F6133" s="396">
        <v>0</v>
      </c>
      <c r="G6133" s="359">
        <f>+F6132</f>
        <v>30000</v>
      </c>
      <c r="H6133" t="str">
        <f>+H6132</f>
        <v>Recaudadora</v>
      </c>
      <c r="I6133" s="355" t="s">
        <v>131</v>
      </c>
      <c r="K6133" s="370"/>
      <c r="N6133" s="370"/>
    </row>
    <row r="6134" spans="1:14" s="347" customFormat="1" x14ac:dyDescent="0.25">
      <c r="A6134" s="369"/>
      <c r="E6134" s="396"/>
      <c r="F6134" s="396"/>
      <c r="G6134" s="396"/>
      <c r="K6134" s="370"/>
      <c r="N6134" s="370"/>
    </row>
    <row r="6135" spans="1:14" s="347" customFormat="1" x14ac:dyDescent="0.25">
      <c r="A6135" s="350">
        <v>44547</v>
      </c>
      <c r="B6135" s="403">
        <f>+MONTH(A6135)</f>
        <v>12</v>
      </c>
      <c r="C6135" s="352">
        <v>115</v>
      </c>
      <c r="D6135" s="340" t="str">
        <f>VLOOKUP(C6135,Plan!A:B,2,0)</f>
        <v>Disponible Cali B.Chile</v>
      </c>
      <c r="E6135" s="341">
        <f>+F6135-G6135</f>
        <v>20000</v>
      </c>
      <c r="F6135" s="396">
        <v>20000</v>
      </c>
      <c r="G6135" s="396">
        <v>0</v>
      </c>
      <c r="H6135" t="s">
        <v>1687</v>
      </c>
      <c r="I6135" s="355" t="s">
        <v>131</v>
      </c>
      <c r="K6135" s="370"/>
      <c r="N6135" s="370"/>
    </row>
    <row r="6136" spans="1:14" s="347" customFormat="1" x14ac:dyDescent="0.25">
      <c r="A6136" s="350">
        <f>+A6135</f>
        <v>44547</v>
      </c>
      <c r="B6136" s="403">
        <f>+MONTH(A6136)</f>
        <v>12</v>
      </c>
      <c r="C6136" s="352">
        <v>1216</v>
      </c>
      <c r="D6136" s="340" t="str">
        <f>VLOOKUP(C6136,Plan!A:B,2,0)</f>
        <v>Otros Valores Recaudadoras</v>
      </c>
      <c r="E6136" s="341">
        <f>+F6136-G6136</f>
        <v>-20000</v>
      </c>
      <c r="F6136" s="396">
        <v>0</v>
      </c>
      <c r="G6136" s="359">
        <f>+F6135</f>
        <v>20000</v>
      </c>
      <c r="H6136" t="str">
        <f>+H6135</f>
        <v>Recaudadora</v>
      </c>
      <c r="I6136" s="355" t="s">
        <v>131</v>
      </c>
      <c r="K6136" s="370"/>
      <c r="N6136" s="370"/>
    </row>
    <row r="6137" spans="1:14" s="347" customFormat="1" x14ac:dyDescent="0.25">
      <c r="A6137" s="369"/>
      <c r="E6137" s="396"/>
      <c r="F6137" s="396"/>
      <c r="G6137" s="396"/>
      <c r="K6137" s="370"/>
      <c r="N6137" s="370"/>
    </row>
    <row r="6138" spans="1:14" s="347" customFormat="1" x14ac:dyDescent="0.25">
      <c r="A6138" s="350">
        <v>44547</v>
      </c>
      <c r="B6138" s="403">
        <f>+MONTH(A6138)</f>
        <v>12</v>
      </c>
      <c r="C6138" s="352">
        <v>115</v>
      </c>
      <c r="D6138" s="340" t="str">
        <f>VLOOKUP(C6138,Plan!A:B,2,0)</f>
        <v>Disponible Cali B.Chile</v>
      </c>
      <c r="E6138" s="341">
        <f>+F6138-G6138</f>
        <v>15000</v>
      </c>
      <c r="F6138" s="396">
        <v>15000</v>
      </c>
      <c r="G6138" s="396">
        <v>0</v>
      </c>
      <c r="H6138" t="s">
        <v>1687</v>
      </c>
      <c r="I6138" s="355" t="s">
        <v>131</v>
      </c>
      <c r="K6138" s="370"/>
      <c r="N6138" s="370"/>
    </row>
    <row r="6139" spans="1:14" s="347" customFormat="1" x14ac:dyDescent="0.25">
      <c r="A6139" s="350">
        <f>+A6138</f>
        <v>44547</v>
      </c>
      <c r="B6139" s="403">
        <f>+MONTH(A6139)</f>
        <v>12</v>
      </c>
      <c r="C6139" s="352">
        <v>1216</v>
      </c>
      <c r="D6139" s="340" t="str">
        <f>VLOOKUP(C6139,Plan!A:B,2,0)</f>
        <v>Otros Valores Recaudadoras</v>
      </c>
      <c r="E6139" s="341">
        <f>+F6139-G6139</f>
        <v>-15000</v>
      </c>
      <c r="F6139" s="396">
        <v>0</v>
      </c>
      <c r="G6139" s="359">
        <f>+F6138</f>
        <v>15000</v>
      </c>
      <c r="H6139" t="str">
        <f>+H6138</f>
        <v>Recaudadora</v>
      </c>
      <c r="I6139" s="355" t="s">
        <v>131</v>
      </c>
      <c r="K6139" s="370"/>
      <c r="N6139" s="370"/>
    </row>
    <row r="6140" spans="1:14" s="347" customFormat="1" x14ac:dyDescent="0.25">
      <c r="A6140" s="369"/>
      <c r="E6140" s="396"/>
      <c r="F6140" s="396"/>
      <c r="G6140" s="396"/>
      <c r="K6140" s="370"/>
      <c r="N6140" s="370"/>
    </row>
    <row r="6141" spans="1:14" s="347" customFormat="1" x14ac:dyDescent="0.25">
      <c r="A6141" s="350">
        <v>44547</v>
      </c>
      <c r="B6141" s="403">
        <f>+MONTH(A6141)</f>
        <v>12</v>
      </c>
      <c r="C6141" s="352">
        <v>115</v>
      </c>
      <c r="D6141" s="340" t="str">
        <f>VLOOKUP(C6141,Plan!A:B,2,0)</f>
        <v>Disponible Cali B.Chile</v>
      </c>
      <c r="E6141" s="341">
        <f>+F6141-G6141</f>
        <v>35000</v>
      </c>
      <c r="F6141" s="396">
        <v>35000</v>
      </c>
      <c r="G6141" s="396">
        <v>0</v>
      </c>
      <c r="H6141" t="s">
        <v>1687</v>
      </c>
      <c r="I6141" s="355" t="s">
        <v>131</v>
      </c>
      <c r="K6141" s="370"/>
      <c r="N6141" s="370"/>
    </row>
    <row r="6142" spans="1:14" s="347" customFormat="1" x14ac:dyDescent="0.25">
      <c r="A6142" s="350">
        <f>+A6141</f>
        <v>44547</v>
      </c>
      <c r="B6142" s="403">
        <f>+MONTH(A6142)</f>
        <v>12</v>
      </c>
      <c r="C6142" s="352">
        <v>1216</v>
      </c>
      <c r="D6142" s="340" t="str">
        <f>VLOOKUP(C6142,Plan!A:B,2,0)</f>
        <v>Otros Valores Recaudadoras</v>
      </c>
      <c r="E6142" s="341">
        <f>+F6142-G6142</f>
        <v>-35000</v>
      </c>
      <c r="F6142" s="396">
        <v>0</v>
      </c>
      <c r="G6142" s="359">
        <f>+F6141</f>
        <v>35000</v>
      </c>
      <c r="H6142" t="str">
        <f>+H6141</f>
        <v>Recaudadora</v>
      </c>
      <c r="I6142" s="355" t="s">
        <v>131</v>
      </c>
      <c r="K6142" s="370"/>
      <c r="N6142" s="370"/>
    </row>
    <row r="6143" spans="1:14" s="347" customFormat="1" x14ac:dyDescent="0.25">
      <c r="A6143" s="369"/>
      <c r="E6143" s="396"/>
      <c r="F6143" s="396"/>
      <c r="G6143" s="396"/>
      <c r="K6143" s="370"/>
      <c r="N6143" s="370"/>
    </row>
    <row r="6144" spans="1:14" s="347" customFormat="1" x14ac:dyDescent="0.25">
      <c r="A6144" s="350">
        <v>44550</v>
      </c>
      <c r="B6144" s="403">
        <f>+MONTH(A6144)</f>
        <v>12</v>
      </c>
      <c r="C6144" s="352">
        <v>115</v>
      </c>
      <c r="D6144" s="340" t="str">
        <f>VLOOKUP(C6144,Plan!A:B,2,0)</f>
        <v>Disponible Cali B.Chile</v>
      </c>
      <c r="E6144" s="341">
        <f>+F6144-G6144</f>
        <v>20000</v>
      </c>
      <c r="F6144" s="396">
        <v>20000</v>
      </c>
      <c r="G6144" s="396">
        <v>0</v>
      </c>
      <c r="H6144" t="s">
        <v>1687</v>
      </c>
      <c r="I6144" s="355" t="s">
        <v>131</v>
      </c>
      <c r="K6144" s="370"/>
      <c r="N6144" s="370"/>
    </row>
    <row r="6145" spans="1:14" s="347" customFormat="1" x14ac:dyDescent="0.25">
      <c r="A6145" s="350">
        <f>+A6144</f>
        <v>44550</v>
      </c>
      <c r="B6145" s="403">
        <f>+MONTH(A6145)</f>
        <v>12</v>
      </c>
      <c r="C6145" s="352">
        <v>1216</v>
      </c>
      <c r="D6145" s="340" t="str">
        <f>VLOOKUP(C6145,Plan!A:B,2,0)</f>
        <v>Otros Valores Recaudadoras</v>
      </c>
      <c r="E6145" s="341">
        <f>+F6145-G6145</f>
        <v>-20000</v>
      </c>
      <c r="F6145" s="396">
        <v>0</v>
      </c>
      <c r="G6145" s="359">
        <f>+F6144</f>
        <v>20000</v>
      </c>
      <c r="H6145" t="str">
        <f>+H6144</f>
        <v>Recaudadora</v>
      </c>
      <c r="I6145" s="355" t="s">
        <v>131</v>
      </c>
      <c r="K6145" s="370"/>
      <c r="N6145" s="370"/>
    </row>
    <row r="6146" spans="1:14" s="347" customFormat="1" x14ac:dyDescent="0.25">
      <c r="A6146" s="369"/>
      <c r="E6146" s="396"/>
      <c r="F6146" s="396"/>
      <c r="G6146" s="396"/>
      <c r="K6146" s="370"/>
      <c r="N6146" s="370"/>
    </row>
    <row r="6147" spans="1:14" s="347" customFormat="1" x14ac:dyDescent="0.25">
      <c r="A6147" s="350">
        <v>44550</v>
      </c>
      <c r="B6147" s="403">
        <f>+MONTH(A6147)</f>
        <v>12</v>
      </c>
      <c r="C6147" s="352">
        <v>115</v>
      </c>
      <c r="D6147" s="340" t="str">
        <f>VLOOKUP(C6147,Plan!A:B,2,0)</f>
        <v>Disponible Cali B.Chile</v>
      </c>
      <c r="E6147" s="341">
        <f>+F6147-G6147</f>
        <v>7000</v>
      </c>
      <c r="F6147" s="396">
        <v>7000</v>
      </c>
      <c r="G6147" s="396">
        <v>0</v>
      </c>
      <c r="H6147" t="s">
        <v>1687</v>
      </c>
      <c r="I6147" s="355" t="s">
        <v>131</v>
      </c>
      <c r="K6147" s="370"/>
      <c r="N6147" s="370"/>
    </row>
    <row r="6148" spans="1:14" s="347" customFormat="1" x14ac:dyDescent="0.25">
      <c r="A6148" s="350">
        <f>+A6147</f>
        <v>44550</v>
      </c>
      <c r="B6148" s="403">
        <f>+MONTH(A6148)</f>
        <v>12</v>
      </c>
      <c r="C6148" s="352">
        <v>1216</v>
      </c>
      <c r="D6148" s="340" t="str">
        <f>VLOOKUP(C6148,Plan!A:B,2,0)</f>
        <v>Otros Valores Recaudadoras</v>
      </c>
      <c r="E6148" s="341">
        <f>+F6148-G6148</f>
        <v>-7000</v>
      </c>
      <c r="F6148" s="396">
        <v>0</v>
      </c>
      <c r="G6148" s="359">
        <f>+F6147</f>
        <v>7000</v>
      </c>
      <c r="H6148" t="str">
        <f>+H6147</f>
        <v>Recaudadora</v>
      </c>
      <c r="I6148" s="355" t="s">
        <v>131</v>
      </c>
      <c r="K6148" s="370"/>
      <c r="N6148" s="370"/>
    </row>
    <row r="6149" spans="1:14" s="347" customFormat="1" x14ac:dyDescent="0.25">
      <c r="A6149" s="369"/>
      <c r="E6149" s="396"/>
      <c r="F6149" s="396"/>
      <c r="G6149" s="396"/>
      <c r="K6149" s="370"/>
      <c r="N6149" s="370"/>
    </row>
    <row r="6150" spans="1:14" s="347" customFormat="1" x14ac:dyDescent="0.25">
      <c r="A6150" s="350">
        <v>44550</v>
      </c>
      <c r="B6150" s="403">
        <f>+MONTH(A6150)</f>
        <v>12</v>
      </c>
      <c r="C6150" s="352">
        <v>115</v>
      </c>
      <c r="D6150" s="340" t="str">
        <f>VLOOKUP(C6150,Plan!A:B,2,0)</f>
        <v>Disponible Cali B.Chile</v>
      </c>
      <c r="E6150" s="341">
        <f>+F6150-G6150</f>
        <v>20000</v>
      </c>
      <c r="F6150" s="396">
        <v>20000</v>
      </c>
      <c r="G6150" s="396">
        <v>0</v>
      </c>
      <c r="H6150" t="s">
        <v>1030</v>
      </c>
      <c r="I6150" s="355" t="s">
        <v>131</v>
      </c>
      <c r="K6150" s="370"/>
      <c r="N6150" s="370"/>
    </row>
    <row r="6151" spans="1:14" s="347" customFormat="1" x14ac:dyDescent="0.25">
      <c r="A6151" s="350">
        <f>+A6150</f>
        <v>44550</v>
      </c>
      <c r="B6151" s="403">
        <f>+MONTH(A6151)</f>
        <v>12</v>
      </c>
      <c r="C6151" s="352">
        <v>1222</v>
      </c>
      <c r="D6151" s="340" t="str">
        <f>VLOOKUP(C6151,Plan!A:B,2,0)</f>
        <v>Otros Valores -Oficina y Transferencias (249)</v>
      </c>
      <c r="E6151" s="341">
        <f>+F6151-G6151</f>
        <v>-20000</v>
      </c>
      <c r="F6151" s="396">
        <v>0</v>
      </c>
      <c r="G6151" s="396">
        <f>+F6150</f>
        <v>20000</v>
      </c>
      <c r="H6151" t="str">
        <f>+H6150</f>
        <v>S. Villegas / 249</v>
      </c>
      <c r="I6151" s="355" t="s">
        <v>131</v>
      </c>
      <c r="K6151" s="370"/>
      <c r="N6151" s="370"/>
    </row>
    <row r="6152" spans="1:14" s="347" customFormat="1" x14ac:dyDescent="0.25">
      <c r="A6152" s="369"/>
      <c r="E6152" s="396"/>
      <c r="F6152" s="396"/>
      <c r="G6152" s="396"/>
      <c r="K6152" s="370"/>
      <c r="N6152" s="370"/>
    </row>
    <row r="6153" spans="1:14" s="347" customFormat="1" x14ac:dyDescent="0.25">
      <c r="A6153" s="350">
        <v>44550</v>
      </c>
      <c r="B6153" s="403">
        <f>+MONTH(A6153)</f>
        <v>12</v>
      </c>
      <c r="C6153" s="352">
        <v>115</v>
      </c>
      <c r="D6153" s="340" t="str">
        <f>VLOOKUP(C6153,Plan!A:B,2,0)</f>
        <v>Disponible Cali B.Chile</v>
      </c>
      <c r="E6153" s="341">
        <f>+F6153-G6153</f>
        <v>5000</v>
      </c>
      <c r="F6153" s="396">
        <v>5000</v>
      </c>
      <c r="G6153" s="396">
        <v>0</v>
      </c>
      <c r="H6153" t="s">
        <v>1719</v>
      </c>
      <c r="I6153" s="355" t="s">
        <v>131</v>
      </c>
      <c r="K6153" s="370"/>
      <c r="N6153" s="370"/>
    </row>
    <row r="6154" spans="1:14" s="347" customFormat="1" x14ac:dyDescent="0.25">
      <c r="A6154" s="350">
        <f>+A6153</f>
        <v>44550</v>
      </c>
      <c r="B6154" s="403">
        <f>+MONTH(A6154)</f>
        <v>12</v>
      </c>
      <c r="C6154" s="352">
        <v>1222</v>
      </c>
      <c r="D6154" s="340" t="str">
        <f>VLOOKUP(C6154,Plan!A:B,2,0)</f>
        <v>Otros Valores -Oficina y Transferencias (249)</v>
      </c>
      <c r="E6154" s="341">
        <f>+F6154-G6154</f>
        <v>-5000</v>
      </c>
      <c r="F6154" s="396">
        <v>0</v>
      </c>
      <c r="G6154" s="396">
        <f>+F6153</f>
        <v>5000</v>
      </c>
      <c r="H6154" t="str">
        <f>+H6153</f>
        <v>María Angélica Pérez-Villamil /249</v>
      </c>
      <c r="I6154" s="355" t="s">
        <v>131</v>
      </c>
      <c r="K6154" s="370"/>
      <c r="N6154" s="370"/>
    </row>
    <row r="6155" spans="1:14" s="347" customFormat="1" x14ac:dyDescent="0.25">
      <c r="A6155" s="369"/>
      <c r="E6155" s="396"/>
      <c r="F6155" s="396"/>
      <c r="G6155" s="396"/>
      <c r="K6155" s="370"/>
      <c r="N6155" s="370"/>
    </row>
    <row r="6156" spans="1:14" s="347" customFormat="1" x14ac:dyDescent="0.25">
      <c r="A6156" s="350">
        <v>44550</v>
      </c>
      <c r="B6156" s="403">
        <f>+MONTH(A6156)</f>
        <v>12</v>
      </c>
      <c r="C6156" s="352">
        <v>115</v>
      </c>
      <c r="D6156" s="340" t="str">
        <f>VLOOKUP(C6156,Plan!A:B,2,0)</f>
        <v>Disponible Cali B.Chile</v>
      </c>
      <c r="E6156" s="341">
        <f>+F6156-G6156</f>
        <v>150000</v>
      </c>
      <c r="F6156" s="396">
        <v>150000</v>
      </c>
      <c r="G6156" s="396">
        <v>0</v>
      </c>
      <c r="H6156" t="s">
        <v>1770</v>
      </c>
      <c r="I6156" s="355" t="s">
        <v>131</v>
      </c>
      <c r="K6156" s="370"/>
      <c r="N6156" s="370"/>
    </row>
    <row r="6157" spans="1:14" s="347" customFormat="1" x14ac:dyDescent="0.25">
      <c r="A6157" s="350">
        <f>+A6156</f>
        <v>44550</v>
      </c>
      <c r="B6157" s="403">
        <f>+MONTH(A6157)</f>
        <v>12</v>
      </c>
      <c r="C6157" s="352">
        <v>1222</v>
      </c>
      <c r="D6157" s="340" t="str">
        <f>VLOOKUP(C6157,Plan!A:B,2,0)</f>
        <v>Otros Valores -Oficina y Transferencias (249)</v>
      </c>
      <c r="E6157" s="341">
        <f>+F6157-G6157</f>
        <v>-150000</v>
      </c>
      <c r="F6157" s="396">
        <v>0</v>
      </c>
      <c r="G6157" s="396">
        <f>+F6156</f>
        <v>150000</v>
      </c>
      <c r="H6157" t="str">
        <f>+H6156</f>
        <v>Luis Felipe Zanolli De Solminihac/249</v>
      </c>
      <c r="I6157" s="355" t="s">
        <v>131</v>
      </c>
      <c r="K6157" s="370"/>
      <c r="N6157" s="370"/>
    </row>
    <row r="6158" spans="1:14" s="347" customFormat="1" x14ac:dyDescent="0.25">
      <c r="A6158" s="369"/>
      <c r="E6158" s="396"/>
      <c r="F6158" s="396"/>
      <c r="G6158" s="396"/>
      <c r="K6158" s="370"/>
      <c r="N6158" s="370"/>
    </row>
    <row r="6159" spans="1:14" s="347" customFormat="1" x14ac:dyDescent="0.25">
      <c r="A6159" s="350">
        <v>44550</v>
      </c>
      <c r="B6159" s="403">
        <f>+MONTH(A6159)</f>
        <v>12</v>
      </c>
      <c r="C6159" s="352">
        <v>115</v>
      </c>
      <c r="D6159" s="340" t="str">
        <f>VLOOKUP(C6159,Plan!A:B,2,0)</f>
        <v>Disponible Cali B.Chile</v>
      </c>
      <c r="E6159" s="341">
        <f>+F6159-G6159</f>
        <v>2000</v>
      </c>
      <c r="F6159" s="396">
        <v>2000</v>
      </c>
      <c r="G6159" s="396">
        <v>0</v>
      </c>
      <c r="H6159" t="s">
        <v>1010</v>
      </c>
      <c r="I6159" s="355" t="s">
        <v>131</v>
      </c>
      <c r="K6159" s="370"/>
      <c r="N6159" s="370"/>
    </row>
    <row r="6160" spans="1:14" s="347" customFormat="1" x14ac:dyDescent="0.25">
      <c r="A6160" s="350">
        <f>+A6159</f>
        <v>44550</v>
      </c>
      <c r="B6160" s="403">
        <f>+MONTH(A6160)</f>
        <v>12</v>
      </c>
      <c r="C6160" s="352">
        <v>216</v>
      </c>
      <c r="D6160" s="340" t="str">
        <f>VLOOKUP(C6160,Plan!A:B,2,0)</f>
        <v>Cuenta por Pagar a Administración Colectas</v>
      </c>
      <c r="E6160" s="341">
        <f>+F6160-G6160</f>
        <v>-2000</v>
      </c>
      <c r="F6160" s="396">
        <v>0</v>
      </c>
      <c r="G6160" s="396">
        <f>+F6159</f>
        <v>2000</v>
      </c>
      <c r="H6160" t="str">
        <f>+H6159</f>
        <v>Colecta Raimundo Barros</v>
      </c>
      <c r="I6160" s="355" t="s">
        <v>131</v>
      </c>
      <c r="K6160" s="370"/>
      <c r="N6160" s="370"/>
    </row>
    <row r="6161" spans="1:14" s="347" customFormat="1" x14ac:dyDescent="0.25">
      <c r="A6161" s="369"/>
      <c r="E6161" s="396"/>
      <c r="F6161" s="396"/>
      <c r="G6161" s="396"/>
      <c r="K6161" s="370"/>
      <c r="N6161" s="370"/>
    </row>
    <row r="6162" spans="1:14" s="347" customFormat="1" x14ac:dyDescent="0.25">
      <c r="A6162" s="350">
        <v>44550</v>
      </c>
      <c r="B6162" s="403">
        <f>+MONTH(A6162)</f>
        <v>12</v>
      </c>
      <c r="C6162" s="352">
        <v>115</v>
      </c>
      <c r="D6162" s="340" t="str">
        <f>VLOOKUP(C6162,Plan!A:B,2,0)</f>
        <v>Disponible Cali B.Chile</v>
      </c>
      <c r="E6162" s="341">
        <f>+F6162-G6162</f>
        <v>200000</v>
      </c>
      <c r="F6162" s="396">
        <v>200000</v>
      </c>
      <c r="G6162" s="396">
        <v>0</v>
      </c>
      <c r="H6162" t="s">
        <v>1994</v>
      </c>
      <c r="I6162" s="355" t="s">
        <v>131</v>
      </c>
      <c r="K6162" s="370"/>
      <c r="N6162" s="370"/>
    </row>
    <row r="6163" spans="1:14" s="347" customFormat="1" x14ac:dyDescent="0.25">
      <c r="A6163" s="350">
        <f>+A6162</f>
        <v>44550</v>
      </c>
      <c r="B6163" s="403">
        <f>+MONTH(A6163)</f>
        <v>12</v>
      </c>
      <c r="C6163" s="352">
        <v>3210</v>
      </c>
      <c r="D6163" s="340" t="str">
        <f>VLOOKUP(C6163,Plan!A:B,2,0)</f>
        <v>Donacion Construccion</v>
      </c>
      <c r="E6163" s="341">
        <f>+F6163-G6163</f>
        <v>-200000</v>
      </c>
      <c r="F6163" s="396">
        <v>0</v>
      </c>
      <c r="G6163" s="396">
        <f>+F6162</f>
        <v>200000</v>
      </c>
      <c r="H6163" t="str">
        <f>+H6162</f>
        <v>Rebeca Ayala Marfil / Azul</v>
      </c>
      <c r="I6163" s="355" t="s">
        <v>131</v>
      </c>
      <c r="K6163" s="370"/>
      <c r="N6163" s="370"/>
    </row>
    <row r="6164" spans="1:14" s="347" customFormat="1" x14ac:dyDescent="0.25">
      <c r="A6164" s="369"/>
      <c r="E6164" s="396"/>
      <c r="F6164" s="396"/>
      <c r="G6164" s="396"/>
      <c r="K6164" s="370"/>
      <c r="N6164" s="370"/>
    </row>
    <row r="6165" spans="1:14" s="347" customFormat="1" x14ac:dyDescent="0.25">
      <c r="A6165" s="350">
        <v>44552</v>
      </c>
      <c r="B6165" s="403">
        <f>+MONTH(A6165)</f>
        <v>12</v>
      </c>
      <c r="C6165" s="352">
        <v>115</v>
      </c>
      <c r="D6165" s="340" t="str">
        <f>VLOOKUP(C6165,Plan!A:B,2,0)</f>
        <v>Disponible Cali B.Chile</v>
      </c>
      <c r="E6165" s="341">
        <f>+F6165-G6165</f>
        <v>20000</v>
      </c>
      <c r="F6165" s="396">
        <v>20000</v>
      </c>
      <c r="G6165" s="396">
        <v>0</v>
      </c>
      <c r="H6165" t="s">
        <v>1028</v>
      </c>
      <c r="I6165" s="355" t="s">
        <v>131</v>
      </c>
      <c r="K6165" s="370"/>
      <c r="N6165" s="370"/>
    </row>
    <row r="6166" spans="1:14" s="347" customFormat="1" x14ac:dyDescent="0.25">
      <c r="A6166" s="350">
        <f>+A6165</f>
        <v>44552</v>
      </c>
      <c r="B6166" s="403">
        <f>+MONTH(A6166)</f>
        <v>12</v>
      </c>
      <c r="C6166" s="352">
        <v>1217</v>
      </c>
      <c r="D6166" s="340" t="str">
        <f>VLOOKUP(C6166,Plan!A:B,2,0)</f>
        <v>Otros Valores -Oficina y Transferencias (248)</v>
      </c>
      <c r="E6166" s="341">
        <f>+F6166-G6166</f>
        <v>-20000</v>
      </c>
      <c r="F6166" s="396">
        <v>0</v>
      </c>
      <c r="G6166" s="396">
        <f>+F6165</f>
        <v>20000</v>
      </c>
      <c r="H6166" t="str">
        <f>+H6165</f>
        <v>Carmen Gloria Rivas Varas / 248</v>
      </c>
      <c r="I6166" s="355" t="s">
        <v>131</v>
      </c>
      <c r="K6166" s="370"/>
      <c r="N6166" s="370"/>
    </row>
    <row r="6167" spans="1:14" s="347" customFormat="1" x14ac:dyDescent="0.25">
      <c r="A6167" s="369"/>
      <c r="E6167" s="396"/>
      <c r="F6167" s="396"/>
      <c r="G6167" s="396"/>
      <c r="K6167" s="370"/>
      <c r="N6167" s="370"/>
    </row>
    <row r="6168" spans="1:14" s="347" customFormat="1" x14ac:dyDescent="0.25">
      <c r="A6168" s="350">
        <v>44552</v>
      </c>
      <c r="B6168" s="403">
        <f>+MONTH(A6168)</f>
        <v>12</v>
      </c>
      <c r="C6168" s="352">
        <v>115</v>
      </c>
      <c r="D6168" s="340" t="str">
        <f>VLOOKUP(C6168,Plan!A:B,2,0)</f>
        <v>Disponible Cali B.Chile</v>
      </c>
      <c r="E6168" s="341">
        <f>+F6168-G6168</f>
        <v>10000</v>
      </c>
      <c r="F6168" s="396">
        <v>10000</v>
      </c>
      <c r="G6168" s="396">
        <v>0</v>
      </c>
      <c r="H6168" t="s">
        <v>1517</v>
      </c>
      <c r="I6168" s="355" t="s">
        <v>131</v>
      </c>
      <c r="K6168" s="370"/>
      <c r="N6168" s="370"/>
    </row>
    <row r="6169" spans="1:14" s="347" customFormat="1" x14ac:dyDescent="0.25">
      <c r="A6169" s="350">
        <f>+A6168</f>
        <v>44552</v>
      </c>
      <c r="B6169" s="403">
        <f>+MONTH(A6169)</f>
        <v>12</v>
      </c>
      <c r="C6169" s="352">
        <v>1222</v>
      </c>
      <c r="D6169" s="340" t="str">
        <f>VLOOKUP(C6169,Plan!A:B,2,0)</f>
        <v>Otros Valores -Oficina y Transferencias (249)</v>
      </c>
      <c r="E6169" s="341">
        <f>+F6169-G6169</f>
        <v>-10000</v>
      </c>
      <c r="F6169" s="396">
        <v>0</v>
      </c>
      <c r="G6169" s="396">
        <f>+F6168</f>
        <v>10000</v>
      </c>
      <c r="H6169" t="str">
        <f>+H6168</f>
        <v>Jacqueline Dale / 249</v>
      </c>
      <c r="I6169" s="355" t="s">
        <v>131</v>
      </c>
      <c r="K6169" s="370"/>
      <c r="N6169" s="370"/>
    </row>
    <row r="6170" spans="1:14" s="347" customFormat="1" x14ac:dyDescent="0.25">
      <c r="A6170" s="369"/>
      <c r="E6170" s="396"/>
      <c r="F6170" s="396"/>
      <c r="G6170" s="396"/>
      <c r="K6170" s="370"/>
      <c r="N6170" s="370"/>
    </row>
    <row r="6171" spans="1:14" s="347" customFormat="1" x14ac:dyDescent="0.25">
      <c r="A6171" s="350">
        <v>44553</v>
      </c>
      <c r="B6171" s="403">
        <f>+MONTH(A6171)</f>
        <v>12</v>
      </c>
      <c r="C6171" s="352">
        <v>115</v>
      </c>
      <c r="D6171" s="340" t="str">
        <f>VLOOKUP(C6171,Plan!A:B,2,0)</f>
        <v>Disponible Cali B.Chile</v>
      </c>
      <c r="E6171" s="341">
        <f>+F6171-G6171</f>
        <v>20000</v>
      </c>
      <c r="F6171" s="396">
        <v>20000</v>
      </c>
      <c r="G6171" s="396">
        <v>0</v>
      </c>
      <c r="H6171" t="s">
        <v>999</v>
      </c>
      <c r="I6171" s="355" t="s">
        <v>131</v>
      </c>
      <c r="K6171" s="370"/>
      <c r="N6171" s="370"/>
    </row>
    <row r="6172" spans="1:14" s="347" customFormat="1" x14ac:dyDescent="0.25">
      <c r="A6172" s="350">
        <f>+A6171</f>
        <v>44553</v>
      </c>
      <c r="B6172" s="403">
        <f>+MONTH(A6172)</f>
        <v>12</v>
      </c>
      <c r="C6172" s="352">
        <v>1222</v>
      </c>
      <c r="D6172" s="340" t="str">
        <f>VLOOKUP(C6172,Plan!A:B,2,0)</f>
        <v>Otros Valores -Oficina y Transferencias (249)</v>
      </c>
      <c r="E6172" s="341">
        <f>+F6172-G6172</f>
        <v>-20000</v>
      </c>
      <c r="F6172" s="396">
        <v>0</v>
      </c>
      <c r="G6172" s="396">
        <f>+F6171</f>
        <v>20000</v>
      </c>
      <c r="H6172" t="str">
        <f>+H6171</f>
        <v>Carmen Mónica Barañao Rojas/249</v>
      </c>
      <c r="I6172" s="355" t="s">
        <v>131</v>
      </c>
      <c r="K6172" s="370"/>
      <c r="N6172" s="370"/>
    </row>
    <row r="6173" spans="1:14" s="347" customFormat="1" x14ac:dyDescent="0.25">
      <c r="A6173" s="369"/>
      <c r="E6173" s="396"/>
      <c r="F6173" s="396"/>
      <c r="G6173" s="396"/>
      <c r="K6173" s="370"/>
      <c r="N6173" s="370"/>
    </row>
    <row r="6174" spans="1:14" s="347" customFormat="1" x14ac:dyDescent="0.25">
      <c r="A6174" s="350">
        <v>44553</v>
      </c>
      <c r="B6174" s="403">
        <f>+MONTH(A6174)</f>
        <v>12</v>
      </c>
      <c r="C6174" s="352">
        <v>115</v>
      </c>
      <c r="D6174" s="340" t="str">
        <f>VLOOKUP(C6174,Plan!A:B,2,0)</f>
        <v>Disponible Cali B.Chile</v>
      </c>
      <c r="E6174" s="341">
        <f>+F6174-G6174</f>
        <v>73740</v>
      </c>
      <c r="F6174" s="396">
        <v>73740</v>
      </c>
      <c r="G6174" s="396">
        <v>0</v>
      </c>
      <c r="H6174" t="s">
        <v>2395</v>
      </c>
      <c r="I6174" s="355" t="s">
        <v>131</v>
      </c>
      <c r="K6174" s="370"/>
      <c r="N6174" s="370"/>
    </row>
    <row r="6175" spans="1:14" s="347" customFormat="1" x14ac:dyDescent="0.25">
      <c r="A6175" s="350">
        <f>+A6174</f>
        <v>44553</v>
      </c>
      <c r="B6175" s="403">
        <f>+MONTH(A6175)</f>
        <v>12</v>
      </c>
      <c r="C6175" s="352">
        <v>3210</v>
      </c>
      <c r="D6175" s="340" t="str">
        <f>VLOOKUP(C6175,Plan!A:B,2,0)</f>
        <v>Donacion Construccion</v>
      </c>
      <c r="E6175" s="341">
        <f>+F6175-G6175</f>
        <v>-73740</v>
      </c>
      <c r="F6175" s="396">
        <v>0</v>
      </c>
      <c r="G6175" s="396">
        <f>+F6174</f>
        <v>73740</v>
      </c>
      <c r="H6175" t="str">
        <f>+H6174</f>
        <v>Deposito no Reconocido</v>
      </c>
      <c r="I6175" s="355" t="s">
        <v>131</v>
      </c>
      <c r="K6175" s="370"/>
      <c r="N6175" s="370"/>
    </row>
    <row r="6176" spans="1:14" s="347" customFormat="1" x14ac:dyDescent="0.25">
      <c r="A6176" s="369"/>
      <c r="E6176" s="396"/>
      <c r="F6176" s="396"/>
      <c r="G6176" s="396"/>
      <c r="K6176" s="370"/>
      <c r="N6176" s="370"/>
    </row>
    <row r="6177" spans="1:14" s="347" customFormat="1" x14ac:dyDescent="0.25">
      <c r="A6177" s="350">
        <v>44553</v>
      </c>
      <c r="B6177" s="403">
        <f>+MONTH(A6177)</f>
        <v>12</v>
      </c>
      <c r="C6177" s="352">
        <v>115</v>
      </c>
      <c r="D6177" s="340" t="str">
        <f>VLOOKUP(C6177,Plan!A:B,2,0)</f>
        <v>Disponible Cali B.Chile</v>
      </c>
      <c r="E6177" s="341">
        <f>+F6177-G6177</f>
        <v>30000</v>
      </c>
      <c r="F6177" s="396">
        <v>30000</v>
      </c>
      <c r="G6177" s="396">
        <v>0</v>
      </c>
      <c r="H6177" t="s">
        <v>1032</v>
      </c>
      <c r="I6177" s="355" t="s">
        <v>131</v>
      </c>
      <c r="K6177" s="370"/>
      <c r="N6177" s="370"/>
    </row>
    <row r="6178" spans="1:14" s="347" customFormat="1" x14ac:dyDescent="0.25">
      <c r="A6178" s="350">
        <f>+A6177</f>
        <v>44553</v>
      </c>
      <c r="B6178" s="403">
        <f>+MONTH(A6178)</f>
        <v>12</v>
      </c>
      <c r="C6178" s="352">
        <v>1217</v>
      </c>
      <c r="D6178" s="340" t="str">
        <f>VLOOKUP(C6178,Plan!A:B,2,0)</f>
        <v>Otros Valores -Oficina y Transferencias (248)</v>
      </c>
      <c r="E6178" s="341">
        <f>+F6178-G6178</f>
        <v>-30000</v>
      </c>
      <c r="F6178" s="396">
        <v>0</v>
      </c>
      <c r="G6178" s="396">
        <f>+F6177</f>
        <v>30000</v>
      </c>
      <c r="H6178" t="str">
        <f>+H6177</f>
        <v>Luis  E. Domínguez / 248</v>
      </c>
      <c r="I6178" s="355" t="s">
        <v>131</v>
      </c>
      <c r="K6178" s="370"/>
      <c r="N6178" s="370"/>
    </row>
    <row r="6179" spans="1:14" s="347" customFormat="1" x14ac:dyDescent="0.25">
      <c r="A6179" s="369"/>
      <c r="E6179" s="396"/>
      <c r="F6179" s="396"/>
      <c r="G6179" s="396"/>
      <c r="K6179" s="370"/>
      <c r="N6179" s="370"/>
    </row>
    <row r="6180" spans="1:14" s="347" customFormat="1" x14ac:dyDescent="0.25">
      <c r="A6180" s="350">
        <v>44553</v>
      </c>
      <c r="B6180" s="403">
        <f>+MONTH(A6180)</f>
        <v>12</v>
      </c>
      <c r="C6180" s="352">
        <v>115</v>
      </c>
      <c r="D6180" s="340" t="str">
        <f>VLOOKUP(C6180,Plan!A:B,2,0)</f>
        <v>Disponible Cali B.Chile</v>
      </c>
      <c r="E6180" s="341">
        <f>+F6180-G6180</f>
        <v>100000</v>
      </c>
      <c r="F6180" s="396">
        <v>100000</v>
      </c>
      <c r="G6180" s="396">
        <v>0</v>
      </c>
      <c r="H6180" t="s">
        <v>1695</v>
      </c>
      <c r="I6180" s="355" t="s">
        <v>131</v>
      </c>
      <c r="K6180" s="370"/>
      <c r="N6180" s="370"/>
    </row>
    <row r="6181" spans="1:14" s="347" customFormat="1" x14ac:dyDescent="0.25">
      <c r="A6181" s="350">
        <f>+A6180</f>
        <v>44553</v>
      </c>
      <c r="B6181" s="403">
        <f>+MONTH(A6181)</f>
        <v>12</v>
      </c>
      <c r="C6181" s="352">
        <v>3210</v>
      </c>
      <c r="D6181" s="340" t="str">
        <f>VLOOKUP(C6181,Plan!A:B,2,0)</f>
        <v>Donacion Construccion</v>
      </c>
      <c r="E6181" s="341">
        <f>+F6181-G6181</f>
        <v>-100000</v>
      </c>
      <c r="F6181" s="396">
        <v>0</v>
      </c>
      <c r="G6181" s="396">
        <f>+F6180</f>
        <v>100000</v>
      </c>
      <c r="H6181" t="str">
        <f>+H6180</f>
        <v>Ricardo Cruzat Ochagavia / Azul</v>
      </c>
      <c r="I6181" s="355" t="s">
        <v>131</v>
      </c>
      <c r="K6181" s="370"/>
      <c r="N6181" s="370"/>
    </row>
    <row r="6182" spans="1:14" s="347" customFormat="1" x14ac:dyDescent="0.25">
      <c r="A6182" s="369"/>
      <c r="E6182" s="396"/>
      <c r="F6182" s="396"/>
      <c r="G6182" s="396"/>
      <c r="K6182" s="370"/>
      <c r="N6182" s="370"/>
    </row>
    <row r="6183" spans="1:14" s="347" customFormat="1" x14ac:dyDescent="0.25">
      <c r="A6183" s="350">
        <v>44553</v>
      </c>
      <c r="B6183" s="403">
        <f>+MONTH(A6183)</f>
        <v>12</v>
      </c>
      <c r="C6183" s="352">
        <v>115</v>
      </c>
      <c r="D6183" s="340" t="str">
        <f>VLOOKUP(C6183,Plan!A:B,2,0)</f>
        <v>Disponible Cali B.Chile</v>
      </c>
      <c r="E6183" s="341">
        <f>+F6183-G6183</f>
        <v>20000</v>
      </c>
      <c r="F6183" s="396">
        <v>20000</v>
      </c>
      <c r="G6183" s="396">
        <v>0</v>
      </c>
      <c r="H6183" t="s">
        <v>1033</v>
      </c>
      <c r="I6183" s="355" t="s">
        <v>131</v>
      </c>
      <c r="K6183" s="370"/>
      <c r="N6183" s="370"/>
    </row>
    <row r="6184" spans="1:14" s="347" customFormat="1" x14ac:dyDescent="0.25">
      <c r="A6184" s="350">
        <f>+A6183</f>
        <v>44553</v>
      </c>
      <c r="B6184" s="403">
        <f>+MONTH(A6184)</f>
        <v>12</v>
      </c>
      <c r="C6184" s="352">
        <v>1222</v>
      </c>
      <c r="D6184" s="340" t="str">
        <f>VLOOKUP(C6184,Plan!A:B,2,0)</f>
        <v>Otros Valores -Oficina y Transferencias (249)</v>
      </c>
      <c r="E6184" s="341">
        <f>+F6184-G6184</f>
        <v>-20000</v>
      </c>
      <c r="F6184" s="396">
        <v>0</v>
      </c>
      <c r="G6184" s="396">
        <f>+F6183</f>
        <v>20000</v>
      </c>
      <c r="H6184" t="str">
        <f>+H6183</f>
        <v>Verónica Sapag Puelma / 249</v>
      </c>
      <c r="I6184" s="355" t="s">
        <v>131</v>
      </c>
      <c r="K6184" s="370"/>
      <c r="N6184" s="370"/>
    </row>
    <row r="6185" spans="1:14" s="347" customFormat="1" x14ac:dyDescent="0.25">
      <c r="A6185" s="369"/>
      <c r="E6185" s="396"/>
      <c r="F6185" s="396"/>
      <c r="G6185" s="396"/>
      <c r="K6185" s="370"/>
      <c r="N6185" s="370"/>
    </row>
    <row r="6186" spans="1:14" s="347" customFormat="1" x14ac:dyDescent="0.25">
      <c r="A6186" s="350">
        <v>44553</v>
      </c>
      <c r="B6186" s="403">
        <f>+MONTH(A6186)</f>
        <v>12</v>
      </c>
      <c r="C6186" s="352">
        <v>115</v>
      </c>
      <c r="D6186" s="340" t="str">
        <f>VLOOKUP(C6186,Plan!A:B,2,0)</f>
        <v>Disponible Cali B.Chile</v>
      </c>
      <c r="E6186" s="341">
        <f>+F6186-G6186</f>
        <v>40151</v>
      </c>
      <c r="F6186" s="396">
        <v>40151</v>
      </c>
      <c r="G6186" s="396">
        <v>0</v>
      </c>
      <c r="H6186" t="s">
        <v>2396</v>
      </c>
      <c r="I6186" s="355" t="s">
        <v>131</v>
      </c>
      <c r="K6186" s="370"/>
      <c r="N6186" s="370"/>
    </row>
    <row r="6187" spans="1:14" s="347" customFormat="1" x14ac:dyDescent="0.25">
      <c r="A6187" s="350">
        <f>+A6186</f>
        <v>44553</v>
      </c>
      <c r="B6187" s="403">
        <f>+MONTH(A6187)</f>
        <v>12</v>
      </c>
      <c r="C6187" s="352">
        <v>3210</v>
      </c>
      <c r="D6187" s="340" t="str">
        <f>VLOOKUP(C6187,Plan!A:B,2,0)</f>
        <v>Donacion Construccion</v>
      </c>
      <c r="E6187" s="341">
        <f>+F6187-G6187</f>
        <v>-40151</v>
      </c>
      <c r="F6187" s="396">
        <v>0</v>
      </c>
      <c r="G6187" s="396">
        <f>+F6186</f>
        <v>40151</v>
      </c>
      <c r="H6187" t="str">
        <f>+H6186</f>
        <v xml:space="preserve">Ajuste TBK </v>
      </c>
      <c r="I6187" s="355" t="s">
        <v>131</v>
      </c>
      <c r="K6187" s="370"/>
      <c r="N6187" s="370"/>
    </row>
    <row r="6188" spans="1:14" s="347" customFormat="1" x14ac:dyDescent="0.25">
      <c r="A6188" s="369"/>
      <c r="E6188" s="396"/>
      <c r="F6188" s="396"/>
      <c r="G6188" s="396"/>
      <c r="K6188" s="370"/>
      <c r="N6188" s="370"/>
    </row>
    <row r="6189" spans="1:14" s="347" customFormat="1" x14ac:dyDescent="0.25">
      <c r="A6189" s="350">
        <v>44554</v>
      </c>
      <c r="B6189" s="403">
        <f>+MONTH(A6189)</f>
        <v>12</v>
      </c>
      <c r="C6189" s="352">
        <v>115</v>
      </c>
      <c r="D6189" s="340" t="str">
        <f>VLOOKUP(C6189,Plan!A:B,2,0)</f>
        <v>Disponible Cali B.Chile</v>
      </c>
      <c r="E6189" s="341">
        <f>+F6189-G6189</f>
        <v>1425114</v>
      </c>
      <c r="F6189" s="396">
        <v>1425114</v>
      </c>
      <c r="G6189" s="396">
        <v>0</v>
      </c>
      <c r="H6189" t="s">
        <v>2397</v>
      </c>
      <c r="I6189" s="355" t="s">
        <v>131</v>
      </c>
      <c r="K6189" s="370"/>
      <c r="N6189" s="370"/>
    </row>
    <row r="6190" spans="1:14" s="347" customFormat="1" x14ac:dyDescent="0.25">
      <c r="A6190" s="350">
        <f>+A6189</f>
        <v>44554</v>
      </c>
      <c r="B6190" s="403">
        <f>+MONTH(A6190)</f>
        <v>12</v>
      </c>
      <c r="C6190" s="352">
        <v>3210</v>
      </c>
      <c r="D6190" s="340" t="str">
        <f>VLOOKUP(C6190,Plan!A:B,2,0)</f>
        <v>Donacion Construccion</v>
      </c>
      <c r="E6190" s="341">
        <f>+F6190-G6190</f>
        <v>-1425114</v>
      </c>
      <c r="F6190" s="396">
        <v>0</v>
      </c>
      <c r="G6190" s="396">
        <f>+F6189</f>
        <v>1425114</v>
      </c>
      <c r="H6190" t="str">
        <f>+H6189</f>
        <v>T/C Azules Diciembre 2021</v>
      </c>
      <c r="I6190" s="355" t="s">
        <v>131</v>
      </c>
      <c r="K6190" s="370"/>
      <c r="N6190" s="370"/>
    </row>
    <row r="6191" spans="1:14" s="347" customFormat="1" x14ac:dyDescent="0.25">
      <c r="A6191" s="369"/>
      <c r="E6191" s="396"/>
      <c r="F6191" s="396"/>
      <c r="G6191" s="396"/>
      <c r="K6191" s="370"/>
      <c r="N6191" s="370"/>
    </row>
    <row r="6192" spans="1:14" s="347" customFormat="1" x14ac:dyDescent="0.25">
      <c r="A6192" s="350">
        <v>44557</v>
      </c>
      <c r="B6192" s="403">
        <f>+MONTH(A6192)</f>
        <v>12</v>
      </c>
      <c r="C6192" s="352">
        <v>115</v>
      </c>
      <c r="D6192" s="340" t="str">
        <f>VLOOKUP(C6192,Plan!A:B,2,0)</f>
        <v>Disponible Cali B.Chile</v>
      </c>
      <c r="E6192" s="341">
        <f>+F6192-G6192</f>
        <v>2000</v>
      </c>
      <c r="F6192" s="396">
        <v>2000</v>
      </c>
      <c r="G6192" s="396">
        <v>0</v>
      </c>
      <c r="H6192" t="s">
        <v>1010</v>
      </c>
      <c r="I6192" s="355" t="s">
        <v>131</v>
      </c>
      <c r="K6192" s="370"/>
      <c r="N6192" s="370"/>
    </row>
    <row r="6193" spans="1:14" s="347" customFormat="1" x14ac:dyDescent="0.25">
      <c r="A6193" s="350">
        <f>+A6192</f>
        <v>44557</v>
      </c>
      <c r="B6193" s="403">
        <f>+MONTH(A6193)</f>
        <v>12</v>
      </c>
      <c r="C6193" s="352">
        <v>216</v>
      </c>
      <c r="D6193" s="340" t="str">
        <f>VLOOKUP(C6193,Plan!A:B,2,0)</f>
        <v>Cuenta por Pagar a Administración Colectas</v>
      </c>
      <c r="E6193" s="341">
        <f>+F6193-G6193</f>
        <v>-2000</v>
      </c>
      <c r="F6193" s="396">
        <v>0</v>
      </c>
      <c r="G6193" s="396">
        <f>+F6192</f>
        <v>2000</v>
      </c>
      <c r="H6193" t="str">
        <f>+H6192</f>
        <v>Colecta Raimundo Barros</v>
      </c>
      <c r="I6193" s="355" t="s">
        <v>131</v>
      </c>
      <c r="K6193" s="370"/>
      <c r="N6193" s="370"/>
    </row>
    <row r="6194" spans="1:14" s="347" customFormat="1" x14ac:dyDescent="0.25">
      <c r="A6194" s="369"/>
      <c r="E6194" s="396"/>
      <c r="F6194" s="396"/>
      <c r="G6194" s="396"/>
      <c r="K6194" s="370"/>
      <c r="N6194" s="370"/>
    </row>
    <row r="6195" spans="1:14" s="347" customFormat="1" x14ac:dyDescent="0.25">
      <c r="A6195" s="350">
        <v>44557</v>
      </c>
      <c r="B6195" s="403">
        <f>+MONTH(A6195)</f>
        <v>12</v>
      </c>
      <c r="C6195" s="352">
        <v>115</v>
      </c>
      <c r="D6195" s="340" t="str">
        <f>VLOOKUP(C6195,Plan!A:B,2,0)</f>
        <v>Disponible Cali B.Chile</v>
      </c>
      <c r="E6195" s="341">
        <f>+F6195-G6195</f>
        <v>200000</v>
      </c>
      <c r="F6195" s="396">
        <v>200000</v>
      </c>
      <c r="G6195" s="396">
        <v>0</v>
      </c>
      <c r="H6195" t="s">
        <v>1021</v>
      </c>
      <c r="I6195" s="355" t="s">
        <v>131</v>
      </c>
      <c r="K6195" s="370"/>
      <c r="N6195" s="370"/>
    </row>
    <row r="6196" spans="1:14" s="347" customFormat="1" x14ac:dyDescent="0.25">
      <c r="A6196" s="350">
        <f>+A6195</f>
        <v>44557</v>
      </c>
      <c r="B6196" s="403">
        <f>+MONTH(A6196)</f>
        <v>12</v>
      </c>
      <c r="C6196" s="352">
        <v>3210</v>
      </c>
      <c r="D6196" s="340" t="str">
        <f>VLOOKUP(C6196,Plan!A:B,2,0)</f>
        <v>Donacion Construccion</v>
      </c>
      <c r="E6196" s="341">
        <f>+F6196-G6196</f>
        <v>-200000</v>
      </c>
      <c r="F6196" s="396">
        <v>0</v>
      </c>
      <c r="G6196" s="396">
        <f>+F6195</f>
        <v>200000</v>
      </c>
      <c r="H6196" t="str">
        <f>+H6195</f>
        <v>Italo Lubiano Tassara/Azul</v>
      </c>
      <c r="I6196" s="355" t="s">
        <v>131</v>
      </c>
      <c r="K6196" s="370"/>
      <c r="N6196" s="370"/>
    </row>
    <row r="6197" spans="1:14" s="347" customFormat="1" x14ac:dyDescent="0.25">
      <c r="A6197" s="369"/>
      <c r="E6197" s="396"/>
      <c r="F6197" s="396"/>
      <c r="G6197" s="396"/>
      <c r="K6197" s="370"/>
      <c r="N6197" s="370"/>
    </row>
    <row r="6198" spans="1:14" s="347" customFormat="1" x14ac:dyDescent="0.25">
      <c r="A6198" s="350">
        <v>44557</v>
      </c>
      <c r="B6198" s="403">
        <f>+MONTH(A6198)</f>
        <v>12</v>
      </c>
      <c r="C6198" s="352">
        <v>115</v>
      </c>
      <c r="D6198" s="340" t="str">
        <f>VLOOKUP(C6198,Plan!A:B,2,0)</f>
        <v>Disponible Cali B.Chile</v>
      </c>
      <c r="E6198" s="341">
        <f>+F6198-G6198</f>
        <v>10000</v>
      </c>
      <c r="F6198" s="396">
        <v>10000</v>
      </c>
      <c r="G6198" s="396">
        <v>0</v>
      </c>
      <c r="H6198" t="s">
        <v>1036</v>
      </c>
      <c r="I6198" s="355" t="s">
        <v>131</v>
      </c>
      <c r="K6198" s="370"/>
      <c r="N6198" s="370"/>
    </row>
    <row r="6199" spans="1:14" s="347" customFormat="1" x14ac:dyDescent="0.25">
      <c r="A6199" s="350">
        <f>+A6198</f>
        <v>44557</v>
      </c>
      <c r="B6199" s="403">
        <f>+MONTH(A6199)</f>
        <v>12</v>
      </c>
      <c r="C6199" s="352">
        <v>3210</v>
      </c>
      <c r="D6199" s="340" t="str">
        <f>VLOOKUP(C6199,Plan!A:B,2,0)</f>
        <v>Donacion Construccion</v>
      </c>
      <c r="E6199" s="341">
        <f>+F6199-G6199</f>
        <v>-10000</v>
      </c>
      <c r="F6199" s="396">
        <v>0</v>
      </c>
      <c r="G6199" s="396">
        <f>+F6198</f>
        <v>10000</v>
      </c>
      <c r="H6199" t="str">
        <f>+H6198</f>
        <v>Francisco Sanhueza /Azul</v>
      </c>
      <c r="I6199" s="355" t="s">
        <v>131</v>
      </c>
      <c r="K6199" s="370"/>
      <c r="N6199" s="370"/>
    </row>
    <row r="6200" spans="1:14" s="347" customFormat="1" x14ac:dyDescent="0.25">
      <c r="A6200" s="369"/>
      <c r="E6200" s="396"/>
      <c r="F6200" s="396"/>
      <c r="G6200" s="396"/>
      <c r="K6200" s="370"/>
      <c r="N6200" s="370"/>
    </row>
    <row r="6201" spans="1:14" s="347" customFormat="1" x14ac:dyDescent="0.25">
      <c r="A6201" s="350">
        <v>44557</v>
      </c>
      <c r="B6201" s="403">
        <f>+MONTH(A6201)</f>
        <v>12</v>
      </c>
      <c r="C6201" s="352">
        <v>115</v>
      </c>
      <c r="D6201" s="340" t="str">
        <f>VLOOKUP(C6201,Plan!A:B,2,0)</f>
        <v>Disponible Cali B.Chile</v>
      </c>
      <c r="E6201" s="341">
        <f>+F6201-G6201</f>
        <v>60000</v>
      </c>
      <c r="F6201" s="396">
        <v>60000</v>
      </c>
      <c r="G6201" s="396">
        <v>0</v>
      </c>
      <c r="H6201" t="s">
        <v>1042</v>
      </c>
      <c r="I6201" s="355" t="s">
        <v>131</v>
      </c>
      <c r="K6201" s="370"/>
      <c r="N6201" s="370"/>
    </row>
    <row r="6202" spans="1:14" s="347" customFormat="1" x14ac:dyDescent="0.25">
      <c r="A6202" s="350">
        <f>+A6201</f>
        <v>44557</v>
      </c>
      <c r="B6202" s="403">
        <f>+MONTH(A6202)</f>
        <v>12</v>
      </c>
      <c r="C6202" s="352">
        <v>1216</v>
      </c>
      <c r="D6202" s="340" t="str">
        <f>VLOOKUP(C6202,Plan!A:B,2,0)</f>
        <v>Otros Valores Recaudadoras</v>
      </c>
      <c r="E6202" s="341">
        <f>+F6202-G6202</f>
        <v>-60000</v>
      </c>
      <c r="F6202" s="396">
        <v>0</v>
      </c>
      <c r="G6202" s="396">
        <f>+F6201</f>
        <v>60000</v>
      </c>
      <c r="H6202" t="str">
        <f>+H6201</f>
        <v>José Tomás Poblete Jara / 248</v>
      </c>
      <c r="I6202" s="355" t="s">
        <v>131</v>
      </c>
      <c r="K6202" s="370"/>
      <c r="N6202" s="370"/>
    </row>
    <row r="6203" spans="1:14" s="347" customFormat="1" x14ac:dyDescent="0.25">
      <c r="A6203" s="369"/>
      <c r="E6203" s="396"/>
      <c r="F6203" s="396"/>
      <c r="G6203" s="396"/>
      <c r="K6203" s="370"/>
      <c r="N6203" s="370"/>
    </row>
    <row r="6204" spans="1:14" s="347" customFormat="1" x14ac:dyDescent="0.25">
      <c r="A6204" s="350">
        <v>44558</v>
      </c>
      <c r="B6204" s="403">
        <f>+MONTH(A6204)</f>
        <v>12</v>
      </c>
      <c r="C6204" s="352">
        <v>115</v>
      </c>
      <c r="D6204" s="340" t="str">
        <f>VLOOKUP(C6204,Plan!A:B,2,0)</f>
        <v>Disponible Cali B.Chile</v>
      </c>
      <c r="E6204" s="341">
        <f>+F6204-G6204</f>
        <v>73000</v>
      </c>
      <c r="F6204" s="396">
        <v>73000</v>
      </c>
      <c r="G6204" s="396">
        <v>0</v>
      </c>
      <c r="H6204" t="s">
        <v>1050</v>
      </c>
      <c r="I6204" s="355" t="s">
        <v>131</v>
      </c>
      <c r="K6204" s="370"/>
      <c r="N6204" s="370"/>
    </row>
    <row r="6205" spans="1:14" s="347" customFormat="1" x14ac:dyDescent="0.25">
      <c r="A6205" s="350">
        <f>+A6204</f>
        <v>44558</v>
      </c>
      <c r="B6205" s="403">
        <f>+MONTH(A6205)</f>
        <v>12</v>
      </c>
      <c r="C6205" s="352">
        <v>3210</v>
      </c>
      <c r="D6205" s="340" t="str">
        <f>VLOOKUP(C6205,Plan!A:B,2,0)</f>
        <v>Donacion Construccion</v>
      </c>
      <c r="E6205" s="341">
        <f>+F6205-G6205</f>
        <v>-73000</v>
      </c>
      <c r="F6205" s="396">
        <v>0</v>
      </c>
      <c r="G6205" s="396">
        <f>+F6204</f>
        <v>73000</v>
      </c>
      <c r="H6205" t="str">
        <f>+H6204</f>
        <v>Matías Silva Olmos / Azul</v>
      </c>
      <c r="I6205" s="355" t="s">
        <v>131</v>
      </c>
      <c r="K6205" s="370"/>
      <c r="N6205" s="370"/>
    </row>
    <row r="6206" spans="1:14" s="347" customFormat="1" x14ac:dyDescent="0.25">
      <c r="A6206" s="369"/>
      <c r="E6206" s="396"/>
      <c r="F6206" s="396"/>
      <c r="G6206" s="396"/>
      <c r="K6206" s="370"/>
      <c r="N6206" s="370"/>
    </row>
    <row r="6207" spans="1:14" s="347" customFormat="1" x14ac:dyDescent="0.25">
      <c r="A6207" s="350">
        <v>44558</v>
      </c>
      <c r="B6207" s="403">
        <f>+MONTH(A6207)</f>
        <v>12</v>
      </c>
      <c r="C6207" s="352">
        <v>115</v>
      </c>
      <c r="D6207" s="340" t="str">
        <f>VLOOKUP(C6207,Plan!A:B,2,0)</f>
        <v>Disponible Cali B.Chile</v>
      </c>
      <c r="E6207" s="341">
        <f>+F6207-G6207</f>
        <v>10000</v>
      </c>
      <c r="F6207" s="396">
        <v>10000</v>
      </c>
      <c r="G6207" s="396">
        <v>0</v>
      </c>
      <c r="H6207" t="s">
        <v>1045</v>
      </c>
      <c r="I6207" s="355" t="s">
        <v>131</v>
      </c>
      <c r="K6207" s="370"/>
      <c r="N6207" s="370"/>
    </row>
    <row r="6208" spans="1:14" s="347" customFormat="1" x14ac:dyDescent="0.25">
      <c r="A6208" s="350">
        <f>+A6207</f>
        <v>44558</v>
      </c>
      <c r="B6208" s="403">
        <f>+MONTH(A6208)</f>
        <v>12</v>
      </c>
      <c r="C6208" s="352">
        <v>1222</v>
      </c>
      <c r="D6208" s="340" t="str">
        <f>VLOOKUP(C6208,Plan!A:B,2,0)</f>
        <v>Otros Valores -Oficina y Transferencias (249)</v>
      </c>
      <c r="E6208" s="341">
        <f>+F6208-G6208</f>
        <v>-10000</v>
      </c>
      <c r="F6208" s="396">
        <v>0</v>
      </c>
      <c r="G6208" s="396">
        <f>+F6207</f>
        <v>10000</v>
      </c>
      <c r="H6208" t="str">
        <f>+H6207</f>
        <v>Isabel Margarita Guarda Larrañaga/249</v>
      </c>
      <c r="I6208" s="355" t="s">
        <v>131</v>
      </c>
      <c r="K6208" s="370"/>
      <c r="N6208" s="370"/>
    </row>
    <row r="6209" spans="1:14" s="347" customFormat="1" x14ac:dyDescent="0.25">
      <c r="A6209" s="369"/>
      <c r="E6209" s="396"/>
      <c r="F6209" s="396"/>
      <c r="G6209" s="396"/>
      <c r="K6209" s="370"/>
      <c r="N6209" s="370"/>
    </row>
    <row r="6210" spans="1:14" s="347" customFormat="1" x14ac:dyDescent="0.25">
      <c r="A6210" s="350">
        <v>44558</v>
      </c>
      <c r="B6210" s="403">
        <f>+MONTH(A6210)</f>
        <v>12</v>
      </c>
      <c r="C6210" s="352">
        <v>115</v>
      </c>
      <c r="D6210" s="340" t="str">
        <f>VLOOKUP(C6210,Plan!A:B,2,0)</f>
        <v>Disponible Cali B.Chile</v>
      </c>
      <c r="E6210" s="341">
        <f>+F6210-G6210</f>
        <v>25000</v>
      </c>
      <c r="F6210" s="396">
        <v>25000</v>
      </c>
      <c r="G6210" s="396">
        <v>0</v>
      </c>
      <c r="H6210" t="s">
        <v>969</v>
      </c>
      <c r="I6210" s="355" t="s">
        <v>131</v>
      </c>
      <c r="K6210" s="370"/>
      <c r="N6210" s="370"/>
    </row>
    <row r="6211" spans="1:14" s="347" customFormat="1" x14ac:dyDescent="0.25">
      <c r="A6211" s="350">
        <f>+A6210</f>
        <v>44558</v>
      </c>
      <c r="B6211" s="403">
        <f>+MONTH(A6211)</f>
        <v>12</v>
      </c>
      <c r="C6211" s="352">
        <v>1217</v>
      </c>
      <c r="D6211" s="340" t="str">
        <f>VLOOKUP(C6211,Plan!A:B,2,0)</f>
        <v>Otros Valores -Oficina y Transferencias (248)</v>
      </c>
      <c r="E6211" s="341">
        <f>+F6211-G6211</f>
        <v>-25000</v>
      </c>
      <c r="F6211" s="396">
        <v>0</v>
      </c>
      <c r="G6211" s="396">
        <f>+F6210</f>
        <v>25000</v>
      </c>
      <c r="H6211" t="str">
        <f>+H6210</f>
        <v>José L. Barros / 248</v>
      </c>
      <c r="I6211" s="355" t="s">
        <v>131</v>
      </c>
      <c r="K6211" s="370"/>
      <c r="N6211" s="370"/>
    </row>
    <row r="6212" spans="1:14" s="347" customFormat="1" x14ac:dyDescent="0.25">
      <c r="A6212" s="369"/>
      <c r="E6212" s="396"/>
      <c r="F6212" s="396"/>
      <c r="G6212" s="396"/>
      <c r="K6212" s="370"/>
      <c r="N6212" s="370"/>
    </row>
    <row r="6213" spans="1:14" s="347" customFormat="1" x14ac:dyDescent="0.25">
      <c r="A6213" s="350">
        <v>44558</v>
      </c>
      <c r="B6213" s="403">
        <f>+MONTH(A6213)</f>
        <v>12</v>
      </c>
      <c r="C6213" s="352">
        <v>115</v>
      </c>
      <c r="D6213" s="340" t="str">
        <f>VLOOKUP(C6213,Plan!A:B,2,0)</f>
        <v>Disponible Cali B.Chile</v>
      </c>
      <c r="E6213" s="341">
        <f>+F6213-G6213</f>
        <v>60000</v>
      </c>
      <c r="F6213" s="396">
        <v>60000</v>
      </c>
      <c r="G6213" s="396">
        <v>0</v>
      </c>
      <c r="H6213" t="s">
        <v>1687</v>
      </c>
      <c r="I6213" s="355" t="s">
        <v>131</v>
      </c>
      <c r="K6213" s="370"/>
      <c r="N6213" s="370"/>
    </row>
    <row r="6214" spans="1:14" s="347" customFormat="1" x14ac:dyDescent="0.25">
      <c r="A6214" s="350">
        <f>+A6213</f>
        <v>44558</v>
      </c>
      <c r="B6214" s="403">
        <f>+MONTH(A6214)</f>
        <v>12</v>
      </c>
      <c r="C6214" s="352">
        <v>1216</v>
      </c>
      <c r="D6214" s="340" t="str">
        <f>VLOOKUP(C6214,Plan!A:B,2,0)</f>
        <v>Otros Valores Recaudadoras</v>
      </c>
      <c r="E6214" s="341">
        <f>+F6214-G6214</f>
        <v>-60000</v>
      </c>
      <c r="F6214" s="396">
        <v>0</v>
      </c>
      <c r="G6214" s="359">
        <f>+F6213</f>
        <v>60000</v>
      </c>
      <c r="H6214" t="str">
        <f>+H6213</f>
        <v>Recaudadora</v>
      </c>
      <c r="I6214" s="355" t="s">
        <v>131</v>
      </c>
      <c r="K6214" s="370"/>
      <c r="N6214" s="370"/>
    </row>
    <row r="6215" spans="1:14" s="347" customFormat="1" x14ac:dyDescent="0.25">
      <c r="A6215" s="369"/>
      <c r="E6215" s="396"/>
      <c r="F6215" s="396"/>
      <c r="G6215" s="396"/>
      <c r="K6215" s="370"/>
      <c r="N6215" s="370"/>
    </row>
    <row r="6216" spans="1:14" s="347" customFormat="1" x14ac:dyDescent="0.25">
      <c r="A6216" s="350">
        <v>44558</v>
      </c>
      <c r="B6216" s="403">
        <f>+MONTH(A6216)</f>
        <v>12</v>
      </c>
      <c r="C6216" s="352">
        <v>115</v>
      </c>
      <c r="D6216" s="340" t="str">
        <f>VLOOKUP(C6216,Plan!A:B,2,0)</f>
        <v>Disponible Cali B.Chile</v>
      </c>
      <c r="E6216" s="341">
        <f>+F6216-G6216</f>
        <v>40000</v>
      </c>
      <c r="F6216" s="396">
        <v>40000</v>
      </c>
      <c r="G6216" s="396">
        <v>0</v>
      </c>
      <c r="H6216" t="s">
        <v>1687</v>
      </c>
      <c r="I6216" s="355" t="s">
        <v>131</v>
      </c>
      <c r="K6216" s="370"/>
      <c r="N6216" s="370"/>
    </row>
    <row r="6217" spans="1:14" s="347" customFormat="1" x14ac:dyDescent="0.25">
      <c r="A6217" s="350">
        <f>+A6216</f>
        <v>44558</v>
      </c>
      <c r="B6217" s="403">
        <f>+MONTH(A6217)</f>
        <v>12</v>
      </c>
      <c r="C6217" s="352">
        <v>1216</v>
      </c>
      <c r="D6217" s="340" t="str">
        <f>VLOOKUP(C6217,Plan!A:B,2,0)</f>
        <v>Otros Valores Recaudadoras</v>
      </c>
      <c r="E6217" s="341">
        <f>+F6217-G6217</f>
        <v>-40000</v>
      </c>
      <c r="F6217" s="396">
        <v>0</v>
      </c>
      <c r="G6217" s="359">
        <f>+F6216</f>
        <v>40000</v>
      </c>
      <c r="H6217" t="str">
        <f>+H6216</f>
        <v>Recaudadora</v>
      </c>
      <c r="I6217" s="355" t="s">
        <v>131</v>
      </c>
      <c r="K6217" s="370"/>
      <c r="N6217" s="370"/>
    </row>
    <row r="6218" spans="1:14" s="347" customFormat="1" x14ac:dyDescent="0.25">
      <c r="A6218" s="369"/>
      <c r="E6218" s="396"/>
      <c r="F6218" s="396"/>
      <c r="G6218" s="396"/>
      <c r="K6218" s="370"/>
      <c r="N6218" s="370"/>
    </row>
    <row r="6219" spans="1:14" s="347" customFormat="1" x14ac:dyDescent="0.25">
      <c r="A6219" s="350">
        <v>44559</v>
      </c>
      <c r="B6219" s="403">
        <f>+MONTH(A6219)</f>
        <v>12</v>
      </c>
      <c r="C6219" s="352">
        <v>4222</v>
      </c>
      <c r="D6219" s="340" t="str">
        <f>VLOOKUP(C6219,Plan!A:B,2,0)</f>
        <v xml:space="preserve">          Proceso 1%</v>
      </c>
      <c r="E6219" s="341">
        <f>+F6219-G6219</f>
        <v>327000</v>
      </c>
      <c r="F6219" s="396">
        <v>327000</v>
      </c>
      <c r="G6219" s="396">
        <v>0</v>
      </c>
      <c r="H6219" t="s">
        <v>2398</v>
      </c>
      <c r="I6219" s="355" t="s">
        <v>131</v>
      </c>
      <c r="K6219" s="370"/>
      <c r="N6219" s="370"/>
    </row>
    <row r="6220" spans="1:14" s="347" customFormat="1" x14ac:dyDescent="0.25">
      <c r="A6220" s="350">
        <f>+A6219</f>
        <v>44559</v>
      </c>
      <c r="B6220" s="403">
        <f>+MONTH(A6220)</f>
        <v>12</v>
      </c>
      <c r="C6220" s="352">
        <v>115</v>
      </c>
      <c r="D6220" s="340" t="str">
        <f>VLOOKUP(C6220,Plan!A:B,2,0)</f>
        <v>Disponible Cali B.Chile</v>
      </c>
      <c r="E6220" s="341">
        <f>+F6220-G6220</f>
        <v>-327000</v>
      </c>
      <c r="F6220" s="396">
        <v>0</v>
      </c>
      <c r="G6220" s="396">
        <f>+F6219</f>
        <v>327000</v>
      </c>
      <c r="H6220" t="str">
        <f>+H6219</f>
        <v>Rend. CALI Oct./21</v>
      </c>
      <c r="I6220" s="355" t="s">
        <v>131</v>
      </c>
      <c r="K6220" s="370"/>
      <c r="N6220" s="370"/>
    </row>
    <row r="6221" spans="1:14" s="347" customFormat="1" x14ac:dyDescent="0.25">
      <c r="A6221" s="369"/>
      <c r="E6221" s="396"/>
      <c r="F6221" s="396"/>
      <c r="G6221" s="396"/>
      <c r="K6221" s="370"/>
      <c r="N6221" s="370"/>
    </row>
    <row r="6222" spans="1:14" s="347" customFormat="1" x14ac:dyDescent="0.25">
      <c r="A6222" s="350">
        <v>44559</v>
      </c>
      <c r="B6222" s="403">
        <f>+MONTH(A6222)</f>
        <v>12</v>
      </c>
      <c r="C6222" s="352">
        <v>115</v>
      </c>
      <c r="D6222" s="340" t="str">
        <f>VLOOKUP(C6222,Plan!A:B,2,0)</f>
        <v>Disponible Cali B.Chile</v>
      </c>
      <c r="E6222" s="341">
        <f>+F6222-G6222</f>
        <v>40000</v>
      </c>
      <c r="F6222" s="396">
        <v>40000</v>
      </c>
      <c r="G6222" s="396">
        <v>0</v>
      </c>
      <c r="H6222" t="s">
        <v>1051</v>
      </c>
      <c r="I6222" s="355" t="s">
        <v>131</v>
      </c>
      <c r="K6222" s="370"/>
      <c r="N6222" s="370"/>
    </row>
    <row r="6223" spans="1:14" s="347" customFormat="1" x14ac:dyDescent="0.25">
      <c r="A6223" s="350">
        <f>+A6222</f>
        <v>44559</v>
      </c>
      <c r="B6223" s="403">
        <f>+MONTH(A6223)</f>
        <v>12</v>
      </c>
      <c r="C6223" s="352">
        <v>3210</v>
      </c>
      <c r="D6223" s="340" t="str">
        <f>VLOOKUP(C6223,Plan!A:B,2,0)</f>
        <v>Donacion Construccion</v>
      </c>
      <c r="E6223" s="341">
        <f>+F6223-G6223</f>
        <v>-40000</v>
      </c>
      <c r="F6223" s="396">
        <v>0</v>
      </c>
      <c r="G6223" s="396">
        <f>+F6222</f>
        <v>40000</v>
      </c>
      <c r="H6223" t="str">
        <f>+H6222</f>
        <v>Pedro Vicuña Illanes / Azul</v>
      </c>
      <c r="I6223" s="355" t="s">
        <v>131</v>
      </c>
      <c r="K6223" s="370"/>
      <c r="N6223" s="370"/>
    </row>
    <row r="6224" spans="1:14" s="347" customFormat="1" x14ac:dyDescent="0.25">
      <c r="A6224" s="369"/>
      <c r="E6224" s="396"/>
      <c r="F6224" s="396"/>
      <c r="G6224" s="396"/>
      <c r="K6224" s="370"/>
      <c r="N6224" s="370"/>
    </row>
    <row r="6225" spans="1:14" s="347" customFormat="1" x14ac:dyDescent="0.25">
      <c r="A6225" s="350">
        <v>44559</v>
      </c>
      <c r="B6225" s="403">
        <f>+MONTH(A6225)</f>
        <v>12</v>
      </c>
      <c r="C6225" s="352">
        <v>115</v>
      </c>
      <c r="D6225" s="340" t="str">
        <f>VLOOKUP(C6225,Plan!A:B,2,0)</f>
        <v>Disponible Cali B.Chile</v>
      </c>
      <c r="E6225" s="341">
        <f>+F6225-G6225</f>
        <v>774010</v>
      </c>
      <c r="F6225" s="396">
        <v>774010</v>
      </c>
      <c r="G6225" s="396">
        <v>0</v>
      </c>
      <c r="H6225" t="s">
        <v>2399</v>
      </c>
      <c r="I6225" s="355" t="s">
        <v>131</v>
      </c>
      <c r="K6225" s="370"/>
      <c r="N6225" s="370"/>
    </row>
    <row r="6226" spans="1:14" s="347" customFormat="1" x14ac:dyDescent="0.25">
      <c r="A6226" s="350">
        <f>+A6225</f>
        <v>44559</v>
      </c>
      <c r="B6226" s="403">
        <f>+MONTH(A6226)</f>
        <v>12</v>
      </c>
      <c r="C6226" s="352">
        <v>3210</v>
      </c>
      <c r="D6226" s="340" t="str">
        <f>VLOOKUP(C6226,Plan!A:B,2,0)</f>
        <v>Donacion Construccion</v>
      </c>
      <c r="E6226" s="341">
        <f>+F6226-G6226</f>
        <v>-774010</v>
      </c>
      <c r="F6226" s="396">
        <v>0</v>
      </c>
      <c r="G6226" s="396">
        <f>+F6225</f>
        <v>774010</v>
      </c>
      <c r="H6226" t="str">
        <f>+H6225</f>
        <v>Eugenio Camus Camus / Azul (M$800)</v>
      </c>
      <c r="I6226" s="355" t="s">
        <v>131</v>
      </c>
      <c r="K6226" s="370"/>
      <c r="N6226" s="370"/>
    </row>
    <row r="6227" spans="1:14" s="347" customFormat="1" x14ac:dyDescent="0.25">
      <c r="A6227" s="369"/>
      <c r="E6227" s="396"/>
      <c r="F6227" s="396"/>
      <c r="G6227" s="396"/>
      <c r="K6227" s="370"/>
      <c r="N6227" s="370"/>
    </row>
    <row r="6228" spans="1:14" s="347" customFormat="1" x14ac:dyDescent="0.25">
      <c r="A6228" s="350">
        <v>44559</v>
      </c>
      <c r="B6228" s="403">
        <f>+MONTH(A6228)</f>
        <v>12</v>
      </c>
      <c r="C6228" s="352">
        <v>115</v>
      </c>
      <c r="D6228" s="340" t="str">
        <f>VLOOKUP(C6228,Plan!A:B,2,0)</f>
        <v>Disponible Cali B.Chile</v>
      </c>
      <c r="E6228" s="341">
        <f>+F6228-G6228</f>
        <v>5000</v>
      </c>
      <c r="F6228" s="396">
        <v>5000</v>
      </c>
      <c r="G6228" s="396">
        <v>0</v>
      </c>
      <c r="H6228" t="s">
        <v>2400</v>
      </c>
      <c r="I6228" s="355" t="s">
        <v>131</v>
      </c>
      <c r="K6228" s="370"/>
      <c r="N6228" s="370"/>
    </row>
    <row r="6229" spans="1:14" s="347" customFormat="1" x14ac:dyDescent="0.25">
      <c r="A6229" s="350">
        <f>+A6228</f>
        <v>44559</v>
      </c>
      <c r="B6229" s="403">
        <f>+MONTH(A6229)</f>
        <v>12</v>
      </c>
      <c r="C6229" s="352">
        <v>1217</v>
      </c>
      <c r="D6229" s="340" t="str">
        <f>VLOOKUP(C6229,Plan!A:B,2,0)</f>
        <v>Otros Valores -Oficina y Transferencias (248)</v>
      </c>
      <c r="E6229" s="341">
        <f>+F6229-G6229</f>
        <v>-5000</v>
      </c>
      <c r="F6229" s="396">
        <v>0</v>
      </c>
      <c r="G6229" s="396">
        <f>+F6228</f>
        <v>5000</v>
      </c>
      <c r="H6229" t="str">
        <f>+H6228</f>
        <v>Carmen Camus Mesa / 248</v>
      </c>
      <c r="I6229" s="355" t="s">
        <v>131</v>
      </c>
      <c r="K6229" s="370"/>
      <c r="N6229" s="370"/>
    </row>
    <row r="6230" spans="1:14" s="347" customFormat="1" x14ac:dyDescent="0.25">
      <c r="A6230" s="369"/>
      <c r="E6230" s="396"/>
      <c r="F6230" s="396"/>
      <c r="G6230" s="396"/>
      <c r="K6230" s="370"/>
      <c r="N6230" s="370"/>
    </row>
    <row r="6231" spans="1:14" s="347" customFormat="1" x14ac:dyDescent="0.25">
      <c r="A6231" s="350">
        <v>44559</v>
      </c>
      <c r="B6231" s="403">
        <f>+MONTH(A6231)</f>
        <v>12</v>
      </c>
      <c r="C6231" s="352">
        <v>115</v>
      </c>
      <c r="D6231" s="340" t="str">
        <f>VLOOKUP(C6231,Plan!A:B,2,0)</f>
        <v>Disponible Cali B.Chile</v>
      </c>
      <c r="E6231" s="341">
        <f>+F6231-G6231</f>
        <v>200000</v>
      </c>
      <c r="F6231" s="396">
        <v>200000</v>
      </c>
      <c r="G6231" s="396">
        <v>0</v>
      </c>
      <c r="H6231" t="s">
        <v>1052</v>
      </c>
      <c r="I6231" s="355" t="s">
        <v>131</v>
      </c>
      <c r="K6231" s="370"/>
      <c r="N6231" s="370"/>
    </row>
    <row r="6232" spans="1:14" s="347" customFormat="1" x14ac:dyDescent="0.25">
      <c r="A6232" s="350">
        <f>+A6231</f>
        <v>44559</v>
      </c>
      <c r="B6232" s="403">
        <f>+MONTH(A6232)</f>
        <v>12</v>
      </c>
      <c r="C6232" s="352">
        <v>3210</v>
      </c>
      <c r="D6232" s="340" t="str">
        <f>VLOOKUP(C6232,Plan!A:B,2,0)</f>
        <v>Donacion Construccion</v>
      </c>
      <c r="E6232" s="341">
        <f>+F6232-G6232</f>
        <v>-200000</v>
      </c>
      <c r="F6232" s="396">
        <v>0</v>
      </c>
      <c r="G6232" s="396">
        <f>+F6231</f>
        <v>200000</v>
      </c>
      <c r="H6232" t="str">
        <f>+H6231</f>
        <v>Jorge Hernán Rodríguez Wilson/Azul</v>
      </c>
      <c r="I6232" s="355" t="s">
        <v>131</v>
      </c>
      <c r="K6232" s="370"/>
      <c r="N6232" s="370"/>
    </row>
    <row r="6233" spans="1:14" s="347" customFormat="1" x14ac:dyDescent="0.25">
      <c r="A6233" s="369"/>
      <c r="E6233" s="396"/>
      <c r="F6233" s="396"/>
      <c r="G6233" s="396"/>
      <c r="K6233" s="370"/>
      <c r="N6233" s="370"/>
    </row>
    <row r="6234" spans="1:14" s="347" customFormat="1" x14ac:dyDescent="0.25">
      <c r="A6234" s="350">
        <v>44559</v>
      </c>
      <c r="B6234" s="403">
        <f>+MONTH(A6234)</f>
        <v>12</v>
      </c>
      <c r="C6234" s="352">
        <v>115</v>
      </c>
      <c r="D6234" s="340" t="str">
        <f>VLOOKUP(C6234,Plan!A:B,2,0)</f>
        <v>Disponible Cali B.Chile</v>
      </c>
      <c r="E6234" s="341">
        <f>+F6234-G6234</f>
        <v>45000</v>
      </c>
      <c r="F6234" s="396">
        <v>45000</v>
      </c>
      <c r="G6234" s="396">
        <v>0</v>
      </c>
      <c r="H6234" t="s">
        <v>1687</v>
      </c>
      <c r="I6234" s="355" t="s">
        <v>131</v>
      </c>
      <c r="K6234" s="370"/>
      <c r="N6234" s="370"/>
    </row>
    <row r="6235" spans="1:14" s="347" customFormat="1" x14ac:dyDescent="0.25">
      <c r="A6235" s="350">
        <f>+A6234</f>
        <v>44559</v>
      </c>
      <c r="B6235" s="403">
        <f>+MONTH(A6235)</f>
        <v>12</v>
      </c>
      <c r="C6235" s="352">
        <v>1216</v>
      </c>
      <c r="D6235" s="340" t="str">
        <f>VLOOKUP(C6235,Plan!A:B,2,0)</f>
        <v>Otros Valores Recaudadoras</v>
      </c>
      <c r="E6235" s="341">
        <f>+F6235-G6235</f>
        <v>-45000</v>
      </c>
      <c r="F6235" s="396">
        <v>0</v>
      </c>
      <c r="G6235" s="359">
        <f>+F6234</f>
        <v>45000</v>
      </c>
      <c r="H6235" t="str">
        <f>+H6234</f>
        <v>Recaudadora</v>
      </c>
      <c r="I6235" s="355" t="s">
        <v>131</v>
      </c>
      <c r="K6235" s="370"/>
      <c r="N6235" s="370"/>
    </row>
    <row r="6236" spans="1:14" s="347" customFormat="1" x14ac:dyDescent="0.25">
      <c r="A6236" s="369"/>
      <c r="E6236" s="396"/>
      <c r="F6236" s="396"/>
      <c r="G6236" s="396"/>
      <c r="K6236" s="370"/>
      <c r="N6236" s="370"/>
    </row>
    <row r="6237" spans="1:14" s="347" customFormat="1" x14ac:dyDescent="0.25">
      <c r="A6237" s="350">
        <v>44559</v>
      </c>
      <c r="B6237" s="403">
        <f>+MONTH(A6237)</f>
        <v>12</v>
      </c>
      <c r="C6237" s="352">
        <v>115</v>
      </c>
      <c r="D6237" s="340" t="str">
        <f>VLOOKUP(C6237,Plan!A:B,2,0)</f>
        <v>Disponible Cali B.Chile</v>
      </c>
      <c r="E6237" s="341">
        <f>+F6237-G6237</f>
        <v>20000</v>
      </c>
      <c r="F6237" s="396">
        <v>20000</v>
      </c>
      <c r="G6237" s="396">
        <v>0</v>
      </c>
      <c r="H6237" t="s">
        <v>968</v>
      </c>
      <c r="I6237" s="355" t="s">
        <v>131</v>
      </c>
      <c r="K6237" s="370"/>
      <c r="N6237" s="370"/>
    </row>
    <row r="6238" spans="1:14" s="347" customFormat="1" x14ac:dyDescent="0.25">
      <c r="A6238" s="350">
        <f>+A6237</f>
        <v>44559</v>
      </c>
      <c r="B6238" s="403">
        <f>+MONTH(A6238)</f>
        <v>12</v>
      </c>
      <c r="C6238" s="352">
        <v>3210</v>
      </c>
      <c r="D6238" s="340" t="str">
        <f>VLOOKUP(C6238,Plan!A:B,2,0)</f>
        <v>Donacion Construccion</v>
      </c>
      <c r="E6238" s="341">
        <f>+F6238-G6238</f>
        <v>-20000</v>
      </c>
      <c r="F6238" s="396">
        <v>0</v>
      </c>
      <c r="G6238" s="396">
        <f>+F6237</f>
        <v>20000</v>
      </c>
      <c r="H6238" t="str">
        <f>+H6237</f>
        <v xml:space="preserve">María del Pilar Herrera/ azul </v>
      </c>
      <c r="I6238" s="355" t="s">
        <v>131</v>
      </c>
      <c r="K6238" s="370"/>
      <c r="N6238" s="370"/>
    </row>
    <row r="6239" spans="1:14" s="347" customFormat="1" x14ac:dyDescent="0.25">
      <c r="A6239" s="369"/>
      <c r="E6239" s="396"/>
      <c r="F6239" s="396"/>
      <c r="G6239" s="396"/>
      <c r="K6239" s="370"/>
      <c r="N6239" s="370"/>
    </row>
    <row r="6240" spans="1:14" s="347" customFormat="1" x14ac:dyDescent="0.25">
      <c r="A6240" s="350">
        <v>44560</v>
      </c>
      <c r="B6240" s="403">
        <f>+MONTH(A6240)</f>
        <v>12</v>
      </c>
      <c r="C6240" s="352">
        <v>115</v>
      </c>
      <c r="D6240" s="340" t="str">
        <f>VLOOKUP(C6240,Plan!A:B,2,0)</f>
        <v>Disponible Cali B.Chile</v>
      </c>
      <c r="E6240" s="341">
        <f>+F6240-G6240</f>
        <v>20000</v>
      </c>
      <c r="F6240" s="396">
        <v>20000</v>
      </c>
      <c r="G6240" s="396">
        <v>0</v>
      </c>
      <c r="H6240" t="s">
        <v>963</v>
      </c>
      <c r="I6240" s="355" t="s">
        <v>131</v>
      </c>
      <c r="K6240" s="370"/>
      <c r="N6240" s="370"/>
    </row>
    <row r="6241" spans="1:14" s="347" customFormat="1" x14ac:dyDescent="0.25">
      <c r="A6241" s="350">
        <f>+A6240</f>
        <v>44560</v>
      </c>
      <c r="B6241" s="403">
        <f>+MONTH(A6241)</f>
        <v>12</v>
      </c>
      <c r="C6241" s="352">
        <v>1222</v>
      </c>
      <c r="D6241" s="340" t="str">
        <f>VLOOKUP(C6241,Plan!A:B,2,0)</f>
        <v>Otros Valores -Oficina y Transferencias (249)</v>
      </c>
      <c r="E6241" s="341">
        <f>+F6241-G6241</f>
        <v>-20000</v>
      </c>
      <c r="F6241" s="396">
        <v>0</v>
      </c>
      <c r="G6241" s="396">
        <f>+F6240</f>
        <v>20000</v>
      </c>
      <c r="H6241" t="str">
        <f>+H6240</f>
        <v>Benjamín Gutierrez Perlwitz / 249</v>
      </c>
      <c r="I6241" s="355" t="s">
        <v>131</v>
      </c>
      <c r="K6241" s="370"/>
      <c r="N6241" s="370"/>
    </row>
    <row r="6242" spans="1:14" s="347" customFormat="1" x14ac:dyDescent="0.25">
      <c r="A6242" s="369"/>
      <c r="E6242" s="396"/>
      <c r="F6242" s="396"/>
      <c r="G6242" s="396"/>
      <c r="K6242" s="370"/>
      <c r="N6242" s="370"/>
    </row>
    <row r="6243" spans="1:14" s="347" customFormat="1" x14ac:dyDescent="0.25">
      <c r="A6243" s="350">
        <v>44560</v>
      </c>
      <c r="B6243" s="403">
        <f>+MONTH(A6243)</f>
        <v>12</v>
      </c>
      <c r="C6243" s="352">
        <v>115</v>
      </c>
      <c r="D6243" s="340" t="str">
        <f>VLOOKUP(C6243,Plan!A:B,2,0)</f>
        <v>Disponible Cali B.Chile</v>
      </c>
      <c r="E6243" s="341">
        <f>+F6243-G6243</f>
        <v>30000</v>
      </c>
      <c r="F6243" s="396">
        <v>30000</v>
      </c>
      <c r="G6243" s="396">
        <v>0</v>
      </c>
      <c r="H6243" t="s">
        <v>1876</v>
      </c>
      <c r="I6243" s="355" t="s">
        <v>131</v>
      </c>
      <c r="K6243" s="370"/>
      <c r="N6243" s="370"/>
    </row>
    <row r="6244" spans="1:14" s="347" customFormat="1" x14ac:dyDescent="0.25">
      <c r="A6244" s="350">
        <f>+A6243</f>
        <v>44560</v>
      </c>
      <c r="B6244" s="403">
        <f>+MONTH(A6244)</f>
        <v>12</v>
      </c>
      <c r="C6244" s="352">
        <v>1222</v>
      </c>
      <c r="D6244" s="340" t="str">
        <f>VLOOKUP(C6244,Plan!A:B,2,0)</f>
        <v>Otros Valores -Oficina y Transferencias (249)</v>
      </c>
      <c r="E6244" s="341">
        <f>+F6244-G6244</f>
        <v>-30000</v>
      </c>
      <c r="F6244" s="396">
        <v>0</v>
      </c>
      <c r="G6244" s="396">
        <f>+F6243</f>
        <v>30000</v>
      </c>
      <c r="H6244" t="str">
        <f>+H6243</f>
        <v>Selim Guillermo Abara Elías / 249</v>
      </c>
      <c r="I6244" s="355" t="s">
        <v>131</v>
      </c>
      <c r="K6244" s="370"/>
      <c r="N6244" s="370"/>
    </row>
    <row r="6245" spans="1:14" s="347" customFormat="1" x14ac:dyDescent="0.25">
      <c r="A6245" s="369"/>
      <c r="E6245" s="396"/>
      <c r="F6245" s="396"/>
      <c r="G6245" s="396"/>
      <c r="K6245" s="370"/>
      <c r="N6245" s="370"/>
    </row>
    <row r="6246" spans="1:14" s="347" customFormat="1" x14ac:dyDescent="0.25">
      <c r="A6246" s="350">
        <v>44560</v>
      </c>
      <c r="B6246" s="403">
        <f>+MONTH(A6246)</f>
        <v>12</v>
      </c>
      <c r="C6246" s="352">
        <v>115</v>
      </c>
      <c r="D6246" s="340" t="str">
        <f>VLOOKUP(C6246,Plan!A:B,2,0)</f>
        <v>Disponible Cali B.Chile</v>
      </c>
      <c r="E6246" s="341">
        <f>+F6246-G6246</f>
        <v>50000</v>
      </c>
      <c r="F6246" s="396">
        <v>50000</v>
      </c>
      <c r="G6246" s="396">
        <v>0</v>
      </c>
      <c r="H6246" t="s">
        <v>966</v>
      </c>
      <c r="I6246" s="355" t="s">
        <v>131</v>
      </c>
      <c r="K6246" s="370"/>
      <c r="N6246" s="370"/>
    </row>
    <row r="6247" spans="1:14" s="347" customFormat="1" x14ac:dyDescent="0.25">
      <c r="A6247" s="350">
        <f>+A6246</f>
        <v>44560</v>
      </c>
      <c r="B6247" s="403">
        <f>+MONTH(A6247)</f>
        <v>12</v>
      </c>
      <c r="C6247" s="352">
        <v>3210</v>
      </c>
      <c r="D6247" s="340" t="str">
        <f>VLOOKUP(C6247,Plan!A:B,2,0)</f>
        <v>Donacion Construccion</v>
      </c>
      <c r="E6247" s="341">
        <f>+F6247-G6247</f>
        <v>-50000</v>
      </c>
      <c r="F6247" s="396">
        <v>0</v>
      </c>
      <c r="G6247" s="396">
        <f>+F6246</f>
        <v>50000</v>
      </c>
      <c r="H6247" t="str">
        <f>+H6246</f>
        <v xml:space="preserve">Ricardo Fernández Oyarzún / Azul </v>
      </c>
      <c r="I6247" s="355" t="s">
        <v>131</v>
      </c>
      <c r="K6247" s="370"/>
      <c r="N6247" s="370"/>
    </row>
    <row r="6248" spans="1:14" s="347" customFormat="1" x14ac:dyDescent="0.25">
      <c r="A6248" s="369"/>
      <c r="E6248" s="396"/>
      <c r="F6248" s="396"/>
      <c r="G6248" s="396"/>
      <c r="K6248" s="370"/>
      <c r="N6248" s="370"/>
    </row>
    <row r="6249" spans="1:14" s="347" customFormat="1" x14ac:dyDescent="0.25">
      <c r="A6249" s="350">
        <v>44560</v>
      </c>
      <c r="B6249" s="403">
        <f>+MONTH(A6249)</f>
        <v>12</v>
      </c>
      <c r="C6249" s="352">
        <v>115</v>
      </c>
      <c r="D6249" s="340" t="str">
        <f>VLOOKUP(C6249,Plan!A:B,2,0)</f>
        <v>Disponible Cali B.Chile</v>
      </c>
      <c r="E6249" s="341">
        <f>+F6249-G6249</f>
        <v>20000</v>
      </c>
      <c r="F6249" s="396">
        <v>20000</v>
      </c>
      <c r="G6249" s="396">
        <v>0</v>
      </c>
      <c r="H6249" t="s">
        <v>1007</v>
      </c>
      <c r="I6249" s="355" t="s">
        <v>131</v>
      </c>
      <c r="K6249" s="370"/>
      <c r="N6249" s="370"/>
    </row>
    <row r="6250" spans="1:14" s="347" customFormat="1" x14ac:dyDescent="0.25">
      <c r="A6250" s="350">
        <f>+A6249</f>
        <v>44560</v>
      </c>
      <c r="B6250" s="403">
        <f>+MONTH(A6250)</f>
        <v>12</v>
      </c>
      <c r="C6250" s="352">
        <v>1222</v>
      </c>
      <c r="D6250" s="340" t="str">
        <f>VLOOKUP(C6250,Plan!A:B,2,0)</f>
        <v>Otros Valores -Oficina y Transferencias (249)</v>
      </c>
      <c r="E6250" s="341">
        <f>+F6250-G6250</f>
        <v>-20000</v>
      </c>
      <c r="F6250" s="396">
        <v>0</v>
      </c>
      <c r="G6250" s="396">
        <f>+F6249</f>
        <v>20000</v>
      </c>
      <c r="H6250" t="str">
        <f>+H6249</f>
        <v>Oscar Guarda Barros / 249</v>
      </c>
      <c r="I6250" s="355" t="s">
        <v>131</v>
      </c>
      <c r="K6250" s="370"/>
      <c r="N6250" s="370"/>
    </row>
    <row r="6251" spans="1:14" s="347" customFormat="1" x14ac:dyDescent="0.25">
      <c r="A6251" s="369"/>
      <c r="E6251" s="396"/>
      <c r="F6251" s="396"/>
      <c r="G6251" s="396"/>
      <c r="K6251" s="370"/>
      <c r="N6251" s="370"/>
    </row>
    <row r="6252" spans="1:14" s="347" customFormat="1" x14ac:dyDescent="0.25">
      <c r="A6252" s="350">
        <v>44560</v>
      </c>
      <c r="B6252" s="403">
        <f>+MONTH(A6252)</f>
        <v>12</v>
      </c>
      <c r="C6252" s="352">
        <v>115</v>
      </c>
      <c r="D6252" s="340" t="str">
        <f>VLOOKUP(C6252,Plan!A:B,2,0)</f>
        <v>Disponible Cali B.Chile</v>
      </c>
      <c r="E6252" s="341">
        <f>+F6252-G6252</f>
        <v>40000</v>
      </c>
      <c r="F6252" s="396">
        <v>40000</v>
      </c>
      <c r="G6252" s="396">
        <v>0</v>
      </c>
      <c r="H6252" t="s">
        <v>964</v>
      </c>
      <c r="I6252" s="355" t="s">
        <v>131</v>
      </c>
      <c r="K6252" s="370"/>
      <c r="N6252" s="370"/>
    </row>
    <row r="6253" spans="1:14" s="347" customFormat="1" x14ac:dyDescent="0.25">
      <c r="A6253" s="350">
        <f>+A6252</f>
        <v>44560</v>
      </c>
      <c r="B6253" s="403">
        <f>+MONTH(A6253)</f>
        <v>12</v>
      </c>
      <c r="C6253" s="352">
        <v>1222</v>
      </c>
      <c r="D6253" s="340" t="str">
        <f>VLOOKUP(C6253,Plan!A:B,2,0)</f>
        <v>Otros Valores -Oficina y Transferencias (249)</v>
      </c>
      <c r="E6253" s="341">
        <f>+F6253-G6253</f>
        <v>-40000</v>
      </c>
      <c r="F6253" s="396">
        <v>0</v>
      </c>
      <c r="G6253" s="396">
        <f>+F6252</f>
        <v>40000</v>
      </c>
      <c r="H6253" t="str">
        <f>+H6252</f>
        <v>Raimundo Barros / 249</v>
      </c>
      <c r="I6253" s="355" t="s">
        <v>131</v>
      </c>
      <c r="K6253" s="370"/>
      <c r="N6253" s="370"/>
    </row>
    <row r="6254" spans="1:14" s="347" customFormat="1" x14ac:dyDescent="0.25">
      <c r="A6254" s="369"/>
      <c r="E6254" s="396"/>
      <c r="F6254" s="396"/>
      <c r="G6254" s="396"/>
      <c r="K6254" s="370"/>
      <c r="N6254" s="370"/>
    </row>
    <row r="6255" spans="1:14" s="347" customFormat="1" x14ac:dyDescent="0.25">
      <c r="A6255" s="350">
        <v>44560</v>
      </c>
      <c r="B6255" s="403">
        <f>+MONTH(A6255)</f>
        <v>12</v>
      </c>
      <c r="C6255" s="352">
        <v>115</v>
      </c>
      <c r="D6255" s="340" t="str">
        <f>VLOOKUP(C6255,Plan!A:B,2,0)</f>
        <v>Disponible Cali B.Chile</v>
      </c>
      <c r="E6255" s="341">
        <f>+F6255-G6255</f>
        <v>100000</v>
      </c>
      <c r="F6255" s="396">
        <v>100000</v>
      </c>
      <c r="G6255" s="396">
        <v>0</v>
      </c>
      <c r="H6255" t="s">
        <v>965</v>
      </c>
      <c r="I6255" s="355" t="s">
        <v>131</v>
      </c>
      <c r="K6255" s="370"/>
      <c r="N6255" s="370"/>
    </row>
    <row r="6256" spans="1:14" s="347" customFormat="1" x14ac:dyDescent="0.25">
      <c r="A6256" s="350">
        <f>+A6255</f>
        <v>44560</v>
      </c>
      <c r="B6256" s="403">
        <f>+MONTH(A6256)</f>
        <v>12</v>
      </c>
      <c r="C6256" s="352">
        <v>3210</v>
      </c>
      <c r="D6256" s="340" t="str">
        <f>VLOOKUP(C6256,Plan!A:B,2,0)</f>
        <v>Donacion Construccion</v>
      </c>
      <c r="E6256" s="341">
        <f>+F6256-G6256</f>
        <v>-100000</v>
      </c>
      <c r="F6256" s="396">
        <v>0</v>
      </c>
      <c r="G6256" s="396">
        <f>+F6255</f>
        <v>100000</v>
      </c>
      <c r="H6256" t="str">
        <f>+H6255</f>
        <v>Rafael Marín Jordán/azul</v>
      </c>
      <c r="I6256" s="355" t="s">
        <v>131</v>
      </c>
      <c r="K6256" s="370"/>
      <c r="N6256" s="370"/>
    </row>
    <row r="6257" spans="1:14" s="347" customFormat="1" x14ac:dyDescent="0.25">
      <c r="A6257" s="369"/>
      <c r="E6257" s="396"/>
      <c r="F6257" s="396"/>
      <c r="G6257" s="396"/>
      <c r="K6257" s="370"/>
      <c r="N6257" s="370"/>
    </row>
    <row r="6258" spans="1:14" s="347" customFormat="1" x14ac:dyDescent="0.25">
      <c r="A6258" s="350">
        <v>44560</v>
      </c>
      <c r="B6258" s="403">
        <f>+MONTH(A6258)</f>
        <v>12</v>
      </c>
      <c r="C6258" s="352">
        <v>115</v>
      </c>
      <c r="D6258" s="340" t="str">
        <f>VLOOKUP(C6258,Plan!A:B,2,0)</f>
        <v>Disponible Cali B.Chile</v>
      </c>
      <c r="E6258" s="341">
        <f>+F6258-G6258</f>
        <v>22000</v>
      </c>
      <c r="F6258" s="396">
        <v>22000</v>
      </c>
      <c r="G6258" s="396">
        <v>0</v>
      </c>
      <c r="H6258" t="s">
        <v>1703</v>
      </c>
      <c r="I6258" s="355" t="s">
        <v>131</v>
      </c>
      <c r="K6258" s="370"/>
      <c r="N6258" s="370"/>
    </row>
    <row r="6259" spans="1:14" s="347" customFormat="1" x14ac:dyDescent="0.25">
      <c r="A6259" s="350">
        <f>+A6258</f>
        <v>44560</v>
      </c>
      <c r="B6259" s="403">
        <f>+MONTH(A6259)</f>
        <v>12</v>
      </c>
      <c r="C6259" s="352">
        <v>1222</v>
      </c>
      <c r="D6259" s="340" t="str">
        <f>VLOOKUP(C6259,Plan!A:B,2,0)</f>
        <v>Otros Valores -Oficina y Transferencias (249)</v>
      </c>
      <c r="E6259" s="341">
        <f>+F6259-G6259</f>
        <v>-22000</v>
      </c>
      <c r="F6259" s="396">
        <v>0</v>
      </c>
      <c r="G6259" s="396">
        <f>+F6258</f>
        <v>22000</v>
      </c>
      <c r="H6259" t="str">
        <f>+H6258</f>
        <v>Arantxa Ereche Tuzzini/249</v>
      </c>
      <c r="I6259" s="355" t="s">
        <v>131</v>
      </c>
      <c r="K6259" s="370"/>
      <c r="N6259" s="370"/>
    </row>
    <row r="6260" spans="1:14" s="347" customFormat="1" x14ac:dyDescent="0.25">
      <c r="A6260" s="369"/>
      <c r="E6260" s="396"/>
      <c r="F6260" s="396"/>
      <c r="G6260" s="396"/>
      <c r="K6260" s="370"/>
      <c r="N6260" s="370"/>
    </row>
    <row r="6261" spans="1:14" s="347" customFormat="1" x14ac:dyDescent="0.25">
      <c r="A6261" s="350">
        <v>44560</v>
      </c>
      <c r="B6261" s="403">
        <f>+MONTH(A6261)</f>
        <v>12</v>
      </c>
      <c r="C6261" s="352">
        <v>115</v>
      </c>
      <c r="D6261" s="340" t="str">
        <f>VLOOKUP(C6261,Plan!A:B,2,0)</f>
        <v>Disponible Cali B.Chile</v>
      </c>
      <c r="E6261" s="341">
        <f>+F6261-G6261</f>
        <v>2081474</v>
      </c>
      <c r="F6261" s="396">
        <v>2081474</v>
      </c>
      <c r="G6261" s="396">
        <v>0</v>
      </c>
      <c r="H6261" s="469" t="s">
        <v>2401</v>
      </c>
      <c r="I6261" s="355" t="s">
        <v>131</v>
      </c>
      <c r="K6261" s="370"/>
      <c r="N6261" s="370"/>
    </row>
    <row r="6262" spans="1:14" s="347" customFormat="1" x14ac:dyDescent="0.25">
      <c r="A6262" s="350">
        <f>+A6261</f>
        <v>44560</v>
      </c>
      <c r="B6262" s="403">
        <f>+MONTH(A6262)</f>
        <v>12</v>
      </c>
      <c r="C6262" s="352">
        <v>1219</v>
      </c>
      <c r="D6262" s="340" t="str">
        <f>VLOOKUP(C6262,Plan!A:B,2,0)</f>
        <v>Otros Valores Arzobispado (248)</v>
      </c>
      <c r="E6262" s="341">
        <f>+F6262-G6262</f>
        <v>-2081474</v>
      </c>
      <c r="F6262" s="396">
        <v>0</v>
      </c>
      <c r="G6262" s="396">
        <f>+F6261</f>
        <v>2081474</v>
      </c>
      <c r="H6262" t="str">
        <f>+H6261</f>
        <v>Arzobispado de Stgo Noviembre / 248</v>
      </c>
      <c r="I6262" s="355" t="s">
        <v>131</v>
      </c>
      <c r="K6262" s="370"/>
      <c r="N6262" s="370"/>
    </row>
    <row r="6263" spans="1:14" s="347" customFormat="1" x14ac:dyDescent="0.25">
      <c r="K6263" s="370"/>
      <c r="N6263" s="370"/>
    </row>
    <row r="6264" spans="1:14" s="347" customFormat="1" x14ac:dyDescent="0.25">
      <c r="A6264" s="350">
        <v>44560</v>
      </c>
      <c r="B6264" s="403">
        <f>+MONTH(A6264)</f>
        <v>12</v>
      </c>
      <c r="C6264" s="352">
        <v>115</v>
      </c>
      <c r="D6264" s="340" t="str">
        <f>VLOOKUP(C6264,Plan!A:B,2,0)</f>
        <v>Disponible Cali B.Chile</v>
      </c>
      <c r="E6264" s="341">
        <f>+F6264-G6264</f>
        <v>1930483</v>
      </c>
      <c r="F6264" s="396">
        <v>1930483</v>
      </c>
      <c r="G6264" s="396">
        <v>0</v>
      </c>
      <c r="H6264" s="469" t="s">
        <v>2532</v>
      </c>
      <c r="I6264" s="355" t="s">
        <v>131</v>
      </c>
      <c r="K6264" s="370"/>
      <c r="N6264" s="370"/>
    </row>
    <row r="6265" spans="1:14" s="347" customFormat="1" x14ac:dyDescent="0.25">
      <c r="A6265" s="350">
        <f>+A6264</f>
        <v>44560</v>
      </c>
      <c r="B6265" s="403">
        <f>+MONTH(A6265)</f>
        <v>12</v>
      </c>
      <c r="C6265" s="352">
        <v>1220</v>
      </c>
      <c r="D6265" s="340" t="str">
        <f>VLOOKUP(C6265,Plan!A:B,2,0)</f>
        <v>Otros Valores Arzobispado (249)</v>
      </c>
      <c r="E6265" s="341">
        <f>+F6265-G6265</f>
        <v>-1930483</v>
      </c>
      <c r="F6265" s="396">
        <v>0</v>
      </c>
      <c r="G6265" s="396">
        <f>+F6264</f>
        <v>1930483</v>
      </c>
      <c r="H6265" t="str">
        <f>+H6264</f>
        <v>Arzobispado de Stgo Noviembre / 249</v>
      </c>
      <c r="I6265" s="355" t="s">
        <v>131</v>
      </c>
      <c r="K6265" s="370"/>
      <c r="N6265" s="370"/>
    </row>
    <row r="6266" spans="1:14" s="347" customFormat="1" x14ac:dyDescent="0.25">
      <c r="A6266" s="369"/>
      <c r="E6266" s="396"/>
      <c r="F6266" s="396"/>
      <c r="G6266" s="396"/>
      <c r="K6266" s="370"/>
      <c r="N6266" s="370"/>
    </row>
    <row r="6267" spans="1:14" s="347" customFormat="1" x14ac:dyDescent="0.25">
      <c r="A6267" s="350">
        <v>44560</v>
      </c>
      <c r="B6267" s="403">
        <f>+MONTH(A6267)</f>
        <v>12</v>
      </c>
      <c r="C6267" s="352">
        <v>115</v>
      </c>
      <c r="D6267" s="340" t="str">
        <f>VLOOKUP(C6267,Plan!A:B,2,0)</f>
        <v>Disponible Cali B.Chile</v>
      </c>
      <c r="E6267" s="341">
        <f>+F6267-G6267</f>
        <v>20000</v>
      </c>
      <c r="F6267" s="396">
        <v>20000</v>
      </c>
      <c r="G6267" s="396">
        <v>0</v>
      </c>
      <c r="H6267" t="s">
        <v>983</v>
      </c>
      <c r="I6267" s="355" t="s">
        <v>131</v>
      </c>
      <c r="K6267" s="370"/>
      <c r="N6267" s="370"/>
    </row>
    <row r="6268" spans="1:14" s="347" customFormat="1" x14ac:dyDescent="0.25">
      <c r="A6268" s="350">
        <f>+A6267</f>
        <v>44560</v>
      </c>
      <c r="B6268" s="403">
        <f>+MONTH(A6268)</f>
        <v>12</v>
      </c>
      <c r="C6268" s="352">
        <v>1222</v>
      </c>
      <c r="D6268" s="340" t="str">
        <f>VLOOKUP(C6268,Plan!A:B,2,0)</f>
        <v>Otros Valores -Oficina y Transferencias (249)</v>
      </c>
      <c r="E6268" s="341">
        <f>+F6268-G6268</f>
        <v>-20000</v>
      </c>
      <c r="F6268" s="396">
        <v>0</v>
      </c>
      <c r="G6268" s="396">
        <f>+F6267</f>
        <v>20000</v>
      </c>
      <c r="H6268" t="str">
        <f>+H6267</f>
        <v>Macarena Gálvez Roa / 249</v>
      </c>
      <c r="I6268" s="355" t="s">
        <v>131</v>
      </c>
      <c r="K6268" s="370"/>
      <c r="N6268" s="370"/>
    </row>
    <row r="6269" spans="1:14" s="347" customFormat="1" x14ac:dyDescent="0.25">
      <c r="A6269" s="369"/>
      <c r="E6269" s="396"/>
      <c r="F6269" s="396"/>
      <c r="G6269" s="396"/>
      <c r="K6269" s="370"/>
      <c r="N6269" s="370"/>
    </row>
    <row r="6270" spans="1:14" s="347" customFormat="1" x14ac:dyDescent="0.25">
      <c r="A6270" s="350">
        <v>44539</v>
      </c>
      <c r="B6270" s="403">
        <f>+MONTH(A6270)</f>
        <v>12</v>
      </c>
      <c r="C6270" s="352">
        <v>117</v>
      </c>
      <c r="D6270" s="340" t="str">
        <f>VLOOKUP(C6270,Plan!A:B,2,0)</f>
        <v>Disponible CALI Santander</v>
      </c>
      <c r="E6270" s="341">
        <f>+F6270-G6270</f>
        <v>875000</v>
      </c>
      <c r="F6270" s="396">
        <v>875000</v>
      </c>
      <c r="G6270" s="396">
        <v>0</v>
      </c>
      <c r="H6270" t="s">
        <v>1788</v>
      </c>
      <c r="I6270" s="355" t="s">
        <v>131</v>
      </c>
      <c r="K6270" s="370"/>
      <c r="N6270" s="370"/>
    </row>
    <row r="6271" spans="1:14" s="347" customFormat="1" x14ac:dyDescent="0.25">
      <c r="A6271" s="350">
        <f>+A6270</f>
        <v>44539</v>
      </c>
      <c r="B6271" s="403">
        <f>+MONTH(A6271)</f>
        <v>12</v>
      </c>
      <c r="C6271" s="352">
        <v>1130</v>
      </c>
      <c r="D6271" s="340" t="str">
        <f>VLOOKUP(C6271,Plan!A:B,2,0)</f>
        <v>Disponible Ch. Fecha</v>
      </c>
      <c r="E6271" s="341">
        <f>+F6271-G6271</f>
        <v>-875000</v>
      </c>
      <c r="F6271" s="396">
        <v>0</v>
      </c>
      <c r="G6271" s="396">
        <f>+F6270</f>
        <v>875000</v>
      </c>
      <c r="H6271" t="str">
        <f>+H6270</f>
        <v>ABONO RECAUDACION PAC</v>
      </c>
      <c r="I6271" s="355" t="s">
        <v>131</v>
      </c>
      <c r="K6271" s="370"/>
      <c r="N6271" s="370"/>
    </row>
    <row r="6272" spans="1:14" s="347" customFormat="1" x14ac:dyDescent="0.25">
      <c r="A6272" s="369"/>
      <c r="E6272" s="396"/>
      <c r="F6272" s="396"/>
      <c r="G6272" s="396"/>
      <c r="K6272" s="370"/>
      <c r="N6272" s="370"/>
    </row>
    <row r="6273" spans="1:14" s="347" customFormat="1" x14ac:dyDescent="0.25">
      <c r="A6273" s="350">
        <v>44543</v>
      </c>
      <c r="B6273" s="403">
        <f>+MONTH(A6273)</f>
        <v>12</v>
      </c>
      <c r="C6273" s="352">
        <v>117</v>
      </c>
      <c r="D6273" s="340" t="str">
        <f>VLOOKUP(C6273,Plan!A:B,2,0)</f>
        <v>Disponible CALI Santander</v>
      </c>
      <c r="E6273" s="341">
        <f>+F6273-G6273</f>
        <v>10000</v>
      </c>
      <c r="F6273" s="396">
        <v>10000</v>
      </c>
      <c r="G6273" s="396">
        <v>0</v>
      </c>
      <c r="H6273" t="s">
        <v>1788</v>
      </c>
      <c r="I6273" s="355" t="s">
        <v>131</v>
      </c>
      <c r="K6273" s="370"/>
      <c r="N6273" s="370"/>
    </row>
    <row r="6274" spans="1:14" s="347" customFormat="1" x14ac:dyDescent="0.25">
      <c r="A6274" s="350">
        <f>+A6273</f>
        <v>44543</v>
      </c>
      <c r="B6274" s="403">
        <f>+MONTH(A6274)</f>
        <v>12</v>
      </c>
      <c r="C6274" s="352">
        <v>1222</v>
      </c>
      <c r="D6274" s="340" t="str">
        <f>VLOOKUP(C6274,Plan!A:B,2,0)</f>
        <v>Otros Valores -Oficina y Transferencias (249)</v>
      </c>
      <c r="E6274" s="341">
        <f>+F6274-G6274</f>
        <v>-10000</v>
      </c>
      <c r="F6274" s="396">
        <v>0</v>
      </c>
      <c r="G6274" s="396">
        <f>+F6273</f>
        <v>10000</v>
      </c>
      <c r="H6274" t="str">
        <f>+H6273</f>
        <v>ABONO RECAUDACION PAC</v>
      </c>
      <c r="I6274" s="355" t="s">
        <v>131</v>
      </c>
      <c r="K6274" s="370"/>
      <c r="N6274" s="370"/>
    </row>
    <row r="6275" spans="1:14" s="347" customFormat="1" x14ac:dyDescent="0.25">
      <c r="A6275" s="369"/>
      <c r="E6275" s="396"/>
      <c r="F6275" s="396"/>
      <c r="G6275" s="396"/>
      <c r="K6275" s="370"/>
      <c r="N6275" s="370"/>
    </row>
    <row r="6276" spans="1:14" s="347" customFormat="1" x14ac:dyDescent="0.25">
      <c r="A6276" s="350">
        <v>44550</v>
      </c>
      <c r="B6276" s="403">
        <f>+MONTH(A6276)</f>
        <v>12</v>
      </c>
      <c r="C6276" s="352">
        <v>117</v>
      </c>
      <c r="D6276" s="340" t="str">
        <f>VLOOKUP(C6276,Plan!A:B,2,0)</f>
        <v>Disponible CALI Santander</v>
      </c>
      <c r="E6276" s="341">
        <f>+F6276-G6276</f>
        <v>289832320</v>
      </c>
      <c r="F6276" s="396">
        <v>289832320</v>
      </c>
      <c r="G6276" s="396">
        <v>0</v>
      </c>
      <c r="H6276" t="s">
        <v>2189</v>
      </c>
      <c r="I6276" s="355" t="s">
        <v>131</v>
      </c>
      <c r="K6276" s="370"/>
      <c r="N6276" s="370"/>
    </row>
    <row r="6277" spans="1:14" s="347" customFormat="1" x14ac:dyDescent="0.25">
      <c r="A6277" s="350">
        <f>+A6276</f>
        <v>44550</v>
      </c>
      <c r="B6277" s="403">
        <f>+MONTH(A6277)</f>
        <v>12</v>
      </c>
      <c r="C6277" s="352">
        <v>113</v>
      </c>
      <c r="D6277" s="340" t="str">
        <f>VLOOKUP(C6277,Plan!A:B,2,0)</f>
        <v>Depósito a plazo Cali Banco Santander</v>
      </c>
      <c r="E6277" s="341">
        <f>+F6277-G6277</f>
        <v>-289832320</v>
      </c>
      <c r="F6277" s="396">
        <v>0</v>
      </c>
      <c r="G6277" s="396">
        <f>+F6276</f>
        <v>289832320</v>
      </c>
      <c r="H6277" t="str">
        <f>+H6276</f>
        <v xml:space="preserve">Abono Venc. DAP </v>
      </c>
      <c r="I6277" s="355" t="s">
        <v>131</v>
      </c>
      <c r="K6277" s="370"/>
      <c r="N6277" s="370"/>
    </row>
    <row r="6278" spans="1:14" s="347" customFormat="1" x14ac:dyDescent="0.25">
      <c r="A6278" s="369"/>
      <c r="E6278" s="396"/>
      <c r="F6278" s="396"/>
      <c r="G6278" s="396"/>
      <c r="K6278" s="370"/>
      <c r="N6278" s="370"/>
    </row>
    <row r="6279" spans="1:14" s="347" customFormat="1" x14ac:dyDescent="0.25">
      <c r="A6279" s="350">
        <v>44550</v>
      </c>
      <c r="B6279" s="403">
        <f>+MONTH(A6279)</f>
        <v>12</v>
      </c>
      <c r="C6279" s="352">
        <v>113</v>
      </c>
      <c r="D6279" s="340" t="str">
        <f>VLOOKUP(C6279,Plan!A:B,2,0)</f>
        <v>Depósito a plazo Cali Banco Santander</v>
      </c>
      <c r="E6279" s="341">
        <f>+F6279-G6279</f>
        <v>248000000</v>
      </c>
      <c r="F6279" s="396">
        <v>248000000</v>
      </c>
      <c r="G6279" s="396">
        <v>0</v>
      </c>
      <c r="H6279" t="s">
        <v>2402</v>
      </c>
      <c r="I6279" s="355" t="s">
        <v>131</v>
      </c>
      <c r="K6279" s="370"/>
      <c r="N6279" s="370"/>
    </row>
    <row r="6280" spans="1:14" s="347" customFormat="1" x14ac:dyDescent="0.25">
      <c r="A6280" s="350">
        <f>+A6279</f>
        <v>44550</v>
      </c>
      <c r="B6280" s="403">
        <f>+MONTH(A6280)</f>
        <v>12</v>
      </c>
      <c r="C6280" s="352">
        <v>117</v>
      </c>
      <c r="D6280" s="340" t="str">
        <f>VLOOKUP(C6280,Plan!A:B,2,0)</f>
        <v>Disponible CALI Santander</v>
      </c>
      <c r="E6280" s="341">
        <f>+F6280-G6280</f>
        <v>-248000000</v>
      </c>
      <c r="F6280" s="396">
        <v>0</v>
      </c>
      <c r="G6280" s="396">
        <f>+F6279</f>
        <v>248000000</v>
      </c>
      <c r="H6280" t="str">
        <f>+H6279</f>
        <v>Toma DAP a 30 ds.</v>
      </c>
      <c r="I6280" s="355" t="s">
        <v>131</v>
      </c>
      <c r="K6280" s="370"/>
      <c r="N6280" s="370"/>
    </row>
    <row r="6281" spans="1:14" s="347" customFormat="1" x14ac:dyDescent="0.25">
      <c r="A6281" s="369"/>
      <c r="E6281" s="396"/>
      <c r="F6281" s="396"/>
      <c r="G6281" s="396"/>
      <c r="K6281" s="370"/>
      <c r="N6281" s="370"/>
    </row>
    <row r="6282" spans="1:14" s="347" customFormat="1" x14ac:dyDescent="0.25">
      <c r="A6282" s="350">
        <v>44552</v>
      </c>
      <c r="B6282" s="403">
        <f>+MONTH(A6282)</f>
        <v>12</v>
      </c>
      <c r="C6282" s="352">
        <v>116</v>
      </c>
      <c r="D6282" s="340" t="str">
        <f>VLOOKUP(C6282,Plan!A:B,2,0)</f>
        <v>Disponible CALI Security</v>
      </c>
      <c r="E6282" s="341">
        <f>+F6282-G6282</f>
        <v>43000000</v>
      </c>
      <c r="F6282" s="396">
        <v>43000000</v>
      </c>
      <c r="G6282" s="396">
        <v>0</v>
      </c>
      <c r="H6282" s="155" t="s">
        <v>2403</v>
      </c>
      <c r="I6282" s="355" t="s">
        <v>131</v>
      </c>
      <c r="K6282" s="370"/>
      <c r="N6282" s="370"/>
    </row>
    <row r="6283" spans="1:14" s="347" customFormat="1" x14ac:dyDescent="0.25">
      <c r="A6283" s="350">
        <f>+A6282</f>
        <v>44552</v>
      </c>
      <c r="B6283" s="403">
        <f>+MONTH(A6283)</f>
        <v>12</v>
      </c>
      <c r="C6283" s="352">
        <v>117</v>
      </c>
      <c r="D6283" s="340" t="str">
        <f>VLOOKUP(C6283,Plan!A:B,2,0)</f>
        <v>Disponible CALI Santander</v>
      </c>
      <c r="E6283" s="341">
        <f>+F6283-G6283</f>
        <v>-43000000</v>
      </c>
      <c r="F6283" s="396">
        <v>0</v>
      </c>
      <c r="G6283" s="396">
        <f>+F6282</f>
        <v>43000000</v>
      </c>
      <c r="H6283" t="str">
        <f>+H6282</f>
        <v>Traspaso Fondos B.Security</v>
      </c>
      <c r="I6283" s="355" t="s">
        <v>131</v>
      </c>
      <c r="K6283" s="370"/>
      <c r="N6283" s="370"/>
    </row>
    <row r="6284" spans="1:14" s="347" customFormat="1" x14ac:dyDescent="0.25">
      <c r="A6284" s="369"/>
      <c r="E6284" s="396"/>
      <c r="F6284" s="396"/>
      <c r="G6284" s="396"/>
      <c r="K6284" s="370"/>
      <c r="N6284" s="370"/>
    </row>
    <row r="6285" spans="1:14" s="347" customFormat="1" x14ac:dyDescent="0.25">
      <c r="A6285" s="350">
        <v>44557</v>
      </c>
      <c r="B6285" s="403">
        <f>+MONTH(A6285)</f>
        <v>12</v>
      </c>
      <c r="C6285" s="352">
        <v>117</v>
      </c>
      <c r="D6285" s="340" t="str">
        <f>VLOOKUP(C6285,Plan!A:B,2,0)</f>
        <v>Disponible CALI Santander</v>
      </c>
      <c r="E6285" s="341">
        <f>+F6285-G6285</f>
        <v>880000</v>
      </c>
      <c r="F6285" s="396">
        <v>880000</v>
      </c>
      <c r="G6285" s="396">
        <v>0</v>
      </c>
      <c r="H6285" t="s">
        <v>1788</v>
      </c>
      <c r="I6285" s="355" t="s">
        <v>131</v>
      </c>
      <c r="K6285" s="370"/>
      <c r="N6285" s="370"/>
    </row>
    <row r="6286" spans="1:14" s="347" customFormat="1" x14ac:dyDescent="0.25">
      <c r="A6286" s="350">
        <f>+A6285</f>
        <v>44557</v>
      </c>
      <c r="B6286" s="403">
        <f>+MONTH(A6286)</f>
        <v>12</v>
      </c>
      <c r="C6286" s="352">
        <v>1222</v>
      </c>
      <c r="D6286" s="340" t="str">
        <f>VLOOKUP(C6286,Plan!A:B,2,0)</f>
        <v>Otros Valores -Oficina y Transferencias (249)</v>
      </c>
      <c r="E6286" s="341">
        <f>+F6286-G6286</f>
        <v>-880000</v>
      </c>
      <c r="F6286" s="396">
        <v>0</v>
      </c>
      <c r="G6286" s="396">
        <f>+F6285</f>
        <v>880000</v>
      </c>
      <c r="H6286" t="str">
        <f>+H6285</f>
        <v>ABONO RECAUDACION PAC</v>
      </c>
      <c r="I6286" s="355" t="s">
        <v>131</v>
      </c>
      <c r="K6286" s="370"/>
      <c r="N6286" s="370"/>
    </row>
    <row r="6287" spans="1:14" s="347" customFormat="1" x14ac:dyDescent="0.25">
      <c r="A6287" s="369"/>
      <c r="E6287" s="396"/>
      <c r="F6287" s="396"/>
      <c r="G6287" s="396"/>
      <c r="K6287" s="370"/>
      <c r="N6287" s="370"/>
    </row>
    <row r="6288" spans="1:14" s="347" customFormat="1" x14ac:dyDescent="0.25">
      <c r="A6288" s="350">
        <v>44537</v>
      </c>
      <c r="B6288" s="403">
        <f>+MONTH(A6288)</f>
        <v>12</v>
      </c>
      <c r="C6288" s="352">
        <v>4170</v>
      </c>
      <c r="D6288" s="340" t="str">
        <f>VLOOKUP(C6288,Plan!A:B,2,0)</f>
        <v>Cali otros</v>
      </c>
      <c r="E6288" s="341">
        <f>+F6288-G6288</f>
        <v>1661</v>
      </c>
      <c r="F6288" s="396">
        <v>1661</v>
      </c>
      <c r="G6288" s="396">
        <v>0</v>
      </c>
      <c r="H6288" t="s">
        <v>1068</v>
      </c>
      <c r="I6288" s="355" t="s">
        <v>131</v>
      </c>
      <c r="K6288" s="370"/>
      <c r="N6288" s="370"/>
    </row>
    <row r="6289" spans="1:14" s="347" customFormat="1" x14ac:dyDescent="0.25">
      <c r="A6289" s="350">
        <f>+A6288</f>
        <v>44537</v>
      </c>
      <c r="B6289" s="403">
        <f>+MONTH(A6289)</f>
        <v>12</v>
      </c>
      <c r="C6289" s="352">
        <v>116</v>
      </c>
      <c r="D6289" s="340" t="str">
        <f>VLOOKUP(C6289,Plan!A:B,2,0)</f>
        <v>Disponible CALI Security</v>
      </c>
      <c r="E6289" s="341">
        <f>+F6289-G6289</f>
        <v>-1661</v>
      </c>
      <c r="F6289" s="396">
        <v>0</v>
      </c>
      <c r="G6289" s="396">
        <f>+F6288</f>
        <v>1661</v>
      </c>
      <c r="H6289" t="str">
        <f>+H6288</f>
        <v>COM.PAGOS MASIVOS OTROS BANCOS</v>
      </c>
      <c r="I6289" s="355" t="s">
        <v>131</v>
      </c>
      <c r="K6289" s="370"/>
      <c r="N6289" s="370"/>
    </row>
    <row r="6290" spans="1:14" s="347" customFormat="1" x14ac:dyDescent="0.25">
      <c r="A6290" s="369"/>
      <c r="E6290" s="396"/>
      <c r="F6290" s="396"/>
      <c r="G6290" s="396"/>
      <c r="K6290" s="370"/>
      <c r="N6290" s="370"/>
    </row>
    <row r="6291" spans="1:14" s="347" customFormat="1" x14ac:dyDescent="0.25">
      <c r="A6291" s="350">
        <v>44537</v>
      </c>
      <c r="B6291" s="403">
        <f>+MONTH(A6291)</f>
        <v>12</v>
      </c>
      <c r="C6291" s="352">
        <v>4170</v>
      </c>
      <c r="D6291" s="340" t="str">
        <f>VLOOKUP(C6291,Plan!A:B,2,0)</f>
        <v>Cali otros</v>
      </c>
      <c r="E6291" s="341">
        <f>+F6291-G6291</f>
        <v>316</v>
      </c>
      <c r="F6291" s="396">
        <v>316</v>
      </c>
      <c r="G6291" s="396">
        <v>0</v>
      </c>
      <c r="H6291" t="s">
        <v>1877</v>
      </c>
      <c r="I6291" s="355" t="s">
        <v>131</v>
      </c>
      <c r="K6291" s="370"/>
      <c r="N6291" s="370"/>
    </row>
    <row r="6292" spans="1:14" s="347" customFormat="1" x14ac:dyDescent="0.25">
      <c r="A6292" s="350">
        <f>+A6291</f>
        <v>44537</v>
      </c>
      <c r="B6292" s="403">
        <f>+MONTH(A6292)</f>
        <v>12</v>
      </c>
      <c r="C6292" s="352">
        <v>116</v>
      </c>
      <c r="D6292" s="340" t="str">
        <f>VLOOKUP(C6292,Plan!A:B,2,0)</f>
        <v>Disponible CALI Security</v>
      </c>
      <c r="E6292" s="341">
        <f>+F6292-G6292</f>
        <v>-316</v>
      </c>
      <c r="F6292" s="396">
        <v>0</v>
      </c>
      <c r="G6292" s="396">
        <f>+F6291</f>
        <v>316</v>
      </c>
      <c r="H6292" t="str">
        <f>+H6291</f>
        <v>IVA COMISIONES</v>
      </c>
      <c r="I6292" s="355" t="s">
        <v>131</v>
      </c>
      <c r="K6292" s="370"/>
      <c r="N6292" s="370"/>
    </row>
    <row r="6293" spans="1:14" s="347" customFormat="1" x14ac:dyDescent="0.25">
      <c r="A6293" s="369"/>
      <c r="E6293" s="396"/>
      <c r="F6293" s="396"/>
      <c r="G6293" s="396"/>
      <c r="K6293" s="370"/>
      <c r="N6293" s="370"/>
    </row>
    <row r="6294" spans="1:14" s="347" customFormat="1" x14ac:dyDescent="0.25">
      <c r="A6294" s="369">
        <v>44553</v>
      </c>
      <c r="B6294" s="347">
        <f>+MONTH(A6294)</f>
        <v>12</v>
      </c>
      <c r="C6294" s="347">
        <v>138</v>
      </c>
      <c r="D6294" s="340" t="str">
        <f>VLOOKUP(C6294,Plan!A$1:B$65542,2,0)</f>
        <v>Proyectos Especialidades</v>
      </c>
      <c r="E6294" s="341">
        <f>+F6294-G6294</f>
        <v>4460606</v>
      </c>
      <c r="F6294" s="155">
        <v>4460606</v>
      </c>
      <c r="G6294" s="396">
        <v>0</v>
      </c>
      <c r="H6294" s="370" t="s">
        <v>2406</v>
      </c>
      <c r="I6294" s="347" t="s">
        <v>131</v>
      </c>
      <c r="J6294" t="s">
        <v>605</v>
      </c>
      <c r="K6294" t="s">
        <v>606</v>
      </c>
      <c r="L6294">
        <v>6579</v>
      </c>
      <c r="M6294" s="343" t="s">
        <v>614</v>
      </c>
      <c r="N6294" t="str">
        <f>IF(M6294&lt;&gt;"",VLOOKUP(M6294,[1]Plan!F$1:G$65536,2,0),"")</f>
        <v>ITO</v>
      </c>
    </row>
    <row r="6295" spans="1:14" s="347" customFormat="1" x14ac:dyDescent="0.25">
      <c r="A6295" s="369">
        <f>+A6294</f>
        <v>44553</v>
      </c>
      <c r="B6295" s="347">
        <f>+B6294</f>
        <v>12</v>
      </c>
      <c r="C6295" s="347">
        <v>116</v>
      </c>
      <c r="D6295" s="340" t="str">
        <f>VLOOKUP(C6295,Plan!A$1:B$65542,2,0)</f>
        <v>Disponible CALI Security</v>
      </c>
      <c r="E6295" s="341">
        <f>+F6295-G6295</f>
        <v>-4460606</v>
      </c>
      <c r="F6295" s="396">
        <v>0</v>
      </c>
      <c r="G6295" s="396">
        <f>+F6294</f>
        <v>4460606</v>
      </c>
      <c r="H6295" t="str">
        <f>+H6294</f>
        <v>Fact. 6579 del 30/11/2021, EE.PP. N° 24, ITO Noviembre 2021.</v>
      </c>
      <c r="I6295" s="347" t="s">
        <v>131</v>
      </c>
      <c r="J6295" t="s">
        <v>605</v>
      </c>
      <c r="K6295" t="s">
        <v>606</v>
      </c>
      <c r="L6295">
        <f>+L6294</f>
        <v>6579</v>
      </c>
      <c r="M6295" s="343" t="s">
        <v>614</v>
      </c>
      <c r="N6295" t="str">
        <f>IF(M6295&lt;&gt;"",VLOOKUP(M6295,[1]Plan!F$1:G$65536,2,0),"")</f>
        <v>ITO</v>
      </c>
    </row>
    <row r="6296" spans="1:14" s="347" customFormat="1" x14ac:dyDescent="0.25">
      <c r="A6296" s="369"/>
      <c r="D6296" s="340"/>
      <c r="E6296" s="341"/>
      <c r="F6296" s="396"/>
      <c r="G6296" s="396"/>
      <c r="H6296"/>
      <c r="J6296"/>
      <c r="K6296"/>
      <c r="L6296"/>
      <c r="M6296" s="343"/>
      <c r="N6296"/>
    </row>
    <row r="6297" spans="1:14" s="347" customFormat="1" x14ac:dyDescent="0.25">
      <c r="A6297" s="369">
        <v>44554</v>
      </c>
      <c r="B6297" s="347">
        <f>+MONTH(A6297)</f>
        <v>12</v>
      </c>
      <c r="C6297" s="347">
        <v>1361</v>
      </c>
      <c r="D6297" s="340" t="str">
        <f>VLOOKUP(C6297,Plan!A$1:B$65542,2,0)</f>
        <v>Adicionales Obras en Construcción</v>
      </c>
      <c r="E6297" s="341">
        <f>+F6297-G6297</f>
        <v>12628142</v>
      </c>
      <c r="F6297" s="155">
        <v>12628142</v>
      </c>
      <c r="G6297" s="396">
        <v>0</v>
      </c>
      <c r="H6297" t="s">
        <v>2407</v>
      </c>
      <c r="I6297" s="347" t="s">
        <v>131</v>
      </c>
      <c r="J6297" s="403" t="s">
        <v>588</v>
      </c>
      <c r="K6297" s="208" t="str">
        <f>IF(J6297&lt;&gt;"",VLOOKUP(J6297,'Libro De Compras 2021'!D:E,2,0),"")</f>
        <v>PROYECTOS Y CONSTRUCCIONES TASCO LIMITADA</v>
      </c>
      <c r="L6297">
        <v>3113</v>
      </c>
      <c r="N6297" s="370"/>
    </row>
    <row r="6298" spans="1:14" s="347" customFormat="1" x14ac:dyDescent="0.25">
      <c r="A6298" s="369">
        <f>+A6297</f>
        <v>44554</v>
      </c>
      <c r="B6298" s="347">
        <f>+B6297</f>
        <v>12</v>
      </c>
      <c r="C6298" s="347">
        <v>116</v>
      </c>
      <c r="D6298" s="340" t="str">
        <f>VLOOKUP(C6298,Plan!A$1:B$65542,2,0)</f>
        <v>Disponible CALI Security</v>
      </c>
      <c r="E6298" s="341">
        <f>+F6298-G6298</f>
        <v>-12628142</v>
      </c>
      <c r="F6298" s="396">
        <v>0</v>
      </c>
      <c r="G6298" s="396">
        <f>+F6297</f>
        <v>12628142</v>
      </c>
      <c r="H6298" t="str">
        <f>+H6297</f>
        <v>Fact. 3113 del 30/11/2021, EE.PP. N°3 Obras Extra</v>
      </c>
      <c r="I6298" s="347" t="s">
        <v>131</v>
      </c>
      <c r="J6298" s="403" t="s">
        <v>588</v>
      </c>
      <c r="K6298" s="208" t="str">
        <f>IF(J6298&lt;&gt;"",VLOOKUP(J6298,'Libro De Compras 2021'!D:E,2,0),"")</f>
        <v>PROYECTOS Y CONSTRUCCIONES TASCO LIMITADA</v>
      </c>
      <c r="L6298" s="403">
        <f>+L6297</f>
        <v>3113</v>
      </c>
      <c r="N6298" s="370"/>
    </row>
    <row r="6299" spans="1:14" s="347" customFormat="1" x14ac:dyDescent="0.25">
      <c r="A6299" s="369"/>
      <c r="E6299" s="396"/>
      <c r="F6299" s="396"/>
      <c r="G6299" s="396"/>
      <c r="K6299" s="370"/>
      <c r="N6299" s="370"/>
    </row>
    <row r="6300" spans="1:14" s="347" customFormat="1" x14ac:dyDescent="0.25">
      <c r="A6300" s="369">
        <v>44554</v>
      </c>
      <c r="B6300" s="347">
        <f>+MONTH(A6300)</f>
        <v>12</v>
      </c>
      <c r="C6300" s="347">
        <v>228</v>
      </c>
      <c r="D6300" s="340" t="str">
        <f>VLOOKUP(C6300,Plan!A$1:B$65542,2,0)</f>
        <v>Proveedores CALI</v>
      </c>
      <c r="E6300" s="341">
        <f>+F6300-G6300</f>
        <v>163057739</v>
      </c>
      <c r="F6300" s="155">
        <v>163057739</v>
      </c>
      <c r="G6300" s="396">
        <v>0</v>
      </c>
      <c r="H6300" t="s">
        <v>2404</v>
      </c>
      <c r="I6300" s="347" t="s">
        <v>131</v>
      </c>
      <c r="J6300" s="403" t="s">
        <v>588</v>
      </c>
      <c r="K6300" s="208" t="str">
        <f>IF(J6300&lt;&gt;"",VLOOKUP(J6300,'Libro De Compras 2021'!D:E,2,0),"")</f>
        <v>PROYECTOS Y CONSTRUCCIONES TASCO LIMITADA</v>
      </c>
      <c r="L6300">
        <v>3112</v>
      </c>
      <c r="N6300" s="370"/>
    </row>
    <row r="6301" spans="1:14" s="347" customFormat="1" x14ac:dyDescent="0.25">
      <c r="A6301" s="369">
        <f>+A6300</f>
        <v>44554</v>
      </c>
      <c r="B6301" s="347">
        <f>+B6300</f>
        <v>12</v>
      </c>
      <c r="C6301" s="347">
        <v>116</v>
      </c>
      <c r="D6301" s="340" t="str">
        <f>VLOOKUP(C6301,Plan!A$1:B$65542,2,0)</f>
        <v>Disponible CALI Security</v>
      </c>
      <c r="E6301" s="341">
        <f>+F6301-G6301</f>
        <v>-163057739</v>
      </c>
      <c r="F6301" s="396">
        <v>0</v>
      </c>
      <c r="G6301" s="396">
        <f>+F6300</f>
        <v>163057739</v>
      </c>
      <c r="H6301" t="str">
        <f>+H6300</f>
        <v>Fact. 3112 del 30/11/2021, EE.PP. N°17</v>
      </c>
      <c r="I6301" s="347" t="s">
        <v>131</v>
      </c>
      <c r="J6301" s="403" t="s">
        <v>588</v>
      </c>
      <c r="K6301" s="208" t="str">
        <f>IF(J6301&lt;&gt;"",VLOOKUP(J6301,'Libro De Compras 2021'!D:E,2,0),"")</f>
        <v>PROYECTOS Y CONSTRUCCIONES TASCO LIMITADA</v>
      </c>
      <c r="L6301" s="403">
        <f>+L6300</f>
        <v>3112</v>
      </c>
      <c r="N6301" s="370"/>
    </row>
    <row r="6302" spans="1:14" s="347" customFormat="1" x14ac:dyDescent="0.25">
      <c r="A6302" s="369"/>
      <c r="E6302" s="396"/>
      <c r="F6302" s="396"/>
      <c r="G6302" s="396"/>
      <c r="K6302" s="370"/>
      <c r="N6302" s="370"/>
    </row>
    <row r="6303" spans="1:14" s="347" customFormat="1" x14ac:dyDescent="0.25">
      <c r="A6303" s="369">
        <v>44554</v>
      </c>
      <c r="B6303" s="347">
        <f>+MONTH(A6303)</f>
        <v>12</v>
      </c>
      <c r="C6303" s="347">
        <v>138</v>
      </c>
      <c r="D6303" s="340" t="str">
        <f>VLOOKUP(C6303,Plan!A$1:B$65542,2,0)</f>
        <v>Proyectos Especialidades</v>
      </c>
      <c r="E6303" s="341">
        <f>+F6303-G6303</f>
        <v>3077600</v>
      </c>
      <c r="F6303" s="155">
        <v>3077600</v>
      </c>
      <c r="G6303" s="396">
        <v>0</v>
      </c>
      <c r="H6303" s="370" t="s">
        <v>2405</v>
      </c>
      <c r="I6303" s="347" t="s">
        <v>131</v>
      </c>
      <c r="K6303" s="370"/>
      <c r="L6303" s="347">
        <v>453</v>
      </c>
      <c r="N6303" s="370"/>
    </row>
    <row r="6304" spans="1:14" s="347" customFormat="1" x14ac:dyDescent="0.25">
      <c r="A6304" s="369">
        <f>+A6303</f>
        <v>44554</v>
      </c>
      <c r="B6304" s="347">
        <f>+B6303</f>
        <v>12</v>
      </c>
      <c r="C6304" s="347">
        <v>116</v>
      </c>
      <c r="D6304" s="340" t="str">
        <f>VLOOKUP(C6304,Plan!A$1:B$65542,2,0)</f>
        <v>Disponible CALI Security</v>
      </c>
      <c r="E6304" s="341">
        <f>+F6304-G6304</f>
        <v>-3077600</v>
      </c>
      <c r="F6304" s="396">
        <v>0</v>
      </c>
      <c r="G6304" s="396">
        <f>+F6303</f>
        <v>3077600</v>
      </c>
      <c r="H6304" t="str">
        <f>+H6303</f>
        <v>Fact. 453 del 02/12/2021, EE.PP. N° 8 Adicionales Arquitectura</v>
      </c>
      <c r="I6304" s="347" t="s">
        <v>131</v>
      </c>
      <c r="K6304" s="370"/>
      <c r="L6304" s="347">
        <v>453</v>
      </c>
      <c r="N6304" s="370"/>
    </row>
    <row r="6305" spans="1:14" s="347" customFormat="1" x14ac:dyDescent="0.25">
      <c r="A6305" s="369"/>
      <c r="E6305" s="396"/>
      <c r="F6305" s="396"/>
      <c r="G6305" s="396"/>
      <c r="K6305" s="370"/>
      <c r="N6305" s="370"/>
    </row>
    <row r="6306" spans="1:14" s="347" customFormat="1" x14ac:dyDescent="0.25">
      <c r="A6306" s="402">
        <v>44554</v>
      </c>
      <c r="B6306" s="403">
        <f>+MONTH(A6306)</f>
        <v>12</v>
      </c>
      <c r="C6306" s="338">
        <v>137</v>
      </c>
      <c r="D6306" s="340" t="str">
        <f>VLOOKUP(C6306,Plan!A:B,2,0)</f>
        <v>Anticipo Construcción</v>
      </c>
      <c r="E6306" s="341">
        <f>+F6306-G6306</f>
        <v>-22854095</v>
      </c>
      <c r="F6306" s="465">
        <v>0</v>
      </c>
      <c r="G6306" s="465">
        <v>22854095</v>
      </c>
      <c r="H6306" s="429" t="s">
        <v>2521</v>
      </c>
      <c r="I6306" s="403" t="s">
        <v>131</v>
      </c>
      <c r="J6306" s="403" t="s">
        <v>588</v>
      </c>
      <c r="K6306" s="208" t="str">
        <f>IF(J6306&lt;&gt;"",VLOOKUP(J6306,'Libro De Compras 2021'!D:E,2,0),"")</f>
        <v>PROYECTOS Y CONSTRUCCIONES TASCO LIMITADA</v>
      </c>
      <c r="L6306">
        <v>3112</v>
      </c>
      <c r="N6306" s="370"/>
    </row>
    <row r="6307" spans="1:14" s="347" customFormat="1" x14ac:dyDescent="0.25">
      <c r="A6307" s="402">
        <f t="shared" ref="A6307:B6307" si="115">+A6306</f>
        <v>44554</v>
      </c>
      <c r="B6307" s="403">
        <f t="shared" si="115"/>
        <v>12</v>
      </c>
      <c r="C6307" s="338">
        <v>136</v>
      </c>
      <c r="D6307" s="340" t="str">
        <f>VLOOKUP(C6307,Plan!A:B,2,0)</f>
        <v>Obras en Construcción</v>
      </c>
      <c r="E6307" s="341">
        <f>+F6307-G6307</f>
        <v>194326383</v>
      </c>
      <c r="F6307" s="465">
        <v>194326383</v>
      </c>
      <c r="G6307" s="465">
        <v>0</v>
      </c>
      <c r="H6307" s="429" t="s">
        <v>589</v>
      </c>
      <c r="I6307" s="403" t="s">
        <v>131</v>
      </c>
      <c r="J6307" s="403" t="s">
        <v>588</v>
      </c>
      <c r="K6307" s="208" t="str">
        <f>IF(J6307&lt;&gt;"",VLOOKUP(J6307,'Libro De Compras 2021'!D:E,2,0),"")</f>
        <v>PROYECTOS Y CONSTRUCCIONES TASCO LIMITADA</v>
      </c>
      <c r="L6307" s="403">
        <f>+L6306</f>
        <v>3112</v>
      </c>
      <c r="N6307" s="370"/>
    </row>
    <row r="6308" spans="1:14" s="347" customFormat="1" x14ac:dyDescent="0.25">
      <c r="A6308" s="402">
        <f t="shared" ref="A6308:B6308" si="116">+A6307</f>
        <v>44554</v>
      </c>
      <c r="B6308" s="403">
        <f t="shared" si="116"/>
        <v>12</v>
      </c>
      <c r="C6308" s="338">
        <v>210</v>
      </c>
      <c r="D6308" s="340" t="str">
        <f>VLOOKUP(C6308,Plan!A:B,2,0)</f>
        <v>Retenciones Construcción</v>
      </c>
      <c r="E6308" s="341">
        <f>+F6308-G6308</f>
        <v>-8414549</v>
      </c>
      <c r="F6308" s="465">
        <v>0</v>
      </c>
      <c r="G6308" s="465">
        <v>8414549</v>
      </c>
      <c r="H6308" s="429" t="s">
        <v>2522</v>
      </c>
      <c r="I6308" s="403" t="s">
        <v>131</v>
      </c>
      <c r="J6308" s="403" t="s">
        <v>588</v>
      </c>
      <c r="K6308" s="208" t="str">
        <f>IF(J6308&lt;&gt;"",VLOOKUP(J6308,'Libro De Compras 2021'!D:E,2,0),"")</f>
        <v>PROYECTOS Y CONSTRUCCIONES TASCO LIMITADA</v>
      </c>
      <c r="L6308" s="403">
        <f>+L6307</f>
        <v>3112</v>
      </c>
      <c r="N6308" s="370"/>
    </row>
    <row r="6309" spans="1:14" s="347" customFormat="1" x14ac:dyDescent="0.25">
      <c r="A6309" s="402">
        <f t="shared" ref="A6309:B6309" si="117">+A6308</f>
        <v>44554</v>
      </c>
      <c r="B6309" s="403">
        <f t="shared" si="117"/>
        <v>12</v>
      </c>
      <c r="C6309" s="338">
        <v>228</v>
      </c>
      <c r="D6309" s="340" t="str">
        <f>VLOOKUP(C6309,Plan!A:B,2,0)</f>
        <v>Proveedores CALI</v>
      </c>
      <c r="E6309" s="341">
        <f>+F6309-G6309</f>
        <v>-163057739</v>
      </c>
      <c r="F6309" s="465">
        <v>0</v>
      </c>
      <c r="G6309" s="465">
        <f>+F6300</f>
        <v>163057739</v>
      </c>
      <c r="H6309" s="429" t="s">
        <v>2523</v>
      </c>
      <c r="I6309" s="403" t="s">
        <v>131</v>
      </c>
      <c r="J6309" s="403" t="s">
        <v>588</v>
      </c>
      <c r="K6309" s="208" t="str">
        <f>IF(J6309&lt;&gt;"",VLOOKUP(J6309,'Libro De Compras 2021'!D:E,2,0),"")</f>
        <v>PROYECTOS Y CONSTRUCCIONES TASCO LIMITADA</v>
      </c>
      <c r="L6309" s="403">
        <f>+L6308</f>
        <v>3112</v>
      </c>
      <c r="N6309" s="370"/>
    </row>
    <row r="6310" spans="1:14" s="347" customFormat="1" x14ac:dyDescent="0.25">
      <c r="A6310" s="369"/>
      <c r="E6310" s="396"/>
      <c r="F6310" s="396"/>
      <c r="G6310" s="396"/>
      <c r="K6310" s="370"/>
      <c r="N6310" s="370"/>
    </row>
    <row r="6311" spans="1:14" s="347" customFormat="1" x14ac:dyDescent="0.25">
      <c r="A6311" s="350">
        <v>44557</v>
      </c>
      <c r="B6311" s="403">
        <f>+MONTH(A6311)</f>
        <v>12</v>
      </c>
      <c r="C6311" s="352">
        <v>4170</v>
      </c>
      <c r="D6311" s="340" t="str">
        <f>VLOOKUP(C6311,Plan!A:B,2,0)</f>
        <v>Cali otros</v>
      </c>
      <c r="E6311" s="341">
        <f>+F6311-G6311</f>
        <v>4686</v>
      </c>
      <c r="F6311" s="396">
        <v>4686</v>
      </c>
      <c r="G6311" s="396">
        <v>0</v>
      </c>
      <c r="H6311" t="s">
        <v>1068</v>
      </c>
      <c r="I6311" s="355" t="s">
        <v>131</v>
      </c>
      <c r="K6311" s="370"/>
      <c r="N6311" s="370"/>
    </row>
    <row r="6312" spans="1:14" s="347" customFormat="1" x14ac:dyDescent="0.25">
      <c r="A6312" s="350">
        <f>+A6311</f>
        <v>44557</v>
      </c>
      <c r="B6312" s="403">
        <f>+MONTH(A6312)</f>
        <v>12</v>
      </c>
      <c r="C6312" s="352">
        <v>116</v>
      </c>
      <c r="D6312" s="340" t="str">
        <f>VLOOKUP(C6312,Plan!A:B,2,0)</f>
        <v>Disponible CALI Security</v>
      </c>
      <c r="E6312" s="341">
        <f>+F6312-G6312</f>
        <v>-4686</v>
      </c>
      <c r="F6312" s="396">
        <v>0</v>
      </c>
      <c r="G6312" s="396">
        <f>+F6311</f>
        <v>4686</v>
      </c>
      <c r="H6312" t="str">
        <f>+H6311</f>
        <v>COM.PAGOS MASIVOS OTROS BANCOS</v>
      </c>
      <c r="I6312" s="355" t="s">
        <v>131</v>
      </c>
      <c r="K6312" s="370"/>
      <c r="N6312" s="370"/>
    </row>
    <row r="6313" spans="1:14" s="347" customFormat="1" x14ac:dyDescent="0.25">
      <c r="A6313" s="369"/>
      <c r="E6313" s="396"/>
      <c r="F6313" s="396"/>
      <c r="G6313" s="396"/>
      <c r="K6313" s="370"/>
      <c r="N6313" s="370"/>
    </row>
    <row r="6314" spans="1:14" s="347" customFormat="1" x14ac:dyDescent="0.25">
      <c r="A6314" s="350">
        <v>44557</v>
      </c>
      <c r="B6314" s="403">
        <f>+MONTH(A6314)</f>
        <v>12</v>
      </c>
      <c r="C6314" s="352">
        <v>4170</v>
      </c>
      <c r="D6314" s="340" t="str">
        <f>VLOOKUP(C6314,Plan!A:B,2,0)</f>
        <v>Cali otros</v>
      </c>
      <c r="E6314" s="341">
        <f>+F6314-G6314</f>
        <v>890</v>
      </c>
      <c r="F6314" s="396">
        <v>890</v>
      </c>
      <c r="G6314" s="396">
        <v>0</v>
      </c>
      <c r="H6314" t="s">
        <v>1068</v>
      </c>
      <c r="I6314" s="355" t="s">
        <v>131</v>
      </c>
      <c r="K6314" s="370"/>
      <c r="N6314" s="370"/>
    </row>
    <row r="6315" spans="1:14" s="347" customFormat="1" x14ac:dyDescent="0.25">
      <c r="A6315" s="350">
        <f>+A6314</f>
        <v>44557</v>
      </c>
      <c r="B6315" s="403">
        <f>+MONTH(A6315)</f>
        <v>12</v>
      </c>
      <c r="C6315" s="352">
        <v>116</v>
      </c>
      <c r="D6315" s="340" t="str">
        <f>VLOOKUP(C6315,Plan!A:B,2,0)</f>
        <v>Disponible CALI Security</v>
      </c>
      <c r="E6315" s="341">
        <f>+F6315-G6315</f>
        <v>-890</v>
      </c>
      <c r="F6315" s="396">
        <v>0</v>
      </c>
      <c r="G6315" s="396">
        <f>+F6314</f>
        <v>890</v>
      </c>
      <c r="H6315" t="str">
        <f>+H6314</f>
        <v>COM.PAGOS MASIVOS OTROS BANCOS</v>
      </c>
      <c r="I6315" s="355" t="s">
        <v>131</v>
      </c>
      <c r="K6315" s="370"/>
      <c r="N6315" s="370"/>
    </row>
    <row r="6316" spans="1:14" s="347" customFormat="1" x14ac:dyDescent="0.25">
      <c r="A6316" s="369"/>
      <c r="E6316" s="396"/>
      <c r="F6316" s="396"/>
      <c r="G6316" s="396"/>
      <c r="K6316" s="370"/>
      <c r="N6316" s="370"/>
    </row>
    <row r="6317" spans="1:14" s="347" customFormat="1" x14ac:dyDescent="0.25">
      <c r="A6317" s="339">
        <v>44561</v>
      </c>
      <c r="B6317" s="403">
        <f t="shared" ref="B6317:B6343" si="118">+MONTH(A6317)</f>
        <v>12</v>
      </c>
      <c r="C6317" s="352">
        <v>3620</v>
      </c>
      <c r="D6317" s="340" t="str">
        <f>VLOOKUP(C6317,Plan!A:B,2,0)</f>
        <v>Cali Recaudadores</v>
      </c>
      <c r="E6317" s="341">
        <f t="shared" ref="E6317:E6343" si="119">+F6317-G6317</f>
        <v>-632000</v>
      </c>
      <c r="F6317" s="405">
        <v>0</v>
      </c>
      <c r="G6317" s="405">
        <v>632000</v>
      </c>
      <c r="H6317" s="404" t="s">
        <v>2531</v>
      </c>
      <c r="I6317" s="355" t="s">
        <v>131</v>
      </c>
      <c r="K6317" s="370"/>
      <c r="N6317" s="370"/>
    </row>
    <row r="6318" spans="1:14" s="347" customFormat="1" x14ac:dyDescent="0.25">
      <c r="A6318" s="350">
        <f>+A6317</f>
        <v>44561</v>
      </c>
      <c r="B6318" s="403">
        <f t="shared" si="118"/>
        <v>12</v>
      </c>
      <c r="C6318" s="352">
        <v>3621</v>
      </c>
      <c r="D6318" s="340" t="str">
        <f>VLOOKUP(C6318,Plan!A:B,2,0)</f>
        <v>Cali Recaudadores (249)</v>
      </c>
      <c r="E6318" s="341">
        <f t="shared" si="119"/>
        <v>0</v>
      </c>
      <c r="F6318" s="405">
        <v>0</v>
      </c>
      <c r="G6318" s="405">
        <v>0</v>
      </c>
      <c r="H6318" s="404" t="str">
        <f>+H6317</f>
        <v>Centralización Recaudación Diciembre</v>
      </c>
      <c r="I6318" s="355" t="s">
        <v>131</v>
      </c>
      <c r="K6318" s="370"/>
      <c r="N6318" s="370"/>
    </row>
    <row r="6319" spans="1:14" s="347" customFormat="1" x14ac:dyDescent="0.25">
      <c r="A6319" s="350">
        <f>+A6317</f>
        <v>44561</v>
      </c>
      <c r="B6319" s="403">
        <f t="shared" si="118"/>
        <v>12</v>
      </c>
      <c r="C6319" s="352">
        <v>3630</v>
      </c>
      <c r="D6319" s="340" t="str">
        <f>VLOOKUP(C6319,Plan!A:B,2,0)</f>
        <v>Cali Oficina Parroquial</v>
      </c>
      <c r="E6319" s="341">
        <f t="shared" si="119"/>
        <v>-970000</v>
      </c>
      <c r="F6319" s="405">
        <v>0</v>
      </c>
      <c r="G6319" s="405">
        <v>970000</v>
      </c>
      <c r="H6319" s="404" t="str">
        <f t="shared" ref="H6319:H6343" si="120">+H6318</f>
        <v>Centralización Recaudación Diciembre</v>
      </c>
      <c r="I6319" s="355" t="s">
        <v>131</v>
      </c>
      <c r="K6319" s="370"/>
      <c r="N6319" s="370"/>
    </row>
    <row r="6320" spans="1:14" s="347" customFormat="1" x14ac:dyDescent="0.25">
      <c r="A6320" s="350">
        <f>+A6318</f>
        <v>44561</v>
      </c>
      <c r="B6320" s="403">
        <f t="shared" si="118"/>
        <v>12</v>
      </c>
      <c r="C6320" s="352">
        <v>3631</v>
      </c>
      <c r="D6320" s="340" t="str">
        <f>VLOOKUP(C6320,Plan!A:B,2,0)</f>
        <v>Cali Oficina Parroquial (249)</v>
      </c>
      <c r="E6320" s="341">
        <f t="shared" si="119"/>
        <v>-3572000</v>
      </c>
      <c r="F6320" s="405">
        <v>0</v>
      </c>
      <c r="G6320" s="405">
        <v>3572000</v>
      </c>
      <c r="H6320" s="404" t="str">
        <f t="shared" si="120"/>
        <v>Centralización Recaudación Diciembre</v>
      </c>
      <c r="I6320" s="355" t="s">
        <v>131</v>
      </c>
      <c r="K6320" s="370"/>
      <c r="N6320" s="370"/>
    </row>
    <row r="6321" spans="1:14" s="347" customFormat="1" x14ac:dyDescent="0.25">
      <c r="A6321" s="350">
        <f>+A6319</f>
        <v>44561</v>
      </c>
      <c r="B6321" s="403">
        <f t="shared" si="118"/>
        <v>12</v>
      </c>
      <c r="C6321" s="352">
        <v>3640</v>
      </c>
      <c r="D6321" s="340" t="str">
        <f>VLOOKUP(C6321,Plan!A:B,2,0)</f>
        <v>Cali Tarjetas de Creditos</v>
      </c>
      <c r="E6321" s="341">
        <f t="shared" si="119"/>
        <v>-4120600</v>
      </c>
      <c r="F6321" s="405">
        <v>0</v>
      </c>
      <c r="G6321" s="405">
        <v>4120600</v>
      </c>
      <c r="H6321" s="404" t="str">
        <f t="shared" si="120"/>
        <v>Centralización Recaudación Diciembre</v>
      </c>
      <c r="I6321" s="355" t="s">
        <v>131</v>
      </c>
      <c r="K6321" s="370"/>
      <c r="N6321" s="370"/>
    </row>
    <row r="6322" spans="1:14" s="347" customFormat="1" x14ac:dyDescent="0.25">
      <c r="A6322" s="350">
        <f>+A6320</f>
        <v>44561</v>
      </c>
      <c r="B6322" s="403">
        <f t="shared" si="118"/>
        <v>12</v>
      </c>
      <c r="C6322" s="352">
        <v>3641</v>
      </c>
      <c r="D6322" s="340" t="str">
        <f>VLOOKUP(C6322,Plan!A:B,2,0)</f>
        <v>Cali Tarjetas de Creditos (249)</v>
      </c>
      <c r="E6322" s="341">
        <f t="shared" si="119"/>
        <v>-8451913</v>
      </c>
      <c r="F6322" s="405">
        <v>0</v>
      </c>
      <c r="G6322" s="405">
        <v>8451913</v>
      </c>
      <c r="H6322" s="404" t="str">
        <f t="shared" si="120"/>
        <v>Centralización Recaudación Diciembre</v>
      </c>
      <c r="I6322" s="355" t="s">
        <v>131</v>
      </c>
      <c r="K6322" s="370"/>
      <c r="N6322" s="370"/>
    </row>
    <row r="6323" spans="1:14" s="347" customFormat="1" x14ac:dyDescent="0.25">
      <c r="A6323" s="350">
        <f>+A6321</f>
        <v>44561</v>
      </c>
      <c r="B6323" s="403">
        <f t="shared" si="118"/>
        <v>12</v>
      </c>
      <c r="C6323" s="352">
        <v>1216</v>
      </c>
      <c r="D6323" s="340" t="str">
        <f>VLOOKUP(C6323,Plan!A:B,2,0)</f>
        <v>Otros Valores Recaudadoras</v>
      </c>
      <c r="E6323" s="341">
        <f t="shared" si="119"/>
        <v>632000</v>
      </c>
      <c r="F6323" s="405">
        <f>+G6317</f>
        <v>632000</v>
      </c>
      <c r="G6323" s="405">
        <v>0</v>
      </c>
      <c r="H6323" s="404" t="str">
        <f t="shared" si="120"/>
        <v>Centralización Recaudación Diciembre</v>
      </c>
      <c r="I6323" s="355" t="s">
        <v>131</v>
      </c>
      <c r="K6323" s="370"/>
      <c r="N6323" s="370"/>
    </row>
    <row r="6324" spans="1:14" s="347" customFormat="1" x14ac:dyDescent="0.25">
      <c r="A6324" s="350">
        <f>+A6323</f>
        <v>44561</v>
      </c>
      <c r="B6324" s="403">
        <f t="shared" si="118"/>
        <v>12</v>
      </c>
      <c r="C6324" s="352">
        <v>1217</v>
      </c>
      <c r="D6324" s="340" t="str">
        <f>VLOOKUP(C6324,Plan!A:B,2,0)</f>
        <v>Otros Valores -Oficina y Transferencias (248)</v>
      </c>
      <c r="E6324" s="341">
        <f t="shared" si="119"/>
        <v>970000</v>
      </c>
      <c r="F6324" s="405">
        <f>+G6319</f>
        <v>970000</v>
      </c>
      <c r="G6324" s="405">
        <v>0</v>
      </c>
      <c r="H6324" s="404" t="str">
        <f t="shared" si="120"/>
        <v>Centralización Recaudación Diciembre</v>
      </c>
      <c r="I6324" s="355" t="s">
        <v>131</v>
      </c>
      <c r="K6324" s="370"/>
      <c r="N6324" s="370"/>
    </row>
    <row r="6325" spans="1:14" s="347" customFormat="1" x14ac:dyDescent="0.25">
      <c r="A6325" s="350">
        <f>+A6324</f>
        <v>44561</v>
      </c>
      <c r="B6325" s="403">
        <f t="shared" si="118"/>
        <v>12</v>
      </c>
      <c r="C6325" s="352">
        <v>1222</v>
      </c>
      <c r="D6325" s="340" t="str">
        <f>VLOOKUP(C6325,Plan!A:B,2,0)</f>
        <v>Otros Valores -Oficina y Transferencias (249)</v>
      </c>
      <c r="E6325" s="341">
        <f t="shared" si="119"/>
        <v>3572000</v>
      </c>
      <c r="F6325" s="405">
        <f>+G6320</f>
        <v>3572000</v>
      </c>
      <c r="G6325" s="405">
        <v>0</v>
      </c>
      <c r="H6325" s="404" t="str">
        <f t="shared" si="120"/>
        <v>Centralización Recaudación Diciembre</v>
      </c>
      <c r="I6325" s="355" t="s">
        <v>131</v>
      </c>
      <c r="K6325" s="370"/>
      <c r="N6325" s="370"/>
    </row>
    <row r="6326" spans="1:14" s="347" customFormat="1" x14ac:dyDescent="0.25">
      <c r="A6326" s="350">
        <f>+A6324</f>
        <v>44561</v>
      </c>
      <c r="B6326" s="403">
        <f t="shared" si="118"/>
        <v>12</v>
      </c>
      <c r="C6326" s="352">
        <v>1218</v>
      </c>
      <c r="D6326" s="340" t="str">
        <f>VLOOKUP(C6326,Plan!A:B,2,0)</f>
        <v>Otros Valores Tarjeta de Credito</v>
      </c>
      <c r="E6326" s="341">
        <f t="shared" si="119"/>
        <v>12572513</v>
      </c>
      <c r="F6326" s="405">
        <f>+G6321+G6322</f>
        <v>12572513</v>
      </c>
      <c r="G6326" s="405">
        <v>0</v>
      </c>
      <c r="H6326" s="404" t="str">
        <f t="shared" si="120"/>
        <v>Centralización Recaudación Diciembre</v>
      </c>
      <c r="I6326" s="355" t="s">
        <v>131</v>
      </c>
      <c r="K6326" s="370"/>
      <c r="N6326" s="370"/>
    </row>
    <row r="6327" spans="1:14" s="347" customFormat="1" x14ac:dyDescent="0.25">
      <c r="A6327" s="350">
        <f t="shared" ref="A6327:A6334" si="121">+A6326</f>
        <v>44561</v>
      </c>
      <c r="B6327" s="403">
        <f t="shared" si="118"/>
        <v>12</v>
      </c>
      <c r="C6327" s="352">
        <v>202</v>
      </c>
      <c r="D6327" s="340" t="str">
        <f>VLOOKUP(C6327,Plan!A:B,2,0)</f>
        <v>Arzobispado por pagar</v>
      </c>
      <c r="E6327" s="341">
        <f t="shared" si="119"/>
        <v>-2991317</v>
      </c>
      <c r="F6327" s="405">
        <v>0</v>
      </c>
      <c r="G6327" s="405">
        <v>2991317</v>
      </c>
      <c r="H6327" s="404" t="str">
        <f t="shared" si="120"/>
        <v>Centralización Recaudación Diciembre</v>
      </c>
      <c r="I6327" s="355" t="s">
        <v>131</v>
      </c>
      <c r="K6327" s="370"/>
      <c r="N6327" s="370"/>
    </row>
    <row r="6328" spans="1:14" s="347" customFormat="1" x14ac:dyDescent="0.25">
      <c r="A6328" s="350">
        <f t="shared" si="121"/>
        <v>44561</v>
      </c>
      <c r="B6328" s="403">
        <f t="shared" si="118"/>
        <v>12</v>
      </c>
      <c r="C6328" s="352">
        <v>4120</v>
      </c>
      <c r="D6328" s="340" t="str">
        <f>VLOOKUP(C6328,Plan!A:B,2,0)</f>
        <v>Aporte Arzobispado</v>
      </c>
      <c r="E6328" s="341">
        <f t="shared" si="119"/>
        <v>2991317</v>
      </c>
      <c r="F6328" s="405">
        <v>2991317</v>
      </c>
      <c r="G6328" s="405">
        <v>0</v>
      </c>
      <c r="H6328" s="404" t="str">
        <f t="shared" si="120"/>
        <v>Centralización Recaudación Diciembre</v>
      </c>
      <c r="I6328" s="355" t="s">
        <v>131</v>
      </c>
      <c r="K6328" s="370"/>
      <c r="N6328" s="370"/>
    </row>
    <row r="6329" spans="1:14" s="347" customFormat="1" x14ac:dyDescent="0.25">
      <c r="A6329" s="350">
        <f t="shared" si="121"/>
        <v>44561</v>
      </c>
      <c r="B6329" s="403">
        <f t="shared" si="118"/>
        <v>12</v>
      </c>
      <c r="C6329" s="352">
        <v>203</v>
      </c>
      <c r="D6329" s="340" t="str">
        <f>VLOOKUP(C6329,Plan!A:B,2,0)</f>
        <v>Recaudadoras por pagar</v>
      </c>
      <c r="E6329" s="341">
        <f t="shared" si="119"/>
        <v>-75840</v>
      </c>
      <c r="F6329" s="405">
        <v>0</v>
      </c>
      <c r="G6329" s="525">
        <v>75840</v>
      </c>
      <c r="H6329" s="404" t="str">
        <f t="shared" si="120"/>
        <v>Centralización Recaudación Diciembre</v>
      </c>
      <c r="I6329" s="355" t="s">
        <v>131</v>
      </c>
      <c r="K6329" s="370"/>
      <c r="N6329" s="370"/>
    </row>
    <row r="6330" spans="1:14" s="347" customFormat="1" x14ac:dyDescent="0.25">
      <c r="A6330" s="350">
        <f t="shared" si="121"/>
        <v>44561</v>
      </c>
      <c r="B6330" s="403">
        <f t="shared" si="118"/>
        <v>12</v>
      </c>
      <c r="C6330" s="352">
        <v>201</v>
      </c>
      <c r="D6330" s="340" t="str">
        <f>VLOOKUP(C6330,Plan!A:B,2,0)</f>
        <v>1% por pagar</v>
      </c>
      <c r="E6330" s="341">
        <f t="shared" si="119"/>
        <v>-177465</v>
      </c>
      <c r="F6330" s="405">
        <v>0</v>
      </c>
      <c r="G6330" s="525">
        <v>177465</v>
      </c>
      <c r="H6330" s="404" t="str">
        <f t="shared" si="120"/>
        <v>Centralización Recaudación Diciembre</v>
      </c>
      <c r="I6330" s="355" t="s">
        <v>131</v>
      </c>
      <c r="K6330" s="370"/>
      <c r="N6330" s="370"/>
    </row>
    <row r="6331" spans="1:14" s="347" customFormat="1" x14ac:dyDescent="0.25">
      <c r="A6331" s="350">
        <f t="shared" si="121"/>
        <v>44561</v>
      </c>
      <c r="B6331" s="403">
        <f t="shared" si="118"/>
        <v>12</v>
      </c>
      <c r="C6331" s="352">
        <v>4140</v>
      </c>
      <c r="D6331" s="340" t="str">
        <f>VLOOKUP(C6331,Plan!A:B,2,0)</f>
        <v>Comisiones Cali Recaudadores</v>
      </c>
      <c r="E6331" s="341">
        <f t="shared" si="119"/>
        <v>75840</v>
      </c>
      <c r="F6331" s="405">
        <v>75840</v>
      </c>
      <c r="G6331" s="405">
        <v>0</v>
      </c>
      <c r="H6331" s="404" t="str">
        <f t="shared" si="120"/>
        <v>Centralización Recaudación Diciembre</v>
      </c>
      <c r="I6331" s="355" t="s">
        <v>131</v>
      </c>
      <c r="K6331" s="370"/>
      <c r="N6331" s="370"/>
    </row>
    <row r="6332" spans="1:14" s="347" customFormat="1" x14ac:dyDescent="0.25">
      <c r="A6332" s="350">
        <f t="shared" si="121"/>
        <v>44561</v>
      </c>
      <c r="B6332" s="403">
        <f t="shared" si="118"/>
        <v>12</v>
      </c>
      <c r="C6332" s="352">
        <v>4110</v>
      </c>
      <c r="D6332" s="340" t="str">
        <f>VLOOKUP(C6332,Plan!A:B,2,0)</f>
        <v>Aporte Papal</v>
      </c>
      <c r="E6332" s="341">
        <f t="shared" si="119"/>
        <v>177465</v>
      </c>
      <c r="F6332" s="405">
        <v>177465</v>
      </c>
      <c r="G6332" s="405">
        <v>0</v>
      </c>
      <c r="H6332" s="404" t="str">
        <f t="shared" si="120"/>
        <v>Centralización Recaudación Diciembre</v>
      </c>
      <c r="I6332" s="355" t="s">
        <v>131</v>
      </c>
      <c r="K6332" s="370"/>
      <c r="N6332" s="370"/>
    </row>
    <row r="6333" spans="1:14" s="347" customFormat="1" x14ac:dyDescent="0.25">
      <c r="A6333" s="470">
        <f t="shared" si="121"/>
        <v>44561</v>
      </c>
      <c r="B6333" s="403">
        <f t="shared" si="118"/>
        <v>12</v>
      </c>
      <c r="C6333" s="471">
        <v>3610</v>
      </c>
      <c r="D6333" s="472" t="str">
        <f>VLOOKUP(C6333,Plan!A:B,2,0)</f>
        <v>Cali  Arzobispado</v>
      </c>
      <c r="E6333" s="341">
        <f t="shared" si="119"/>
        <v>-5652747</v>
      </c>
      <c r="F6333" s="522">
        <v>0</v>
      </c>
      <c r="G6333" s="522">
        <v>5652747</v>
      </c>
      <c r="H6333" s="404" t="str">
        <f t="shared" si="120"/>
        <v>Centralización Recaudación Diciembre</v>
      </c>
      <c r="I6333" s="474" t="s">
        <v>131</v>
      </c>
      <c r="K6333" s="370"/>
      <c r="N6333" s="370"/>
    </row>
    <row r="6334" spans="1:14" s="347" customFormat="1" x14ac:dyDescent="0.25">
      <c r="A6334" s="470">
        <f t="shared" si="121"/>
        <v>44561</v>
      </c>
      <c r="B6334" s="403">
        <f t="shared" si="118"/>
        <v>12</v>
      </c>
      <c r="C6334" s="471">
        <v>3611</v>
      </c>
      <c r="D6334" s="472" t="str">
        <f>VLOOKUP(C6334,Plan!A:B,2,0)</f>
        <v>Cali  Arzobispado (249)</v>
      </c>
      <c r="E6334" s="341">
        <f t="shared" si="119"/>
        <v>-2000500</v>
      </c>
      <c r="F6334" s="522">
        <v>0</v>
      </c>
      <c r="G6334" s="522">
        <v>2000500</v>
      </c>
      <c r="H6334" s="404" t="str">
        <f t="shared" si="120"/>
        <v>Centralización Recaudación Diciembre</v>
      </c>
      <c r="I6334" s="474" t="s">
        <v>131</v>
      </c>
      <c r="K6334" s="370"/>
      <c r="N6334" s="370"/>
    </row>
    <row r="6335" spans="1:14" s="347" customFormat="1" x14ac:dyDescent="0.25">
      <c r="A6335" s="470">
        <f>+A6333</f>
        <v>44561</v>
      </c>
      <c r="B6335" s="403">
        <f t="shared" si="118"/>
        <v>12</v>
      </c>
      <c r="C6335" s="471">
        <v>4160</v>
      </c>
      <c r="D6335" s="472" t="str">
        <f>VLOOKUP(C6335,Plan!A:B,2,0)</f>
        <v>Comisiones Cali Arzobispado</v>
      </c>
      <c r="E6335" s="341">
        <f t="shared" si="119"/>
        <v>392534</v>
      </c>
      <c r="F6335" s="522">
        <v>392534</v>
      </c>
      <c r="G6335" s="522">
        <v>0</v>
      </c>
      <c r="H6335" s="404" t="str">
        <f t="shared" si="120"/>
        <v>Centralización Recaudación Diciembre</v>
      </c>
      <c r="I6335" s="474" t="s">
        <v>131</v>
      </c>
      <c r="K6335" s="370"/>
      <c r="N6335" s="370"/>
    </row>
    <row r="6336" spans="1:14" s="347" customFormat="1" x14ac:dyDescent="0.25">
      <c r="A6336" s="470">
        <f>+A6334</f>
        <v>44561</v>
      </c>
      <c r="B6336" s="403">
        <f t="shared" si="118"/>
        <v>12</v>
      </c>
      <c r="C6336" s="471">
        <v>4160</v>
      </c>
      <c r="D6336" s="472" t="str">
        <f>VLOOKUP(C6336,Plan!A:B,2,0)</f>
        <v>Comisiones Cali Arzobispado</v>
      </c>
      <c r="E6336" s="341">
        <f t="shared" si="119"/>
        <v>50013</v>
      </c>
      <c r="F6336" s="522">
        <v>50013</v>
      </c>
      <c r="G6336" s="522">
        <v>0</v>
      </c>
      <c r="H6336" s="404" t="str">
        <f t="shared" si="120"/>
        <v>Centralización Recaudación Diciembre</v>
      </c>
      <c r="I6336" s="474" t="s">
        <v>131</v>
      </c>
      <c r="K6336" s="370"/>
      <c r="N6336" s="370"/>
    </row>
    <row r="6337" spans="1:14" s="347" customFormat="1" x14ac:dyDescent="0.25">
      <c r="A6337" s="350">
        <f>+A6335</f>
        <v>44561</v>
      </c>
      <c r="B6337" s="403">
        <f t="shared" si="118"/>
        <v>12</v>
      </c>
      <c r="C6337" s="352">
        <v>4120</v>
      </c>
      <c r="D6337" s="340" t="str">
        <f>VLOOKUP(C6337,Plan!A:B,2,0)</f>
        <v>Aporte Arzobispado</v>
      </c>
      <c r="E6337" s="341">
        <f t="shared" si="119"/>
        <v>3122212</v>
      </c>
      <c r="F6337" s="405">
        <v>3122212</v>
      </c>
      <c r="G6337" s="405">
        <v>0</v>
      </c>
      <c r="H6337" s="404" t="str">
        <f t="shared" si="120"/>
        <v>Centralización Recaudación Diciembre</v>
      </c>
      <c r="I6337" s="355" t="s">
        <v>131</v>
      </c>
      <c r="K6337" s="370"/>
      <c r="N6337" s="370"/>
    </row>
    <row r="6338" spans="1:14" s="347" customFormat="1" x14ac:dyDescent="0.25">
      <c r="A6338" s="350">
        <f>+A6337</f>
        <v>44561</v>
      </c>
      <c r="B6338" s="403">
        <f t="shared" si="118"/>
        <v>12</v>
      </c>
      <c r="C6338" s="352">
        <v>4110</v>
      </c>
      <c r="D6338" s="340" t="str">
        <f>VLOOKUP(C6338,Plan!A:B,2,0)</f>
        <v>Aporte Papal</v>
      </c>
      <c r="E6338" s="341">
        <f t="shared" si="119"/>
        <v>56527</v>
      </c>
      <c r="F6338" s="405">
        <v>56527</v>
      </c>
      <c r="G6338" s="405">
        <v>0</v>
      </c>
      <c r="H6338" s="404" t="str">
        <f t="shared" si="120"/>
        <v>Centralización Recaudación Diciembre</v>
      </c>
      <c r="I6338" s="355" t="s">
        <v>131</v>
      </c>
      <c r="K6338" s="370"/>
      <c r="N6338" s="370"/>
    </row>
    <row r="6339" spans="1:14" s="347" customFormat="1" x14ac:dyDescent="0.25">
      <c r="A6339" s="350">
        <f>+A6338</f>
        <v>44561</v>
      </c>
      <c r="B6339" s="403">
        <f t="shared" si="118"/>
        <v>12</v>
      </c>
      <c r="C6339" s="352">
        <v>4110</v>
      </c>
      <c r="D6339" s="340" t="str">
        <f>VLOOKUP(C6339,Plan!A:B,2,0)</f>
        <v>Aporte Papal</v>
      </c>
      <c r="E6339" s="341">
        <f t="shared" si="119"/>
        <v>20005</v>
      </c>
      <c r="F6339" s="405">
        <v>20005</v>
      </c>
      <c r="G6339" s="405">
        <v>0</v>
      </c>
      <c r="H6339" s="404" t="str">
        <f t="shared" si="120"/>
        <v>Centralización Recaudación Diciembre</v>
      </c>
      <c r="I6339" s="355" t="s">
        <v>131</v>
      </c>
      <c r="K6339" s="370"/>
      <c r="N6339" s="370"/>
    </row>
    <row r="6340" spans="1:14" s="347" customFormat="1" x14ac:dyDescent="0.25">
      <c r="A6340" s="350">
        <f>+A6338</f>
        <v>44561</v>
      </c>
      <c r="B6340" s="403">
        <f t="shared" si="118"/>
        <v>12</v>
      </c>
      <c r="C6340" s="352">
        <v>1219</v>
      </c>
      <c r="D6340" s="340" t="str">
        <f>VLOOKUP(C6340,Plan!A:B,2,0)</f>
        <v>Otros Valores Arzobispado (248)</v>
      </c>
      <c r="E6340" s="341">
        <f t="shared" si="119"/>
        <v>2081474</v>
      </c>
      <c r="F6340" s="405">
        <v>2081474</v>
      </c>
      <c r="G6340" s="405">
        <v>0</v>
      </c>
      <c r="H6340" s="404" t="str">
        <f t="shared" si="120"/>
        <v>Centralización Recaudación Diciembre</v>
      </c>
      <c r="I6340" s="355" t="s">
        <v>131</v>
      </c>
      <c r="K6340" s="370"/>
      <c r="N6340" s="370"/>
    </row>
    <row r="6341" spans="1:14" s="347" customFormat="1" x14ac:dyDescent="0.25">
      <c r="A6341" s="350">
        <f>+A6340</f>
        <v>44561</v>
      </c>
      <c r="B6341" s="403">
        <f t="shared" si="118"/>
        <v>12</v>
      </c>
      <c r="C6341" s="352">
        <v>1220</v>
      </c>
      <c r="D6341" s="340" t="str">
        <f>VLOOKUP(C6341,Plan!A:B,2,0)</f>
        <v>Otros Valores Arzobispado (249)</v>
      </c>
      <c r="E6341" s="341">
        <f t="shared" si="119"/>
        <v>1930482</v>
      </c>
      <c r="F6341" s="405">
        <v>1930482</v>
      </c>
      <c r="G6341" s="405">
        <v>0</v>
      </c>
      <c r="H6341" s="404" t="str">
        <f t="shared" si="120"/>
        <v>Centralización Recaudación Diciembre</v>
      </c>
      <c r="I6341" s="355" t="s">
        <v>131</v>
      </c>
      <c r="K6341" s="370"/>
      <c r="N6341" s="370"/>
    </row>
    <row r="6342" spans="1:14" s="347" customFormat="1" x14ac:dyDescent="0.25">
      <c r="A6342" s="350">
        <f>+A6340</f>
        <v>44561</v>
      </c>
      <c r="B6342" s="403">
        <f t="shared" si="118"/>
        <v>12</v>
      </c>
      <c r="C6342" s="352">
        <v>1218</v>
      </c>
      <c r="D6342" s="340" t="str">
        <f>VLOOKUP(C6342,Plan!A:B,2,0)</f>
        <v>Otros Valores Tarjeta de Credito</v>
      </c>
      <c r="E6342" s="341">
        <f t="shared" si="119"/>
        <v>-393197</v>
      </c>
      <c r="F6342" s="405">
        <v>0</v>
      </c>
      <c r="G6342" s="405">
        <f>402459-9262</f>
        <v>393197</v>
      </c>
      <c r="H6342" s="404" t="str">
        <f t="shared" si="120"/>
        <v>Centralización Recaudación Diciembre</v>
      </c>
      <c r="I6342" s="355" t="s">
        <v>131</v>
      </c>
      <c r="K6342" s="370"/>
      <c r="N6342" s="370"/>
    </row>
    <row r="6343" spans="1:14" s="347" customFormat="1" x14ac:dyDescent="0.25">
      <c r="A6343" s="350">
        <f>+A6340</f>
        <v>44561</v>
      </c>
      <c r="B6343" s="403">
        <f t="shared" si="118"/>
        <v>12</v>
      </c>
      <c r="C6343" s="352">
        <v>4150</v>
      </c>
      <c r="D6343" s="340" t="str">
        <f>VLOOKUP(C6343,Plan!A:B,2,0)</f>
        <v>Comisiones Cali Tarjetas de Creditos</v>
      </c>
      <c r="E6343" s="341">
        <f t="shared" si="119"/>
        <v>393197</v>
      </c>
      <c r="F6343" s="405">
        <f>402459-9262</f>
        <v>393197</v>
      </c>
      <c r="G6343" s="405">
        <v>0</v>
      </c>
      <c r="H6343" s="404" t="str">
        <f t="shared" si="120"/>
        <v>Centralización Recaudación Diciembre</v>
      </c>
      <c r="I6343" s="355" t="s">
        <v>131</v>
      </c>
      <c r="K6343" s="370"/>
      <c r="N6343" s="370"/>
    </row>
    <row r="6344" spans="1:14" s="347" customFormat="1" x14ac:dyDescent="0.25">
      <c r="A6344" s="369"/>
      <c r="E6344" s="396"/>
      <c r="F6344" s="396"/>
      <c r="G6344" s="396"/>
      <c r="K6344" s="370"/>
      <c r="N6344" s="370"/>
    </row>
    <row r="6345" spans="1:14" s="347" customFormat="1" x14ac:dyDescent="0.25">
      <c r="A6345" s="350">
        <v>44561</v>
      </c>
      <c r="B6345" s="403">
        <f t="shared" ref="B6345:B6390" si="122">+MONTH(A6345)</f>
        <v>12</v>
      </c>
      <c r="C6345" s="352">
        <v>141</v>
      </c>
      <c r="D6345" s="340" t="str">
        <f>VLOOKUP(C6345,Plan!A:B,2,0)</f>
        <v>Cuentas por Cobrar a Administración</v>
      </c>
      <c r="E6345" s="341">
        <f t="shared" ref="E6345:E6390" si="123">+F6345-G6345</f>
        <v>30000</v>
      </c>
      <c r="F6345" s="396">
        <v>30000</v>
      </c>
      <c r="G6345" s="396">
        <v>0</v>
      </c>
      <c r="H6345" t="s">
        <v>1641</v>
      </c>
      <c r="I6345" s="355" t="s">
        <v>131</v>
      </c>
      <c r="K6345" s="370"/>
      <c r="N6345" s="370"/>
    </row>
    <row r="6346" spans="1:14" s="347" customFormat="1" x14ac:dyDescent="0.25">
      <c r="A6346" s="350">
        <f>+A6345</f>
        <v>44561</v>
      </c>
      <c r="B6346" s="403">
        <f t="shared" si="122"/>
        <v>12</v>
      </c>
      <c r="C6346" s="352">
        <v>141</v>
      </c>
      <c r="D6346" s="340" t="str">
        <f>VLOOKUP(C6346,Plan!A:B,2,0)</f>
        <v>Cuentas por Cobrar a Administración</v>
      </c>
      <c r="E6346" s="341">
        <f t="shared" si="123"/>
        <v>3000000</v>
      </c>
      <c r="F6346" s="396">
        <v>3000000</v>
      </c>
      <c r="G6346" s="396">
        <v>0</v>
      </c>
      <c r="H6346" t="s">
        <v>2438</v>
      </c>
      <c r="I6346" s="355" t="s">
        <v>131</v>
      </c>
      <c r="K6346" s="370"/>
      <c r="N6346" s="370"/>
    </row>
    <row r="6347" spans="1:14" s="347" customFormat="1" x14ac:dyDescent="0.25">
      <c r="A6347" s="350">
        <f>+A6346</f>
        <v>44561</v>
      </c>
      <c r="B6347" s="403">
        <f t="shared" si="122"/>
        <v>12</v>
      </c>
      <c r="C6347" s="352">
        <v>141</v>
      </c>
      <c r="D6347" s="340" t="str">
        <f>VLOOKUP(C6347,Plan!A:B,2,0)</f>
        <v>Cuentas por Cobrar a Administración</v>
      </c>
      <c r="E6347" s="341">
        <f t="shared" si="123"/>
        <v>7860</v>
      </c>
      <c r="F6347" s="396">
        <v>7860</v>
      </c>
      <c r="G6347" s="396">
        <v>0</v>
      </c>
      <c r="H6347" t="s">
        <v>2439</v>
      </c>
      <c r="I6347" s="355" t="s">
        <v>131</v>
      </c>
      <c r="K6347"/>
      <c r="L6347" s="264"/>
      <c r="M6347" s="396"/>
      <c r="N6347" s="370"/>
    </row>
    <row r="6348" spans="1:14" s="347" customFormat="1" x14ac:dyDescent="0.25">
      <c r="A6348" s="350">
        <f>+A6347</f>
        <v>44561</v>
      </c>
      <c r="B6348" s="403">
        <f t="shared" si="122"/>
        <v>12</v>
      </c>
      <c r="C6348" s="352">
        <v>141</v>
      </c>
      <c r="D6348" s="340" t="str">
        <f>VLOOKUP(C6348,Plan!A:B,2,0)</f>
        <v>Cuentas por Cobrar a Administración</v>
      </c>
      <c r="E6348" s="341">
        <f t="shared" si="123"/>
        <v>20000</v>
      </c>
      <c r="F6348" s="396">
        <v>20000</v>
      </c>
      <c r="G6348" s="396">
        <v>0</v>
      </c>
      <c r="H6348" t="s">
        <v>1236</v>
      </c>
      <c r="I6348" s="355" t="s">
        <v>131</v>
      </c>
      <c r="K6348"/>
      <c r="L6348" s="264"/>
      <c r="M6348" s="396"/>
      <c r="N6348" s="370"/>
    </row>
    <row r="6349" spans="1:14" s="347" customFormat="1" x14ac:dyDescent="0.25">
      <c r="A6349" s="350">
        <f>+A6347</f>
        <v>44561</v>
      </c>
      <c r="B6349" s="403">
        <f t="shared" si="122"/>
        <v>12</v>
      </c>
      <c r="C6349" s="352">
        <v>141</v>
      </c>
      <c r="D6349" s="340" t="str">
        <f>VLOOKUP(C6349,Plan!A:B,2,0)</f>
        <v>Cuentas por Cobrar a Administración</v>
      </c>
      <c r="E6349" s="341">
        <f t="shared" si="123"/>
        <v>40000</v>
      </c>
      <c r="F6349" s="396">
        <v>40000</v>
      </c>
      <c r="G6349" s="396">
        <v>0</v>
      </c>
      <c r="H6349" s="312" t="s">
        <v>1631</v>
      </c>
      <c r="I6349" s="355" t="s">
        <v>131</v>
      </c>
      <c r="K6349"/>
      <c r="L6349" s="264"/>
      <c r="M6349" s="396"/>
      <c r="N6349" s="370"/>
    </row>
    <row r="6350" spans="1:14" s="347" customFormat="1" x14ac:dyDescent="0.25">
      <c r="A6350" s="350">
        <f>+A6348</f>
        <v>44561</v>
      </c>
      <c r="B6350" s="403">
        <f t="shared" si="122"/>
        <v>12</v>
      </c>
      <c r="C6350" s="352">
        <v>141</v>
      </c>
      <c r="D6350" s="340" t="str">
        <f>VLOOKUP(C6350,Plan!A:B,2,0)</f>
        <v>Cuentas por Cobrar a Administración</v>
      </c>
      <c r="E6350" s="341">
        <f t="shared" si="123"/>
        <v>50000</v>
      </c>
      <c r="F6350" s="396">
        <v>50000</v>
      </c>
      <c r="G6350" s="396">
        <v>0</v>
      </c>
      <c r="H6350" s="312" t="s">
        <v>733</v>
      </c>
      <c r="I6350" s="355" t="s">
        <v>131</v>
      </c>
      <c r="K6350"/>
      <c r="L6350" s="264"/>
      <c r="M6350" s="396"/>
      <c r="N6350" s="370"/>
    </row>
    <row r="6351" spans="1:14" s="347" customFormat="1" x14ac:dyDescent="0.25">
      <c r="A6351" s="350">
        <f>+A6350</f>
        <v>44561</v>
      </c>
      <c r="B6351" s="403">
        <f t="shared" si="122"/>
        <v>12</v>
      </c>
      <c r="C6351" s="352">
        <v>141</v>
      </c>
      <c r="D6351" s="340" t="str">
        <f>VLOOKUP(C6351,Plan!A:B,2,0)</f>
        <v>Cuentas por Cobrar a Administración</v>
      </c>
      <c r="E6351" s="341">
        <f t="shared" si="123"/>
        <v>50000</v>
      </c>
      <c r="F6351" s="396">
        <v>50000</v>
      </c>
      <c r="G6351" s="396">
        <v>0</v>
      </c>
      <c r="H6351" t="s">
        <v>743</v>
      </c>
      <c r="I6351" s="355" t="s">
        <v>131</v>
      </c>
      <c r="K6351" s="312"/>
      <c r="L6351" s="476"/>
      <c r="M6351" s="396"/>
      <c r="N6351" s="370"/>
    </row>
    <row r="6352" spans="1:14" s="347" customFormat="1" x14ac:dyDescent="0.25">
      <c r="A6352" s="350">
        <f t="shared" ref="A6352:A6358" si="124">+A6350</f>
        <v>44561</v>
      </c>
      <c r="B6352" s="403">
        <f t="shared" si="122"/>
        <v>12</v>
      </c>
      <c r="C6352" s="352">
        <v>141</v>
      </c>
      <c r="D6352" s="340" t="str">
        <f>VLOOKUP(C6352,Plan!A:B,2,0)</f>
        <v>Cuentas por Cobrar a Administración</v>
      </c>
      <c r="E6352" s="341">
        <f t="shared" si="123"/>
        <v>-46739</v>
      </c>
      <c r="F6352" s="396">
        <v>0</v>
      </c>
      <c r="G6352" s="396">
        <v>46739</v>
      </c>
      <c r="H6352" t="s">
        <v>2441</v>
      </c>
      <c r="I6352" s="355" t="s">
        <v>131</v>
      </c>
      <c r="K6352" s="312"/>
      <c r="L6352" s="476"/>
      <c r="M6352" s="396"/>
      <c r="N6352" s="370"/>
    </row>
    <row r="6353" spans="1:14" s="347" customFormat="1" x14ac:dyDescent="0.25">
      <c r="A6353" s="350">
        <f t="shared" si="124"/>
        <v>44561</v>
      </c>
      <c r="B6353" s="403">
        <f t="shared" si="122"/>
        <v>12</v>
      </c>
      <c r="C6353" s="352">
        <v>141</v>
      </c>
      <c r="D6353" s="340" t="str">
        <f>VLOOKUP(C6353,Plan!A:B,2,0)</f>
        <v>Cuentas por Cobrar a Administración</v>
      </c>
      <c r="E6353" s="341">
        <f t="shared" si="123"/>
        <v>15000</v>
      </c>
      <c r="F6353" s="396">
        <v>15000</v>
      </c>
      <c r="G6353" s="396">
        <v>0</v>
      </c>
      <c r="H6353" t="s">
        <v>1440</v>
      </c>
      <c r="I6353" s="355" t="s">
        <v>131</v>
      </c>
      <c r="K6353"/>
      <c r="L6353" s="264"/>
      <c r="M6353" s="396"/>
      <c r="N6353" s="370"/>
    </row>
    <row r="6354" spans="1:14" s="347" customFormat="1" x14ac:dyDescent="0.25">
      <c r="A6354" s="350">
        <f t="shared" si="124"/>
        <v>44561</v>
      </c>
      <c r="B6354" s="403">
        <f t="shared" si="122"/>
        <v>12</v>
      </c>
      <c r="C6354" s="352">
        <v>141</v>
      </c>
      <c r="D6354" s="340" t="str">
        <f>VLOOKUP(C6354,Plan!A:B,2,0)</f>
        <v>Cuentas por Cobrar a Administración</v>
      </c>
      <c r="E6354" s="341">
        <f t="shared" si="123"/>
        <v>30000</v>
      </c>
      <c r="F6354" s="396">
        <v>30000</v>
      </c>
      <c r="G6354" s="396">
        <v>0</v>
      </c>
      <c r="H6354" t="s">
        <v>2443</v>
      </c>
      <c r="I6354" s="355" t="s">
        <v>131</v>
      </c>
      <c r="K6354"/>
      <c r="L6354" s="264"/>
      <c r="M6354" s="396"/>
      <c r="N6354" s="370"/>
    </row>
    <row r="6355" spans="1:14" s="347" customFormat="1" x14ac:dyDescent="0.25">
      <c r="A6355" s="350">
        <f t="shared" si="124"/>
        <v>44561</v>
      </c>
      <c r="B6355" s="403">
        <f t="shared" si="122"/>
        <v>12</v>
      </c>
      <c r="C6355" s="352">
        <v>141</v>
      </c>
      <c r="D6355" s="340" t="str">
        <f>VLOOKUP(C6355,Plan!A:B,2,0)</f>
        <v>Cuentas por Cobrar a Administración</v>
      </c>
      <c r="E6355" s="341">
        <f t="shared" si="123"/>
        <v>29472</v>
      </c>
      <c r="F6355" s="396">
        <v>29472</v>
      </c>
      <c r="G6355" s="396">
        <v>0</v>
      </c>
      <c r="H6355" t="s">
        <v>2431</v>
      </c>
      <c r="I6355" s="355" t="s">
        <v>131</v>
      </c>
      <c r="K6355"/>
      <c r="L6355" s="264"/>
      <c r="M6355" s="396"/>
      <c r="N6355" s="370"/>
    </row>
    <row r="6356" spans="1:14" s="347" customFormat="1" x14ac:dyDescent="0.25">
      <c r="A6356" s="350">
        <f t="shared" si="124"/>
        <v>44561</v>
      </c>
      <c r="B6356" s="403">
        <f t="shared" si="122"/>
        <v>12</v>
      </c>
      <c r="C6356" s="352">
        <v>141</v>
      </c>
      <c r="D6356" s="340" t="str">
        <f>VLOOKUP(C6356,Plan!A:B,2,0)</f>
        <v>Cuentas por Cobrar a Administración</v>
      </c>
      <c r="E6356" s="341">
        <f t="shared" si="123"/>
        <v>17000</v>
      </c>
      <c r="F6356" s="396">
        <v>17000</v>
      </c>
      <c r="G6356" s="396">
        <v>0</v>
      </c>
      <c r="H6356" t="s">
        <v>2123</v>
      </c>
      <c r="I6356" s="355" t="s">
        <v>131</v>
      </c>
      <c r="K6356"/>
      <c r="L6356" s="264"/>
      <c r="M6356" s="396"/>
      <c r="N6356" s="370"/>
    </row>
    <row r="6357" spans="1:14" s="347" customFormat="1" x14ac:dyDescent="0.25">
      <c r="A6357" s="350">
        <f t="shared" si="124"/>
        <v>44561</v>
      </c>
      <c r="B6357" s="403">
        <f t="shared" si="122"/>
        <v>12</v>
      </c>
      <c r="C6357" s="352">
        <v>141</v>
      </c>
      <c r="D6357" s="340" t="str">
        <f>VLOOKUP(C6357,Plan!A:B,2,0)</f>
        <v>Cuentas por Cobrar a Administración</v>
      </c>
      <c r="E6357" s="341">
        <f t="shared" si="123"/>
        <v>19648</v>
      </c>
      <c r="F6357" s="396">
        <v>19648</v>
      </c>
      <c r="G6357" s="396">
        <v>0</v>
      </c>
      <c r="H6357" t="s">
        <v>2506</v>
      </c>
      <c r="I6357" s="355" t="s">
        <v>131</v>
      </c>
      <c r="K6357"/>
      <c r="L6357" s="264"/>
      <c r="M6357" s="396"/>
      <c r="N6357" s="370"/>
    </row>
    <row r="6358" spans="1:14" s="347" customFormat="1" x14ac:dyDescent="0.25">
      <c r="A6358" s="350">
        <f t="shared" si="124"/>
        <v>44561</v>
      </c>
      <c r="B6358" s="403">
        <f t="shared" si="122"/>
        <v>12</v>
      </c>
      <c r="C6358" s="352">
        <v>141</v>
      </c>
      <c r="D6358" s="340" t="str">
        <f>VLOOKUP(C6358,Plan!A:B,2,0)</f>
        <v>Cuentas por Cobrar a Administración</v>
      </c>
      <c r="E6358" s="341">
        <f t="shared" si="123"/>
        <v>16700</v>
      </c>
      <c r="F6358" s="396">
        <v>16700</v>
      </c>
      <c r="G6358" s="396">
        <v>0</v>
      </c>
      <c r="H6358" t="s">
        <v>2460</v>
      </c>
      <c r="I6358" s="355" t="s">
        <v>131</v>
      </c>
      <c r="K6358"/>
      <c r="L6358" s="264"/>
      <c r="M6358" s="396"/>
      <c r="N6358" s="370"/>
    </row>
    <row r="6359" spans="1:14" s="347" customFormat="1" x14ac:dyDescent="0.25">
      <c r="A6359" s="350">
        <f>+A6358</f>
        <v>44561</v>
      </c>
      <c r="B6359" s="403">
        <f t="shared" si="122"/>
        <v>12</v>
      </c>
      <c r="C6359" s="352">
        <v>141</v>
      </c>
      <c r="D6359" s="340" t="str">
        <f>VLOOKUP(C6359,Plan!A:B,2,0)</f>
        <v>Cuentas por Cobrar a Administración</v>
      </c>
      <c r="E6359" s="341">
        <f t="shared" si="123"/>
        <v>21000</v>
      </c>
      <c r="F6359" s="396">
        <v>21000</v>
      </c>
      <c r="G6359" s="396">
        <v>0</v>
      </c>
      <c r="H6359" t="s">
        <v>1938</v>
      </c>
      <c r="I6359" s="355" t="s">
        <v>131</v>
      </c>
      <c r="K6359"/>
      <c r="L6359" s="264"/>
      <c r="M6359" s="396"/>
      <c r="N6359" s="370"/>
    </row>
    <row r="6360" spans="1:14" s="347" customFormat="1" x14ac:dyDescent="0.25">
      <c r="A6360" s="350">
        <f t="shared" ref="A6360:A6369" si="125">+A6358</f>
        <v>44561</v>
      </c>
      <c r="B6360" s="403">
        <f t="shared" si="122"/>
        <v>12</v>
      </c>
      <c r="C6360" s="352">
        <v>141</v>
      </c>
      <c r="D6360" s="340" t="str">
        <f>VLOOKUP(C6360,Plan!A:B,2,0)</f>
        <v>Cuentas por Cobrar a Administración</v>
      </c>
      <c r="E6360" s="341">
        <f t="shared" si="123"/>
        <v>15000</v>
      </c>
      <c r="F6360" s="396">
        <v>15000</v>
      </c>
      <c r="G6360" s="396">
        <v>0</v>
      </c>
      <c r="H6360" t="s">
        <v>688</v>
      </c>
      <c r="I6360" s="355" t="s">
        <v>131</v>
      </c>
      <c r="K6360"/>
      <c r="L6360" s="264"/>
      <c r="M6360" s="396"/>
      <c r="N6360" s="370"/>
    </row>
    <row r="6361" spans="1:14" s="347" customFormat="1" x14ac:dyDescent="0.25">
      <c r="A6361" s="350">
        <f t="shared" si="125"/>
        <v>44561</v>
      </c>
      <c r="B6361" s="403">
        <f t="shared" si="122"/>
        <v>12</v>
      </c>
      <c r="C6361" s="352">
        <v>141</v>
      </c>
      <c r="D6361" s="340" t="str">
        <f>VLOOKUP(C6361,Plan!A:B,2,0)</f>
        <v>Cuentas por Cobrar a Administración</v>
      </c>
      <c r="E6361" s="341">
        <f t="shared" si="123"/>
        <v>9824</v>
      </c>
      <c r="F6361" s="396">
        <v>9824</v>
      </c>
      <c r="G6361" s="396">
        <v>0</v>
      </c>
      <c r="H6361" t="s">
        <v>2461</v>
      </c>
      <c r="I6361" s="355" t="s">
        <v>131</v>
      </c>
      <c r="K6361"/>
      <c r="L6361" s="264"/>
      <c r="M6361" s="396"/>
      <c r="N6361" s="370"/>
    </row>
    <row r="6362" spans="1:14" s="347" customFormat="1" x14ac:dyDescent="0.25">
      <c r="A6362" s="350">
        <f t="shared" si="125"/>
        <v>44561</v>
      </c>
      <c r="B6362" s="403">
        <f t="shared" si="122"/>
        <v>12</v>
      </c>
      <c r="C6362" s="352">
        <v>141</v>
      </c>
      <c r="D6362" s="340" t="str">
        <f>VLOOKUP(C6362,Plan!A:B,2,0)</f>
        <v>Cuentas por Cobrar a Administración</v>
      </c>
      <c r="E6362" s="341">
        <f t="shared" si="123"/>
        <v>49119</v>
      </c>
      <c r="F6362" s="396">
        <v>49119</v>
      </c>
      <c r="G6362" s="396">
        <v>0</v>
      </c>
      <c r="H6362" t="s">
        <v>2462</v>
      </c>
      <c r="I6362" s="355" t="s">
        <v>131</v>
      </c>
      <c r="K6362"/>
      <c r="L6362" s="264"/>
      <c r="M6362" s="396"/>
      <c r="N6362" s="370"/>
    </row>
    <row r="6363" spans="1:14" s="347" customFormat="1" x14ac:dyDescent="0.25">
      <c r="A6363" s="350">
        <f t="shared" si="125"/>
        <v>44561</v>
      </c>
      <c r="B6363" s="403">
        <f t="shared" si="122"/>
        <v>12</v>
      </c>
      <c r="C6363" s="352">
        <v>141</v>
      </c>
      <c r="D6363" s="340" t="str">
        <f>VLOOKUP(C6363,Plan!A:B,2,0)</f>
        <v>Cuentas por Cobrar a Administración</v>
      </c>
      <c r="E6363" s="341">
        <f t="shared" si="123"/>
        <v>9824</v>
      </c>
      <c r="F6363" s="396">
        <v>9824</v>
      </c>
      <c r="G6363" s="396">
        <v>0</v>
      </c>
      <c r="H6363" t="s">
        <v>2198</v>
      </c>
      <c r="I6363" s="355" t="s">
        <v>131</v>
      </c>
      <c r="K6363"/>
      <c r="L6363" s="264"/>
      <c r="M6363" s="396"/>
      <c r="N6363" s="370"/>
    </row>
    <row r="6364" spans="1:14" s="347" customFormat="1" x14ac:dyDescent="0.25">
      <c r="A6364" s="350">
        <f t="shared" si="125"/>
        <v>44561</v>
      </c>
      <c r="B6364" s="403">
        <f t="shared" si="122"/>
        <v>12</v>
      </c>
      <c r="C6364" s="352">
        <v>141</v>
      </c>
      <c r="D6364" s="340" t="str">
        <f>VLOOKUP(C6364,Plan!A:B,2,0)</f>
        <v>Cuentas por Cobrar a Administración</v>
      </c>
      <c r="E6364" s="341">
        <f t="shared" si="123"/>
        <v>100000</v>
      </c>
      <c r="F6364" s="396">
        <v>100000</v>
      </c>
      <c r="G6364" s="396">
        <v>0</v>
      </c>
      <c r="H6364" t="s">
        <v>2501</v>
      </c>
      <c r="I6364" s="355" t="s">
        <v>131</v>
      </c>
      <c r="K6364"/>
      <c r="L6364" s="264"/>
      <c r="M6364" s="396"/>
      <c r="N6364" s="370"/>
    </row>
    <row r="6365" spans="1:14" s="347" customFormat="1" x14ac:dyDescent="0.25">
      <c r="A6365" s="350">
        <f t="shared" si="125"/>
        <v>44561</v>
      </c>
      <c r="B6365" s="403">
        <f t="shared" si="122"/>
        <v>12</v>
      </c>
      <c r="C6365" s="352">
        <v>141</v>
      </c>
      <c r="D6365" s="340" t="str">
        <f>VLOOKUP(C6365,Plan!A:B,2,0)</f>
        <v>Cuentas por Cobrar a Administración</v>
      </c>
      <c r="E6365" s="341">
        <f t="shared" si="123"/>
        <v>60000</v>
      </c>
      <c r="F6365" s="396">
        <v>60000</v>
      </c>
      <c r="G6365" s="396">
        <v>0</v>
      </c>
      <c r="H6365" t="s">
        <v>2217</v>
      </c>
      <c r="I6365" s="355" t="s">
        <v>131</v>
      </c>
      <c r="K6365"/>
      <c r="L6365" s="264"/>
      <c r="M6365" s="396"/>
      <c r="N6365" s="370"/>
    </row>
    <row r="6366" spans="1:14" s="347" customFormat="1" x14ac:dyDescent="0.25">
      <c r="A6366" s="350">
        <f t="shared" si="125"/>
        <v>44561</v>
      </c>
      <c r="B6366" s="403">
        <f t="shared" si="122"/>
        <v>12</v>
      </c>
      <c r="C6366" s="352">
        <v>141</v>
      </c>
      <c r="D6366" s="340" t="str">
        <f>VLOOKUP(C6366,Plan!A:B,2,0)</f>
        <v>Cuentas por Cobrar a Administración</v>
      </c>
      <c r="E6366" s="341">
        <f t="shared" si="123"/>
        <v>9824</v>
      </c>
      <c r="F6366" s="396">
        <v>9824</v>
      </c>
      <c r="G6366" s="396">
        <v>0</v>
      </c>
      <c r="H6366" t="s">
        <v>2459</v>
      </c>
      <c r="I6366" s="355" t="s">
        <v>131</v>
      </c>
      <c r="K6366"/>
      <c r="L6366" s="264"/>
      <c r="M6366" s="396"/>
      <c r="N6366" s="370"/>
    </row>
    <row r="6367" spans="1:14" s="347" customFormat="1" x14ac:dyDescent="0.25">
      <c r="A6367" s="350">
        <f t="shared" si="125"/>
        <v>44561</v>
      </c>
      <c r="B6367" s="403">
        <f t="shared" si="122"/>
        <v>12</v>
      </c>
      <c r="C6367" s="352">
        <v>141</v>
      </c>
      <c r="D6367" s="340" t="str">
        <f>VLOOKUP(C6367,Plan!A:B,2,0)</f>
        <v>Cuentas por Cobrar a Administración</v>
      </c>
      <c r="E6367" s="341">
        <f t="shared" si="123"/>
        <v>30000</v>
      </c>
      <c r="F6367" s="396">
        <v>30000</v>
      </c>
      <c r="G6367" s="396">
        <v>0</v>
      </c>
      <c r="H6367" t="s">
        <v>675</v>
      </c>
      <c r="I6367" s="355" t="s">
        <v>131</v>
      </c>
      <c r="K6367"/>
      <c r="L6367" s="264"/>
      <c r="M6367" s="396"/>
      <c r="N6367" s="370"/>
    </row>
    <row r="6368" spans="1:14" s="347" customFormat="1" x14ac:dyDescent="0.25">
      <c r="A6368" s="350">
        <f t="shared" si="125"/>
        <v>44561</v>
      </c>
      <c r="B6368" s="403">
        <f t="shared" si="122"/>
        <v>12</v>
      </c>
      <c r="C6368" s="352">
        <v>1216</v>
      </c>
      <c r="D6368" s="340" t="str">
        <f>VLOOKUP(C6368,Plan!A:B,2,0)</f>
        <v>Otros Valores Recaudadoras</v>
      </c>
      <c r="E6368" s="341">
        <f t="shared" si="123"/>
        <v>-30000</v>
      </c>
      <c r="F6368" s="396">
        <v>0</v>
      </c>
      <c r="G6368" s="396">
        <v>30000</v>
      </c>
      <c r="H6368" t="s">
        <v>1641</v>
      </c>
      <c r="I6368" s="355" t="s">
        <v>131</v>
      </c>
      <c r="K6368"/>
      <c r="L6368" s="264"/>
      <c r="M6368" s="396"/>
      <c r="N6368" s="370"/>
    </row>
    <row r="6369" spans="1:14" s="347" customFormat="1" x14ac:dyDescent="0.25">
      <c r="A6369" s="350">
        <f t="shared" si="125"/>
        <v>44561</v>
      </c>
      <c r="B6369" s="403">
        <f t="shared" si="122"/>
        <v>12</v>
      </c>
      <c r="C6369" s="352">
        <v>3210</v>
      </c>
      <c r="D6369" s="340" t="str">
        <f>VLOOKUP(C6369,Plan!A:B,2,0)</f>
        <v>Donacion Construccion</v>
      </c>
      <c r="E6369" s="341">
        <f t="shared" si="123"/>
        <v>-3000000</v>
      </c>
      <c r="F6369" s="396">
        <v>0</v>
      </c>
      <c r="G6369" s="396">
        <v>3000000</v>
      </c>
      <c r="H6369" t="s">
        <v>2438</v>
      </c>
      <c r="I6369" s="355" t="s">
        <v>131</v>
      </c>
      <c r="K6369"/>
      <c r="L6369" s="264"/>
      <c r="M6369" s="396"/>
      <c r="N6369" s="370"/>
    </row>
    <row r="6370" spans="1:14" s="347" customFormat="1" x14ac:dyDescent="0.25">
      <c r="A6370" s="350">
        <f>+A6369</f>
        <v>44561</v>
      </c>
      <c r="B6370" s="403">
        <f t="shared" si="122"/>
        <v>12</v>
      </c>
      <c r="C6370" s="352">
        <v>1222</v>
      </c>
      <c r="D6370" s="340" t="str">
        <f>VLOOKUP(C6370,Plan!A:B,2,0)</f>
        <v>Otros Valores -Oficina y Transferencias (249)</v>
      </c>
      <c r="E6370" s="341">
        <f t="shared" si="123"/>
        <v>-8000</v>
      </c>
      <c r="F6370" s="396">
        <v>0</v>
      </c>
      <c r="G6370" s="396">
        <v>8000</v>
      </c>
      <c r="H6370" t="s">
        <v>2439</v>
      </c>
      <c r="I6370" s="355" t="s">
        <v>131</v>
      </c>
      <c r="K6370" s="370"/>
      <c r="N6370" s="370"/>
    </row>
    <row r="6371" spans="1:14" s="347" customFormat="1" x14ac:dyDescent="0.25">
      <c r="A6371" s="350">
        <f>+A6370</f>
        <v>44561</v>
      </c>
      <c r="B6371" s="403">
        <f t="shared" si="122"/>
        <v>12</v>
      </c>
      <c r="C6371" s="352">
        <v>3210</v>
      </c>
      <c r="D6371" s="340" t="str">
        <f>VLOOKUP(C6371,Plan!A:B,2,0)</f>
        <v>Donacion Construccion</v>
      </c>
      <c r="E6371" s="341">
        <f t="shared" si="123"/>
        <v>-20000</v>
      </c>
      <c r="F6371" s="396">
        <v>0</v>
      </c>
      <c r="G6371" s="396">
        <v>20000</v>
      </c>
      <c r="H6371" t="s">
        <v>1236</v>
      </c>
      <c r="I6371" s="355" t="s">
        <v>131</v>
      </c>
      <c r="K6371" s="370"/>
      <c r="N6371" s="370"/>
    </row>
    <row r="6372" spans="1:14" s="347" customFormat="1" x14ac:dyDescent="0.25">
      <c r="A6372" s="350">
        <f>+A6371</f>
        <v>44561</v>
      </c>
      <c r="B6372" s="403">
        <f t="shared" si="122"/>
        <v>12</v>
      </c>
      <c r="C6372" s="352">
        <v>1222</v>
      </c>
      <c r="D6372" s="340" t="str">
        <f>VLOOKUP(C6372,Plan!A:B,2,0)</f>
        <v>Otros Valores -Oficina y Transferencias (249)</v>
      </c>
      <c r="E6372" s="341">
        <f t="shared" si="123"/>
        <v>-40000</v>
      </c>
      <c r="F6372" s="396">
        <v>0</v>
      </c>
      <c r="G6372" s="396">
        <v>40000</v>
      </c>
      <c r="H6372" s="312" t="s">
        <v>1631</v>
      </c>
      <c r="I6372" s="355" t="s">
        <v>131</v>
      </c>
      <c r="K6372" s="370"/>
      <c r="N6372" s="370"/>
    </row>
    <row r="6373" spans="1:14" s="347" customFormat="1" x14ac:dyDescent="0.25">
      <c r="A6373" s="350">
        <f>+A6370</f>
        <v>44561</v>
      </c>
      <c r="B6373" s="403">
        <f t="shared" si="122"/>
        <v>12</v>
      </c>
      <c r="C6373" s="352">
        <v>3210</v>
      </c>
      <c r="D6373" s="340" t="str">
        <f>VLOOKUP(C6373,Plan!A:B,2,0)</f>
        <v>Donacion Construccion</v>
      </c>
      <c r="E6373" s="341">
        <f t="shared" si="123"/>
        <v>-50000</v>
      </c>
      <c r="F6373" s="396">
        <v>0</v>
      </c>
      <c r="G6373" s="396">
        <v>50000</v>
      </c>
      <c r="H6373" s="312" t="s">
        <v>733</v>
      </c>
      <c r="I6373" s="355" t="s">
        <v>131</v>
      </c>
      <c r="K6373" s="370"/>
      <c r="N6373" s="370"/>
    </row>
    <row r="6374" spans="1:14" s="347" customFormat="1" x14ac:dyDescent="0.25">
      <c r="A6374" s="350">
        <f>+A6372</f>
        <v>44561</v>
      </c>
      <c r="B6374" s="403">
        <f t="shared" si="122"/>
        <v>12</v>
      </c>
      <c r="C6374" s="352">
        <v>1222</v>
      </c>
      <c r="D6374" s="340" t="str">
        <f>VLOOKUP(C6374,Plan!A:B,2,0)</f>
        <v>Otros Valores -Oficina y Transferencias (249)</v>
      </c>
      <c r="E6374" s="341">
        <f t="shared" si="123"/>
        <v>-50000</v>
      </c>
      <c r="F6374" s="396">
        <v>0</v>
      </c>
      <c r="G6374" s="396">
        <v>50000</v>
      </c>
      <c r="H6374" t="s">
        <v>743</v>
      </c>
      <c r="I6374" s="355" t="s">
        <v>131</v>
      </c>
      <c r="K6374" s="370"/>
      <c r="N6374" s="370"/>
    </row>
    <row r="6375" spans="1:14" s="347" customFormat="1" x14ac:dyDescent="0.25">
      <c r="A6375" s="350">
        <f>+A6373</f>
        <v>44561</v>
      </c>
      <c r="B6375" s="403">
        <f t="shared" si="122"/>
        <v>12</v>
      </c>
      <c r="C6375" s="352">
        <v>204</v>
      </c>
      <c r="D6375" s="340" t="str">
        <f>VLOOKUP(C6375,Plan!A:B,2,0)</f>
        <v>Retención Honorarios Cali</v>
      </c>
      <c r="E6375" s="341">
        <f t="shared" si="123"/>
        <v>46739</v>
      </c>
      <c r="F6375" s="396">
        <v>46739</v>
      </c>
      <c r="G6375" s="396">
        <v>0</v>
      </c>
      <c r="H6375" t="s">
        <v>2441</v>
      </c>
      <c r="I6375" s="355" t="s">
        <v>131</v>
      </c>
      <c r="K6375" s="370"/>
      <c r="N6375" s="370"/>
    </row>
    <row r="6376" spans="1:14" s="347" customFormat="1" x14ac:dyDescent="0.25">
      <c r="A6376" s="350">
        <f>+A6375</f>
        <v>44561</v>
      </c>
      <c r="B6376" s="403">
        <f t="shared" si="122"/>
        <v>12</v>
      </c>
      <c r="C6376" s="352">
        <v>3210</v>
      </c>
      <c r="D6376" s="340" t="str">
        <f>VLOOKUP(C6376,Plan!A:B,2,0)</f>
        <v>Donacion Construccion</v>
      </c>
      <c r="E6376" s="341">
        <f t="shared" si="123"/>
        <v>-15000</v>
      </c>
      <c r="F6376" s="396">
        <v>0</v>
      </c>
      <c r="G6376" s="396">
        <v>15000</v>
      </c>
      <c r="H6376" t="s">
        <v>1440</v>
      </c>
      <c r="I6376" s="355" t="s">
        <v>131</v>
      </c>
      <c r="K6376" s="370"/>
      <c r="N6376" s="370"/>
    </row>
    <row r="6377" spans="1:14" s="347" customFormat="1" x14ac:dyDescent="0.25">
      <c r="A6377" s="350">
        <f t="shared" ref="A6377:A6384" si="126">+A6375</f>
        <v>44561</v>
      </c>
      <c r="B6377" s="403">
        <f t="shared" si="122"/>
        <v>12</v>
      </c>
      <c r="C6377" s="352">
        <v>1222</v>
      </c>
      <c r="D6377" s="340" t="str">
        <f>VLOOKUP(C6377,Plan!A:B,2,0)</f>
        <v>Otros Valores -Oficina y Transferencias (249)</v>
      </c>
      <c r="E6377" s="341">
        <f t="shared" si="123"/>
        <v>-30000</v>
      </c>
      <c r="F6377" s="396">
        <v>0</v>
      </c>
      <c r="G6377" s="396">
        <v>30000</v>
      </c>
      <c r="H6377" t="s">
        <v>2443</v>
      </c>
      <c r="I6377" s="355" t="s">
        <v>131</v>
      </c>
      <c r="K6377" s="370"/>
      <c r="N6377" s="370"/>
    </row>
    <row r="6378" spans="1:14" s="347" customFormat="1" x14ac:dyDescent="0.25">
      <c r="A6378" s="350">
        <f t="shared" si="126"/>
        <v>44561</v>
      </c>
      <c r="B6378" s="403">
        <f t="shared" si="122"/>
        <v>12</v>
      </c>
      <c r="C6378" s="352">
        <v>1222</v>
      </c>
      <c r="D6378" s="340" t="str">
        <f>VLOOKUP(C6378,Plan!A:B,2,0)</f>
        <v>Otros Valores -Oficina y Transferencias (249)</v>
      </c>
      <c r="E6378" s="341">
        <f t="shared" si="123"/>
        <v>-30000</v>
      </c>
      <c r="F6378" s="396">
        <v>0</v>
      </c>
      <c r="G6378" s="396">
        <v>30000</v>
      </c>
      <c r="H6378" t="s">
        <v>2431</v>
      </c>
      <c r="I6378" s="355" t="s">
        <v>131</v>
      </c>
      <c r="K6378" s="370"/>
      <c r="N6378" s="370"/>
    </row>
    <row r="6379" spans="1:14" s="347" customFormat="1" x14ac:dyDescent="0.25">
      <c r="A6379" s="350">
        <f t="shared" si="126"/>
        <v>44561</v>
      </c>
      <c r="B6379" s="403">
        <f t="shared" si="122"/>
        <v>12</v>
      </c>
      <c r="C6379" s="352">
        <v>1222</v>
      </c>
      <c r="D6379" s="340" t="str">
        <f>VLOOKUP(C6379,Plan!A:B,2,0)</f>
        <v>Otros Valores -Oficina y Transferencias (249)</v>
      </c>
      <c r="E6379" s="341">
        <f t="shared" si="123"/>
        <v>-17000</v>
      </c>
      <c r="F6379" s="396">
        <v>0</v>
      </c>
      <c r="G6379" s="396">
        <v>17000</v>
      </c>
      <c r="H6379" t="s">
        <v>2123</v>
      </c>
      <c r="I6379" s="355" t="s">
        <v>131</v>
      </c>
      <c r="K6379" s="370"/>
      <c r="N6379" s="370"/>
    </row>
    <row r="6380" spans="1:14" s="347" customFormat="1" x14ac:dyDescent="0.25">
      <c r="A6380" s="350">
        <f t="shared" si="126"/>
        <v>44561</v>
      </c>
      <c r="B6380" s="403">
        <f t="shared" si="122"/>
        <v>12</v>
      </c>
      <c r="C6380" s="352">
        <v>1222</v>
      </c>
      <c r="D6380" s="340" t="str">
        <f>VLOOKUP(C6380,Plan!A:B,2,0)</f>
        <v>Otros Valores -Oficina y Transferencias (249)</v>
      </c>
      <c r="E6380" s="341">
        <f t="shared" si="123"/>
        <v>-20000</v>
      </c>
      <c r="F6380" s="396">
        <v>0</v>
      </c>
      <c r="G6380" s="396">
        <v>20000</v>
      </c>
      <c r="H6380" t="s">
        <v>2506</v>
      </c>
      <c r="I6380" s="355" t="s">
        <v>131</v>
      </c>
      <c r="K6380" s="370"/>
      <c r="N6380" s="370"/>
    </row>
    <row r="6381" spans="1:14" s="347" customFormat="1" x14ac:dyDescent="0.25">
      <c r="A6381" s="350">
        <f t="shared" si="126"/>
        <v>44561</v>
      </c>
      <c r="B6381" s="403">
        <f t="shared" si="122"/>
        <v>12</v>
      </c>
      <c r="C6381" s="352">
        <v>1222</v>
      </c>
      <c r="D6381" s="340" t="str">
        <f>VLOOKUP(C6381,Plan!A:B,2,0)</f>
        <v>Otros Valores -Oficina y Transferencias (249)</v>
      </c>
      <c r="E6381" s="341">
        <f t="shared" si="123"/>
        <v>-17000</v>
      </c>
      <c r="F6381" s="396">
        <v>0</v>
      </c>
      <c r="G6381" s="396">
        <v>17000</v>
      </c>
      <c r="H6381" t="s">
        <v>2460</v>
      </c>
      <c r="I6381" s="355" t="s">
        <v>131</v>
      </c>
      <c r="K6381" s="370"/>
      <c r="N6381" s="370"/>
    </row>
    <row r="6382" spans="1:14" s="347" customFormat="1" x14ac:dyDescent="0.25">
      <c r="A6382" s="350">
        <f>+A6379</f>
        <v>44561</v>
      </c>
      <c r="B6382" s="403">
        <f t="shared" si="122"/>
        <v>12</v>
      </c>
      <c r="C6382" s="352">
        <v>1217</v>
      </c>
      <c r="D6382" s="340" t="str">
        <f>VLOOKUP(C6382,Plan!A:B,2,0)</f>
        <v>Otros Valores -Oficina y Transferencias (248)</v>
      </c>
      <c r="E6382" s="341">
        <f t="shared" si="123"/>
        <v>-21000</v>
      </c>
      <c r="F6382" s="396">
        <v>0</v>
      </c>
      <c r="G6382" s="396">
        <v>21000</v>
      </c>
      <c r="H6382" t="s">
        <v>1938</v>
      </c>
      <c r="I6382" s="355" t="s">
        <v>131</v>
      </c>
      <c r="K6382" s="370"/>
      <c r="N6382" s="370"/>
    </row>
    <row r="6383" spans="1:14" s="347" customFormat="1" x14ac:dyDescent="0.25">
      <c r="A6383" s="350">
        <f>+A6380</f>
        <v>44561</v>
      </c>
      <c r="B6383" s="403">
        <f t="shared" si="122"/>
        <v>12</v>
      </c>
      <c r="C6383" s="352">
        <v>1222</v>
      </c>
      <c r="D6383" s="340" t="str">
        <f>VLOOKUP(C6383,Plan!A:B,2,0)</f>
        <v>Otros Valores -Oficina y Transferencias (249)</v>
      </c>
      <c r="E6383" s="341">
        <f t="shared" si="123"/>
        <v>-15000</v>
      </c>
      <c r="F6383" s="396">
        <v>0</v>
      </c>
      <c r="G6383" s="396">
        <v>15000</v>
      </c>
      <c r="H6383" t="s">
        <v>688</v>
      </c>
      <c r="I6383" s="355" t="s">
        <v>131</v>
      </c>
      <c r="K6383" s="370"/>
      <c r="N6383" s="370"/>
    </row>
    <row r="6384" spans="1:14" s="347" customFormat="1" x14ac:dyDescent="0.25">
      <c r="A6384" s="350">
        <f t="shared" si="126"/>
        <v>44561</v>
      </c>
      <c r="B6384" s="403">
        <f t="shared" si="122"/>
        <v>12</v>
      </c>
      <c r="C6384" s="352">
        <v>1222</v>
      </c>
      <c r="D6384" s="340" t="str">
        <f>VLOOKUP(C6384,Plan!A:B,2,0)</f>
        <v>Otros Valores -Oficina y Transferencias (249)</v>
      </c>
      <c r="E6384" s="341">
        <f t="shared" si="123"/>
        <v>-10000</v>
      </c>
      <c r="F6384" s="396">
        <v>0</v>
      </c>
      <c r="G6384" s="396">
        <v>10000</v>
      </c>
      <c r="H6384" t="s">
        <v>2461</v>
      </c>
      <c r="I6384" s="355" t="s">
        <v>131</v>
      </c>
      <c r="K6384" s="370"/>
      <c r="N6384" s="370"/>
    </row>
    <row r="6385" spans="1:14" s="347" customFormat="1" x14ac:dyDescent="0.25">
      <c r="A6385" s="350">
        <f>+A6384</f>
        <v>44561</v>
      </c>
      <c r="B6385" s="403">
        <f t="shared" si="122"/>
        <v>12</v>
      </c>
      <c r="C6385" s="352">
        <v>1222</v>
      </c>
      <c r="D6385" s="340" t="str">
        <f>VLOOKUP(C6385,Plan!A:B,2,0)</f>
        <v>Otros Valores -Oficina y Transferencias (249)</v>
      </c>
      <c r="E6385" s="341">
        <f t="shared" si="123"/>
        <v>-50000</v>
      </c>
      <c r="F6385" s="396">
        <v>0</v>
      </c>
      <c r="G6385" s="396">
        <v>50000</v>
      </c>
      <c r="H6385" t="s">
        <v>2462</v>
      </c>
      <c r="I6385" s="355" t="s">
        <v>131</v>
      </c>
      <c r="K6385" s="370"/>
      <c r="N6385" s="370"/>
    </row>
    <row r="6386" spans="1:14" s="347" customFormat="1" x14ac:dyDescent="0.25">
      <c r="A6386" s="350">
        <f>+A6385</f>
        <v>44561</v>
      </c>
      <c r="B6386" s="403">
        <f t="shared" si="122"/>
        <v>12</v>
      </c>
      <c r="C6386" s="352">
        <v>1222</v>
      </c>
      <c r="D6386" s="340" t="str">
        <f>VLOOKUP(C6386,Plan!A:B,2,0)</f>
        <v>Otros Valores -Oficina y Transferencias (249)</v>
      </c>
      <c r="E6386" s="341">
        <f t="shared" si="123"/>
        <v>-10000</v>
      </c>
      <c r="F6386" s="396">
        <v>0</v>
      </c>
      <c r="G6386" s="396">
        <v>10000</v>
      </c>
      <c r="H6386" t="s">
        <v>2198</v>
      </c>
      <c r="I6386" s="355" t="s">
        <v>131</v>
      </c>
      <c r="K6386" s="370"/>
      <c r="N6386" s="370"/>
    </row>
    <row r="6387" spans="1:14" s="347" customFormat="1" x14ac:dyDescent="0.25">
      <c r="A6387" s="350">
        <f>+A6384</f>
        <v>44561</v>
      </c>
      <c r="B6387" s="403">
        <f t="shared" si="122"/>
        <v>12</v>
      </c>
      <c r="C6387" s="352">
        <v>3210</v>
      </c>
      <c r="D6387" s="340" t="str">
        <f>VLOOKUP(C6387,Plan!A:B,2,0)</f>
        <v>Donacion Construccion</v>
      </c>
      <c r="E6387" s="341">
        <f t="shared" si="123"/>
        <v>-100000</v>
      </c>
      <c r="F6387" s="396">
        <v>0</v>
      </c>
      <c r="G6387" s="396">
        <v>100000</v>
      </c>
      <c r="H6387" t="s">
        <v>2501</v>
      </c>
      <c r="I6387" s="355" t="s">
        <v>131</v>
      </c>
      <c r="K6387" s="370"/>
      <c r="N6387" s="370"/>
    </row>
    <row r="6388" spans="1:14" s="347" customFormat="1" x14ac:dyDescent="0.25">
      <c r="A6388" s="350">
        <f>+A6385</f>
        <v>44561</v>
      </c>
      <c r="B6388" s="403">
        <f t="shared" si="122"/>
        <v>12</v>
      </c>
      <c r="C6388" s="352">
        <v>1222</v>
      </c>
      <c r="D6388" s="340" t="str">
        <f>VLOOKUP(C6388,Plan!A:B,2,0)</f>
        <v>Otros Valores -Oficina y Transferencias (249)</v>
      </c>
      <c r="E6388" s="341">
        <f t="shared" si="123"/>
        <v>-60000</v>
      </c>
      <c r="F6388" s="396">
        <v>0</v>
      </c>
      <c r="G6388" s="396">
        <v>60000</v>
      </c>
      <c r="H6388" t="s">
        <v>2217</v>
      </c>
      <c r="I6388" s="355" t="s">
        <v>131</v>
      </c>
      <c r="K6388" s="370"/>
      <c r="N6388" s="370"/>
    </row>
    <row r="6389" spans="1:14" s="347" customFormat="1" x14ac:dyDescent="0.25">
      <c r="A6389" s="350">
        <f>+A6385</f>
        <v>44561</v>
      </c>
      <c r="B6389" s="403">
        <f t="shared" si="122"/>
        <v>12</v>
      </c>
      <c r="C6389" s="352">
        <v>1222</v>
      </c>
      <c r="D6389" s="340" t="str">
        <f>VLOOKUP(C6389,Plan!A:B,2,0)</f>
        <v>Otros Valores -Oficina y Transferencias (249)</v>
      </c>
      <c r="E6389" s="341">
        <f t="shared" si="123"/>
        <v>-10000</v>
      </c>
      <c r="F6389" s="396">
        <v>0</v>
      </c>
      <c r="G6389" s="396">
        <v>10000</v>
      </c>
      <c r="H6389" t="s">
        <v>2459</v>
      </c>
      <c r="I6389" s="355" t="s">
        <v>131</v>
      </c>
      <c r="K6389" s="370"/>
      <c r="N6389" s="370"/>
    </row>
    <row r="6390" spans="1:14" s="347" customFormat="1" x14ac:dyDescent="0.25">
      <c r="A6390" s="350">
        <f>+A6386</f>
        <v>44561</v>
      </c>
      <c r="B6390" s="403">
        <f t="shared" si="122"/>
        <v>12</v>
      </c>
      <c r="C6390" s="352">
        <v>1222</v>
      </c>
      <c r="D6390" s="340" t="str">
        <f>VLOOKUP(C6390,Plan!A:B,2,0)</f>
        <v>Otros Valores -Oficina y Transferencias (249)</v>
      </c>
      <c r="E6390" s="341">
        <f t="shared" si="123"/>
        <v>-30000</v>
      </c>
      <c r="F6390" s="396">
        <v>0</v>
      </c>
      <c r="G6390" s="396">
        <v>30000</v>
      </c>
      <c r="H6390" t="s">
        <v>675</v>
      </c>
      <c r="I6390" s="355" t="s">
        <v>131</v>
      </c>
      <c r="K6390" s="370"/>
      <c r="N6390" s="370"/>
    </row>
    <row r="6391" spans="1:14" s="347" customFormat="1" x14ac:dyDescent="0.25">
      <c r="A6391" s="350">
        <f>+A6387</f>
        <v>44561</v>
      </c>
      <c r="B6391" s="403">
        <f t="shared" ref="B6391" si="127">+MONTH(A6391)</f>
        <v>12</v>
      </c>
      <c r="C6391" s="352">
        <v>4170</v>
      </c>
      <c r="D6391" s="340" t="str">
        <f>VLOOKUP(C6391,Plan!A:B,2,0)</f>
        <v>Cali otros</v>
      </c>
      <c r="E6391" s="341">
        <f t="shared" ref="E6391" si="128">+F6391-G6391</f>
        <v>140</v>
      </c>
      <c r="F6391" s="396">
        <v>140</v>
      </c>
      <c r="G6391" s="396">
        <v>0</v>
      </c>
      <c r="H6391" t="s">
        <v>2439</v>
      </c>
      <c r="I6391" s="355" t="s">
        <v>131</v>
      </c>
      <c r="K6391" s="370"/>
      <c r="N6391" s="370"/>
    </row>
    <row r="6392" spans="1:14" s="347" customFormat="1" x14ac:dyDescent="0.25">
      <c r="A6392" s="350">
        <f t="shared" ref="A6392:A6398" si="129">+A6388</f>
        <v>44561</v>
      </c>
      <c r="B6392" s="403">
        <f t="shared" ref="B6392:B6396" si="130">+MONTH(A6392)</f>
        <v>12</v>
      </c>
      <c r="C6392" s="352">
        <v>4170</v>
      </c>
      <c r="D6392" s="340" t="str">
        <f>VLOOKUP(C6392,Plan!A:B,2,0)</f>
        <v>Cali otros</v>
      </c>
      <c r="E6392" s="341">
        <f t="shared" ref="E6392:E6396" si="131">+F6392-G6392</f>
        <v>528</v>
      </c>
      <c r="F6392" s="396">
        <v>528</v>
      </c>
      <c r="G6392" s="396">
        <v>0</v>
      </c>
      <c r="H6392" t="s">
        <v>2431</v>
      </c>
      <c r="I6392" s="355" t="s">
        <v>131</v>
      </c>
      <c r="K6392" s="370"/>
      <c r="N6392" s="370"/>
    </row>
    <row r="6393" spans="1:14" s="347" customFormat="1" x14ac:dyDescent="0.25">
      <c r="A6393" s="350">
        <f t="shared" si="129"/>
        <v>44561</v>
      </c>
      <c r="B6393" s="403">
        <f t="shared" si="130"/>
        <v>12</v>
      </c>
      <c r="C6393" s="352">
        <v>4170</v>
      </c>
      <c r="D6393" s="340" t="str">
        <f>VLOOKUP(C6393,Plan!A:B,2,0)</f>
        <v>Cali otros</v>
      </c>
      <c r="E6393" s="341">
        <f t="shared" si="131"/>
        <v>352</v>
      </c>
      <c r="F6393" s="396">
        <v>352</v>
      </c>
      <c r="G6393" s="396">
        <v>0</v>
      </c>
      <c r="H6393" t="s">
        <v>2506</v>
      </c>
      <c r="I6393" s="355" t="s">
        <v>131</v>
      </c>
      <c r="K6393" s="370"/>
      <c r="N6393" s="370"/>
    </row>
    <row r="6394" spans="1:14" s="347" customFormat="1" x14ac:dyDescent="0.25">
      <c r="A6394" s="350">
        <f t="shared" si="129"/>
        <v>44561</v>
      </c>
      <c r="B6394" s="403">
        <f t="shared" si="130"/>
        <v>12</v>
      </c>
      <c r="C6394" s="352">
        <v>4170</v>
      </c>
      <c r="D6394" s="340" t="str">
        <f>VLOOKUP(C6394,Plan!A:B,2,0)</f>
        <v>Cali otros</v>
      </c>
      <c r="E6394" s="341">
        <f t="shared" si="131"/>
        <v>300</v>
      </c>
      <c r="F6394" s="396">
        <v>300</v>
      </c>
      <c r="G6394" s="396">
        <v>0</v>
      </c>
      <c r="H6394" t="s">
        <v>2460</v>
      </c>
      <c r="I6394" s="355" t="s">
        <v>131</v>
      </c>
      <c r="K6394" s="370"/>
      <c r="N6394" s="370"/>
    </row>
    <row r="6395" spans="1:14" s="347" customFormat="1" x14ac:dyDescent="0.25">
      <c r="A6395" s="350">
        <f t="shared" si="129"/>
        <v>44561</v>
      </c>
      <c r="B6395" s="403">
        <f t="shared" si="130"/>
        <v>12</v>
      </c>
      <c r="C6395" s="352">
        <v>4170</v>
      </c>
      <c r="D6395" s="340" t="str">
        <f>VLOOKUP(C6395,Plan!A:B,2,0)</f>
        <v>Cali otros</v>
      </c>
      <c r="E6395" s="341">
        <f t="shared" si="131"/>
        <v>176</v>
      </c>
      <c r="F6395" s="396">
        <v>176</v>
      </c>
      <c r="G6395" s="396">
        <v>0</v>
      </c>
      <c r="H6395" t="s">
        <v>2461</v>
      </c>
      <c r="I6395" s="355" t="s">
        <v>131</v>
      </c>
      <c r="K6395" s="370"/>
      <c r="N6395" s="370"/>
    </row>
    <row r="6396" spans="1:14" s="347" customFormat="1" x14ac:dyDescent="0.25">
      <c r="A6396" s="350">
        <f t="shared" si="129"/>
        <v>44561</v>
      </c>
      <c r="B6396" s="403">
        <f t="shared" si="130"/>
        <v>12</v>
      </c>
      <c r="C6396" s="352">
        <v>4170</v>
      </c>
      <c r="D6396" s="340" t="str">
        <f>VLOOKUP(C6396,Plan!A:B,2,0)</f>
        <v>Cali otros</v>
      </c>
      <c r="E6396" s="341">
        <f t="shared" si="131"/>
        <v>881</v>
      </c>
      <c r="F6396" s="396">
        <v>881</v>
      </c>
      <c r="G6396" s="396">
        <v>0</v>
      </c>
      <c r="H6396" t="s">
        <v>2462</v>
      </c>
      <c r="I6396" s="355" t="s">
        <v>131</v>
      </c>
      <c r="K6396" s="370"/>
      <c r="N6396" s="370"/>
    </row>
    <row r="6397" spans="1:14" s="347" customFormat="1" x14ac:dyDescent="0.25">
      <c r="A6397" s="350">
        <f t="shared" si="129"/>
        <v>44561</v>
      </c>
      <c r="B6397" s="403">
        <f t="shared" ref="B6397:B6398" si="132">+MONTH(A6397)</f>
        <v>12</v>
      </c>
      <c r="C6397" s="352">
        <v>4170</v>
      </c>
      <c r="D6397" s="340" t="str">
        <f>VLOOKUP(C6397,Plan!A:B,2,0)</f>
        <v>Cali otros</v>
      </c>
      <c r="E6397" s="341">
        <f t="shared" ref="E6397:E6398" si="133">+F6397-G6397</f>
        <v>176</v>
      </c>
      <c r="F6397" s="396">
        <v>176</v>
      </c>
      <c r="G6397" s="396">
        <v>0</v>
      </c>
      <c r="H6397" t="s">
        <v>2198</v>
      </c>
      <c r="I6397" s="355" t="s">
        <v>131</v>
      </c>
      <c r="K6397" s="370"/>
      <c r="N6397" s="370"/>
    </row>
    <row r="6398" spans="1:14" s="347" customFormat="1" x14ac:dyDescent="0.25">
      <c r="A6398" s="350">
        <f t="shared" si="129"/>
        <v>44561</v>
      </c>
      <c r="B6398" s="403">
        <f t="shared" si="132"/>
        <v>12</v>
      </c>
      <c r="C6398" s="352">
        <v>4170</v>
      </c>
      <c r="D6398" s="340" t="str">
        <f>VLOOKUP(C6398,Plan!A:B,2,0)</f>
        <v>Cali otros</v>
      </c>
      <c r="E6398" s="341">
        <f t="shared" si="133"/>
        <v>176</v>
      </c>
      <c r="F6398" s="396">
        <v>176</v>
      </c>
      <c r="G6398" s="396">
        <v>0</v>
      </c>
      <c r="H6398" t="s">
        <v>2459</v>
      </c>
      <c r="I6398" s="355" t="s">
        <v>131</v>
      </c>
      <c r="K6398" s="370"/>
      <c r="N6398" s="370"/>
    </row>
    <row r="6399" spans="1:14" s="347" customFormat="1" x14ac:dyDescent="0.25">
      <c r="A6399" s="369"/>
      <c r="E6399" s="396"/>
      <c r="F6399" s="396"/>
      <c r="G6399" s="396"/>
      <c r="K6399" s="370"/>
      <c r="N6399" s="370"/>
    </row>
    <row r="6400" spans="1:14" s="347" customFormat="1" x14ac:dyDescent="0.25">
      <c r="A6400" s="402">
        <v>44561</v>
      </c>
      <c r="B6400" s="403">
        <f>+B6376</f>
        <v>12</v>
      </c>
      <c r="C6400" s="338">
        <v>125</v>
      </c>
      <c r="D6400" s="340" t="str">
        <f>VLOOKUP(C6400,Plan!A:B,2,0)</f>
        <v>Depósito a plazo Cali</v>
      </c>
      <c r="E6400" s="341">
        <f>+F6400-G6400</f>
        <v>0</v>
      </c>
      <c r="F6400" s="346">
        <v>0</v>
      </c>
      <c r="G6400" s="346">
        <v>0</v>
      </c>
      <c r="H6400" s="343" t="s">
        <v>858</v>
      </c>
      <c r="I6400" s="340" t="s">
        <v>131</v>
      </c>
      <c r="K6400" s="370"/>
      <c r="N6400" s="370"/>
    </row>
    <row r="6401" spans="1:14" s="347" customFormat="1" x14ac:dyDescent="0.25">
      <c r="A6401" s="402">
        <f>+A6400</f>
        <v>44561</v>
      </c>
      <c r="B6401" s="403">
        <f>+B6400</f>
        <v>12</v>
      </c>
      <c r="C6401" s="338">
        <v>6002</v>
      </c>
      <c r="D6401" s="340" t="str">
        <f>VLOOKUP(C6401,Plan!A:B,2,0)</f>
        <v>Intereses Financieros Cali</v>
      </c>
      <c r="E6401" s="341">
        <f>+F6401-G6401</f>
        <v>0</v>
      </c>
      <c r="F6401" s="346">
        <v>0</v>
      </c>
      <c r="G6401" s="346">
        <f>+F6400</f>
        <v>0</v>
      </c>
      <c r="H6401" s="338" t="s">
        <v>858</v>
      </c>
      <c r="I6401" s="340" t="s">
        <v>131</v>
      </c>
      <c r="K6401" s="370"/>
      <c r="N6401" s="370"/>
    </row>
    <row r="6402" spans="1:14" s="347" customFormat="1" x14ac:dyDescent="0.25">
      <c r="A6402" s="339"/>
      <c r="B6402" s="340"/>
      <c r="C6402" s="338"/>
      <c r="D6402" s="340"/>
      <c r="E6402" s="396"/>
      <c r="F6402" s="396"/>
      <c r="G6402" s="396"/>
      <c r="H6402" s="338"/>
      <c r="I6402" s="340"/>
      <c r="K6402" s="370"/>
      <c r="N6402" s="370"/>
    </row>
    <row r="6403" spans="1:14" s="347" customFormat="1" x14ac:dyDescent="0.25">
      <c r="A6403" s="402">
        <f>+A6400</f>
        <v>44561</v>
      </c>
      <c r="B6403" s="403">
        <f>+B6400</f>
        <v>12</v>
      </c>
      <c r="C6403" s="338">
        <v>118</v>
      </c>
      <c r="D6403" s="340" t="str">
        <f>VLOOKUP(C6403,Plan!A:B,2,0)</f>
        <v>Depósito a plazo Cali Banco Security</v>
      </c>
      <c r="E6403" s="341">
        <f>+F6403-G6403</f>
        <v>0</v>
      </c>
      <c r="F6403" s="346">
        <v>0</v>
      </c>
      <c r="G6403" s="346">
        <v>0</v>
      </c>
      <c r="H6403" s="343" t="s">
        <v>859</v>
      </c>
      <c r="I6403" s="340" t="s">
        <v>131</v>
      </c>
      <c r="K6403" s="370"/>
      <c r="N6403" s="370"/>
    </row>
    <row r="6404" spans="1:14" s="347" customFormat="1" x14ac:dyDescent="0.25">
      <c r="A6404" s="402">
        <f>+A6403</f>
        <v>44561</v>
      </c>
      <c r="B6404" s="403">
        <f>+B6403</f>
        <v>12</v>
      </c>
      <c r="C6404" s="338">
        <v>6002</v>
      </c>
      <c r="D6404" s="340" t="str">
        <f>VLOOKUP(C6404,Plan!A:B,2,0)</f>
        <v>Intereses Financieros Cali</v>
      </c>
      <c r="E6404" s="341">
        <f>+F6404-G6404</f>
        <v>0</v>
      </c>
      <c r="F6404" s="346">
        <v>0</v>
      </c>
      <c r="G6404" s="346">
        <f>+F6403</f>
        <v>0</v>
      </c>
      <c r="H6404" s="338" t="s">
        <v>859</v>
      </c>
      <c r="I6404" s="340" t="s">
        <v>131</v>
      </c>
      <c r="K6404" s="370"/>
      <c r="N6404" s="370"/>
    </row>
    <row r="6405" spans="1:14" s="347" customFormat="1" x14ac:dyDescent="0.25">
      <c r="A6405" s="339"/>
      <c r="B6405" s="340"/>
      <c r="C6405" s="338"/>
      <c r="D6405" s="340"/>
      <c r="E6405" s="396"/>
      <c r="F6405" s="396"/>
      <c r="G6405" s="396"/>
      <c r="H6405" s="338"/>
      <c r="I6405" s="340"/>
      <c r="K6405" s="370"/>
      <c r="N6405" s="370"/>
    </row>
    <row r="6406" spans="1:14" s="347" customFormat="1" x14ac:dyDescent="0.25">
      <c r="A6406" s="402">
        <f>+A6403</f>
        <v>44561</v>
      </c>
      <c r="B6406" s="403">
        <f>+B6403</f>
        <v>12</v>
      </c>
      <c r="C6406" s="338">
        <v>119</v>
      </c>
      <c r="D6406" s="340" t="str">
        <f>VLOOKUP(C6406,Plan!A:B,2,0)</f>
        <v>FM Cali Banco Security</v>
      </c>
      <c r="E6406" s="341">
        <f>+F6406-G6406</f>
        <v>0</v>
      </c>
      <c r="F6406" s="346">
        <v>0</v>
      </c>
      <c r="G6406" s="346">
        <v>0</v>
      </c>
      <c r="H6406" s="343" t="s">
        <v>554</v>
      </c>
      <c r="I6406" s="340" t="s">
        <v>131</v>
      </c>
      <c r="K6406" s="370"/>
      <c r="N6406" s="370"/>
    </row>
    <row r="6407" spans="1:14" s="347" customFormat="1" x14ac:dyDescent="0.25">
      <c r="A6407" s="402">
        <f>+A6406</f>
        <v>44561</v>
      </c>
      <c r="B6407" s="403">
        <f>+B6406</f>
        <v>12</v>
      </c>
      <c r="C6407" s="338">
        <v>6002</v>
      </c>
      <c r="D6407" s="340" t="str">
        <f>VLOOKUP(C6407,Plan!A:B,2,0)</f>
        <v>Intereses Financieros Cali</v>
      </c>
      <c r="E6407" s="341">
        <f>+F6407-G6407</f>
        <v>0</v>
      </c>
      <c r="F6407" s="346">
        <v>0</v>
      </c>
      <c r="G6407" s="346">
        <f>+F6406</f>
        <v>0</v>
      </c>
      <c r="H6407" s="338" t="s">
        <v>554</v>
      </c>
      <c r="I6407" s="340" t="s">
        <v>131</v>
      </c>
      <c r="K6407" s="370"/>
      <c r="N6407" s="370"/>
    </row>
    <row r="6408" spans="1:14" s="347" customFormat="1" x14ac:dyDescent="0.25">
      <c r="A6408" s="369"/>
      <c r="E6408" s="396"/>
      <c r="F6408" s="396"/>
      <c r="G6408" s="396"/>
      <c r="K6408" s="370"/>
      <c r="N6408" s="370"/>
    </row>
    <row r="6409" spans="1:14" s="347" customFormat="1" x14ac:dyDescent="0.25">
      <c r="A6409" s="402">
        <f>+A6406</f>
        <v>44561</v>
      </c>
      <c r="B6409" s="403">
        <f>+B6406</f>
        <v>12</v>
      </c>
      <c r="C6409" s="338">
        <v>113</v>
      </c>
      <c r="D6409" s="340" t="str">
        <f>VLOOKUP(C6409,Plan!A:B,2,0)</f>
        <v>Depósito a plazo Cali Banco Santander</v>
      </c>
      <c r="E6409" s="341">
        <f>+F6409-G6409</f>
        <v>832320</v>
      </c>
      <c r="F6409" s="346">
        <v>832320</v>
      </c>
      <c r="G6409" s="346">
        <v>0</v>
      </c>
      <c r="H6409" s="343" t="s">
        <v>2122</v>
      </c>
      <c r="I6409" s="340" t="s">
        <v>131</v>
      </c>
      <c r="K6409" s="370"/>
      <c r="N6409" s="370"/>
    </row>
    <row r="6410" spans="1:14" s="347" customFormat="1" x14ac:dyDescent="0.25">
      <c r="A6410" s="402">
        <f>+A6409</f>
        <v>44561</v>
      </c>
      <c r="B6410" s="403">
        <f>+B6409</f>
        <v>12</v>
      </c>
      <c r="C6410" s="338">
        <v>6002</v>
      </c>
      <c r="D6410" s="340" t="str">
        <f>VLOOKUP(C6410,Plan!A:B,2,0)</f>
        <v>Intereses Financieros Cali</v>
      </c>
      <c r="E6410" s="341">
        <f>+F6410-G6410</f>
        <v>-832320</v>
      </c>
      <c r="F6410" s="346">
        <v>0</v>
      </c>
      <c r="G6410" s="346">
        <f>+F6409</f>
        <v>832320</v>
      </c>
      <c r="H6410" s="338" t="str">
        <f>+H6409</f>
        <v>Intereses Devengados DAP Santander</v>
      </c>
      <c r="I6410" s="340" t="s">
        <v>131</v>
      </c>
      <c r="K6410" s="370"/>
      <c r="N6410" s="370"/>
    </row>
    <row r="6411" spans="1:14" s="347" customFormat="1" x14ac:dyDescent="0.25">
      <c r="A6411" s="369"/>
      <c r="E6411" s="396"/>
      <c r="F6411" s="396"/>
      <c r="G6411" s="396"/>
      <c r="K6411" s="370"/>
      <c r="N6411" s="370"/>
    </row>
    <row r="6412" spans="1:14" s="347" customFormat="1" x14ac:dyDescent="0.25">
      <c r="A6412" s="402">
        <f>+A6409</f>
        <v>44561</v>
      </c>
      <c r="B6412" s="403">
        <f>+B6409</f>
        <v>12</v>
      </c>
      <c r="C6412" s="338">
        <v>1219</v>
      </c>
      <c r="D6412" s="340" t="str">
        <f>VLOOKUP(C6412,Plan!A:B,2,0)</f>
        <v>Otros Valores Arzobispado (248)</v>
      </c>
      <c r="E6412" s="341">
        <f>+F6412-G6412</f>
        <v>2</v>
      </c>
      <c r="F6412" s="346">
        <v>2</v>
      </c>
      <c r="G6412" s="346">
        <v>0</v>
      </c>
      <c r="H6412" s="343" t="s">
        <v>2537</v>
      </c>
      <c r="I6412" s="340" t="s">
        <v>131</v>
      </c>
      <c r="K6412" s="370"/>
      <c r="N6412" s="370"/>
    </row>
    <row r="6413" spans="1:14" s="347" customFormat="1" x14ac:dyDescent="0.25">
      <c r="A6413" s="402">
        <f t="shared" ref="A6413:B6416" si="134">+A6412</f>
        <v>44561</v>
      </c>
      <c r="B6413" s="403">
        <f t="shared" si="134"/>
        <v>12</v>
      </c>
      <c r="C6413" s="338">
        <v>1220</v>
      </c>
      <c r="D6413" s="340" t="str">
        <f>VLOOKUP(C6413,Plan!A:B,2,0)</f>
        <v>Otros Valores Arzobispado (249)</v>
      </c>
      <c r="E6413" s="341">
        <f>+F6413-G6413</f>
        <v>5</v>
      </c>
      <c r="F6413" s="346">
        <v>5</v>
      </c>
      <c r="G6413" s="346">
        <v>0</v>
      </c>
      <c r="H6413" s="338" t="str">
        <f>+H6412</f>
        <v>Regularizaciones menores</v>
      </c>
      <c r="I6413" s="340" t="s">
        <v>131</v>
      </c>
      <c r="K6413" s="370"/>
      <c r="N6413" s="370"/>
    </row>
    <row r="6414" spans="1:14" s="347" customFormat="1" x14ac:dyDescent="0.25">
      <c r="A6414" s="402">
        <f t="shared" si="134"/>
        <v>44561</v>
      </c>
      <c r="B6414" s="403">
        <f t="shared" si="134"/>
        <v>12</v>
      </c>
      <c r="C6414" s="338">
        <v>119</v>
      </c>
      <c r="D6414" s="340" t="str">
        <f>VLOOKUP(C6414,Plan!A:B,2,0)</f>
        <v>FM Cali Banco Security</v>
      </c>
      <c r="E6414" s="341">
        <f>+F6414-G6414</f>
        <v>37</v>
      </c>
      <c r="F6414" s="346">
        <v>37</v>
      </c>
      <c r="G6414" s="346">
        <v>0</v>
      </c>
      <c r="H6414" s="338" t="str">
        <f>+H6413</f>
        <v>Regularizaciones menores</v>
      </c>
      <c r="I6414" s="340" t="s">
        <v>131</v>
      </c>
      <c r="K6414" s="370"/>
      <c r="N6414" s="370"/>
    </row>
    <row r="6415" spans="1:14" s="347" customFormat="1" x14ac:dyDescent="0.25">
      <c r="A6415" s="402">
        <f t="shared" si="134"/>
        <v>44561</v>
      </c>
      <c r="B6415" s="403">
        <f t="shared" si="134"/>
        <v>12</v>
      </c>
      <c r="C6415" s="338">
        <v>4170</v>
      </c>
      <c r="D6415" s="340" t="str">
        <f>VLOOKUP(C6415,Plan!A:B,2,0)</f>
        <v>Cali otros</v>
      </c>
      <c r="E6415" s="341">
        <f>+F6415-G6415</f>
        <v>-44</v>
      </c>
      <c r="F6415" s="346">
        <v>0</v>
      </c>
      <c r="G6415" s="346">
        <f>SUBTOTAL(9,F6412:F6415)</f>
        <v>44</v>
      </c>
      <c r="H6415" s="338" t="str">
        <f>+H6414</f>
        <v>Regularizaciones menores</v>
      </c>
      <c r="I6415" s="340" t="s">
        <v>131</v>
      </c>
      <c r="K6415" s="370"/>
      <c r="N6415" s="370"/>
    </row>
    <row r="6416" spans="1:14" s="347" customFormat="1" x14ac:dyDescent="0.25">
      <c r="A6416" s="402">
        <f t="shared" si="134"/>
        <v>44561</v>
      </c>
      <c r="B6416" s="403">
        <f t="shared" si="134"/>
        <v>12</v>
      </c>
      <c r="C6416" s="338">
        <v>115</v>
      </c>
      <c r="D6416" s="340" t="str">
        <f>VLOOKUP(C6416,Plan!A:B,2,0)</f>
        <v>Disponible Cali B.Chile</v>
      </c>
      <c r="E6416" s="341">
        <f>+F6416-G6416</f>
        <v>0</v>
      </c>
      <c r="F6416" s="346">
        <v>0</v>
      </c>
      <c r="G6416" s="346">
        <v>0</v>
      </c>
      <c r="H6416" s="338" t="str">
        <f>+H6415</f>
        <v>Regularizaciones menores</v>
      </c>
      <c r="I6416" s="340" t="s">
        <v>131</v>
      </c>
      <c r="K6416" s="370"/>
      <c r="N6416" s="370"/>
    </row>
    <row r="6417" spans="1:14" s="347" customFormat="1" x14ac:dyDescent="0.25">
      <c r="A6417" s="369"/>
      <c r="E6417" s="396"/>
      <c r="F6417" s="396"/>
      <c r="G6417" s="396"/>
      <c r="K6417" s="370"/>
      <c r="N6417" s="370"/>
    </row>
    <row r="6418" spans="1:14" s="347" customFormat="1" x14ac:dyDescent="0.25">
      <c r="A6418" s="402">
        <v>44561</v>
      </c>
      <c r="B6418" s="403">
        <f t="shared" ref="B6418" si="135">+MONTH(A6418)</f>
        <v>12</v>
      </c>
      <c r="C6418" s="338">
        <v>137</v>
      </c>
      <c r="D6418" s="340" t="str">
        <f>VLOOKUP(C6418,Plan!A:B,2,0)</f>
        <v>Anticipo Construcción</v>
      </c>
      <c r="E6418" s="341">
        <f>+F6418-G6418</f>
        <v>19631186</v>
      </c>
      <c r="F6418" s="346">
        <v>19631186</v>
      </c>
      <c r="G6418" s="346">
        <v>0</v>
      </c>
      <c r="H6418" s="583" t="s">
        <v>2549</v>
      </c>
      <c r="I6418" s="340" t="s">
        <v>131</v>
      </c>
      <c r="K6418" s="370"/>
      <c r="N6418" s="370"/>
    </row>
    <row r="6419" spans="1:14" s="347" customFormat="1" x14ac:dyDescent="0.25">
      <c r="A6419" s="402">
        <f>+A6418</f>
        <v>44561</v>
      </c>
      <c r="B6419" s="403">
        <f>+B6418</f>
        <v>12</v>
      </c>
      <c r="C6419" s="338">
        <v>7001</v>
      </c>
      <c r="D6419" s="340" t="str">
        <f>VLOOKUP(C6419,Plan!A:B,2,0)</f>
        <v>Variación UF Anticipo y Retenciones</v>
      </c>
      <c r="E6419" s="341">
        <f>+F6419-G6419</f>
        <v>-19631186</v>
      </c>
      <c r="F6419" s="346">
        <v>0</v>
      </c>
      <c r="G6419" s="346">
        <f>SUBTOTAL(9,F6415:F6419)</f>
        <v>19631186</v>
      </c>
      <c r="H6419" s="338" t="str">
        <f>+H6418</f>
        <v>Actualiza Saldo Anticipo Tasc</v>
      </c>
      <c r="I6419" s="340" t="s">
        <v>131</v>
      </c>
      <c r="K6419" s="370"/>
      <c r="N6419" s="370"/>
    </row>
    <row r="6420" spans="1:14" s="347" customFormat="1" x14ac:dyDescent="0.25">
      <c r="A6420" s="369"/>
      <c r="E6420" s="396"/>
      <c r="F6420" s="396"/>
      <c r="G6420" s="396"/>
      <c r="K6420" s="370"/>
      <c r="N6420" s="370"/>
    </row>
    <row r="6421" spans="1:14" s="347" customFormat="1" x14ac:dyDescent="0.25">
      <c r="A6421" s="402">
        <v>44561</v>
      </c>
      <c r="B6421" s="403">
        <f t="shared" ref="B6421" si="136">+MONTH(A6421)</f>
        <v>12</v>
      </c>
      <c r="C6421" s="338">
        <v>7001</v>
      </c>
      <c r="D6421" s="340" t="str">
        <f>VLOOKUP(C6421,Plan!A:B,2,0)</f>
        <v>Variación UF Anticipo y Retenciones</v>
      </c>
      <c r="E6421" s="341">
        <f>+F6421-G6421</f>
        <v>5651539.3175999969</v>
      </c>
      <c r="F6421" s="346">
        <v>5651539.3175999969</v>
      </c>
      <c r="G6421" s="346">
        <v>0</v>
      </c>
      <c r="H6421" s="583" t="s">
        <v>2550</v>
      </c>
      <c r="I6421" s="340" t="s">
        <v>131</v>
      </c>
      <c r="K6421" s="370"/>
      <c r="N6421" s="370"/>
    </row>
    <row r="6422" spans="1:14" s="347" customFormat="1" x14ac:dyDescent="0.25">
      <c r="A6422" s="402">
        <f>+A6421</f>
        <v>44561</v>
      </c>
      <c r="B6422" s="403">
        <f>+B6421</f>
        <v>12</v>
      </c>
      <c r="C6422" s="338">
        <v>210</v>
      </c>
      <c r="D6422" s="340" t="str">
        <f>VLOOKUP(C6422,Plan!A:B,2,0)</f>
        <v>Retenciones Construcción</v>
      </c>
      <c r="E6422" s="341">
        <f>+F6422-G6422</f>
        <v>-5651539.3175999969</v>
      </c>
      <c r="F6422" s="346">
        <v>0</v>
      </c>
      <c r="G6422" s="346">
        <f>SUBTOTAL(9,F6419:F6422)</f>
        <v>5651539.3175999969</v>
      </c>
      <c r="H6422" s="338" t="str">
        <f>+H6421</f>
        <v>Actualiza Saldo Retención Tasc</v>
      </c>
      <c r="I6422" s="340" t="s">
        <v>131</v>
      </c>
      <c r="K6422" s="370"/>
      <c r="N6422" s="370"/>
    </row>
    <row r="6423" spans="1:14" s="347" customFormat="1" x14ac:dyDescent="0.25">
      <c r="A6423" s="369"/>
      <c r="E6423" s="396"/>
      <c r="F6423" s="396"/>
      <c r="G6423" s="396"/>
      <c r="K6423" s="370"/>
      <c r="N6423" s="370"/>
    </row>
    <row r="6424" spans="1:14" s="347" customFormat="1" x14ac:dyDescent="0.25">
      <c r="A6424" s="402">
        <v>44561</v>
      </c>
      <c r="B6424" s="403">
        <f t="shared" ref="B6424" si="137">+MONTH(A6424)</f>
        <v>12</v>
      </c>
      <c r="C6424" s="338">
        <v>4170</v>
      </c>
      <c r="D6424" s="340" t="str">
        <f>VLOOKUP(C6424,Plan!A:B,2,0)</f>
        <v>Cali otros</v>
      </c>
      <c r="E6424" s="341">
        <f>+F6424-G6424</f>
        <v>0</v>
      </c>
      <c r="F6424" s="346">
        <v>0</v>
      </c>
      <c r="G6424" s="346">
        <v>0</v>
      </c>
      <c r="H6424" s="583" t="s">
        <v>2550</v>
      </c>
      <c r="I6424" s="340" t="s">
        <v>131</v>
      </c>
      <c r="K6424" s="370"/>
      <c r="N6424" s="370"/>
    </row>
    <row r="6425" spans="1:14" s="347" customFormat="1" x14ac:dyDescent="0.25">
      <c r="A6425" s="402">
        <f>+A6424</f>
        <v>44561</v>
      </c>
      <c r="B6425" s="403">
        <f>+B6424</f>
        <v>12</v>
      </c>
      <c r="C6425" s="338">
        <v>310</v>
      </c>
      <c r="D6425" s="340" t="str">
        <f>VLOOKUP(C6425,Plan!A:B,2,0)</f>
        <v>Resultado Acumulado Cali</v>
      </c>
      <c r="E6425" s="341">
        <f>+F6425-G6425</f>
        <v>0</v>
      </c>
      <c r="F6425" s="346">
        <v>0</v>
      </c>
      <c r="G6425" s="346">
        <v>0</v>
      </c>
      <c r="H6425" s="338" t="str">
        <f>+H6424</f>
        <v>Actualiza Saldo Retención Tasc</v>
      </c>
      <c r="I6425" s="340" t="s">
        <v>131</v>
      </c>
      <c r="K6425" s="370"/>
      <c r="N6425" s="370"/>
    </row>
    <row r="6426" spans="1:14" s="347" customFormat="1" x14ac:dyDescent="0.25">
      <c r="A6426" s="369"/>
      <c r="E6426" s="396"/>
      <c r="F6426" s="396"/>
      <c r="G6426" s="396"/>
      <c r="K6426" s="370"/>
      <c r="N6426" s="370"/>
    </row>
    <row r="6427" spans="1:14" s="347" customFormat="1" x14ac:dyDescent="0.25">
      <c r="A6427" s="402">
        <v>44561</v>
      </c>
      <c r="B6427" s="403">
        <f t="shared" ref="B6427" si="138">+MONTH(A6427)</f>
        <v>12</v>
      </c>
      <c r="C6427" s="338">
        <v>141</v>
      </c>
      <c r="D6427" s="340" t="str">
        <f>VLOOKUP(C6427,Plan!A:B,2,0)</f>
        <v>Cuentas por Cobrar a Administración</v>
      </c>
      <c r="E6427" s="341">
        <f>+F6427-G6427</f>
        <v>-4045652</v>
      </c>
      <c r="F6427" s="346">
        <v>0</v>
      </c>
      <c r="G6427" s="346">
        <f>+F6428+F6429</f>
        <v>4045652</v>
      </c>
      <c r="H6427" s="583" t="s">
        <v>2565</v>
      </c>
      <c r="I6427" s="340" t="s">
        <v>131</v>
      </c>
      <c r="K6427" s="370"/>
      <c r="N6427" s="370"/>
    </row>
    <row r="6428" spans="1:14" s="347" customFormat="1" x14ac:dyDescent="0.25">
      <c r="A6428" s="402">
        <f>+A6427</f>
        <v>44561</v>
      </c>
      <c r="B6428" s="403">
        <f>+B6427</f>
        <v>12</v>
      </c>
      <c r="C6428" s="338">
        <v>216</v>
      </c>
      <c r="D6428" s="340" t="str">
        <f>VLOOKUP(C6428,Plan!A:B,2,0)</f>
        <v>Cuenta por Pagar a Administración Colectas</v>
      </c>
      <c r="E6428" s="341">
        <f t="shared" ref="E6428:E6429" si="139">+F6428-G6428</f>
        <v>3280652</v>
      </c>
      <c r="F6428" s="347">
        <v>3280652</v>
      </c>
      <c r="H6428" s="338" t="str">
        <f>+H6427</f>
        <v>CTAS POR COBRAR A ADM</v>
      </c>
      <c r="I6428" s="340" t="s">
        <v>131</v>
      </c>
      <c r="K6428" s="370"/>
      <c r="N6428" s="370"/>
    </row>
    <row r="6429" spans="1:14" s="347" customFormat="1" x14ac:dyDescent="0.25">
      <c r="A6429" s="402">
        <f>+A6428</f>
        <v>44561</v>
      </c>
      <c r="B6429" s="403">
        <f>+B6428</f>
        <v>12</v>
      </c>
      <c r="C6429" s="338">
        <v>217</v>
      </c>
      <c r="D6429" s="340" t="str">
        <f>VLOOKUP(C6429,Plan!A:B,2,0)</f>
        <v>Cuenta por Pagar a Administración Canastas</v>
      </c>
      <c r="E6429" s="341">
        <f t="shared" si="139"/>
        <v>765000</v>
      </c>
      <c r="F6429" s="347">
        <v>765000</v>
      </c>
      <c r="H6429" s="338" t="str">
        <f>+H6428</f>
        <v>CTAS POR COBRAR A ADM</v>
      </c>
      <c r="I6429" s="340" t="s">
        <v>131</v>
      </c>
      <c r="K6429" s="370"/>
      <c r="N6429" s="370"/>
    </row>
    <row r="6430" spans="1:14" s="347" customFormat="1" x14ac:dyDescent="0.25">
      <c r="A6430" s="369"/>
      <c r="E6430" s="396"/>
      <c r="F6430" s="396"/>
      <c r="G6430" s="396"/>
      <c r="K6430" s="370"/>
      <c r="N6430" s="370"/>
    </row>
    <row r="6431" spans="1:14" s="347" customFormat="1" x14ac:dyDescent="0.25">
      <c r="A6431" s="369"/>
      <c r="E6431" s="396"/>
      <c r="F6431" s="396"/>
      <c r="G6431" s="396"/>
      <c r="J6431" s="347">
        <v>3280652</v>
      </c>
      <c r="K6431" s="370"/>
      <c r="N6431" s="370"/>
    </row>
    <row r="6432" spans="1:14" s="347" customFormat="1" x14ac:dyDescent="0.25">
      <c r="A6432" s="369"/>
      <c r="E6432" s="396"/>
      <c r="F6432" s="396"/>
      <c r="G6432" s="396"/>
      <c r="J6432" s="347">
        <v>765000</v>
      </c>
      <c r="K6432" s="370"/>
      <c r="N6432" s="370"/>
    </row>
    <row r="6433" spans="1:14" s="347" customFormat="1" x14ac:dyDescent="0.25">
      <c r="A6433" s="369"/>
      <c r="E6433" s="396"/>
      <c r="F6433" s="396"/>
      <c r="G6433" s="396"/>
      <c r="K6433" s="370"/>
      <c r="N6433" s="370"/>
    </row>
    <row r="6434" spans="1:14" s="347" customFormat="1" x14ac:dyDescent="0.25">
      <c r="A6434" s="369"/>
      <c r="E6434" s="396"/>
      <c r="F6434" s="396"/>
      <c r="G6434" s="396"/>
      <c r="K6434" s="370"/>
      <c r="N6434" s="370"/>
    </row>
    <row r="6435" spans="1:14" s="347" customFormat="1" x14ac:dyDescent="0.25">
      <c r="A6435" s="369"/>
      <c r="E6435" s="396"/>
      <c r="F6435" s="396"/>
      <c r="G6435" s="396"/>
      <c r="K6435" s="370"/>
      <c r="N6435" s="370"/>
    </row>
    <row r="6436" spans="1:14" s="347" customFormat="1" x14ac:dyDescent="0.25">
      <c r="A6436" s="369"/>
      <c r="E6436" s="396"/>
      <c r="F6436" s="396"/>
      <c r="G6436" s="396"/>
      <c r="K6436" s="370"/>
      <c r="N6436" s="370"/>
    </row>
    <row r="6437" spans="1:14" s="347" customFormat="1" x14ac:dyDescent="0.25">
      <c r="A6437" s="369"/>
      <c r="E6437" s="396"/>
      <c r="F6437" s="396"/>
      <c r="G6437" s="396"/>
      <c r="K6437" s="370"/>
      <c r="N6437" s="370"/>
    </row>
    <row r="6438" spans="1:14" s="347" customFormat="1" x14ac:dyDescent="0.25">
      <c r="A6438" s="369"/>
      <c r="E6438" s="396"/>
      <c r="F6438" s="396"/>
      <c r="G6438" s="396"/>
      <c r="K6438" s="370"/>
      <c r="N6438" s="370"/>
    </row>
    <row r="6439" spans="1:14" s="347" customFormat="1" x14ac:dyDescent="0.25">
      <c r="A6439" s="369"/>
      <c r="E6439" s="396"/>
      <c r="F6439" s="396"/>
      <c r="G6439" s="396"/>
      <c r="K6439" s="370"/>
      <c r="N6439" s="370"/>
    </row>
    <row r="6440" spans="1:14" s="347" customFormat="1" x14ac:dyDescent="0.25">
      <c r="A6440" s="369"/>
      <c r="E6440" s="396"/>
      <c r="F6440" s="396"/>
      <c r="G6440" s="396"/>
      <c r="K6440" s="370"/>
      <c r="N6440" s="370"/>
    </row>
    <row r="6441" spans="1:14" s="347" customFormat="1" x14ac:dyDescent="0.25">
      <c r="A6441" s="369"/>
      <c r="E6441" s="396"/>
      <c r="F6441" s="396"/>
      <c r="G6441" s="396"/>
      <c r="K6441" s="370"/>
      <c r="N6441" s="370"/>
    </row>
    <row r="6442" spans="1:14" s="347" customFormat="1" x14ac:dyDescent="0.25">
      <c r="A6442" s="369"/>
      <c r="E6442" s="396"/>
      <c r="F6442" s="396"/>
      <c r="G6442" s="396"/>
      <c r="K6442" s="370"/>
      <c r="N6442" s="370"/>
    </row>
    <row r="6443" spans="1:14" s="347" customFormat="1" x14ac:dyDescent="0.25">
      <c r="A6443" s="369"/>
      <c r="E6443" s="396"/>
      <c r="F6443" s="396"/>
      <c r="G6443" s="396"/>
      <c r="K6443" s="370"/>
      <c r="N6443" s="370"/>
    </row>
    <row r="6444" spans="1:14" s="347" customFormat="1" x14ac:dyDescent="0.25">
      <c r="A6444" s="369"/>
      <c r="E6444" s="396"/>
      <c r="F6444" s="396"/>
      <c r="G6444" s="396"/>
      <c r="K6444" s="370"/>
      <c r="N6444" s="370"/>
    </row>
    <row r="6445" spans="1:14" s="347" customFormat="1" x14ac:dyDescent="0.25">
      <c r="A6445" s="369"/>
      <c r="E6445" s="396"/>
      <c r="F6445" s="396"/>
      <c r="G6445" s="396"/>
      <c r="K6445" s="370"/>
      <c r="N6445" s="370"/>
    </row>
    <row r="6446" spans="1:14" s="347" customFormat="1" x14ac:dyDescent="0.25">
      <c r="A6446" s="369"/>
      <c r="E6446" s="396"/>
      <c r="F6446" s="396"/>
      <c r="G6446" s="396"/>
      <c r="K6446" s="370"/>
      <c r="N6446" s="370"/>
    </row>
    <row r="6447" spans="1:14" s="347" customFormat="1" x14ac:dyDescent="0.25">
      <c r="A6447" s="369"/>
      <c r="E6447" s="396"/>
      <c r="F6447" s="396"/>
      <c r="G6447" s="396"/>
      <c r="K6447" s="370"/>
      <c r="N6447" s="370"/>
    </row>
    <row r="6448" spans="1:14" s="347" customFormat="1" x14ac:dyDescent="0.25">
      <c r="A6448" s="369"/>
      <c r="E6448" s="396"/>
      <c r="F6448" s="396"/>
      <c r="G6448" s="396"/>
      <c r="K6448" s="370"/>
      <c r="N6448" s="370"/>
    </row>
    <row r="6449" spans="1:14" s="347" customFormat="1" x14ac:dyDescent="0.25">
      <c r="A6449" s="369"/>
      <c r="E6449" s="396"/>
      <c r="F6449" s="396"/>
      <c r="G6449" s="396"/>
      <c r="K6449" s="370"/>
      <c r="N6449" s="370"/>
    </row>
    <row r="6450" spans="1:14" s="347" customFormat="1" x14ac:dyDescent="0.25">
      <c r="A6450" s="369"/>
      <c r="E6450" s="396"/>
      <c r="F6450" s="396"/>
      <c r="G6450" s="396"/>
      <c r="K6450" s="370"/>
      <c r="N6450" s="370"/>
    </row>
    <row r="6451" spans="1:14" s="347" customFormat="1" x14ac:dyDescent="0.25">
      <c r="A6451" s="369"/>
      <c r="E6451" s="396"/>
      <c r="F6451" s="396"/>
      <c r="G6451" s="396"/>
      <c r="K6451" s="370"/>
      <c r="N6451" s="370"/>
    </row>
    <row r="6452" spans="1:14" s="347" customFormat="1" x14ac:dyDescent="0.25">
      <c r="A6452" s="369"/>
      <c r="E6452" s="396"/>
      <c r="F6452" s="396"/>
      <c r="G6452" s="396"/>
      <c r="K6452" s="370"/>
      <c r="N6452" s="370"/>
    </row>
    <row r="6453" spans="1:14" s="347" customFormat="1" x14ac:dyDescent="0.25">
      <c r="A6453" s="369"/>
      <c r="E6453" s="396"/>
      <c r="F6453" s="396"/>
      <c r="G6453" s="396"/>
      <c r="K6453" s="370"/>
      <c r="N6453" s="370"/>
    </row>
    <row r="6454" spans="1:14" s="347" customFormat="1" x14ac:dyDescent="0.25">
      <c r="A6454" s="369"/>
      <c r="E6454" s="396"/>
      <c r="F6454" s="396"/>
      <c r="G6454" s="396"/>
      <c r="K6454" s="370"/>
      <c r="N6454" s="370"/>
    </row>
    <row r="6455" spans="1:14" s="347" customFormat="1" x14ac:dyDescent="0.25">
      <c r="A6455" s="369"/>
      <c r="E6455" s="396"/>
      <c r="F6455" s="396"/>
      <c r="G6455" s="396"/>
      <c r="K6455" s="370"/>
      <c r="N6455" s="370"/>
    </row>
    <row r="6456" spans="1:14" s="347" customFormat="1" x14ac:dyDescent="0.25">
      <c r="A6456" s="369"/>
      <c r="E6456" s="396"/>
      <c r="F6456" s="396"/>
      <c r="G6456" s="396"/>
      <c r="K6456" s="370"/>
      <c r="N6456" s="370"/>
    </row>
    <row r="6457" spans="1:14" s="347" customFormat="1" x14ac:dyDescent="0.25">
      <c r="A6457" s="369"/>
      <c r="E6457" s="396"/>
      <c r="F6457" s="396"/>
      <c r="G6457" s="396"/>
      <c r="K6457" s="370"/>
      <c r="N6457" s="370"/>
    </row>
    <row r="6458" spans="1:14" s="347" customFormat="1" x14ac:dyDescent="0.25">
      <c r="A6458" s="369"/>
      <c r="E6458" s="396"/>
      <c r="F6458" s="396"/>
      <c r="G6458" s="396"/>
      <c r="K6458" s="370"/>
      <c r="N6458" s="370"/>
    </row>
    <row r="6459" spans="1:14" s="347" customFormat="1" x14ac:dyDescent="0.25">
      <c r="A6459" s="369"/>
      <c r="E6459" s="396"/>
      <c r="F6459" s="396"/>
      <c r="G6459" s="396"/>
      <c r="K6459" s="370"/>
      <c r="N6459" s="370"/>
    </row>
    <row r="6460" spans="1:14" s="347" customFormat="1" x14ac:dyDescent="0.25">
      <c r="A6460" s="369"/>
      <c r="E6460" s="396"/>
      <c r="F6460" s="396"/>
      <c r="G6460" s="396"/>
      <c r="K6460" s="370"/>
      <c r="N6460" s="370"/>
    </row>
    <row r="6461" spans="1:14" s="347" customFormat="1" x14ac:dyDescent="0.25">
      <c r="A6461" s="369"/>
      <c r="E6461" s="396"/>
      <c r="F6461" s="396"/>
      <c r="G6461" s="396"/>
      <c r="K6461" s="370"/>
      <c r="N6461" s="370"/>
    </row>
    <row r="6462" spans="1:14" s="347" customFormat="1" x14ac:dyDescent="0.25">
      <c r="A6462" s="369"/>
      <c r="E6462" s="396"/>
      <c r="F6462" s="396"/>
      <c r="G6462" s="396"/>
      <c r="K6462" s="370"/>
      <c r="N6462" s="370"/>
    </row>
    <row r="6463" spans="1:14" s="347" customFormat="1" x14ac:dyDescent="0.25">
      <c r="A6463" s="369"/>
      <c r="E6463" s="396"/>
      <c r="F6463" s="396"/>
      <c r="G6463" s="396"/>
      <c r="K6463" s="370"/>
      <c r="N6463" s="370"/>
    </row>
    <row r="6464" spans="1:14" s="347" customFormat="1" x14ac:dyDescent="0.25">
      <c r="A6464" s="369"/>
      <c r="E6464" s="396"/>
      <c r="F6464" s="396"/>
      <c r="G6464" s="396"/>
      <c r="K6464" s="370"/>
      <c r="N6464" s="370"/>
    </row>
    <row r="6465" spans="1:14" s="347" customFormat="1" x14ac:dyDescent="0.25">
      <c r="A6465" s="369"/>
      <c r="E6465" s="396"/>
      <c r="F6465" s="396"/>
      <c r="G6465" s="396"/>
      <c r="K6465" s="370"/>
      <c r="N6465" s="370"/>
    </row>
    <row r="6466" spans="1:14" s="347" customFormat="1" x14ac:dyDescent="0.25">
      <c r="A6466" s="369"/>
      <c r="E6466" s="396"/>
      <c r="F6466" s="396"/>
      <c r="G6466" s="396"/>
      <c r="K6466" s="370"/>
      <c r="N6466" s="370"/>
    </row>
    <row r="6467" spans="1:14" s="347" customFormat="1" x14ac:dyDescent="0.25">
      <c r="A6467" s="369"/>
      <c r="E6467" s="396"/>
      <c r="F6467" s="396"/>
      <c r="G6467" s="396"/>
      <c r="K6467" s="370"/>
      <c r="N6467" s="370"/>
    </row>
    <row r="6468" spans="1:14" s="347" customFormat="1" x14ac:dyDescent="0.25">
      <c r="A6468" s="369"/>
      <c r="E6468" s="396"/>
      <c r="F6468" s="396"/>
      <c r="G6468" s="396"/>
      <c r="K6468" s="370"/>
      <c r="N6468" s="370"/>
    </row>
    <row r="6469" spans="1:14" s="347" customFormat="1" x14ac:dyDescent="0.25">
      <c r="A6469" s="369"/>
      <c r="E6469" s="396"/>
      <c r="F6469" s="396"/>
      <c r="G6469" s="396"/>
      <c r="K6469" s="370"/>
      <c r="N6469" s="370"/>
    </row>
    <row r="6470" spans="1:14" s="347" customFormat="1" x14ac:dyDescent="0.25">
      <c r="A6470" s="369"/>
      <c r="E6470" s="396"/>
      <c r="F6470" s="396"/>
      <c r="G6470" s="396"/>
      <c r="K6470" s="370"/>
      <c r="N6470" s="370"/>
    </row>
    <row r="6471" spans="1:14" s="347" customFormat="1" x14ac:dyDescent="0.25">
      <c r="A6471" s="369"/>
      <c r="E6471" s="396"/>
      <c r="F6471" s="396"/>
      <c r="G6471" s="396"/>
      <c r="K6471" s="370"/>
      <c r="N6471" s="370"/>
    </row>
    <row r="6472" spans="1:14" s="347" customFormat="1" x14ac:dyDescent="0.25">
      <c r="A6472" s="369"/>
      <c r="E6472" s="396"/>
      <c r="F6472" s="396"/>
      <c r="G6472" s="396"/>
      <c r="K6472" s="370"/>
      <c r="N6472" s="370"/>
    </row>
    <row r="6473" spans="1:14" s="347" customFormat="1" x14ac:dyDescent="0.25">
      <c r="A6473" s="369"/>
      <c r="E6473" s="396"/>
      <c r="F6473" s="396"/>
      <c r="G6473" s="396"/>
      <c r="K6473" s="370"/>
      <c r="N6473" s="370"/>
    </row>
    <row r="6474" spans="1:14" s="347" customFormat="1" x14ac:dyDescent="0.25">
      <c r="A6474" s="369"/>
      <c r="E6474" s="396"/>
      <c r="F6474" s="396"/>
      <c r="G6474" s="396"/>
      <c r="K6474" s="370"/>
      <c r="N6474" s="370"/>
    </row>
    <row r="6475" spans="1:14" s="347" customFormat="1" x14ac:dyDescent="0.25">
      <c r="A6475" s="369"/>
      <c r="E6475" s="396"/>
      <c r="F6475" s="396"/>
      <c r="G6475" s="396"/>
      <c r="K6475" s="370"/>
      <c r="N6475" s="370"/>
    </row>
    <row r="6476" spans="1:14" s="347" customFormat="1" x14ac:dyDescent="0.25">
      <c r="A6476" s="369"/>
      <c r="E6476" s="396"/>
      <c r="F6476" s="396"/>
      <c r="G6476" s="396"/>
      <c r="K6476" s="370"/>
      <c r="N6476" s="370"/>
    </row>
    <row r="6477" spans="1:14" s="347" customFormat="1" x14ac:dyDescent="0.25">
      <c r="A6477" s="369"/>
      <c r="E6477" s="396"/>
      <c r="F6477" s="396"/>
      <c r="G6477" s="396"/>
      <c r="K6477" s="370"/>
      <c r="N6477" s="370"/>
    </row>
    <row r="6478" spans="1:14" s="347" customFormat="1" x14ac:dyDescent="0.25">
      <c r="A6478" s="369"/>
      <c r="E6478" s="396"/>
      <c r="F6478" s="396"/>
      <c r="G6478" s="396"/>
      <c r="K6478" s="370"/>
      <c r="N6478" s="370"/>
    </row>
    <row r="6479" spans="1:14" s="347" customFormat="1" x14ac:dyDescent="0.25">
      <c r="A6479" s="369"/>
      <c r="E6479" s="396"/>
      <c r="F6479" s="396"/>
      <c r="G6479" s="396"/>
      <c r="K6479" s="370"/>
      <c r="N6479" s="370"/>
    </row>
    <row r="6480" spans="1:14" s="347" customFormat="1" x14ac:dyDescent="0.25">
      <c r="A6480" s="369"/>
      <c r="E6480" s="396"/>
      <c r="F6480" s="396"/>
      <c r="G6480" s="396"/>
      <c r="K6480" s="370"/>
      <c r="N6480" s="370"/>
    </row>
    <row r="6481" spans="1:14" s="347" customFormat="1" x14ac:dyDescent="0.25">
      <c r="A6481" s="369"/>
      <c r="E6481" s="396"/>
      <c r="F6481" s="396"/>
      <c r="G6481" s="396"/>
      <c r="K6481" s="370"/>
      <c r="N6481" s="370"/>
    </row>
    <row r="6482" spans="1:14" s="347" customFormat="1" x14ac:dyDescent="0.25">
      <c r="A6482" s="369"/>
      <c r="E6482" s="396"/>
      <c r="F6482" s="396"/>
      <c r="G6482" s="396"/>
      <c r="K6482" s="370"/>
      <c r="N6482" s="370"/>
    </row>
    <row r="6483" spans="1:14" s="347" customFormat="1" x14ac:dyDescent="0.25">
      <c r="A6483" s="369"/>
      <c r="E6483" s="396"/>
      <c r="F6483" s="396"/>
      <c r="G6483" s="396"/>
      <c r="K6483" s="370"/>
      <c r="N6483" s="370"/>
    </row>
    <row r="6484" spans="1:14" s="347" customFormat="1" x14ac:dyDescent="0.25">
      <c r="A6484" s="369"/>
      <c r="E6484" s="396"/>
      <c r="F6484" s="396"/>
      <c r="G6484" s="396"/>
      <c r="K6484" s="370"/>
      <c r="N6484" s="370"/>
    </row>
    <row r="6485" spans="1:14" s="347" customFormat="1" x14ac:dyDescent="0.25">
      <c r="A6485" s="369"/>
      <c r="E6485" s="396"/>
      <c r="F6485" s="396"/>
      <c r="G6485" s="396"/>
      <c r="K6485" s="370"/>
      <c r="N6485" s="370"/>
    </row>
    <row r="6486" spans="1:14" s="347" customFormat="1" x14ac:dyDescent="0.25">
      <c r="A6486" s="369"/>
      <c r="E6486" s="396"/>
      <c r="F6486" s="396"/>
      <c r="G6486" s="396"/>
      <c r="K6486" s="370"/>
      <c r="N6486" s="370"/>
    </row>
    <row r="6487" spans="1:14" s="347" customFormat="1" x14ac:dyDescent="0.25">
      <c r="A6487" s="369"/>
      <c r="E6487" s="396"/>
      <c r="F6487" s="396"/>
      <c r="G6487" s="396"/>
      <c r="K6487" s="370"/>
      <c r="N6487" s="370"/>
    </row>
    <row r="6488" spans="1:14" s="347" customFormat="1" x14ac:dyDescent="0.25">
      <c r="A6488" s="369"/>
      <c r="E6488" s="396"/>
      <c r="F6488" s="396"/>
      <c r="G6488" s="396"/>
      <c r="K6488" s="370"/>
      <c r="N6488" s="370"/>
    </row>
    <row r="6489" spans="1:14" s="347" customFormat="1" x14ac:dyDescent="0.25">
      <c r="A6489" s="369"/>
      <c r="E6489" s="396"/>
      <c r="F6489" s="396"/>
      <c r="G6489" s="396"/>
      <c r="K6489" s="370"/>
      <c r="N6489" s="370"/>
    </row>
    <row r="6490" spans="1:14" s="347" customFormat="1" x14ac:dyDescent="0.25">
      <c r="A6490" s="369"/>
      <c r="E6490" s="396"/>
      <c r="F6490" s="396"/>
      <c r="G6490" s="396"/>
      <c r="K6490" s="370"/>
      <c r="N6490" s="370"/>
    </row>
    <row r="6491" spans="1:14" s="347" customFormat="1" x14ac:dyDescent="0.25">
      <c r="A6491" s="369"/>
      <c r="E6491" s="396"/>
      <c r="F6491" s="396"/>
      <c r="G6491" s="396"/>
      <c r="K6491" s="370"/>
      <c r="N6491" s="370"/>
    </row>
    <row r="6492" spans="1:14" s="347" customFormat="1" x14ac:dyDescent="0.25">
      <c r="A6492" s="369"/>
      <c r="E6492" s="396"/>
      <c r="F6492" s="396"/>
      <c r="G6492" s="396"/>
      <c r="K6492" s="370"/>
      <c r="N6492" s="370"/>
    </row>
    <row r="6493" spans="1:14" s="347" customFormat="1" x14ac:dyDescent="0.25">
      <c r="A6493" s="369"/>
      <c r="E6493" s="396"/>
      <c r="F6493" s="396"/>
      <c r="G6493" s="396"/>
      <c r="K6493" s="370"/>
      <c r="N6493" s="370"/>
    </row>
    <row r="6494" spans="1:14" s="347" customFormat="1" x14ac:dyDescent="0.25">
      <c r="A6494" s="369"/>
      <c r="E6494" s="396"/>
      <c r="F6494" s="396"/>
      <c r="G6494" s="396"/>
      <c r="K6494" s="370"/>
      <c r="N6494" s="370"/>
    </row>
    <row r="6495" spans="1:14" s="347" customFormat="1" x14ac:dyDescent="0.25">
      <c r="A6495" s="369"/>
      <c r="E6495" s="396"/>
      <c r="F6495" s="396"/>
      <c r="G6495" s="396"/>
      <c r="K6495" s="370"/>
      <c r="N6495" s="370"/>
    </row>
    <row r="6496" spans="1:14" s="347" customFormat="1" x14ac:dyDescent="0.25">
      <c r="A6496" s="369"/>
      <c r="E6496" s="396"/>
      <c r="F6496" s="396"/>
      <c r="G6496" s="396"/>
      <c r="K6496" s="370"/>
      <c r="N6496" s="370"/>
    </row>
    <row r="6497" spans="1:14" s="347" customFormat="1" x14ac:dyDescent="0.25">
      <c r="A6497" s="369"/>
      <c r="E6497" s="396"/>
      <c r="F6497" s="396"/>
      <c r="G6497" s="396"/>
      <c r="K6497" s="370"/>
      <c r="N6497" s="370"/>
    </row>
    <row r="6498" spans="1:14" s="347" customFormat="1" x14ac:dyDescent="0.25">
      <c r="A6498" s="369"/>
      <c r="E6498" s="396"/>
      <c r="F6498" s="396"/>
      <c r="G6498" s="396"/>
      <c r="K6498" s="370"/>
      <c r="N6498" s="370"/>
    </row>
    <row r="6499" spans="1:14" s="347" customFormat="1" x14ac:dyDescent="0.25">
      <c r="A6499" s="369"/>
      <c r="E6499" s="396"/>
      <c r="F6499" s="396"/>
      <c r="G6499" s="396"/>
      <c r="K6499" s="370"/>
      <c r="N6499" s="370"/>
    </row>
    <row r="6500" spans="1:14" s="347" customFormat="1" x14ac:dyDescent="0.25">
      <c r="A6500" s="369"/>
      <c r="E6500" s="396"/>
      <c r="F6500" s="396"/>
      <c r="G6500" s="396"/>
      <c r="K6500" s="370"/>
      <c r="N6500" s="370"/>
    </row>
    <row r="6501" spans="1:14" s="347" customFormat="1" x14ac:dyDescent="0.25">
      <c r="A6501" s="369"/>
      <c r="E6501" s="396"/>
      <c r="F6501" s="396"/>
      <c r="G6501" s="396"/>
      <c r="K6501" s="370"/>
      <c r="N6501" s="370"/>
    </row>
    <row r="6502" spans="1:14" s="347" customFormat="1" x14ac:dyDescent="0.25">
      <c r="A6502" s="369"/>
      <c r="E6502" s="396"/>
      <c r="F6502" s="396"/>
      <c r="G6502" s="396"/>
      <c r="K6502" s="370"/>
      <c r="N6502" s="370"/>
    </row>
    <row r="6503" spans="1:14" s="347" customFormat="1" x14ac:dyDescent="0.25">
      <c r="A6503" s="369"/>
      <c r="E6503" s="396"/>
      <c r="F6503" s="396"/>
      <c r="G6503" s="396"/>
      <c r="K6503" s="370"/>
      <c r="N6503" s="370"/>
    </row>
    <row r="6504" spans="1:14" s="347" customFormat="1" x14ac:dyDescent="0.25">
      <c r="A6504" s="369"/>
      <c r="E6504" s="396"/>
      <c r="F6504" s="396"/>
      <c r="G6504" s="396"/>
      <c r="K6504" s="370"/>
      <c r="N6504" s="370"/>
    </row>
    <row r="6505" spans="1:14" s="347" customFormat="1" x14ac:dyDescent="0.25">
      <c r="A6505" s="369"/>
      <c r="E6505" s="396"/>
      <c r="F6505" s="396"/>
      <c r="G6505" s="396"/>
      <c r="K6505" s="370"/>
      <c r="N6505" s="370"/>
    </row>
    <row r="6506" spans="1:14" s="347" customFormat="1" x14ac:dyDescent="0.25">
      <c r="A6506" s="369"/>
      <c r="E6506" s="396"/>
      <c r="F6506" s="396"/>
      <c r="G6506" s="396"/>
      <c r="K6506" s="370"/>
      <c r="N6506" s="370"/>
    </row>
    <row r="6507" spans="1:14" s="347" customFormat="1" x14ac:dyDescent="0.25">
      <c r="A6507" s="369"/>
      <c r="E6507" s="396"/>
      <c r="F6507" s="396"/>
      <c r="G6507" s="396"/>
      <c r="K6507" s="370"/>
      <c r="N6507" s="370"/>
    </row>
    <row r="6508" spans="1:14" s="347" customFormat="1" x14ac:dyDescent="0.25">
      <c r="A6508" s="369"/>
      <c r="E6508" s="396"/>
      <c r="F6508" s="396"/>
      <c r="G6508" s="396"/>
      <c r="K6508" s="370"/>
      <c r="N6508" s="370"/>
    </row>
    <row r="6509" spans="1:14" s="347" customFormat="1" x14ac:dyDescent="0.25">
      <c r="A6509" s="369"/>
      <c r="E6509" s="396"/>
      <c r="F6509" s="396"/>
      <c r="G6509" s="396"/>
      <c r="K6509" s="370"/>
      <c r="N6509" s="370"/>
    </row>
    <row r="6510" spans="1:14" s="347" customFormat="1" x14ac:dyDescent="0.25">
      <c r="A6510" s="369"/>
      <c r="E6510" s="396"/>
      <c r="F6510" s="396"/>
      <c r="G6510" s="396"/>
      <c r="K6510" s="370"/>
      <c r="N6510" s="370"/>
    </row>
    <row r="6511" spans="1:14" s="347" customFormat="1" x14ac:dyDescent="0.25">
      <c r="A6511" s="369"/>
      <c r="E6511" s="396"/>
      <c r="F6511" s="396"/>
      <c r="G6511" s="396"/>
      <c r="K6511" s="370"/>
      <c r="N6511" s="370"/>
    </row>
    <row r="6512" spans="1:14" s="347" customFormat="1" x14ac:dyDescent="0.25">
      <c r="A6512" s="369"/>
      <c r="E6512" s="396"/>
      <c r="F6512" s="396"/>
      <c r="G6512" s="396"/>
      <c r="K6512" s="370"/>
      <c r="N6512" s="370"/>
    </row>
    <row r="6513" spans="1:14" s="347" customFormat="1" x14ac:dyDescent="0.25">
      <c r="A6513" s="369"/>
      <c r="E6513" s="396"/>
      <c r="F6513" s="396"/>
      <c r="G6513" s="396"/>
      <c r="K6513" s="370"/>
      <c r="N6513" s="370"/>
    </row>
    <row r="6514" spans="1:14" s="347" customFormat="1" x14ac:dyDescent="0.25">
      <c r="A6514" s="369"/>
      <c r="E6514" s="396"/>
      <c r="F6514" s="396"/>
      <c r="G6514" s="396"/>
      <c r="K6514" s="370"/>
      <c r="N6514" s="370"/>
    </row>
    <row r="6515" spans="1:14" s="347" customFormat="1" x14ac:dyDescent="0.25">
      <c r="A6515" s="369"/>
      <c r="E6515" s="396"/>
      <c r="F6515" s="396"/>
      <c r="G6515" s="396"/>
      <c r="K6515" s="370"/>
      <c r="N6515" s="370"/>
    </row>
    <row r="6516" spans="1:14" s="347" customFormat="1" x14ac:dyDescent="0.25">
      <c r="A6516" s="369"/>
      <c r="E6516" s="396"/>
      <c r="F6516" s="396"/>
      <c r="G6516" s="396"/>
      <c r="K6516" s="370"/>
      <c r="N6516" s="370"/>
    </row>
    <row r="6517" spans="1:14" s="347" customFormat="1" x14ac:dyDescent="0.25">
      <c r="A6517" s="369"/>
      <c r="E6517" s="396"/>
      <c r="F6517" s="396"/>
      <c r="G6517" s="396"/>
      <c r="K6517" s="370"/>
      <c r="N6517" s="370"/>
    </row>
    <row r="6518" spans="1:14" s="347" customFormat="1" x14ac:dyDescent="0.25">
      <c r="A6518" s="369"/>
      <c r="E6518" s="396"/>
      <c r="F6518" s="396"/>
      <c r="G6518" s="396"/>
      <c r="K6518" s="370"/>
      <c r="N6518" s="370"/>
    </row>
    <row r="6519" spans="1:14" s="347" customFormat="1" x14ac:dyDescent="0.25">
      <c r="A6519" s="369"/>
      <c r="E6519" s="396"/>
      <c r="F6519" s="396"/>
      <c r="G6519" s="396"/>
      <c r="K6519" s="370"/>
      <c r="N6519" s="370"/>
    </row>
    <row r="6520" spans="1:14" s="347" customFormat="1" x14ac:dyDescent="0.25">
      <c r="A6520" s="369"/>
      <c r="E6520" s="396"/>
      <c r="F6520" s="396"/>
      <c r="G6520" s="396"/>
      <c r="K6520" s="370"/>
      <c r="N6520" s="370"/>
    </row>
    <row r="6521" spans="1:14" s="347" customFormat="1" x14ac:dyDescent="0.25">
      <c r="A6521" s="369"/>
      <c r="E6521" s="396"/>
      <c r="F6521" s="396"/>
      <c r="G6521" s="396"/>
      <c r="K6521" s="370"/>
      <c r="N6521" s="370"/>
    </row>
    <row r="6522" spans="1:14" s="347" customFormat="1" x14ac:dyDescent="0.25">
      <c r="A6522" s="369"/>
      <c r="E6522" s="396"/>
      <c r="F6522" s="396"/>
      <c r="G6522" s="396"/>
      <c r="K6522" s="370"/>
      <c r="N6522" s="370"/>
    </row>
    <row r="6523" spans="1:14" s="347" customFormat="1" x14ac:dyDescent="0.25">
      <c r="A6523" s="369"/>
      <c r="E6523" s="396"/>
      <c r="F6523" s="396"/>
      <c r="G6523" s="396"/>
      <c r="K6523" s="370"/>
      <c r="N6523" s="370"/>
    </row>
    <row r="6524" spans="1:14" s="347" customFormat="1" x14ac:dyDescent="0.25">
      <c r="A6524" s="369"/>
      <c r="E6524" s="396"/>
      <c r="F6524" s="396"/>
      <c r="G6524" s="396"/>
      <c r="K6524" s="370"/>
      <c r="N6524" s="370"/>
    </row>
    <row r="6525" spans="1:14" s="347" customFormat="1" x14ac:dyDescent="0.25">
      <c r="A6525" s="369"/>
      <c r="E6525" s="396"/>
      <c r="F6525" s="396"/>
      <c r="G6525" s="396"/>
      <c r="K6525" s="370"/>
      <c r="N6525" s="370"/>
    </row>
    <row r="6526" spans="1:14" s="347" customFormat="1" x14ac:dyDescent="0.25">
      <c r="A6526" s="369"/>
      <c r="E6526" s="396"/>
      <c r="F6526" s="396"/>
      <c r="G6526" s="396"/>
      <c r="K6526" s="370"/>
      <c r="N6526" s="370"/>
    </row>
    <row r="6527" spans="1:14" s="347" customFormat="1" x14ac:dyDescent="0.25">
      <c r="A6527" s="369"/>
      <c r="E6527" s="396"/>
      <c r="F6527" s="396"/>
      <c r="G6527" s="396"/>
      <c r="K6527" s="370"/>
      <c r="N6527" s="370"/>
    </row>
    <row r="6528" spans="1:14" s="347" customFormat="1" x14ac:dyDescent="0.25">
      <c r="A6528" s="369"/>
      <c r="E6528" s="396"/>
      <c r="F6528" s="396"/>
      <c r="G6528" s="396"/>
      <c r="K6528" s="370"/>
      <c r="N6528" s="370"/>
    </row>
    <row r="6529" spans="1:14" s="347" customFormat="1" x14ac:dyDescent="0.25">
      <c r="A6529" s="369"/>
      <c r="E6529" s="396"/>
      <c r="F6529" s="396"/>
      <c r="G6529" s="396"/>
      <c r="K6529" s="370"/>
      <c r="N6529" s="370"/>
    </row>
    <row r="6530" spans="1:14" s="347" customFormat="1" x14ac:dyDescent="0.25">
      <c r="A6530" s="369"/>
      <c r="E6530" s="396"/>
      <c r="F6530" s="396"/>
      <c r="G6530" s="396"/>
      <c r="K6530" s="370"/>
      <c r="N6530" s="370"/>
    </row>
    <row r="6531" spans="1:14" s="347" customFormat="1" x14ac:dyDescent="0.25">
      <c r="A6531" s="369"/>
      <c r="E6531" s="396"/>
      <c r="F6531" s="396"/>
      <c r="G6531" s="396"/>
      <c r="K6531" s="370"/>
      <c r="N6531" s="370"/>
    </row>
    <row r="6532" spans="1:14" s="347" customFormat="1" x14ac:dyDescent="0.25">
      <c r="A6532" s="369"/>
      <c r="E6532" s="396"/>
      <c r="F6532" s="396"/>
      <c r="G6532" s="396"/>
      <c r="K6532" s="370"/>
      <c r="N6532" s="370"/>
    </row>
    <row r="6533" spans="1:14" s="347" customFormat="1" x14ac:dyDescent="0.25">
      <c r="A6533" s="369"/>
      <c r="E6533" s="396"/>
      <c r="F6533" s="396"/>
      <c r="G6533" s="396"/>
      <c r="K6533" s="370"/>
      <c r="N6533" s="370"/>
    </row>
    <row r="6534" spans="1:14" s="347" customFormat="1" x14ac:dyDescent="0.25">
      <c r="A6534" s="369"/>
      <c r="E6534" s="396"/>
      <c r="F6534" s="396"/>
      <c r="G6534" s="396"/>
      <c r="K6534" s="370"/>
      <c r="N6534" s="370"/>
    </row>
    <row r="6535" spans="1:14" s="347" customFormat="1" x14ac:dyDescent="0.25">
      <c r="A6535" s="369"/>
      <c r="E6535" s="396"/>
      <c r="F6535" s="396"/>
      <c r="G6535" s="396"/>
      <c r="K6535" s="370"/>
      <c r="N6535" s="370"/>
    </row>
    <row r="6536" spans="1:14" s="347" customFormat="1" x14ac:dyDescent="0.25">
      <c r="A6536" s="369"/>
      <c r="E6536" s="396"/>
      <c r="F6536" s="396"/>
      <c r="G6536" s="396"/>
      <c r="K6536" s="370"/>
      <c r="N6536" s="370"/>
    </row>
    <row r="6537" spans="1:14" s="347" customFormat="1" x14ac:dyDescent="0.25">
      <c r="A6537" s="369"/>
      <c r="E6537" s="396"/>
      <c r="F6537" s="396"/>
      <c r="G6537" s="396"/>
      <c r="K6537" s="370"/>
      <c r="N6537" s="370"/>
    </row>
    <row r="6538" spans="1:14" s="347" customFormat="1" x14ac:dyDescent="0.25">
      <c r="A6538" s="369"/>
      <c r="E6538" s="396"/>
      <c r="F6538" s="396"/>
      <c r="G6538" s="396"/>
      <c r="K6538" s="370"/>
      <c r="N6538" s="370"/>
    </row>
    <row r="6539" spans="1:14" s="347" customFormat="1" x14ac:dyDescent="0.25">
      <c r="A6539" s="369"/>
      <c r="E6539" s="396"/>
      <c r="F6539" s="396"/>
      <c r="G6539" s="396"/>
      <c r="K6539" s="370"/>
      <c r="N6539" s="370"/>
    </row>
    <row r="6540" spans="1:14" s="347" customFormat="1" x14ac:dyDescent="0.25">
      <c r="A6540" s="369"/>
      <c r="E6540" s="396"/>
      <c r="F6540" s="396"/>
      <c r="G6540" s="396"/>
      <c r="K6540" s="370"/>
      <c r="N6540" s="370"/>
    </row>
    <row r="6541" spans="1:14" s="347" customFormat="1" x14ac:dyDescent="0.25">
      <c r="A6541" s="369"/>
      <c r="E6541" s="396"/>
      <c r="F6541" s="396"/>
      <c r="G6541" s="396"/>
      <c r="K6541" s="370"/>
      <c r="N6541" s="370"/>
    </row>
    <row r="6542" spans="1:14" s="347" customFormat="1" x14ac:dyDescent="0.25">
      <c r="A6542" s="369"/>
      <c r="E6542" s="396"/>
      <c r="F6542" s="396"/>
      <c r="G6542" s="396"/>
      <c r="K6542" s="370"/>
      <c r="N6542" s="370"/>
    </row>
    <row r="6543" spans="1:14" s="347" customFormat="1" x14ac:dyDescent="0.25">
      <c r="A6543" s="369"/>
      <c r="E6543" s="396"/>
      <c r="F6543" s="396"/>
      <c r="G6543" s="396"/>
      <c r="K6543" s="370"/>
      <c r="N6543" s="370"/>
    </row>
    <row r="6544" spans="1:14" s="347" customFormat="1" x14ac:dyDescent="0.25">
      <c r="A6544" s="369"/>
      <c r="E6544" s="396"/>
      <c r="F6544" s="396"/>
      <c r="G6544" s="396"/>
      <c r="K6544" s="370"/>
      <c r="N6544" s="370"/>
    </row>
    <row r="6545" spans="1:14" s="347" customFormat="1" x14ac:dyDescent="0.25">
      <c r="A6545" s="369"/>
      <c r="E6545" s="396"/>
      <c r="F6545" s="396"/>
      <c r="G6545" s="396"/>
      <c r="K6545" s="370"/>
      <c r="N6545" s="370"/>
    </row>
    <row r="6546" spans="1:14" s="347" customFormat="1" x14ac:dyDescent="0.25">
      <c r="A6546" s="369"/>
      <c r="E6546" s="396"/>
      <c r="F6546" s="396"/>
      <c r="G6546" s="396"/>
      <c r="K6546" s="370"/>
      <c r="N6546" s="370"/>
    </row>
    <row r="6547" spans="1:14" s="347" customFormat="1" x14ac:dyDescent="0.25">
      <c r="A6547" s="369"/>
      <c r="E6547" s="396"/>
      <c r="F6547" s="396"/>
      <c r="G6547" s="396"/>
      <c r="K6547" s="370"/>
      <c r="N6547" s="370"/>
    </row>
    <row r="6548" spans="1:14" s="347" customFormat="1" x14ac:dyDescent="0.25">
      <c r="A6548" s="369"/>
      <c r="E6548" s="396"/>
      <c r="F6548" s="396"/>
      <c r="G6548" s="396"/>
      <c r="K6548" s="370"/>
      <c r="N6548" s="370"/>
    </row>
    <row r="6549" spans="1:14" s="347" customFormat="1" x14ac:dyDescent="0.25">
      <c r="A6549" s="369"/>
      <c r="E6549" s="396"/>
      <c r="F6549" s="396"/>
      <c r="G6549" s="396"/>
      <c r="K6549" s="370"/>
      <c r="N6549" s="370"/>
    </row>
    <row r="6550" spans="1:14" s="347" customFormat="1" x14ac:dyDescent="0.25">
      <c r="A6550" s="369"/>
      <c r="E6550" s="396"/>
      <c r="F6550" s="396"/>
      <c r="G6550" s="396"/>
      <c r="K6550" s="370"/>
      <c r="N6550" s="370"/>
    </row>
    <row r="6551" spans="1:14" s="347" customFormat="1" x14ac:dyDescent="0.25">
      <c r="A6551" s="369"/>
      <c r="E6551" s="396"/>
      <c r="F6551" s="396"/>
      <c r="G6551" s="396"/>
      <c r="K6551" s="370"/>
      <c r="N6551" s="370"/>
    </row>
    <row r="6552" spans="1:14" s="347" customFormat="1" x14ac:dyDescent="0.25">
      <c r="A6552" s="369"/>
      <c r="E6552" s="396"/>
      <c r="F6552" s="396"/>
      <c r="G6552" s="396"/>
      <c r="K6552" s="370"/>
      <c r="N6552" s="370"/>
    </row>
    <row r="6553" spans="1:14" s="347" customFormat="1" x14ac:dyDescent="0.25">
      <c r="A6553" s="369"/>
      <c r="E6553" s="396"/>
      <c r="F6553" s="396"/>
      <c r="G6553" s="396"/>
      <c r="K6553" s="370"/>
      <c r="N6553" s="370"/>
    </row>
    <row r="6554" spans="1:14" s="347" customFormat="1" x14ac:dyDescent="0.25">
      <c r="A6554" s="369"/>
      <c r="E6554" s="396"/>
      <c r="F6554" s="396"/>
      <c r="G6554" s="396"/>
      <c r="K6554" s="370"/>
      <c r="N6554" s="370"/>
    </row>
    <row r="6555" spans="1:14" s="347" customFormat="1" x14ac:dyDescent="0.25">
      <c r="A6555" s="369"/>
      <c r="E6555" s="396"/>
      <c r="F6555" s="396"/>
      <c r="G6555" s="396"/>
      <c r="K6555" s="370"/>
      <c r="N6555" s="370"/>
    </row>
    <row r="6556" spans="1:14" s="347" customFormat="1" x14ac:dyDescent="0.25">
      <c r="A6556" s="369"/>
      <c r="E6556" s="396"/>
      <c r="F6556" s="396"/>
      <c r="G6556" s="396"/>
      <c r="K6556" s="370"/>
      <c r="N6556" s="370"/>
    </row>
    <row r="6557" spans="1:14" s="347" customFormat="1" x14ac:dyDescent="0.25">
      <c r="A6557" s="369"/>
      <c r="E6557" s="396"/>
      <c r="F6557" s="396"/>
      <c r="G6557" s="396"/>
      <c r="K6557" s="370"/>
      <c r="N6557" s="370"/>
    </row>
    <row r="6558" spans="1:14" s="347" customFormat="1" x14ac:dyDescent="0.25">
      <c r="A6558" s="369"/>
      <c r="E6558" s="396"/>
      <c r="F6558" s="396"/>
      <c r="G6558" s="396"/>
      <c r="K6558" s="370"/>
      <c r="N6558" s="370"/>
    </row>
    <row r="6559" spans="1:14" s="347" customFormat="1" x14ac:dyDescent="0.25">
      <c r="A6559" s="369"/>
      <c r="E6559" s="396"/>
      <c r="F6559" s="396"/>
      <c r="G6559" s="396"/>
      <c r="K6559" s="370"/>
      <c r="N6559" s="370"/>
    </row>
    <row r="6560" spans="1:14" s="347" customFormat="1" x14ac:dyDescent="0.25">
      <c r="A6560" s="369"/>
      <c r="E6560" s="396"/>
      <c r="F6560" s="396"/>
      <c r="G6560" s="396"/>
      <c r="K6560" s="370"/>
      <c r="N6560" s="370"/>
    </row>
    <row r="6561" spans="1:14" s="347" customFormat="1" x14ac:dyDescent="0.25">
      <c r="A6561" s="369"/>
      <c r="E6561" s="396"/>
      <c r="F6561" s="396"/>
      <c r="G6561" s="396"/>
      <c r="K6561" s="370"/>
      <c r="N6561" s="370"/>
    </row>
    <row r="6562" spans="1:14" s="347" customFormat="1" x14ac:dyDescent="0.25">
      <c r="A6562" s="369"/>
      <c r="E6562" s="396"/>
      <c r="F6562" s="396"/>
      <c r="G6562" s="396"/>
      <c r="K6562" s="370"/>
      <c r="N6562" s="370"/>
    </row>
    <row r="6563" spans="1:14" s="347" customFormat="1" x14ac:dyDescent="0.25">
      <c r="A6563" s="369"/>
      <c r="E6563" s="396"/>
      <c r="F6563" s="396"/>
      <c r="G6563" s="396"/>
      <c r="K6563" s="370"/>
      <c r="N6563" s="370"/>
    </row>
    <row r="6564" spans="1:14" s="347" customFormat="1" x14ac:dyDescent="0.25">
      <c r="A6564" s="369"/>
      <c r="E6564" s="396"/>
      <c r="F6564" s="396"/>
      <c r="G6564" s="396"/>
      <c r="K6564" s="370"/>
      <c r="N6564" s="370"/>
    </row>
    <row r="6565" spans="1:14" s="347" customFormat="1" x14ac:dyDescent="0.25">
      <c r="A6565" s="369"/>
      <c r="E6565" s="396"/>
      <c r="F6565" s="396"/>
      <c r="G6565" s="396"/>
      <c r="K6565" s="370"/>
      <c r="N6565" s="370"/>
    </row>
    <row r="6566" spans="1:14" s="347" customFormat="1" x14ac:dyDescent="0.25">
      <c r="A6566" s="369"/>
      <c r="E6566" s="396"/>
      <c r="F6566" s="396"/>
      <c r="G6566" s="396"/>
      <c r="K6566" s="370"/>
      <c r="N6566" s="370"/>
    </row>
    <row r="6567" spans="1:14" s="347" customFormat="1" x14ac:dyDescent="0.25">
      <c r="A6567" s="369"/>
      <c r="E6567" s="396"/>
      <c r="F6567" s="396"/>
      <c r="G6567" s="396"/>
      <c r="K6567" s="370"/>
      <c r="N6567" s="370"/>
    </row>
    <row r="6568" spans="1:14" s="347" customFormat="1" x14ac:dyDescent="0.25">
      <c r="A6568" s="369"/>
      <c r="E6568" s="396"/>
      <c r="F6568" s="396"/>
      <c r="G6568" s="396"/>
      <c r="K6568" s="370"/>
      <c r="N6568" s="370"/>
    </row>
    <row r="6569" spans="1:14" s="347" customFormat="1" x14ac:dyDescent="0.25">
      <c r="A6569" s="369"/>
      <c r="E6569" s="396"/>
      <c r="F6569" s="396"/>
      <c r="G6569" s="396"/>
      <c r="K6569" s="370"/>
      <c r="N6569" s="370"/>
    </row>
    <row r="6570" spans="1:14" s="347" customFormat="1" x14ac:dyDescent="0.25">
      <c r="A6570" s="369"/>
      <c r="E6570" s="396"/>
      <c r="F6570" s="396"/>
      <c r="G6570" s="396"/>
      <c r="K6570" s="370"/>
      <c r="N6570" s="370"/>
    </row>
    <row r="6571" spans="1:14" s="347" customFormat="1" x14ac:dyDescent="0.25">
      <c r="A6571" s="369"/>
      <c r="E6571" s="396"/>
      <c r="F6571" s="396"/>
      <c r="G6571" s="396"/>
      <c r="K6571" s="370"/>
      <c r="N6571" s="370"/>
    </row>
    <row r="6572" spans="1:14" s="347" customFormat="1" x14ac:dyDescent="0.25">
      <c r="A6572" s="369"/>
      <c r="E6572" s="396"/>
      <c r="F6572" s="396"/>
      <c r="G6572" s="396"/>
      <c r="K6572" s="370"/>
      <c r="N6572" s="370"/>
    </row>
    <row r="6573" spans="1:14" s="347" customFormat="1" x14ac:dyDescent="0.25">
      <c r="A6573" s="369"/>
      <c r="E6573" s="396"/>
      <c r="F6573" s="396"/>
      <c r="G6573" s="396"/>
      <c r="K6573" s="370"/>
      <c r="N6573" s="370"/>
    </row>
    <row r="6574" spans="1:14" s="347" customFormat="1" x14ac:dyDescent="0.25">
      <c r="A6574" s="369"/>
      <c r="E6574" s="396"/>
      <c r="F6574" s="396"/>
      <c r="G6574" s="396"/>
      <c r="K6574" s="370"/>
      <c r="N6574" s="370"/>
    </row>
    <row r="6575" spans="1:14" s="347" customFormat="1" x14ac:dyDescent="0.25">
      <c r="A6575" s="369"/>
      <c r="E6575" s="396"/>
      <c r="F6575" s="396"/>
      <c r="G6575" s="396"/>
      <c r="K6575" s="370"/>
      <c r="N6575" s="370"/>
    </row>
    <row r="6576" spans="1:14" s="347" customFormat="1" x14ac:dyDescent="0.25">
      <c r="A6576" s="369"/>
      <c r="E6576" s="396"/>
      <c r="F6576" s="396"/>
      <c r="G6576" s="396"/>
      <c r="K6576" s="370"/>
      <c r="N6576" s="370"/>
    </row>
    <row r="6577" spans="1:14" s="347" customFormat="1" x14ac:dyDescent="0.25">
      <c r="A6577" s="369"/>
      <c r="E6577" s="396"/>
      <c r="F6577" s="396"/>
      <c r="G6577" s="396"/>
      <c r="K6577" s="370"/>
      <c r="N6577" s="370"/>
    </row>
    <row r="6578" spans="1:14" s="347" customFormat="1" x14ac:dyDescent="0.25">
      <c r="A6578" s="369"/>
      <c r="E6578" s="396"/>
      <c r="F6578" s="396"/>
      <c r="G6578" s="396"/>
      <c r="K6578" s="370"/>
      <c r="N6578" s="370"/>
    </row>
    <row r="6579" spans="1:14" s="347" customFormat="1" x14ac:dyDescent="0.25">
      <c r="A6579" s="369"/>
      <c r="E6579" s="396"/>
      <c r="F6579" s="396"/>
      <c r="G6579" s="396"/>
      <c r="K6579" s="370"/>
      <c r="N6579" s="370"/>
    </row>
    <row r="6580" spans="1:14" s="347" customFormat="1" x14ac:dyDescent="0.25">
      <c r="A6580" s="369"/>
      <c r="E6580" s="396"/>
      <c r="F6580" s="396"/>
      <c r="G6580" s="396"/>
      <c r="K6580" s="370"/>
      <c r="N6580" s="370"/>
    </row>
    <row r="6581" spans="1:14" s="347" customFormat="1" x14ac:dyDescent="0.25">
      <c r="A6581" s="369"/>
      <c r="E6581" s="396"/>
      <c r="F6581" s="396"/>
      <c r="G6581" s="396"/>
      <c r="K6581" s="370"/>
      <c r="N6581" s="370"/>
    </row>
    <row r="6582" spans="1:14" s="347" customFormat="1" x14ac:dyDescent="0.25">
      <c r="A6582" s="369"/>
      <c r="E6582" s="396"/>
      <c r="F6582" s="396"/>
      <c r="G6582" s="396"/>
      <c r="K6582" s="370"/>
      <c r="N6582" s="370"/>
    </row>
    <row r="6583" spans="1:14" s="347" customFormat="1" x14ac:dyDescent="0.25">
      <c r="A6583" s="369"/>
      <c r="E6583" s="396"/>
      <c r="F6583" s="396"/>
      <c r="G6583" s="396"/>
      <c r="K6583" s="370"/>
      <c r="N6583" s="370"/>
    </row>
    <row r="6584" spans="1:14" s="347" customFormat="1" x14ac:dyDescent="0.25">
      <c r="A6584" s="369"/>
      <c r="E6584" s="396"/>
      <c r="F6584" s="396"/>
      <c r="G6584" s="396"/>
      <c r="K6584" s="370"/>
      <c r="N6584" s="370"/>
    </row>
    <row r="6585" spans="1:14" s="347" customFormat="1" x14ac:dyDescent="0.25">
      <c r="A6585" s="369"/>
      <c r="E6585" s="396"/>
      <c r="F6585" s="396"/>
      <c r="G6585" s="396"/>
      <c r="K6585" s="370"/>
      <c r="N6585" s="370"/>
    </row>
    <row r="6586" spans="1:14" s="347" customFormat="1" x14ac:dyDescent="0.25">
      <c r="A6586" s="369"/>
      <c r="E6586" s="396"/>
      <c r="F6586" s="396"/>
      <c r="G6586" s="396"/>
      <c r="K6586" s="370"/>
      <c r="N6586" s="370"/>
    </row>
    <row r="6587" spans="1:14" s="347" customFormat="1" x14ac:dyDescent="0.25">
      <c r="A6587" s="369"/>
      <c r="E6587" s="396"/>
      <c r="F6587" s="396"/>
      <c r="G6587" s="396"/>
      <c r="K6587" s="370"/>
      <c r="N6587" s="370"/>
    </row>
    <row r="6588" spans="1:14" s="347" customFormat="1" x14ac:dyDescent="0.25">
      <c r="A6588" s="369"/>
      <c r="E6588" s="396"/>
      <c r="F6588" s="396"/>
      <c r="G6588" s="396"/>
      <c r="K6588" s="370"/>
      <c r="N6588" s="370"/>
    </row>
    <row r="6589" spans="1:14" s="347" customFormat="1" x14ac:dyDescent="0.25">
      <c r="A6589" s="369"/>
      <c r="E6589" s="396"/>
      <c r="F6589" s="396"/>
      <c r="G6589" s="396"/>
      <c r="K6589" s="370"/>
      <c r="N6589" s="370"/>
    </row>
    <row r="6590" spans="1:14" s="347" customFormat="1" x14ac:dyDescent="0.25">
      <c r="A6590" s="369"/>
      <c r="E6590" s="396"/>
      <c r="F6590" s="396"/>
      <c r="G6590" s="396"/>
      <c r="K6590" s="370"/>
      <c r="N6590" s="370"/>
    </row>
    <row r="6591" spans="1:14" s="347" customFormat="1" x14ac:dyDescent="0.25">
      <c r="A6591" s="369"/>
      <c r="E6591" s="396"/>
      <c r="F6591" s="396"/>
      <c r="G6591" s="396"/>
      <c r="K6591" s="370"/>
      <c r="N6591" s="370"/>
    </row>
    <row r="6592" spans="1:14" s="347" customFormat="1" x14ac:dyDescent="0.25">
      <c r="A6592" s="369"/>
      <c r="E6592" s="396"/>
      <c r="F6592" s="396"/>
      <c r="G6592" s="396"/>
      <c r="K6592" s="370"/>
      <c r="N6592" s="370"/>
    </row>
    <row r="6593" spans="1:14" s="347" customFormat="1" x14ac:dyDescent="0.25">
      <c r="A6593" s="369"/>
      <c r="E6593" s="396"/>
      <c r="F6593" s="396"/>
      <c r="G6593" s="396"/>
      <c r="K6593" s="370"/>
      <c r="N6593" s="370"/>
    </row>
    <row r="6594" spans="1:14" s="347" customFormat="1" x14ac:dyDescent="0.25">
      <c r="A6594" s="369"/>
      <c r="E6594" s="396"/>
      <c r="F6594" s="396"/>
      <c r="G6594" s="396"/>
      <c r="K6594" s="370"/>
      <c r="N6594" s="370"/>
    </row>
    <row r="6595" spans="1:14" s="347" customFormat="1" x14ac:dyDescent="0.25">
      <c r="A6595" s="369"/>
      <c r="E6595" s="396"/>
      <c r="F6595" s="396"/>
      <c r="G6595" s="396"/>
      <c r="K6595" s="370"/>
      <c r="N6595" s="370"/>
    </row>
    <row r="6596" spans="1:14" s="347" customFormat="1" x14ac:dyDescent="0.25">
      <c r="A6596" s="369"/>
      <c r="E6596" s="396"/>
      <c r="F6596" s="396"/>
      <c r="G6596" s="396"/>
      <c r="K6596" s="370"/>
      <c r="N6596" s="370"/>
    </row>
    <row r="6597" spans="1:14" s="347" customFormat="1" x14ac:dyDescent="0.25">
      <c r="A6597" s="369"/>
      <c r="E6597" s="396"/>
      <c r="F6597" s="396"/>
      <c r="G6597" s="396"/>
      <c r="K6597" s="370"/>
      <c r="N6597" s="370"/>
    </row>
    <row r="6598" spans="1:14" s="347" customFormat="1" x14ac:dyDescent="0.25">
      <c r="A6598" s="369"/>
      <c r="E6598" s="396"/>
      <c r="F6598" s="396"/>
      <c r="G6598" s="396"/>
      <c r="K6598" s="370"/>
      <c r="N6598" s="370"/>
    </row>
    <row r="6599" spans="1:14" s="347" customFormat="1" x14ac:dyDescent="0.25">
      <c r="A6599" s="369"/>
      <c r="E6599" s="396"/>
      <c r="F6599" s="396"/>
      <c r="G6599" s="396"/>
      <c r="K6599" s="370"/>
      <c r="N6599" s="370"/>
    </row>
    <row r="6600" spans="1:14" s="347" customFormat="1" x14ac:dyDescent="0.25">
      <c r="A6600" s="369"/>
      <c r="E6600" s="396"/>
      <c r="F6600" s="396"/>
      <c r="G6600" s="396"/>
      <c r="K6600" s="370"/>
      <c r="N6600" s="370"/>
    </row>
    <row r="6601" spans="1:14" s="347" customFormat="1" x14ac:dyDescent="0.25">
      <c r="A6601" s="369"/>
      <c r="E6601" s="396"/>
      <c r="F6601" s="396"/>
      <c r="G6601" s="396"/>
      <c r="K6601" s="370"/>
      <c r="N6601" s="370"/>
    </row>
    <row r="6602" spans="1:14" s="347" customFormat="1" x14ac:dyDescent="0.25">
      <c r="A6602" s="369"/>
      <c r="E6602" s="396"/>
      <c r="F6602" s="396"/>
      <c r="G6602" s="396"/>
      <c r="K6602" s="370"/>
      <c r="N6602" s="370"/>
    </row>
    <row r="6603" spans="1:14" s="347" customFormat="1" x14ac:dyDescent="0.25">
      <c r="A6603" s="369"/>
      <c r="E6603" s="396"/>
      <c r="F6603" s="396"/>
      <c r="G6603" s="396"/>
      <c r="K6603" s="370"/>
      <c r="N6603" s="370"/>
    </row>
    <row r="6604" spans="1:14" s="347" customFormat="1" x14ac:dyDescent="0.25">
      <c r="A6604" s="369"/>
      <c r="E6604" s="396"/>
      <c r="F6604" s="396"/>
      <c r="G6604" s="396"/>
      <c r="K6604" s="370"/>
      <c r="N6604" s="370"/>
    </row>
    <row r="6605" spans="1:14" s="347" customFormat="1" x14ac:dyDescent="0.25">
      <c r="A6605" s="369"/>
      <c r="E6605" s="396"/>
      <c r="F6605" s="396"/>
      <c r="G6605" s="396"/>
      <c r="K6605" s="370"/>
      <c r="N6605" s="370"/>
    </row>
    <row r="6606" spans="1:14" s="347" customFormat="1" x14ac:dyDescent="0.25">
      <c r="A6606" s="369"/>
      <c r="E6606" s="396"/>
      <c r="F6606" s="396"/>
      <c r="G6606" s="396"/>
      <c r="K6606" s="370"/>
      <c r="N6606" s="370"/>
    </row>
    <row r="6607" spans="1:14" s="347" customFormat="1" x14ac:dyDescent="0.25">
      <c r="A6607" s="369"/>
      <c r="E6607" s="396"/>
      <c r="F6607" s="396"/>
      <c r="G6607" s="396"/>
      <c r="K6607" s="370"/>
      <c r="N6607" s="370"/>
    </row>
    <row r="6608" spans="1:14" s="347" customFormat="1" x14ac:dyDescent="0.25">
      <c r="A6608" s="369"/>
      <c r="E6608" s="396"/>
      <c r="F6608" s="396"/>
      <c r="G6608" s="396"/>
      <c r="K6608" s="370"/>
      <c r="N6608" s="370"/>
    </row>
    <row r="6609" spans="1:14" s="347" customFormat="1" x14ac:dyDescent="0.25">
      <c r="A6609" s="369"/>
      <c r="E6609" s="396"/>
      <c r="F6609" s="396"/>
      <c r="G6609" s="396"/>
      <c r="K6609" s="370"/>
      <c r="N6609" s="370"/>
    </row>
    <row r="6610" spans="1:14" s="347" customFormat="1" x14ac:dyDescent="0.25">
      <c r="A6610" s="369"/>
      <c r="E6610" s="396"/>
      <c r="F6610" s="396"/>
      <c r="G6610" s="396"/>
      <c r="K6610" s="370"/>
      <c r="N6610" s="370"/>
    </row>
    <row r="6611" spans="1:14" s="347" customFormat="1" x14ac:dyDescent="0.25">
      <c r="A6611" s="369"/>
      <c r="E6611" s="396"/>
      <c r="F6611" s="396"/>
      <c r="G6611" s="396"/>
      <c r="K6611" s="370"/>
      <c r="N6611" s="370"/>
    </row>
    <row r="6612" spans="1:14" s="347" customFormat="1" x14ac:dyDescent="0.25">
      <c r="A6612" s="369"/>
      <c r="E6612" s="396"/>
      <c r="F6612" s="396"/>
      <c r="G6612" s="396"/>
      <c r="K6612" s="370"/>
      <c r="N6612" s="370"/>
    </row>
    <row r="6613" spans="1:14" s="347" customFormat="1" x14ac:dyDescent="0.25">
      <c r="A6613" s="369"/>
      <c r="E6613" s="396"/>
      <c r="F6613" s="396"/>
      <c r="G6613" s="396"/>
      <c r="K6613" s="370"/>
      <c r="N6613" s="370"/>
    </row>
    <row r="6614" spans="1:14" s="347" customFormat="1" x14ac:dyDescent="0.25">
      <c r="A6614" s="369"/>
      <c r="E6614" s="396"/>
      <c r="F6614" s="396"/>
      <c r="G6614" s="396"/>
      <c r="K6614" s="370"/>
      <c r="N6614" s="370"/>
    </row>
    <row r="6615" spans="1:14" s="347" customFormat="1" x14ac:dyDescent="0.25">
      <c r="A6615" s="369"/>
      <c r="E6615" s="396"/>
      <c r="F6615" s="396"/>
      <c r="G6615" s="396"/>
      <c r="K6615" s="370"/>
      <c r="N6615" s="370"/>
    </row>
    <row r="6616" spans="1:14" s="347" customFormat="1" x14ac:dyDescent="0.25">
      <c r="A6616" s="369"/>
      <c r="E6616" s="396"/>
      <c r="F6616" s="396"/>
      <c r="G6616" s="396"/>
      <c r="K6616" s="370"/>
      <c r="N6616" s="370"/>
    </row>
    <row r="6617" spans="1:14" s="347" customFormat="1" x14ac:dyDescent="0.25">
      <c r="A6617" s="369"/>
      <c r="E6617" s="396"/>
      <c r="F6617" s="396"/>
      <c r="G6617" s="396"/>
      <c r="K6617" s="370"/>
      <c r="N6617" s="370"/>
    </row>
    <row r="6618" spans="1:14" s="347" customFormat="1" x14ac:dyDescent="0.25">
      <c r="A6618" s="369"/>
      <c r="E6618" s="396"/>
      <c r="F6618" s="396"/>
      <c r="G6618" s="396"/>
      <c r="K6618" s="370"/>
      <c r="N6618" s="370"/>
    </row>
    <row r="6619" spans="1:14" s="347" customFormat="1" x14ac:dyDescent="0.25">
      <c r="A6619" s="369"/>
      <c r="E6619" s="396"/>
      <c r="F6619" s="396"/>
      <c r="G6619" s="396"/>
      <c r="K6619" s="370"/>
      <c r="N6619" s="370"/>
    </row>
    <row r="6620" spans="1:14" s="347" customFormat="1" x14ac:dyDescent="0.25">
      <c r="A6620" s="369"/>
      <c r="E6620" s="396"/>
      <c r="F6620" s="396"/>
      <c r="G6620" s="396"/>
      <c r="K6620" s="370"/>
      <c r="N6620" s="370"/>
    </row>
    <row r="6621" spans="1:14" s="347" customFormat="1" x14ac:dyDescent="0.25">
      <c r="A6621" s="369"/>
      <c r="E6621" s="396"/>
      <c r="F6621" s="396"/>
      <c r="G6621" s="396"/>
      <c r="K6621" s="370"/>
      <c r="N6621" s="370"/>
    </row>
    <row r="6622" spans="1:14" s="347" customFormat="1" x14ac:dyDescent="0.25">
      <c r="A6622" s="369"/>
      <c r="E6622" s="396"/>
      <c r="F6622" s="396"/>
      <c r="G6622" s="396"/>
      <c r="K6622" s="370"/>
      <c r="N6622" s="370"/>
    </row>
    <row r="6623" spans="1:14" s="347" customFormat="1" x14ac:dyDescent="0.25">
      <c r="A6623" s="369"/>
      <c r="E6623" s="396"/>
      <c r="F6623" s="396"/>
      <c r="G6623" s="396"/>
      <c r="K6623" s="370"/>
      <c r="N6623" s="370"/>
    </row>
    <row r="6624" spans="1:14" s="347" customFormat="1" x14ac:dyDescent="0.25">
      <c r="A6624" s="369"/>
      <c r="E6624" s="396"/>
      <c r="F6624" s="396"/>
      <c r="G6624" s="396"/>
      <c r="K6624" s="370"/>
      <c r="N6624" s="370"/>
    </row>
    <row r="6625" spans="1:14" s="347" customFormat="1" x14ac:dyDescent="0.25">
      <c r="A6625" s="369"/>
      <c r="E6625" s="396"/>
      <c r="F6625" s="396"/>
      <c r="G6625" s="396"/>
      <c r="K6625" s="370"/>
      <c r="N6625" s="370"/>
    </row>
    <row r="6626" spans="1:14" s="347" customFormat="1" x14ac:dyDescent="0.25">
      <c r="A6626" s="369"/>
      <c r="E6626" s="396"/>
      <c r="F6626" s="396"/>
      <c r="G6626" s="396"/>
      <c r="K6626" s="370"/>
      <c r="N6626" s="370"/>
    </row>
    <row r="6627" spans="1:14" s="347" customFormat="1" x14ac:dyDescent="0.25">
      <c r="A6627" s="369"/>
      <c r="E6627" s="396"/>
      <c r="F6627" s="396"/>
      <c r="G6627" s="396"/>
      <c r="K6627" s="370"/>
      <c r="N6627" s="370"/>
    </row>
    <row r="6628" spans="1:14" s="347" customFormat="1" x14ac:dyDescent="0.25">
      <c r="A6628" s="369"/>
      <c r="E6628" s="396"/>
      <c r="F6628" s="396"/>
      <c r="G6628" s="396"/>
      <c r="K6628" s="370"/>
      <c r="N6628" s="370"/>
    </row>
    <row r="6629" spans="1:14" s="347" customFormat="1" x14ac:dyDescent="0.25">
      <c r="A6629" s="369"/>
      <c r="E6629" s="396"/>
      <c r="F6629" s="396"/>
      <c r="G6629" s="396"/>
      <c r="K6629" s="370"/>
      <c r="N6629" s="370"/>
    </row>
    <row r="6630" spans="1:14" s="347" customFormat="1" x14ac:dyDescent="0.25">
      <c r="A6630" s="369"/>
      <c r="E6630" s="396"/>
      <c r="F6630" s="396"/>
      <c r="G6630" s="396"/>
      <c r="K6630" s="370"/>
      <c r="N6630" s="370"/>
    </row>
    <row r="6631" spans="1:14" s="347" customFormat="1" x14ac:dyDescent="0.25">
      <c r="A6631" s="369"/>
      <c r="E6631" s="396"/>
      <c r="F6631" s="396"/>
      <c r="G6631" s="396"/>
      <c r="K6631" s="370"/>
      <c r="N6631" s="370"/>
    </row>
    <row r="6632" spans="1:14" s="347" customFormat="1" x14ac:dyDescent="0.25">
      <c r="A6632" s="369"/>
      <c r="E6632" s="396"/>
      <c r="F6632" s="396"/>
      <c r="G6632" s="396"/>
      <c r="K6632" s="370"/>
      <c r="N6632" s="370"/>
    </row>
    <row r="6633" spans="1:14" s="347" customFormat="1" x14ac:dyDescent="0.25">
      <c r="A6633" s="369"/>
      <c r="E6633" s="396"/>
      <c r="F6633" s="396"/>
      <c r="G6633" s="396"/>
      <c r="K6633" s="370"/>
      <c r="N6633" s="370"/>
    </row>
    <row r="6634" spans="1:14" s="347" customFormat="1" x14ac:dyDescent="0.25">
      <c r="A6634" s="369"/>
      <c r="E6634" s="396"/>
      <c r="F6634" s="396"/>
      <c r="G6634" s="396"/>
      <c r="K6634" s="370"/>
      <c r="N6634" s="370"/>
    </row>
    <row r="6635" spans="1:14" s="347" customFormat="1" x14ac:dyDescent="0.25">
      <c r="A6635" s="369"/>
      <c r="E6635" s="396"/>
      <c r="F6635" s="396"/>
      <c r="G6635" s="396"/>
      <c r="K6635" s="370"/>
      <c r="N6635" s="370"/>
    </row>
    <row r="6636" spans="1:14" s="347" customFormat="1" x14ac:dyDescent="0.25">
      <c r="A6636" s="369"/>
      <c r="E6636" s="396"/>
      <c r="F6636" s="396"/>
      <c r="G6636" s="396"/>
      <c r="K6636" s="370"/>
      <c r="N6636" s="370"/>
    </row>
    <row r="6637" spans="1:14" s="347" customFormat="1" x14ac:dyDescent="0.25">
      <c r="A6637" s="369"/>
      <c r="E6637" s="396"/>
      <c r="F6637" s="396"/>
      <c r="G6637" s="396"/>
      <c r="K6637" s="370"/>
      <c r="N6637" s="370"/>
    </row>
    <row r="6638" spans="1:14" s="347" customFormat="1" x14ac:dyDescent="0.25">
      <c r="A6638" s="369"/>
      <c r="E6638" s="396"/>
      <c r="F6638" s="396"/>
      <c r="G6638" s="396"/>
      <c r="K6638" s="370"/>
      <c r="N6638" s="370"/>
    </row>
    <row r="6639" spans="1:14" s="347" customFormat="1" x14ac:dyDescent="0.25">
      <c r="A6639" s="369"/>
      <c r="E6639" s="396"/>
      <c r="F6639" s="396"/>
      <c r="G6639" s="396"/>
      <c r="K6639" s="370"/>
      <c r="N6639" s="370"/>
    </row>
    <row r="6640" spans="1:14" s="347" customFormat="1" x14ac:dyDescent="0.25">
      <c r="A6640" s="369"/>
      <c r="E6640" s="396"/>
      <c r="F6640" s="396"/>
      <c r="G6640" s="396"/>
      <c r="K6640" s="370"/>
      <c r="N6640" s="370"/>
    </row>
    <row r="6641" spans="1:14" s="347" customFormat="1" x14ac:dyDescent="0.25">
      <c r="A6641" s="369"/>
      <c r="E6641" s="396"/>
      <c r="F6641" s="396"/>
      <c r="G6641" s="396"/>
      <c r="K6641" s="370"/>
      <c r="N6641" s="370"/>
    </row>
    <row r="6642" spans="1:14" s="347" customFormat="1" x14ac:dyDescent="0.25">
      <c r="A6642" s="369"/>
      <c r="E6642" s="396"/>
      <c r="F6642" s="396"/>
      <c r="G6642" s="396"/>
      <c r="K6642" s="370"/>
      <c r="N6642" s="370"/>
    </row>
    <row r="6643" spans="1:14" s="347" customFormat="1" x14ac:dyDescent="0.25">
      <c r="A6643" s="369"/>
      <c r="E6643" s="396"/>
      <c r="F6643" s="396"/>
      <c r="G6643" s="396"/>
      <c r="K6643" s="370"/>
      <c r="N6643" s="370"/>
    </row>
    <row r="6644" spans="1:14" s="347" customFormat="1" x14ac:dyDescent="0.25">
      <c r="A6644" s="369"/>
      <c r="E6644" s="396"/>
      <c r="F6644" s="396"/>
      <c r="G6644" s="396"/>
      <c r="K6644" s="370"/>
      <c r="N6644" s="370"/>
    </row>
    <row r="6645" spans="1:14" s="347" customFormat="1" x14ac:dyDescent="0.25">
      <c r="A6645" s="369"/>
      <c r="E6645" s="396"/>
      <c r="F6645" s="396"/>
      <c r="G6645" s="396"/>
      <c r="K6645" s="370"/>
      <c r="N6645" s="370"/>
    </row>
    <row r="6646" spans="1:14" s="347" customFormat="1" x14ac:dyDescent="0.25">
      <c r="A6646" s="369"/>
      <c r="E6646" s="396"/>
      <c r="F6646" s="396"/>
      <c r="G6646" s="396"/>
      <c r="K6646" s="370"/>
      <c r="N6646" s="370"/>
    </row>
    <row r="6647" spans="1:14" s="347" customFormat="1" x14ac:dyDescent="0.25">
      <c r="A6647" s="369"/>
      <c r="E6647" s="396"/>
      <c r="F6647" s="396"/>
      <c r="G6647" s="396"/>
      <c r="K6647" s="370"/>
      <c r="N6647" s="370"/>
    </row>
    <row r="6648" spans="1:14" s="347" customFormat="1" x14ac:dyDescent="0.25">
      <c r="A6648" s="369"/>
      <c r="E6648" s="396"/>
      <c r="F6648" s="396"/>
      <c r="G6648" s="396"/>
      <c r="K6648" s="370"/>
      <c r="N6648" s="370"/>
    </row>
    <row r="6649" spans="1:14" s="347" customFormat="1" x14ac:dyDescent="0.25">
      <c r="A6649" s="369"/>
      <c r="E6649" s="396"/>
      <c r="F6649" s="396"/>
      <c r="G6649" s="396"/>
      <c r="K6649" s="370"/>
      <c r="N6649" s="370"/>
    </row>
    <row r="6650" spans="1:14" s="347" customFormat="1" x14ac:dyDescent="0.25">
      <c r="A6650" s="369"/>
      <c r="E6650" s="396"/>
      <c r="F6650" s="396"/>
      <c r="G6650" s="396"/>
      <c r="K6650" s="370"/>
      <c r="N6650" s="370"/>
    </row>
    <row r="6651" spans="1:14" s="347" customFormat="1" x14ac:dyDescent="0.25">
      <c r="A6651" s="369"/>
      <c r="E6651" s="396"/>
      <c r="F6651" s="396"/>
      <c r="G6651" s="396"/>
      <c r="K6651" s="370"/>
      <c r="N6651" s="370"/>
    </row>
    <row r="6652" spans="1:14" s="347" customFormat="1" x14ac:dyDescent="0.25">
      <c r="A6652" s="369"/>
      <c r="E6652" s="396"/>
      <c r="F6652" s="396"/>
      <c r="G6652" s="396"/>
      <c r="K6652" s="370"/>
      <c r="N6652" s="370"/>
    </row>
    <row r="6653" spans="1:14" s="347" customFormat="1" x14ac:dyDescent="0.25">
      <c r="A6653" s="369"/>
      <c r="E6653" s="396"/>
      <c r="F6653" s="396"/>
      <c r="G6653" s="396"/>
      <c r="K6653" s="370"/>
      <c r="N6653" s="370"/>
    </row>
    <row r="6654" spans="1:14" s="347" customFormat="1" x14ac:dyDescent="0.25">
      <c r="A6654" s="369"/>
      <c r="E6654" s="396"/>
      <c r="F6654" s="396"/>
      <c r="G6654" s="396"/>
      <c r="K6654" s="370"/>
      <c r="N6654" s="370"/>
    </row>
    <row r="6655" spans="1:14" s="347" customFormat="1" x14ac:dyDescent="0.25">
      <c r="A6655" s="369"/>
      <c r="E6655" s="396"/>
      <c r="F6655" s="396"/>
      <c r="G6655" s="396"/>
      <c r="K6655" s="370"/>
      <c r="N6655" s="370"/>
    </row>
    <row r="6656" spans="1:14" s="347" customFormat="1" x14ac:dyDescent="0.25">
      <c r="A6656" s="369"/>
      <c r="E6656" s="396"/>
      <c r="F6656" s="396"/>
      <c r="G6656" s="396"/>
      <c r="K6656" s="370"/>
      <c r="N6656" s="370"/>
    </row>
    <row r="6657" spans="1:14" s="347" customFormat="1" x14ac:dyDescent="0.25">
      <c r="A6657" s="369"/>
      <c r="E6657" s="396"/>
      <c r="F6657" s="396"/>
      <c r="G6657" s="396"/>
      <c r="K6657" s="370"/>
      <c r="N6657" s="370"/>
    </row>
    <row r="6658" spans="1:14" s="347" customFormat="1" x14ac:dyDescent="0.25">
      <c r="A6658" s="369"/>
      <c r="E6658" s="396"/>
      <c r="F6658" s="396"/>
      <c r="G6658" s="396"/>
      <c r="K6658" s="370"/>
      <c r="N6658" s="370"/>
    </row>
    <row r="6659" spans="1:14" s="347" customFormat="1" x14ac:dyDescent="0.25">
      <c r="A6659" s="369"/>
      <c r="E6659" s="396"/>
      <c r="F6659" s="396"/>
      <c r="G6659" s="396"/>
      <c r="K6659" s="370"/>
      <c r="N6659" s="370"/>
    </row>
    <row r="6660" spans="1:14" s="347" customFormat="1" x14ac:dyDescent="0.25">
      <c r="A6660" s="369"/>
      <c r="E6660" s="396"/>
      <c r="F6660" s="396"/>
      <c r="G6660" s="396"/>
      <c r="K6660" s="370"/>
      <c r="N6660" s="370"/>
    </row>
    <row r="6661" spans="1:14" s="347" customFormat="1" x14ac:dyDescent="0.25">
      <c r="A6661" s="369"/>
      <c r="E6661" s="396"/>
      <c r="F6661" s="396"/>
      <c r="G6661" s="396"/>
      <c r="K6661" s="370"/>
      <c r="N6661" s="370"/>
    </row>
    <row r="6662" spans="1:14" s="347" customFormat="1" x14ac:dyDescent="0.25">
      <c r="A6662" s="369"/>
      <c r="E6662" s="396"/>
      <c r="F6662" s="396"/>
      <c r="G6662" s="396"/>
      <c r="K6662" s="370"/>
      <c r="N6662" s="370"/>
    </row>
    <row r="6663" spans="1:14" s="347" customFormat="1" x14ac:dyDescent="0.25">
      <c r="A6663" s="369"/>
      <c r="E6663" s="396"/>
      <c r="F6663" s="396"/>
      <c r="G6663" s="396"/>
      <c r="K6663" s="370"/>
      <c r="N6663" s="370"/>
    </row>
    <row r="6664" spans="1:14" s="347" customFormat="1" x14ac:dyDescent="0.25">
      <c r="A6664" s="369"/>
      <c r="E6664" s="396"/>
      <c r="F6664" s="396"/>
      <c r="G6664" s="396"/>
      <c r="K6664" s="370"/>
      <c r="N6664" s="370"/>
    </row>
    <row r="6665" spans="1:14" s="347" customFormat="1" x14ac:dyDescent="0.25">
      <c r="A6665" s="369"/>
      <c r="E6665" s="396"/>
      <c r="F6665" s="396"/>
      <c r="G6665" s="396"/>
      <c r="K6665" s="370"/>
      <c r="N6665" s="370"/>
    </row>
    <row r="6666" spans="1:14" s="347" customFormat="1" x14ac:dyDescent="0.25">
      <c r="A6666" s="369"/>
      <c r="E6666" s="396"/>
      <c r="F6666" s="396"/>
      <c r="G6666" s="396"/>
      <c r="K6666" s="370"/>
      <c r="N6666" s="370"/>
    </row>
    <row r="6667" spans="1:14" s="347" customFormat="1" x14ac:dyDescent="0.25">
      <c r="A6667" s="369"/>
      <c r="E6667" s="396"/>
      <c r="F6667" s="396"/>
      <c r="G6667" s="396"/>
      <c r="K6667" s="370"/>
      <c r="N6667" s="370"/>
    </row>
    <row r="6668" spans="1:14" s="347" customFormat="1" x14ac:dyDescent="0.25">
      <c r="A6668" s="369"/>
      <c r="E6668" s="396"/>
      <c r="F6668" s="396"/>
      <c r="G6668" s="396"/>
      <c r="K6668" s="370"/>
      <c r="N6668" s="370"/>
    </row>
    <row r="6669" spans="1:14" s="347" customFormat="1" x14ac:dyDescent="0.25">
      <c r="A6669" s="369"/>
      <c r="E6669" s="396"/>
      <c r="F6669" s="396"/>
      <c r="G6669" s="396"/>
      <c r="K6669" s="370"/>
      <c r="N6669" s="370"/>
    </row>
    <row r="6670" spans="1:14" s="347" customFormat="1" x14ac:dyDescent="0.25">
      <c r="A6670" s="369"/>
      <c r="E6670" s="396"/>
      <c r="F6670" s="396"/>
      <c r="G6670" s="396"/>
      <c r="K6670" s="370"/>
      <c r="N6670" s="370"/>
    </row>
    <row r="6671" spans="1:14" s="347" customFormat="1" x14ac:dyDescent="0.25">
      <c r="A6671" s="369"/>
      <c r="E6671" s="396"/>
      <c r="F6671" s="396"/>
      <c r="G6671" s="396"/>
      <c r="K6671" s="370"/>
      <c r="N6671" s="370"/>
    </row>
    <row r="6672" spans="1:14" s="347" customFormat="1" x14ac:dyDescent="0.25">
      <c r="A6672" s="369"/>
      <c r="E6672" s="396"/>
      <c r="F6672" s="396"/>
      <c r="G6672" s="396"/>
      <c r="K6672" s="370"/>
      <c r="N6672" s="370"/>
    </row>
    <row r="6673" spans="1:14" s="347" customFormat="1" x14ac:dyDescent="0.25">
      <c r="A6673" s="369"/>
      <c r="E6673" s="396"/>
      <c r="F6673" s="396"/>
      <c r="G6673" s="396"/>
      <c r="K6673" s="370"/>
      <c r="N6673" s="370"/>
    </row>
    <row r="6674" spans="1:14" s="347" customFormat="1" x14ac:dyDescent="0.25">
      <c r="A6674" s="369"/>
      <c r="E6674" s="396"/>
      <c r="F6674" s="396"/>
      <c r="G6674" s="396"/>
      <c r="K6674" s="370"/>
      <c r="N6674" s="370"/>
    </row>
    <row r="6675" spans="1:14" s="347" customFormat="1" x14ac:dyDescent="0.25">
      <c r="A6675" s="369"/>
      <c r="E6675" s="396"/>
      <c r="F6675" s="396"/>
      <c r="G6675" s="396"/>
      <c r="K6675" s="370"/>
      <c r="N6675" s="370"/>
    </row>
    <row r="6676" spans="1:14" s="347" customFormat="1" x14ac:dyDescent="0.25">
      <c r="A6676" s="369"/>
      <c r="E6676" s="396"/>
      <c r="F6676" s="396"/>
      <c r="G6676" s="396"/>
      <c r="K6676" s="370"/>
      <c r="N6676" s="370"/>
    </row>
    <row r="6677" spans="1:14" s="347" customFormat="1" x14ac:dyDescent="0.25">
      <c r="A6677" s="369"/>
      <c r="E6677" s="396"/>
      <c r="F6677" s="396"/>
      <c r="G6677" s="396"/>
      <c r="K6677" s="370"/>
      <c r="N6677" s="370"/>
    </row>
    <row r="6678" spans="1:14" s="347" customFormat="1" x14ac:dyDescent="0.25">
      <c r="A6678" s="369"/>
      <c r="E6678" s="396"/>
      <c r="F6678" s="396"/>
      <c r="G6678" s="396"/>
      <c r="K6678" s="370"/>
      <c r="N6678" s="370"/>
    </row>
    <row r="6679" spans="1:14" s="347" customFormat="1" x14ac:dyDescent="0.25">
      <c r="A6679" s="369"/>
      <c r="E6679" s="396"/>
      <c r="F6679" s="396"/>
      <c r="G6679" s="396"/>
      <c r="K6679" s="370"/>
      <c r="N6679" s="370"/>
    </row>
    <row r="6680" spans="1:14" s="347" customFormat="1" x14ac:dyDescent="0.25">
      <c r="A6680" s="369"/>
      <c r="E6680" s="396"/>
      <c r="F6680" s="396"/>
      <c r="G6680" s="396"/>
      <c r="K6680" s="370"/>
      <c r="N6680" s="370"/>
    </row>
    <row r="6681" spans="1:14" s="347" customFormat="1" x14ac:dyDescent="0.25">
      <c r="A6681" s="369"/>
      <c r="E6681" s="396"/>
      <c r="F6681" s="396"/>
      <c r="G6681" s="396"/>
      <c r="K6681" s="370"/>
      <c r="N6681" s="370"/>
    </row>
    <row r="6682" spans="1:14" s="347" customFormat="1" x14ac:dyDescent="0.25">
      <c r="A6682" s="369"/>
      <c r="E6682" s="396"/>
      <c r="F6682" s="396"/>
      <c r="G6682" s="396"/>
      <c r="K6682" s="370"/>
      <c r="N6682" s="370"/>
    </row>
    <row r="6683" spans="1:14" s="347" customFormat="1" x14ac:dyDescent="0.25">
      <c r="A6683" s="369"/>
      <c r="E6683" s="396"/>
      <c r="F6683" s="396"/>
      <c r="G6683" s="396"/>
      <c r="K6683" s="370"/>
      <c r="N6683" s="370"/>
    </row>
    <row r="6684" spans="1:14" s="347" customFormat="1" x14ac:dyDescent="0.25">
      <c r="A6684" s="369"/>
      <c r="E6684" s="396"/>
      <c r="F6684" s="396"/>
      <c r="G6684" s="396"/>
      <c r="K6684" s="370"/>
      <c r="N6684" s="370"/>
    </row>
    <row r="6685" spans="1:14" s="347" customFormat="1" x14ac:dyDescent="0.25">
      <c r="A6685" s="369"/>
      <c r="E6685" s="396"/>
      <c r="F6685" s="396"/>
      <c r="G6685" s="396"/>
      <c r="K6685" s="370"/>
      <c r="N6685" s="370"/>
    </row>
    <row r="6686" spans="1:14" s="347" customFormat="1" x14ac:dyDescent="0.25">
      <c r="A6686" s="369"/>
      <c r="E6686" s="396"/>
      <c r="F6686" s="396"/>
      <c r="G6686" s="396"/>
      <c r="K6686" s="370"/>
      <c r="N6686" s="370"/>
    </row>
    <row r="6687" spans="1:14" s="347" customFormat="1" x14ac:dyDescent="0.25">
      <c r="A6687" s="369"/>
      <c r="E6687" s="396"/>
      <c r="F6687" s="396"/>
      <c r="G6687" s="396"/>
      <c r="K6687" s="370"/>
      <c r="N6687" s="370"/>
    </row>
    <row r="6688" spans="1:14" s="347" customFormat="1" x14ac:dyDescent="0.25">
      <c r="A6688" s="369"/>
      <c r="E6688" s="396"/>
      <c r="F6688" s="396"/>
      <c r="G6688" s="396"/>
      <c r="K6688" s="370"/>
      <c r="N6688" s="370"/>
    </row>
    <row r="6689" spans="1:14" s="347" customFormat="1" x14ac:dyDescent="0.25">
      <c r="A6689" s="369"/>
      <c r="E6689" s="396"/>
      <c r="F6689" s="396"/>
      <c r="G6689" s="396"/>
      <c r="K6689" s="370"/>
      <c r="N6689" s="370"/>
    </row>
    <row r="6690" spans="1:14" s="347" customFormat="1" x14ac:dyDescent="0.25">
      <c r="A6690" s="369"/>
      <c r="E6690" s="396"/>
      <c r="F6690" s="396"/>
      <c r="G6690" s="396"/>
      <c r="K6690" s="370"/>
      <c r="N6690" s="370"/>
    </row>
    <row r="6691" spans="1:14" s="347" customFormat="1" x14ac:dyDescent="0.25">
      <c r="A6691" s="369"/>
      <c r="E6691" s="396"/>
      <c r="F6691" s="396"/>
      <c r="G6691" s="396"/>
      <c r="K6691" s="370"/>
      <c r="N6691" s="370"/>
    </row>
    <row r="6692" spans="1:14" s="347" customFormat="1" x14ac:dyDescent="0.25">
      <c r="A6692" s="369"/>
      <c r="E6692" s="396"/>
      <c r="F6692" s="396"/>
      <c r="G6692" s="396"/>
      <c r="K6692" s="370"/>
      <c r="N6692" s="370"/>
    </row>
    <row r="6693" spans="1:14" s="347" customFormat="1" x14ac:dyDescent="0.25">
      <c r="A6693" s="369"/>
      <c r="E6693" s="396"/>
      <c r="F6693" s="396"/>
      <c r="G6693" s="396"/>
      <c r="K6693" s="370"/>
      <c r="N6693" s="370"/>
    </row>
    <row r="6694" spans="1:14" s="347" customFormat="1" x14ac:dyDescent="0.25">
      <c r="A6694" s="369"/>
      <c r="E6694" s="396"/>
      <c r="F6694" s="396"/>
      <c r="G6694" s="396"/>
      <c r="K6694" s="370"/>
      <c r="N6694" s="370"/>
    </row>
    <row r="6695" spans="1:14" s="347" customFormat="1" x14ac:dyDescent="0.25">
      <c r="A6695" s="369"/>
      <c r="E6695" s="396"/>
      <c r="F6695" s="396"/>
      <c r="G6695" s="396"/>
      <c r="K6695" s="370"/>
      <c r="N6695" s="370"/>
    </row>
    <row r="6696" spans="1:14" s="347" customFormat="1" x14ac:dyDescent="0.25">
      <c r="A6696" s="369"/>
      <c r="E6696" s="396"/>
      <c r="F6696" s="396"/>
      <c r="G6696" s="396"/>
      <c r="K6696" s="370"/>
      <c r="N6696" s="370"/>
    </row>
    <row r="6697" spans="1:14" s="347" customFormat="1" x14ac:dyDescent="0.25">
      <c r="A6697" s="369"/>
      <c r="E6697" s="396"/>
      <c r="F6697" s="396"/>
      <c r="G6697" s="396"/>
      <c r="K6697" s="370"/>
      <c r="N6697" s="370"/>
    </row>
    <row r="6698" spans="1:14" s="347" customFormat="1" x14ac:dyDescent="0.25">
      <c r="A6698" s="369"/>
      <c r="E6698" s="396"/>
      <c r="F6698" s="396"/>
      <c r="G6698" s="396"/>
      <c r="K6698" s="370"/>
      <c r="N6698" s="370"/>
    </row>
    <row r="6699" spans="1:14" s="347" customFormat="1" x14ac:dyDescent="0.25">
      <c r="A6699" s="369"/>
      <c r="E6699" s="396"/>
      <c r="F6699" s="396"/>
      <c r="G6699" s="396"/>
      <c r="K6699" s="370"/>
      <c r="N6699" s="370"/>
    </row>
    <row r="6700" spans="1:14" s="347" customFormat="1" x14ac:dyDescent="0.25">
      <c r="A6700" s="369"/>
      <c r="E6700" s="396"/>
      <c r="F6700" s="396"/>
      <c r="G6700" s="396"/>
      <c r="K6700" s="370"/>
      <c r="N6700" s="370"/>
    </row>
    <row r="6701" spans="1:14" s="347" customFormat="1" x14ac:dyDescent="0.25">
      <c r="A6701" s="369"/>
      <c r="E6701" s="396"/>
      <c r="F6701" s="396"/>
      <c r="G6701" s="396"/>
      <c r="K6701" s="370"/>
      <c r="N6701" s="370"/>
    </row>
    <row r="6702" spans="1:14" s="347" customFormat="1" x14ac:dyDescent="0.25">
      <c r="A6702" s="369"/>
      <c r="E6702" s="396"/>
      <c r="F6702" s="396"/>
      <c r="G6702" s="396"/>
      <c r="K6702" s="370"/>
      <c r="N6702" s="370"/>
    </row>
    <row r="6703" spans="1:14" s="347" customFormat="1" x14ac:dyDescent="0.25">
      <c r="A6703" s="369"/>
      <c r="E6703" s="396"/>
      <c r="F6703" s="396"/>
      <c r="G6703" s="396"/>
      <c r="K6703" s="370"/>
      <c r="N6703" s="370"/>
    </row>
    <row r="6704" spans="1:14" s="347" customFormat="1" x14ac:dyDescent="0.25">
      <c r="A6704" s="369"/>
      <c r="E6704" s="396"/>
      <c r="F6704" s="396"/>
      <c r="G6704" s="396"/>
      <c r="K6704" s="370"/>
      <c r="N6704" s="370"/>
    </row>
    <row r="6705" spans="1:14" s="347" customFormat="1" x14ac:dyDescent="0.25">
      <c r="A6705" s="369"/>
      <c r="E6705" s="396"/>
      <c r="F6705" s="396"/>
      <c r="G6705" s="396"/>
      <c r="K6705" s="370"/>
      <c r="N6705" s="370"/>
    </row>
    <row r="6706" spans="1:14" s="347" customFormat="1" x14ac:dyDescent="0.25">
      <c r="A6706" s="369"/>
      <c r="E6706" s="396"/>
      <c r="F6706" s="396"/>
      <c r="G6706" s="396"/>
      <c r="K6706" s="370"/>
      <c r="N6706" s="370"/>
    </row>
    <row r="6707" spans="1:14" s="347" customFormat="1" x14ac:dyDescent="0.25">
      <c r="A6707" s="369"/>
      <c r="E6707" s="396"/>
      <c r="F6707" s="396"/>
      <c r="G6707" s="396"/>
      <c r="K6707" s="370"/>
      <c r="N6707" s="370"/>
    </row>
    <row r="6708" spans="1:14" s="347" customFormat="1" x14ac:dyDescent="0.25">
      <c r="A6708" s="369"/>
      <c r="E6708" s="396"/>
      <c r="F6708" s="396"/>
      <c r="G6708" s="396"/>
      <c r="K6708" s="370"/>
      <c r="N6708" s="370"/>
    </row>
    <row r="6709" spans="1:14" s="347" customFormat="1" x14ac:dyDescent="0.25">
      <c r="A6709" s="369"/>
      <c r="E6709" s="396"/>
      <c r="F6709" s="396"/>
      <c r="G6709" s="396"/>
      <c r="K6709" s="370"/>
      <c r="N6709" s="370"/>
    </row>
    <row r="6710" spans="1:14" s="347" customFormat="1" x14ac:dyDescent="0.25">
      <c r="A6710" s="369"/>
      <c r="E6710" s="396"/>
      <c r="F6710" s="396"/>
      <c r="G6710" s="396"/>
      <c r="K6710" s="370"/>
      <c r="N6710" s="370"/>
    </row>
    <row r="6711" spans="1:14" s="347" customFormat="1" x14ac:dyDescent="0.25">
      <c r="A6711" s="369"/>
      <c r="E6711" s="396"/>
      <c r="F6711" s="396"/>
      <c r="G6711" s="396"/>
      <c r="K6711" s="370"/>
      <c r="N6711" s="370"/>
    </row>
    <row r="6712" spans="1:14" s="347" customFormat="1" x14ac:dyDescent="0.25">
      <c r="A6712" s="369"/>
      <c r="E6712" s="396"/>
      <c r="F6712" s="396"/>
      <c r="G6712" s="396"/>
      <c r="K6712" s="370"/>
      <c r="N6712" s="370"/>
    </row>
    <row r="6713" spans="1:14" s="347" customFormat="1" x14ac:dyDescent="0.25">
      <c r="A6713" s="369"/>
      <c r="E6713" s="396"/>
      <c r="F6713" s="396"/>
      <c r="G6713" s="396"/>
      <c r="K6713" s="370"/>
      <c r="N6713" s="370"/>
    </row>
    <row r="6714" spans="1:14" s="347" customFormat="1" x14ac:dyDescent="0.25">
      <c r="A6714" s="369"/>
      <c r="E6714" s="396"/>
      <c r="F6714" s="396"/>
      <c r="G6714" s="396"/>
      <c r="K6714" s="370"/>
      <c r="N6714" s="370"/>
    </row>
    <row r="6715" spans="1:14" s="347" customFormat="1" x14ac:dyDescent="0.25">
      <c r="A6715" s="369"/>
      <c r="E6715" s="396"/>
      <c r="F6715" s="396"/>
      <c r="G6715" s="396"/>
      <c r="K6715" s="370"/>
      <c r="N6715" s="370"/>
    </row>
    <row r="6716" spans="1:14" s="347" customFormat="1" x14ac:dyDescent="0.25">
      <c r="A6716" s="369"/>
      <c r="E6716" s="396"/>
      <c r="F6716" s="396"/>
      <c r="G6716" s="396"/>
      <c r="K6716" s="370"/>
      <c r="N6716" s="370"/>
    </row>
    <row r="6717" spans="1:14" s="347" customFormat="1" x14ac:dyDescent="0.25">
      <c r="A6717" s="369"/>
      <c r="E6717" s="396"/>
      <c r="F6717" s="396"/>
      <c r="G6717" s="396"/>
      <c r="K6717" s="370"/>
      <c r="N6717" s="370"/>
    </row>
    <row r="6718" spans="1:14" s="347" customFormat="1" x14ac:dyDescent="0.25">
      <c r="A6718" s="369"/>
      <c r="E6718" s="396"/>
      <c r="F6718" s="396"/>
      <c r="G6718" s="396"/>
      <c r="K6718" s="370"/>
      <c r="N6718" s="370"/>
    </row>
    <row r="6719" spans="1:14" s="347" customFormat="1" x14ac:dyDescent="0.25">
      <c r="A6719" s="369"/>
      <c r="E6719" s="396"/>
      <c r="F6719" s="396"/>
      <c r="G6719" s="396"/>
      <c r="K6719" s="370"/>
      <c r="N6719" s="370"/>
    </row>
    <row r="6720" spans="1:14" s="347" customFormat="1" x14ac:dyDescent="0.25">
      <c r="A6720" s="369"/>
      <c r="E6720" s="396"/>
      <c r="F6720" s="396"/>
      <c r="G6720" s="396"/>
      <c r="K6720" s="370"/>
      <c r="N6720" s="370"/>
    </row>
    <row r="6721" spans="1:14" s="347" customFormat="1" x14ac:dyDescent="0.25">
      <c r="A6721" s="369"/>
      <c r="E6721" s="396"/>
      <c r="F6721" s="396"/>
      <c r="G6721" s="396"/>
      <c r="K6721" s="370"/>
      <c r="N6721" s="370"/>
    </row>
    <row r="6722" spans="1:14" s="347" customFormat="1" x14ac:dyDescent="0.25">
      <c r="A6722" s="369"/>
      <c r="E6722" s="396"/>
      <c r="F6722" s="396"/>
      <c r="G6722" s="396"/>
      <c r="K6722" s="370"/>
      <c r="N6722" s="370"/>
    </row>
    <row r="6723" spans="1:14" s="347" customFormat="1" x14ac:dyDescent="0.25">
      <c r="A6723" s="369"/>
      <c r="E6723" s="396"/>
      <c r="F6723" s="396"/>
      <c r="G6723" s="396"/>
      <c r="K6723" s="370"/>
      <c r="N6723" s="370"/>
    </row>
    <row r="6724" spans="1:14" s="347" customFormat="1" x14ac:dyDescent="0.25">
      <c r="A6724" s="369"/>
      <c r="E6724" s="396"/>
      <c r="F6724" s="396"/>
      <c r="G6724" s="396"/>
      <c r="K6724" s="370"/>
      <c r="N6724" s="370"/>
    </row>
    <row r="6725" spans="1:14" s="347" customFormat="1" x14ac:dyDescent="0.25">
      <c r="A6725" s="369"/>
      <c r="E6725" s="396"/>
      <c r="F6725" s="396"/>
      <c r="G6725" s="396"/>
      <c r="K6725" s="370"/>
      <c r="N6725" s="370"/>
    </row>
    <row r="6726" spans="1:14" s="347" customFormat="1" x14ac:dyDescent="0.25">
      <c r="A6726" s="369"/>
      <c r="E6726" s="396"/>
      <c r="F6726" s="396"/>
      <c r="G6726" s="396"/>
      <c r="K6726" s="370"/>
      <c r="N6726" s="370"/>
    </row>
    <row r="6727" spans="1:14" s="347" customFormat="1" x14ac:dyDescent="0.25">
      <c r="A6727" s="369"/>
      <c r="E6727" s="396"/>
      <c r="F6727" s="396"/>
      <c r="G6727" s="396"/>
      <c r="K6727" s="370"/>
      <c r="N6727" s="370"/>
    </row>
    <row r="6728" spans="1:14" s="347" customFormat="1" x14ac:dyDescent="0.25">
      <c r="A6728" s="369"/>
      <c r="E6728" s="396"/>
      <c r="F6728" s="396"/>
      <c r="G6728" s="396"/>
      <c r="K6728" s="370"/>
      <c r="N6728" s="370"/>
    </row>
    <row r="6729" spans="1:14" s="347" customFormat="1" x14ac:dyDescent="0.25">
      <c r="A6729" s="369"/>
      <c r="E6729" s="396"/>
      <c r="F6729" s="396"/>
      <c r="G6729" s="396"/>
      <c r="K6729" s="370"/>
      <c r="N6729" s="370"/>
    </row>
    <row r="6730" spans="1:14" s="347" customFormat="1" x14ac:dyDescent="0.25">
      <c r="A6730" s="369"/>
      <c r="E6730" s="396"/>
      <c r="F6730" s="396"/>
      <c r="G6730" s="396"/>
      <c r="K6730" s="370"/>
      <c r="N6730" s="370"/>
    </row>
    <row r="6731" spans="1:14" s="347" customFormat="1" x14ac:dyDescent="0.25">
      <c r="A6731" s="369"/>
      <c r="E6731" s="396"/>
      <c r="F6731" s="396"/>
      <c r="G6731" s="396"/>
      <c r="K6731" s="370"/>
      <c r="N6731" s="370"/>
    </row>
    <row r="6732" spans="1:14" s="347" customFormat="1" x14ac:dyDescent="0.25">
      <c r="A6732" s="369"/>
      <c r="E6732" s="396"/>
      <c r="F6732" s="396"/>
      <c r="G6732" s="396"/>
      <c r="K6732" s="370"/>
      <c r="N6732" s="370"/>
    </row>
    <row r="6733" spans="1:14" s="347" customFormat="1" x14ac:dyDescent="0.25">
      <c r="A6733" s="369"/>
      <c r="E6733" s="396"/>
      <c r="F6733" s="396"/>
      <c r="G6733" s="396"/>
      <c r="K6733" s="370"/>
      <c r="N6733" s="370"/>
    </row>
    <row r="6734" spans="1:14" s="347" customFormat="1" x14ac:dyDescent="0.25">
      <c r="A6734" s="369"/>
      <c r="E6734" s="396"/>
      <c r="F6734" s="396"/>
      <c r="G6734" s="396"/>
      <c r="K6734" s="370"/>
      <c r="N6734" s="370"/>
    </row>
    <row r="6735" spans="1:14" s="347" customFormat="1" x14ac:dyDescent="0.25">
      <c r="A6735" s="369"/>
      <c r="E6735" s="396"/>
      <c r="F6735" s="396"/>
      <c r="G6735" s="396"/>
      <c r="K6735" s="370"/>
      <c r="N6735" s="370"/>
    </row>
    <row r="6736" spans="1:14" s="347" customFormat="1" x14ac:dyDescent="0.25">
      <c r="A6736" s="369"/>
      <c r="E6736" s="396"/>
      <c r="F6736" s="396"/>
      <c r="G6736" s="396"/>
      <c r="K6736" s="370"/>
      <c r="N6736" s="370"/>
    </row>
    <row r="6737" spans="1:14" s="347" customFormat="1" x14ac:dyDescent="0.25">
      <c r="A6737" s="369"/>
      <c r="E6737" s="396"/>
      <c r="F6737" s="396"/>
      <c r="G6737" s="396"/>
      <c r="K6737" s="370"/>
      <c r="N6737" s="370"/>
    </row>
    <row r="6738" spans="1:14" s="347" customFormat="1" x14ac:dyDescent="0.25">
      <c r="A6738" s="369"/>
      <c r="E6738" s="396"/>
      <c r="F6738" s="396"/>
      <c r="G6738" s="396"/>
      <c r="K6738" s="370"/>
      <c r="N6738" s="370"/>
    </row>
    <row r="6739" spans="1:14" s="347" customFormat="1" x14ac:dyDescent="0.25">
      <c r="A6739" s="369"/>
      <c r="E6739" s="396"/>
      <c r="F6739" s="396"/>
      <c r="G6739" s="396"/>
      <c r="K6739" s="370"/>
      <c r="N6739" s="370"/>
    </row>
    <row r="6740" spans="1:14" s="347" customFormat="1" x14ac:dyDescent="0.25">
      <c r="A6740" s="369"/>
      <c r="E6740" s="396"/>
      <c r="F6740" s="396"/>
      <c r="G6740" s="396"/>
      <c r="K6740" s="370"/>
      <c r="N6740" s="370"/>
    </row>
    <row r="6741" spans="1:14" s="347" customFormat="1" x14ac:dyDescent="0.25">
      <c r="A6741" s="369"/>
      <c r="E6741" s="396"/>
      <c r="F6741" s="396"/>
      <c r="G6741" s="396"/>
      <c r="K6741" s="370"/>
      <c r="N6741" s="370"/>
    </row>
    <row r="6742" spans="1:14" s="347" customFormat="1" x14ac:dyDescent="0.25">
      <c r="A6742" s="369"/>
      <c r="E6742" s="396"/>
      <c r="F6742" s="396"/>
      <c r="G6742" s="396"/>
      <c r="K6742" s="370"/>
      <c r="N6742" s="370"/>
    </row>
    <row r="6743" spans="1:14" s="347" customFormat="1" x14ac:dyDescent="0.25">
      <c r="A6743" s="369"/>
      <c r="E6743" s="396"/>
      <c r="F6743" s="396"/>
      <c r="G6743" s="396"/>
      <c r="K6743" s="370"/>
      <c r="N6743" s="370"/>
    </row>
    <row r="6744" spans="1:14" s="347" customFormat="1" x14ac:dyDescent="0.25">
      <c r="A6744" s="369"/>
      <c r="E6744" s="396"/>
      <c r="F6744" s="396"/>
      <c r="G6744" s="396"/>
      <c r="K6744" s="370"/>
      <c r="N6744" s="370"/>
    </row>
    <row r="6745" spans="1:14" s="347" customFormat="1" x14ac:dyDescent="0.25">
      <c r="A6745" s="369"/>
      <c r="E6745" s="396"/>
      <c r="F6745" s="396"/>
      <c r="G6745" s="396"/>
      <c r="K6745" s="370"/>
      <c r="N6745" s="370"/>
    </row>
    <row r="6746" spans="1:14" s="347" customFormat="1" x14ac:dyDescent="0.25">
      <c r="A6746" s="369"/>
      <c r="E6746" s="396"/>
      <c r="F6746" s="396"/>
      <c r="G6746" s="396"/>
      <c r="K6746" s="370"/>
      <c r="N6746" s="370"/>
    </row>
    <row r="6747" spans="1:14" s="347" customFormat="1" x14ac:dyDescent="0.25">
      <c r="A6747" s="369"/>
      <c r="E6747" s="396"/>
      <c r="F6747" s="396"/>
      <c r="G6747" s="396"/>
      <c r="K6747" s="370"/>
      <c r="N6747" s="370"/>
    </row>
    <row r="6748" spans="1:14" s="347" customFormat="1" x14ac:dyDescent="0.25">
      <c r="A6748" s="369"/>
      <c r="E6748" s="396"/>
      <c r="F6748" s="396"/>
      <c r="G6748" s="396"/>
      <c r="K6748" s="370"/>
      <c r="N6748" s="370"/>
    </row>
    <row r="6749" spans="1:14" s="347" customFormat="1" x14ac:dyDescent="0.25">
      <c r="A6749" s="369"/>
      <c r="E6749" s="396"/>
      <c r="F6749" s="396"/>
      <c r="G6749" s="396"/>
      <c r="K6749" s="370"/>
      <c r="N6749" s="370"/>
    </row>
    <row r="6750" spans="1:14" s="347" customFormat="1" x14ac:dyDescent="0.25">
      <c r="A6750" s="369"/>
      <c r="E6750" s="396"/>
      <c r="F6750" s="396"/>
      <c r="G6750" s="396"/>
      <c r="K6750" s="370"/>
      <c r="N6750" s="370"/>
    </row>
    <row r="6751" spans="1:14" s="347" customFormat="1" x14ac:dyDescent="0.25">
      <c r="A6751" s="369"/>
      <c r="E6751" s="396"/>
      <c r="F6751" s="396"/>
      <c r="G6751" s="396"/>
      <c r="K6751" s="370"/>
      <c r="N6751" s="370"/>
    </row>
    <row r="6752" spans="1:14" s="347" customFormat="1" x14ac:dyDescent="0.25">
      <c r="A6752" s="369"/>
      <c r="E6752" s="396"/>
      <c r="F6752" s="396"/>
      <c r="G6752" s="396"/>
      <c r="K6752" s="370"/>
      <c r="N6752" s="370"/>
    </row>
    <row r="6753" spans="1:14" s="347" customFormat="1" x14ac:dyDescent="0.25">
      <c r="A6753" s="369"/>
      <c r="E6753" s="396"/>
      <c r="F6753" s="396"/>
      <c r="G6753" s="396"/>
      <c r="K6753" s="370"/>
      <c r="N6753" s="370"/>
    </row>
    <row r="6754" spans="1:14" s="347" customFormat="1" x14ac:dyDescent="0.25">
      <c r="A6754" s="369"/>
      <c r="E6754" s="396"/>
      <c r="F6754" s="396"/>
      <c r="G6754" s="396"/>
      <c r="K6754" s="370"/>
      <c r="N6754" s="370"/>
    </row>
    <row r="6755" spans="1:14" s="347" customFormat="1" x14ac:dyDescent="0.25">
      <c r="A6755" s="369"/>
      <c r="E6755" s="396"/>
      <c r="F6755" s="396"/>
      <c r="G6755" s="396"/>
      <c r="K6755" s="370"/>
      <c r="N6755" s="370"/>
    </row>
    <row r="6756" spans="1:14" s="347" customFormat="1" x14ac:dyDescent="0.25">
      <c r="A6756" s="369"/>
      <c r="E6756" s="396"/>
      <c r="F6756" s="396"/>
      <c r="G6756" s="396"/>
      <c r="K6756" s="370"/>
      <c r="N6756" s="370"/>
    </row>
    <row r="6757" spans="1:14" s="347" customFormat="1" x14ac:dyDescent="0.25">
      <c r="A6757" s="369"/>
      <c r="E6757" s="396"/>
      <c r="F6757" s="396"/>
      <c r="G6757" s="396"/>
      <c r="K6757" s="370"/>
      <c r="N6757" s="370"/>
    </row>
    <row r="6758" spans="1:14" s="347" customFormat="1" x14ac:dyDescent="0.25">
      <c r="A6758" s="369"/>
      <c r="E6758" s="396"/>
      <c r="F6758" s="396"/>
      <c r="G6758" s="396"/>
      <c r="K6758" s="370"/>
      <c r="N6758" s="370"/>
    </row>
    <row r="6759" spans="1:14" s="347" customFormat="1" x14ac:dyDescent="0.25">
      <c r="A6759" s="369"/>
      <c r="E6759" s="396"/>
      <c r="F6759" s="396"/>
      <c r="G6759" s="396"/>
      <c r="K6759" s="370"/>
      <c r="N6759" s="370"/>
    </row>
    <row r="6760" spans="1:14" s="347" customFormat="1" x14ac:dyDescent="0.25">
      <c r="A6760" s="369"/>
      <c r="E6760" s="396"/>
      <c r="F6760" s="396"/>
      <c r="G6760" s="396"/>
      <c r="K6760" s="370"/>
      <c r="N6760" s="370"/>
    </row>
    <row r="6761" spans="1:14" s="347" customFormat="1" x14ac:dyDescent="0.25">
      <c r="A6761" s="369"/>
      <c r="E6761" s="396"/>
      <c r="F6761" s="396"/>
      <c r="G6761" s="396"/>
      <c r="K6761" s="370"/>
      <c r="N6761" s="370"/>
    </row>
    <row r="6762" spans="1:14" s="347" customFormat="1" x14ac:dyDescent="0.25">
      <c r="A6762" s="369"/>
      <c r="E6762" s="396"/>
      <c r="F6762" s="396"/>
      <c r="G6762" s="396"/>
      <c r="K6762" s="370"/>
      <c r="N6762" s="370"/>
    </row>
    <row r="6763" spans="1:14" s="347" customFormat="1" x14ac:dyDescent="0.25">
      <c r="A6763" s="369"/>
      <c r="E6763" s="396"/>
      <c r="F6763" s="396"/>
      <c r="G6763" s="396"/>
      <c r="K6763" s="370"/>
      <c r="N6763" s="370"/>
    </row>
    <row r="6764" spans="1:14" s="347" customFormat="1" x14ac:dyDescent="0.25">
      <c r="A6764" s="369"/>
      <c r="E6764" s="396"/>
      <c r="F6764" s="396"/>
      <c r="G6764" s="396"/>
      <c r="K6764" s="370"/>
      <c r="N6764" s="370"/>
    </row>
    <row r="6765" spans="1:14" s="347" customFormat="1" x14ac:dyDescent="0.25">
      <c r="A6765" s="369"/>
      <c r="E6765" s="396"/>
      <c r="F6765" s="396"/>
      <c r="G6765" s="396"/>
      <c r="K6765" s="370"/>
      <c r="N6765" s="370"/>
    </row>
    <row r="6766" spans="1:14" s="347" customFormat="1" x14ac:dyDescent="0.25">
      <c r="A6766" s="369"/>
      <c r="E6766" s="396"/>
      <c r="F6766" s="396"/>
      <c r="G6766" s="396"/>
      <c r="K6766" s="370"/>
      <c r="N6766" s="370"/>
    </row>
    <row r="6767" spans="1:14" s="347" customFormat="1" x14ac:dyDescent="0.25">
      <c r="A6767" s="369"/>
      <c r="E6767" s="396"/>
      <c r="F6767" s="396"/>
      <c r="G6767" s="396"/>
      <c r="K6767" s="370"/>
      <c r="N6767" s="370"/>
    </row>
    <row r="6768" spans="1:14" s="347" customFormat="1" x14ac:dyDescent="0.25">
      <c r="A6768" s="369"/>
      <c r="E6768" s="396"/>
      <c r="F6768" s="396"/>
      <c r="G6768" s="396"/>
      <c r="K6768" s="370"/>
      <c r="N6768" s="370"/>
    </row>
    <row r="6769" spans="1:14" s="347" customFormat="1" x14ac:dyDescent="0.25">
      <c r="A6769" s="369"/>
      <c r="E6769" s="396"/>
      <c r="F6769" s="396"/>
      <c r="G6769" s="396"/>
      <c r="K6769" s="370"/>
      <c r="N6769" s="370"/>
    </row>
    <row r="6770" spans="1:14" s="347" customFormat="1" x14ac:dyDescent="0.25">
      <c r="A6770" s="369"/>
      <c r="E6770" s="396"/>
      <c r="F6770" s="396"/>
      <c r="G6770" s="396"/>
      <c r="K6770" s="370"/>
      <c r="N6770" s="370"/>
    </row>
    <row r="6771" spans="1:14" s="347" customFormat="1" x14ac:dyDescent="0.25">
      <c r="A6771" s="369"/>
      <c r="E6771" s="396"/>
      <c r="F6771" s="396"/>
      <c r="G6771" s="396"/>
      <c r="K6771" s="370"/>
      <c r="N6771" s="370"/>
    </row>
    <row r="6772" spans="1:14" s="347" customFormat="1" x14ac:dyDescent="0.25">
      <c r="A6772" s="369"/>
      <c r="E6772" s="396"/>
      <c r="F6772" s="396"/>
      <c r="G6772" s="396"/>
      <c r="K6772" s="370"/>
      <c r="N6772" s="370"/>
    </row>
    <row r="6773" spans="1:14" s="347" customFormat="1" x14ac:dyDescent="0.25">
      <c r="A6773" s="369"/>
      <c r="E6773" s="396"/>
      <c r="F6773" s="396"/>
      <c r="G6773" s="396"/>
      <c r="K6773" s="370"/>
      <c r="N6773" s="370"/>
    </row>
    <row r="6774" spans="1:14" s="347" customFormat="1" x14ac:dyDescent="0.25">
      <c r="A6774" s="369"/>
      <c r="E6774" s="396"/>
      <c r="F6774" s="396"/>
      <c r="G6774" s="396"/>
      <c r="K6774" s="370"/>
      <c r="N6774" s="370"/>
    </row>
    <row r="6775" spans="1:14" s="347" customFormat="1" x14ac:dyDescent="0.25">
      <c r="A6775" s="369"/>
      <c r="E6775" s="396"/>
      <c r="F6775" s="396"/>
      <c r="G6775" s="396"/>
      <c r="K6775" s="370"/>
      <c r="N6775" s="370"/>
    </row>
    <row r="6776" spans="1:14" s="347" customFormat="1" x14ac:dyDescent="0.25">
      <c r="A6776" s="369"/>
      <c r="E6776" s="396"/>
      <c r="F6776" s="396"/>
      <c r="G6776" s="396"/>
      <c r="K6776" s="370"/>
      <c r="N6776" s="370"/>
    </row>
    <row r="6777" spans="1:14" s="347" customFormat="1" x14ac:dyDescent="0.25">
      <c r="A6777" s="369"/>
      <c r="E6777" s="396"/>
      <c r="F6777" s="396"/>
      <c r="G6777" s="396"/>
      <c r="K6777" s="370"/>
      <c r="N6777" s="370"/>
    </row>
    <row r="6778" spans="1:14" s="347" customFormat="1" x14ac:dyDescent="0.25">
      <c r="A6778" s="369"/>
      <c r="E6778" s="396"/>
      <c r="F6778" s="396"/>
      <c r="G6778" s="396"/>
      <c r="K6778" s="370"/>
      <c r="N6778" s="370"/>
    </row>
    <row r="6779" spans="1:14" s="347" customFormat="1" x14ac:dyDescent="0.25">
      <c r="A6779" s="369"/>
      <c r="E6779" s="396"/>
      <c r="F6779" s="396"/>
      <c r="G6779" s="396"/>
      <c r="K6779" s="370"/>
      <c r="N6779" s="370"/>
    </row>
    <row r="6780" spans="1:14" s="347" customFormat="1" x14ac:dyDescent="0.25">
      <c r="A6780" s="369"/>
      <c r="E6780" s="396"/>
      <c r="F6780" s="396"/>
      <c r="G6780" s="396"/>
      <c r="K6780" s="370"/>
      <c r="N6780" s="370"/>
    </row>
    <row r="6781" spans="1:14" s="347" customFormat="1" x14ac:dyDescent="0.25">
      <c r="A6781" s="369"/>
      <c r="E6781" s="396"/>
      <c r="F6781" s="396"/>
      <c r="G6781" s="396"/>
      <c r="K6781" s="370"/>
      <c r="N6781" s="370"/>
    </row>
    <row r="6782" spans="1:14" s="347" customFormat="1" x14ac:dyDescent="0.25">
      <c r="A6782" s="369"/>
      <c r="E6782" s="396"/>
      <c r="F6782" s="396"/>
      <c r="G6782" s="396"/>
      <c r="K6782" s="370"/>
      <c r="N6782" s="370"/>
    </row>
    <row r="6783" spans="1:14" s="347" customFormat="1" x14ac:dyDescent="0.25">
      <c r="A6783" s="369"/>
      <c r="E6783" s="396"/>
      <c r="F6783" s="396"/>
      <c r="G6783" s="396"/>
      <c r="K6783" s="370"/>
      <c r="N6783" s="370"/>
    </row>
    <row r="6784" spans="1:14" s="347" customFormat="1" x14ac:dyDescent="0.25">
      <c r="A6784" s="369"/>
      <c r="E6784" s="396"/>
      <c r="F6784" s="396"/>
      <c r="G6784" s="396"/>
      <c r="K6784" s="370"/>
      <c r="N6784" s="370"/>
    </row>
    <row r="6785" spans="1:14" s="347" customFormat="1" x14ac:dyDescent="0.25">
      <c r="A6785" s="369"/>
      <c r="E6785" s="396"/>
      <c r="F6785" s="396"/>
      <c r="G6785" s="396"/>
      <c r="K6785" s="370"/>
      <c r="N6785" s="370"/>
    </row>
    <row r="6786" spans="1:14" s="347" customFormat="1" x14ac:dyDescent="0.25">
      <c r="A6786" s="369"/>
      <c r="E6786" s="396"/>
      <c r="F6786" s="396"/>
      <c r="G6786" s="396"/>
      <c r="K6786" s="370"/>
      <c r="N6786" s="370"/>
    </row>
    <row r="6787" spans="1:14" s="347" customFormat="1" x14ac:dyDescent="0.25">
      <c r="A6787" s="369"/>
      <c r="E6787" s="396"/>
      <c r="F6787" s="396"/>
      <c r="G6787" s="396"/>
      <c r="K6787" s="370"/>
      <c r="N6787" s="370"/>
    </row>
    <row r="6788" spans="1:14" s="347" customFormat="1" x14ac:dyDescent="0.25">
      <c r="A6788" s="369"/>
      <c r="E6788" s="396"/>
      <c r="F6788" s="396"/>
      <c r="G6788" s="396"/>
      <c r="K6788" s="370"/>
      <c r="N6788" s="370"/>
    </row>
    <row r="6789" spans="1:14" s="347" customFormat="1" x14ac:dyDescent="0.25">
      <c r="A6789" s="369"/>
      <c r="E6789" s="396"/>
      <c r="F6789" s="396"/>
      <c r="G6789" s="396"/>
      <c r="K6789" s="370"/>
      <c r="N6789" s="370"/>
    </row>
    <row r="6790" spans="1:14" s="347" customFormat="1" x14ac:dyDescent="0.25">
      <c r="A6790" s="369"/>
      <c r="E6790" s="396"/>
      <c r="F6790" s="396"/>
      <c r="G6790" s="396"/>
      <c r="K6790" s="370"/>
      <c r="N6790" s="370"/>
    </row>
    <row r="6791" spans="1:14" s="347" customFormat="1" x14ac:dyDescent="0.25">
      <c r="A6791" s="369"/>
      <c r="E6791" s="396"/>
      <c r="F6791" s="396"/>
      <c r="G6791" s="396"/>
      <c r="K6791" s="370"/>
      <c r="N6791" s="370"/>
    </row>
    <row r="6792" spans="1:14" s="347" customFormat="1" x14ac:dyDescent="0.25">
      <c r="A6792" s="369"/>
      <c r="E6792" s="396"/>
      <c r="F6792" s="396"/>
      <c r="G6792" s="396"/>
      <c r="K6792" s="370"/>
      <c r="N6792" s="370"/>
    </row>
    <row r="6793" spans="1:14" s="347" customFormat="1" x14ac:dyDescent="0.25">
      <c r="A6793" s="369"/>
      <c r="E6793" s="396"/>
      <c r="F6793" s="396"/>
      <c r="G6793" s="396"/>
      <c r="K6793" s="370"/>
      <c r="N6793" s="370"/>
    </row>
    <row r="6794" spans="1:14" s="347" customFormat="1" x14ac:dyDescent="0.25">
      <c r="A6794" s="369"/>
      <c r="E6794" s="396"/>
      <c r="F6794" s="396"/>
      <c r="G6794" s="396"/>
      <c r="K6794" s="370"/>
      <c r="N6794" s="370"/>
    </row>
    <row r="6795" spans="1:14" s="347" customFormat="1" x14ac:dyDescent="0.25">
      <c r="A6795" s="369"/>
      <c r="E6795" s="396"/>
      <c r="F6795" s="396"/>
      <c r="G6795" s="396"/>
      <c r="K6795" s="370"/>
      <c r="N6795" s="370"/>
    </row>
    <row r="6796" spans="1:14" s="347" customFormat="1" x14ac:dyDescent="0.25">
      <c r="A6796" s="369"/>
      <c r="E6796" s="396"/>
      <c r="F6796" s="396"/>
      <c r="G6796" s="396"/>
      <c r="K6796" s="370"/>
      <c r="N6796" s="370"/>
    </row>
    <row r="6797" spans="1:14" s="347" customFormat="1" x14ac:dyDescent="0.25">
      <c r="A6797" s="369"/>
      <c r="E6797" s="396"/>
      <c r="F6797" s="396"/>
      <c r="G6797" s="396"/>
      <c r="K6797" s="370"/>
      <c r="N6797" s="370"/>
    </row>
    <row r="6798" spans="1:14" s="347" customFormat="1" x14ac:dyDescent="0.25">
      <c r="A6798" s="369"/>
      <c r="E6798" s="396"/>
      <c r="F6798" s="396"/>
      <c r="G6798" s="396"/>
      <c r="K6798" s="370"/>
      <c r="N6798" s="370"/>
    </row>
    <row r="6799" spans="1:14" s="347" customFormat="1" x14ac:dyDescent="0.25">
      <c r="A6799" s="369"/>
      <c r="E6799" s="396"/>
      <c r="F6799" s="396"/>
      <c r="G6799" s="396"/>
      <c r="K6799" s="370"/>
      <c r="N6799" s="370"/>
    </row>
    <row r="6800" spans="1:14" s="347" customFormat="1" x14ac:dyDescent="0.25">
      <c r="A6800" s="369"/>
      <c r="E6800" s="396"/>
      <c r="F6800" s="396"/>
      <c r="G6800" s="396"/>
      <c r="K6800" s="370"/>
      <c r="N6800" s="370"/>
    </row>
    <row r="6801" spans="1:14" s="347" customFormat="1" x14ac:dyDescent="0.25">
      <c r="A6801" s="369"/>
      <c r="E6801" s="396"/>
      <c r="F6801" s="396"/>
      <c r="G6801" s="396"/>
      <c r="K6801" s="370"/>
      <c r="N6801" s="370"/>
    </row>
    <row r="6802" spans="1:14" s="347" customFormat="1" x14ac:dyDescent="0.25">
      <c r="A6802" s="369"/>
      <c r="E6802" s="396"/>
      <c r="F6802" s="396"/>
      <c r="G6802" s="396"/>
      <c r="K6802" s="370"/>
      <c r="N6802" s="370"/>
    </row>
    <row r="6803" spans="1:14" s="347" customFormat="1" x14ac:dyDescent="0.25">
      <c r="A6803" s="369"/>
      <c r="E6803" s="396"/>
      <c r="F6803" s="396"/>
      <c r="G6803" s="396"/>
      <c r="K6803" s="370"/>
      <c r="N6803" s="370"/>
    </row>
    <row r="6804" spans="1:14" s="347" customFormat="1" x14ac:dyDescent="0.25">
      <c r="A6804" s="369"/>
      <c r="E6804" s="396"/>
      <c r="F6804" s="396"/>
      <c r="G6804" s="396"/>
      <c r="K6804" s="370"/>
      <c r="N6804" s="370"/>
    </row>
    <row r="6805" spans="1:14" s="347" customFormat="1" x14ac:dyDescent="0.25">
      <c r="A6805" s="369"/>
      <c r="E6805" s="396"/>
      <c r="F6805" s="396"/>
      <c r="G6805" s="396"/>
      <c r="K6805" s="370"/>
      <c r="N6805" s="370"/>
    </row>
    <row r="6806" spans="1:14" s="347" customFormat="1" x14ac:dyDescent="0.25">
      <c r="A6806" s="369"/>
      <c r="E6806" s="396"/>
      <c r="F6806" s="396"/>
      <c r="G6806" s="396"/>
      <c r="K6806" s="370"/>
      <c r="N6806" s="370"/>
    </row>
    <row r="6807" spans="1:14" s="347" customFormat="1" x14ac:dyDescent="0.25">
      <c r="A6807" s="369"/>
      <c r="E6807" s="396"/>
      <c r="F6807" s="396"/>
      <c r="G6807" s="396"/>
      <c r="K6807" s="370"/>
      <c r="N6807" s="370"/>
    </row>
    <row r="6808" spans="1:14" s="347" customFormat="1" x14ac:dyDescent="0.25">
      <c r="A6808" s="369"/>
      <c r="E6808" s="396"/>
      <c r="F6808" s="396"/>
      <c r="G6808" s="396"/>
      <c r="K6808" s="370"/>
      <c r="N6808" s="370"/>
    </row>
    <row r="6809" spans="1:14" s="347" customFormat="1" x14ac:dyDescent="0.25">
      <c r="A6809" s="369"/>
      <c r="E6809" s="396"/>
      <c r="F6809" s="396"/>
      <c r="G6809" s="396"/>
      <c r="K6809" s="370"/>
      <c r="N6809" s="370"/>
    </row>
    <row r="6810" spans="1:14" s="347" customFormat="1" x14ac:dyDescent="0.25">
      <c r="A6810" s="369"/>
      <c r="E6810" s="396"/>
      <c r="F6810" s="396"/>
      <c r="G6810" s="396"/>
      <c r="K6810" s="370"/>
      <c r="N6810" s="370"/>
    </row>
    <row r="6811" spans="1:14" s="347" customFormat="1" x14ac:dyDescent="0.25">
      <c r="A6811" s="369"/>
      <c r="E6811" s="396"/>
      <c r="F6811" s="396"/>
      <c r="G6811" s="396"/>
      <c r="K6811" s="370"/>
      <c r="N6811" s="370"/>
    </row>
    <row r="6812" spans="1:14" s="347" customFormat="1" x14ac:dyDescent="0.25">
      <c r="A6812" s="369"/>
      <c r="E6812" s="396"/>
      <c r="F6812" s="396"/>
      <c r="G6812" s="396"/>
      <c r="K6812" s="370"/>
      <c r="N6812" s="370"/>
    </row>
    <row r="6813" spans="1:14" s="347" customFormat="1" x14ac:dyDescent="0.25">
      <c r="A6813" s="369"/>
      <c r="E6813" s="396"/>
      <c r="F6813" s="396"/>
      <c r="G6813" s="396"/>
      <c r="K6813" s="370"/>
      <c r="N6813" s="370"/>
    </row>
    <row r="6814" spans="1:14" s="347" customFormat="1" x14ac:dyDescent="0.25">
      <c r="A6814" s="369"/>
      <c r="E6814" s="396"/>
      <c r="F6814" s="396"/>
      <c r="G6814" s="396"/>
      <c r="K6814" s="370"/>
      <c r="N6814" s="370"/>
    </row>
    <row r="6815" spans="1:14" s="347" customFormat="1" x14ac:dyDescent="0.25">
      <c r="A6815" s="369"/>
      <c r="E6815" s="396"/>
      <c r="F6815" s="396"/>
      <c r="G6815" s="396"/>
      <c r="K6815" s="370"/>
      <c r="N6815" s="370"/>
    </row>
    <row r="6816" spans="1:14" s="347" customFormat="1" x14ac:dyDescent="0.25">
      <c r="A6816" s="369"/>
      <c r="E6816" s="396"/>
      <c r="F6816" s="396"/>
      <c r="G6816" s="396"/>
      <c r="K6816" s="370"/>
      <c r="N6816" s="370"/>
    </row>
    <row r="6817" spans="1:14" s="347" customFormat="1" x14ac:dyDescent="0.25">
      <c r="A6817" s="369"/>
      <c r="E6817" s="396"/>
      <c r="F6817" s="396"/>
      <c r="G6817" s="396"/>
      <c r="K6817" s="370"/>
      <c r="N6817" s="370"/>
    </row>
    <row r="6818" spans="1:14" s="347" customFormat="1" x14ac:dyDescent="0.25">
      <c r="A6818" s="369"/>
      <c r="E6818" s="396"/>
      <c r="F6818" s="396"/>
      <c r="G6818" s="396"/>
      <c r="K6818" s="370"/>
      <c r="N6818" s="370"/>
    </row>
    <row r="6819" spans="1:14" s="347" customFormat="1" x14ac:dyDescent="0.25">
      <c r="A6819" s="369"/>
      <c r="E6819" s="396"/>
      <c r="F6819" s="396"/>
      <c r="G6819" s="396"/>
      <c r="K6819" s="370"/>
      <c r="N6819" s="370"/>
    </row>
    <row r="6820" spans="1:14" s="347" customFormat="1" x14ac:dyDescent="0.25">
      <c r="A6820" s="369"/>
      <c r="E6820" s="396"/>
      <c r="F6820" s="396"/>
      <c r="G6820" s="396"/>
      <c r="K6820" s="370"/>
      <c r="N6820" s="370"/>
    </row>
    <row r="6821" spans="1:14" s="347" customFormat="1" x14ac:dyDescent="0.25">
      <c r="A6821" s="369"/>
      <c r="E6821" s="396"/>
      <c r="F6821" s="396"/>
      <c r="G6821" s="396"/>
      <c r="K6821" s="370"/>
      <c r="N6821" s="370"/>
    </row>
    <row r="6822" spans="1:14" s="347" customFormat="1" x14ac:dyDescent="0.25">
      <c r="A6822" s="369"/>
      <c r="E6822" s="396"/>
      <c r="F6822" s="396"/>
      <c r="G6822" s="396"/>
      <c r="K6822" s="370"/>
      <c r="N6822" s="370"/>
    </row>
    <row r="6823" spans="1:14" s="347" customFormat="1" x14ac:dyDescent="0.25">
      <c r="A6823" s="369"/>
      <c r="E6823" s="396"/>
      <c r="F6823" s="396"/>
      <c r="G6823" s="396"/>
      <c r="K6823" s="370"/>
      <c r="N6823" s="370"/>
    </row>
    <row r="6824" spans="1:14" s="347" customFormat="1" x14ac:dyDescent="0.25">
      <c r="A6824" s="369"/>
      <c r="E6824" s="396"/>
      <c r="F6824" s="396"/>
      <c r="G6824" s="396"/>
      <c r="K6824" s="370"/>
      <c r="N6824" s="370"/>
    </row>
    <row r="6825" spans="1:14" s="347" customFormat="1" x14ac:dyDescent="0.25">
      <c r="A6825" s="369"/>
      <c r="E6825" s="396"/>
      <c r="F6825" s="396"/>
      <c r="G6825" s="396"/>
      <c r="K6825" s="370"/>
      <c r="N6825" s="370"/>
    </row>
    <row r="6826" spans="1:14" s="347" customFormat="1" x14ac:dyDescent="0.25">
      <c r="A6826" s="369"/>
      <c r="E6826" s="396"/>
      <c r="F6826" s="396"/>
      <c r="G6826" s="396"/>
      <c r="K6826" s="370"/>
      <c r="N6826" s="370"/>
    </row>
    <row r="6827" spans="1:14" s="347" customFormat="1" x14ac:dyDescent="0.25">
      <c r="A6827" s="369"/>
      <c r="E6827" s="396"/>
      <c r="F6827" s="396"/>
      <c r="G6827" s="396"/>
      <c r="K6827" s="370"/>
      <c r="N6827" s="370"/>
    </row>
    <row r="6828" spans="1:14" s="347" customFormat="1" x14ac:dyDescent="0.25">
      <c r="A6828" s="369"/>
      <c r="E6828" s="396"/>
      <c r="F6828" s="396"/>
      <c r="G6828" s="396"/>
      <c r="K6828" s="370"/>
      <c r="N6828" s="370"/>
    </row>
    <row r="6829" spans="1:14" s="347" customFormat="1" x14ac:dyDescent="0.25">
      <c r="A6829" s="369"/>
      <c r="E6829" s="396"/>
      <c r="F6829" s="396"/>
      <c r="G6829" s="396"/>
      <c r="K6829" s="370"/>
      <c r="N6829" s="370"/>
    </row>
    <row r="6830" spans="1:14" s="347" customFormat="1" x14ac:dyDescent="0.25">
      <c r="A6830" s="369"/>
      <c r="E6830" s="396"/>
      <c r="F6830" s="396"/>
      <c r="G6830" s="396"/>
      <c r="K6830" s="370"/>
      <c r="N6830" s="370"/>
    </row>
    <row r="6831" spans="1:14" s="347" customFormat="1" x14ac:dyDescent="0.25">
      <c r="A6831" s="369"/>
      <c r="E6831" s="396"/>
      <c r="F6831" s="396"/>
      <c r="G6831" s="396"/>
      <c r="K6831" s="370"/>
      <c r="N6831" s="370"/>
    </row>
    <row r="6832" spans="1:14" s="347" customFormat="1" x14ac:dyDescent="0.25">
      <c r="A6832" s="369"/>
      <c r="E6832" s="396"/>
      <c r="F6832" s="396"/>
      <c r="G6832" s="396"/>
      <c r="K6832" s="370"/>
      <c r="N6832" s="370"/>
    </row>
    <row r="6833" spans="1:14" s="347" customFormat="1" x14ac:dyDescent="0.25">
      <c r="A6833" s="369"/>
      <c r="E6833" s="396"/>
      <c r="F6833" s="396"/>
      <c r="G6833" s="396"/>
      <c r="K6833" s="370"/>
      <c r="N6833" s="370"/>
    </row>
    <row r="6834" spans="1:14" s="347" customFormat="1" x14ac:dyDescent="0.25">
      <c r="A6834" s="369"/>
      <c r="E6834" s="396"/>
      <c r="F6834" s="396"/>
      <c r="G6834" s="396"/>
      <c r="K6834" s="370"/>
      <c r="N6834" s="370"/>
    </row>
    <row r="6835" spans="1:14" s="347" customFormat="1" x14ac:dyDescent="0.25">
      <c r="A6835" s="369"/>
      <c r="E6835" s="396"/>
      <c r="F6835" s="396"/>
      <c r="G6835" s="396"/>
      <c r="K6835" s="370"/>
      <c r="N6835" s="370"/>
    </row>
    <row r="6836" spans="1:14" s="347" customFormat="1" x14ac:dyDescent="0.25">
      <c r="A6836" s="369"/>
      <c r="E6836" s="396"/>
      <c r="F6836" s="396"/>
      <c r="G6836" s="396"/>
      <c r="K6836" s="370"/>
      <c r="N6836" s="370"/>
    </row>
    <row r="6837" spans="1:14" s="347" customFormat="1" x14ac:dyDescent="0.25">
      <c r="A6837" s="369"/>
      <c r="E6837" s="396"/>
      <c r="F6837" s="396"/>
      <c r="G6837" s="396"/>
      <c r="K6837" s="370"/>
      <c r="N6837" s="370"/>
    </row>
    <row r="6838" spans="1:14" s="347" customFormat="1" x14ac:dyDescent="0.25">
      <c r="A6838" s="369"/>
      <c r="E6838" s="396"/>
      <c r="F6838" s="396"/>
      <c r="G6838" s="396"/>
      <c r="K6838" s="370"/>
      <c r="N6838" s="370"/>
    </row>
    <row r="6839" spans="1:14" s="347" customFormat="1" x14ac:dyDescent="0.25">
      <c r="A6839" s="369"/>
      <c r="E6839" s="396"/>
      <c r="F6839" s="396"/>
      <c r="G6839" s="396"/>
      <c r="K6839" s="370"/>
      <c r="N6839" s="370"/>
    </row>
    <row r="6840" spans="1:14" s="347" customFormat="1" x14ac:dyDescent="0.25">
      <c r="A6840" s="369"/>
      <c r="E6840" s="396"/>
      <c r="F6840" s="396"/>
      <c r="G6840" s="396"/>
      <c r="K6840" s="370"/>
      <c r="N6840" s="370"/>
    </row>
    <row r="6841" spans="1:14" s="347" customFormat="1" x14ac:dyDescent="0.25">
      <c r="A6841" s="369"/>
      <c r="E6841" s="396"/>
      <c r="F6841" s="396"/>
      <c r="G6841" s="396"/>
      <c r="K6841" s="370"/>
      <c r="N6841" s="370"/>
    </row>
    <row r="6842" spans="1:14" s="347" customFormat="1" x14ac:dyDescent="0.25">
      <c r="A6842" s="369"/>
      <c r="E6842" s="396"/>
      <c r="F6842" s="396"/>
      <c r="G6842" s="396"/>
      <c r="K6842" s="370"/>
      <c r="N6842" s="370"/>
    </row>
    <row r="6843" spans="1:14" s="347" customFormat="1" x14ac:dyDescent="0.25">
      <c r="A6843" s="369"/>
      <c r="E6843" s="396"/>
      <c r="F6843" s="396"/>
      <c r="G6843" s="396"/>
      <c r="K6843" s="370"/>
      <c r="N6843" s="370"/>
    </row>
    <row r="6844" spans="1:14" s="347" customFormat="1" x14ac:dyDescent="0.25">
      <c r="A6844" s="369"/>
      <c r="E6844" s="396"/>
      <c r="F6844" s="396"/>
      <c r="G6844" s="396"/>
      <c r="K6844" s="370"/>
      <c r="N6844" s="370"/>
    </row>
    <row r="6845" spans="1:14" s="347" customFormat="1" x14ac:dyDescent="0.25">
      <c r="A6845" s="369"/>
      <c r="E6845" s="396"/>
      <c r="F6845" s="396"/>
      <c r="G6845" s="396"/>
      <c r="K6845" s="370"/>
      <c r="N6845" s="370"/>
    </row>
    <row r="6846" spans="1:14" s="347" customFormat="1" x14ac:dyDescent="0.25">
      <c r="A6846" s="369"/>
      <c r="E6846" s="396"/>
      <c r="F6846" s="396"/>
      <c r="G6846" s="396"/>
      <c r="K6846" s="370"/>
      <c r="N6846" s="370"/>
    </row>
    <row r="6847" spans="1:14" s="347" customFormat="1" x14ac:dyDescent="0.25">
      <c r="A6847" s="369"/>
      <c r="E6847" s="396"/>
      <c r="F6847" s="396"/>
      <c r="G6847" s="396"/>
      <c r="K6847" s="370"/>
      <c r="N6847" s="370"/>
    </row>
    <row r="6848" spans="1:14" s="347" customFormat="1" x14ac:dyDescent="0.25">
      <c r="A6848" s="369"/>
      <c r="E6848" s="396"/>
      <c r="F6848" s="396"/>
      <c r="G6848" s="396"/>
      <c r="K6848" s="370"/>
      <c r="N6848" s="370"/>
    </row>
    <row r="6849" spans="1:14" s="347" customFormat="1" x14ac:dyDescent="0.25">
      <c r="A6849" s="369"/>
      <c r="E6849" s="396"/>
      <c r="F6849" s="396"/>
      <c r="G6849" s="396"/>
      <c r="K6849" s="370"/>
      <c r="N6849" s="370"/>
    </row>
    <row r="6850" spans="1:14" s="347" customFormat="1" x14ac:dyDescent="0.25">
      <c r="A6850" s="369"/>
      <c r="E6850" s="396"/>
      <c r="F6850" s="396"/>
      <c r="G6850" s="396"/>
      <c r="K6850" s="370"/>
      <c r="N6850" s="370"/>
    </row>
    <row r="6851" spans="1:14" s="347" customFormat="1" x14ac:dyDescent="0.25">
      <c r="A6851" s="369"/>
      <c r="E6851" s="396"/>
      <c r="F6851" s="396"/>
      <c r="G6851" s="396"/>
      <c r="K6851" s="370"/>
      <c r="N6851" s="370"/>
    </row>
    <row r="6852" spans="1:14" s="347" customFormat="1" x14ac:dyDescent="0.25">
      <c r="A6852" s="369"/>
      <c r="E6852" s="396"/>
      <c r="F6852" s="396"/>
      <c r="G6852" s="396"/>
      <c r="K6852" s="370"/>
      <c r="N6852" s="370"/>
    </row>
    <row r="6853" spans="1:14" s="347" customFormat="1" x14ac:dyDescent="0.25">
      <c r="A6853" s="369"/>
      <c r="E6853" s="396"/>
      <c r="F6853" s="396"/>
      <c r="G6853" s="396"/>
      <c r="K6853" s="370"/>
      <c r="N6853" s="370"/>
    </row>
    <row r="6854" spans="1:14" s="347" customFormat="1" x14ac:dyDescent="0.25">
      <c r="A6854" s="369"/>
      <c r="E6854" s="396"/>
      <c r="F6854" s="396"/>
      <c r="G6854" s="396"/>
      <c r="K6854" s="370"/>
      <c r="N6854" s="370"/>
    </row>
    <row r="6855" spans="1:14" s="347" customFormat="1" x14ac:dyDescent="0.25">
      <c r="A6855" s="369"/>
      <c r="E6855" s="396"/>
      <c r="F6855" s="396"/>
      <c r="G6855" s="396"/>
      <c r="K6855" s="370"/>
      <c r="N6855" s="370"/>
    </row>
    <row r="6856" spans="1:14" s="347" customFormat="1" x14ac:dyDescent="0.25">
      <c r="A6856" s="369"/>
      <c r="E6856" s="396"/>
      <c r="F6856" s="396"/>
      <c r="G6856" s="396"/>
      <c r="K6856" s="370"/>
      <c r="N6856" s="370"/>
    </row>
    <row r="6857" spans="1:14" s="347" customFormat="1" x14ac:dyDescent="0.25">
      <c r="A6857" s="369"/>
      <c r="E6857" s="396"/>
      <c r="F6857" s="396"/>
      <c r="G6857" s="396"/>
      <c r="K6857" s="370"/>
      <c r="N6857" s="370"/>
    </row>
    <row r="6858" spans="1:14" s="347" customFormat="1" x14ac:dyDescent="0.25">
      <c r="A6858" s="369"/>
      <c r="E6858" s="396"/>
      <c r="F6858" s="396"/>
      <c r="G6858" s="396"/>
      <c r="K6858" s="370"/>
      <c r="N6858" s="370"/>
    </row>
    <row r="6859" spans="1:14" s="347" customFormat="1" x14ac:dyDescent="0.25">
      <c r="A6859" s="369"/>
      <c r="E6859" s="396"/>
      <c r="F6859" s="396"/>
      <c r="G6859" s="396"/>
      <c r="K6859" s="370"/>
      <c r="N6859" s="370"/>
    </row>
    <row r="6860" spans="1:14" s="347" customFormat="1" x14ac:dyDescent="0.25">
      <c r="A6860" s="369"/>
      <c r="E6860" s="396"/>
      <c r="F6860" s="396"/>
      <c r="G6860" s="396"/>
      <c r="K6860" s="370"/>
      <c r="N6860" s="370"/>
    </row>
    <row r="6861" spans="1:14" s="347" customFormat="1" x14ac:dyDescent="0.25">
      <c r="A6861" s="369"/>
      <c r="E6861" s="396"/>
      <c r="F6861" s="396"/>
      <c r="G6861" s="396"/>
      <c r="K6861" s="370"/>
      <c r="N6861" s="370"/>
    </row>
    <row r="6862" spans="1:14" s="347" customFormat="1" x14ac:dyDescent="0.25">
      <c r="A6862" s="369"/>
      <c r="E6862" s="396"/>
      <c r="F6862" s="396"/>
      <c r="G6862" s="396"/>
      <c r="K6862" s="370"/>
      <c r="N6862" s="370"/>
    </row>
    <row r="6863" spans="1:14" s="347" customFormat="1" x14ac:dyDescent="0.25">
      <c r="A6863" s="369"/>
      <c r="E6863" s="396"/>
      <c r="F6863" s="396"/>
      <c r="G6863" s="396"/>
      <c r="K6863" s="370"/>
      <c r="N6863" s="370"/>
    </row>
    <row r="6864" spans="1:14" s="347" customFormat="1" x14ac:dyDescent="0.25">
      <c r="A6864" s="369"/>
      <c r="E6864" s="396"/>
      <c r="F6864" s="396"/>
      <c r="G6864" s="396"/>
      <c r="K6864" s="370"/>
      <c r="N6864" s="370"/>
    </row>
    <row r="6865" spans="1:14" s="347" customFormat="1" x14ac:dyDescent="0.25">
      <c r="A6865" s="369"/>
      <c r="E6865" s="396"/>
      <c r="F6865" s="396"/>
      <c r="G6865" s="396"/>
      <c r="K6865" s="370"/>
      <c r="N6865" s="370"/>
    </row>
    <row r="6866" spans="1:14" s="347" customFormat="1" x14ac:dyDescent="0.25">
      <c r="A6866" s="369"/>
      <c r="E6866" s="396"/>
      <c r="F6866" s="396"/>
      <c r="G6866" s="396"/>
      <c r="K6866" s="370"/>
      <c r="N6866" s="370"/>
    </row>
    <row r="6867" spans="1:14" s="347" customFormat="1" x14ac:dyDescent="0.25">
      <c r="A6867" s="369"/>
      <c r="E6867" s="396"/>
      <c r="F6867" s="396"/>
      <c r="G6867" s="396"/>
      <c r="K6867" s="370"/>
      <c r="N6867" s="370"/>
    </row>
    <row r="6868" spans="1:14" s="347" customFormat="1" x14ac:dyDescent="0.25">
      <c r="A6868" s="369"/>
      <c r="E6868" s="396"/>
      <c r="F6868" s="396"/>
      <c r="G6868" s="396"/>
      <c r="K6868" s="370"/>
      <c r="N6868" s="370"/>
    </row>
    <row r="6869" spans="1:14" s="347" customFormat="1" x14ac:dyDescent="0.25">
      <c r="A6869" s="369"/>
      <c r="E6869" s="396"/>
      <c r="F6869" s="396"/>
      <c r="G6869" s="396"/>
      <c r="K6869" s="370"/>
      <c r="N6869" s="370"/>
    </row>
    <row r="6870" spans="1:14" s="347" customFormat="1" x14ac:dyDescent="0.25">
      <c r="A6870" s="369"/>
      <c r="E6870" s="396"/>
      <c r="F6870" s="396"/>
      <c r="G6870" s="396"/>
      <c r="K6870" s="370"/>
      <c r="N6870" s="370"/>
    </row>
    <row r="6871" spans="1:14" s="347" customFormat="1" x14ac:dyDescent="0.25">
      <c r="A6871" s="369"/>
      <c r="E6871" s="396"/>
      <c r="F6871" s="396"/>
      <c r="G6871" s="396"/>
      <c r="K6871" s="370"/>
      <c r="N6871" s="370"/>
    </row>
    <row r="6872" spans="1:14" s="347" customFormat="1" x14ac:dyDescent="0.25">
      <c r="A6872" s="369"/>
      <c r="E6872" s="396"/>
      <c r="F6872" s="396"/>
      <c r="G6872" s="396"/>
      <c r="K6872" s="370"/>
      <c r="N6872" s="370"/>
    </row>
    <row r="6873" spans="1:14" s="347" customFormat="1" x14ac:dyDescent="0.25">
      <c r="A6873" s="369"/>
      <c r="E6873" s="396"/>
      <c r="F6873" s="396"/>
      <c r="G6873" s="396"/>
      <c r="K6873" s="370"/>
      <c r="N6873" s="370"/>
    </row>
    <row r="6874" spans="1:14" s="347" customFormat="1" x14ac:dyDescent="0.25">
      <c r="A6874" s="369"/>
      <c r="E6874" s="396"/>
      <c r="F6874" s="396"/>
      <c r="G6874" s="396"/>
      <c r="K6874" s="370"/>
      <c r="N6874" s="370"/>
    </row>
    <row r="6875" spans="1:14" s="347" customFormat="1" x14ac:dyDescent="0.25">
      <c r="A6875" s="369"/>
      <c r="E6875" s="396"/>
      <c r="F6875" s="396"/>
      <c r="G6875" s="396"/>
      <c r="K6875" s="370"/>
      <c r="N6875" s="370"/>
    </row>
    <row r="6876" spans="1:14" s="347" customFormat="1" x14ac:dyDescent="0.25">
      <c r="A6876" s="369"/>
      <c r="E6876" s="396"/>
      <c r="F6876" s="396"/>
      <c r="G6876" s="396"/>
      <c r="K6876" s="370"/>
      <c r="N6876" s="370"/>
    </row>
    <row r="6877" spans="1:14" s="347" customFormat="1" x14ac:dyDescent="0.25">
      <c r="A6877" s="369"/>
      <c r="E6877" s="396"/>
      <c r="F6877" s="396"/>
      <c r="G6877" s="396"/>
      <c r="K6877" s="370"/>
      <c r="N6877" s="370"/>
    </row>
    <row r="6878" spans="1:14" s="347" customFormat="1" x14ac:dyDescent="0.25">
      <c r="A6878" s="369"/>
      <c r="E6878" s="396"/>
      <c r="F6878" s="396"/>
      <c r="G6878" s="396"/>
      <c r="K6878" s="370"/>
      <c r="N6878" s="370"/>
    </row>
    <row r="6879" spans="1:14" s="347" customFormat="1" x14ac:dyDescent="0.25">
      <c r="A6879" s="369"/>
      <c r="E6879" s="396"/>
      <c r="F6879" s="396"/>
      <c r="G6879" s="396"/>
      <c r="K6879" s="370"/>
      <c r="N6879" s="370"/>
    </row>
    <row r="6880" spans="1:14" s="347" customFormat="1" x14ac:dyDescent="0.25">
      <c r="A6880" s="369"/>
      <c r="E6880" s="396"/>
      <c r="F6880" s="396"/>
      <c r="G6880" s="396"/>
      <c r="K6880" s="370"/>
      <c r="N6880" s="370"/>
    </row>
    <row r="6881" spans="1:14" s="347" customFormat="1" x14ac:dyDescent="0.25">
      <c r="A6881" s="369"/>
      <c r="E6881" s="396"/>
      <c r="F6881" s="396"/>
      <c r="G6881" s="396"/>
      <c r="K6881" s="370"/>
      <c r="N6881" s="370"/>
    </row>
    <row r="6882" spans="1:14" s="347" customFormat="1" x14ac:dyDescent="0.25">
      <c r="A6882" s="369"/>
      <c r="E6882" s="396"/>
      <c r="F6882" s="396"/>
      <c r="G6882" s="396"/>
      <c r="K6882" s="370"/>
      <c r="N6882" s="370"/>
    </row>
    <row r="6883" spans="1:14" s="347" customFormat="1" x14ac:dyDescent="0.25">
      <c r="A6883" s="369"/>
      <c r="E6883" s="396"/>
      <c r="F6883" s="396"/>
      <c r="G6883" s="396"/>
      <c r="K6883" s="370"/>
      <c r="N6883" s="370"/>
    </row>
    <row r="6884" spans="1:14" s="347" customFormat="1" x14ac:dyDescent="0.25">
      <c r="A6884" s="369"/>
      <c r="E6884" s="396"/>
      <c r="F6884" s="396"/>
      <c r="G6884" s="396"/>
      <c r="K6884" s="370"/>
      <c r="N6884" s="370"/>
    </row>
    <row r="6885" spans="1:14" s="347" customFormat="1" x14ac:dyDescent="0.25">
      <c r="A6885" s="369"/>
      <c r="E6885" s="396"/>
      <c r="F6885" s="396"/>
      <c r="G6885" s="396"/>
      <c r="K6885" s="370"/>
      <c r="N6885" s="370"/>
    </row>
    <row r="6886" spans="1:14" s="347" customFormat="1" x14ac:dyDescent="0.25">
      <c r="A6886" s="369"/>
      <c r="E6886" s="396"/>
      <c r="F6886" s="396"/>
      <c r="G6886" s="396"/>
      <c r="K6886" s="370"/>
      <c r="N6886" s="370"/>
    </row>
    <row r="6887" spans="1:14" s="347" customFormat="1" x14ac:dyDescent="0.25">
      <c r="A6887" s="369"/>
      <c r="E6887" s="396"/>
      <c r="F6887" s="396"/>
      <c r="G6887" s="396"/>
      <c r="K6887" s="370"/>
      <c r="N6887" s="370"/>
    </row>
    <row r="6888" spans="1:14" s="347" customFormat="1" x14ac:dyDescent="0.25">
      <c r="A6888" s="369"/>
      <c r="E6888" s="396"/>
      <c r="F6888" s="396"/>
      <c r="G6888" s="396"/>
      <c r="K6888" s="370"/>
      <c r="N6888" s="370"/>
    </row>
    <row r="6889" spans="1:14" s="347" customFormat="1" x14ac:dyDescent="0.25">
      <c r="A6889" s="369"/>
      <c r="E6889" s="396"/>
      <c r="F6889" s="396"/>
      <c r="G6889" s="396"/>
      <c r="K6889" s="370"/>
      <c r="N6889" s="370"/>
    </row>
    <row r="6890" spans="1:14" s="347" customFormat="1" x14ac:dyDescent="0.25">
      <c r="A6890" s="369"/>
      <c r="E6890" s="396"/>
      <c r="F6890" s="396"/>
      <c r="G6890" s="396"/>
      <c r="K6890" s="370"/>
      <c r="N6890" s="370"/>
    </row>
    <row r="6891" spans="1:14" s="347" customFormat="1" x14ac:dyDescent="0.25">
      <c r="A6891" s="369"/>
      <c r="E6891" s="396"/>
      <c r="F6891" s="396"/>
      <c r="G6891" s="396"/>
      <c r="K6891" s="370"/>
      <c r="N6891" s="370"/>
    </row>
    <row r="6892" spans="1:14" s="347" customFormat="1" x14ac:dyDescent="0.25">
      <c r="A6892" s="369"/>
      <c r="E6892" s="396"/>
      <c r="F6892" s="396"/>
      <c r="G6892" s="396"/>
      <c r="K6892" s="370"/>
      <c r="N6892" s="370"/>
    </row>
    <row r="6893" spans="1:14" s="347" customFormat="1" x14ac:dyDescent="0.25">
      <c r="A6893" s="369"/>
      <c r="E6893" s="396"/>
      <c r="F6893" s="396"/>
      <c r="G6893" s="396"/>
      <c r="K6893" s="370"/>
      <c r="N6893" s="370"/>
    </row>
    <row r="6894" spans="1:14" s="347" customFormat="1" x14ac:dyDescent="0.25">
      <c r="A6894" s="369"/>
      <c r="E6894" s="396"/>
      <c r="F6894" s="396"/>
      <c r="G6894" s="396"/>
      <c r="K6894" s="370"/>
      <c r="N6894" s="370"/>
    </row>
    <row r="6895" spans="1:14" s="347" customFormat="1" x14ac:dyDescent="0.25">
      <c r="A6895" s="369"/>
      <c r="E6895" s="396"/>
      <c r="F6895" s="396"/>
      <c r="G6895" s="396"/>
      <c r="K6895" s="370"/>
      <c r="N6895" s="370"/>
    </row>
    <row r="6896" spans="1:14" s="347" customFormat="1" x14ac:dyDescent="0.25">
      <c r="A6896" s="369"/>
      <c r="E6896" s="396"/>
      <c r="F6896" s="396"/>
      <c r="G6896" s="396"/>
      <c r="K6896" s="370"/>
      <c r="N6896" s="370"/>
    </row>
    <row r="6897" spans="1:14" s="347" customFormat="1" x14ac:dyDescent="0.25">
      <c r="A6897" s="369"/>
      <c r="E6897" s="396"/>
      <c r="F6897" s="396"/>
      <c r="G6897" s="396"/>
      <c r="K6897" s="370"/>
      <c r="N6897" s="370"/>
    </row>
    <row r="6898" spans="1:14" s="347" customFormat="1" x14ac:dyDescent="0.25">
      <c r="A6898" s="369"/>
      <c r="E6898" s="396"/>
      <c r="F6898" s="396"/>
      <c r="G6898" s="396"/>
      <c r="K6898" s="370"/>
      <c r="N6898" s="370"/>
    </row>
    <row r="6899" spans="1:14" s="347" customFormat="1" x14ac:dyDescent="0.25">
      <c r="A6899" s="369"/>
      <c r="E6899" s="396"/>
      <c r="F6899" s="396"/>
      <c r="G6899" s="396"/>
      <c r="K6899" s="370"/>
      <c r="N6899" s="370"/>
    </row>
    <row r="6900" spans="1:14" s="347" customFormat="1" x14ac:dyDescent="0.25">
      <c r="A6900" s="369"/>
      <c r="E6900" s="396"/>
      <c r="F6900" s="396"/>
      <c r="G6900" s="396"/>
      <c r="K6900" s="370"/>
      <c r="N6900" s="370"/>
    </row>
    <row r="6901" spans="1:14" s="347" customFormat="1" x14ac:dyDescent="0.25">
      <c r="A6901" s="369"/>
      <c r="E6901" s="396"/>
      <c r="F6901" s="396"/>
      <c r="G6901" s="396"/>
      <c r="K6901" s="370"/>
      <c r="N6901" s="370"/>
    </row>
    <row r="6902" spans="1:14" s="347" customFormat="1" x14ac:dyDescent="0.25">
      <c r="A6902" s="369"/>
      <c r="E6902" s="396"/>
      <c r="F6902" s="396"/>
      <c r="G6902" s="396"/>
      <c r="K6902" s="370"/>
      <c r="N6902" s="370"/>
    </row>
    <row r="6903" spans="1:14" s="347" customFormat="1" x14ac:dyDescent="0.25">
      <c r="A6903" s="369"/>
      <c r="E6903" s="396"/>
      <c r="F6903" s="396"/>
      <c r="G6903" s="396"/>
      <c r="K6903" s="370"/>
      <c r="N6903" s="370"/>
    </row>
    <row r="6904" spans="1:14" s="347" customFormat="1" x14ac:dyDescent="0.25">
      <c r="A6904" s="369"/>
      <c r="E6904" s="396"/>
      <c r="F6904" s="396"/>
      <c r="G6904" s="396"/>
      <c r="K6904" s="370"/>
      <c r="N6904" s="370"/>
    </row>
    <row r="6905" spans="1:14" s="347" customFormat="1" x14ac:dyDescent="0.25">
      <c r="A6905" s="369"/>
      <c r="E6905" s="396"/>
      <c r="F6905" s="396"/>
      <c r="G6905" s="396"/>
      <c r="K6905" s="370"/>
      <c r="N6905" s="370"/>
    </row>
    <row r="6906" spans="1:14" s="347" customFormat="1" x14ac:dyDescent="0.25">
      <c r="A6906" s="369"/>
      <c r="E6906" s="396"/>
      <c r="F6906" s="396"/>
      <c r="G6906" s="396"/>
      <c r="K6906" s="370"/>
      <c r="N6906" s="370"/>
    </row>
    <row r="6907" spans="1:14" s="347" customFormat="1" x14ac:dyDescent="0.25">
      <c r="A6907" s="369"/>
      <c r="E6907" s="396"/>
      <c r="F6907" s="396"/>
      <c r="G6907" s="396"/>
      <c r="K6907" s="370"/>
      <c r="N6907" s="370"/>
    </row>
    <row r="6908" spans="1:14" s="347" customFormat="1" x14ac:dyDescent="0.25">
      <c r="A6908" s="369"/>
      <c r="E6908" s="396"/>
      <c r="F6908" s="396"/>
      <c r="G6908" s="396"/>
      <c r="K6908" s="370"/>
      <c r="N6908" s="370"/>
    </row>
    <row r="6909" spans="1:14" s="347" customFormat="1" x14ac:dyDescent="0.25">
      <c r="A6909" s="369"/>
      <c r="E6909" s="396"/>
      <c r="F6909" s="396"/>
      <c r="G6909" s="396"/>
      <c r="K6909" s="370"/>
      <c r="N6909" s="370"/>
    </row>
    <row r="6910" spans="1:14" s="347" customFormat="1" x14ac:dyDescent="0.25">
      <c r="A6910" s="369"/>
      <c r="E6910" s="396"/>
      <c r="F6910" s="396"/>
      <c r="G6910" s="396"/>
      <c r="K6910" s="370"/>
      <c r="N6910" s="370"/>
    </row>
    <row r="6911" spans="1:14" s="347" customFormat="1" x14ac:dyDescent="0.25">
      <c r="A6911" s="369"/>
      <c r="E6911" s="396"/>
      <c r="F6911" s="396"/>
      <c r="G6911" s="396"/>
      <c r="K6911" s="370"/>
      <c r="N6911" s="370"/>
    </row>
    <row r="6912" spans="1:14" s="347" customFormat="1" x14ac:dyDescent="0.25">
      <c r="A6912" s="369"/>
      <c r="E6912" s="396"/>
      <c r="F6912" s="396"/>
      <c r="G6912" s="396"/>
      <c r="K6912" s="370"/>
      <c r="N6912" s="370"/>
    </row>
    <row r="6913" spans="1:14" s="347" customFormat="1" x14ac:dyDescent="0.25">
      <c r="A6913" s="369"/>
      <c r="E6913" s="396"/>
      <c r="F6913" s="396"/>
      <c r="G6913" s="396"/>
      <c r="K6913" s="370"/>
      <c r="N6913" s="370"/>
    </row>
    <row r="6914" spans="1:14" s="347" customFormat="1" x14ac:dyDescent="0.25">
      <c r="A6914" s="369"/>
      <c r="E6914" s="396"/>
      <c r="F6914" s="396"/>
      <c r="G6914" s="396"/>
      <c r="K6914" s="370"/>
      <c r="N6914" s="370"/>
    </row>
    <row r="6915" spans="1:14" s="347" customFormat="1" x14ac:dyDescent="0.25">
      <c r="A6915" s="369"/>
      <c r="E6915" s="396"/>
      <c r="F6915" s="396"/>
      <c r="G6915" s="396"/>
      <c r="K6915" s="370"/>
      <c r="N6915" s="370"/>
    </row>
    <row r="6916" spans="1:14" s="347" customFormat="1" x14ac:dyDescent="0.25">
      <c r="A6916" s="369"/>
      <c r="E6916" s="396"/>
      <c r="F6916" s="396"/>
      <c r="G6916" s="396"/>
      <c r="K6916" s="370"/>
      <c r="N6916" s="370"/>
    </row>
    <row r="6917" spans="1:14" s="347" customFormat="1" x14ac:dyDescent="0.25">
      <c r="A6917" s="369"/>
      <c r="E6917" s="396"/>
      <c r="F6917" s="396"/>
      <c r="G6917" s="396"/>
      <c r="K6917" s="370"/>
      <c r="N6917" s="370"/>
    </row>
    <row r="6918" spans="1:14" s="347" customFormat="1" x14ac:dyDescent="0.25">
      <c r="A6918" s="369"/>
      <c r="E6918" s="396"/>
      <c r="F6918" s="396"/>
      <c r="G6918" s="396"/>
      <c r="K6918" s="370"/>
      <c r="N6918" s="370"/>
    </row>
    <row r="6919" spans="1:14" s="347" customFormat="1" x14ac:dyDescent="0.25">
      <c r="A6919" s="369"/>
      <c r="E6919" s="396"/>
      <c r="F6919" s="396"/>
      <c r="G6919" s="396"/>
      <c r="K6919" s="370"/>
      <c r="N6919" s="370"/>
    </row>
    <row r="6920" spans="1:14" s="347" customFormat="1" x14ac:dyDescent="0.25">
      <c r="A6920" s="369"/>
      <c r="E6920" s="396"/>
      <c r="F6920" s="396"/>
      <c r="G6920" s="396"/>
      <c r="K6920" s="370"/>
      <c r="N6920" s="370"/>
    </row>
    <row r="6921" spans="1:14" s="347" customFormat="1" x14ac:dyDescent="0.25">
      <c r="A6921" s="369"/>
      <c r="E6921" s="396"/>
      <c r="F6921" s="396"/>
      <c r="G6921" s="396"/>
      <c r="K6921" s="370"/>
      <c r="N6921" s="370"/>
    </row>
    <row r="6922" spans="1:14" s="347" customFormat="1" x14ac:dyDescent="0.25">
      <c r="A6922" s="369"/>
      <c r="E6922" s="396"/>
      <c r="F6922" s="396"/>
      <c r="G6922" s="396"/>
      <c r="K6922" s="370"/>
      <c r="N6922" s="370"/>
    </row>
    <row r="6923" spans="1:14" s="347" customFormat="1" x14ac:dyDescent="0.25">
      <c r="A6923" s="369"/>
      <c r="E6923" s="396"/>
      <c r="F6923" s="396"/>
      <c r="G6923" s="396"/>
      <c r="K6923" s="370"/>
      <c r="N6923" s="370"/>
    </row>
    <row r="6924" spans="1:14" s="347" customFormat="1" x14ac:dyDescent="0.25">
      <c r="A6924" s="369"/>
      <c r="E6924" s="396"/>
      <c r="F6924" s="396"/>
      <c r="G6924" s="396"/>
      <c r="K6924" s="370"/>
      <c r="N6924" s="370"/>
    </row>
    <row r="6925" spans="1:14" s="347" customFormat="1" x14ac:dyDescent="0.25">
      <c r="A6925" s="369"/>
      <c r="E6925" s="396"/>
      <c r="F6925" s="396"/>
      <c r="G6925" s="396"/>
      <c r="K6925" s="370"/>
      <c r="N6925" s="370"/>
    </row>
    <row r="6926" spans="1:14" s="347" customFormat="1" x14ac:dyDescent="0.25">
      <c r="A6926" s="369"/>
      <c r="E6926" s="396"/>
      <c r="F6926" s="396"/>
      <c r="G6926" s="396"/>
      <c r="K6926" s="370"/>
      <c r="N6926" s="370"/>
    </row>
    <row r="6927" spans="1:14" s="347" customFormat="1" x14ac:dyDescent="0.25">
      <c r="A6927" s="369"/>
      <c r="E6927" s="396"/>
      <c r="F6927" s="396"/>
      <c r="G6927" s="396"/>
      <c r="K6927" s="370"/>
      <c r="N6927" s="370"/>
    </row>
    <row r="6928" spans="1:14" s="347" customFormat="1" x14ac:dyDescent="0.25">
      <c r="A6928" s="369"/>
      <c r="E6928" s="396"/>
      <c r="F6928" s="396"/>
      <c r="G6928" s="396"/>
      <c r="K6928" s="370"/>
      <c r="N6928" s="370"/>
    </row>
    <row r="6929" spans="1:14" s="347" customFormat="1" x14ac:dyDescent="0.25">
      <c r="A6929" s="369"/>
      <c r="E6929" s="396"/>
      <c r="F6929" s="396"/>
      <c r="G6929" s="396"/>
      <c r="K6929" s="370"/>
      <c r="N6929" s="370"/>
    </row>
    <row r="6930" spans="1:14" s="347" customFormat="1" x14ac:dyDescent="0.25">
      <c r="A6930" s="369"/>
      <c r="E6930" s="396"/>
      <c r="F6930" s="396"/>
      <c r="G6930" s="396"/>
      <c r="K6930" s="370"/>
      <c r="N6930" s="370"/>
    </row>
    <row r="6931" spans="1:14" s="347" customFormat="1" x14ac:dyDescent="0.25">
      <c r="A6931" s="369"/>
      <c r="E6931" s="396"/>
      <c r="F6931" s="396"/>
      <c r="G6931" s="396"/>
      <c r="K6931" s="370"/>
      <c r="N6931" s="370"/>
    </row>
    <row r="6932" spans="1:14" s="347" customFormat="1" x14ac:dyDescent="0.25">
      <c r="A6932" s="369"/>
      <c r="E6932" s="396"/>
      <c r="F6932" s="396"/>
      <c r="G6932" s="396"/>
      <c r="K6932" s="370"/>
      <c r="N6932" s="370"/>
    </row>
    <row r="6933" spans="1:14" s="347" customFormat="1" x14ac:dyDescent="0.25">
      <c r="A6933" s="369"/>
      <c r="E6933" s="396"/>
      <c r="F6933" s="396"/>
      <c r="G6933" s="396"/>
      <c r="K6933" s="370"/>
      <c r="N6933" s="370"/>
    </row>
    <row r="6934" spans="1:14" s="347" customFormat="1" x14ac:dyDescent="0.25">
      <c r="A6934" s="369"/>
      <c r="E6934" s="396"/>
      <c r="F6934" s="396"/>
      <c r="G6934" s="396"/>
      <c r="K6934" s="370"/>
      <c r="N6934" s="370"/>
    </row>
    <row r="6935" spans="1:14" s="347" customFormat="1" x14ac:dyDescent="0.25">
      <c r="A6935" s="369"/>
      <c r="E6935" s="396"/>
      <c r="F6935" s="396"/>
      <c r="G6935" s="396"/>
      <c r="K6935" s="370"/>
      <c r="N6935" s="370"/>
    </row>
    <row r="6936" spans="1:14" s="347" customFormat="1" x14ac:dyDescent="0.25">
      <c r="A6936" s="369"/>
      <c r="E6936" s="396"/>
      <c r="F6936" s="396"/>
      <c r="G6936" s="396"/>
      <c r="K6936" s="370"/>
      <c r="N6936" s="370"/>
    </row>
    <row r="6937" spans="1:14" s="347" customFormat="1" x14ac:dyDescent="0.25">
      <c r="A6937" s="369"/>
      <c r="E6937" s="396"/>
      <c r="F6937" s="396"/>
      <c r="G6937" s="396"/>
      <c r="K6937" s="370"/>
      <c r="N6937" s="370"/>
    </row>
    <row r="6938" spans="1:14" s="347" customFormat="1" x14ac:dyDescent="0.25">
      <c r="A6938" s="369"/>
      <c r="E6938" s="396"/>
      <c r="F6938" s="396"/>
      <c r="G6938" s="396"/>
      <c r="K6938" s="370"/>
      <c r="N6938" s="370"/>
    </row>
    <row r="6939" spans="1:14" s="347" customFormat="1" x14ac:dyDescent="0.25">
      <c r="A6939" s="369"/>
      <c r="E6939" s="396"/>
      <c r="F6939" s="396"/>
      <c r="G6939" s="396"/>
      <c r="K6939" s="370"/>
      <c r="N6939" s="370"/>
    </row>
    <row r="6940" spans="1:14" s="347" customFormat="1" x14ac:dyDescent="0.25">
      <c r="A6940" s="369"/>
      <c r="E6940" s="396"/>
      <c r="F6940" s="396"/>
      <c r="G6940" s="396"/>
      <c r="K6940" s="370"/>
      <c r="N6940" s="370"/>
    </row>
    <row r="6941" spans="1:14" s="347" customFormat="1" x14ac:dyDescent="0.25">
      <c r="A6941" s="369"/>
      <c r="E6941" s="396"/>
      <c r="F6941" s="396"/>
      <c r="G6941" s="396"/>
      <c r="K6941" s="370"/>
      <c r="N6941" s="370"/>
    </row>
    <row r="6942" spans="1:14" s="347" customFormat="1" x14ac:dyDescent="0.25">
      <c r="A6942" s="369"/>
      <c r="E6942" s="396"/>
      <c r="F6942" s="396"/>
      <c r="G6942" s="396"/>
      <c r="K6942" s="370"/>
      <c r="N6942" s="370"/>
    </row>
    <row r="6943" spans="1:14" s="347" customFormat="1" x14ac:dyDescent="0.25">
      <c r="A6943" s="369"/>
      <c r="E6943" s="396"/>
      <c r="F6943" s="396"/>
      <c r="G6943" s="396"/>
      <c r="K6943" s="370"/>
      <c r="N6943" s="370"/>
    </row>
    <row r="6944" spans="1:14" s="347" customFormat="1" x14ac:dyDescent="0.25">
      <c r="A6944" s="369"/>
      <c r="E6944" s="396"/>
      <c r="F6944" s="396"/>
      <c r="G6944" s="396"/>
      <c r="K6944" s="370"/>
      <c r="N6944" s="370"/>
    </row>
    <row r="6945" spans="1:14" s="347" customFormat="1" x14ac:dyDescent="0.25">
      <c r="A6945" s="369"/>
      <c r="E6945" s="396"/>
      <c r="F6945" s="396"/>
      <c r="G6945" s="396"/>
      <c r="K6945" s="370"/>
      <c r="N6945" s="370"/>
    </row>
    <row r="6946" spans="1:14" s="347" customFormat="1" x14ac:dyDescent="0.25">
      <c r="A6946" s="369"/>
      <c r="E6946" s="396"/>
      <c r="F6946" s="396"/>
      <c r="G6946" s="396"/>
      <c r="K6946" s="370"/>
      <c r="N6946" s="370"/>
    </row>
    <row r="6947" spans="1:14" s="347" customFormat="1" x14ac:dyDescent="0.25">
      <c r="A6947" s="369"/>
      <c r="E6947" s="396"/>
      <c r="F6947" s="396"/>
      <c r="G6947" s="396"/>
      <c r="K6947" s="370"/>
      <c r="N6947" s="370"/>
    </row>
    <row r="6948" spans="1:14" s="347" customFormat="1" x14ac:dyDescent="0.25">
      <c r="A6948" s="369"/>
      <c r="E6948" s="396"/>
      <c r="F6948" s="396"/>
      <c r="G6948" s="396"/>
      <c r="K6948" s="370"/>
      <c r="N6948" s="370"/>
    </row>
    <row r="6949" spans="1:14" s="347" customFormat="1" x14ac:dyDescent="0.25">
      <c r="A6949" s="369"/>
      <c r="E6949" s="396"/>
      <c r="F6949" s="396"/>
      <c r="G6949" s="396"/>
      <c r="K6949" s="370"/>
      <c r="N6949" s="370"/>
    </row>
    <row r="6950" spans="1:14" s="347" customFormat="1" x14ac:dyDescent="0.25">
      <c r="A6950" s="369"/>
      <c r="E6950" s="396"/>
      <c r="F6950" s="396"/>
      <c r="G6950" s="396"/>
      <c r="K6950" s="370"/>
      <c r="N6950" s="370"/>
    </row>
    <row r="6951" spans="1:14" s="347" customFormat="1" x14ac:dyDescent="0.25">
      <c r="A6951" s="369"/>
      <c r="E6951" s="396"/>
      <c r="F6951" s="396"/>
      <c r="G6951" s="396"/>
      <c r="K6951" s="370"/>
      <c r="N6951" s="370"/>
    </row>
    <row r="6952" spans="1:14" s="347" customFormat="1" x14ac:dyDescent="0.25">
      <c r="A6952" s="369"/>
      <c r="E6952" s="396"/>
      <c r="F6952" s="396"/>
      <c r="G6952" s="396"/>
      <c r="K6952" s="370"/>
      <c r="N6952" s="370"/>
    </row>
    <row r="6953" spans="1:14" s="347" customFormat="1" x14ac:dyDescent="0.25">
      <c r="A6953" s="369"/>
      <c r="E6953" s="396"/>
      <c r="F6953" s="396"/>
      <c r="G6953" s="396"/>
      <c r="K6953" s="370"/>
      <c r="N6953" s="370"/>
    </row>
    <row r="6954" spans="1:14" s="347" customFormat="1" x14ac:dyDescent="0.25">
      <c r="A6954" s="369"/>
      <c r="E6954" s="396"/>
      <c r="F6954" s="396"/>
      <c r="G6954" s="396"/>
      <c r="K6954" s="370"/>
      <c r="N6954" s="370"/>
    </row>
    <row r="6955" spans="1:14" s="347" customFormat="1" x14ac:dyDescent="0.25">
      <c r="A6955" s="369"/>
      <c r="E6955" s="396"/>
      <c r="F6955" s="396"/>
      <c r="G6955" s="396"/>
      <c r="K6955" s="370"/>
      <c r="N6955" s="370"/>
    </row>
    <row r="6956" spans="1:14" s="347" customFormat="1" x14ac:dyDescent="0.25">
      <c r="A6956" s="369"/>
      <c r="E6956" s="396"/>
      <c r="F6956" s="396"/>
      <c r="G6956" s="396"/>
      <c r="K6956" s="370"/>
      <c r="N6956" s="370"/>
    </row>
    <row r="6957" spans="1:14" s="347" customFormat="1" x14ac:dyDescent="0.25">
      <c r="A6957" s="369"/>
      <c r="E6957" s="396"/>
      <c r="F6957" s="396"/>
      <c r="G6957" s="396"/>
      <c r="K6957" s="370"/>
      <c r="N6957" s="370"/>
    </row>
    <row r="6958" spans="1:14" s="347" customFormat="1" x14ac:dyDescent="0.25">
      <c r="A6958" s="369"/>
      <c r="E6958" s="396"/>
      <c r="F6958" s="396"/>
      <c r="G6958" s="396"/>
      <c r="K6958" s="370"/>
      <c r="N6958" s="370"/>
    </row>
    <row r="6959" spans="1:14" s="347" customFormat="1" x14ac:dyDescent="0.25">
      <c r="A6959" s="369"/>
      <c r="E6959" s="396"/>
      <c r="F6959" s="396"/>
      <c r="G6959" s="396"/>
      <c r="K6959" s="370"/>
      <c r="N6959" s="370"/>
    </row>
    <row r="6960" spans="1:14" s="347" customFormat="1" x14ac:dyDescent="0.25">
      <c r="A6960" s="369"/>
      <c r="E6960" s="396"/>
      <c r="F6960" s="396"/>
      <c r="G6960" s="396"/>
      <c r="K6960" s="370"/>
      <c r="N6960" s="370"/>
    </row>
    <row r="6961" spans="1:14" s="347" customFormat="1" x14ac:dyDescent="0.25">
      <c r="A6961" s="369"/>
      <c r="E6961" s="396"/>
      <c r="F6961" s="396"/>
      <c r="G6961" s="396"/>
      <c r="K6961" s="370"/>
      <c r="N6961" s="370"/>
    </row>
    <row r="6962" spans="1:14" s="347" customFormat="1" x14ac:dyDescent="0.25">
      <c r="A6962" s="369"/>
      <c r="E6962" s="396"/>
      <c r="F6962" s="396"/>
      <c r="G6962" s="396"/>
      <c r="K6962" s="370"/>
      <c r="N6962" s="370"/>
    </row>
    <row r="6963" spans="1:14" s="347" customFormat="1" x14ac:dyDescent="0.25">
      <c r="A6963" s="369"/>
      <c r="E6963" s="396"/>
      <c r="F6963" s="396"/>
      <c r="G6963" s="396"/>
      <c r="K6963" s="370"/>
      <c r="N6963" s="370"/>
    </row>
    <row r="6964" spans="1:14" s="347" customFormat="1" x14ac:dyDescent="0.25">
      <c r="A6964" s="369"/>
      <c r="E6964" s="396"/>
      <c r="F6964" s="396"/>
      <c r="G6964" s="396"/>
      <c r="K6964" s="370"/>
      <c r="N6964" s="370"/>
    </row>
    <row r="6965" spans="1:14" s="347" customFormat="1" x14ac:dyDescent="0.25">
      <c r="A6965" s="369"/>
      <c r="E6965" s="396"/>
      <c r="F6965" s="396"/>
      <c r="G6965" s="396"/>
      <c r="K6965" s="370"/>
      <c r="N6965" s="370"/>
    </row>
    <row r="6966" spans="1:14" s="347" customFormat="1" x14ac:dyDescent="0.25">
      <c r="A6966" s="369"/>
      <c r="E6966" s="396"/>
      <c r="F6966" s="396"/>
      <c r="G6966" s="396"/>
      <c r="K6966" s="370"/>
      <c r="N6966" s="370"/>
    </row>
    <row r="6967" spans="1:14" s="347" customFormat="1" x14ac:dyDescent="0.25">
      <c r="A6967" s="369"/>
      <c r="E6967" s="396"/>
      <c r="F6967" s="396"/>
      <c r="G6967" s="396"/>
      <c r="K6967" s="370"/>
      <c r="N6967" s="370"/>
    </row>
    <row r="6968" spans="1:14" s="347" customFormat="1" x14ac:dyDescent="0.25">
      <c r="A6968" s="369"/>
      <c r="E6968" s="396"/>
      <c r="F6968" s="396"/>
      <c r="G6968" s="396"/>
      <c r="K6968" s="370"/>
      <c r="N6968" s="370"/>
    </row>
    <row r="6969" spans="1:14" s="347" customFormat="1" x14ac:dyDescent="0.25">
      <c r="A6969" s="369"/>
      <c r="E6969" s="396"/>
      <c r="F6969" s="396"/>
      <c r="G6969" s="396"/>
      <c r="K6969" s="370"/>
      <c r="N6969" s="370"/>
    </row>
    <row r="6970" spans="1:14" s="347" customFormat="1" x14ac:dyDescent="0.25">
      <c r="A6970" s="369"/>
      <c r="E6970" s="396"/>
      <c r="F6970" s="396"/>
      <c r="G6970" s="396"/>
      <c r="K6970" s="370"/>
      <c r="N6970" s="370"/>
    </row>
    <row r="6971" spans="1:14" s="347" customFormat="1" x14ac:dyDescent="0.25">
      <c r="A6971" s="369"/>
      <c r="E6971" s="396"/>
      <c r="F6971" s="396"/>
      <c r="G6971" s="396"/>
      <c r="K6971" s="370"/>
      <c r="N6971" s="370"/>
    </row>
    <row r="6972" spans="1:14" s="347" customFormat="1" x14ac:dyDescent="0.25">
      <c r="A6972" s="369"/>
      <c r="E6972" s="396"/>
      <c r="F6972" s="396"/>
      <c r="G6972" s="396"/>
      <c r="K6972" s="370"/>
      <c r="N6972" s="370"/>
    </row>
    <row r="6973" spans="1:14" s="347" customFormat="1" x14ac:dyDescent="0.25">
      <c r="A6973" s="369"/>
      <c r="E6973" s="396"/>
      <c r="F6973" s="396"/>
      <c r="G6973" s="396"/>
      <c r="K6973" s="370"/>
      <c r="N6973" s="370"/>
    </row>
    <row r="6974" spans="1:14" s="347" customFormat="1" x14ac:dyDescent="0.25">
      <c r="A6974" s="369"/>
      <c r="E6974" s="396"/>
      <c r="F6974" s="396"/>
      <c r="G6974" s="396"/>
      <c r="K6974" s="370"/>
      <c r="N6974" s="370"/>
    </row>
    <row r="6975" spans="1:14" s="347" customFormat="1" x14ac:dyDescent="0.25">
      <c r="A6975" s="369"/>
      <c r="E6975" s="396"/>
      <c r="F6975" s="396"/>
      <c r="G6975" s="396"/>
      <c r="K6975" s="370"/>
      <c r="N6975" s="370"/>
    </row>
    <row r="6976" spans="1:14" s="347" customFormat="1" x14ac:dyDescent="0.25">
      <c r="A6976" s="369"/>
      <c r="E6976" s="396"/>
      <c r="F6976" s="396"/>
      <c r="G6976" s="396"/>
      <c r="K6976" s="370"/>
      <c r="N6976" s="370"/>
    </row>
    <row r="6977" spans="1:14" s="347" customFormat="1" x14ac:dyDescent="0.25">
      <c r="A6977" s="369"/>
      <c r="E6977" s="396"/>
      <c r="F6977" s="396"/>
      <c r="G6977" s="396"/>
      <c r="K6977" s="370"/>
      <c r="N6977" s="370"/>
    </row>
    <row r="6978" spans="1:14" s="347" customFormat="1" x14ac:dyDescent="0.25">
      <c r="A6978" s="369"/>
      <c r="E6978" s="396"/>
      <c r="F6978" s="396"/>
      <c r="G6978" s="396"/>
      <c r="K6978" s="370"/>
      <c r="N6978" s="370"/>
    </row>
    <row r="6979" spans="1:14" s="347" customFormat="1" x14ac:dyDescent="0.25">
      <c r="A6979" s="369"/>
      <c r="E6979" s="396"/>
      <c r="F6979" s="396"/>
      <c r="G6979" s="396"/>
      <c r="K6979" s="370"/>
      <c r="N6979" s="370"/>
    </row>
    <row r="6980" spans="1:14" s="347" customFormat="1" x14ac:dyDescent="0.25">
      <c r="A6980" s="369"/>
      <c r="E6980" s="396"/>
      <c r="F6980" s="396"/>
      <c r="G6980" s="396"/>
      <c r="K6980" s="370"/>
      <c r="N6980" s="370"/>
    </row>
    <row r="6981" spans="1:14" s="347" customFormat="1" x14ac:dyDescent="0.25">
      <c r="A6981" s="369"/>
      <c r="E6981" s="396"/>
      <c r="F6981" s="396"/>
      <c r="G6981" s="396"/>
      <c r="K6981" s="370"/>
      <c r="N6981" s="370"/>
    </row>
    <row r="6982" spans="1:14" s="347" customFormat="1" x14ac:dyDescent="0.25">
      <c r="A6982" s="369"/>
      <c r="E6982" s="396"/>
      <c r="F6982" s="396"/>
      <c r="G6982" s="396"/>
      <c r="K6982" s="370"/>
      <c r="N6982" s="370"/>
    </row>
    <row r="6983" spans="1:14" s="347" customFormat="1" x14ac:dyDescent="0.25">
      <c r="A6983" s="369"/>
      <c r="E6983" s="396"/>
      <c r="F6983" s="396"/>
      <c r="G6983" s="396"/>
      <c r="K6983" s="370"/>
      <c r="N6983" s="370"/>
    </row>
    <row r="6984" spans="1:14" s="347" customFormat="1" x14ac:dyDescent="0.25">
      <c r="A6984" s="369"/>
      <c r="E6984" s="396"/>
      <c r="F6984" s="396"/>
      <c r="G6984" s="396"/>
      <c r="K6984" s="370"/>
      <c r="N6984" s="370"/>
    </row>
    <row r="6985" spans="1:14" s="347" customFormat="1" x14ac:dyDescent="0.25">
      <c r="A6985" s="369"/>
      <c r="E6985" s="396"/>
      <c r="F6985" s="396"/>
      <c r="G6985" s="396"/>
      <c r="K6985" s="370"/>
      <c r="N6985" s="370"/>
    </row>
    <row r="6986" spans="1:14" s="347" customFormat="1" x14ac:dyDescent="0.25">
      <c r="A6986" s="369"/>
      <c r="E6986" s="396"/>
      <c r="F6986" s="396"/>
      <c r="G6986" s="396"/>
      <c r="K6986" s="370"/>
      <c r="N6986" s="370"/>
    </row>
    <row r="6987" spans="1:14" s="347" customFormat="1" x14ac:dyDescent="0.25">
      <c r="A6987" s="369"/>
      <c r="E6987" s="396"/>
      <c r="F6987" s="396"/>
      <c r="G6987" s="396"/>
      <c r="K6987" s="370"/>
      <c r="N6987" s="370"/>
    </row>
    <row r="6988" spans="1:14" s="347" customFormat="1" x14ac:dyDescent="0.25">
      <c r="A6988" s="369"/>
      <c r="E6988" s="396"/>
      <c r="F6988" s="396"/>
      <c r="G6988" s="396"/>
      <c r="K6988" s="370"/>
      <c r="N6988" s="370"/>
    </row>
    <row r="6989" spans="1:14" s="347" customFormat="1" x14ac:dyDescent="0.25">
      <c r="A6989" s="369"/>
      <c r="E6989" s="396"/>
      <c r="F6989" s="396"/>
      <c r="G6989" s="396"/>
      <c r="K6989" s="370"/>
      <c r="N6989" s="370"/>
    </row>
    <row r="6990" spans="1:14" s="347" customFormat="1" x14ac:dyDescent="0.25">
      <c r="A6990" s="369"/>
      <c r="E6990" s="396"/>
      <c r="F6990" s="396"/>
      <c r="G6990" s="396"/>
      <c r="K6990" s="370"/>
      <c r="N6990" s="370"/>
    </row>
    <row r="6991" spans="1:14" s="347" customFormat="1" x14ac:dyDescent="0.25">
      <c r="A6991" s="369"/>
      <c r="E6991" s="396"/>
      <c r="F6991" s="396"/>
      <c r="G6991" s="396"/>
      <c r="K6991" s="370"/>
      <c r="N6991" s="370"/>
    </row>
    <row r="6992" spans="1:14" s="347" customFormat="1" x14ac:dyDescent="0.25">
      <c r="A6992" s="369"/>
      <c r="E6992" s="396"/>
      <c r="F6992" s="396"/>
      <c r="G6992" s="396"/>
      <c r="K6992" s="370"/>
      <c r="N6992" s="370"/>
    </row>
    <row r="6993" spans="1:14" s="347" customFormat="1" x14ac:dyDescent="0.25">
      <c r="A6993" s="369"/>
      <c r="E6993" s="396"/>
      <c r="F6993" s="396"/>
      <c r="G6993" s="396"/>
      <c r="K6993" s="370"/>
      <c r="N6993" s="370"/>
    </row>
    <row r="6994" spans="1:14" s="347" customFormat="1" x14ac:dyDescent="0.25">
      <c r="A6994" s="369"/>
      <c r="E6994" s="396"/>
      <c r="F6994" s="396"/>
      <c r="G6994" s="396"/>
      <c r="K6994" s="370"/>
      <c r="N6994" s="370"/>
    </row>
    <row r="6995" spans="1:14" s="347" customFormat="1" x14ac:dyDescent="0.25">
      <c r="A6995" s="369"/>
      <c r="E6995" s="396"/>
      <c r="F6995" s="396"/>
      <c r="G6995" s="396"/>
      <c r="K6995" s="370"/>
      <c r="N6995" s="370"/>
    </row>
    <row r="6996" spans="1:14" s="347" customFormat="1" x14ac:dyDescent="0.25">
      <c r="A6996" s="369"/>
      <c r="E6996" s="396"/>
      <c r="F6996" s="396"/>
      <c r="G6996" s="396"/>
      <c r="K6996" s="370"/>
      <c r="N6996" s="370"/>
    </row>
    <row r="6997" spans="1:14" s="347" customFormat="1" x14ac:dyDescent="0.25">
      <c r="A6997" s="369"/>
      <c r="E6997" s="396"/>
      <c r="F6997" s="396"/>
      <c r="G6997" s="396"/>
      <c r="K6997" s="370"/>
      <c r="N6997" s="370"/>
    </row>
    <row r="6998" spans="1:14" s="347" customFormat="1" x14ac:dyDescent="0.25">
      <c r="A6998" s="369"/>
      <c r="E6998" s="396"/>
      <c r="F6998" s="396"/>
      <c r="G6998" s="396"/>
      <c r="K6998" s="370"/>
      <c r="N6998" s="370"/>
    </row>
    <row r="6999" spans="1:14" s="347" customFormat="1" x14ac:dyDescent="0.25">
      <c r="A6999" s="369"/>
      <c r="E6999" s="396"/>
      <c r="F6999" s="396"/>
      <c r="G6999" s="396"/>
      <c r="K6999" s="370"/>
      <c r="N6999" s="370"/>
    </row>
    <row r="7000" spans="1:14" s="347" customFormat="1" x14ac:dyDescent="0.25">
      <c r="A7000" s="369"/>
      <c r="E7000" s="396"/>
      <c r="F7000" s="396"/>
      <c r="G7000" s="396"/>
      <c r="K7000" s="370"/>
      <c r="N7000" s="370"/>
    </row>
    <row r="7001" spans="1:14" s="347" customFormat="1" x14ac:dyDescent="0.25">
      <c r="A7001" s="369"/>
      <c r="E7001" s="396"/>
      <c r="F7001" s="396"/>
      <c r="G7001" s="396"/>
      <c r="K7001" s="370"/>
      <c r="N7001" s="370"/>
    </row>
    <row r="7002" spans="1:14" s="347" customFormat="1" x14ac:dyDescent="0.25">
      <c r="A7002" s="369"/>
      <c r="E7002" s="396"/>
      <c r="F7002" s="396"/>
      <c r="G7002" s="396"/>
      <c r="K7002" s="370"/>
      <c r="N7002" s="370"/>
    </row>
    <row r="7003" spans="1:14" s="347" customFormat="1" x14ac:dyDescent="0.25">
      <c r="A7003" s="369"/>
      <c r="E7003" s="396"/>
      <c r="F7003" s="396"/>
      <c r="G7003" s="396"/>
      <c r="K7003" s="370"/>
      <c r="N7003" s="370"/>
    </row>
    <row r="7004" spans="1:14" s="347" customFormat="1" x14ac:dyDescent="0.25">
      <c r="A7004" s="369"/>
      <c r="E7004" s="396"/>
      <c r="F7004" s="396"/>
      <c r="G7004" s="396"/>
      <c r="K7004" s="370"/>
      <c r="N7004" s="370"/>
    </row>
    <row r="7005" spans="1:14" s="347" customFormat="1" x14ac:dyDescent="0.25">
      <c r="A7005" s="369"/>
      <c r="E7005" s="396"/>
      <c r="F7005" s="396"/>
      <c r="G7005" s="396"/>
      <c r="K7005" s="370"/>
      <c r="N7005" s="370"/>
    </row>
    <row r="7006" spans="1:14" s="347" customFormat="1" x14ac:dyDescent="0.25">
      <c r="A7006" s="369"/>
      <c r="E7006" s="396"/>
      <c r="F7006" s="396"/>
      <c r="G7006" s="396"/>
      <c r="K7006" s="370"/>
      <c r="N7006" s="370"/>
    </row>
    <row r="7007" spans="1:14" s="347" customFormat="1" x14ac:dyDescent="0.25">
      <c r="A7007" s="369"/>
      <c r="E7007" s="396"/>
      <c r="F7007" s="396"/>
      <c r="G7007" s="396"/>
      <c r="K7007" s="370"/>
      <c r="N7007" s="370"/>
    </row>
    <row r="7008" spans="1:14" s="347" customFormat="1" x14ac:dyDescent="0.25">
      <c r="A7008" s="369"/>
      <c r="E7008" s="396"/>
      <c r="F7008" s="396"/>
      <c r="G7008" s="396"/>
      <c r="K7008" s="370"/>
      <c r="N7008" s="370"/>
    </row>
    <row r="7009" spans="1:14" s="347" customFormat="1" x14ac:dyDescent="0.25">
      <c r="A7009" s="369"/>
      <c r="E7009" s="396"/>
      <c r="F7009" s="396"/>
      <c r="G7009" s="396"/>
      <c r="K7009" s="370"/>
      <c r="N7009" s="370"/>
    </row>
    <row r="7010" spans="1:14" s="347" customFormat="1" x14ac:dyDescent="0.25">
      <c r="A7010" s="369"/>
      <c r="E7010" s="396"/>
      <c r="F7010" s="396"/>
      <c r="G7010" s="396"/>
      <c r="K7010" s="370"/>
      <c r="N7010" s="370"/>
    </row>
    <row r="7011" spans="1:14" s="347" customFormat="1" x14ac:dyDescent="0.25">
      <c r="A7011" s="369"/>
      <c r="E7011" s="396"/>
      <c r="F7011" s="396"/>
      <c r="G7011" s="396"/>
      <c r="K7011" s="370"/>
      <c r="N7011" s="370"/>
    </row>
    <row r="7012" spans="1:14" s="347" customFormat="1" x14ac:dyDescent="0.25">
      <c r="A7012" s="369"/>
      <c r="E7012" s="396"/>
      <c r="F7012" s="396"/>
      <c r="G7012" s="396"/>
      <c r="K7012" s="370"/>
      <c r="N7012" s="370"/>
    </row>
    <row r="7013" spans="1:14" s="347" customFormat="1" x14ac:dyDescent="0.25">
      <c r="A7013" s="369"/>
      <c r="E7013" s="396"/>
      <c r="F7013" s="396"/>
      <c r="G7013" s="396"/>
      <c r="K7013" s="370"/>
      <c r="N7013" s="370"/>
    </row>
    <row r="7014" spans="1:14" s="347" customFormat="1" x14ac:dyDescent="0.25">
      <c r="A7014" s="369"/>
      <c r="E7014" s="396"/>
      <c r="F7014" s="396"/>
      <c r="G7014" s="396"/>
      <c r="K7014" s="370"/>
      <c r="N7014" s="370"/>
    </row>
    <row r="7015" spans="1:14" s="347" customFormat="1" x14ac:dyDescent="0.25">
      <c r="A7015" s="369"/>
      <c r="E7015" s="396"/>
      <c r="F7015" s="396"/>
      <c r="G7015" s="396"/>
      <c r="K7015" s="370"/>
      <c r="N7015" s="370"/>
    </row>
    <row r="7016" spans="1:14" s="347" customFormat="1" x14ac:dyDescent="0.25">
      <c r="A7016" s="369"/>
      <c r="E7016" s="396"/>
      <c r="F7016" s="396"/>
      <c r="G7016" s="396"/>
      <c r="K7016" s="370"/>
      <c r="N7016" s="370"/>
    </row>
    <row r="7017" spans="1:14" s="347" customFormat="1" x14ac:dyDescent="0.25">
      <c r="A7017" s="369"/>
      <c r="E7017" s="396"/>
      <c r="F7017" s="396"/>
      <c r="G7017" s="396"/>
      <c r="K7017" s="370"/>
      <c r="N7017" s="370"/>
    </row>
    <row r="7018" spans="1:14" s="347" customFormat="1" x14ac:dyDescent="0.25">
      <c r="A7018" s="369"/>
      <c r="E7018" s="396"/>
      <c r="F7018" s="396"/>
      <c r="G7018" s="396"/>
      <c r="K7018" s="370"/>
      <c r="N7018" s="370"/>
    </row>
    <row r="7019" spans="1:14" s="347" customFormat="1" x14ac:dyDescent="0.25">
      <c r="A7019" s="369"/>
      <c r="E7019" s="396"/>
      <c r="F7019" s="396"/>
      <c r="G7019" s="396"/>
      <c r="K7019" s="370"/>
      <c r="N7019" s="370"/>
    </row>
    <row r="7020" spans="1:14" s="347" customFormat="1" x14ac:dyDescent="0.25">
      <c r="A7020" s="369"/>
      <c r="E7020" s="396"/>
      <c r="F7020" s="396"/>
      <c r="G7020" s="396"/>
      <c r="K7020" s="370"/>
      <c r="N7020" s="370"/>
    </row>
    <row r="7021" spans="1:14" s="347" customFormat="1" x14ac:dyDescent="0.25">
      <c r="A7021" s="369"/>
      <c r="E7021" s="396"/>
      <c r="F7021" s="396"/>
      <c r="G7021" s="396"/>
      <c r="K7021" s="370"/>
      <c r="N7021" s="370"/>
    </row>
    <row r="7022" spans="1:14" s="347" customFormat="1" x14ac:dyDescent="0.25">
      <c r="A7022" s="369"/>
      <c r="E7022" s="396"/>
      <c r="F7022" s="396"/>
      <c r="G7022" s="396"/>
      <c r="K7022" s="370"/>
      <c r="N7022" s="370"/>
    </row>
    <row r="7023" spans="1:14" s="347" customFormat="1" x14ac:dyDescent="0.25">
      <c r="A7023" s="369"/>
      <c r="E7023" s="396"/>
      <c r="F7023" s="396"/>
      <c r="G7023" s="396"/>
      <c r="K7023" s="370"/>
      <c r="N7023" s="370"/>
    </row>
    <row r="7024" spans="1:14" s="347" customFormat="1" x14ac:dyDescent="0.25">
      <c r="A7024" s="369"/>
      <c r="E7024" s="396"/>
      <c r="F7024" s="396"/>
      <c r="G7024" s="396"/>
      <c r="K7024" s="370"/>
      <c r="N7024" s="370"/>
    </row>
    <row r="7025" spans="1:14" s="347" customFormat="1" x14ac:dyDescent="0.25">
      <c r="A7025" s="369"/>
      <c r="E7025" s="396"/>
      <c r="F7025" s="396"/>
      <c r="G7025" s="396"/>
      <c r="K7025" s="370"/>
      <c r="N7025" s="370"/>
    </row>
    <row r="7026" spans="1:14" s="347" customFormat="1" x14ac:dyDescent="0.25">
      <c r="A7026" s="369"/>
      <c r="E7026" s="396"/>
      <c r="F7026" s="396"/>
      <c r="G7026" s="396"/>
      <c r="K7026" s="370"/>
      <c r="N7026" s="370"/>
    </row>
    <row r="7027" spans="1:14" s="347" customFormat="1" x14ac:dyDescent="0.25">
      <c r="A7027" s="369"/>
      <c r="E7027" s="396"/>
      <c r="F7027" s="396"/>
      <c r="G7027" s="396"/>
      <c r="K7027" s="370"/>
      <c r="N7027" s="370"/>
    </row>
    <row r="7028" spans="1:14" s="347" customFormat="1" x14ac:dyDescent="0.25">
      <c r="A7028" s="369"/>
      <c r="E7028" s="396"/>
      <c r="F7028" s="396"/>
      <c r="G7028" s="396"/>
      <c r="K7028" s="370"/>
      <c r="N7028" s="370"/>
    </row>
    <row r="7029" spans="1:14" s="347" customFormat="1" x14ac:dyDescent="0.25">
      <c r="A7029" s="369"/>
      <c r="E7029" s="396"/>
      <c r="F7029" s="396"/>
      <c r="G7029" s="396"/>
      <c r="K7029" s="370"/>
      <c r="N7029" s="370"/>
    </row>
    <row r="7030" spans="1:14" s="347" customFormat="1" x14ac:dyDescent="0.25">
      <c r="A7030" s="369"/>
      <c r="E7030" s="396"/>
      <c r="F7030" s="396"/>
      <c r="G7030" s="396"/>
      <c r="K7030" s="370"/>
      <c r="N7030" s="370"/>
    </row>
    <row r="7031" spans="1:14" s="347" customFormat="1" x14ac:dyDescent="0.25">
      <c r="A7031" s="369"/>
      <c r="E7031" s="396"/>
      <c r="F7031" s="396"/>
      <c r="G7031" s="396"/>
      <c r="K7031" s="370"/>
      <c r="N7031" s="370"/>
    </row>
    <row r="7032" spans="1:14" s="347" customFormat="1" x14ac:dyDescent="0.25">
      <c r="A7032" s="369"/>
      <c r="E7032" s="396"/>
      <c r="F7032" s="396"/>
      <c r="G7032" s="396"/>
      <c r="K7032" s="370"/>
      <c r="N7032" s="370"/>
    </row>
    <row r="7033" spans="1:14" s="347" customFormat="1" x14ac:dyDescent="0.25">
      <c r="A7033" s="369"/>
      <c r="E7033" s="396"/>
      <c r="F7033" s="396"/>
      <c r="G7033" s="396"/>
      <c r="K7033" s="370"/>
      <c r="N7033" s="370"/>
    </row>
    <row r="7034" spans="1:14" s="347" customFormat="1" x14ac:dyDescent="0.25">
      <c r="A7034" s="369"/>
      <c r="E7034" s="396"/>
      <c r="F7034" s="396"/>
      <c r="G7034" s="396"/>
      <c r="K7034" s="370"/>
      <c r="N7034" s="370"/>
    </row>
    <row r="7035" spans="1:14" s="347" customFormat="1" x14ac:dyDescent="0.25">
      <c r="A7035" s="369"/>
      <c r="E7035" s="396"/>
      <c r="F7035" s="396"/>
      <c r="G7035" s="396"/>
      <c r="K7035" s="370"/>
      <c r="N7035" s="370"/>
    </row>
    <row r="7036" spans="1:14" s="347" customFormat="1" x14ac:dyDescent="0.25">
      <c r="A7036" s="369"/>
      <c r="E7036" s="396"/>
      <c r="F7036" s="396"/>
      <c r="G7036" s="396"/>
      <c r="K7036" s="370"/>
      <c r="N7036" s="370"/>
    </row>
    <row r="7037" spans="1:14" s="347" customFormat="1" x14ac:dyDescent="0.25">
      <c r="A7037" s="369"/>
      <c r="E7037" s="396"/>
      <c r="F7037" s="396"/>
      <c r="G7037" s="396"/>
      <c r="K7037" s="370"/>
      <c r="N7037" s="370"/>
    </row>
    <row r="7038" spans="1:14" s="347" customFormat="1" x14ac:dyDescent="0.25">
      <c r="A7038" s="369"/>
      <c r="E7038" s="396"/>
      <c r="F7038" s="396"/>
      <c r="G7038" s="396"/>
      <c r="K7038" s="370"/>
      <c r="N7038" s="370"/>
    </row>
    <row r="7039" spans="1:14" s="347" customFormat="1" x14ac:dyDescent="0.25">
      <c r="A7039" s="369"/>
      <c r="E7039" s="396"/>
      <c r="F7039" s="396"/>
      <c r="G7039" s="396"/>
      <c r="K7039" s="370"/>
      <c r="N7039" s="370"/>
    </row>
    <row r="7040" spans="1:14" s="347" customFormat="1" x14ac:dyDescent="0.25">
      <c r="A7040" s="369"/>
      <c r="E7040" s="396"/>
      <c r="F7040" s="396"/>
      <c r="G7040" s="396"/>
      <c r="K7040" s="370"/>
      <c r="N7040" s="370"/>
    </row>
    <row r="7041" spans="1:14" s="347" customFormat="1" x14ac:dyDescent="0.25">
      <c r="A7041" s="369"/>
      <c r="E7041" s="396"/>
      <c r="F7041" s="396"/>
      <c r="G7041" s="396"/>
      <c r="K7041" s="370"/>
      <c r="N7041" s="370"/>
    </row>
    <row r="7042" spans="1:14" s="347" customFormat="1" x14ac:dyDescent="0.25">
      <c r="A7042" s="369"/>
      <c r="E7042" s="396"/>
      <c r="F7042" s="396"/>
      <c r="G7042" s="396"/>
      <c r="K7042" s="370"/>
      <c r="N7042" s="370"/>
    </row>
    <row r="7043" spans="1:14" s="347" customFormat="1" x14ac:dyDescent="0.25">
      <c r="A7043" s="369"/>
      <c r="E7043" s="396"/>
      <c r="F7043" s="396"/>
      <c r="G7043" s="396"/>
      <c r="K7043" s="370"/>
      <c r="N7043" s="370"/>
    </row>
    <row r="7044" spans="1:14" s="347" customFormat="1" x14ac:dyDescent="0.25">
      <c r="A7044" s="369"/>
      <c r="E7044" s="396"/>
      <c r="F7044" s="396"/>
      <c r="G7044" s="396"/>
      <c r="K7044" s="370"/>
      <c r="N7044" s="370"/>
    </row>
    <row r="7045" spans="1:14" s="347" customFormat="1" x14ac:dyDescent="0.25">
      <c r="A7045" s="369"/>
      <c r="E7045" s="396"/>
      <c r="F7045" s="396"/>
      <c r="G7045" s="396"/>
      <c r="K7045" s="370"/>
      <c r="N7045" s="370"/>
    </row>
    <row r="7046" spans="1:14" s="347" customFormat="1" x14ac:dyDescent="0.25">
      <c r="A7046" s="369"/>
      <c r="E7046" s="396"/>
      <c r="F7046" s="396"/>
      <c r="G7046" s="396"/>
      <c r="K7046" s="370"/>
      <c r="N7046" s="370"/>
    </row>
    <row r="7047" spans="1:14" s="347" customFormat="1" x14ac:dyDescent="0.25">
      <c r="A7047" s="369"/>
      <c r="E7047" s="396"/>
      <c r="F7047" s="396"/>
      <c r="G7047" s="396"/>
      <c r="K7047" s="370"/>
      <c r="N7047" s="370"/>
    </row>
    <row r="7048" spans="1:14" s="347" customFormat="1" x14ac:dyDescent="0.25">
      <c r="A7048" s="369"/>
      <c r="E7048" s="396"/>
      <c r="F7048" s="396"/>
      <c r="G7048" s="396"/>
      <c r="K7048" s="370"/>
      <c r="N7048" s="370"/>
    </row>
    <row r="7049" spans="1:14" s="347" customFormat="1" x14ac:dyDescent="0.25">
      <c r="A7049" s="369"/>
      <c r="E7049" s="396"/>
      <c r="F7049" s="396"/>
      <c r="G7049" s="396"/>
      <c r="K7049" s="370"/>
      <c r="N7049" s="370"/>
    </row>
    <row r="7050" spans="1:14" s="347" customFormat="1" x14ac:dyDescent="0.25">
      <c r="A7050" s="369"/>
      <c r="E7050" s="396"/>
      <c r="F7050" s="396"/>
      <c r="G7050" s="396"/>
      <c r="K7050" s="370"/>
      <c r="N7050" s="370"/>
    </row>
    <row r="7051" spans="1:14" s="347" customFormat="1" x14ac:dyDescent="0.25">
      <c r="A7051" s="369"/>
      <c r="E7051" s="396"/>
      <c r="F7051" s="396"/>
      <c r="G7051" s="396"/>
      <c r="K7051" s="370"/>
      <c r="N7051" s="370"/>
    </row>
    <row r="7052" spans="1:14" s="347" customFormat="1" x14ac:dyDescent="0.25">
      <c r="A7052" s="369"/>
      <c r="E7052" s="396"/>
      <c r="F7052" s="396"/>
      <c r="G7052" s="396"/>
      <c r="K7052" s="370"/>
      <c r="N7052" s="370"/>
    </row>
    <row r="7053" spans="1:14" s="347" customFormat="1" x14ac:dyDescent="0.25">
      <c r="A7053" s="369"/>
      <c r="E7053" s="396"/>
      <c r="F7053" s="396"/>
      <c r="G7053" s="396"/>
      <c r="K7053" s="370"/>
      <c r="N7053" s="370"/>
    </row>
    <row r="7054" spans="1:14" s="347" customFormat="1" x14ac:dyDescent="0.25">
      <c r="A7054" s="369"/>
      <c r="E7054" s="396"/>
      <c r="F7054" s="396"/>
      <c r="G7054" s="396"/>
      <c r="K7054" s="370"/>
      <c r="N7054" s="370"/>
    </row>
    <row r="7055" spans="1:14" s="347" customFormat="1" x14ac:dyDescent="0.25">
      <c r="A7055" s="369"/>
      <c r="E7055" s="396"/>
      <c r="F7055" s="396"/>
      <c r="G7055" s="396"/>
      <c r="K7055" s="370"/>
      <c r="N7055" s="370"/>
    </row>
    <row r="7056" spans="1:14" s="347" customFormat="1" x14ac:dyDescent="0.25">
      <c r="A7056" s="369"/>
      <c r="E7056" s="396"/>
      <c r="F7056" s="396"/>
      <c r="G7056" s="396"/>
      <c r="K7056" s="370"/>
      <c r="N7056" s="370"/>
    </row>
    <row r="7057" spans="1:14" s="347" customFormat="1" x14ac:dyDescent="0.25">
      <c r="A7057" s="369"/>
      <c r="E7057" s="396"/>
      <c r="F7057" s="396"/>
      <c r="G7057" s="396"/>
      <c r="K7057" s="370"/>
      <c r="N7057" s="370"/>
    </row>
    <row r="7058" spans="1:14" s="347" customFormat="1" x14ac:dyDescent="0.25">
      <c r="A7058" s="369"/>
      <c r="E7058" s="396"/>
      <c r="F7058" s="396"/>
      <c r="G7058" s="396"/>
      <c r="K7058" s="370"/>
      <c r="N7058" s="370"/>
    </row>
    <row r="7059" spans="1:14" s="347" customFormat="1" x14ac:dyDescent="0.25">
      <c r="A7059" s="369"/>
      <c r="E7059" s="396"/>
      <c r="F7059" s="396"/>
      <c r="G7059" s="396"/>
      <c r="K7059" s="370"/>
      <c r="N7059" s="370"/>
    </row>
    <row r="7060" spans="1:14" s="347" customFormat="1" x14ac:dyDescent="0.25">
      <c r="A7060" s="369"/>
      <c r="E7060" s="396"/>
      <c r="F7060" s="396"/>
      <c r="G7060" s="396"/>
      <c r="K7060" s="370"/>
      <c r="N7060" s="370"/>
    </row>
    <row r="7061" spans="1:14" s="347" customFormat="1" x14ac:dyDescent="0.25">
      <c r="A7061" s="369"/>
      <c r="E7061" s="396"/>
      <c r="F7061" s="396"/>
      <c r="G7061" s="396"/>
      <c r="K7061" s="370"/>
      <c r="N7061" s="370"/>
    </row>
    <row r="7062" spans="1:14" s="347" customFormat="1" x14ac:dyDescent="0.25">
      <c r="A7062" s="369"/>
      <c r="E7062" s="396"/>
      <c r="F7062" s="396"/>
      <c r="G7062" s="396"/>
      <c r="K7062" s="370"/>
      <c r="N7062" s="370"/>
    </row>
    <row r="7063" spans="1:14" s="347" customFormat="1" x14ac:dyDescent="0.25">
      <c r="A7063" s="369"/>
      <c r="E7063" s="396"/>
      <c r="F7063" s="396"/>
      <c r="G7063" s="396"/>
      <c r="K7063" s="370"/>
      <c r="N7063" s="370"/>
    </row>
    <row r="7064" spans="1:14" s="347" customFormat="1" x14ac:dyDescent="0.25">
      <c r="A7064" s="369"/>
      <c r="E7064" s="396"/>
      <c r="F7064" s="396"/>
      <c r="G7064" s="396"/>
      <c r="K7064" s="370"/>
      <c r="N7064" s="370"/>
    </row>
    <row r="7065" spans="1:14" s="347" customFormat="1" x14ac:dyDescent="0.25">
      <c r="A7065" s="369"/>
      <c r="E7065" s="396"/>
      <c r="F7065" s="396"/>
      <c r="G7065" s="396"/>
      <c r="K7065" s="370"/>
      <c r="N7065" s="370"/>
    </row>
    <row r="7066" spans="1:14" s="347" customFormat="1" x14ac:dyDescent="0.25">
      <c r="A7066" s="369"/>
      <c r="E7066" s="396"/>
      <c r="F7066" s="396"/>
      <c r="G7066" s="396"/>
      <c r="K7066" s="370"/>
      <c r="N7066" s="370"/>
    </row>
    <row r="7067" spans="1:14" s="347" customFormat="1" x14ac:dyDescent="0.25">
      <c r="A7067" s="369"/>
      <c r="E7067" s="396"/>
      <c r="F7067" s="396"/>
      <c r="G7067" s="396"/>
      <c r="K7067" s="370"/>
      <c r="N7067" s="370"/>
    </row>
    <row r="7068" spans="1:14" s="347" customFormat="1" x14ac:dyDescent="0.25">
      <c r="A7068" s="369"/>
      <c r="E7068" s="396"/>
      <c r="F7068" s="396"/>
      <c r="G7068" s="396"/>
      <c r="K7068" s="370"/>
      <c r="N7068" s="370"/>
    </row>
    <row r="7069" spans="1:14" s="347" customFormat="1" x14ac:dyDescent="0.25">
      <c r="A7069" s="369"/>
      <c r="E7069" s="396"/>
      <c r="F7069" s="396"/>
      <c r="G7069" s="396"/>
      <c r="K7069" s="370"/>
      <c r="N7069" s="370"/>
    </row>
    <row r="7070" spans="1:14" s="347" customFormat="1" x14ac:dyDescent="0.25">
      <c r="A7070" s="369"/>
      <c r="E7070" s="396"/>
      <c r="F7070" s="396"/>
      <c r="G7070" s="396"/>
      <c r="K7070" s="370"/>
      <c r="N7070" s="370"/>
    </row>
    <row r="7071" spans="1:14" s="347" customFormat="1" x14ac:dyDescent="0.25">
      <c r="A7071" s="369"/>
      <c r="E7071" s="396"/>
      <c r="F7071" s="396"/>
      <c r="G7071" s="396"/>
      <c r="K7071" s="370"/>
      <c r="N7071" s="370"/>
    </row>
    <row r="7072" spans="1:14" s="347" customFormat="1" x14ac:dyDescent="0.25">
      <c r="A7072" s="369"/>
      <c r="E7072" s="396"/>
      <c r="F7072" s="396"/>
      <c r="G7072" s="396"/>
      <c r="K7072" s="370"/>
      <c r="N7072" s="370"/>
    </row>
    <row r="7073" spans="1:14" s="347" customFormat="1" x14ac:dyDescent="0.25">
      <c r="A7073" s="369"/>
      <c r="E7073" s="396"/>
      <c r="F7073" s="396"/>
      <c r="G7073" s="396"/>
      <c r="K7073" s="370"/>
      <c r="N7073" s="370"/>
    </row>
    <row r="7074" spans="1:14" s="347" customFormat="1" x14ac:dyDescent="0.25">
      <c r="A7074" s="369"/>
      <c r="E7074" s="396"/>
      <c r="F7074" s="396"/>
      <c r="G7074" s="396"/>
      <c r="K7074" s="370"/>
      <c r="N7074" s="370"/>
    </row>
    <row r="7075" spans="1:14" s="347" customFormat="1" x14ac:dyDescent="0.25">
      <c r="A7075" s="369"/>
      <c r="E7075" s="396"/>
      <c r="F7075" s="396"/>
      <c r="G7075" s="396"/>
      <c r="K7075" s="370"/>
      <c r="N7075" s="370"/>
    </row>
    <row r="7076" spans="1:14" s="347" customFormat="1" x14ac:dyDescent="0.25">
      <c r="A7076" s="369"/>
      <c r="E7076" s="396"/>
      <c r="F7076" s="396"/>
      <c r="G7076" s="396"/>
      <c r="K7076" s="370"/>
      <c r="N7076" s="370"/>
    </row>
    <row r="7077" spans="1:14" s="347" customFormat="1" x14ac:dyDescent="0.25">
      <c r="A7077" s="369"/>
      <c r="E7077" s="396"/>
      <c r="F7077" s="396"/>
      <c r="G7077" s="396"/>
      <c r="K7077" s="370"/>
      <c r="N7077" s="370"/>
    </row>
    <row r="7078" spans="1:14" s="347" customFormat="1" x14ac:dyDescent="0.25">
      <c r="A7078" s="369"/>
      <c r="E7078" s="396"/>
      <c r="F7078" s="396"/>
      <c r="G7078" s="396"/>
      <c r="K7078" s="370"/>
      <c r="N7078" s="370"/>
    </row>
    <row r="7079" spans="1:14" s="347" customFormat="1" x14ac:dyDescent="0.25">
      <c r="A7079" s="369"/>
      <c r="E7079" s="396"/>
      <c r="F7079" s="396"/>
      <c r="G7079" s="396"/>
      <c r="K7079" s="370"/>
      <c r="N7079" s="370"/>
    </row>
    <row r="7080" spans="1:14" s="347" customFormat="1" x14ac:dyDescent="0.25">
      <c r="A7080" s="369"/>
      <c r="E7080" s="396"/>
      <c r="F7080" s="396"/>
      <c r="G7080" s="396"/>
      <c r="K7080" s="370"/>
      <c r="N7080" s="370"/>
    </row>
    <row r="7081" spans="1:14" s="347" customFormat="1" x14ac:dyDescent="0.25">
      <c r="A7081" s="369"/>
      <c r="E7081" s="396"/>
      <c r="F7081" s="396"/>
      <c r="G7081" s="396"/>
      <c r="K7081" s="370"/>
      <c r="N7081" s="370"/>
    </row>
    <row r="7082" spans="1:14" s="347" customFormat="1" x14ac:dyDescent="0.25">
      <c r="A7082" s="369"/>
      <c r="E7082" s="396"/>
      <c r="F7082" s="396"/>
      <c r="G7082" s="396"/>
      <c r="K7082" s="370"/>
      <c r="N7082" s="370"/>
    </row>
    <row r="7083" spans="1:14" s="347" customFormat="1" x14ac:dyDescent="0.25">
      <c r="A7083" s="369"/>
      <c r="E7083" s="396"/>
      <c r="F7083" s="396"/>
      <c r="G7083" s="396"/>
      <c r="K7083" s="370"/>
      <c r="N7083" s="370"/>
    </row>
    <row r="7084" spans="1:14" s="347" customFormat="1" x14ac:dyDescent="0.25">
      <c r="A7084" s="369"/>
      <c r="E7084" s="396"/>
      <c r="F7084" s="396"/>
      <c r="G7084" s="396"/>
      <c r="K7084" s="370"/>
      <c r="N7084" s="370"/>
    </row>
    <row r="7085" spans="1:14" s="347" customFormat="1" x14ac:dyDescent="0.25">
      <c r="A7085" s="369"/>
      <c r="E7085" s="396"/>
      <c r="F7085" s="396"/>
      <c r="G7085" s="396"/>
      <c r="K7085" s="370"/>
      <c r="N7085" s="370"/>
    </row>
    <row r="7086" spans="1:14" s="347" customFormat="1" x14ac:dyDescent="0.25">
      <c r="A7086" s="369"/>
      <c r="E7086" s="396"/>
      <c r="F7086" s="396"/>
      <c r="G7086" s="396"/>
      <c r="K7086" s="370"/>
      <c r="N7086" s="370"/>
    </row>
    <row r="7087" spans="1:14" s="347" customFormat="1" x14ac:dyDescent="0.25">
      <c r="A7087" s="369"/>
      <c r="E7087" s="396"/>
      <c r="F7087" s="396"/>
      <c r="G7087" s="396"/>
      <c r="K7087" s="370"/>
      <c r="N7087" s="370"/>
    </row>
    <row r="7088" spans="1:14" s="347" customFormat="1" x14ac:dyDescent="0.25">
      <c r="A7088" s="369"/>
      <c r="E7088" s="396"/>
      <c r="F7088" s="396"/>
      <c r="G7088" s="396"/>
      <c r="K7088" s="370"/>
      <c r="N7088" s="370"/>
    </row>
    <row r="7089" spans="1:14" s="347" customFormat="1" x14ac:dyDescent="0.25">
      <c r="A7089" s="369"/>
      <c r="E7089" s="396"/>
      <c r="F7089" s="396"/>
      <c r="G7089" s="396"/>
      <c r="K7089" s="370"/>
      <c r="N7089" s="370"/>
    </row>
    <row r="7090" spans="1:14" s="347" customFormat="1" x14ac:dyDescent="0.25">
      <c r="A7090" s="369"/>
      <c r="E7090" s="396"/>
      <c r="F7090" s="396"/>
      <c r="G7090" s="396"/>
      <c r="K7090" s="370"/>
      <c r="N7090" s="370"/>
    </row>
    <row r="7091" spans="1:14" s="347" customFormat="1" x14ac:dyDescent="0.25">
      <c r="A7091" s="369"/>
      <c r="E7091" s="396"/>
      <c r="F7091" s="396"/>
      <c r="G7091" s="396"/>
      <c r="K7091" s="370"/>
      <c r="N7091" s="370"/>
    </row>
    <row r="7092" spans="1:14" s="347" customFormat="1" x14ac:dyDescent="0.25">
      <c r="A7092" s="369"/>
      <c r="E7092" s="396"/>
      <c r="F7092" s="396"/>
      <c r="G7092" s="396"/>
      <c r="K7092" s="370"/>
      <c r="N7092" s="370"/>
    </row>
    <row r="7093" spans="1:14" s="347" customFormat="1" x14ac:dyDescent="0.25">
      <c r="A7093" s="369"/>
      <c r="E7093" s="396"/>
      <c r="F7093" s="396"/>
      <c r="G7093" s="396"/>
      <c r="K7093" s="370"/>
      <c r="N7093" s="370"/>
    </row>
    <row r="7094" spans="1:14" s="347" customFormat="1" x14ac:dyDescent="0.25">
      <c r="A7094" s="369"/>
      <c r="E7094" s="396"/>
      <c r="F7094" s="396"/>
      <c r="G7094" s="396"/>
      <c r="K7094" s="370"/>
      <c r="N7094" s="370"/>
    </row>
    <row r="7095" spans="1:14" s="347" customFormat="1" x14ac:dyDescent="0.25">
      <c r="A7095" s="369"/>
      <c r="E7095" s="396"/>
      <c r="F7095" s="396"/>
      <c r="G7095" s="396"/>
      <c r="K7095" s="370"/>
      <c r="N7095" s="370"/>
    </row>
    <row r="7096" spans="1:14" s="347" customFormat="1" x14ac:dyDescent="0.25">
      <c r="A7096" s="369"/>
      <c r="E7096" s="396"/>
      <c r="F7096" s="396"/>
      <c r="G7096" s="396"/>
      <c r="K7096" s="370"/>
      <c r="N7096" s="370"/>
    </row>
    <row r="7097" spans="1:14" s="347" customFormat="1" x14ac:dyDescent="0.25">
      <c r="A7097" s="369"/>
      <c r="E7097" s="396"/>
      <c r="F7097" s="396"/>
      <c r="G7097" s="396"/>
      <c r="K7097" s="370"/>
      <c r="N7097" s="370"/>
    </row>
    <row r="7098" spans="1:14" s="347" customFormat="1" x14ac:dyDescent="0.25">
      <c r="A7098" s="369"/>
      <c r="E7098" s="396"/>
      <c r="F7098" s="396"/>
      <c r="G7098" s="396"/>
      <c r="K7098" s="370"/>
      <c r="N7098" s="370"/>
    </row>
    <row r="7099" spans="1:14" s="347" customFormat="1" x14ac:dyDescent="0.25">
      <c r="A7099" s="369"/>
      <c r="E7099" s="396"/>
      <c r="F7099" s="396"/>
      <c r="G7099" s="396"/>
      <c r="K7099" s="370"/>
      <c r="N7099" s="370"/>
    </row>
    <row r="7100" spans="1:14" s="347" customFormat="1" x14ac:dyDescent="0.25">
      <c r="A7100" s="369"/>
      <c r="E7100" s="396"/>
      <c r="F7100" s="396"/>
      <c r="G7100" s="396"/>
      <c r="K7100" s="370"/>
      <c r="N7100" s="370"/>
    </row>
    <row r="7101" spans="1:14" s="347" customFormat="1" x14ac:dyDescent="0.25">
      <c r="A7101" s="369"/>
      <c r="E7101" s="396"/>
      <c r="F7101" s="396"/>
      <c r="G7101" s="396"/>
      <c r="K7101" s="370"/>
      <c r="N7101" s="370"/>
    </row>
    <row r="7102" spans="1:14" s="347" customFormat="1" x14ac:dyDescent="0.25">
      <c r="A7102" s="369"/>
      <c r="E7102" s="396"/>
      <c r="F7102" s="396"/>
      <c r="G7102" s="396"/>
      <c r="K7102" s="370"/>
      <c r="N7102" s="370"/>
    </row>
    <row r="7103" spans="1:14" s="347" customFormat="1" x14ac:dyDescent="0.25">
      <c r="A7103" s="369"/>
      <c r="E7103" s="396"/>
      <c r="F7103" s="396"/>
      <c r="G7103" s="396"/>
      <c r="K7103" s="370"/>
      <c r="N7103" s="370"/>
    </row>
    <row r="7104" spans="1:14" s="347" customFormat="1" x14ac:dyDescent="0.25">
      <c r="A7104" s="369"/>
      <c r="E7104" s="396"/>
      <c r="F7104" s="396"/>
      <c r="G7104" s="396"/>
      <c r="K7104" s="370"/>
      <c r="N7104" s="370"/>
    </row>
    <row r="7105" spans="1:14" s="347" customFormat="1" x14ac:dyDescent="0.25">
      <c r="A7105" s="369"/>
      <c r="E7105" s="396"/>
      <c r="F7105" s="396"/>
      <c r="G7105" s="396"/>
      <c r="K7105" s="370"/>
      <c r="N7105" s="370"/>
    </row>
    <row r="7106" spans="1:14" s="347" customFormat="1" x14ac:dyDescent="0.25">
      <c r="A7106" s="369"/>
      <c r="E7106" s="396"/>
      <c r="F7106" s="396"/>
      <c r="G7106" s="396"/>
      <c r="K7106" s="370"/>
      <c r="N7106" s="370"/>
    </row>
    <row r="7107" spans="1:14" s="347" customFormat="1" x14ac:dyDescent="0.25">
      <c r="A7107" s="369"/>
      <c r="E7107" s="396"/>
      <c r="F7107" s="396"/>
      <c r="G7107" s="396"/>
      <c r="K7107" s="370"/>
      <c r="N7107" s="370"/>
    </row>
    <row r="7108" spans="1:14" s="347" customFormat="1" x14ac:dyDescent="0.25">
      <c r="A7108" s="369"/>
      <c r="E7108" s="396"/>
      <c r="F7108" s="396"/>
      <c r="G7108" s="396"/>
      <c r="K7108" s="370"/>
      <c r="N7108" s="370"/>
    </row>
    <row r="7109" spans="1:14" s="347" customFormat="1" x14ac:dyDescent="0.25">
      <c r="A7109" s="369"/>
      <c r="E7109" s="396"/>
      <c r="F7109" s="396"/>
      <c r="G7109" s="396"/>
      <c r="K7109" s="370"/>
      <c r="N7109" s="370"/>
    </row>
    <row r="7110" spans="1:14" s="347" customFormat="1" x14ac:dyDescent="0.25">
      <c r="A7110" s="369"/>
      <c r="E7110" s="396"/>
      <c r="F7110" s="396"/>
      <c r="G7110" s="396"/>
      <c r="K7110" s="370"/>
      <c r="N7110" s="370"/>
    </row>
    <row r="7111" spans="1:14" s="347" customFormat="1" x14ac:dyDescent="0.25">
      <c r="A7111" s="369"/>
      <c r="E7111" s="396"/>
      <c r="F7111" s="396"/>
      <c r="G7111" s="396"/>
      <c r="K7111" s="370"/>
      <c r="N7111" s="370"/>
    </row>
    <row r="7112" spans="1:14" s="347" customFormat="1" x14ac:dyDescent="0.25">
      <c r="A7112" s="369"/>
      <c r="E7112" s="396"/>
      <c r="F7112" s="396"/>
      <c r="G7112" s="396"/>
      <c r="K7112" s="370"/>
      <c r="N7112" s="370"/>
    </row>
    <row r="7113" spans="1:14" s="347" customFormat="1" x14ac:dyDescent="0.25">
      <c r="A7113" s="369"/>
      <c r="E7113" s="396"/>
      <c r="F7113" s="396"/>
      <c r="G7113" s="396"/>
      <c r="K7113" s="370"/>
      <c r="N7113" s="370"/>
    </row>
    <row r="7114" spans="1:14" s="347" customFormat="1" x14ac:dyDescent="0.25">
      <c r="A7114" s="369"/>
      <c r="E7114" s="396"/>
      <c r="F7114" s="396"/>
      <c r="G7114" s="396"/>
      <c r="K7114" s="370"/>
      <c r="N7114" s="370"/>
    </row>
    <row r="7115" spans="1:14" s="347" customFormat="1" x14ac:dyDescent="0.25">
      <c r="A7115" s="369"/>
      <c r="E7115" s="396"/>
      <c r="F7115" s="396"/>
      <c r="G7115" s="396"/>
      <c r="K7115" s="370"/>
      <c r="N7115" s="370"/>
    </row>
    <row r="7116" spans="1:14" s="347" customFormat="1" x14ac:dyDescent="0.25">
      <c r="A7116" s="369"/>
      <c r="E7116" s="396"/>
      <c r="F7116" s="396"/>
      <c r="G7116" s="396"/>
      <c r="K7116" s="370"/>
      <c r="N7116" s="370"/>
    </row>
    <row r="7117" spans="1:14" s="347" customFormat="1" x14ac:dyDescent="0.25">
      <c r="A7117" s="369"/>
      <c r="E7117" s="396"/>
      <c r="F7117" s="396"/>
      <c r="G7117" s="396"/>
      <c r="K7117" s="370"/>
      <c r="N7117" s="370"/>
    </row>
    <row r="7118" spans="1:14" s="347" customFormat="1" x14ac:dyDescent="0.25">
      <c r="A7118" s="369"/>
      <c r="E7118" s="396"/>
      <c r="F7118" s="396"/>
      <c r="G7118" s="396"/>
      <c r="K7118" s="370"/>
      <c r="N7118" s="370"/>
    </row>
    <row r="7119" spans="1:14" s="347" customFormat="1" x14ac:dyDescent="0.25">
      <c r="A7119" s="369"/>
      <c r="E7119" s="396"/>
      <c r="F7119" s="396"/>
      <c r="G7119" s="396"/>
      <c r="K7119" s="370"/>
      <c r="N7119" s="370"/>
    </row>
    <row r="7120" spans="1:14" s="347" customFormat="1" x14ac:dyDescent="0.25">
      <c r="A7120" s="369"/>
      <c r="E7120" s="396"/>
      <c r="F7120" s="396"/>
      <c r="G7120" s="396"/>
      <c r="K7120" s="370"/>
      <c r="N7120" s="370"/>
    </row>
    <row r="7121" spans="1:14" s="347" customFormat="1" x14ac:dyDescent="0.25">
      <c r="A7121" s="369"/>
      <c r="E7121" s="396"/>
      <c r="F7121" s="396"/>
      <c r="G7121" s="396"/>
      <c r="K7121" s="370"/>
      <c r="N7121" s="370"/>
    </row>
    <row r="7122" spans="1:14" s="347" customFormat="1" x14ac:dyDescent="0.25">
      <c r="A7122" s="369"/>
      <c r="E7122" s="396"/>
      <c r="F7122" s="396"/>
      <c r="G7122" s="396"/>
      <c r="K7122" s="370"/>
      <c r="N7122" s="370"/>
    </row>
    <row r="7123" spans="1:14" s="347" customFormat="1" x14ac:dyDescent="0.25">
      <c r="A7123" s="369"/>
      <c r="E7123" s="396"/>
      <c r="F7123" s="396"/>
      <c r="G7123" s="396"/>
      <c r="K7123" s="370"/>
      <c r="N7123" s="370"/>
    </row>
    <row r="7124" spans="1:14" s="347" customFormat="1" x14ac:dyDescent="0.25">
      <c r="A7124" s="369"/>
      <c r="E7124" s="396"/>
      <c r="F7124" s="396"/>
      <c r="G7124" s="396"/>
      <c r="K7124" s="370"/>
      <c r="N7124" s="370"/>
    </row>
    <row r="7125" spans="1:14" s="347" customFormat="1" x14ac:dyDescent="0.25">
      <c r="A7125" s="369"/>
      <c r="E7125" s="396"/>
      <c r="F7125" s="396"/>
      <c r="G7125" s="396"/>
      <c r="K7125" s="370"/>
      <c r="N7125" s="370"/>
    </row>
    <row r="7126" spans="1:14" s="347" customFormat="1" x14ac:dyDescent="0.25">
      <c r="A7126" s="369"/>
      <c r="E7126" s="396"/>
      <c r="F7126" s="396"/>
      <c r="G7126" s="396"/>
      <c r="K7126" s="370"/>
      <c r="N7126" s="370"/>
    </row>
    <row r="7127" spans="1:14" s="347" customFormat="1" x14ac:dyDescent="0.25">
      <c r="A7127" s="369"/>
      <c r="E7127" s="396"/>
      <c r="F7127" s="396"/>
      <c r="G7127" s="396"/>
      <c r="K7127" s="370"/>
      <c r="N7127" s="370"/>
    </row>
    <row r="7128" spans="1:14" s="347" customFormat="1" x14ac:dyDescent="0.25">
      <c r="A7128" s="369"/>
      <c r="E7128" s="396"/>
      <c r="F7128" s="396"/>
      <c r="G7128" s="396"/>
      <c r="K7128" s="370"/>
      <c r="N7128" s="370"/>
    </row>
    <row r="7129" spans="1:14" s="347" customFormat="1" x14ac:dyDescent="0.25">
      <c r="A7129" s="369"/>
      <c r="E7129" s="396"/>
      <c r="F7129" s="396"/>
      <c r="G7129" s="396"/>
      <c r="K7129" s="370"/>
      <c r="N7129" s="370"/>
    </row>
    <row r="7130" spans="1:14" s="347" customFormat="1" x14ac:dyDescent="0.25">
      <c r="A7130" s="369"/>
      <c r="E7130" s="396"/>
      <c r="F7130" s="396"/>
      <c r="G7130" s="396"/>
      <c r="K7130" s="370"/>
      <c r="N7130" s="370"/>
    </row>
    <row r="7131" spans="1:14" s="347" customFormat="1" x14ac:dyDescent="0.25">
      <c r="A7131" s="369"/>
      <c r="E7131" s="396"/>
      <c r="F7131" s="396"/>
      <c r="G7131" s="396"/>
      <c r="K7131" s="370"/>
      <c r="N7131" s="370"/>
    </row>
    <row r="7132" spans="1:14" s="347" customFormat="1" x14ac:dyDescent="0.25">
      <c r="A7132" s="369"/>
      <c r="E7132" s="396"/>
      <c r="F7132" s="396"/>
      <c r="G7132" s="396"/>
      <c r="K7132" s="370"/>
      <c r="N7132" s="370"/>
    </row>
    <row r="7133" spans="1:14" s="347" customFormat="1" x14ac:dyDescent="0.25">
      <c r="A7133" s="369"/>
      <c r="E7133" s="396"/>
      <c r="F7133" s="396"/>
      <c r="G7133" s="396"/>
      <c r="K7133" s="370"/>
      <c r="N7133" s="370"/>
    </row>
    <row r="7134" spans="1:14" s="347" customFormat="1" x14ac:dyDescent="0.25">
      <c r="A7134" s="369"/>
      <c r="E7134" s="396"/>
      <c r="F7134" s="396"/>
      <c r="G7134" s="396"/>
      <c r="K7134" s="370"/>
      <c r="N7134" s="370"/>
    </row>
    <row r="7135" spans="1:14" s="347" customFormat="1" x14ac:dyDescent="0.25">
      <c r="A7135" s="369"/>
      <c r="E7135" s="396"/>
      <c r="F7135" s="396"/>
      <c r="G7135" s="396"/>
      <c r="K7135" s="370"/>
      <c r="N7135" s="370"/>
    </row>
    <row r="7136" spans="1:14" s="347" customFormat="1" x14ac:dyDescent="0.25">
      <c r="A7136" s="369"/>
      <c r="E7136" s="396"/>
      <c r="F7136" s="396"/>
      <c r="G7136" s="396"/>
      <c r="K7136" s="370"/>
      <c r="N7136" s="370"/>
    </row>
    <row r="7137" spans="1:14" s="347" customFormat="1" x14ac:dyDescent="0.25">
      <c r="A7137" s="369"/>
      <c r="E7137" s="396"/>
      <c r="F7137" s="396"/>
      <c r="G7137" s="396"/>
      <c r="K7137" s="370"/>
      <c r="N7137" s="370"/>
    </row>
    <row r="7138" spans="1:14" s="347" customFormat="1" x14ac:dyDescent="0.25">
      <c r="A7138" s="369"/>
      <c r="E7138" s="396"/>
      <c r="F7138" s="396"/>
      <c r="G7138" s="396"/>
      <c r="K7138" s="370"/>
      <c r="N7138" s="370"/>
    </row>
    <row r="7139" spans="1:14" s="347" customFormat="1" x14ac:dyDescent="0.25">
      <c r="A7139" s="369"/>
      <c r="E7139" s="396"/>
      <c r="F7139" s="396"/>
      <c r="G7139" s="396"/>
      <c r="K7139" s="370"/>
      <c r="N7139" s="370"/>
    </row>
    <row r="7140" spans="1:14" s="347" customFormat="1" x14ac:dyDescent="0.25">
      <c r="A7140" s="369"/>
      <c r="E7140" s="396"/>
      <c r="F7140" s="396"/>
      <c r="G7140" s="396"/>
      <c r="K7140" s="370"/>
      <c r="N7140" s="370"/>
    </row>
    <row r="7141" spans="1:14" s="347" customFormat="1" x14ac:dyDescent="0.25">
      <c r="A7141" s="369"/>
      <c r="E7141" s="396"/>
      <c r="F7141" s="396"/>
      <c r="G7141" s="396"/>
      <c r="K7141" s="370"/>
      <c r="N7141" s="370"/>
    </row>
    <row r="7142" spans="1:14" s="347" customFormat="1" x14ac:dyDescent="0.25">
      <c r="A7142" s="369"/>
      <c r="E7142" s="396"/>
      <c r="F7142" s="396"/>
      <c r="G7142" s="396"/>
      <c r="K7142" s="370"/>
      <c r="N7142" s="370"/>
    </row>
    <row r="7143" spans="1:14" s="347" customFormat="1" x14ac:dyDescent="0.25">
      <c r="A7143" s="369"/>
      <c r="E7143" s="396"/>
      <c r="F7143" s="396"/>
      <c r="G7143" s="396"/>
      <c r="K7143" s="370"/>
      <c r="N7143" s="370"/>
    </row>
    <row r="7144" spans="1:14" s="347" customFormat="1" x14ac:dyDescent="0.25">
      <c r="A7144" s="369"/>
      <c r="E7144" s="396"/>
      <c r="F7144" s="396"/>
      <c r="G7144" s="396"/>
      <c r="K7144" s="370"/>
      <c r="N7144" s="370"/>
    </row>
    <row r="7145" spans="1:14" s="347" customFormat="1" x14ac:dyDescent="0.25">
      <c r="A7145" s="369"/>
      <c r="E7145" s="396"/>
      <c r="F7145" s="396"/>
      <c r="G7145" s="396"/>
      <c r="K7145" s="370"/>
      <c r="N7145" s="370"/>
    </row>
    <row r="7146" spans="1:14" s="347" customFormat="1" x14ac:dyDescent="0.25">
      <c r="A7146" s="369"/>
      <c r="E7146" s="396"/>
      <c r="F7146" s="396"/>
      <c r="G7146" s="396"/>
      <c r="K7146" s="370"/>
      <c r="N7146" s="370"/>
    </row>
    <row r="7147" spans="1:14" s="347" customFormat="1" x14ac:dyDescent="0.25">
      <c r="A7147" s="369"/>
      <c r="E7147" s="396"/>
      <c r="F7147" s="396"/>
      <c r="G7147" s="396"/>
      <c r="K7147" s="370"/>
      <c r="N7147" s="370"/>
    </row>
    <row r="7148" spans="1:14" s="347" customFormat="1" x14ac:dyDescent="0.25">
      <c r="A7148" s="369"/>
      <c r="E7148" s="396"/>
      <c r="F7148" s="396"/>
      <c r="G7148" s="396"/>
      <c r="K7148" s="370"/>
      <c r="N7148" s="370"/>
    </row>
    <row r="7149" spans="1:14" s="347" customFormat="1" x14ac:dyDescent="0.25">
      <c r="A7149" s="369"/>
      <c r="E7149" s="396"/>
      <c r="F7149" s="396"/>
      <c r="G7149" s="396"/>
      <c r="K7149" s="370"/>
      <c r="N7149" s="370"/>
    </row>
    <row r="7150" spans="1:14" s="347" customFormat="1" x14ac:dyDescent="0.25">
      <c r="A7150" s="369"/>
      <c r="E7150" s="396"/>
      <c r="F7150" s="396"/>
      <c r="G7150" s="396"/>
      <c r="K7150" s="370"/>
      <c r="N7150" s="370"/>
    </row>
    <row r="7151" spans="1:14" s="347" customFormat="1" x14ac:dyDescent="0.25">
      <c r="A7151" s="369"/>
      <c r="E7151" s="396"/>
      <c r="F7151" s="396"/>
      <c r="G7151" s="396"/>
      <c r="K7151" s="370"/>
      <c r="N7151" s="370"/>
    </row>
    <row r="7152" spans="1:14" s="347" customFormat="1" x14ac:dyDescent="0.25">
      <c r="A7152" s="369"/>
      <c r="E7152" s="396"/>
      <c r="F7152" s="396"/>
      <c r="G7152" s="396"/>
      <c r="K7152" s="370"/>
      <c r="N7152" s="370"/>
    </row>
    <row r="7153" spans="1:14" s="347" customFormat="1" x14ac:dyDescent="0.25">
      <c r="A7153" s="369"/>
      <c r="E7153" s="396"/>
      <c r="F7153" s="396"/>
      <c r="G7153" s="396"/>
      <c r="K7153" s="370"/>
      <c r="N7153" s="370"/>
    </row>
    <row r="7154" spans="1:14" s="347" customFormat="1" x14ac:dyDescent="0.25">
      <c r="A7154" s="369"/>
      <c r="E7154" s="396"/>
      <c r="F7154" s="396"/>
      <c r="G7154" s="396"/>
      <c r="K7154" s="370"/>
      <c r="N7154" s="370"/>
    </row>
    <row r="7155" spans="1:14" s="347" customFormat="1" x14ac:dyDescent="0.25">
      <c r="A7155" s="369"/>
      <c r="E7155" s="396"/>
      <c r="F7155" s="396"/>
      <c r="G7155" s="396"/>
      <c r="K7155" s="370"/>
      <c r="N7155" s="370"/>
    </row>
    <row r="7156" spans="1:14" s="347" customFormat="1" x14ac:dyDescent="0.25">
      <c r="A7156" s="369"/>
      <c r="E7156" s="396"/>
      <c r="F7156" s="396"/>
      <c r="G7156" s="396"/>
      <c r="K7156" s="370"/>
      <c r="N7156" s="370"/>
    </row>
    <row r="7157" spans="1:14" s="347" customFormat="1" x14ac:dyDescent="0.25">
      <c r="A7157" s="369"/>
      <c r="E7157" s="396"/>
      <c r="F7157" s="396"/>
      <c r="G7157" s="396"/>
      <c r="K7157" s="370"/>
      <c r="N7157" s="370"/>
    </row>
    <row r="7158" spans="1:14" s="347" customFormat="1" x14ac:dyDescent="0.25">
      <c r="A7158" s="369"/>
      <c r="E7158" s="396"/>
      <c r="F7158" s="396"/>
      <c r="G7158" s="396"/>
      <c r="K7158" s="370"/>
      <c r="N7158" s="370"/>
    </row>
    <row r="7159" spans="1:14" s="347" customFormat="1" x14ac:dyDescent="0.25">
      <c r="A7159" s="369"/>
      <c r="E7159" s="396"/>
      <c r="F7159" s="396"/>
      <c r="G7159" s="396"/>
      <c r="K7159" s="370"/>
      <c r="N7159" s="370"/>
    </row>
    <row r="7160" spans="1:14" s="347" customFormat="1" x14ac:dyDescent="0.25">
      <c r="A7160" s="369"/>
      <c r="E7160" s="396"/>
      <c r="F7160" s="396"/>
      <c r="G7160" s="396"/>
      <c r="K7160" s="370"/>
      <c r="N7160" s="370"/>
    </row>
    <row r="7161" spans="1:14" s="347" customFormat="1" x14ac:dyDescent="0.25">
      <c r="A7161" s="369"/>
      <c r="E7161" s="396"/>
      <c r="F7161" s="396"/>
      <c r="G7161" s="396"/>
      <c r="K7161" s="370"/>
      <c r="N7161" s="370"/>
    </row>
    <row r="7162" spans="1:14" s="347" customFormat="1" x14ac:dyDescent="0.25">
      <c r="A7162" s="369"/>
      <c r="E7162" s="396"/>
      <c r="F7162" s="396"/>
      <c r="G7162" s="396"/>
      <c r="K7162" s="370"/>
      <c r="N7162" s="370"/>
    </row>
    <row r="7163" spans="1:14" s="347" customFormat="1" x14ac:dyDescent="0.25">
      <c r="A7163" s="369"/>
      <c r="E7163" s="396"/>
      <c r="F7163" s="396"/>
      <c r="G7163" s="396"/>
      <c r="K7163" s="370"/>
      <c r="N7163" s="370"/>
    </row>
    <row r="7164" spans="1:14" s="347" customFormat="1" x14ac:dyDescent="0.25">
      <c r="A7164" s="369"/>
      <c r="E7164" s="396"/>
      <c r="F7164" s="396"/>
      <c r="G7164" s="396"/>
      <c r="K7164" s="370"/>
      <c r="N7164" s="370"/>
    </row>
    <row r="7165" spans="1:14" s="347" customFormat="1" x14ac:dyDescent="0.25">
      <c r="A7165" s="369"/>
      <c r="E7165" s="396"/>
      <c r="F7165" s="396"/>
      <c r="G7165" s="396"/>
      <c r="K7165" s="370"/>
      <c r="N7165" s="370"/>
    </row>
    <row r="7166" spans="1:14" s="347" customFormat="1" x14ac:dyDescent="0.25">
      <c r="A7166" s="369"/>
      <c r="E7166" s="396"/>
      <c r="F7166" s="396"/>
      <c r="G7166" s="396"/>
      <c r="K7166" s="370"/>
      <c r="N7166" s="370"/>
    </row>
    <row r="7167" spans="1:14" s="347" customFormat="1" x14ac:dyDescent="0.25">
      <c r="A7167" s="369"/>
      <c r="E7167" s="396"/>
      <c r="F7167" s="396"/>
      <c r="G7167" s="396"/>
      <c r="K7167" s="370"/>
      <c r="N7167" s="370"/>
    </row>
    <row r="7168" spans="1:14" s="347" customFormat="1" x14ac:dyDescent="0.25">
      <c r="A7168" s="369"/>
      <c r="E7168" s="396"/>
      <c r="F7168" s="396"/>
      <c r="G7168" s="396"/>
      <c r="K7168" s="370"/>
      <c r="N7168" s="370"/>
    </row>
    <row r="7169" spans="1:14" s="347" customFormat="1" x14ac:dyDescent="0.25">
      <c r="A7169" s="369"/>
      <c r="E7169" s="396"/>
      <c r="F7169" s="396"/>
      <c r="G7169" s="396"/>
      <c r="K7169" s="370"/>
      <c r="N7169" s="370"/>
    </row>
    <row r="7170" spans="1:14" s="347" customFormat="1" x14ac:dyDescent="0.25">
      <c r="A7170" s="369"/>
      <c r="E7170" s="396"/>
      <c r="F7170" s="396"/>
      <c r="G7170" s="396"/>
      <c r="K7170" s="370"/>
      <c r="N7170" s="370"/>
    </row>
    <row r="7171" spans="1:14" s="347" customFormat="1" x14ac:dyDescent="0.25">
      <c r="A7171" s="369"/>
      <c r="E7171" s="396"/>
      <c r="F7171" s="396"/>
      <c r="G7171" s="396"/>
      <c r="K7171" s="370"/>
      <c r="N7171" s="370"/>
    </row>
    <row r="7172" spans="1:14" s="347" customFormat="1" x14ac:dyDescent="0.25">
      <c r="A7172" s="369"/>
      <c r="E7172" s="396"/>
      <c r="F7172" s="396"/>
      <c r="G7172" s="396"/>
      <c r="K7172" s="370"/>
      <c r="N7172" s="370"/>
    </row>
    <row r="7173" spans="1:14" s="347" customFormat="1" x14ac:dyDescent="0.25">
      <c r="A7173" s="369"/>
      <c r="E7173" s="396"/>
      <c r="F7173" s="396"/>
      <c r="G7173" s="396"/>
      <c r="K7173" s="370"/>
      <c r="N7173" s="370"/>
    </row>
    <row r="7174" spans="1:14" s="347" customFormat="1" x14ac:dyDescent="0.25">
      <c r="A7174" s="369"/>
      <c r="E7174" s="396"/>
      <c r="F7174" s="396"/>
      <c r="G7174" s="396"/>
      <c r="K7174" s="370"/>
      <c r="N7174" s="370"/>
    </row>
    <row r="7175" spans="1:14" s="347" customFormat="1" x14ac:dyDescent="0.25">
      <c r="A7175" s="369"/>
      <c r="E7175" s="396"/>
      <c r="F7175" s="396"/>
      <c r="G7175" s="396"/>
      <c r="K7175" s="370"/>
      <c r="N7175" s="370"/>
    </row>
    <row r="7176" spans="1:14" s="347" customFormat="1" x14ac:dyDescent="0.25">
      <c r="A7176" s="369"/>
      <c r="E7176" s="396"/>
      <c r="F7176" s="396"/>
      <c r="G7176" s="396"/>
      <c r="K7176" s="370"/>
      <c r="N7176" s="370"/>
    </row>
    <row r="7177" spans="1:14" s="347" customFormat="1" x14ac:dyDescent="0.25">
      <c r="A7177" s="369"/>
      <c r="E7177" s="396"/>
      <c r="F7177" s="396"/>
      <c r="G7177" s="396"/>
      <c r="K7177" s="370"/>
      <c r="N7177" s="370"/>
    </row>
    <row r="7178" spans="1:14" s="347" customFormat="1" x14ac:dyDescent="0.25">
      <c r="A7178" s="369"/>
      <c r="E7178" s="396"/>
      <c r="F7178" s="396"/>
      <c r="G7178" s="396"/>
      <c r="K7178" s="370"/>
      <c r="N7178" s="370"/>
    </row>
    <row r="7179" spans="1:14" s="347" customFormat="1" x14ac:dyDescent="0.25">
      <c r="A7179" s="369"/>
      <c r="E7179" s="396"/>
      <c r="F7179" s="396"/>
      <c r="G7179" s="396"/>
      <c r="K7179" s="370"/>
      <c r="N7179" s="370"/>
    </row>
    <row r="7180" spans="1:14" s="347" customFormat="1" x14ac:dyDescent="0.25">
      <c r="A7180" s="369"/>
      <c r="E7180" s="396"/>
      <c r="F7180" s="396"/>
      <c r="G7180" s="396"/>
      <c r="K7180" s="370"/>
      <c r="N7180" s="370"/>
    </row>
    <row r="7181" spans="1:14" s="347" customFormat="1" x14ac:dyDescent="0.25">
      <c r="A7181" s="369"/>
      <c r="E7181" s="396"/>
      <c r="F7181" s="396"/>
      <c r="G7181" s="396"/>
      <c r="K7181" s="370"/>
      <c r="N7181" s="370"/>
    </row>
    <row r="7182" spans="1:14" s="347" customFormat="1" x14ac:dyDescent="0.25">
      <c r="A7182" s="369"/>
      <c r="E7182" s="396"/>
      <c r="F7182" s="396"/>
      <c r="G7182" s="396"/>
      <c r="K7182" s="370"/>
      <c r="N7182" s="370"/>
    </row>
    <row r="7183" spans="1:14" s="347" customFormat="1" x14ac:dyDescent="0.25">
      <c r="A7183" s="369"/>
      <c r="E7183" s="396"/>
      <c r="F7183" s="396"/>
      <c r="G7183" s="396"/>
      <c r="K7183" s="370"/>
      <c r="N7183" s="370"/>
    </row>
    <row r="7184" spans="1:14" s="347" customFormat="1" x14ac:dyDescent="0.25">
      <c r="A7184" s="369"/>
      <c r="E7184" s="396"/>
      <c r="F7184" s="396"/>
      <c r="G7184" s="396"/>
      <c r="K7184" s="370"/>
      <c r="N7184" s="370"/>
    </row>
    <row r="7185" spans="1:14" s="347" customFormat="1" x14ac:dyDescent="0.25">
      <c r="A7185" s="369"/>
      <c r="E7185" s="396"/>
      <c r="F7185" s="396"/>
      <c r="G7185" s="396"/>
      <c r="K7185" s="370"/>
      <c r="N7185" s="370"/>
    </row>
    <row r="7186" spans="1:14" s="347" customFormat="1" x14ac:dyDescent="0.25">
      <c r="A7186" s="369"/>
      <c r="E7186" s="396"/>
      <c r="F7186" s="396"/>
      <c r="G7186" s="396"/>
      <c r="K7186" s="370"/>
      <c r="N7186" s="370"/>
    </row>
    <row r="7187" spans="1:14" s="347" customFormat="1" x14ac:dyDescent="0.25">
      <c r="A7187" s="369"/>
      <c r="E7187" s="396"/>
      <c r="F7187" s="396"/>
      <c r="G7187" s="396"/>
      <c r="K7187" s="370"/>
      <c r="N7187" s="370"/>
    </row>
    <row r="7188" spans="1:14" s="347" customFormat="1" x14ac:dyDescent="0.25">
      <c r="A7188" s="369"/>
      <c r="E7188" s="396"/>
      <c r="F7188" s="396"/>
      <c r="G7188" s="396"/>
      <c r="K7188" s="370"/>
      <c r="N7188" s="370"/>
    </row>
    <row r="7189" spans="1:14" s="347" customFormat="1" x14ac:dyDescent="0.25">
      <c r="A7189" s="369"/>
      <c r="E7189" s="396"/>
      <c r="F7189" s="396"/>
      <c r="G7189" s="396"/>
      <c r="K7189" s="370"/>
      <c r="N7189" s="370"/>
    </row>
    <row r="7190" spans="1:14" s="347" customFormat="1" x14ac:dyDescent="0.25">
      <c r="A7190" s="369"/>
      <c r="E7190" s="396"/>
      <c r="F7190" s="396"/>
      <c r="G7190" s="396"/>
      <c r="K7190" s="370"/>
      <c r="N7190" s="370"/>
    </row>
    <row r="7191" spans="1:14" s="347" customFormat="1" x14ac:dyDescent="0.25">
      <c r="A7191" s="369"/>
      <c r="E7191" s="396"/>
      <c r="F7191" s="396"/>
      <c r="G7191" s="396"/>
      <c r="K7191" s="370"/>
      <c r="N7191" s="370"/>
    </row>
    <row r="7192" spans="1:14" s="347" customFormat="1" x14ac:dyDescent="0.25">
      <c r="A7192" s="369"/>
      <c r="E7192" s="396"/>
      <c r="F7192" s="396"/>
      <c r="G7192" s="396"/>
      <c r="K7192" s="370"/>
      <c r="N7192" s="370"/>
    </row>
    <row r="7193" spans="1:14" s="347" customFormat="1" x14ac:dyDescent="0.25">
      <c r="A7193" s="369"/>
      <c r="E7193" s="396"/>
      <c r="F7193" s="396"/>
      <c r="G7193" s="396"/>
      <c r="K7193" s="370"/>
      <c r="N7193" s="370"/>
    </row>
    <row r="7194" spans="1:14" s="347" customFormat="1" x14ac:dyDescent="0.25">
      <c r="A7194" s="369"/>
      <c r="E7194" s="396"/>
      <c r="F7194" s="396"/>
      <c r="G7194" s="396"/>
      <c r="K7194" s="370"/>
      <c r="N7194" s="370"/>
    </row>
    <row r="7195" spans="1:14" s="347" customFormat="1" x14ac:dyDescent="0.25">
      <c r="A7195" s="369"/>
      <c r="E7195" s="396"/>
      <c r="F7195" s="396"/>
      <c r="G7195" s="396"/>
      <c r="K7195" s="370"/>
      <c r="N7195" s="370"/>
    </row>
    <row r="7196" spans="1:14" s="347" customFormat="1" x14ac:dyDescent="0.25">
      <c r="A7196" s="369"/>
      <c r="E7196" s="396"/>
      <c r="F7196" s="396"/>
      <c r="G7196" s="396"/>
      <c r="K7196" s="370"/>
      <c r="N7196" s="370"/>
    </row>
    <row r="7197" spans="1:14" s="347" customFormat="1" x14ac:dyDescent="0.25">
      <c r="A7197" s="369"/>
      <c r="E7197" s="396"/>
      <c r="F7197" s="396"/>
      <c r="G7197" s="396"/>
      <c r="K7197" s="370"/>
      <c r="N7197" s="370"/>
    </row>
    <row r="7198" spans="1:14" s="347" customFormat="1" x14ac:dyDescent="0.25">
      <c r="A7198" s="369"/>
      <c r="E7198" s="396"/>
      <c r="F7198" s="396"/>
      <c r="G7198" s="396"/>
      <c r="K7198" s="370"/>
      <c r="N7198" s="370"/>
    </row>
    <row r="7199" spans="1:14" s="347" customFormat="1" x14ac:dyDescent="0.25">
      <c r="A7199" s="369"/>
      <c r="E7199" s="396"/>
      <c r="F7199" s="396"/>
      <c r="G7199" s="396"/>
      <c r="K7199" s="370"/>
      <c r="N7199" s="370"/>
    </row>
    <row r="7200" spans="1:14" s="347" customFormat="1" x14ac:dyDescent="0.25">
      <c r="A7200" s="369"/>
      <c r="E7200" s="396"/>
      <c r="F7200" s="396"/>
      <c r="G7200" s="396"/>
      <c r="K7200" s="370"/>
      <c r="N7200" s="370"/>
    </row>
    <row r="7201" spans="1:14" s="347" customFormat="1" x14ac:dyDescent="0.25">
      <c r="A7201" s="369"/>
      <c r="E7201" s="396"/>
      <c r="F7201" s="396"/>
      <c r="G7201" s="396"/>
      <c r="K7201" s="370"/>
      <c r="N7201" s="370"/>
    </row>
    <row r="7202" spans="1:14" s="347" customFormat="1" x14ac:dyDescent="0.25">
      <c r="A7202" s="369"/>
      <c r="E7202" s="396"/>
      <c r="F7202" s="396"/>
      <c r="G7202" s="396"/>
      <c r="K7202" s="370"/>
      <c r="N7202" s="370"/>
    </row>
    <row r="7203" spans="1:14" s="347" customFormat="1" x14ac:dyDescent="0.25">
      <c r="A7203" s="369"/>
      <c r="E7203" s="396"/>
      <c r="F7203" s="396"/>
      <c r="G7203" s="396"/>
      <c r="K7203" s="370"/>
      <c r="N7203" s="370"/>
    </row>
    <row r="7204" spans="1:14" s="347" customFormat="1" x14ac:dyDescent="0.25">
      <c r="A7204" s="369"/>
      <c r="E7204" s="396"/>
      <c r="F7204" s="396"/>
      <c r="G7204" s="396"/>
      <c r="K7204" s="370"/>
      <c r="N7204" s="370"/>
    </row>
    <row r="7205" spans="1:14" s="347" customFormat="1" x14ac:dyDescent="0.25">
      <c r="A7205" s="369"/>
      <c r="E7205" s="396"/>
      <c r="F7205" s="396"/>
      <c r="G7205" s="396"/>
      <c r="K7205" s="370"/>
      <c r="N7205" s="370"/>
    </row>
    <row r="7206" spans="1:14" s="347" customFormat="1" x14ac:dyDescent="0.25">
      <c r="A7206" s="369"/>
      <c r="E7206" s="396"/>
      <c r="F7206" s="396"/>
      <c r="G7206" s="396"/>
      <c r="K7206" s="370"/>
      <c r="N7206" s="370"/>
    </row>
    <row r="7207" spans="1:14" s="347" customFormat="1" x14ac:dyDescent="0.25">
      <c r="A7207" s="369"/>
      <c r="E7207" s="396"/>
      <c r="F7207" s="396"/>
      <c r="G7207" s="396"/>
      <c r="K7207" s="370"/>
      <c r="N7207" s="370"/>
    </row>
    <row r="7208" spans="1:14" s="347" customFormat="1" x14ac:dyDescent="0.25">
      <c r="A7208" s="369"/>
      <c r="E7208" s="396"/>
      <c r="F7208" s="396"/>
      <c r="G7208" s="396"/>
      <c r="K7208" s="370"/>
      <c r="N7208" s="370"/>
    </row>
    <row r="7209" spans="1:14" s="347" customFormat="1" x14ac:dyDescent="0.25">
      <c r="A7209" s="369"/>
      <c r="E7209" s="396"/>
      <c r="F7209" s="396"/>
      <c r="G7209" s="396"/>
      <c r="K7209" s="370"/>
      <c r="N7209" s="370"/>
    </row>
    <row r="7210" spans="1:14" s="347" customFormat="1" x14ac:dyDescent="0.25">
      <c r="A7210" s="369"/>
      <c r="E7210" s="396"/>
      <c r="F7210" s="396"/>
      <c r="G7210" s="396"/>
      <c r="K7210" s="370"/>
      <c r="N7210" s="370"/>
    </row>
    <row r="7211" spans="1:14" s="347" customFormat="1" x14ac:dyDescent="0.25">
      <c r="A7211" s="369"/>
      <c r="E7211" s="396"/>
      <c r="F7211" s="396"/>
      <c r="G7211" s="396"/>
      <c r="K7211" s="370"/>
      <c r="N7211" s="370"/>
    </row>
    <row r="7212" spans="1:14" s="347" customFormat="1" x14ac:dyDescent="0.25">
      <c r="A7212" s="369"/>
      <c r="E7212" s="396"/>
      <c r="F7212" s="396"/>
      <c r="G7212" s="396"/>
      <c r="K7212" s="370"/>
      <c r="N7212" s="370"/>
    </row>
    <row r="7213" spans="1:14" s="347" customFormat="1" x14ac:dyDescent="0.25">
      <c r="A7213" s="369"/>
      <c r="E7213" s="396"/>
      <c r="F7213" s="396"/>
      <c r="G7213" s="396"/>
      <c r="K7213" s="370"/>
      <c r="N7213" s="370"/>
    </row>
    <row r="7214" spans="1:14" s="347" customFormat="1" x14ac:dyDescent="0.25">
      <c r="A7214" s="369"/>
      <c r="E7214" s="396"/>
      <c r="F7214" s="396"/>
      <c r="G7214" s="396"/>
      <c r="K7214" s="370"/>
      <c r="N7214" s="370"/>
    </row>
    <row r="7215" spans="1:14" s="347" customFormat="1" x14ac:dyDescent="0.25">
      <c r="A7215" s="369"/>
      <c r="E7215" s="396"/>
      <c r="F7215" s="396"/>
      <c r="G7215" s="396"/>
      <c r="K7215" s="370"/>
      <c r="N7215" s="370"/>
    </row>
    <row r="7216" spans="1:14" s="347" customFormat="1" x14ac:dyDescent="0.25">
      <c r="A7216" s="369"/>
      <c r="E7216" s="396"/>
      <c r="F7216" s="396"/>
      <c r="G7216" s="396"/>
      <c r="K7216" s="370"/>
      <c r="N7216" s="370"/>
    </row>
    <row r="7217" spans="1:14" s="347" customFormat="1" x14ac:dyDescent="0.25">
      <c r="A7217" s="369"/>
      <c r="E7217" s="396"/>
      <c r="F7217" s="396"/>
      <c r="G7217" s="396"/>
      <c r="K7217" s="370"/>
      <c r="N7217" s="370"/>
    </row>
    <row r="7218" spans="1:14" s="347" customFormat="1" x14ac:dyDescent="0.25">
      <c r="A7218" s="369"/>
      <c r="E7218" s="396"/>
      <c r="F7218" s="396"/>
      <c r="G7218" s="396"/>
      <c r="K7218" s="370"/>
      <c r="N7218" s="370"/>
    </row>
    <row r="7219" spans="1:14" s="347" customFormat="1" x14ac:dyDescent="0.25">
      <c r="A7219" s="369"/>
      <c r="E7219" s="396"/>
      <c r="F7219" s="396"/>
      <c r="G7219" s="396"/>
      <c r="K7219" s="370"/>
      <c r="N7219" s="370"/>
    </row>
    <row r="7220" spans="1:14" s="347" customFormat="1" x14ac:dyDescent="0.25">
      <c r="A7220" s="369"/>
      <c r="E7220" s="396"/>
      <c r="F7220" s="396"/>
      <c r="G7220" s="396"/>
      <c r="K7220" s="370"/>
      <c r="N7220" s="370"/>
    </row>
    <row r="7221" spans="1:14" s="347" customFormat="1" x14ac:dyDescent="0.25">
      <c r="A7221" s="369"/>
      <c r="E7221" s="396"/>
      <c r="F7221" s="396"/>
      <c r="G7221" s="396"/>
      <c r="K7221" s="370"/>
      <c r="N7221" s="370"/>
    </row>
    <row r="7222" spans="1:14" s="347" customFormat="1" x14ac:dyDescent="0.25">
      <c r="A7222" s="369"/>
      <c r="E7222" s="396"/>
      <c r="F7222" s="396"/>
      <c r="G7222" s="396"/>
      <c r="K7222" s="370"/>
      <c r="N7222" s="370"/>
    </row>
    <row r="7223" spans="1:14" s="347" customFormat="1" x14ac:dyDescent="0.25">
      <c r="A7223" s="369"/>
      <c r="E7223" s="396"/>
      <c r="F7223" s="396"/>
      <c r="G7223" s="396"/>
      <c r="K7223" s="370"/>
      <c r="N7223" s="370"/>
    </row>
    <row r="7224" spans="1:14" s="347" customFormat="1" x14ac:dyDescent="0.25">
      <c r="A7224" s="369"/>
      <c r="E7224" s="396"/>
      <c r="F7224" s="396"/>
      <c r="G7224" s="396"/>
      <c r="K7224" s="370"/>
      <c r="N7224" s="370"/>
    </row>
    <row r="7225" spans="1:14" s="347" customFormat="1" x14ac:dyDescent="0.25">
      <c r="A7225" s="369"/>
      <c r="E7225" s="396"/>
      <c r="F7225" s="396"/>
      <c r="G7225" s="396"/>
      <c r="K7225" s="370"/>
      <c r="N7225" s="370"/>
    </row>
    <row r="7226" spans="1:14" s="347" customFormat="1" x14ac:dyDescent="0.25">
      <c r="A7226" s="369"/>
      <c r="E7226" s="396"/>
      <c r="F7226" s="396"/>
      <c r="G7226" s="396"/>
      <c r="K7226" s="370"/>
      <c r="N7226" s="370"/>
    </row>
    <row r="7227" spans="1:14" s="347" customFormat="1" x14ac:dyDescent="0.25">
      <c r="A7227" s="369"/>
      <c r="E7227" s="396"/>
      <c r="F7227" s="396"/>
      <c r="G7227" s="396"/>
      <c r="K7227" s="370"/>
      <c r="N7227" s="370"/>
    </row>
    <row r="7228" spans="1:14" s="347" customFormat="1" x14ac:dyDescent="0.25">
      <c r="A7228" s="369"/>
      <c r="E7228" s="396"/>
      <c r="F7228" s="396"/>
      <c r="G7228" s="396"/>
      <c r="K7228" s="370"/>
      <c r="N7228" s="370"/>
    </row>
    <row r="7229" spans="1:14" s="347" customFormat="1" x14ac:dyDescent="0.25">
      <c r="A7229" s="369"/>
      <c r="E7229" s="396"/>
      <c r="F7229" s="396"/>
      <c r="G7229" s="396"/>
      <c r="K7229" s="370"/>
      <c r="N7229" s="370"/>
    </row>
    <row r="7230" spans="1:14" s="347" customFormat="1" x14ac:dyDescent="0.25">
      <c r="A7230" s="369"/>
      <c r="E7230" s="396"/>
      <c r="F7230" s="396"/>
      <c r="G7230" s="396"/>
      <c r="K7230" s="370"/>
      <c r="N7230" s="370"/>
    </row>
    <row r="7231" spans="1:14" s="347" customFormat="1" x14ac:dyDescent="0.25">
      <c r="A7231" s="369"/>
      <c r="E7231" s="396"/>
      <c r="F7231" s="396"/>
      <c r="G7231" s="396"/>
      <c r="K7231" s="370"/>
      <c r="N7231" s="370"/>
    </row>
    <row r="7232" spans="1:14" s="347" customFormat="1" x14ac:dyDescent="0.25">
      <c r="A7232" s="369"/>
      <c r="E7232" s="396"/>
      <c r="F7232" s="396"/>
      <c r="G7232" s="396"/>
      <c r="K7232" s="370"/>
      <c r="N7232" s="370"/>
    </row>
    <row r="7233" spans="1:14" s="347" customFormat="1" x14ac:dyDescent="0.25">
      <c r="A7233" s="369"/>
      <c r="E7233" s="396"/>
      <c r="F7233" s="396"/>
      <c r="G7233" s="396"/>
      <c r="K7233" s="370"/>
      <c r="N7233" s="370"/>
    </row>
    <row r="7234" spans="1:14" s="347" customFormat="1" x14ac:dyDescent="0.25">
      <c r="A7234" s="369"/>
      <c r="E7234" s="396"/>
      <c r="F7234" s="396"/>
      <c r="G7234" s="396"/>
      <c r="K7234" s="370"/>
      <c r="N7234" s="370"/>
    </row>
    <row r="7235" spans="1:14" s="347" customFormat="1" x14ac:dyDescent="0.25">
      <c r="A7235" s="369"/>
      <c r="E7235" s="396"/>
      <c r="F7235" s="396"/>
      <c r="G7235" s="396"/>
      <c r="K7235" s="370"/>
      <c r="N7235" s="370"/>
    </row>
    <row r="7236" spans="1:14" s="347" customFormat="1" x14ac:dyDescent="0.25">
      <c r="A7236" s="369"/>
      <c r="E7236" s="396"/>
      <c r="F7236" s="396"/>
      <c r="G7236" s="396"/>
      <c r="K7236" s="370"/>
      <c r="N7236" s="370"/>
    </row>
    <row r="7237" spans="1:14" s="347" customFormat="1" x14ac:dyDescent="0.25">
      <c r="A7237" s="369"/>
      <c r="E7237" s="396"/>
      <c r="F7237" s="396"/>
      <c r="G7237" s="396"/>
      <c r="K7237" s="370"/>
      <c r="N7237" s="370"/>
    </row>
    <row r="7238" spans="1:14" s="347" customFormat="1" x14ac:dyDescent="0.25">
      <c r="A7238" s="369"/>
      <c r="E7238" s="396"/>
      <c r="F7238" s="396"/>
      <c r="G7238" s="396"/>
      <c r="K7238" s="370"/>
      <c r="N7238" s="370"/>
    </row>
    <row r="7239" spans="1:14" s="347" customFormat="1" x14ac:dyDescent="0.25">
      <c r="A7239" s="369"/>
      <c r="E7239" s="396"/>
      <c r="F7239" s="396"/>
      <c r="G7239" s="396"/>
      <c r="K7239" s="370"/>
      <c r="N7239" s="370"/>
    </row>
    <row r="7240" spans="1:14" s="347" customFormat="1" x14ac:dyDescent="0.25">
      <c r="A7240" s="369"/>
      <c r="E7240" s="396"/>
      <c r="F7240" s="396"/>
      <c r="G7240" s="396"/>
      <c r="K7240" s="370"/>
      <c r="N7240" s="370"/>
    </row>
    <row r="7241" spans="1:14" s="347" customFormat="1" x14ac:dyDescent="0.25">
      <c r="A7241" s="369"/>
      <c r="E7241" s="396"/>
      <c r="F7241" s="396"/>
      <c r="G7241" s="396"/>
      <c r="K7241" s="370"/>
      <c r="N7241" s="370"/>
    </row>
    <row r="7242" spans="1:14" s="347" customFormat="1" x14ac:dyDescent="0.25">
      <c r="A7242" s="369"/>
      <c r="E7242" s="396"/>
      <c r="F7242" s="396"/>
      <c r="G7242" s="396"/>
      <c r="K7242" s="370"/>
      <c r="N7242" s="370"/>
    </row>
    <row r="7243" spans="1:14" s="347" customFormat="1" x14ac:dyDescent="0.25">
      <c r="A7243" s="369"/>
      <c r="E7243" s="396"/>
      <c r="F7243" s="396"/>
      <c r="G7243" s="396"/>
      <c r="K7243" s="370"/>
      <c r="N7243" s="370"/>
    </row>
    <row r="7244" spans="1:14" s="347" customFormat="1" x14ac:dyDescent="0.25">
      <c r="A7244" s="369"/>
      <c r="E7244" s="396"/>
      <c r="F7244" s="396"/>
      <c r="G7244" s="396"/>
      <c r="K7244" s="370"/>
      <c r="N7244" s="370"/>
    </row>
    <row r="7245" spans="1:14" s="347" customFormat="1" x14ac:dyDescent="0.25">
      <c r="A7245" s="369"/>
      <c r="E7245" s="396"/>
      <c r="F7245" s="396"/>
      <c r="G7245" s="396"/>
      <c r="K7245" s="370"/>
      <c r="N7245" s="370"/>
    </row>
    <row r="7246" spans="1:14" s="347" customFormat="1" x14ac:dyDescent="0.25">
      <c r="A7246" s="369"/>
      <c r="E7246" s="396"/>
      <c r="F7246" s="396"/>
      <c r="G7246" s="396"/>
      <c r="K7246" s="370"/>
      <c r="N7246" s="370"/>
    </row>
    <row r="7247" spans="1:14" s="347" customFormat="1" x14ac:dyDescent="0.25">
      <c r="A7247" s="369"/>
      <c r="E7247" s="396"/>
      <c r="F7247" s="396"/>
      <c r="G7247" s="396"/>
      <c r="K7247" s="370"/>
      <c r="N7247" s="370"/>
    </row>
    <row r="7248" spans="1:14" s="347" customFormat="1" x14ac:dyDescent="0.25">
      <c r="A7248" s="369"/>
      <c r="E7248" s="396"/>
      <c r="F7248" s="396"/>
      <c r="G7248" s="396"/>
      <c r="K7248" s="370"/>
      <c r="N7248" s="370"/>
    </row>
    <row r="7249" spans="1:14" s="347" customFormat="1" x14ac:dyDescent="0.25">
      <c r="A7249" s="369"/>
      <c r="E7249" s="396"/>
      <c r="F7249" s="396"/>
      <c r="G7249" s="396"/>
      <c r="K7249" s="370"/>
      <c r="N7249" s="370"/>
    </row>
    <row r="7250" spans="1:14" s="347" customFormat="1" x14ac:dyDescent="0.25">
      <c r="A7250" s="369"/>
      <c r="E7250" s="396"/>
      <c r="F7250" s="396"/>
      <c r="G7250" s="396"/>
      <c r="K7250" s="370"/>
      <c r="N7250" s="370"/>
    </row>
    <row r="7251" spans="1:14" s="347" customFormat="1" x14ac:dyDescent="0.25">
      <c r="A7251" s="369"/>
      <c r="E7251" s="396"/>
      <c r="F7251" s="396"/>
      <c r="G7251" s="396"/>
      <c r="K7251" s="370"/>
      <c r="N7251" s="370"/>
    </row>
    <row r="7252" spans="1:14" s="347" customFormat="1" x14ac:dyDescent="0.25">
      <c r="A7252" s="369"/>
      <c r="E7252" s="396"/>
      <c r="F7252" s="396"/>
      <c r="G7252" s="396"/>
      <c r="K7252" s="370"/>
      <c r="N7252" s="370"/>
    </row>
    <row r="7253" spans="1:14" s="347" customFormat="1" x14ac:dyDescent="0.25">
      <c r="A7253" s="369"/>
      <c r="E7253" s="396"/>
      <c r="F7253" s="396"/>
      <c r="G7253" s="396"/>
      <c r="K7253" s="370"/>
      <c r="N7253" s="370"/>
    </row>
    <row r="7254" spans="1:14" s="347" customFormat="1" x14ac:dyDescent="0.25">
      <c r="A7254" s="369"/>
      <c r="E7254" s="396"/>
      <c r="F7254" s="396"/>
      <c r="G7254" s="396"/>
      <c r="K7254" s="370"/>
      <c r="N7254" s="370"/>
    </row>
    <row r="7255" spans="1:14" s="347" customFormat="1" x14ac:dyDescent="0.25">
      <c r="A7255" s="369"/>
      <c r="E7255" s="396"/>
      <c r="F7255" s="396"/>
      <c r="G7255" s="396"/>
      <c r="K7255" s="370"/>
      <c r="N7255" s="370"/>
    </row>
    <row r="7256" spans="1:14" s="347" customFormat="1" x14ac:dyDescent="0.25">
      <c r="A7256" s="369"/>
      <c r="E7256" s="396"/>
      <c r="F7256" s="396"/>
      <c r="G7256" s="396"/>
      <c r="K7256" s="370"/>
      <c r="N7256" s="370"/>
    </row>
    <row r="7257" spans="1:14" s="347" customFormat="1" x14ac:dyDescent="0.25">
      <c r="A7257" s="369"/>
      <c r="E7257" s="396"/>
      <c r="F7257" s="396"/>
      <c r="G7257" s="396"/>
      <c r="K7257" s="370"/>
      <c r="N7257" s="370"/>
    </row>
    <row r="7258" spans="1:14" s="347" customFormat="1" x14ac:dyDescent="0.25">
      <c r="A7258" s="369"/>
      <c r="E7258" s="396"/>
      <c r="F7258" s="396"/>
      <c r="G7258" s="396"/>
      <c r="K7258" s="370"/>
      <c r="N7258" s="370"/>
    </row>
    <row r="7259" spans="1:14" s="347" customFormat="1" x14ac:dyDescent="0.25">
      <c r="A7259" s="369"/>
      <c r="E7259" s="396"/>
      <c r="F7259" s="396"/>
      <c r="G7259" s="396"/>
      <c r="K7259" s="370"/>
      <c r="N7259" s="370"/>
    </row>
    <row r="7260" spans="1:14" s="347" customFormat="1" x14ac:dyDescent="0.25">
      <c r="A7260" s="369"/>
      <c r="E7260" s="396"/>
      <c r="F7260" s="396"/>
      <c r="G7260" s="396"/>
      <c r="K7260" s="370"/>
      <c r="N7260" s="370"/>
    </row>
    <row r="7261" spans="1:14" s="347" customFormat="1" x14ac:dyDescent="0.25">
      <c r="A7261" s="369"/>
      <c r="E7261" s="396"/>
      <c r="F7261" s="396"/>
      <c r="G7261" s="396"/>
      <c r="K7261" s="370"/>
      <c r="N7261" s="370"/>
    </row>
    <row r="7262" spans="1:14" s="347" customFormat="1" x14ac:dyDescent="0.25">
      <c r="A7262" s="369"/>
      <c r="E7262" s="396"/>
      <c r="F7262" s="396"/>
      <c r="G7262" s="396"/>
      <c r="K7262" s="370"/>
      <c r="N7262" s="370"/>
    </row>
    <row r="7263" spans="1:14" s="347" customFormat="1" x14ac:dyDescent="0.25">
      <c r="A7263" s="369"/>
      <c r="E7263" s="396"/>
      <c r="F7263" s="396"/>
      <c r="G7263" s="396"/>
      <c r="K7263" s="370"/>
      <c r="N7263" s="370"/>
    </row>
    <row r="7264" spans="1:14" s="347" customFormat="1" x14ac:dyDescent="0.25">
      <c r="A7264" s="369"/>
      <c r="E7264" s="396"/>
      <c r="F7264" s="396"/>
      <c r="G7264" s="396"/>
      <c r="K7264" s="370"/>
      <c r="N7264" s="370"/>
    </row>
    <row r="7265" spans="1:14" s="347" customFormat="1" x14ac:dyDescent="0.25">
      <c r="A7265" s="369"/>
      <c r="E7265" s="396"/>
      <c r="F7265" s="396"/>
      <c r="G7265" s="396"/>
      <c r="K7265" s="370"/>
      <c r="N7265" s="370"/>
    </row>
    <row r="7266" spans="1:14" s="347" customFormat="1" x14ac:dyDescent="0.25">
      <c r="A7266" s="369"/>
      <c r="E7266" s="396"/>
      <c r="F7266" s="396"/>
      <c r="G7266" s="396"/>
      <c r="K7266" s="370"/>
      <c r="N7266" s="370"/>
    </row>
    <row r="7267" spans="1:14" s="347" customFormat="1" x14ac:dyDescent="0.25">
      <c r="A7267" s="369"/>
      <c r="E7267" s="396"/>
      <c r="F7267" s="396"/>
      <c r="G7267" s="396"/>
      <c r="K7267" s="370"/>
      <c r="N7267" s="370"/>
    </row>
    <row r="7268" spans="1:14" s="347" customFormat="1" x14ac:dyDescent="0.25">
      <c r="A7268" s="369"/>
      <c r="E7268" s="396"/>
      <c r="F7268" s="396"/>
      <c r="G7268" s="396"/>
      <c r="K7268" s="370"/>
      <c r="N7268" s="370"/>
    </row>
    <row r="7269" spans="1:14" s="347" customFormat="1" x14ac:dyDescent="0.25">
      <c r="A7269" s="369"/>
      <c r="E7269" s="396"/>
      <c r="F7269" s="396"/>
      <c r="G7269" s="396"/>
      <c r="K7269" s="370"/>
      <c r="N7269" s="370"/>
    </row>
    <row r="7270" spans="1:14" s="347" customFormat="1" x14ac:dyDescent="0.25">
      <c r="A7270" s="369"/>
      <c r="E7270" s="396"/>
      <c r="F7270" s="396"/>
      <c r="G7270" s="396"/>
      <c r="K7270" s="370"/>
      <c r="N7270" s="370"/>
    </row>
    <row r="7271" spans="1:14" s="347" customFormat="1" x14ac:dyDescent="0.25">
      <c r="A7271" s="369"/>
      <c r="E7271" s="396"/>
      <c r="F7271" s="396"/>
      <c r="G7271" s="396"/>
      <c r="K7271" s="370"/>
      <c r="N7271" s="370"/>
    </row>
    <row r="7272" spans="1:14" s="347" customFormat="1" x14ac:dyDescent="0.25">
      <c r="A7272" s="369"/>
      <c r="E7272" s="396"/>
      <c r="F7272" s="396"/>
      <c r="G7272" s="396"/>
      <c r="K7272" s="370"/>
      <c r="N7272" s="370"/>
    </row>
    <row r="7273" spans="1:14" s="347" customFormat="1" x14ac:dyDescent="0.25">
      <c r="A7273" s="369"/>
      <c r="E7273" s="396"/>
      <c r="F7273" s="396"/>
      <c r="G7273" s="396"/>
      <c r="K7273" s="370"/>
      <c r="N7273" s="370"/>
    </row>
    <row r="7274" spans="1:14" s="347" customFormat="1" x14ac:dyDescent="0.25">
      <c r="A7274" s="369"/>
      <c r="E7274" s="396"/>
      <c r="F7274" s="396"/>
      <c r="G7274" s="396"/>
      <c r="K7274" s="370"/>
      <c r="N7274" s="370"/>
    </row>
    <row r="7275" spans="1:14" s="347" customFormat="1" x14ac:dyDescent="0.25">
      <c r="A7275" s="369"/>
      <c r="E7275" s="396"/>
      <c r="F7275" s="396"/>
      <c r="G7275" s="396"/>
      <c r="K7275" s="370"/>
      <c r="N7275" s="370"/>
    </row>
    <row r="7276" spans="1:14" s="347" customFormat="1" x14ac:dyDescent="0.25">
      <c r="A7276" s="369"/>
      <c r="E7276" s="396"/>
      <c r="F7276" s="396"/>
      <c r="G7276" s="396"/>
      <c r="K7276" s="370"/>
      <c r="N7276" s="370"/>
    </row>
    <row r="7277" spans="1:14" s="347" customFormat="1" x14ac:dyDescent="0.25">
      <c r="A7277" s="369"/>
      <c r="E7277" s="396"/>
      <c r="F7277" s="396"/>
      <c r="G7277" s="396"/>
      <c r="K7277" s="370"/>
      <c r="N7277" s="370"/>
    </row>
    <row r="7278" spans="1:14" s="347" customFormat="1" x14ac:dyDescent="0.25">
      <c r="A7278" s="369"/>
      <c r="E7278" s="396"/>
      <c r="F7278" s="396"/>
      <c r="G7278" s="396"/>
      <c r="K7278" s="370"/>
      <c r="N7278" s="370"/>
    </row>
    <row r="7279" spans="1:14" s="347" customFormat="1" x14ac:dyDescent="0.25">
      <c r="A7279" s="369"/>
      <c r="E7279" s="396"/>
      <c r="F7279" s="396"/>
      <c r="G7279" s="396"/>
      <c r="K7279" s="370"/>
      <c r="N7279" s="370"/>
    </row>
    <row r="7280" spans="1:14" s="347" customFormat="1" x14ac:dyDescent="0.25">
      <c r="A7280" s="369"/>
      <c r="E7280" s="396"/>
      <c r="F7280" s="396"/>
      <c r="G7280" s="396"/>
      <c r="K7280" s="370"/>
      <c r="N7280" s="370"/>
    </row>
    <row r="7281" spans="1:14" s="347" customFormat="1" x14ac:dyDescent="0.25">
      <c r="A7281" s="369"/>
      <c r="E7281" s="396"/>
      <c r="F7281" s="396"/>
      <c r="G7281" s="396"/>
      <c r="K7281" s="370"/>
      <c r="N7281" s="370"/>
    </row>
    <row r="7282" spans="1:14" s="347" customFormat="1" x14ac:dyDescent="0.25">
      <c r="A7282" s="369"/>
      <c r="E7282" s="396"/>
      <c r="F7282" s="396"/>
      <c r="G7282" s="396"/>
      <c r="K7282" s="370"/>
      <c r="N7282" s="370"/>
    </row>
    <row r="7283" spans="1:14" s="347" customFormat="1" x14ac:dyDescent="0.25">
      <c r="A7283" s="369"/>
      <c r="E7283" s="396"/>
      <c r="F7283" s="396"/>
      <c r="G7283" s="396"/>
      <c r="K7283" s="370"/>
      <c r="N7283" s="370"/>
    </row>
    <row r="7284" spans="1:14" s="347" customFormat="1" x14ac:dyDescent="0.25">
      <c r="A7284" s="369"/>
      <c r="E7284" s="396"/>
      <c r="F7284" s="396"/>
      <c r="G7284" s="396"/>
      <c r="K7284" s="370"/>
      <c r="N7284" s="370"/>
    </row>
    <row r="7285" spans="1:14" s="347" customFormat="1" x14ac:dyDescent="0.25">
      <c r="A7285" s="369"/>
      <c r="E7285" s="396"/>
      <c r="F7285" s="396"/>
      <c r="G7285" s="396"/>
      <c r="K7285" s="370"/>
      <c r="N7285" s="370"/>
    </row>
    <row r="7286" spans="1:14" s="347" customFormat="1" x14ac:dyDescent="0.25">
      <c r="A7286" s="369"/>
      <c r="E7286" s="396"/>
      <c r="F7286" s="396"/>
      <c r="G7286" s="396"/>
      <c r="K7286" s="370"/>
      <c r="N7286" s="370"/>
    </row>
    <row r="7287" spans="1:14" s="347" customFormat="1" x14ac:dyDescent="0.25">
      <c r="A7287" s="369"/>
      <c r="E7287" s="396"/>
      <c r="F7287" s="396"/>
      <c r="G7287" s="396"/>
      <c r="K7287" s="370"/>
      <c r="N7287" s="370"/>
    </row>
    <row r="7288" spans="1:14" s="347" customFormat="1" x14ac:dyDescent="0.25">
      <c r="A7288" s="369"/>
      <c r="E7288" s="396"/>
      <c r="F7288" s="396"/>
      <c r="G7288" s="396"/>
      <c r="K7288" s="370"/>
      <c r="N7288" s="370"/>
    </row>
    <row r="7289" spans="1:14" s="347" customFormat="1" x14ac:dyDescent="0.25">
      <c r="A7289" s="369"/>
      <c r="E7289" s="396"/>
      <c r="F7289" s="396"/>
      <c r="G7289" s="396"/>
      <c r="K7289" s="370"/>
      <c r="N7289" s="370"/>
    </row>
    <row r="7290" spans="1:14" s="347" customFormat="1" x14ac:dyDescent="0.25">
      <c r="A7290" s="369"/>
      <c r="E7290" s="396"/>
      <c r="F7290" s="396"/>
      <c r="G7290" s="396"/>
      <c r="K7290" s="370"/>
      <c r="N7290" s="370"/>
    </row>
    <row r="7291" spans="1:14" s="347" customFormat="1" x14ac:dyDescent="0.25">
      <c r="A7291" s="369"/>
      <c r="E7291" s="396"/>
      <c r="F7291" s="396"/>
      <c r="G7291" s="396"/>
      <c r="K7291" s="370"/>
      <c r="N7291" s="370"/>
    </row>
    <row r="7292" spans="1:14" s="347" customFormat="1" x14ac:dyDescent="0.25">
      <c r="A7292" s="369"/>
      <c r="E7292" s="396"/>
      <c r="F7292" s="396"/>
      <c r="G7292" s="396"/>
      <c r="K7292" s="370"/>
      <c r="N7292" s="370"/>
    </row>
    <row r="7293" spans="1:14" s="347" customFormat="1" x14ac:dyDescent="0.25">
      <c r="A7293" s="369"/>
      <c r="E7293" s="396"/>
      <c r="F7293" s="396"/>
      <c r="G7293" s="396"/>
      <c r="K7293" s="370"/>
      <c r="N7293" s="370"/>
    </row>
    <row r="7294" spans="1:14" s="347" customFormat="1" x14ac:dyDescent="0.25">
      <c r="A7294" s="369"/>
      <c r="E7294" s="396"/>
      <c r="F7294" s="396"/>
      <c r="G7294" s="396"/>
      <c r="K7294" s="370"/>
      <c r="N7294" s="370"/>
    </row>
    <row r="7295" spans="1:14" s="347" customFormat="1" x14ac:dyDescent="0.25">
      <c r="A7295" s="369"/>
      <c r="E7295" s="396"/>
      <c r="F7295" s="396"/>
      <c r="G7295" s="396"/>
      <c r="K7295" s="370"/>
      <c r="N7295" s="370"/>
    </row>
    <row r="7296" spans="1:14" s="347" customFormat="1" x14ac:dyDescent="0.25">
      <c r="A7296" s="369"/>
      <c r="E7296" s="396"/>
      <c r="F7296" s="396"/>
      <c r="G7296" s="396"/>
      <c r="K7296" s="370"/>
      <c r="N7296" s="370"/>
    </row>
    <row r="7297" spans="1:14" s="347" customFormat="1" x14ac:dyDescent="0.25">
      <c r="A7297" s="369"/>
      <c r="E7297" s="396"/>
      <c r="F7297" s="396"/>
      <c r="G7297" s="396"/>
      <c r="K7297" s="370"/>
      <c r="N7297" s="370"/>
    </row>
    <row r="7298" spans="1:14" s="347" customFormat="1" x14ac:dyDescent="0.25">
      <c r="A7298" s="369"/>
      <c r="E7298" s="396"/>
      <c r="F7298" s="396"/>
      <c r="G7298" s="396"/>
      <c r="K7298" s="370"/>
      <c r="N7298" s="370"/>
    </row>
    <row r="7299" spans="1:14" s="347" customFormat="1" x14ac:dyDescent="0.25">
      <c r="A7299" s="369"/>
      <c r="E7299" s="396"/>
      <c r="F7299" s="396"/>
      <c r="G7299" s="396"/>
      <c r="K7299" s="370"/>
      <c r="N7299" s="370"/>
    </row>
    <row r="7300" spans="1:14" s="347" customFormat="1" x14ac:dyDescent="0.25">
      <c r="A7300" s="369"/>
      <c r="E7300" s="396"/>
      <c r="F7300" s="396"/>
      <c r="G7300" s="396"/>
      <c r="K7300" s="370"/>
      <c r="N7300" s="370"/>
    </row>
    <row r="7301" spans="1:14" s="347" customFormat="1" x14ac:dyDescent="0.25">
      <c r="A7301" s="369"/>
      <c r="E7301" s="396"/>
      <c r="F7301" s="396"/>
      <c r="G7301" s="396"/>
      <c r="K7301" s="370"/>
      <c r="N7301" s="370"/>
    </row>
    <row r="7302" spans="1:14" s="347" customFormat="1" x14ac:dyDescent="0.25">
      <c r="A7302" s="369"/>
      <c r="E7302" s="396"/>
      <c r="F7302" s="396"/>
      <c r="G7302" s="396"/>
      <c r="K7302" s="370"/>
      <c r="N7302" s="370"/>
    </row>
    <row r="7303" spans="1:14" s="347" customFormat="1" x14ac:dyDescent="0.25">
      <c r="A7303" s="369"/>
      <c r="E7303" s="396"/>
      <c r="F7303" s="396"/>
      <c r="G7303" s="396"/>
      <c r="K7303" s="370"/>
      <c r="N7303" s="370"/>
    </row>
    <row r="7304" spans="1:14" s="347" customFormat="1" x14ac:dyDescent="0.25">
      <c r="A7304" s="369"/>
      <c r="E7304" s="396"/>
      <c r="F7304" s="396"/>
      <c r="G7304" s="396"/>
      <c r="K7304" s="370"/>
      <c r="N7304" s="370"/>
    </row>
    <row r="7305" spans="1:14" s="347" customFormat="1" x14ac:dyDescent="0.25">
      <c r="A7305" s="369"/>
      <c r="E7305" s="396"/>
      <c r="F7305" s="396"/>
      <c r="G7305" s="396"/>
      <c r="K7305" s="370"/>
      <c r="N7305" s="370"/>
    </row>
    <row r="7306" spans="1:14" s="347" customFormat="1" x14ac:dyDescent="0.25">
      <c r="A7306" s="369"/>
      <c r="E7306" s="396"/>
      <c r="F7306" s="396"/>
      <c r="G7306" s="396"/>
      <c r="K7306" s="370"/>
      <c r="N7306" s="370"/>
    </row>
    <row r="7307" spans="1:14" s="347" customFormat="1" x14ac:dyDescent="0.25">
      <c r="A7307" s="369"/>
      <c r="E7307" s="396"/>
      <c r="F7307" s="396"/>
      <c r="G7307" s="396"/>
      <c r="K7307" s="370"/>
      <c r="N7307" s="370"/>
    </row>
    <row r="7308" spans="1:14" s="347" customFormat="1" x14ac:dyDescent="0.25">
      <c r="A7308" s="369"/>
      <c r="E7308" s="396"/>
      <c r="F7308" s="396"/>
      <c r="G7308" s="396"/>
      <c r="K7308" s="370"/>
      <c r="N7308" s="370"/>
    </row>
    <row r="7309" spans="1:14" s="347" customFormat="1" x14ac:dyDescent="0.25">
      <c r="A7309" s="369"/>
      <c r="E7309" s="396"/>
      <c r="F7309" s="396"/>
      <c r="G7309" s="396"/>
      <c r="K7309" s="370"/>
      <c r="N7309" s="370"/>
    </row>
    <row r="7310" spans="1:14" s="347" customFormat="1" x14ac:dyDescent="0.25">
      <c r="A7310" s="369"/>
      <c r="E7310" s="396"/>
      <c r="F7310" s="396"/>
      <c r="G7310" s="396"/>
      <c r="K7310" s="370"/>
      <c r="N7310" s="370"/>
    </row>
    <row r="7311" spans="1:14" s="347" customFormat="1" x14ac:dyDescent="0.25">
      <c r="A7311" s="369"/>
      <c r="E7311" s="396"/>
      <c r="F7311" s="396"/>
      <c r="G7311" s="396"/>
      <c r="K7311" s="370"/>
      <c r="N7311" s="370"/>
    </row>
    <row r="7312" spans="1:14" s="347" customFormat="1" x14ac:dyDescent="0.25">
      <c r="A7312" s="369"/>
      <c r="E7312" s="396"/>
      <c r="F7312" s="396"/>
      <c r="G7312" s="396"/>
      <c r="K7312" s="370"/>
      <c r="N7312" s="370"/>
    </row>
    <row r="7313" spans="1:14" s="347" customFormat="1" x14ac:dyDescent="0.25">
      <c r="A7313" s="369"/>
      <c r="E7313" s="396"/>
      <c r="F7313" s="396"/>
      <c r="G7313" s="396"/>
      <c r="K7313" s="370"/>
      <c r="N7313" s="370"/>
    </row>
    <row r="7314" spans="1:14" s="347" customFormat="1" x14ac:dyDescent="0.25">
      <c r="A7314" s="369"/>
      <c r="E7314" s="396"/>
      <c r="F7314" s="396"/>
      <c r="G7314" s="396"/>
      <c r="K7314" s="370"/>
      <c r="N7314" s="370"/>
    </row>
    <row r="7315" spans="1:14" s="347" customFormat="1" x14ac:dyDescent="0.25">
      <c r="A7315" s="369"/>
      <c r="E7315" s="396"/>
      <c r="F7315" s="396"/>
      <c r="G7315" s="396"/>
      <c r="K7315" s="370"/>
      <c r="N7315" s="370"/>
    </row>
    <row r="7316" spans="1:14" s="347" customFormat="1" x14ac:dyDescent="0.25">
      <c r="A7316" s="369"/>
      <c r="E7316" s="396"/>
      <c r="F7316" s="396"/>
      <c r="G7316" s="396"/>
      <c r="K7316" s="370"/>
      <c r="N7316" s="370"/>
    </row>
    <row r="7317" spans="1:14" s="347" customFormat="1" x14ac:dyDescent="0.25">
      <c r="A7317" s="369"/>
      <c r="E7317" s="396"/>
      <c r="F7317" s="396"/>
      <c r="G7317" s="396"/>
      <c r="K7317" s="370"/>
      <c r="N7317" s="370"/>
    </row>
    <row r="7318" spans="1:14" s="347" customFormat="1" x14ac:dyDescent="0.25">
      <c r="A7318" s="369"/>
      <c r="E7318" s="396"/>
      <c r="F7318" s="396"/>
      <c r="G7318" s="396"/>
      <c r="K7318" s="370"/>
      <c r="N7318" s="370"/>
    </row>
    <row r="7319" spans="1:14" s="347" customFormat="1" x14ac:dyDescent="0.25">
      <c r="A7319" s="369"/>
      <c r="E7319" s="396"/>
      <c r="F7319" s="396"/>
      <c r="G7319" s="396"/>
      <c r="K7319" s="370"/>
      <c r="N7319" s="370"/>
    </row>
    <row r="7320" spans="1:14" s="347" customFormat="1" x14ac:dyDescent="0.25">
      <c r="A7320" s="369"/>
      <c r="E7320" s="396"/>
      <c r="F7320" s="396"/>
      <c r="G7320" s="396"/>
      <c r="K7320" s="370"/>
      <c r="N7320" s="370"/>
    </row>
    <row r="7321" spans="1:14" s="347" customFormat="1" x14ac:dyDescent="0.25">
      <c r="A7321" s="369"/>
      <c r="E7321" s="396"/>
      <c r="F7321" s="396"/>
      <c r="G7321" s="396"/>
      <c r="K7321" s="370"/>
      <c r="N7321" s="370"/>
    </row>
    <row r="7322" spans="1:14" s="347" customFormat="1" x14ac:dyDescent="0.25">
      <c r="A7322" s="369"/>
      <c r="E7322" s="396"/>
      <c r="F7322" s="396"/>
      <c r="G7322" s="396"/>
      <c r="K7322" s="370"/>
      <c r="N7322" s="370"/>
    </row>
    <row r="7323" spans="1:14" s="347" customFormat="1" x14ac:dyDescent="0.25">
      <c r="A7323" s="369"/>
      <c r="E7323" s="396"/>
      <c r="F7323" s="396"/>
      <c r="G7323" s="396"/>
      <c r="K7323" s="370"/>
      <c r="N7323" s="370"/>
    </row>
    <row r="7324" spans="1:14" s="347" customFormat="1" x14ac:dyDescent="0.25">
      <c r="A7324" s="369"/>
      <c r="E7324" s="396"/>
      <c r="F7324" s="396"/>
      <c r="G7324" s="396"/>
      <c r="K7324" s="370"/>
      <c r="N7324" s="370"/>
    </row>
    <row r="7325" spans="1:14" s="347" customFormat="1" x14ac:dyDescent="0.25">
      <c r="A7325" s="369"/>
      <c r="E7325" s="396"/>
      <c r="F7325" s="396"/>
      <c r="G7325" s="396"/>
      <c r="K7325" s="370"/>
      <c r="N7325" s="370"/>
    </row>
    <row r="7326" spans="1:14" s="347" customFormat="1" x14ac:dyDescent="0.25">
      <c r="A7326" s="369"/>
      <c r="E7326" s="396"/>
      <c r="F7326" s="396"/>
      <c r="G7326" s="396"/>
      <c r="K7326" s="370"/>
      <c r="N7326" s="370"/>
    </row>
    <row r="7327" spans="1:14" s="347" customFormat="1" x14ac:dyDescent="0.25">
      <c r="A7327" s="369"/>
      <c r="E7327" s="396"/>
      <c r="F7327" s="396"/>
      <c r="G7327" s="396"/>
      <c r="K7327" s="370"/>
      <c r="N7327" s="370"/>
    </row>
    <row r="7328" spans="1:14" s="347" customFormat="1" x14ac:dyDescent="0.25">
      <c r="A7328" s="369"/>
      <c r="E7328" s="396"/>
      <c r="F7328" s="396"/>
      <c r="G7328" s="396"/>
      <c r="K7328" s="370"/>
      <c r="N7328" s="370"/>
    </row>
    <row r="7329" spans="1:14" s="347" customFormat="1" x14ac:dyDescent="0.25">
      <c r="A7329" s="369"/>
      <c r="E7329" s="396"/>
      <c r="F7329" s="396"/>
      <c r="G7329" s="396"/>
      <c r="K7329" s="370"/>
      <c r="N7329" s="370"/>
    </row>
    <row r="7330" spans="1:14" s="347" customFormat="1" x14ac:dyDescent="0.25">
      <c r="A7330" s="369"/>
      <c r="E7330" s="396"/>
      <c r="F7330" s="396"/>
      <c r="G7330" s="396"/>
      <c r="K7330" s="370"/>
      <c r="N7330" s="370"/>
    </row>
    <row r="7331" spans="1:14" s="347" customFormat="1" x14ac:dyDescent="0.25">
      <c r="A7331" s="369"/>
      <c r="E7331" s="396"/>
      <c r="F7331" s="396"/>
      <c r="G7331" s="396"/>
      <c r="K7331" s="370"/>
      <c r="N7331" s="370"/>
    </row>
    <row r="7332" spans="1:14" s="347" customFormat="1" x14ac:dyDescent="0.25">
      <c r="A7332" s="369"/>
      <c r="E7332" s="396"/>
      <c r="F7332" s="396"/>
      <c r="G7332" s="396"/>
      <c r="K7332" s="370"/>
      <c r="N7332" s="370"/>
    </row>
    <row r="7333" spans="1:14" s="347" customFormat="1" x14ac:dyDescent="0.25">
      <c r="A7333" s="369"/>
      <c r="E7333" s="396"/>
      <c r="F7333" s="396"/>
      <c r="G7333" s="396"/>
      <c r="K7333" s="370"/>
      <c r="N7333" s="370"/>
    </row>
    <row r="7334" spans="1:14" s="347" customFormat="1" x14ac:dyDescent="0.25">
      <c r="A7334" s="369"/>
      <c r="E7334" s="396"/>
      <c r="F7334" s="396"/>
      <c r="G7334" s="396"/>
      <c r="K7334" s="370"/>
      <c r="N7334" s="370"/>
    </row>
    <row r="7335" spans="1:14" s="347" customFormat="1" x14ac:dyDescent="0.25">
      <c r="A7335" s="369"/>
      <c r="E7335" s="396"/>
      <c r="F7335" s="396"/>
      <c r="G7335" s="396"/>
      <c r="K7335" s="370"/>
      <c r="N7335" s="370"/>
    </row>
    <row r="7336" spans="1:14" s="347" customFormat="1" x14ac:dyDescent="0.25">
      <c r="A7336" s="369"/>
      <c r="E7336" s="396"/>
      <c r="F7336" s="396"/>
      <c r="G7336" s="396"/>
      <c r="K7336" s="370"/>
      <c r="N7336" s="370"/>
    </row>
    <row r="7337" spans="1:14" s="347" customFormat="1" x14ac:dyDescent="0.25">
      <c r="A7337" s="369"/>
      <c r="E7337" s="396"/>
      <c r="F7337" s="396"/>
      <c r="G7337" s="396"/>
      <c r="K7337" s="370"/>
      <c r="N7337" s="370"/>
    </row>
    <row r="7338" spans="1:14" s="347" customFormat="1" x14ac:dyDescent="0.25">
      <c r="A7338" s="369"/>
      <c r="E7338" s="396"/>
      <c r="F7338" s="396"/>
      <c r="G7338" s="396"/>
      <c r="K7338" s="370"/>
      <c r="N7338" s="370"/>
    </row>
    <row r="7339" spans="1:14" s="347" customFormat="1" x14ac:dyDescent="0.25">
      <c r="A7339" s="369"/>
      <c r="E7339" s="396"/>
      <c r="F7339" s="396"/>
      <c r="G7339" s="396"/>
      <c r="K7339" s="370"/>
      <c r="N7339" s="370"/>
    </row>
    <row r="7340" spans="1:14" s="347" customFormat="1" x14ac:dyDescent="0.25">
      <c r="A7340" s="369"/>
      <c r="E7340" s="396"/>
      <c r="F7340" s="396"/>
      <c r="G7340" s="396"/>
      <c r="K7340" s="370"/>
      <c r="N7340" s="370"/>
    </row>
    <row r="7341" spans="1:14" s="347" customFormat="1" x14ac:dyDescent="0.25">
      <c r="A7341" s="369"/>
      <c r="E7341" s="396"/>
      <c r="F7341" s="396"/>
      <c r="G7341" s="396"/>
      <c r="K7341" s="370"/>
      <c r="N7341" s="370"/>
    </row>
    <row r="7342" spans="1:14" s="347" customFormat="1" x14ac:dyDescent="0.25">
      <c r="A7342" s="369"/>
      <c r="E7342" s="396"/>
      <c r="F7342" s="396"/>
      <c r="G7342" s="396"/>
      <c r="K7342" s="370"/>
      <c r="N7342" s="370"/>
    </row>
    <row r="7343" spans="1:14" s="347" customFormat="1" x14ac:dyDescent="0.25">
      <c r="A7343" s="369"/>
      <c r="E7343" s="396"/>
      <c r="F7343" s="396"/>
      <c r="G7343" s="396"/>
      <c r="K7343" s="370"/>
      <c r="N7343" s="370"/>
    </row>
    <row r="7344" spans="1:14" s="347" customFormat="1" x14ac:dyDescent="0.25">
      <c r="A7344" s="369"/>
      <c r="E7344" s="396"/>
      <c r="F7344" s="396"/>
      <c r="G7344" s="396"/>
      <c r="K7344" s="370"/>
      <c r="N7344" s="370"/>
    </row>
    <row r="7345" spans="1:14" s="347" customFormat="1" x14ac:dyDescent="0.25">
      <c r="A7345" s="369"/>
      <c r="E7345" s="396"/>
      <c r="F7345" s="396"/>
      <c r="G7345" s="396"/>
      <c r="K7345" s="370"/>
      <c r="N7345" s="370"/>
    </row>
    <row r="7346" spans="1:14" s="347" customFormat="1" x14ac:dyDescent="0.25">
      <c r="A7346" s="369"/>
      <c r="E7346" s="396"/>
      <c r="F7346" s="396"/>
      <c r="G7346" s="396"/>
      <c r="K7346" s="370"/>
      <c r="N7346" s="370"/>
    </row>
    <row r="7347" spans="1:14" s="347" customFormat="1" x14ac:dyDescent="0.25">
      <c r="A7347" s="369"/>
      <c r="E7347" s="396"/>
      <c r="F7347" s="396"/>
      <c r="G7347" s="396"/>
      <c r="K7347" s="370"/>
      <c r="N7347" s="370"/>
    </row>
    <row r="7348" spans="1:14" s="347" customFormat="1" x14ac:dyDescent="0.25">
      <c r="A7348" s="369"/>
      <c r="E7348" s="396"/>
      <c r="F7348" s="396"/>
      <c r="G7348" s="396"/>
      <c r="K7348" s="370"/>
      <c r="N7348" s="370"/>
    </row>
    <row r="7349" spans="1:14" s="347" customFormat="1" x14ac:dyDescent="0.25">
      <c r="A7349" s="369"/>
      <c r="E7349" s="396"/>
      <c r="F7349" s="396"/>
      <c r="G7349" s="396"/>
      <c r="K7349" s="370"/>
      <c r="N7349" s="370"/>
    </row>
    <row r="7350" spans="1:14" s="347" customFormat="1" x14ac:dyDescent="0.25">
      <c r="A7350" s="369"/>
      <c r="E7350" s="396"/>
      <c r="F7350" s="396"/>
      <c r="G7350" s="396"/>
      <c r="K7350" s="370"/>
      <c r="N7350" s="370"/>
    </row>
    <row r="7351" spans="1:14" s="347" customFormat="1" x14ac:dyDescent="0.25">
      <c r="A7351" s="369"/>
      <c r="E7351" s="396"/>
      <c r="F7351" s="396"/>
      <c r="G7351" s="396"/>
      <c r="K7351" s="370"/>
      <c r="N7351" s="370"/>
    </row>
    <row r="7352" spans="1:14" s="347" customFormat="1" x14ac:dyDescent="0.25">
      <c r="A7352" s="369"/>
      <c r="E7352" s="396"/>
      <c r="F7352" s="396"/>
      <c r="G7352" s="396"/>
      <c r="K7352" s="370"/>
      <c r="N7352" s="370"/>
    </row>
    <row r="7353" spans="1:14" s="347" customFormat="1" x14ac:dyDescent="0.25">
      <c r="A7353" s="369"/>
      <c r="E7353" s="396"/>
      <c r="F7353" s="396"/>
      <c r="G7353" s="396"/>
      <c r="K7353" s="370"/>
      <c r="N7353" s="370"/>
    </row>
    <row r="7354" spans="1:14" s="347" customFormat="1" x14ac:dyDescent="0.25">
      <c r="A7354" s="369"/>
      <c r="E7354" s="396"/>
      <c r="F7354" s="396"/>
      <c r="G7354" s="396"/>
      <c r="K7354" s="370"/>
      <c r="N7354" s="370"/>
    </row>
    <row r="7355" spans="1:14" s="347" customFormat="1" x14ac:dyDescent="0.25">
      <c r="A7355" s="369"/>
      <c r="E7355" s="396"/>
      <c r="F7355" s="396"/>
      <c r="G7355" s="396"/>
      <c r="K7355" s="370"/>
      <c r="N7355" s="370"/>
    </row>
    <row r="7356" spans="1:14" s="347" customFormat="1" x14ac:dyDescent="0.25">
      <c r="A7356" s="369"/>
      <c r="E7356" s="396"/>
      <c r="F7356" s="396"/>
      <c r="G7356" s="396"/>
      <c r="K7356" s="370"/>
      <c r="N7356" s="370"/>
    </row>
    <row r="7357" spans="1:14" s="347" customFormat="1" x14ac:dyDescent="0.25">
      <c r="A7357" s="369"/>
      <c r="E7357" s="396"/>
      <c r="F7357" s="396"/>
      <c r="G7357" s="396"/>
      <c r="K7357" s="370"/>
      <c r="N7357" s="370"/>
    </row>
    <row r="7358" spans="1:14" s="347" customFormat="1" x14ac:dyDescent="0.25">
      <c r="A7358" s="369"/>
      <c r="E7358" s="396"/>
      <c r="F7358" s="396"/>
      <c r="G7358" s="396"/>
      <c r="K7358" s="370"/>
      <c r="N7358" s="370"/>
    </row>
    <row r="7359" spans="1:14" s="347" customFormat="1" x14ac:dyDescent="0.25">
      <c r="A7359" s="369"/>
      <c r="E7359" s="396"/>
      <c r="F7359" s="396"/>
      <c r="G7359" s="396"/>
      <c r="K7359" s="370"/>
      <c r="N7359" s="370"/>
    </row>
    <row r="7360" spans="1:14" s="347" customFormat="1" x14ac:dyDescent="0.25">
      <c r="A7360" s="369"/>
      <c r="E7360" s="396"/>
      <c r="F7360" s="396"/>
      <c r="G7360" s="396"/>
      <c r="K7360" s="370"/>
      <c r="N7360" s="370"/>
    </row>
    <row r="7361" spans="1:14" s="347" customFormat="1" x14ac:dyDescent="0.25">
      <c r="A7361" s="369"/>
      <c r="E7361" s="396"/>
      <c r="F7361" s="396"/>
      <c r="G7361" s="396"/>
      <c r="K7361" s="370"/>
      <c r="N7361" s="370"/>
    </row>
    <row r="7362" spans="1:14" s="347" customFormat="1" x14ac:dyDescent="0.25">
      <c r="A7362" s="369"/>
      <c r="E7362" s="396"/>
      <c r="F7362" s="396"/>
      <c r="G7362" s="396"/>
      <c r="K7362" s="370"/>
      <c r="N7362" s="370"/>
    </row>
    <row r="7363" spans="1:14" s="347" customFormat="1" x14ac:dyDescent="0.25">
      <c r="A7363" s="369"/>
      <c r="E7363" s="396"/>
      <c r="F7363" s="396"/>
      <c r="G7363" s="396"/>
      <c r="K7363" s="370"/>
      <c r="N7363" s="370"/>
    </row>
    <row r="7364" spans="1:14" s="347" customFormat="1" x14ac:dyDescent="0.25">
      <c r="A7364" s="369"/>
      <c r="E7364" s="396"/>
      <c r="F7364" s="396"/>
      <c r="G7364" s="396"/>
      <c r="K7364" s="370"/>
      <c r="N7364" s="370"/>
    </row>
    <row r="7365" spans="1:14" s="347" customFormat="1" x14ac:dyDescent="0.25">
      <c r="A7365" s="369"/>
      <c r="E7365" s="396"/>
      <c r="F7365" s="396"/>
      <c r="G7365" s="396"/>
      <c r="K7365" s="370"/>
      <c r="N7365" s="370"/>
    </row>
    <row r="7366" spans="1:14" s="347" customFormat="1" x14ac:dyDescent="0.25">
      <c r="A7366" s="369"/>
      <c r="E7366" s="396"/>
      <c r="F7366" s="396"/>
      <c r="G7366" s="396"/>
      <c r="K7366" s="370"/>
      <c r="N7366" s="370"/>
    </row>
    <row r="7367" spans="1:14" s="347" customFormat="1" x14ac:dyDescent="0.25">
      <c r="A7367" s="369"/>
      <c r="E7367" s="396"/>
      <c r="F7367" s="396"/>
      <c r="G7367" s="396"/>
      <c r="K7367" s="370"/>
      <c r="N7367" s="370"/>
    </row>
    <row r="7368" spans="1:14" s="347" customFormat="1" x14ac:dyDescent="0.25">
      <c r="A7368" s="369"/>
      <c r="E7368" s="396"/>
      <c r="F7368" s="396"/>
      <c r="G7368" s="396"/>
      <c r="K7368" s="370"/>
      <c r="N7368" s="370"/>
    </row>
    <row r="7369" spans="1:14" s="347" customFormat="1" x14ac:dyDescent="0.25">
      <c r="A7369" s="369"/>
      <c r="E7369" s="396"/>
      <c r="F7369" s="396"/>
      <c r="G7369" s="396"/>
      <c r="K7369" s="370"/>
      <c r="N7369" s="370"/>
    </row>
    <row r="7370" spans="1:14" s="347" customFormat="1" x14ac:dyDescent="0.25">
      <c r="A7370" s="369"/>
      <c r="E7370" s="396"/>
      <c r="F7370" s="396"/>
      <c r="G7370" s="396"/>
      <c r="K7370" s="370"/>
      <c r="N7370" s="370"/>
    </row>
    <row r="7371" spans="1:14" s="347" customFormat="1" x14ac:dyDescent="0.25">
      <c r="A7371" s="369"/>
      <c r="E7371" s="396"/>
      <c r="F7371" s="396"/>
      <c r="G7371" s="396"/>
      <c r="K7371" s="370"/>
      <c r="N7371" s="370"/>
    </row>
    <row r="7372" spans="1:14" s="347" customFormat="1" x14ac:dyDescent="0.25">
      <c r="A7372" s="369"/>
      <c r="E7372" s="396"/>
      <c r="F7372" s="396"/>
      <c r="G7372" s="396"/>
      <c r="K7372" s="370"/>
      <c r="N7372" s="370"/>
    </row>
    <row r="7373" spans="1:14" s="347" customFormat="1" x14ac:dyDescent="0.25">
      <c r="A7373" s="369"/>
      <c r="E7373" s="396"/>
      <c r="F7373" s="396"/>
      <c r="G7373" s="396"/>
      <c r="K7373" s="370"/>
      <c r="N7373" s="370"/>
    </row>
    <row r="7374" spans="1:14" s="347" customFormat="1" x14ac:dyDescent="0.25">
      <c r="A7374" s="369"/>
      <c r="E7374" s="396"/>
      <c r="F7374" s="396"/>
      <c r="G7374" s="396"/>
      <c r="K7374" s="370"/>
      <c r="N7374" s="370"/>
    </row>
    <row r="7375" spans="1:14" s="347" customFormat="1" x14ac:dyDescent="0.25">
      <c r="A7375" s="369"/>
      <c r="E7375" s="396"/>
      <c r="F7375" s="396"/>
      <c r="G7375" s="396"/>
      <c r="K7375" s="370"/>
      <c r="N7375" s="370"/>
    </row>
    <row r="7376" spans="1:14" s="347" customFormat="1" x14ac:dyDescent="0.25">
      <c r="A7376" s="369"/>
      <c r="E7376" s="396"/>
      <c r="F7376" s="396"/>
      <c r="G7376" s="396"/>
      <c r="K7376" s="370"/>
      <c r="N7376" s="370"/>
    </row>
    <row r="7377" spans="1:14" s="347" customFormat="1" x14ac:dyDescent="0.25">
      <c r="A7377" s="369"/>
      <c r="E7377" s="396"/>
      <c r="F7377" s="396"/>
      <c r="G7377" s="396"/>
      <c r="K7377" s="370"/>
      <c r="N7377" s="370"/>
    </row>
    <row r="7378" spans="1:14" s="347" customFormat="1" x14ac:dyDescent="0.25">
      <c r="A7378" s="369"/>
      <c r="E7378" s="396"/>
      <c r="F7378" s="396"/>
      <c r="G7378" s="396"/>
      <c r="K7378" s="370"/>
      <c r="N7378" s="370"/>
    </row>
    <row r="7379" spans="1:14" s="347" customFormat="1" x14ac:dyDescent="0.25">
      <c r="A7379" s="369"/>
      <c r="E7379" s="396"/>
      <c r="F7379" s="396"/>
      <c r="G7379" s="396"/>
      <c r="K7379" s="370"/>
      <c r="N7379" s="370"/>
    </row>
    <row r="7380" spans="1:14" s="347" customFormat="1" x14ac:dyDescent="0.25">
      <c r="A7380" s="369"/>
      <c r="E7380" s="396"/>
      <c r="F7380" s="396"/>
      <c r="G7380" s="396"/>
      <c r="K7380" s="370"/>
      <c r="N7380" s="370"/>
    </row>
    <row r="7381" spans="1:14" s="347" customFormat="1" x14ac:dyDescent="0.25">
      <c r="A7381" s="369"/>
      <c r="E7381" s="396"/>
      <c r="F7381" s="396"/>
      <c r="G7381" s="396"/>
      <c r="K7381" s="370"/>
      <c r="N7381" s="370"/>
    </row>
    <row r="7382" spans="1:14" s="347" customFormat="1" x14ac:dyDescent="0.25">
      <c r="A7382" s="369"/>
      <c r="E7382" s="396"/>
      <c r="F7382" s="396"/>
      <c r="G7382" s="396"/>
      <c r="K7382" s="370"/>
      <c r="N7382" s="370"/>
    </row>
    <row r="7383" spans="1:14" s="347" customFormat="1" x14ac:dyDescent="0.25">
      <c r="A7383" s="369"/>
      <c r="E7383" s="396"/>
      <c r="F7383" s="396"/>
      <c r="G7383" s="396"/>
      <c r="K7383" s="370"/>
      <c r="N7383" s="370"/>
    </row>
    <row r="7384" spans="1:14" s="347" customFormat="1" x14ac:dyDescent="0.25">
      <c r="A7384" s="369"/>
      <c r="E7384" s="396"/>
      <c r="F7384" s="396"/>
      <c r="G7384" s="396"/>
      <c r="K7384" s="370"/>
      <c r="N7384" s="370"/>
    </row>
    <row r="7385" spans="1:14" s="347" customFormat="1" x14ac:dyDescent="0.25">
      <c r="A7385" s="369"/>
      <c r="E7385" s="396"/>
      <c r="F7385" s="396"/>
      <c r="G7385" s="396"/>
      <c r="K7385" s="370"/>
      <c r="N7385" s="370"/>
    </row>
    <row r="7386" spans="1:14" s="347" customFormat="1" x14ac:dyDescent="0.25">
      <c r="A7386" s="369"/>
      <c r="E7386" s="396"/>
      <c r="F7386" s="396"/>
      <c r="G7386" s="396"/>
      <c r="K7386" s="370"/>
      <c r="N7386" s="370"/>
    </row>
    <row r="7387" spans="1:14" s="347" customFormat="1" x14ac:dyDescent="0.25">
      <c r="A7387" s="369"/>
      <c r="E7387" s="396"/>
      <c r="F7387" s="396"/>
      <c r="G7387" s="396"/>
      <c r="K7387" s="370"/>
      <c r="N7387" s="370"/>
    </row>
    <row r="7388" spans="1:14" s="347" customFormat="1" x14ac:dyDescent="0.25">
      <c r="A7388" s="369"/>
      <c r="E7388" s="396"/>
      <c r="F7388" s="396"/>
      <c r="G7388" s="396"/>
      <c r="K7388" s="370"/>
      <c r="N7388" s="370"/>
    </row>
    <row r="7389" spans="1:14" s="347" customFormat="1" x14ac:dyDescent="0.25">
      <c r="A7389" s="369"/>
      <c r="E7389" s="396"/>
      <c r="F7389" s="396"/>
      <c r="G7389" s="396"/>
      <c r="K7389" s="370"/>
      <c r="N7389" s="370"/>
    </row>
    <row r="7390" spans="1:14" s="347" customFormat="1" x14ac:dyDescent="0.25">
      <c r="A7390" s="369"/>
      <c r="E7390" s="396"/>
      <c r="F7390" s="396"/>
      <c r="G7390" s="396"/>
      <c r="K7390" s="370"/>
      <c r="N7390" s="370"/>
    </row>
    <row r="7391" spans="1:14" s="347" customFormat="1" x14ac:dyDescent="0.25">
      <c r="A7391" s="369"/>
      <c r="E7391" s="396"/>
      <c r="F7391" s="396"/>
      <c r="G7391" s="396"/>
      <c r="K7391" s="370"/>
      <c r="N7391" s="370"/>
    </row>
    <row r="7392" spans="1:14" s="347" customFormat="1" x14ac:dyDescent="0.25">
      <c r="A7392" s="369"/>
      <c r="E7392" s="396"/>
      <c r="F7392" s="396"/>
      <c r="G7392" s="396"/>
      <c r="K7392" s="370"/>
      <c r="N7392" s="370"/>
    </row>
    <row r="7393" spans="1:14" s="347" customFormat="1" x14ac:dyDescent="0.25">
      <c r="A7393" s="369"/>
      <c r="E7393" s="396"/>
      <c r="F7393" s="396"/>
      <c r="G7393" s="396"/>
      <c r="K7393" s="370"/>
      <c r="N7393" s="370"/>
    </row>
    <row r="7394" spans="1:14" s="347" customFormat="1" x14ac:dyDescent="0.25">
      <c r="A7394" s="369"/>
      <c r="E7394" s="396"/>
      <c r="F7394" s="396"/>
      <c r="G7394" s="396"/>
      <c r="K7394" s="370"/>
      <c r="N7394" s="370"/>
    </row>
    <row r="7395" spans="1:14" s="347" customFormat="1" x14ac:dyDescent="0.25">
      <c r="A7395" s="369"/>
      <c r="E7395" s="396"/>
      <c r="F7395" s="396"/>
      <c r="G7395" s="396"/>
      <c r="K7395" s="370"/>
      <c r="N7395" s="370"/>
    </row>
    <row r="7396" spans="1:14" s="347" customFormat="1" x14ac:dyDescent="0.25">
      <c r="A7396" s="369"/>
      <c r="E7396" s="396"/>
      <c r="F7396" s="396"/>
      <c r="G7396" s="396"/>
      <c r="K7396" s="370"/>
      <c r="N7396" s="370"/>
    </row>
    <row r="7397" spans="1:14" s="347" customFormat="1" x14ac:dyDescent="0.25">
      <c r="A7397" s="369"/>
      <c r="E7397" s="396"/>
      <c r="F7397" s="396"/>
      <c r="G7397" s="396"/>
      <c r="K7397" s="370"/>
      <c r="N7397" s="370"/>
    </row>
    <row r="7398" spans="1:14" s="347" customFormat="1" x14ac:dyDescent="0.25">
      <c r="A7398" s="369"/>
      <c r="E7398" s="396"/>
      <c r="F7398" s="396"/>
      <c r="G7398" s="396"/>
      <c r="K7398" s="370"/>
      <c r="N7398" s="370"/>
    </row>
    <row r="7399" spans="1:14" s="347" customFormat="1" x14ac:dyDescent="0.25">
      <c r="A7399" s="369"/>
      <c r="E7399" s="396"/>
      <c r="F7399" s="396"/>
      <c r="G7399" s="396"/>
      <c r="K7399" s="370"/>
      <c r="N7399" s="370"/>
    </row>
    <row r="7400" spans="1:14" s="347" customFormat="1" x14ac:dyDescent="0.25">
      <c r="A7400" s="369"/>
      <c r="E7400" s="396"/>
      <c r="F7400" s="396"/>
      <c r="G7400" s="396"/>
      <c r="K7400" s="370"/>
      <c r="N7400" s="370"/>
    </row>
    <row r="7401" spans="1:14" s="347" customFormat="1" x14ac:dyDescent="0.25">
      <c r="A7401" s="369"/>
      <c r="E7401" s="396"/>
      <c r="F7401" s="396"/>
      <c r="G7401" s="396"/>
      <c r="K7401" s="370"/>
      <c r="N7401" s="370"/>
    </row>
    <row r="7402" spans="1:14" s="347" customFormat="1" x14ac:dyDescent="0.25">
      <c r="A7402" s="369"/>
      <c r="E7402" s="396"/>
      <c r="F7402" s="396"/>
      <c r="G7402" s="396"/>
      <c r="K7402" s="370"/>
      <c r="N7402" s="370"/>
    </row>
    <row r="7403" spans="1:14" s="347" customFormat="1" x14ac:dyDescent="0.25">
      <c r="A7403" s="369"/>
      <c r="E7403" s="396"/>
      <c r="F7403" s="396"/>
      <c r="G7403" s="396"/>
      <c r="K7403" s="370"/>
      <c r="N7403" s="370"/>
    </row>
    <row r="7404" spans="1:14" s="347" customFormat="1" x14ac:dyDescent="0.25">
      <c r="A7404" s="369"/>
      <c r="E7404" s="396"/>
      <c r="F7404" s="396"/>
      <c r="G7404" s="396"/>
      <c r="K7404" s="370"/>
      <c r="N7404" s="370"/>
    </row>
    <row r="7405" spans="1:14" s="347" customFormat="1" x14ac:dyDescent="0.25">
      <c r="A7405" s="369"/>
      <c r="E7405" s="396"/>
      <c r="F7405" s="396"/>
      <c r="G7405" s="396"/>
      <c r="K7405" s="370"/>
      <c r="N7405" s="370"/>
    </row>
    <row r="7406" spans="1:14" s="347" customFormat="1" x14ac:dyDescent="0.25">
      <c r="A7406" s="369"/>
      <c r="E7406" s="396"/>
      <c r="F7406" s="396"/>
      <c r="G7406" s="396"/>
      <c r="K7406" s="370"/>
      <c r="N7406" s="370"/>
    </row>
    <row r="7407" spans="1:14" s="347" customFormat="1" x14ac:dyDescent="0.25">
      <c r="A7407" s="369"/>
      <c r="E7407" s="396"/>
      <c r="F7407" s="396"/>
      <c r="G7407" s="396"/>
      <c r="K7407" s="370"/>
      <c r="N7407" s="370"/>
    </row>
    <row r="7408" spans="1:14" s="347" customFormat="1" x14ac:dyDescent="0.25">
      <c r="A7408" s="369"/>
      <c r="E7408" s="396"/>
      <c r="F7408" s="396"/>
      <c r="G7408" s="396"/>
      <c r="K7408" s="370"/>
      <c r="N7408" s="370"/>
    </row>
    <row r="7409" spans="1:14" s="347" customFormat="1" x14ac:dyDescent="0.25">
      <c r="A7409" s="369"/>
      <c r="E7409" s="396"/>
      <c r="F7409" s="396"/>
      <c r="G7409" s="396"/>
      <c r="K7409" s="370"/>
      <c r="N7409" s="370"/>
    </row>
    <row r="7410" spans="1:14" s="347" customFormat="1" x14ac:dyDescent="0.25">
      <c r="A7410" s="369"/>
      <c r="E7410" s="396"/>
      <c r="F7410" s="396"/>
      <c r="G7410" s="396"/>
      <c r="K7410" s="370"/>
      <c r="N7410" s="370"/>
    </row>
    <row r="7411" spans="1:14" s="347" customFormat="1" x14ac:dyDescent="0.25">
      <c r="A7411" s="369"/>
      <c r="E7411" s="396"/>
      <c r="F7411" s="396"/>
      <c r="G7411" s="396"/>
      <c r="K7411" s="370"/>
      <c r="N7411" s="370"/>
    </row>
    <row r="7412" spans="1:14" s="347" customFormat="1" x14ac:dyDescent="0.25">
      <c r="A7412" s="369"/>
      <c r="E7412" s="396"/>
      <c r="F7412" s="396"/>
      <c r="G7412" s="396"/>
      <c r="K7412" s="370"/>
      <c r="N7412" s="370"/>
    </row>
    <row r="7413" spans="1:14" s="347" customFormat="1" x14ac:dyDescent="0.25">
      <c r="A7413" s="369"/>
      <c r="E7413" s="396"/>
      <c r="F7413" s="396"/>
      <c r="G7413" s="396"/>
      <c r="K7413" s="370"/>
      <c r="N7413" s="370"/>
    </row>
    <row r="7414" spans="1:14" s="347" customFormat="1" x14ac:dyDescent="0.25">
      <c r="A7414" s="369"/>
      <c r="E7414" s="396"/>
      <c r="F7414" s="396"/>
      <c r="G7414" s="396"/>
      <c r="K7414" s="370"/>
      <c r="N7414" s="370"/>
    </row>
    <row r="7415" spans="1:14" s="347" customFormat="1" x14ac:dyDescent="0.25">
      <c r="A7415" s="369"/>
      <c r="E7415" s="396"/>
      <c r="F7415" s="396"/>
      <c r="G7415" s="396"/>
      <c r="K7415" s="370"/>
      <c r="N7415" s="370"/>
    </row>
    <row r="7416" spans="1:14" s="347" customFormat="1" x14ac:dyDescent="0.25">
      <c r="A7416" s="369"/>
      <c r="E7416" s="396"/>
      <c r="F7416" s="396"/>
      <c r="G7416" s="396"/>
      <c r="K7416" s="370"/>
      <c r="N7416" s="370"/>
    </row>
    <row r="7417" spans="1:14" s="347" customFormat="1" x14ac:dyDescent="0.25">
      <c r="A7417" s="369"/>
      <c r="E7417" s="396"/>
      <c r="F7417" s="396"/>
      <c r="G7417" s="396"/>
      <c r="K7417" s="370"/>
      <c r="N7417" s="370"/>
    </row>
    <row r="7418" spans="1:14" s="347" customFormat="1" x14ac:dyDescent="0.25">
      <c r="A7418" s="369"/>
      <c r="E7418" s="396"/>
      <c r="F7418" s="396"/>
      <c r="G7418" s="396"/>
      <c r="K7418" s="370"/>
      <c r="N7418" s="370"/>
    </row>
    <row r="7419" spans="1:14" s="347" customFormat="1" x14ac:dyDescent="0.25">
      <c r="A7419" s="369"/>
      <c r="E7419" s="396"/>
      <c r="F7419" s="396"/>
      <c r="G7419" s="396"/>
      <c r="K7419" s="370"/>
      <c r="N7419" s="370"/>
    </row>
    <row r="7420" spans="1:14" s="347" customFormat="1" x14ac:dyDescent="0.25">
      <c r="A7420" s="369"/>
      <c r="E7420" s="396"/>
      <c r="F7420" s="396"/>
      <c r="G7420" s="396"/>
      <c r="K7420" s="370"/>
      <c r="N7420" s="370"/>
    </row>
    <row r="7421" spans="1:14" s="347" customFormat="1" x14ac:dyDescent="0.25">
      <c r="A7421" s="369"/>
      <c r="E7421" s="396"/>
      <c r="F7421" s="396"/>
      <c r="G7421" s="396"/>
      <c r="K7421" s="370"/>
      <c r="N7421" s="370"/>
    </row>
    <row r="7422" spans="1:14" s="347" customFormat="1" x14ac:dyDescent="0.25">
      <c r="A7422" s="369"/>
      <c r="E7422" s="396"/>
      <c r="F7422" s="396"/>
      <c r="G7422" s="396"/>
      <c r="K7422" s="370"/>
      <c r="N7422" s="370"/>
    </row>
    <row r="7423" spans="1:14" s="347" customFormat="1" x14ac:dyDescent="0.25">
      <c r="A7423" s="369"/>
      <c r="E7423" s="396"/>
      <c r="F7423" s="396"/>
      <c r="G7423" s="396"/>
      <c r="K7423" s="370"/>
      <c r="N7423" s="370"/>
    </row>
    <row r="7424" spans="1:14" s="347" customFormat="1" x14ac:dyDescent="0.25">
      <c r="A7424" s="369"/>
      <c r="E7424" s="396"/>
      <c r="F7424" s="396"/>
      <c r="G7424" s="396"/>
      <c r="K7424" s="370"/>
      <c r="N7424" s="370"/>
    </row>
    <row r="7425" spans="1:14" s="347" customFormat="1" x14ac:dyDescent="0.25">
      <c r="A7425" s="369"/>
      <c r="E7425" s="396"/>
      <c r="F7425" s="396"/>
      <c r="G7425" s="396"/>
      <c r="K7425" s="370"/>
      <c r="N7425" s="370"/>
    </row>
    <row r="7426" spans="1:14" s="347" customFormat="1" x14ac:dyDescent="0.25">
      <c r="A7426" s="369"/>
      <c r="E7426" s="396"/>
      <c r="F7426" s="396"/>
      <c r="G7426" s="396"/>
      <c r="K7426" s="370"/>
      <c r="N7426" s="370"/>
    </row>
    <row r="7427" spans="1:14" s="347" customFormat="1" x14ac:dyDescent="0.25">
      <c r="A7427" s="369"/>
      <c r="E7427" s="396"/>
      <c r="F7427" s="396"/>
      <c r="G7427" s="396"/>
      <c r="K7427" s="370"/>
      <c r="N7427" s="370"/>
    </row>
    <row r="7428" spans="1:14" s="347" customFormat="1" x14ac:dyDescent="0.25">
      <c r="A7428" s="369"/>
      <c r="E7428" s="396"/>
      <c r="F7428" s="396"/>
      <c r="G7428" s="396"/>
      <c r="K7428" s="370"/>
      <c r="N7428" s="370"/>
    </row>
    <row r="7429" spans="1:14" s="347" customFormat="1" x14ac:dyDescent="0.25">
      <c r="A7429" s="369"/>
      <c r="E7429" s="396"/>
      <c r="F7429" s="396"/>
      <c r="G7429" s="396"/>
      <c r="K7429" s="370"/>
      <c r="N7429" s="370"/>
    </row>
    <row r="7430" spans="1:14" s="347" customFormat="1" x14ac:dyDescent="0.25">
      <c r="A7430" s="369"/>
      <c r="E7430" s="396"/>
      <c r="F7430" s="396"/>
      <c r="G7430" s="396"/>
      <c r="K7430" s="370"/>
      <c r="N7430" s="370"/>
    </row>
    <row r="7431" spans="1:14" s="347" customFormat="1" x14ac:dyDescent="0.25">
      <c r="A7431" s="369"/>
      <c r="E7431" s="396"/>
      <c r="F7431" s="396"/>
      <c r="G7431" s="396"/>
      <c r="K7431" s="370"/>
      <c r="N7431" s="370"/>
    </row>
    <row r="7432" spans="1:14" s="347" customFormat="1" x14ac:dyDescent="0.25">
      <c r="A7432" s="369"/>
      <c r="E7432" s="396"/>
      <c r="F7432" s="396"/>
      <c r="G7432" s="396"/>
      <c r="K7432" s="370"/>
      <c r="N7432" s="370"/>
    </row>
    <row r="7433" spans="1:14" s="347" customFormat="1" x14ac:dyDescent="0.25">
      <c r="A7433" s="369"/>
      <c r="E7433" s="396"/>
      <c r="F7433" s="396"/>
      <c r="G7433" s="396"/>
      <c r="K7433" s="370"/>
      <c r="N7433" s="370"/>
    </row>
    <row r="7434" spans="1:14" s="347" customFormat="1" x14ac:dyDescent="0.25">
      <c r="A7434" s="369"/>
      <c r="E7434" s="396"/>
      <c r="F7434" s="396"/>
      <c r="G7434" s="396"/>
      <c r="K7434" s="370"/>
      <c r="N7434" s="370"/>
    </row>
    <row r="7435" spans="1:14" s="347" customFormat="1" x14ac:dyDescent="0.25">
      <c r="A7435" s="369"/>
      <c r="E7435" s="396"/>
      <c r="F7435" s="396"/>
      <c r="G7435" s="396"/>
      <c r="K7435" s="370"/>
      <c r="N7435" s="370"/>
    </row>
    <row r="7436" spans="1:14" s="347" customFormat="1" x14ac:dyDescent="0.25">
      <c r="A7436" s="369"/>
      <c r="E7436" s="396"/>
      <c r="F7436" s="396"/>
      <c r="G7436" s="396"/>
      <c r="K7436" s="370"/>
      <c r="N7436" s="370"/>
    </row>
    <row r="7437" spans="1:14" s="347" customFormat="1" x14ac:dyDescent="0.25">
      <c r="A7437" s="369"/>
      <c r="E7437" s="396"/>
      <c r="F7437" s="396"/>
      <c r="G7437" s="396"/>
      <c r="K7437" s="370"/>
      <c r="N7437" s="370"/>
    </row>
    <row r="7438" spans="1:14" s="347" customFormat="1" x14ac:dyDescent="0.25">
      <c r="A7438" s="369"/>
      <c r="E7438" s="396"/>
      <c r="F7438" s="396"/>
      <c r="G7438" s="396"/>
      <c r="K7438" s="370"/>
      <c r="N7438" s="370"/>
    </row>
    <row r="7439" spans="1:14" s="347" customFormat="1" x14ac:dyDescent="0.25">
      <c r="A7439" s="369"/>
      <c r="E7439" s="396"/>
      <c r="F7439" s="396"/>
      <c r="G7439" s="396"/>
      <c r="K7439" s="370"/>
      <c r="N7439" s="370"/>
    </row>
    <row r="7440" spans="1:14" s="347" customFormat="1" x14ac:dyDescent="0.25">
      <c r="A7440" s="369"/>
      <c r="E7440" s="396"/>
      <c r="F7440" s="396"/>
      <c r="G7440" s="396"/>
      <c r="K7440" s="370"/>
      <c r="N7440" s="370"/>
    </row>
    <row r="7441" spans="1:14" s="347" customFormat="1" x14ac:dyDescent="0.25">
      <c r="A7441" s="369"/>
      <c r="E7441" s="396"/>
      <c r="F7441" s="396"/>
      <c r="G7441" s="396"/>
      <c r="K7441" s="370"/>
      <c r="N7441" s="370"/>
    </row>
    <row r="7442" spans="1:14" s="347" customFormat="1" x14ac:dyDescent="0.25">
      <c r="A7442" s="369"/>
      <c r="E7442" s="396"/>
      <c r="F7442" s="396"/>
      <c r="G7442" s="396"/>
      <c r="K7442" s="370"/>
      <c r="N7442" s="370"/>
    </row>
    <row r="7443" spans="1:14" s="347" customFormat="1" x14ac:dyDescent="0.25">
      <c r="A7443" s="369"/>
      <c r="E7443" s="396"/>
      <c r="F7443" s="396"/>
      <c r="G7443" s="396"/>
      <c r="K7443" s="370"/>
      <c r="N7443" s="370"/>
    </row>
    <row r="7444" spans="1:14" s="347" customFormat="1" x14ac:dyDescent="0.25">
      <c r="A7444" s="369"/>
      <c r="E7444" s="396"/>
      <c r="F7444" s="396"/>
      <c r="G7444" s="396"/>
      <c r="K7444" s="370"/>
      <c r="N7444" s="370"/>
    </row>
    <row r="7445" spans="1:14" s="347" customFormat="1" x14ac:dyDescent="0.25">
      <c r="A7445" s="369"/>
      <c r="E7445" s="396"/>
      <c r="F7445" s="396"/>
      <c r="G7445" s="396"/>
      <c r="K7445" s="370"/>
      <c r="N7445" s="370"/>
    </row>
    <row r="7446" spans="1:14" s="347" customFormat="1" x14ac:dyDescent="0.25">
      <c r="A7446" s="369"/>
      <c r="E7446" s="396"/>
      <c r="F7446" s="396"/>
      <c r="G7446" s="396"/>
      <c r="K7446" s="370"/>
      <c r="N7446" s="370"/>
    </row>
    <row r="7447" spans="1:14" s="347" customFormat="1" x14ac:dyDescent="0.25">
      <c r="A7447" s="369"/>
      <c r="E7447" s="396"/>
      <c r="F7447" s="396"/>
      <c r="G7447" s="396"/>
      <c r="K7447" s="370"/>
      <c r="N7447" s="370"/>
    </row>
    <row r="7448" spans="1:14" s="347" customFormat="1" x14ac:dyDescent="0.25">
      <c r="A7448" s="369"/>
      <c r="E7448" s="396"/>
      <c r="F7448" s="396"/>
      <c r="G7448" s="396"/>
      <c r="K7448" s="370"/>
      <c r="N7448" s="370"/>
    </row>
    <row r="7449" spans="1:14" s="347" customFormat="1" x14ac:dyDescent="0.25">
      <c r="A7449" s="369"/>
      <c r="E7449" s="396"/>
      <c r="F7449" s="396"/>
      <c r="G7449" s="396"/>
      <c r="K7449" s="370"/>
      <c r="N7449" s="370"/>
    </row>
    <row r="7450" spans="1:14" s="347" customFormat="1" x14ac:dyDescent="0.25">
      <c r="A7450" s="369"/>
      <c r="E7450" s="396"/>
      <c r="F7450" s="396"/>
      <c r="G7450" s="396"/>
      <c r="K7450" s="370"/>
      <c r="N7450" s="370"/>
    </row>
    <row r="7451" spans="1:14" s="347" customFormat="1" x14ac:dyDescent="0.25">
      <c r="A7451" s="369"/>
      <c r="E7451" s="396"/>
      <c r="F7451" s="396"/>
      <c r="G7451" s="396"/>
      <c r="K7451" s="370"/>
      <c r="N7451" s="370"/>
    </row>
    <row r="7452" spans="1:14" s="347" customFormat="1" x14ac:dyDescent="0.25">
      <c r="A7452" s="369"/>
      <c r="E7452" s="396"/>
      <c r="F7452" s="396"/>
      <c r="G7452" s="396"/>
      <c r="K7452" s="370"/>
      <c r="N7452" s="370"/>
    </row>
    <row r="7453" spans="1:14" s="347" customFormat="1" x14ac:dyDescent="0.25">
      <c r="A7453" s="369"/>
      <c r="E7453" s="396"/>
      <c r="F7453" s="396"/>
      <c r="G7453" s="396"/>
      <c r="K7453" s="370"/>
      <c r="N7453" s="370"/>
    </row>
    <row r="7454" spans="1:14" s="347" customFormat="1" x14ac:dyDescent="0.25">
      <c r="A7454" s="369"/>
      <c r="E7454" s="396"/>
      <c r="F7454" s="396"/>
      <c r="G7454" s="396"/>
      <c r="K7454" s="370"/>
      <c r="N7454" s="370"/>
    </row>
    <row r="7455" spans="1:14" s="347" customFormat="1" x14ac:dyDescent="0.25">
      <c r="A7455" s="369"/>
      <c r="E7455" s="396"/>
      <c r="F7455" s="396"/>
      <c r="G7455" s="396"/>
      <c r="K7455" s="370"/>
      <c r="N7455" s="370"/>
    </row>
    <row r="7456" spans="1:14" s="347" customFormat="1" x14ac:dyDescent="0.25">
      <c r="A7456" s="369"/>
      <c r="E7456" s="396"/>
      <c r="F7456" s="396"/>
      <c r="G7456" s="396"/>
      <c r="K7456" s="370"/>
      <c r="N7456" s="370"/>
    </row>
    <row r="7457" spans="1:14" s="347" customFormat="1" x14ac:dyDescent="0.25">
      <c r="A7457" s="369"/>
      <c r="E7457" s="396"/>
      <c r="F7457" s="396"/>
      <c r="G7457" s="396"/>
      <c r="K7457" s="370"/>
      <c r="N7457" s="370"/>
    </row>
    <row r="7458" spans="1:14" s="347" customFormat="1" x14ac:dyDescent="0.25">
      <c r="A7458" s="369"/>
      <c r="E7458" s="396"/>
      <c r="F7458" s="396"/>
      <c r="G7458" s="396"/>
      <c r="K7458" s="370"/>
      <c r="N7458" s="370"/>
    </row>
    <row r="7459" spans="1:14" s="347" customFormat="1" x14ac:dyDescent="0.25">
      <c r="A7459" s="369"/>
      <c r="E7459" s="396"/>
      <c r="F7459" s="396"/>
      <c r="G7459" s="396"/>
      <c r="K7459" s="370"/>
      <c r="N7459" s="370"/>
    </row>
    <row r="7460" spans="1:14" s="347" customFormat="1" x14ac:dyDescent="0.25">
      <c r="A7460" s="369"/>
      <c r="E7460" s="396"/>
      <c r="F7460" s="396"/>
      <c r="G7460" s="396"/>
      <c r="K7460" s="370"/>
      <c r="N7460" s="370"/>
    </row>
    <row r="7461" spans="1:14" s="347" customFormat="1" x14ac:dyDescent="0.25">
      <c r="A7461" s="369"/>
      <c r="E7461" s="396"/>
      <c r="F7461" s="396"/>
      <c r="G7461" s="396"/>
      <c r="K7461" s="370"/>
      <c r="N7461" s="370"/>
    </row>
    <row r="7462" spans="1:14" s="347" customFormat="1" x14ac:dyDescent="0.25">
      <c r="A7462" s="369"/>
      <c r="E7462" s="396"/>
      <c r="F7462" s="396"/>
      <c r="G7462" s="396"/>
      <c r="K7462" s="370"/>
      <c r="N7462" s="370"/>
    </row>
    <row r="7463" spans="1:14" s="347" customFormat="1" x14ac:dyDescent="0.25">
      <c r="A7463" s="369"/>
      <c r="E7463" s="396"/>
      <c r="F7463" s="396"/>
      <c r="G7463" s="396"/>
      <c r="K7463" s="370"/>
      <c r="N7463" s="370"/>
    </row>
    <row r="7464" spans="1:14" s="347" customFormat="1" x14ac:dyDescent="0.25">
      <c r="A7464" s="369"/>
      <c r="E7464" s="396"/>
      <c r="F7464" s="396"/>
      <c r="G7464" s="396"/>
      <c r="K7464" s="370"/>
      <c r="N7464" s="370"/>
    </row>
    <row r="7465" spans="1:14" s="347" customFormat="1" x14ac:dyDescent="0.25">
      <c r="A7465" s="369"/>
      <c r="E7465" s="396"/>
      <c r="F7465" s="396"/>
      <c r="G7465" s="396"/>
      <c r="K7465" s="370"/>
      <c r="N7465" s="370"/>
    </row>
    <row r="7466" spans="1:14" s="347" customFormat="1" x14ac:dyDescent="0.25">
      <c r="A7466" s="369"/>
      <c r="E7466" s="396"/>
      <c r="F7466" s="396"/>
      <c r="G7466" s="396"/>
      <c r="K7466" s="370"/>
      <c r="N7466" s="370"/>
    </row>
    <row r="7467" spans="1:14" s="347" customFormat="1" x14ac:dyDescent="0.25">
      <c r="A7467" s="369"/>
      <c r="E7467" s="396"/>
      <c r="F7467" s="396"/>
      <c r="G7467" s="396"/>
      <c r="K7467" s="370"/>
      <c r="N7467" s="370"/>
    </row>
    <row r="7468" spans="1:14" s="347" customFormat="1" x14ac:dyDescent="0.25">
      <c r="A7468" s="369"/>
      <c r="E7468" s="396"/>
      <c r="F7468" s="396"/>
      <c r="G7468" s="396"/>
      <c r="K7468" s="370"/>
      <c r="N7468" s="370"/>
    </row>
    <row r="7469" spans="1:14" s="347" customFormat="1" x14ac:dyDescent="0.25">
      <c r="A7469" s="369"/>
      <c r="E7469" s="396"/>
      <c r="F7469" s="396"/>
      <c r="G7469" s="396"/>
      <c r="K7469" s="370"/>
      <c r="N7469" s="370"/>
    </row>
    <row r="7470" spans="1:14" s="347" customFormat="1" x14ac:dyDescent="0.25">
      <c r="A7470" s="369"/>
      <c r="E7470" s="396"/>
      <c r="F7470" s="396"/>
      <c r="G7470" s="396"/>
      <c r="K7470" s="370"/>
      <c r="N7470" s="370"/>
    </row>
    <row r="7471" spans="1:14" s="347" customFormat="1" x14ac:dyDescent="0.25">
      <c r="A7471" s="369"/>
      <c r="E7471" s="396"/>
      <c r="F7471" s="396"/>
      <c r="G7471" s="396"/>
      <c r="K7471" s="370"/>
      <c r="N7471" s="370"/>
    </row>
    <row r="7472" spans="1:14" s="347" customFormat="1" x14ac:dyDescent="0.25">
      <c r="A7472" s="369"/>
      <c r="E7472" s="396"/>
      <c r="F7472" s="396"/>
      <c r="G7472" s="396"/>
      <c r="K7472" s="370"/>
      <c r="N7472" s="370"/>
    </row>
    <row r="7473" spans="1:14" s="347" customFormat="1" x14ac:dyDescent="0.25">
      <c r="A7473" s="369"/>
      <c r="E7473" s="396"/>
      <c r="F7473" s="396"/>
      <c r="G7473" s="396"/>
      <c r="K7473" s="370"/>
      <c r="N7473" s="370"/>
    </row>
    <row r="7474" spans="1:14" s="347" customFormat="1" x14ac:dyDescent="0.25">
      <c r="A7474" s="369"/>
      <c r="E7474" s="396"/>
      <c r="F7474" s="396"/>
      <c r="G7474" s="396"/>
      <c r="K7474" s="370"/>
      <c r="N7474" s="370"/>
    </row>
    <row r="7475" spans="1:14" s="347" customFormat="1" x14ac:dyDescent="0.25">
      <c r="A7475" s="369"/>
      <c r="E7475" s="396"/>
      <c r="F7475" s="396"/>
      <c r="G7475" s="396"/>
      <c r="K7475" s="370"/>
      <c r="N7475" s="370"/>
    </row>
    <row r="7476" spans="1:14" s="347" customFormat="1" x14ac:dyDescent="0.25">
      <c r="A7476" s="369"/>
      <c r="E7476" s="396"/>
      <c r="F7476" s="396"/>
      <c r="G7476" s="396"/>
      <c r="K7476" s="370"/>
      <c r="N7476" s="370"/>
    </row>
    <row r="7477" spans="1:14" s="347" customFormat="1" x14ac:dyDescent="0.25">
      <c r="A7477" s="369"/>
      <c r="E7477" s="396"/>
      <c r="F7477" s="396"/>
      <c r="G7477" s="396"/>
      <c r="K7477" s="370"/>
      <c r="N7477" s="370"/>
    </row>
    <row r="7478" spans="1:14" s="347" customFormat="1" x14ac:dyDescent="0.25">
      <c r="A7478" s="369"/>
      <c r="E7478" s="396"/>
      <c r="F7478" s="396"/>
      <c r="G7478" s="396"/>
      <c r="K7478" s="370"/>
      <c r="N7478" s="370"/>
    </row>
    <row r="7479" spans="1:14" s="347" customFormat="1" x14ac:dyDescent="0.25">
      <c r="A7479" s="369"/>
      <c r="E7479" s="396"/>
      <c r="F7479" s="396"/>
      <c r="G7479" s="396"/>
      <c r="K7479" s="370"/>
      <c r="N7479" s="370"/>
    </row>
    <row r="7480" spans="1:14" s="347" customFormat="1" x14ac:dyDescent="0.25">
      <c r="A7480" s="369"/>
      <c r="E7480" s="396"/>
      <c r="F7480" s="396"/>
      <c r="G7480" s="396"/>
      <c r="K7480" s="370"/>
      <c r="N7480" s="370"/>
    </row>
    <row r="7481" spans="1:14" s="347" customFormat="1" x14ac:dyDescent="0.25">
      <c r="A7481" s="369"/>
      <c r="E7481" s="396"/>
      <c r="F7481" s="396"/>
      <c r="G7481" s="396"/>
      <c r="K7481" s="370"/>
      <c r="N7481" s="370"/>
    </row>
    <row r="7482" spans="1:14" s="347" customFormat="1" x14ac:dyDescent="0.25">
      <c r="A7482" s="369"/>
      <c r="E7482" s="396"/>
      <c r="F7482" s="396"/>
      <c r="G7482" s="396"/>
      <c r="K7482" s="370"/>
      <c r="N7482" s="370"/>
    </row>
    <row r="7483" spans="1:14" s="347" customFormat="1" x14ac:dyDescent="0.25">
      <c r="A7483" s="369"/>
      <c r="E7483" s="396"/>
      <c r="F7483" s="396"/>
      <c r="G7483" s="396"/>
      <c r="K7483" s="370"/>
      <c r="N7483" s="370"/>
    </row>
    <row r="7484" spans="1:14" s="347" customFormat="1" x14ac:dyDescent="0.25">
      <c r="A7484" s="369"/>
      <c r="E7484" s="396"/>
      <c r="F7484" s="396"/>
      <c r="G7484" s="396"/>
      <c r="K7484" s="370"/>
      <c r="N7484" s="370"/>
    </row>
    <row r="7485" spans="1:14" s="347" customFormat="1" x14ac:dyDescent="0.25">
      <c r="A7485" s="369"/>
      <c r="E7485" s="396"/>
      <c r="F7485" s="396"/>
      <c r="G7485" s="396"/>
      <c r="K7485" s="370"/>
      <c r="N7485" s="370"/>
    </row>
    <row r="7486" spans="1:14" s="347" customFormat="1" x14ac:dyDescent="0.25">
      <c r="A7486" s="369"/>
      <c r="E7486" s="396"/>
      <c r="F7486" s="396"/>
      <c r="G7486" s="396"/>
      <c r="K7486" s="370"/>
      <c r="N7486" s="370"/>
    </row>
    <row r="7487" spans="1:14" s="347" customFormat="1" x14ac:dyDescent="0.25">
      <c r="A7487" s="369"/>
      <c r="E7487" s="396"/>
      <c r="F7487" s="396"/>
      <c r="G7487" s="396"/>
      <c r="K7487" s="370"/>
      <c r="N7487" s="370"/>
    </row>
    <row r="7488" spans="1:14" s="347" customFormat="1" x14ac:dyDescent="0.25">
      <c r="A7488" s="369"/>
      <c r="E7488" s="396"/>
      <c r="F7488" s="396"/>
      <c r="G7488" s="396"/>
      <c r="K7488" s="370"/>
      <c r="N7488" s="370"/>
    </row>
    <row r="7489" spans="1:14" s="347" customFormat="1" x14ac:dyDescent="0.25">
      <c r="A7489" s="369"/>
      <c r="E7489" s="396"/>
      <c r="F7489" s="396"/>
      <c r="G7489" s="396"/>
      <c r="K7489" s="370"/>
      <c r="N7489" s="370"/>
    </row>
    <row r="7490" spans="1:14" s="347" customFormat="1" x14ac:dyDescent="0.25">
      <c r="A7490" s="369"/>
      <c r="E7490" s="396"/>
      <c r="F7490" s="396"/>
      <c r="G7490" s="396"/>
      <c r="K7490" s="370"/>
      <c r="N7490" s="370"/>
    </row>
    <row r="7491" spans="1:14" s="347" customFormat="1" x14ac:dyDescent="0.25">
      <c r="A7491" s="369"/>
      <c r="E7491" s="396"/>
      <c r="F7491" s="396"/>
      <c r="G7491" s="396"/>
      <c r="K7491" s="370"/>
      <c r="N7491" s="370"/>
    </row>
    <row r="7492" spans="1:14" s="347" customFormat="1" x14ac:dyDescent="0.25">
      <c r="A7492" s="369"/>
      <c r="E7492" s="396"/>
      <c r="F7492" s="396"/>
      <c r="G7492" s="396"/>
      <c r="K7492" s="370"/>
      <c r="N7492" s="370"/>
    </row>
    <row r="7493" spans="1:14" s="347" customFormat="1" x14ac:dyDescent="0.25">
      <c r="A7493" s="369"/>
      <c r="E7493" s="396"/>
      <c r="F7493" s="396"/>
      <c r="G7493" s="396"/>
      <c r="K7493" s="370"/>
      <c r="N7493" s="370"/>
    </row>
    <row r="7494" spans="1:14" s="347" customFormat="1" x14ac:dyDescent="0.25">
      <c r="A7494" s="369"/>
      <c r="E7494" s="396"/>
      <c r="F7494" s="396"/>
      <c r="G7494" s="396"/>
      <c r="K7494" s="370"/>
      <c r="N7494" s="370"/>
    </row>
    <row r="7495" spans="1:14" s="347" customFormat="1" x14ac:dyDescent="0.25">
      <c r="A7495" s="369"/>
      <c r="E7495" s="396"/>
      <c r="F7495" s="396"/>
      <c r="G7495" s="396"/>
      <c r="K7495" s="370"/>
      <c r="N7495" s="370"/>
    </row>
    <row r="7496" spans="1:14" s="347" customFormat="1" x14ac:dyDescent="0.25">
      <c r="A7496" s="369"/>
      <c r="E7496" s="396"/>
      <c r="F7496" s="396"/>
      <c r="G7496" s="396"/>
      <c r="K7496" s="370"/>
      <c r="N7496" s="370"/>
    </row>
    <row r="7497" spans="1:14" s="347" customFormat="1" x14ac:dyDescent="0.25">
      <c r="A7497" s="369"/>
      <c r="E7497" s="396"/>
      <c r="F7497" s="396"/>
      <c r="G7497" s="396"/>
      <c r="K7497" s="370"/>
      <c r="N7497" s="370"/>
    </row>
    <row r="7498" spans="1:14" s="347" customFormat="1" x14ac:dyDescent="0.25">
      <c r="A7498" s="369"/>
      <c r="E7498" s="396"/>
      <c r="F7498" s="396"/>
      <c r="G7498" s="396"/>
      <c r="K7498" s="370"/>
      <c r="N7498" s="370"/>
    </row>
    <row r="7499" spans="1:14" s="347" customFormat="1" x14ac:dyDescent="0.25">
      <c r="A7499" s="369"/>
      <c r="E7499" s="396"/>
      <c r="F7499" s="396"/>
      <c r="G7499" s="396"/>
      <c r="K7499" s="370"/>
      <c r="N7499" s="370"/>
    </row>
    <row r="7500" spans="1:14" s="347" customFormat="1" x14ac:dyDescent="0.25">
      <c r="A7500" s="369"/>
      <c r="E7500" s="396"/>
      <c r="F7500" s="396"/>
      <c r="G7500" s="396"/>
      <c r="K7500" s="370"/>
      <c r="N7500" s="370"/>
    </row>
    <row r="7501" spans="1:14" s="347" customFormat="1" x14ac:dyDescent="0.25">
      <c r="A7501" s="369"/>
      <c r="E7501" s="396"/>
      <c r="F7501" s="396"/>
      <c r="G7501" s="396"/>
      <c r="K7501" s="370"/>
      <c r="N7501" s="370"/>
    </row>
    <row r="7502" spans="1:14" s="347" customFormat="1" x14ac:dyDescent="0.25">
      <c r="A7502" s="369"/>
      <c r="E7502" s="396"/>
      <c r="F7502" s="396"/>
      <c r="G7502" s="396"/>
      <c r="K7502" s="370"/>
      <c r="N7502" s="370"/>
    </row>
    <row r="7503" spans="1:14" s="347" customFormat="1" x14ac:dyDescent="0.25">
      <c r="A7503" s="369"/>
      <c r="E7503" s="396"/>
      <c r="F7503" s="396"/>
      <c r="G7503" s="396"/>
      <c r="K7503" s="370"/>
      <c r="N7503" s="370"/>
    </row>
    <row r="7504" spans="1:14" s="347" customFormat="1" x14ac:dyDescent="0.25">
      <c r="A7504" s="369"/>
      <c r="E7504" s="396"/>
      <c r="F7504" s="396"/>
      <c r="G7504" s="396"/>
      <c r="K7504" s="370"/>
      <c r="N7504" s="370"/>
    </row>
    <row r="7505" spans="1:14" s="347" customFormat="1" x14ac:dyDescent="0.25">
      <c r="A7505" s="369"/>
      <c r="E7505" s="396"/>
      <c r="F7505" s="396"/>
      <c r="G7505" s="396"/>
      <c r="K7505" s="370"/>
      <c r="N7505" s="370"/>
    </row>
    <row r="7506" spans="1:14" s="347" customFormat="1" x14ac:dyDescent="0.25">
      <c r="A7506" s="369"/>
      <c r="E7506" s="396"/>
      <c r="F7506" s="396"/>
      <c r="G7506" s="396"/>
      <c r="K7506" s="370"/>
      <c r="N7506" s="370"/>
    </row>
    <row r="7507" spans="1:14" s="347" customFormat="1" x14ac:dyDescent="0.25">
      <c r="A7507" s="369"/>
      <c r="E7507" s="396"/>
      <c r="F7507" s="396"/>
      <c r="G7507" s="396"/>
      <c r="K7507" s="370"/>
      <c r="N7507" s="370"/>
    </row>
    <row r="7508" spans="1:14" s="347" customFormat="1" x14ac:dyDescent="0.25">
      <c r="A7508" s="369"/>
      <c r="E7508" s="396"/>
      <c r="F7508" s="396"/>
      <c r="G7508" s="396"/>
      <c r="K7508" s="370"/>
      <c r="N7508" s="370"/>
    </row>
    <row r="7509" spans="1:14" s="347" customFormat="1" x14ac:dyDescent="0.25">
      <c r="A7509" s="369"/>
      <c r="E7509" s="396"/>
      <c r="F7509" s="396"/>
      <c r="G7509" s="396"/>
      <c r="K7509" s="370"/>
      <c r="N7509" s="370"/>
    </row>
    <row r="7510" spans="1:14" s="347" customFormat="1" x14ac:dyDescent="0.25">
      <c r="A7510" s="369"/>
      <c r="E7510" s="396"/>
      <c r="F7510" s="396"/>
      <c r="G7510" s="396"/>
      <c r="K7510" s="370"/>
      <c r="N7510" s="370"/>
    </row>
    <row r="7511" spans="1:14" s="347" customFormat="1" x14ac:dyDescent="0.25">
      <c r="A7511" s="369"/>
      <c r="E7511" s="396"/>
      <c r="F7511" s="396"/>
      <c r="G7511" s="396"/>
      <c r="K7511" s="370"/>
      <c r="N7511" s="370"/>
    </row>
    <row r="7512" spans="1:14" s="347" customFormat="1" x14ac:dyDescent="0.25">
      <c r="A7512" s="369"/>
      <c r="E7512" s="396"/>
      <c r="F7512" s="396"/>
      <c r="G7512" s="396"/>
      <c r="K7512" s="370"/>
      <c r="N7512" s="370"/>
    </row>
    <row r="7513" spans="1:14" s="347" customFormat="1" x14ac:dyDescent="0.25">
      <c r="A7513" s="369"/>
      <c r="E7513" s="396"/>
      <c r="F7513" s="396"/>
      <c r="G7513" s="396"/>
      <c r="K7513" s="370"/>
      <c r="N7513" s="370"/>
    </row>
    <row r="7514" spans="1:14" s="347" customFormat="1" x14ac:dyDescent="0.25">
      <c r="A7514" s="369"/>
      <c r="E7514" s="396"/>
      <c r="F7514" s="396"/>
      <c r="G7514" s="396"/>
      <c r="K7514" s="370"/>
      <c r="N7514" s="370"/>
    </row>
    <row r="7515" spans="1:14" s="347" customFormat="1" x14ac:dyDescent="0.25">
      <c r="A7515" s="369"/>
      <c r="E7515" s="396"/>
      <c r="F7515" s="396"/>
      <c r="G7515" s="396"/>
      <c r="K7515" s="370"/>
      <c r="N7515" s="370"/>
    </row>
    <row r="7516" spans="1:14" s="347" customFormat="1" x14ac:dyDescent="0.25">
      <c r="A7516" s="369"/>
      <c r="E7516" s="396"/>
      <c r="F7516" s="396"/>
      <c r="G7516" s="396"/>
      <c r="K7516" s="370"/>
      <c r="N7516" s="370"/>
    </row>
    <row r="7517" spans="1:14" s="347" customFormat="1" x14ac:dyDescent="0.25">
      <c r="A7517" s="369"/>
      <c r="E7517" s="396"/>
      <c r="F7517" s="396"/>
      <c r="G7517" s="396"/>
      <c r="K7517" s="370"/>
      <c r="N7517" s="370"/>
    </row>
    <row r="7518" spans="1:14" s="347" customFormat="1" x14ac:dyDescent="0.25">
      <c r="A7518" s="369"/>
      <c r="E7518" s="396"/>
      <c r="F7518" s="396"/>
      <c r="G7518" s="396"/>
      <c r="K7518" s="370"/>
      <c r="N7518" s="370"/>
    </row>
    <row r="7519" spans="1:14" s="347" customFormat="1" x14ac:dyDescent="0.25">
      <c r="A7519" s="369"/>
      <c r="E7519" s="396"/>
      <c r="F7519" s="396"/>
      <c r="G7519" s="396"/>
      <c r="K7519" s="370"/>
      <c r="N7519" s="370"/>
    </row>
    <row r="7520" spans="1:14" s="347" customFormat="1" x14ac:dyDescent="0.25">
      <c r="A7520" s="369"/>
      <c r="E7520" s="396"/>
      <c r="F7520" s="396"/>
      <c r="G7520" s="396"/>
      <c r="K7520" s="370"/>
      <c r="N7520" s="370"/>
    </row>
    <row r="7521" spans="1:14" s="347" customFormat="1" x14ac:dyDescent="0.25">
      <c r="A7521" s="369"/>
      <c r="E7521" s="396"/>
      <c r="F7521" s="396"/>
      <c r="G7521" s="396"/>
      <c r="K7521" s="370"/>
      <c r="N7521" s="370"/>
    </row>
    <row r="7522" spans="1:14" s="347" customFormat="1" x14ac:dyDescent="0.25">
      <c r="A7522" s="369"/>
      <c r="E7522" s="396"/>
      <c r="F7522" s="396"/>
      <c r="G7522" s="396"/>
      <c r="K7522" s="370"/>
      <c r="N7522" s="370"/>
    </row>
    <row r="7523" spans="1:14" s="347" customFormat="1" x14ac:dyDescent="0.25">
      <c r="A7523" s="369"/>
      <c r="E7523" s="396"/>
      <c r="F7523" s="396"/>
      <c r="G7523" s="396"/>
      <c r="K7523" s="370"/>
      <c r="N7523" s="370"/>
    </row>
    <row r="7524" spans="1:14" s="347" customFormat="1" x14ac:dyDescent="0.25">
      <c r="A7524" s="369"/>
      <c r="E7524" s="396"/>
      <c r="F7524" s="396"/>
      <c r="G7524" s="396"/>
      <c r="K7524" s="370"/>
      <c r="N7524" s="370"/>
    </row>
    <row r="7525" spans="1:14" s="347" customFormat="1" x14ac:dyDescent="0.25">
      <c r="A7525" s="369"/>
      <c r="E7525" s="396"/>
      <c r="F7525" s="396"/>
      <c r="G7525" s="396"/>
      <c r="K7525" s="370"/>
      <c r="N7525" s="370"/>
    </row>
    <row r="7526" spans="1:14" s="347" customFormat="1" x14ac:dyDescent="0.25">
      <c r="A7526" s="369"/>
      <c r="E7526" s="396"/>
      <c r="F7526" s="396"/>
      <c r="G7526" s="396"/>
      <c r="K7526" s="370"/>
      <c r="N7526" s="370"/>
    </row>
    <row r="7527" spans="1:14" s="347" customFormat="1" x14ac:dyDescent="0.25">
      <c r="A7527" s="369"/>
      <c r="E7527" s="396"/>
      <c r="F7527" s="396"/>
      <c r="G7527" s="396"/>
      <c r="K7527" s="370"/>
      <c r="N7527" s="370"/>
    </row>
    <row r="7528" spans="1:14" s="347" customFormat="1" x14ac:dyDescent="0.25">
      <c r="A7528" s="369"/>
      <c r="E7528" s="396"/>
      <c r="F7528" s="396"/>
      <c r="G7528" s="396"/>
      <c r="K7528" s="370"/>
      <c r="N7528" s="370"/>
    </row>
    <row r="7529" spans="1:14" s="347" customFormat="1" x14ac:dyDescent="0.25">
      <c r="A7529" s="369"/>
      <c r="E7529" s="396"/>
      <c r="F7529" s="396"/>
      <c r="G7529" s="396"/>
      <c r="K7529" s="370"/>
      <c r="N7529" s="370"/>
    </row>
    <row r="7530" spans="1:14" s="347" customFormat="1" x14ac:dyDescent="0.25">
      <c r="A7530" s="369"/>
      <c r="E7530" s="396"/>
      <c r="F7530" s="396"/>
      <c r="G7530" s="396"/>
      <c r="K7530" s="370"/>
      <c r="N7530" s="370"/>
    </row>
    <row r="7531" spans="1:14" s="347" customFormat="1" x14ac:dyDescent="0.25">
      <c r="A7531" s="369"/>
      <c r="E7531" s="396"/>
      <c r="F7531" s="396"/>
      <c r="G7531" s="396"/>
      <c r="K7531" s="370"/>
      <c r="N7531" s="370"/>
    </row>
    <row r="7532" spans="1:14" s="347" customFormat="1" x14ac:dyDescent="0.25">
      <c r="A7532" s="369"/>
      <c r="E7532" s="396"/>
      <c r="F7532" s="396"/>
      <c r="G7532" s="396"/>
      <c r="K7532" s="370"/>
      <c r="N7532" s="370"/>
    </row>
    <row r="7533" spans="1:14" s="347" customFormat="1" x14ac:dyDescent="0.25">
      <c r="A7533" s="369"/>
      <c r="E7533" s="396"/>
      <c r="F7533" s="396"/>
      <c r="G7533" s="396"/>
      <c r="K7533" s="370"/>
      <c r="N7533" s="370"/>
    </row>
    <row r="7534" spans="1:14" s="347" customFormat="1" x14ac:dyDescent="0.25">
      <c r="A7534" s="369"/>
      <c r="E7534" s="396"/>
      <c r="F7534" s="396"/>
      <c r="G7534" s="396"/>
      <c r="K7534" s="370"/>
      <c r="N7534" s="370"/>
    </row>
    <row r="7535" spans="1:14" s="347" customFormat="1" x14ac:dyDescent="0.25">
      <c r="A7535" s="369"/>
      <c r="E7535" s="396"/>
      <c r="F7535" s="396"/>
      <c r="G7535" s="396"/>
      <c r="K7535" s="370"/>
      <c r="N7535" s="370"/>
    </row>
    <row r="7536" spans="1:14" s="347" customFormat="1" x14ac:dyDescent="0.25">
      <c r="A7536" s="369"/>
      <c r="E7536" s="396"/>
      <c r="F7536" s="396"/>
      <c r="G7536" s="396"/>
      <c r="K7536" s="370"/>
      <c r="N7536" s="370"/>
    </row>
    <row r="7537" spans="1:14" s="347" customFormat="1" x14ac:dyDescent="0.25">
      <c r="A7537" s="369"/>
      <c r="E7537" s="396"/>
      <c r="F7537" s="396"/>
      <c r="G7537" s="396"/>
      <c r="K7537" s="370"/>
      <c r="N7537" s="370"/>
    </row>
    <row r="7538" spans="1:14" s="347" customFormat="1" x14ac:dyDescent="0.25">
      <c r="A7538" s="369"/>
      <c r="E7538" s="396"/>
      <c r="F7538" s="396"/>
      <c r="G7538" s="396"/>
      <c r="K7538" s="370"/>
      <c r="N7538" s="370"/>
    </row>
    <row r="7539" spans="1:14" s="347" customFormat="1" x14ac:dyDescent="0.25">
      <c r="A7539" s="369"/>
      <c r="E7539" s="396"/>
      <c r="F7539" s="396"/>
      <c r="G7539" s="396"/>
      <c r="K7539" s="370"/>
      <c r="N7539" s="370"/>
    </row>
    <row r="7540" spans="1:14" s="347" customFormat="1" x14ac:dyDescent="0.25">
      <c r="A7540" s="369"/>
      <c r="E7540" s="396"/>
      <c r="F7540" s="396"/>
      <c r="G7540" s="396"/>
      <c r="K7540" s="370"/>
      <c r="N7540" s="370"/>
    </row>
    <row r="7541" spans="1:14" s="347" customFormat="1" x14ac:dyDescent="0.25">
      <c r="A7541" s="369"/>
      <c r="E7541" s="396"/>
      <c r="F7541" s="396"/>
      <c r="G7541" s="396"/>
      <c r="K7541" s="370"/>
      <c r="N7541" s="370"/>
    </row>
    <row r="7542" spans="1:14" s="347" customFormat="1" x14ac:dyDescent="0.25">
      <c r="A7542" s="369"/>
      <c r="E7542" s="396"/>
      <c r="F7542" s="396"/>
      <c r="G7542" s="396"/>
      <c r="K7542" s="370"/>
      <c r="N7542" s="370"/>
    </row>
    <row r="7543" spans="1:14" s="347" customFormat="1" x14ac:dyDescent="0.25">
      <c r="A7543" s="369"/>
      <c r="E7543" s="396"/>
      <c r="F7543" s="396"/>
      <c r="G7543" s="396"/>
      <c r="K7543" s="370"/>
      <c r="N7543" s="370"/>
    </row>
    <row r="7544" spans="1:14" s="347" customFormat="1" x14ac:dyDescent="0.25">
      <c r="A7544" s="369"/>
      <c r="E7544" s="396"/>
      <c r="F7544" s="396"/>
      <c r="G7544" s="396"/>
      <c r="K7544" s="370"/>
      <c r="N7544" s="370"/>
    </row>
    <row r="7545" spans="1:14" s="347" customFormat="1" x14ac:dyDescent="0.25">
      <c r="A7545" s="369"/>
      <c r="E7545" s="396"/>
      <c r="F7545" s="396"/>
      <c r="G7545" s="396"/>
      <c r="K7545" s="370"/>
      <c r="N7545" s="370"/>
    </row>
    <row r="7546" spans="1:14" s="347" customFormat="1" x14ac:dyDescent="0.25">
      <c r="A7546" s="369"/>
      <c r="E7546" s="396"/>
      <c r="F7546" s="396"/>
      <c r="G7546" s="396"/>
      <c r="K7546" s="370"/>
      <c r="N7546" s="370"/>
    </row>
    <row r="7547" spans="1:14" s="347" customFormat="1" x14ac:dyDescent="0.25">
      <c r="A7547" s="369"/>
      <c r="E7547" s="396"/>
      <c r="F7547" s="396"/>
      <c r="G7547" s="396"/>
      <c r="K7547" s="370"/>
      <c r="N7547" s="370"/>
    </row>
    <row r="7548" spans="1:14" s="347" customFormat="1" x14ac:dyDescent="0.25">
      <c r="A7548" s="369"/>
      <c r="E7548" s="396"/>
      <c r="F7548" s="396"/>
      <c r="G7548" s="396"/>
      <c r="K7548" s="370"/>
      <c r="N7548" s="370"/>
    </row>
    <row r="7549" spans="1:14" s="347" customFormat="1" x14ac:dyDescent="0.25">
      <c r="A7549" s="369"/>
      <c r="E7549" s="396"/>
      <c r="F7549" s="396"/>
      <c r="G7549" s="396"/>
      <c r="K7549" s="370"/>
      <c r="N7549" s="370"/>
    </row>
    <row r="7550" spans="1:14" s="347" customFormat="1" x14ac:dyDescent="0.25">
      <c r="A7550" s="369"/>
      <c r="E7550" s="396"/>
      <c r="F7550" s="396"/>
      <c r="G7550" s="396"/>
      <c r="K7550" s="370"/>
      <c r="N7550" s="370"/>
    </row>
    <row r="7551" spans="1:14" s="347" customFormat="1" x14ac:dyDescent="0.25">
      <c r="A7551" s="369"/>
      <c r="E7551" s="396"/>
      <c r="F7551" s="396"/>
      <c r="G7551" s="396"/>
      <c r="K7551" s="370"/>
      <c r="N7551" s="370"/>
    </row>
    <row r="7552" spans="1:14" s="347" customFormat="1" x14ac:dyDescent="0.25">
      <c r="A7552" s="369"/>
      <c r="E7552" s="396"/>
      <c r="F7552" s="396"/>
      <c r="G7552" s="396"/>
      <c r="K7552" s="370"/>
      <c r="N7552" s="370"/>
    </row>
    <row r="7553" spans="1:14" s="347" customFormat="1" x14ac:dyDescent="0.25">
      <c r="A7553" s="369"/>
      <c r="E7553" s="396"/>
      <c r="F7553" s="396"/>
      <c r="G7553" s="396"/>
      <c r="K7553" s="370"/>
      <c r="N7553" s="370"/>
    </row>
    <row r="7554" spans="1:14" s="347" customFormat="1" x14ac:dyDescent="0.25">
      <c r="A7554" s="369"/>
      <c r="E7554" s="396"/>
      <c r="F7554" s="396"/>
      <c r="G7554" s="396"/>
      <c r="K7554" s="370"/>
      <c r="N7554" s="370"/>
    </row>
    <row r="7555" spans="1:14" s="347" customFormat="1" x14ac:dyDescent="0.25">
      <c r="A7555" s="369"/>
      <c r="E7555" s="396"/>
      <c r="F7555" s="396"/>
      <c r="G7555" s="396"/>
      <c r="K7555" s="370"/>
      <c r="N7555" s="370"/>
    </row>
    <row r="7556" spans="1:14" s="347" customFormat="1" x14ac:dyDescent="0.25">
      <c r="A7556" s="369"/>
      <c r="E7556" s="396"/>
      <c r="F7556" s="396"/>
      <c r="G7556" s="396"/>
      <c r="K7556" s="370"/>
      <c r="N7556" s="370"/>
    </row>
    <row r="7557" spans="1:14" s="347" customFormat="1" x14ac:dyDescent="0.25">
      <c r="A7557" s="369"/>
      <c r="E7557" s="396"/>
      <c r="F7557" s="396"/>
      <c r="G7557" s="396"/>
      <c r="K7557" s="370"/>
      <c r="N7557" s="370"/>
    </row>
    <row r="7558" spans="1:14" s="347" customFormat="1" x14ac:dyDescent="0.25">
      <c r="A7558" s="369"/>
      <c r="E7558" s="396"/>
      <c r="F7558" s="396"/>
      <c r="G7558" s="396"/>
      <c r="K7558" s="370"/>
      <c r="N7558" s="370"/>
    </row>
    <row r="7559" spans="1:14" s="347" customFormat="1" x14ac:dyDescent="0.25">
      <c r="A7559" s="369"/>
      <c r="E7559" s="396"/>
      <c r="F7559" s="396"/>
      <c r="G7559" s="396"/>
      <c r="K7559" s="370"/>
      <c r="N7559" s="370"/>
    </row>
    <row r="7560" spans="1:14" s="347" customFormat="1" x14ac:dyDescent="0.25">
      <c r="A7560" s="369"/>
      <c r="E7560" s="396"/>
      <c r="F7560" s="396"/>
      <c r="G7560" s="396"/>
      <c r="K7560" s="370"/>
      <c r="N7560" s="370"/>
    </row>
    <row r="7561" spans="1:14" s="347" customFormat="1" x14ac:dyDescent="0.25">
      <c r="A7561" s="369"/>
      <c r="E7561" s="396"/>
      <c r="F7561" s="396"/>
      <c r="G7561" s="396"/>
      <c r="K7561" s="370"/>
      <c r="N7561" s="370"/>
    </row>
    <row r="7562" spans="1:14" s="347" customFormat="1" x14ac:dyDescent="0.25">
      <c r="A7562" s="369"/>
      <c r="E7562" s="396"/>
      <c r="F7562" s="396"/>
      <c r="G7562" s="396"/>
      <c r="K7562" s="370"/>
      <c r="N7562" s="370"/>
    </row>
    <row r="7563" spans="1:14" s="347" customFormat="1" x14ac:dyDescent="0.25">
      <c r="A7563" s="369"/>
      <c r="E7563" s="396"/>
      <c r="F7563" s="396"/>
      <c r="G7563" s="396"/>
      <c r="K7563" s="370"/>
      <c r="N7563" s="370"/>
    </row>
    <row r="7564" spans="1:14" s="347" customFormat="1" x14ac:dyDescent="0.25">
      <c r="A7564" s="369"/>
      <c r="E7564" s="396"/>
      <c r="F7564" s="396"/>
      <c r="G7564" s="396"/>
      <c r="K7564" s="370"/>
      <c r="N7564" s="370"/>
    </row>
    <row r="7565" spans="1:14" s="347" customFormat="1" x14ac:dyDescent="0.25">
      <c r="A7565" s="369"/>
      <c r="E7565" s="396"/>
      <c r="F7565" s="396"/>
      <c r="G7565" s="396"/>
      <c r="K7565" s="370"/>
      <c r="N7565" s="370"/>
    </row>
    <row r="7566" spans="1:14" s="347" customFormat="1" x14ac:dyDescent="0.25">
      <c r="A7566" s="369"/>
      <c r="E7566" s="396"/>
      <c r="F7566" s="396"/>
      <c r="G7566" s="396"/>
      <c r="K7566" s="370"/>
      <c r="N7566" s="370"/>
    </row>
    <row r="7567" spans="1:14" s="347" customFormat="1" x14ac:dyDescent="0.25">
      <c r="A7567" s="369"/>
      <c r="E7567" s="396"/>
      <c r="F7567" s="396"/>
      <c r="G7567" s="396"/>
      <c r="K7567" s="370"/>
      <c r="N7567" s="370"/>
    </row>
    <row r="7568" spans="1:14" s="347" customFormat="1" x14ac:dyDescent="0.25">
      <c r="A7568" s="369"/>
      <c r="E7568" s="396"/>
      <c r="F7568" s="396"/>
      <c r="G7568" s="396"/>
      <c r="K7568" s="370"/>
      <c r="N7568" s="370"/>
    </row>
    <row r="7569" spans="1:14" s="347" customFormat="1" x14ac:dyDescent="0.25">
      <c r="A7569" s="369"/>
      <c r="E7569" s="396"/>
      <c r="F7569" s="396"/>
      <c r="G7569" s="396"/>
      <c r="K7569" s="370"/>
      <c r="N7569" s="370"/>
    </row>
    <row r="7570" spans="1:14" s="347" customFormat="1" x14ac:dyDescent="0.25">
      <c r="A7570" s="369"/>
      <c r="E7570" s="396"/>
      <c r="F7570" s="396"/>
      <c r="G7570" s="396"/>
      <c r="K7570" s="370"/>
      <c r="N7570" s="370"/>
    </row>
    <row r="7571" spans="1:14" s="347" customFormat="1" x14ac:dyDescent="0.25">
      <c r="A7571" s="369"/>
      <c r="E7571" s="396"/>
      <c r="F7571" s="396"/>
      <c r="G7571" s="396"/>
      <c r="K7571" s="370"/>
      <c r="N7571" s="370"/>
    </row>
    <row r="7572" spans="1:14" s="347" customFormat="1" x14ac:dyDescent="0.25">
      <c r="A7572" s="369"/>
      <c r="E7572" s="396"/>
      <c r="F7572" s="396"/>
      <c r="G7572" s="396"/>
      <c r="K7572" s="370"/>
      <c r="N7572" s="370"/>
    </row>
    <row r="7573" spans="1:14" s="347" customFormat="1" x14ac:dyDescent="0.25">
      <c r="A7573" s="369"/>
      <c r="E7573" s="396"/>
      <c r="F7573" s="396"/>
      <c r="G7573" s="396"/>
      <c r="K7573" s="370"/>
      <c r="N7573" s="370"/>
    </row>
    <row r="7574" spans="1:14" s="347" customFormat="1" x14ac:dyDescent="0.25">
      <c r="A7574" s="369"/>
      <c r="E7574" s="396"/>
      <c r="F7574" s="396"/>
      <c r="G7574" s="396"/>
      <c r="K7574" s="370"/>
      <c r="N7574" s="370"/>
    </row>
    <row r="7575" spans="1:14" s="347" customFormat="1" x14ac:dyDescent="0.25">
      <c r="A7575" s="369"/>
      <c r="E7575" s="396"/>
      <c r="F7575" s="396"/>
      <c r="G7575" s="396"/>
      <c r="K7575" s="370"/>
      <c r="N7575" s="370"/>
    </row>
    <row r="7576" spans="1:14" s="347" customFormat="1" x14ac:dyDescent="0.25">
      <c r="A7576" s="369"/>
      <c r="E7576" s="396"/>
      <c r="F7576" s="396"/>
      <c r="G7576" s="396"/>
      <c r="K7576" s="370"/>
      <c r="N7576" s="370"/>
    </row>
    <row r="7577" spans="1:14" s="347" customFormat="1" x14ac:dyDescent="0.25">
      <c r="A7577" s="369"/>
      <c r="E7577" s="396"/>
      <c r="F7577" s="396"/>
      <c r="G7577" s="396"/>
      <c r="K7577" s="370"/>
      <c r="N7577" s="370"/>
    </row>
    <row r="7578" spans="1:14" s="347" customFormat="1" x14ac:dyDescent="0.25">
      <c r="A7578" s="369"/>
      <c r="E7578" s="396"/>
      <c r="F7578" s="396"/>
      <c r="G7578" s="396"/>
      <c r="K7578" s="370"/>
      <c r="N7578" s="370"/>
    </row>
    <row r="7579" spans="1:14" s="347" customFormat="1" x14ac:dyDescent="0.25">
      <c r="A7579" s="369"/>
      <c r="E7579" s="396"/>
      <c r="F7579" s="396"/>
      <c r="G7579" s="396"/>
      <c r="K7579" s="370"/>
      <c r="N7579" s="370"/>
    </row>
    <row r="7580" spans="1:14" s="347" customFormat="1" x14ac:dyDescent="0.25">
      <c r="A7580" s="369"/>
      <c r="E7580" s="396"/>
      <c r="F7580" s="396"/>
      <c r="G7580" s="396"/>
      <c r="K7580" s="370"/>
      <c r="N7580" s="370"/>
    </row>
    <row r="7581" spans="1:14" s="347" customFormat="1" x14ac:dyDescent="0.25">
      <c r="A7581" s="369"/>
      <c r="E7581" s="396"/>
      <c r="F7581" s="396"/>
      <c r="G7581" s="396"/>
      <c r="K7581" s="370"/>
      <c r="N7581" s="370"/>
    </row>
    <row r="7582" spans="1:14" s="347" customFormat="1" x14ac:dyDescent="0.25">
      <c r="A7582" s="369"/>
      <c r="E7582" s="396"/>
      <c r="F7582" s="396"/>
      <c r="G7582" s="396"/>
      <c r="K7582" s="370"/>
      <c r="N7582" s="370"/>
    </row>
    <row r="7583" spans="1:14" s="347" customFormat="1" x14ac:dyDescent="0.25">
      <c r="A7583" s="369"/>
      <c r="E7583" s="396"/>
      <c r="F7583" s="396"/>
      <c r="G7583" s="396"/>
      <c r="K7583" s="370"/>
      <c r="N7583" s="370"/>
    </row>
    <row r="7584" spans="1:14" s="347" customFormat="1" x14ac:dyDescent="0.25">
      <c r="A7584" s="369"/>
      <c r="E7584" s="396"/>
      <c r="F7584" s="396"/>
      <c r="G7584" s="396"/>
      <c r="K7584" s="370"/>
      <c r="N7584" s="370"/>
    </row>
    <row r="7585" spans="1:14" s="347" customFormat="1" x14ac:dyDescent="0.25">
      <c r="A7585" s="369"/>
      <c r="E7585" s="396"/>
      <c r="F7585" s="396"/>
      <c r="G7585" s="396"/>
      <c r="K7585" s="370"/>
      <c r="N7585" s="370"/>
    </row>
    <row r="7586" spans="1:14" s="347" customFormat="1" x14ac:dyDescent="0.25">
      <c r="A7586" s="369"/>
      <c r="E7586" s="396"/>
      <c r="F7586" s="396"/>
      <c r="G7586" s="396"/>
      <c r="K7586" s="370"/>
      <c r="N7586" s="370"/>
    </row>
    <row r="7587" spans="1:14" s="347" customFormat="1" x14ac:dyDescent="0.25">
      <c r="A7587" s="369"/>
      <c r="E7587" s="396"/>
      <c r="F7587" s="396"/>
      <c r="G7587" s="396"/>
      <c r="K7587" s="370"/>
      <c r="N7587" s="370"/>
    </row>
    <row r="7588" spans="1:14" s="347" customFormat="1" x14ac:dyDescent="0.25">
      <c r="A7588" s="369"/>
      <c r="E7588" s="396"/>
      <c r="F7588" s="396"/>
      <c r="G7588" s="396"/>
      <c r="K7588" s="370"/>
      <c r="N7588" s="370"/>
    </row>
    <row r="7589" spans="1:14" s="347" customFormat="1" x14ac:dyDescent="0.25">
      <c r="A7589" s="369"/>
      <c r="E7589" s="396"/>
      <c r="F7589" s="396"/>
      <c r="G7589" s="396"/>
      <c r="K7589" s="370"/>
      <c r="N7589" s="370"/>
    </row>
    <row r="7590" spans="1:14" s="347" customFormat="1" x14ac:dyDescent="0.25">
      <c r="A7590" s="369"/>
      <c r="E7590" s="396"/>
      <c r="F7590" s="396"/>
      <c r="G7590" s="396"/>
      <c r="K7590" s="370"/>
      <c r="N7590" s="370"/>
    </row>
    <row r="7591" spans="1:14" s="347" customFormat="1" x14ac:dyDescent="0.25">
      <c r="A7591" s="369"/>
      <c r="E7591" s="396"/>
      <c r="F7591" s="396"/>
      <c r="G7591" s="396"/>
      <c r="K7591" s="370"/>
      <c r="N7591" s="370"/>
    </row>
    <row r="7592" spans="1:14" s="347" customFormat="1" x14ac:dyDescent="0.25">
      <c r="A7592" s="369"/>
      <c r="E7592" s="396"/>
      <c r="F7592" s="396"/>
      <c r="G7592" s="396"/>
      <c r="K7592" s="370"/>
      <c r="N7592" s="370"/>
    </row>
    <row r="7593" spans="1:14" s="347" customFormat="1" x14ac:dyDescent="0.25">
      <c r="A7593" s="369"/>
      <c r="E7593" s="396"/>
      <c r="F7593" s="396"/>
      <c r="G7593" s="396"/>
      <c r="K7593" s="370"/>
      <c r="N7593" s="370"/>
    </row>
    <row r="7594" spans="1:14" s="347" customFormat="1" x14ac:dyDescent="0.25">
      <c r="A7594" s="369"/>
      <c r="E7594" s="396"/>
      <c r="F7594" s="396"/>
      <c r="G7594" s="396"/>
      <c r="K7594" s="370"/>
      <c r="N7594" s="370"/>
    </row>
    <row r="7595" spans="1:14" s="347" customFormat="1" x14ac:dyDescent="0.25">
      <c r="A7595" s="369"/>
      <c r="E7595" s="396"/>
      <c r="F7595" s="396"/>
      <c r="G7595" s="396"/>
      <c r="K7595" s="370"/>
      <c r="N7595" s="370"/>
    </row>
    <row r="7596" spans="1:14" s="347" customFormat="1" x14ac:dyDescent="0.25">
      <c r="A7596" s="369"/>
      <c r="E7596" s="396"/>
      <c r="F7596" s="396"/>
      <c r="G7596" s="396"/>
      <c r="K7596" s="370"/>
      <c r="N7596" s="370"/>
    </row>
    <row r="7597" spans="1:14" s="347" customFormat="1" x14ac:dyDescent="0.25">
      <c r="A7597" s="369"/>
      <c r="E7597" s="396"/>
      <c r="F7597" s="396"/>
      <c r="G7597" s="396"/>
      <c r="K7597" s="370"/>
      <c r="N7597" s="370"/>
    </row>
    <row r="7598" spans="1:14" s="347" customFormat="1" x14ac:dyDescent="0.25">
      <c r="A7598" s="369"/>
      <c r="E7598" s="396"/>
      <c r="F7598" s="396"/>
      <c r="G7598" s="396"/>
      <c r="K7598" s="370"/>
      <c r="N7598" s="370"/>
    </row>
    <row r="7599" spans="1:14" s="347" customFormat="1" x14ac:dyDescent="0.25">
      <c r="A7599" s="369"/>
      <c r="E7599" s="396"/>
      <c r="F7599" s="396"/>
      <c r="G7599" s="396"/>
      <c r="K7599" s="370"/>
      <c r="N7599" s="370"/>
    </row>
    <row r="7600" spans="1:14" s="347" customFormat="1" x14ac:dyDescent="0.25">
      <c r="A7600" s="369"/>
      <c r="E7600" s="396"/>
      <c r="F7600" s="396"/>
      <c r="G7600" s="396"/>
      <c r="K7600" s="370"/>
      <c r="N7600" s="370"/>
    </row>
    <row r="7601" spans="1:14" s="347" customFormat="1" x14ac:dyDescent="0.25">
      <c r="A7601" s="369"/>
      <c r="E7601" s="396"/>
      <c r="F7601" s="396"/>
      <c r="G7601" s="396"/>
      <c r="K7601" s="370"/>
      <c r="N7601" s="370"/>
    </row>
    <row r="7602" spans="1:14" s="347" customFormat="1" x14ac:dyDescent="0.25">
      <c r="A7602" s="369"/>
      <c r="E7602" s="396"/>
      <c r="F7602" s="396"/>
      <c r="G7602" s="396"/>
      <c r="K7602" s="370"/>
      <c r="N7602" s="370"/>
    </row>
    <row r="7603" spans="1:14" s="347" customFormat="1" x14ac:dyDescent="0.25">
      <c r="A7603" s="369"/>
      <c r="E7603" s="396"/>
      <c r="F7603" s="396"/>
      <c r="G7603" s="396"/>
      <c r="K7603" s="370"/>
      <c r="N7603" s="370"/>
    </row>
    <row r="7604" spans="1:14" s="347" customFormat="1" x14ac:dyDescent="0.25">
      <c r="A7604" s="369"/>
      <c r="E7604" s="396"/>
      <c r="F7604" s="396"/>
      <c r="G7604" s="396"/>
      <c r="K7604" s="370"/>
      <c r="N7604" s="370"/>
    </row>
    <row r="7605" spans="1:14" s="347" customFormat="1" x14ac:dyDescent="0.25">
      <c r="A7605" s="369"/>
      <c r="E7605" s="396"/>
      <c r="F7605" s="396"/>
      <c r="G7605" s="396"/>
      <c r="K7605" s="370"/>
      <c r="N7605" s="370"/>
    </row>
    <row r="7606" spans="1:14" s="347" customFormat="1" x14ac:dyDescent="0.25">
      <c r="A7606" s="369"/>
      <c r="E7606" s="396"/>
      <c r="F7606" s="396"/>
      <c r="G7606" s="396"/>
      <c r="K7606" s="370"/>
      <c r="N7606" s="370"/>
    </row>
    <row r="7607" spans="1:14" s="347" customFormat="1" x14ac:dyDescent="0.25">
      <c r="A7607" s="369"/>
      <c r="E7607" s="396"/>
      <c r="F7607" s="396"/>
      <c r="G7607" s="396"/>
      <c r="K7607" s="370"/>
      <c r="N7607" s="370"/>
    </row>
    <row r="7608" spans="1:14" s="347" customFormat="1" x14ac:dyDescent="0.25">
      <c r="A7608" s="369"/>
      <c r="E7608" s="396"/>
      <c r="F7608" s="396"/>
      <c r="G7608" s="396"/>
      <c r="K7608" s="370"/>
      <c r="N7608" s="370"/>
    </row>
    <row r="7609" spans="1:14" s="347" customFormat="1" x14ac:dyDescent="0.25">
      <c r="A7609" s="369"/>
      <c r="E7609" s="396"/>
      <c r="F7609" s="396"/>
      <c r="G7609" s="396"/>
      <c r="K7609" s="370"/>
      <c r="N7609" s="370"/>
    </row>
    <row r="7610" spans="1:14" s="347" customFormat="1" x14ac:dyDescent="0.25">
      <c r="A7610" s="369"/>
      <c r="E7610" s="396"/>
      <c r="F7610" s="396"/>
      <c r="G7610" s="396"/>
      <c r="K7610" s="370"/>
      <c r="N7610" s="370"/>
    </row>
    <row r="7611" spans="1:14" s="347" customFormat="1" x14ac:dyDescent="0.25">
      <c r="A7611" s="369"/>
      <c r="E7611" s="396"/>
      <c r="F7611" s="396"/>
      <c r="G7611" s="396"/>
      <c r="K7611" s="370"/>
      <c r="N7611" s="370"/>
    </row>
    <row r="7612" spans="1:14" s="347" customFormat="1" x14ac:dyDescent="0.25">
      <c r="A7612" s="369"/>
      <c r="E7612" s="396"/>
      <c r="F7612" s="396"/>
      <c r="G7612" s="396"/>
      <c r="K7612" s="370"/>
      <c r="N7612" s="370"/>
    </row>
    <row r="7613" spans="1:14" s="347" customFormat="1" x14ac:dyDescent="0.25">
      <c r="A7613" s="369"/>
      <c r="E7613" s="396"/>
      <c r="F7613" s="396"/>
      <c r="G7613" s="396"/>
      <c r="K7613" s="370"/>
      <c r="N7613" s="370"/>
    </row>
    <row r="7614" spans="1:14" s="347" customFormat="1" x14ac:dyDescent="0.25">
      <c r="A7614" s="369"/>
      <c r="E7614" s="396"/>
      <c r="F7614" s="396"/>
      <c r="G7614" s="396"/>
      <c r="K7614" s="370"/>
      <c r="N7614" s="370"/>
    </row>
    <row r="7615" spans="1:14" s="347" customFormat="1" x14ac:dyDescent="0.25">
      <c r="A7615" s="369"/>
      <c r="E7615" s="396"/>
      <c r="F7615" s="396"/>
      <c r="G7615" s="396"/>
      <c r="K7615" s="370"/>
      <c r="N7615" s="370"/>
    </row>
    <row r="7616" spans="1:14" s="347" customFormat="1" x14ac:dyDescent="0.25">
      <c r="A7616" s="369"/>
      <c r="E7616" s="396"/>
      <c r="F7616" s="396"/>
      <c r="G7616" s="396"/>
      <c r="K7616" s="370"/>
      <c r="N7616" s="370"/>
    </row>
    <row r="7617" spans="1:14" s="347" customFormat="1" x14ac:dyDescent="0.25">
      <c r="A7617" s="369"/>
      <c r="E7617" s="396"/>
      <c r="F7617" s="396"/>
      <c r="G7617" s="396"/>
      <c r="K7617" s="370"/>
      <c r="N7617" s="370"/>
    </row>
    <row r="7618" spans="1:14" s="347" customFormat="1" x14ac:dyDescent="0.25">
      <c r="A7618" s="369"/>
      <c r="E7618" s="396"/>
      <c r="F7618" s="396"/>
      <c r="G7618" s="396"/>
      <c r="K7618" s="370"/>
      <c r="N7618" s="370"/>
    </row>
    <row r="7619" spans="1:14" s="347" customFormat="1" x14ac:dyDescent="0.25">
      <c r="A7619" s="369"/>
      <c r="E7619" s="396"/>
      <c r="F7619" s="396"/>
      <c r="G7619" s="396"/>
      <c r="K7619" s="370"/>
      <c r="N7619" s="370"/>
    </row>
    <row r="7620" spans="1:14" s="347" customFormat="1" x14ac:dyDescent="0.25">
      <c r="A7620" s="369"/>
      <c r="E7620" s="396"/>
      <c r="F7620" s="396"/>
      <c r="G7620" s="396"/>
      <c r="K7620" s="370"/>
      <c r="N7620" s="370"/>
    </row>
    <row r="7621" spans="1:14" s="347" customFormat="1" x14ac:dyDescent="0.25">
      <c r="A7621" s="369"/>
      <c r="E7621" s="396"/>
      <c r="F7621" s="396"/>
      <c r="G7621" s="396"/>
      <c r="K7621" s="370"/>
      <c r="N7621" s="370"/>
    </row>
    <row r="7622" spans="1:14" s="347" customFormat="1" x14ac:dyDescent="0.25">
      <c r="A7622" s="369"/>
      <c r="E7622" s="396"/>
      <c r="F7622" s="396"/>
      <c r="G7622" s="396"/>
      <c r="K7622" s="370"/>
      <c r="N7622" s="370"/>
    </row>
    <row r="7623" spans="1:14" s="347" customFormat="1" x14ac:dyDescent="0.25">
      <c r="A7623" s="369"/>
      <c r="E7623" s="396"/>
      <c r="F7623" s="396"/>
      <c r="G7623" s="396"/>
      <c r="K7623" s="370"/>
      <c r="N7623" s="370"/>
    </row>
    <row r="7624" spans="1:14" s="347" customFormat="1" x14ac:dyDescent="0.25">
      <c r="A7624" s="369"/>
      <c r="E7624" s="396"/>
      <c r="F7624" s="396"/>
      <c r="G7624" s="396"/>
      <c r="K7624" s="370"/>
      <c r="N7624" s="370"/>
    </row>
    <row r="7625" spans="1:14" s="347" customFormat="1" x14ac:dyDescent="0.25">
      <c r="A7625" s="369"/>
      <c r="E7625" s="396"/>
      <c r="F7625" s="396"/>
      <c r="G7625" s="396"/>
      <c r="K7625" s="370"/>
      <c r="N7625" s="370"/>
    </row>
    <row r="7626" spans="1:14" s="347" customFormat="1" x14ac:dyDescent="0.25">
      <c r="A7626" s="369"/>
      <c r="E7626" s="396"/>
      <c r="F7626" s="396"/>
      <c r="G7626" s="396"/>
      <c r="K7626" s="370"/>
      <c r="N7626" s="370"/>
    </row>
    <row r="7627" spans="1:14" s="347" customFormat="1" x14ac:dyDescent="0.25">
      <c r="A7627" s="369"/>
      <c r="E7627" s="396"/>
      <c r="F7627" s="396"/>
      <c r="G7627" s="396"/>
      <c r="K7627" s="370"/>
      <c r="N7627" s="370"/>
    </row>
    <row r="7628" spans="1:14" s="347" customFormat="1" x14ac:dyDescent="0.25">
      <c r="A7628" s="369"/>
      <c r="E7628" s="396"/>
      <c r="F7628" s="396"/>
      <c r="G7628" s="396"/>
      <c r="K7628" s="370"/>
      <c r="N7628" s="370"/>
    </row>
    <row r="7629" spans="1:14" s="347" customFormat="1" x14ac:dyDescent="0.25">
      <c r="A7629" s="369"/>
      <c r="E7629" s="396"/>
      <c r="F7629" s="396"/>
      <c r="G7629" s="396"/>
      <c r="K7629" s="370"/>
      <c r="N7629" s="370"/>
    </row>
    <row r="7630" spans="1:14" s="347" customFormat="1" x14ac:dyDescent="0.25">
      <c r="A7630" s="369"/>
      <c r="E7630" s="396"/>
      <c r="F7630" s="396"/>
      <c r="G7630" s="396"/>
      <c r="K7630" s="370"/>
      <c r="N7630" s="370"/>
    </row>
    <row r="7631" spans="1:14" s="347" customFormat="1" x14ac:dyDescent="0.25">
      <c r="A7631" s="369"/>
      <c r="E7631" s="396"/>
      <c r="F7631" s="396"/>
      <c r="G7631" s="396"/>
      <c r="K7631" s="370"/>
      <c r="N7631" s="370"/>
    </row>
    <row r="7632" spans="1:14" s="347" customFormat="1" x14ac:dyDescent="0.25">
      <c r="A7632" s="369"/>
      <c r="E7632" s="396"/>
      <c r="F7632" s="396"/>
      <c r="G7632" s="396"/>
      <c r="K7632" s="370"/>
      <c r="N7632" s="370"/>
    </row>
    <row r="7633" spans="1:14" s="347" customFormat="1" x14ac:dyDescent="0.25">
      <c r="A7633" s="369"/>
      <c r="E7633" s="396"/>
      <c r="F7633" s="396"/>
      <c r="G7633" s="396"/>
      <c r="K7633" s="370"/>
      <c r="N7633" s="370"/>
    </row>
    <row r="7634" spans="1:14" s="347" customFormat="1" x14ac:dyDescent="0.25">
      <c r="A7634" s="369"/>
      <c r="E7634" s="396"/>
      <c r="F7634" s="396"/>
      <c r="G7634" s="396"/>
      <c r="K7634" s="370"/>
      <c r="N7634" s="370"/>
    </row>
    <row r="7635" spans="1:14" s="347" customFormat="1" x14ac:dyDescent="0.25">
      <c r="A7635" s="369"/>
      <c r="E7635" s="396"/>
      <c r="F7635" s="396"/>
      <c r="G7635" s="396"/>
      <c r="K7635" s="370"/>
      <c r="N7635" s="370"/>
    </row>
    <row r="7636" spans="1:14" s="347" customFormat="1" x14ac:dyDescent="0.25">
      <c r="A7636" s="369"/>
      <c r="E7636" s="396"/>
      <c r="F7636" s="396"/>
      <c r="G7636" s="396"/>
      <c r="K7636" s="370"/>
      <c r="N7636" s="370"/>
    </row>
    <row r="7637" spans="1:14" s="347" customFormat="1" x14ac:dyDescent="0.25">
      <c r="A7637" s="369"/>
      <c r="E7637" s="396"/>
      <c r="F7637" s="396"/>
      <c r="G7637" s="396"/>
      <c r="K7637" s="370"/>
      <c r="N7637" s="370"/>
    </row>
    <row r="7638" spans="1:14" s="347" customFormat="1" x14ac:dyDescent="0.25">
      <c r="A7638" s="369"/>
      <c r="E7638" s="396"/>
      <c r="F7638" s="396"/>
      <c r="G7638" s="396"/>
      <c r="K7638" s="370"/>
      <c r="N7638" s="370"/>
    </row>
    <row r="7639" spans="1:14" s="347" customFormat="1" x14ac:dyDescent="0.25">
      <c r="A7639" s="369"/>
      <c r="E7639" s="396"/>
      <c r="F7639" s="396"/>
      <c r="G7639" s="396"/>
      <c r="K7639" s="370"/>
      <c r="N7639" s="370"/>
    </row>
    <row r="7640" spans="1:14" s="347" customFormat="1" x14ac:dyDescent="0.25">
      <c r="A7640" s="369"/>
      <c r="E7640" s="396"/>
      <c r="F7640" s="396"/>
      <c r="G7640" s="396"/>
      <c r="K7640" s="370"/>
      <c r="N7640" s="370"/>
    </row>
    <row r="7641" spans="1:14" s="347" customFormat="1" x14ac:dyDescent="0.25">
      <c r="A7641" s="369"/>
      <c r="E7641" s="396"/>
      <c r="F7641" s="396"/>
      <c r="G7641" s="396"/>
      <c r="K7641" s="370"/>
      <c r="N7641" s="370"/>
    </row>
    <row r="7642" spans="1:14" s="347" customFormat="1" x14ac:dyDescent="0.25">
      <c r="A7642" s="369"/>
      <c r="E7642" s="396"/>
      <c r="F7642" s="396"/>
      <c r="G7642" s="396"/>
      <c r="K7642" s="370"/>
      <c r="N7642" s="370"/>
    </row>
    <row r="7643" spans="1:14" s="347" customFormat="1" x14ac:dyDescent="0.25">
      <c r="A7643" s="369"/>
      <c r="E7643" s="396"/>
      <c r="F7643" s="396"/>
      <c r="G7643" s="396"/>
      <c r="K7643" s="370"/>
      <c r="N7643" s="370"/>
    </row>
    <row r="7644" spans="1:14" s="347" customFormat="1" x14ac:dyDescent="0.25">
      <c r="A7644" s="369"/>
      <c r="E7644" s="396"/>
      <c r="F7644" s="396"/>
      <c r="G7644" s="396"/>
      <c r="K7644" s="370"/>
      <c r="N7644" s="370"/>
    </row>
    <row r="7645" spans="1:14" s="347" customFormat="1" x14ac:dyDescent="0.25">
      <c r="A7645" s="369"/>
      <c r="E7645" s="396"/>
      <c r="F7645" s="396"/>
      <c r="G7645" s="396"/>
      <c r="K7645" s="370"/>
      <c r="N7645" s="370"/>
    </row>
    <row r="7646" spans="1:14" s="347" customFormat="1" x14ac:dyDescent="0.25">
      <c r="A7646" s="369"/>
      <c r="E7646" s="396"/>
      <c r="F7646" s="396"/>
      <c r="G7646" s="396"/>
      <c r="K7646" s="370"/>
      <c r="N7646" s="370"/>
    </row>
    <row r="7647" spans="1:14" s="347" customFormat="1" x14ac:dyDescent="0.25">
      <c r="A7647" s="369"/>
      <c r="E7647" s="396"/>
      <c r="F7647" s="396"/>
      <c r="G7647" s="396"/>
      <c r="K7647" s="370"/>
      <c r="N7647" s="370"/>
    </row>
    <row r="7648" spans="1:14" s="347" customFormat="1" x14ac:dyDescent="0.25">
      <c r="A7648" s="369"/>
      <c r="E7648" s="396"/>
      <c r="F7648" s="396"/>
      <c r="G7648" s="396"/>
      <c r="K7648" s="370"/>
      <c r="N7648" s="370"/>
    </row>
    <row r="7649" spans="1:14" s="347" customFormat="1" x14ac:dyDescent="0.25">
      <c r="A7649" s="369"/>
      <c r="E7649" s="396"/>
      <c r="F7649" s="396"/>
      <c r="G7649" s="396"/>
      <c r="K7649" s="370"/>
      <c r="N7649" s="370"/>
    </row>
    <row r="7650" spans="1:14" s="347" customFormat="1" x14ac:dyDescent="0.25">
      <c r="A7650" s="369"/>
      <c r="E7650" s="396"/>
      <c r="F7650" s="396"/>
      <c r="G7650" s="396"/>
      <c r="K7650" s="370"/>
      <c r="N7650" s="370"/>
    </row>
    <row r="7651" spans="1:14" s="347" customFormat="1" x14ac:dyDescent="0.25">
      <c r="A7651" s="369"/>
      <c r="E7651" s="396"/>
      <c r="F7651" s="396"/>
      <c r="G7651" s="396"/>
      <c r="K7651" s="370"/>
      <c r="N7651" s="370"/>
    </row>
    <row r="7652" spans="1:14" s="347" customFormat="1" x14ac:dyDescent="0.25">
      <c r="A7652" s="369"/>
      <c r="E7652" s="396"/>
      <c r="F7652" s="396"/>
      <c r="G7652" s="396"/>
      <c r="K7652" s="370"/>
      <c r="N7652" s="370"/>
    </row>
    <row r="7653" spans="1:14" s="347" customFormat="1" x14ac:dyDescent="0.25">
      <c r="A7653" s="369"/>
      <c r="E7653" s="396"/>
      <c r="F7653" s="396"/>
      <c r="G7653" s="396"/>
      <c r="K7653" s="370"/>
      <c r="N7653" s="370"/>
    </row>
    <row r="7654" spans="1:14" s="347" customFormat="1" x14ac:dyDescent="0.25">
      <c r="A7654" s="369"/>
      <c r="E7654" s="396"/>
      <c r="F7654" s="396"/>
      <c r="G7654" s="396"/>
      <c r="K7654" s="370"/>
      <c r="N7654" s="370"/>
    </row>
    <row r="7655" spans="1:14" s="347" customFormat="1" x14ac:dyDescent="0.25">
      <c r="A7655" s="369"/>
      <c r="E7655" s="396"/>
      <c r="F7655" s="396"/>
      <c r="G7655" s="396"/>
      <c r="K7655" s="370"/>
      <c r="N7655" s="370"/>
    </row>
    <row r="7656" spans="1:14" s="347" customFormat="1" x14ac:dyDescent="0.25">
      <c r="A7656" s="369"/>
      <c r="E7656" s="396"/>
      <c r="F7656" s="396"/>
      <c r="G7656" s="396"/>
      <c r="K7656" s="370"/>
      <c r="N7656" s="370"/>
    </row>
    <row r="7657" spans="1:14" s="347" customFormat="1" x14ac:dyDescent="0.25">
      <c r="A7657" s="369"/>
      <c r="E7657" s="396"/>
      <c r="F7657" s="396"/>
      <c r="G7657" s="396"/>
      <c r="K7657" s="370"/>
      <c r="N7657" s="370"/>
    </row>
    <row r="7658" spans="1:14" s="347" customFormat="1" x14ac:dyDescent="0.25">
      <c r="A7658" s="369"/>
      <c r="E7658" s="396"/>
      <c r="F7658" s="396"/>
      <c r="G7658" s="396"/>
      <c r="K7658" s="370"/>
      <c r="N7658" s="370"/>
    </row>
    <row r="7659" spans="1:14" s="347" customFormat="1" x14ac:dyDescent="0.25">
      <c r="A7659" s="369"/>
      <c r="E7659" s="396"/>
      <c r="F7659" s="396"/>
      <c r="G7659" s="396"/>
      <c r="K7659" s="370"/>
      <c r="N7659" s="370"/>
    </row>
    <row r="7660" spans="1:14" s="347" customFormat="1" x14ac:dyDescent="0.25">
      <c r="A7660" s="369"/>
      <c r="E7660" s="396"/>
      <c r="F7660" s="396"/>
      <c r="G7660" s="396"/>
      <c r="K7660" s="370"/>
      <c r="N7660" s="370"/>
    </row>
    <row r="7661" spans="1:14" s="347" customFormat="1" x14ac:dyDescent="0.25">
      <c r="A7661" s="369"/>
      <c r="E7661" s="396"/>
      <c r="F7661" s="396"/>
      <c r="G7661" s="396"/>
      <c r="K7661" s="370"/>
      <c r="N7661" s="370"/>
    </row>
    <row r="7662" spans="1:14" s="347" customFormat="1" x14ac:dyDescent="0.25">
      <c r="A7662" s="369"/>
      <c r="E7662" s="396"/>
      <c r="F7662" s="396"/>
      <c r="G7662" s="396"/>
      <c r="K7662" s="370"/>
      <c r="N7662" s="370"/>
    </row>
    <row r="7663" spans="1:14" s="347" customFormat="1" x14ac:dyDescent="0.25">
      <c r="A7663" s="369"/>
      <c r="E7663" s="396"/>
      <c r="F7663" s="396"/>
      <c r="G7663" s="396"/>
      <c r="K7663" s="370"/>
      <c r="N7663" s="370"/>
    </row>
    <row r="7664" spans="1:14" s="347" customFormat="1" x14ac:dyDescent="0.25">
      <c r="A7664" s="369"/>
      <c r="E7664" s="396"/>
      <c r="F7664" s="396"/>
      <c r="G7664" s="396"/>
      <c r="K7664" s="370"/>
      <c r="N7664" s="370"/>
    </row>
    <row r="7665" spans="1:14" s="347" customFormat="1" x14ac:dyDescent="0.25">
      <c r="A7665" s="369"/>
      <c r="E7665" s="396"/>
      <c r="F7665" s="396"/>
      <c r="G7665" s="396"/>
      <c r="K7665" s="370"/>
      <c r="N7665" s="370"/>
    </row>
    <row r="7666" spans="1:14" s="347" customFormat="1" x14ac:dyDescent="0.25">
      <c r="A7666" s="369"/>
      <c r="E7666" s="396"/>
      <c r="F7666" s="396"/>
      <c r="G7666" s="396"/>
      <c r="K7666" s="370"/>
      <c r="N7666" s="370"/>
    </row>
    <row r="7667" spans="1:14" s="347" customFormat="1" x14ac:dyDescent="0.25">
      <c r="A7667" s="369"/>
      <c r="E7667" s="396"/>
      <c r="F7667" s="396"/>
      <c r="G7667" s="396"/>
      <c r="K7667" s="370"/>
      <c r="N7667" s="370"/>
    </row>
    <row r="7668" spans="1:14" s="347" customFormat="1" x14ac:dyDescent="0.25">
      <c r="A7668" s="369"/>
      <c r="E7668" s="396"/>
      <c r="F7668" s="396"/>
      <c r="G7668" s="396"/>
      <c r="K7668" s="370"/>
      <c r="N7668" s="370"/>
    </row>
    <row r="7669" spans="1:14" s="347" customFormat="1" x14ac:dyDescent="0.25">
      <c r="A7669" s="369"/>
      <c r="E7669" s="396"/>
      <c r="F7669" s="396"/>
      <c r="G7669" s="396"/>
      <c r="K7669" s="370"/>
      <c r="N7669" s="370"/>
    </row>
    <row r="7670" spans="1:14" s="347" customFormat="1" x14ac:dyDescent="0.25">
      <c r="A7670" s="369"/>
      <c r="E7670" s="396"/>
      <c r="F7670" s="396"/>
      <c r="G7670" s="396"/>
      <c r="K7670" s="370"/>
      <c r="N7670" s="370"/>
    </row>
    <row r="7671" spans="1:14" s="347" customFormat="1" x14ac:dyDescent="0.25">
      <c r="A7671" s="369"/>
      <c r="E7671" s="396"/>
      <c r="F7671" s="396"/>
      <c r="G7671" s="396"/>
      <c r="K7671" s="370"/>
      <c r="N7671" s="370"/>
    </row>
    <row r="7672" spans="1:14" s="347" customFormat="1" x14ac:dyDescent="0.25">
      <c r="A7672" s="369"/>
      <c r="E7672" s="396"/>
      <c r="F7672" s="396"/>
      <c r="G7672" s="396"/>
      <c r="K7672" s="370"/>
      <c r="N7672" s="370"/>
    </row>
    <row r="7673" spans="1:14" s="347" customFormat="1" x14ac:dyDescent="0.25">
      <c r="A7673" s="369"/>
      <c r="E7673" s="396"/>
      <c r="F7673" s="396"/>
      <c r="G7673" s="396"/>
      <c r="K7673" s="370"/>
      <c r="N7673" s="370"/>
    </row>
    <row r="7674" spans="1:14" s="347" customFormat="1" x14ac:dyDescent="0.25">
      <c r="A7674" s="369"/>
      <c r="E7674" s="396"/>
      <c r="F7674" s="396"/>
      <c r="G7674" s="396"/>
      <c r="K7674" s="370"/>
      <c r="N7674" s="370"/>
    </row>
    <row r="7675" spans="1:14" s="347" customFormat="1" x14ac:dyDescent="0.25">
      <c r="A7675" s="369"/>
      <c r="E7675" s="396"/>
      <c r="F7675" s="396"/>
      <c r="G7675" s="396"/>
      <c r="K7675" s="370"/>
      <c r="N7675" s="370"/>
    </row>
    <row r="7676" spans="1:14" s="347" customFormat="1" x14ac:dyDescent="0.25">
      <c r="A7676" s="369"/>
      <c r="E7676" s="396"/>
      <c r="F7676" s="396"/>
      <c r="G7676" s="396"/>
      <c r="K7676" s="370"/>
      <c r="N7676" s="370"/>
    </row>
    <row r="7677" spans="1:14" s="347" customFormat="1" x14ac:dyDescent="0.25">
      <c r="A7677" s="369"/>
      <c r="E7677" s="396"/>
      <c r="F7677" s="396"/>
      <c r="G7677" s="396"/>
      <c r="K7677" s="370"/>
      <c r="N7677" s="370"/>
    </row>
    <row r="7678" spans="1:14" s="347" customFormat="1" x14ac:dyDescent="0.25">
      <c r="A7678" s="369"/>
      <c r="E7678" s="396"/>
      <c r="F7678" s="396"/>
      <c r="G7678" s="396"/>
      <c r="K7678" s="370"/>
      <c r="N7678" s="370"/>
    </row>
    <row r="7679" spans="1:14" s="347" customFormat="1" x14ac:dyDescent="0.25">
      <c r="A7679" s="369"/>
      <c r="E7679" s="396"/>
      <c r="F7679" s="396"/>
      <c r="G7679" s="396"/>
      <c r="K7679" s="370"/>
      <c r="N7679" s="370"/>
    </row>
    <row r="7680" spans="1:14" s="347" customFormat="1" x14ac:dyDescent="0.25">
      <c r="A7680" s="369"/>
      <c r="E7680" s="396"/>
      <c r="F7680" s="396"/>
      <c r="G7680" s="396"/>
      <c r="K7680" s="370"/>
      <c r="N7680" s="370"/>
    </row>
    <row r="7681" spans="1:14" s="347" customFormat="1" x14ac:dyDescent="0.25">
      <c r="A7681" s="369"/>
      <c r="E7681" s="396"/>
      <c r="F7681" s="396"/>
      <c r="G7681" s="396"/>
      <c r="K7681" s="370"/>
      <c r="N7681" s="370"/>
    </row>
    <row r="7682" spans="1:14" s="347" customFormat="1" x14ac:dyDescent="0.25">
      <c r="A7682" s="369"/>
      <c r="E7682" s="396"/>
      <c r="F7682" s="396"/>
      <c r="G7682" s="396"/>
      <c r="K7682" s="370"/>
      <c r="N7682" s="370"/>
    </row>
    <row r="7683" spans="1:14" s="347" customFormat="1" x14ac:dyDescent="0.25">
      <c r="A7683" s="369"/>
      <c r="E7683" s="396"/>
      <c r="F7683" s="396"/>
      <c r="G7683" s="396"/>
      <c r="K7683" s="370"/>
      <c r="N7683" s="370"/>
    </row>
    <row r="7684" spans="1:14" s="347" customFormat="1" x14ac:dyDescent="0.25">
      <c r="A7684" s="369"/>
      <c r="E7684" s="396"/>
      <c r="F7684" s="396"/>
      <c r="G7684" s="396"/>
      <c r="K7684" s="370"/>
      <c r="N7684" s="370"/>
    </row>
    <row r="7685" spans="1:14" s="347" customFormat="1" x14ac:dyDescent="0.25">
      <c r="A7685" s="369"/>
      <c r="E7685" s="396"/>
      <c r="F7685" s="396"/>
      <c r="G7685" s="396"/>
      <c r="K7685" s="370"/>
      <c r="N7685" s="370"/>
    </row>
    <row r="7686" spans="1:14" s="347" customFormat="1" x14ac:dyDescent="0.25">
      <c r="A7686" s="369"/>
      <c r="E7686" s="396"/>
      <c r="F7686" s="396"/>
      <c r="G7686" s="396"/>
      <c r="K7686" s="370"/>
      <c r="N7686" s="370"/>
    </row>
    <row r="7687" spans="1:14" s="347" customFormat="1" x14ac:dyDescent="0.25">
      <c r="A7687" s="369"/>
      <c r="E7687" s="396"/>
      <c r="F7687" s="396"/>
      <c r="G7687" s="396"/>
      <c r="K7687" s="370"/>
      <c r="N7687" s="370"/>
    </row>
    <row r="7688" spans="1:14" s="347" customFormat="1" x14ac:dyDescent="0.25">
      <c r="A7688" s="369"/>
      <c r="E7688" s="396"/>
      <c r="F7688" s="396"/>
      <c r="G7688" s="396"/>
      <c r="K7688" s="370"/>
      <c r="N7688" s="370"/>
    </row>
    <row r="7689" spans="1:14" s="347" customFormat="1" x14ac:dyDescent="0.25">
      <c r="A7689" s="369"/>
      <c r="E7689" s="396"/>
      <c r="F7689" s="396"/>
      <c r="G7689" s="396"/>
      <c r="K7689" s="370"/>
      <c r="N7689" s="370"/>
    </row>
    <row r="7690" spans="1:14" s="347" customFormat="1" x14ac:dyDescent="0.25">
      <c r="A7690" s="369"/>
      <c r="E7690" s="396"/>
      <c r="F7690" s="396"/>
      <c r="G7690" s="396"/>
      <c r="K7690" s="370"/>
      <c r="N7690" s="370"/>
    </row>
    <row r="7691" spans="1:14" s="347" customFormat="1" x14ac:dyDescent="0.25">
      <c r="A7691" s="369"/>
      <c r="E7691" s="396"/>
      <c r="F7691" s="396"/>
      <c r="G7691" s="396"/>
      <c r="K7691" s="370"/>
      <c r="N7691" s="370"/>
    </row>
    <row r="7692" spans="1:14" s="347" customFormat="1" x14ac:dyDescent="0.25">
      <c r="A7692" s="369"/>
      <c r="E7692" s="396"/>
      <c r="F7692" s="396"/>
      <c r="G7692" s="396"/>
      <c r="K7692" s="370"/>
      <c r="N7692" s="370"/>
    </row>
    <row r="7693" spans="1:14" s="347" customFormat="1" x14ac:dyDescent="0.25">
      <c r="A7693" s="369"/>
      <c r="E7693" s="396"/>
      <c r="F7693" s="396"/>
      <c r="G7693" s="396"/>
      <c r="K7693" s="370"/>
      <c r="N7693" s="370"/>
    </row>
    <row r="7694" spans="1:14" s="347" customFormat="1" x14ac:dyDescent="0.25">
      <c r="A7694" s="369"/>
      <c r="E7694" s="396"/>
      <c r="F7694" s="396"/>
      <c r="G7694" s="396"/>
      <c r="K7694" s="370"/>
      <c r="N7694" s="370"/>
    </row>
    <row r="7695" spans="1:14" s="347" customFormat="1" x14ac:dyDescent="0.25">
      <c r="A7695" s="369"/>
      <c r="E7695" s="396"/>
      <c r="F7695" s="396"/>
      <c r="G7695" s="396"/>
      <c r="K7695" s="370"/>
      <c r="N7695" s="370"/>
    </row>
    <row r="7696" spans="1:14" s="347" customFormat="1" x14ac:dyDescent="0.25">
      <c r="A7696" s="369"/>
      <c r="E7696" s="396"/>
      <c r="F7696" s="396"/>
      <c r="G7696" s="396"/>
      <c r="K7696" s="370"/>
      <c r="N7696" s="370"/>
    </row>
    <row r="7697" spans="1:14" s="347" customFormat="1" x14ac:dyDescent="0.25">
      <c r="A7697" s="369"/>
      <c r="E7697" s="396"/>
      <c r="F7697" s="396"/>
      <c r="G7697" s="396"/>
      <c r="K7697" s="370"/>
      <c r="N7697" s="370"/>
    </row>
    <row r="7698" spans="1:14" s="347" customFormat="1" x14ac:dyDescent="0.25">
      <c r="A7698" s="369"/>
      <c r="E7698" s="396"/>
      <c r="F7698" s="396"/>
      <c r="G7698" s="396"/>
      <c r="K7698" s="370"/>
      <c r="N7698" s="370"/>
    </row>
    <row r="7699" spans="1:14" s="347" customFormat="1" x14ac:dyDescent="0.25">
      <c r="A7699" s="369"/>
      <c r="E7699" s="396"/>
      <c r="F7699" s="396"/>
      <c r="G7699" s="396"/>
      <c r="K7699" s="370"/>
      <c r="N7699" s="370"/>
    </row>
    <row r="7700" spans="1:14" s="347" customFormat="1" x14ac:dyDescent="0.25">
      <c r="A7700" s="369"/>
      <c r="E7700" s="396"/>
      <c r="F7700" s="396"/>
      <c r="G7700" s="396"/>
      <c r="K7700" s="370"/>
      <c r="N7700" s="370"/>
    </row>
    <row r="7701" spans="1:14" s="347" customFormat="1" x14ac:dyDescent="0.25">
      <c r="A7701" s="369"/>
      <c r="E7701" s="396"/>
      <c r="F7701" s="396"/>
      <c r="G7701" s="396"/>
      <c r="K7701" s="370"/>
      <c r="N7701" s="370"/>
    </row>
    <row r="7702" spans="1:14" s="347" customFormat="1" x14ac:dyDescent="0.25">
      <c r="A7702" s="369"/>
      <c r="E7702" s="396"/>
      <c r="F7702" s="396"/>
      <c r="G7702" s="396"/>
      <c r="K7702" s="370"/>
      <c r="N7702" s="370"/>
    </row>
    <row r="7703" spans="1:14" s="347" customFormat="1" x14ac:dyDescent="0.25">
      <c r="A7703" s="369"/>
      <c r="E7703" s="396"/>
      <c r="F7703" s="396"/>
      <c r="G7703" s="396"/>
      <c r="K7703" s="370"/>
      <c r="N7703" s="370"/>
    </row>
    <row r="7704" spans="1:14" s="347" customFormat="1" x14ac:dyDescent="0.25">
      <c r="A7704" s="369"/>
      <c r="E7704" s="396"/>
      <c r="F7704" s="396"/>
      <c r="G7704" s="396"/>
      <c r="K7704" s="370"/>
      <c r="N7704" s="370"/>
    </row>
    <row r="7705" spans="1:14" s="347" customFormat="1" x14ac:dyDescent="0.25">
      <c r="A7705" s="369"/>
      <c r="E7705" s="396"/>
      <c r="F7705" s="396"/>
      <c r="G7705" s="396"/>
      <c r="K7705" s="370"/>
      <c r="N7705" s="370"/>
    </row>
    <row r="7706" spans="1:14" s="347" customFormat="1" x14ac:dyDescent="0.25">
      <c r="A7706" s="369"/>
      <c r="E7706" s="396"/>
      <c r="F7706" s="396"/>
      <c r="G7706" s="396"/>
      <c r="K7706" s="370"/>
      <c r="N7706" s="370"/>
    </row>
    <row r="7707" spans="1:14" s="347" customFormat="1" x14ac:dyDescent="0.25">
      <c r="A7707" s="369"/>
      <c r="E7707" s="396"/>
      <c r="F7707" s="396"/>
      <c r="G7707" s="396"/>
      <c r="K7707" s="370"/>
      <c r="N7707" s="370"/>
    </row>
    <row r="7708" spans="1:14" s="347" customFormat="1" x14ac:dyDescent="0.25">
      <c r="A7708" s="369"/>
      <c r="E7708" s="396"/>
      <c r="F7708" s="396"/>
      <c r="G7708" s="396"/>
      <c r="K7708" s="370"/>
      <c r="N7708" s="370"/>
    </row>
    <row r="7709" spans="1:14" s="347" customFormat="1" x14ac:dyDescent="0.25">
      <c r="A7709" s="369"/>
      <c r="E7709" s="396"/>
      <c r="F7709" s="396"/>
      <c r="G7709" s="396"/>
      <c r="K7709" s="370"/>
      <c r="N7709" s="370"/>
    </row>
    <row r="7710" spans="1:14" s="347" customFormat="1" x14ac:dyDescent="0.25">
      <c r="A7710" s="369"/>
      <c r="E7710" s="396"/>
      <c r="F7710" s="396"/>
      <c r="G7710" s="396"/>
      <c r="K7710" s="370"/>
      <c r="N7710" s="370"/>
    </row>
    <row r="7711" spans="1:14" s="347" customFormat="1" x14ac:dyDescent="0.25">
      <c r="A7711" s="369"/>
      <c r="E7711" s="396"/>
      <c r="F7711" s="396"/>
      <c r="G7711" s="396"/>
      <c r="K7711" s="370"/>
      <c r="N7711" s="370"/>
    </row>
    <row r="7712" spans="1:14" s="347" customFormat="1" x14ac:dyDescent="0.25">
      <c r="A7712" s="369"/>
      <c r="E7712" s="396"/>
      <c r="F7712" s="396"/>
      <c r="G7712" s="396"/>
      <c r="K7712" s="370"/>
      <c r="N7712" s="370"/>
    </row>
    <row r="7713" spans="1:14" s="347" customFormat="1" x14ac:dyDescent="0.25">
      <c r="A7713" s="369"/>
      <c r="E7713" s="396"/>
      <c r="F7713" s="396"/>
      <c r="G7713" s="396"/>
      <c r="K7713" s="370"/>
      <c r="N7713" s="370"/>
    </row>
    <row r="7714" spans="1:14" s="347" customFormat="1" x14ac:dyDescent="0.25">
      <c r="A7714" s="369"/>
      <c r="E7714" s="396"/>
      <c r="F7714" s="396"/>
      <c r="G7714" s="396"/>
      <c r="K7714" s="370"/>
      <c r="N7714" s="370"/>
    </row>
    <row r="7715" spans="1:14" s="347" customFormat="1" x14ac:dyDescent="0.25">
      <c r="A7715" s="369"/>
      <c r="E7715" s="396"/>
      <c r="F7715" s="396"/>
      <c r="G7715" s="396"/>
      <c r="K7715" s="370"/>
      <c r="N7715" s="370"/>
    </row>
    <row r="7716" spans="1:14" s="347" customFormat="1" x14ac:dyDescent="0.25">
      <c r="A7716" s="369"/>
      <c r="E7716" s="396"/>
      <c r="F7716" s="396"/>
      <c r="G7716" s="396"/>
      <c r="K7716" s="370"/>
      <c r="N7716" s="370"/>
    </row>
    <row r="7717" spans="1:14" s="347" customFormat="1" x14ac:dyDescent="0.25">
      <c r="A7717" s="369"/>
      <c r="E7717" s="396"/>
      <c r="F7717" s="396"/>
      <c r="G7717" s="396"/>
      <c r="K7717" s="370"/>
      <c r="N7717" s="370"/>
    </row>
    <row r="7718" spans="1:14" s="347" customFormat="1" x14ac:dyDescent="0.25">
      <c r="A7718" s="369"/>
      <c r="E7718" s="396"/>
      <c r="F7718" s="396"/>
      <c r="G7718" s="396"/>
      <c r="K7718" s="370"/>
      <c r="N7718" s="370"/>
    </row>
    <row r="7719" spans="1:14" s="347" customFormat="1" x14ac:dyDescent="0.25">
      <c r="A7719" s="369"/>
      <c r="E7719" s="396"/>
      <c r="F7719" s="396"/>
      <c r="G7719" s="396"/>
      <c r="K7719" s="370"/>
      <c r="N7719" s="370"/>
    </row>
    <row r="7720" spans="1:14" s="347" customFormat="1" x14ac:dyDescent="0.25">
      <c r="A7720" s="369"/>
      <c r="E7720" s="396"/>
      <c r="F7720" s="396"/>
      <c r="G7720" s="396"/>
      <c r="K7720" s="370"/>
      <c r="N7720" s="370"/>
    </row>
    <row r="7721" spans="1:14" s="347" customFormat="1" x14ac:dyDescent="0.25">
      <c r="A7721" s="369"/>
      <c r="E7721" s="396"/>
      <c r="F7721" s="396"/>
      <c r="G7721" s="396"/>
      <c r="K7721" s="370"/>
      <c r="N7721" s="370"/>
    </row>
    <row r="7722" spans="1:14" s="347" customFormat="1" x14ac:dyDescent="0.25">
      <c r="A7722" s="369"/>
      <c r="E7722" s="396"/>
      <c r="F7722" s="396"/>
      <c r="G7722" s="396"/>
      <c r="K7722" s="370"/>
      <c r="N7722" s="370"/>
    </row>
    <row r="7723" spans="1:14" s="347" customFormat="1" x14ac:dyDescent="0.25">
      <c r="A7723" s="369"/>
      <c r="E7723" s="396"/>
      <c r="F7723" s="396"/>
      <c r="G7723" s="396"/>
      <c r="K7723" s="370"/>
      <c r="N7723" s="370"/>
    </row>
    <row r="7724" spans="1:14" s="347" customFormat="1" x14ac:dyDescent="0.25">
      <c r="A7724" s="369"/>
      <c r="E7724" s="396"/>
      <c r="F7724" s="396"/>
      <c r="G7724" s="396"/>
      <c r="K7724" s="370"/>
      <c r="N7724" s="370"/>
    </row>
    <row r="7725" spans="1:14" s="347" customFormat="1" x14ac:dyDescent="0.25">
      <c r="A7725" s="369"/>
      <c r="E7725" s="396"/>
      <c r="F7725" s="396"/>
      <c r="G7725" s="396"/>
      <c r="K7725" s="370"/>
      <c r="N7725" s="370"/>
    </row>
    <row r="7726" spans="1:14" s="347" customFormat="1" x14ac:dyDescent="0.25">
      <c r="A7726" s="369"/>
      <c r="E7726" s="396"/>
      <c r="F7726" s="396"/>
      <c r="G7726" s="396"/>
      <c r="K7726" s="370"/>
      <c r="N7726" s="370"/>
    </row>
    <row r="7727" spans="1:14" s="347" customFormat="1" x14ac:dyDescent="0.25">
      <c r="A7727" s="369"/>
      <c r="E7727" s="396"/>
      <c r="F7727" s="396"/>
      <c r="G7727" s="396"/>
      <c r="K7727" s="370"/>
      <c r="N7727" s="370"/>
    </row>
    <row r="7728" spans="1:14" s="347" customFormat="1" x14ac:dyDescent="0.25">
      <c r="A7728" s="369"/>
      <c r="E7728" s="396"/>
      <c r="F7728" s="396"/>
      <c r="G7728" s="396"/>
      <c r="K7728" s="370"/>
      <c r="N7728" s="370"/>
    </row>
    <row r="7729" spans="1:14" s="347" customFormat="1" x14ac:dyDescent="0.25">
      <c r="A7729" s="369"/>
      <c r="E7729" s="396"/>
      <c r="F7729" s="396"/>
      <c r="G7729" s="396"/>
      <c r="K7729" s="370"/>
      <c r="N7729" s="370"/>
    </row>
    <row r="7730" spans="1:14" s="347" customFormat="1" x14ac:dyDescent="0.25">
      <c r="A7730" s="369"/>
      <c r="E7730" s="396"/>
      <c r="F7730" s="396"/>
      <c r="G7730" s="396"/>
      <c r="K7730" s="370"/>
      <c r="N7730" s="370"/>
    </row>
    <row r="7731" spans="1:14" s="347" customFormat="1" x14ac:dyDescent="0.25">
      <c r="A7731" s="369"/>
      <c r="E7731" s="396"/>
      <c r="F7731" s="396"/>
      <c r="G7731" s="396"/>
      <c r="K7731" s="370"/>
      <c r="N7731" s="370"/>
    </row>
    <row r="7732" spans="1:14" s="347" customFormat="1" x14ac:dyDescent="0.25">
      <c r="A7732" s="369"/>
      <c r="E7732" s="396"/>
      <c r="F7732" s="396"/>
      <c r="G7732" s="396"/>
      <c r="K7732" s="370"/>
      <c r="N7732" s="370"/>
    </row>
    <row r="7733" spans="1:14" s="347" customFormat="1" x14ac:dyDescent="0.25">
      <c r="A7733" s="369"/>
      <c r="E7733" s="396"/>
      <c r="F7733" s="396"/>
      <c r="G7733" s="396"/>
      <c r="K7733" s="370"/>
      <c r="N7733" s="370"/>
    </row>
    <row r="7734" spans="1:14" s="347" customFormat="1" x14ac:dyDescent="0.25">
      <c r="A7734" s="369"/>
      <c r="E7734" s="396"/>
      <c r="F7734" s="396"/>
      <c r="G7734" s="396"/>
      <c r="K7734" s="370"/>
      <c r="N7734" s="370"/>
    </row>
    <row r="7735" spans="1:14" s="347" customFormat="1" x14ac:dyDescent="0.25">
      <c r="A7735" s="369"/>
      <c r="E7735" s="396"/>
      <c r="F7735" s="396"/>
      <c r="G7735" s="396"/>
      <c r="K7735" s="370"/>
      <c r="N7735" s="370"/>
    </row>
    <row r="7736" spans="1:14" s="347" customFormat="1" x14ac:dyDescent="0.25">
      <c r="A7736" s="369"/>
      <c r="E7736" s="396"/>
      <c r="F7736" s="396"/>
      <c r="G7736" s="396"/>
      <c r="K7736" s="370"/>
      <c r="N7736" s="370"/>
    </row>
    <row r="7737" spans="1:14" s="347" customFormat="1" x14ac:dyDescent="0.25">
      <c r="A7737" s="369"/>
      <c r="E7737" s="396"/>
      <c r="F7737" s="396"/>
      <c r="G7737" s="396"/>
      <c r="K7737" s="370"/>
      <c r="N7737" s="370"/>
    </row>
    <row r="7738" spans="1:14" s="347" customFormat="1" x14ac:dyDescent="0.25">
      <c r="A7738" s="369"/>
      <c r="E7738" s="396"/>
      <c r="F7738" s="396"/>
      <c r="G7738" s="396"/>
      <c r="K7738" s="370"/>
      <c r="N7738" s="370"/>
    </row>
    <row r="7739" spans="1:14" s="347" customFormat="1" x14ac:dyDescent="0.25">
      <c r="A7739" s="369"/>
      <c r="E7739" s="396"/>
      <c r="F7739" s="396"/>
      <c r="G7739" s="396"/>
      <c r="K7739" s="370"/>
      <c r="N7739" s="370"/>
    </row>
    <row r="7740" spans="1:14" s="347" customFormat="1" x14ac:dyDescent="0.25">
      <c r="A7740" s="369"/>
      <c r="E7740" s="396"/>
      <c r="F7740" s="396"/>
      <c r="G7740" s="396"/>
      <c r="K7740" s="370"/>
      <c r="N7740" s="370"/>
    </row>
    <row r="7741" spans="1:14" s="347" customFormat="1" x14ac:dyDescent="0.25">
      <c r="A7741" s="369"/>
      <c r="E7741" s="396"/>
      <c r="F7741" s="396"/>
      <c r="G7741" s="396"/>
      <c r="K7741" s="370"/>
      <c r="N7741" s="370"/>
    </row>
    <row r="7742" spans="1:14" s="347" customFormat="1" x14ac:dyDescent="0.25">
      <c r="A7742" s="369"/>
      <c r="E7742" s="396"/>
      <c r="F7742" s="396"/>
      <c r="G7742" s="396"/>
      <c r="K7742" s="370"/>
      <c r="N7742" s="370"/>
    </row>
    <row r="7743" spans="1:14" s="347" customFormat="1" x14ac:dyDescent="0.25">
      <c r="A7743" s="369"/>
      <c r="E7743" s="396"/>
      <c r="F7743" s="396"/>
      <c r="G7743" s="396"/>
      <c r="K7743" s="370"/>
      <c r="N7743" s="370"/>
    </row>
    <row r="7744" spans="1:14" s="347" customFormat="1" x14ac:dyDescent="0.25">
      <c r="A7744" s="369"/>
      <c r="E7744" s="396"/>
      <c r="F7744" s="396"/>
      <c r="G7744" s="396"/>
      <c r="K7744" s="370"/>
      <c r="N7744" s="370"/>
    </row>
    <row r="7745" spans="1:14" s="347" customFormat="1" x14ac:dyDescent="0.25">
      <c r="A7745" s="369"/>
      <c r="E7745" s="396"/>
      <c r="F7745" s="396"/>
      <c r="G7745" s="396"/>
      <c r="K7745" s="370"/>
      <c r="N7745" s="370"/>
    </row>
    <row r="7746" spans="1:14" s="347" customFormat="1" x14ac:dyDescent="0.25">
      <c r="A7746" s="369"/>
      <c r="E7746" s="396"/>
      <c r="F7746" s="396"/>
      <c r="G7746" s="396"/>
      <c r="K7746" s="370"/>
      <c r="N7746" s="370"/>
    </row>
    <row r="7747" spans="1:14" s="347" customFormat="1" x14ac:dyDescent="0.25">
      <c r="A7747" s="369"/>
      <c r="E7747" s="396"/>
      <c r="F7747" s="396"/>
      <c r="G7747" s="396"/>
      <c r="K7747" s="370"/>
      <c r="N7747" s="370"/>
    </row>
    <row r="7748" spans="1:14" s="347" customFormat="1" x14ac:dyDescent="0.25">
      <c r="A7748" s="369"/>
      <c r="E7748" s="396"/>
      <c r="F7748" s="396"/>
      <c r="G7748" s="396"/>
      <c r="K7748" s="370"/>
      <c r="N7748" s="370"/>
    </row>
    <row r="7749" spans="1:14" s="347" customFormat="1" x14ac:dyDescent="0.25">
      <c r="A7749" s="369"/>
      <c r="E7749" s="396"/>
      <c r="F7749" s="396"/>
      <c r="G7749" s="396"/>
      <c r="K7749" s="370"/>
      <c r="N7749" s="370"/>
    </row>
    <row r="7750" spans="1:14" s="347" customFormat="1" x14ac:dyDescent="0.25">
      <c r="A7750" s="369"/>
      <c r="E7750" s="396"/>
      <c r="F7750" s="396"/>
      <c r="G7750" s="396"/>
      <c r="K7750" s="370"/>
      <c r="N7750" s="370"/>
    </row>
    <row r="7751" spans="1:14" s="347" customFormat="1" x14ac:dyDescent="0.25">
      <c r="A7751" s="369"/>
      <c r="E7751" s="396"/>
      <c r="F7751" s="396"/>
      <c r="G7751" s="396"/>
      <c r="K7751" s="370"/>
      <c r="N7751" s="370"/>
    </row>
    <row r="7752" spans="1:14" s="347" customFormat="1" x14ac:dyDescent="0.25">
      <c r="A7752" s="369"/>
      <c r="E7752" s="396"/>
      <c r="F7752" s="396"/>
      <c r="G7752" s="396"/>
      <c r="K7752" s="370"/>
      <c r="N7752" s="370"/>
    </row>
    <row r="7753" spans="1:14" s="347" customFormat="1" x14ac:dyDescent="0.25">
      <c r="A7753" s="369"/>
      <c r="E7753" s="396"/>
      <c r="F7753" s="396"/>
      <c r="G7753" s="396"/>
      <c r="K7753" s="370"/>
      <c r="N7753" s="370"/>
    </row>
    <row r="7754" spans="1:14" s="347" customFormat="1" x14ac:dyDescent="0.25">
      <c r="A7754" s="369"/>
      <c r="E7754" s="396"/>
      <c r="F7754" s="396"/>
      <c r="G7754" s="396"/>
      <c r="K7754" s="370"/>
      <c r="N7754" s="370"/>
    </row>
    <row r="7755" spans="1:14" s="347" customFormat="1" x14ac:dyDescent="0.25">
      <c r="A7755" s="369"/>
      <c r="E7755" s="396"/>
      <c r="F7755" s="396"/>
      <c r="G7755" s="396"/>
      <c r="K7755" s="370"/>
      <c r="N7755" s="370"/>
    </row>
    <row r="7756" spans="1:14" s="347" customFormat="1" x14ac:dyDescent="0.25">
      <c r="A7756" s="369"/>
      <c r="E7756" s="396"/>
      <c r="F7756" s="396"/>
      <c r="G7756" s="396"/>
      <c r="K7756" s="370"/>
      <c r="N7756" s="370"/>
    </row>
    <row r="7757" spans="1:14" s="347" customFormat="1" x14ac:dyDescent="0.25">
      <c r="A7757" s="369"/>
      <c r="E7757" s="396"/>
      <c r="F7757" s="396"/>
      <c r="G7757" s="396"/>
      <c r="K7757" s="370"/>
      <c r="N7757" s="370"/>
    </row>
    <row r="7758" spans="1:14" s="347" customFormat="1" x14ac:dyDescent="0.25">
      <c r="A7758" s="369"/>
      <c r="E7758" s="396"/>
      <c r="F7758" s="396"/>
      <c r="G7758" s="396"/>
      <c r="K7758" s="370"/>
      <c r="N7758" s="370"/>
    </row>
    <row r="7759" spans="1:14" s="347" customFormat="1" x14ac:dyDescent="0.25">
      <c r="A7759" s="369"/>
      <c r="E7759" s="396"/>
      <c r="F7759" s="396"/>
      <c r="G7759" s="396"/>
      <c r="K7759" s="370"/>
      <c r="N7759" s="370"/>
    </row>
    <row r="7760" spans="1:14" s="347" customFormat="1" x14ac:dyDescent="0.25">
      <c r="A7760" s="369"/>
      <c r="E7760" s="396"/>
      <c r="F7760" s="396"/>
      <c r="G7760" s="396"/>
      <c r="K7760" s="370"/>
      <c r="N7760" s="370"/>
    </row>
    <row r="7761" spans="1:14" s="347" customFormat="1" x14ac:dyDescent="0.25">
      <c r="A7761" s="369"/>
      <c r="E7761" s="396"/>
      <c r="F7761" s="396"/>
      <c r="G7761" s="396"/>
      <c r="K7761" s="370"/>
      <c r="N7761" s="370"/>
    </row>
    <row r="7762" spans="1:14" s="347" customFormat="1" x14ac:dyDescent="0.25">
      <c r="A7762" s="369"/>
      <c r="E7762" s="396"/>
      <c r="F7762" s="396"/>
      <c r="G7762" s="396"/>
      <c r="K7762" s="370"/>
      <c r="N7762" s="370"/>
    </row>
    <row r="7763" spans="1:14" s="347" customFormat="1" x14ac:dyDescent="0.25">
      <c r="A7763" s="369"/>
      <c r="E7763" s="396"/>
      <c r="F7763" s="396"/>
      <c r="G7763" s="396"/>
      <c r="K7763" s="370"/>
      <c r="N7763" s="370"/>
    </row>
    <row r="7764" spans="1:14" s="347" customFormat="1" x14ac:dyDescent="0.25">
      <c r="A7764" s="369"/>
      <c r="E7764" s="396"/>
      <c r="F7764" s="396"/>
      <c r="G7764" s="396"/>
      <c r="K7764" s="370"/>
      <c r="N7764" s="370"/>
    </row>
    <row r="7765" spans="1:14" s="347" customFormat="1" x14ac:dyDescent="0.25">
      <c r="A7765" s="369"/>
      <c r="E7765" s="396"/>
      <c r="F7765" s="396"/>
      <c r="G7765" s="396"/>
      <c r="K7765" s="370"/>
      <c r="N7765" s="370"/>
    </row>
    <row r="7766" spans="1:14" s="347" customFormat="1" x14ac:dyDescent="0.25">
      <c r="A7766" s="369"/>
      <c r="E7766" s="396"/>
      <c r="F7766" s="396"/>
      <c r="G7766" s="396"/>
      <c r="K7766" s="370"/>
      <c r="N7766" s="370"/>
    </row>
    <row r="7767" spans="1:14" s="347" customFormat="1" x14ac:dyDescent="0.25">
      <c r="A7767" s="369"/>
      <c r="E7767" s="396"/>
      <c r="F7767" s="396"/>
      <c r="G7767" s="396"/>
      <c r="K7767" s="370"/>
      <c r="N7767" s="370"/>
    </row>
    <row r="7768" spans="1:14" s="347" customFormat="1" x14ac:dyDescent="0.25">
      <c r="A7768" s="369"/>
      <c r="E7768" s="396"/>
      <c r="F7768" s="396"/>
      <c r="G7768" s="396"/>
      <c r="K7768" s="370"/>
      <c r="N7768" s="370"/>
    </row>
    <row r="7769" spans="1:14" s="347" customFormat="1" x14ac:dyDescent="0.25">
      <c r="A7769" s="369"/>
      <c r="E7769" s="396"/>
      <c r="F7769" s="396"/>
      <c r="G7769" s="396"/>
      <c r="K7769" s="370"/>
      <c r="N7769" s="370"/>
    </row>
    <row r="7770" spans="1:14" s="347" customFormat="1" x14ac:dyDescent="0.25">
      <c r="A7770" s="369"/>
      <c r="E7770" s="396"/>
      <c r="F7770" s="396"/>
      <c r="G7770" s="396"/>
      <c r="K7770" s="370"/>
      <c r="N7770" s="370"/>
    </row>
    <row r="7771" spans="1:14" s="347" customFormat="1" x14ac:dyDescent="0.25">
      <c r="A7771" s="369"/>
      <c r="E7771" s="396"/>
      <c r="F7771" s="396"/>
      <c r="G7771" s="396"/>
      <c r="K7771" s="370"/>
      <c r="N7771" s="370"/>
    </row>
    <row r="7772" spans="1:14" s="347" customFormat="1" x14ac:dyDescent="0.25">
      <c r="A7772" s="369"/>
      <c r="E7772" s="396"/>
      <c r="F7772" s="396"/>
      <c r="G7772" s="396"/>
      <c r="K7772" s="370"/>
      <c r="N7772" s="370"/>
    </row>
    <row r="7773" spans="1:14" s="347" customFormat="1" x14ac:dyDescent="0.25">
      <c r="A7773" s="369"/>
      <c r="E7773" s="396"/>
      <c r="F7773" s="396"/>
      <c r="G7773" s="396"/>
      <c r="K7773" s="370"/>
      <c r="N7773" s="370"/>
    </row>
    <row r="7774" spans="1:14" s="347" customFormat="1" x14ac:dyDescent="0.25">
      <c r="A7774" s="369"/>
      <c r="E7774" s="396"/>
      <c r="F7774" s="396"/>
      <c r="G7774" s="396"/>
      <c r="K7774" s="370"/>
      <c r="N7774" s="370"/>
    </row>
    <row r="7775" spans="1:14" s="347" customFormat="1" x14ac:dyDescent="0.25">
      <c r="A7775" s="369"/>
      <c r="E7775" s="396"/>
      <c r="F7775" s="396"/>
      <c r="G7775" s="396"/>
      <c r="K7775" s="370"/>
      <c r="N7775" s="370"/>
    </row>
    <row r="7776" spans="1:14" s="347" customFormat="1" x14ac:dyDescent="0.25">
      <c r="A7776" s="369"/>
      <c r="E7776" s="396"/>
      <c r="F7776" s="396"/>
      <c r="G7776" s="396"/>
      <c r="K7776" s="370"/>
      <c r="N7776" s="370"/>
    </row>
    <row r="7777" spans="1:14" s="347" customFormat="1" x14ac:dyDescent="0.25">
      <c r="A7777" s="369"/>
      <c r="E7777" s="396"/>
      <c r="F7777" s="396"/>
      <c r="G7777" s="396"/>
      <c r="K7777" s="370"/>
      <c r="N7777" s="370"/>
    </row>
    <row r="7778" spans="1:14" s="347" customFormat="1" x14ac:dyDescent="0.25">
      <c r="A7778" s="369"/>
      <c r="E7778" s="396"/>
      <c r="F7778" s="396"/>
      <c r="G7778" s="396"/>
      <c r="K7778" s="370"/>
      <c r="N7778" s="370"/>
    </row>
    <row r="7779" spans="1:14" s="347" customFormat="1" x14ac:dyDescent="0.25">
      <c r="A7779" s="369"/>
      <c r="E7779" s="396"/>
      <c r="F7779" s="396"/>
      <c r="G7779" s="396"/>
      <c r="K7779" s="370"/>
      <c r="N7779" s="370"/>
    </row>
    <row r="7780" spans="1:14" s="347" customFormat="1" x14ac:dyDescent="0.25">
      <c r="A7780" s="369"/>
      <c r="E7780" s="396"/>
      <c r="F7780" s="396"/>
      <c r="G7780" s="396"/>
      <c r="K7780" s="370"/>
      <c r="N7780" s="370"/>
    </row>
    <row r="7781" spans="1:14" s="347" customFormat="1" x14ac:dyDescent="0.25">
      <c r="A7781" s="369"/>
      <c r="E7781" s="396"/>
      <c r="F7781" s="396"/>
      <c r="G7781" s="396"/>
      <c r="K7781" s="370"/>
      <c r="N7781" s="370"/>
    </row>
    <row r="7782" spans="1:14" s="347" customFormat="1" x14ac:dyDescent="0.25">
      <c r="A7782" s="369"/>
      <c r="E7782" s="396"/>
      <c r="F7782" s="396"/>
      <c r="G7782" s="396"/>
      <c r="K7782" s="370"/>
      <c r="N7782" s="370"/>
    </row>
    <row r="7783" spans="1:14" s="347" customFormat="1" x14ac:dyDescent="0.25">
      <c r="A7783" s="369"/>
      <c r="E7783" s="396"/>
      <c r="F7783" s="396"/>
      <c r="G7783" s="396"/>
      <c r="K7783" s="370"/>
      <c r="N7783" s="370"/>
    </row>
    <row r="7784" spans="1:14" s="347" customFormat="1" x14ac:dyDescent="0.25">
      <c r="A7784" s="369"/>
      <c r="E7784" s="396"/>
      <c r="F7784" s="396"/>
      <c r="G7784" s="396"/>
      <c r="K7784" s="370"/>
      <c r="N7784" s="370"/>
    </row>
    <row r="7785" spans="1:14" s="347" customFormat="1" x14ac:dyDescent="0.25">
      <c r="A7785" s="369"/>
      <c r="E7785" s="396"/>
      <c r="F7785" s="396"/>
      <c r="G7785" s="396"/>
      <c r="K7785" s="370"/>
      <c r="N7785" s="370"/>
    </row>
    <row r="7786" spans="1:14" s="347" customFormat="1" x14ac:dyDescent="0.25">
      <c r="A7786" s="369"/>
      <c r="E7786" s="396"/>
      <c r="F7786" s="396"/>
      <c r="G7786" s="396"/>
      <c r="K7786" s="370"/>
      <c r="N7786" s="370"/>
    </row>
    <row r="7787" spans="1:14" s="347" customFormat="1" x14ac:dyDescent="0.25">
      <c r="A7787" s="369"/>
      <c r="E7787" s="396"/>
      <c r="F7787" s="396"/>
      <c r="G7787" s="396"/>
      <c r="K7787" s="370"/>
      <c r="N7787" s="370"/>
    </row>
    <row r="7788" spans="1:14" s="347" customFormat="1" x14ac:dyDescent="0.25">
      <c r="A7788" s="369"/>
      <c r="E7788" s="396"/>
      <c r="F7788" s="396"/>
      <c r="G7788" s="396"/>
      <c r="K7788" s="370"/>
      <c r="N7788" s="370"/>
    </row>
    <row r="7789" spans="1:14" s="347" customFormat="1" x14ac:dyDescent="0.25">
      <c r="A7789" s="369"/>
      <c r="E7789" s="396"/>
      <c r="F7789" s="396"/>
      <c r="G7789" s="396"/>
      <c r="K7789" s="370"/>
      <c r="N7789" s="370"/>
    </row>
    <row r="7790" spans="1:14" s="347" customFormat="1" x14ac:dyDescent="0.25">
      <c r="A7790" s="369"/>
      <c r="E7790" s="396"/>
      <c r="F7790" s="396"/>
      <c r="G7790" s="396"/>
      <c r="K7790" s="370"/>
      <c r="N7790" s="370"/>
    </row>
    <row r="7791" spans="1:14" s="347" customFormat="1" x14ac:dyDescent="0.25">
      <c r="A7791" s="369"/>
      <c r="E7791" s="396"/>
      <c r="F7791" s="396"/>
      <c r="G7791" s="396"/>
      <c r="K7791" s="370"/>
      <c r="N7791" s="370"/>
    </row>
    <row r="7792" spans="1:14" s="347" customFormat="1" x14ac:dyDescent="0.25">
      <c r="A7792" s="369"/>
      <c r="E7792" s="396"/>
      <c r="F7792" s="396"/>
      <c r="G7792" s="396"/>
      <c r="K7792" s="370"/>
      <c r="N7792" s="370"/>
    </row>
    <row r="7793" spans="1:14" s="347" customFormat="1" x14ac:dyDescent="0.25">
      <c r="A7793" s="369"/>
      <c r="E7793" s="396"/>
      <c r="F7793" s="396"/>
      <c r="G7793" s="396"/>
      <c r="K7793" s="370"/>
      <c r="N7793" s="370"/>
    </row>
    <row r="7794" spans="1:14" s="347" customFormat="1" x14ac:dyDescent="0.25">
      <c r="A7794" s="369"/>
      <c r="E7794" s="396"/>
      <c r="F7794" s="396"/>
      <c r="G7794" s="396"/>
      <c r="K7794" s="370"/>
      <c r="N7794" s="370"/>
    </row>
    <row r="7795" spans="1:14" s="347" customFormat="1" x14ac:dyDescent="0.25">
      <c r="A7795" s="369"/>
      <c r="E7795" s="396"/>
      <c r="F7795" s="396"/>
      <c r="G7795" s="396"/>
      <c r="K7795" s="370"/>
      <c r="N7795" s="370"/>
    </row>
    <row r="7796" spans="1:14" s="347" customFormat="1" x14ac:dyDescent="0.25">
      <c r="A7796" s="369"/>
      <c r="E7796" s="396"/>
      <c r="F7796" s="396"/>
      <c r="G7796" s="396"/>
      <c r="K7796" s="370"/>
      <c r="N7796" s="370"/>
    </row>
    <row r="7797" spans="1:14" s="347" customFormat="1" x14ac:dyDescent="0.25">
      <c r="A7797" s="369"/>
      <c r="E7797" s="396"/>
      <c r="F7797" s="396"/>
      <c r="G7797" s="396"/>
      <c r="K7797" s="370"/>
      <c r="N7797" s="370"/>
    </row>
    <row r="7798" spans="1:14" s="347" customFormat="1" x14ac:dyDescent="0.25">
      <c r="A7798" s="369"/>
      <c r="E7798" s="396"/>
      <c r="F7798" s="396"/>
      <c r="G7798" s="396"/>
      <c r="K7798" s="370"/>
      <c r="N7798" s="370"/>
    </row>
    <row r="7799" spans="1:14" s="347" customFormat="1" x14ac:dyDescent="0.25">
      <c r="A7799" s="369"/>
      <c r="E7799" s="396"/>
      <c r="F7799" s="396"/>
      <c r="G7799" s="396"/>
      <c r="K7799" s="370"/>
      <c r="N7799" s="370"/>
    </row>
    <row r="7800" spans="1:14" s="347" customFormat="1" x14ac:dyDescent="0.25">
      <c r="A7800" s="369"/>
      <c r="E7800" s="396"/>
      <c r="F7800" s="396"/>
      <c r="G7800" s="396"/>
      <c r="K7800" s="370"/>
      <c r="N7800" s="370"/>
    </row>
    <row r="7801" spans="1:14" s="347" customFormat="1" x14ac:dyDescent="0.25">
      <c r="A7801" s="369"/>
      <c r="E7801" s="396"/>
      <c r="F7801" s="396"/>
      <c r="G7801" s="396"/>
      <c r="K7801" s="370"/>
      <c r="N7801" s="370"/>
    </row>
    <row r="7802" spans="1:14" s="347" customFormat="1" x14ac:dyDescent="0.25">
      <c r="A7802" s="369"/>
      <c r="E7802" s="396"/>
      <c r="F7802" s="396"/>
      <c r="G7802" s="396"/>
      <c r="K7802" s="370"/>
      <c r="N7802" s="370"/>
    </row>
    <row r="7803" spans="1:14" s="347" customFormat="1" x14ac:dyDescent="0.25">
      <c r="A7803" s="369"/>
      <c r="E7803" s="396"/>
      <c r="F7803" s="396"/>
      <c r="G7803" s="396"/>
      <c r="K7803" s="370"/>
      <c r="N7803" s="370"/>
    </row>
    <row r="7804" spans="1:14" s="347" customFormat="1" x14ac:dyDescent="0.25">
      <c r="A7804" s="369"/>
      <c r="E7804" s="396"/>
      <c r="F7804" s="396"/>
      <c r="G7804" s="396"/>
      <c r="K7804" s="370"/>
      <c r="N7804" s="370"/>
    </row>
    <row r="7805" spans="1:14" s="347" customFormat="1" x14ac:dyDescent="0.25">
      <c r="A7805" s="369"/>
      <c r="E7805" s="396"/>
      <c r="F7805" s="396"/>
      <c r="G7805" s="396"/>
      <c r="K7805" s="370"/>
      <c r="N7805" s="370"/>
    </row>
    <row r="7806" spans="1:14" s="347" customFormat="1" x14ac:dyDescent="0.25">
      <c r="A7806" s="369"/>
      <c r="E7806" s="396"/>
      <c r="F7806" s="396"/>
      <c r="G7806" s="396"/>
      <c r="K7806" s="370"/>
      <c r="N7806" s="370"/>
    </row>
    <row r="7807" spans="1:14" s="347" customFormat="1" x14ac:dyDescent="0.25">
      <c r="A7807" s="369"/>
      <c r="E7807" s="396"/>
      <c r="F7807" s="396"/>
      <c r="G7807" s="396"/>
      <c r="K7807" s="370"/>
      <c r="N7807" s="370"/>
    </row>
    <row r="7808" spans="1:14" s="347" customFormat="1" x14ac:dyDescent="0.25">
      <c r="A7808" s="369"/>
      <c r="E7808" s="396"/>
      <c r="F7808" s="396"/>
      <c r="G7808" s="396"/>
      <c r="K7808" s="370"/>
      <c r="N7808" s="370"/>
    </row>
    <row r="7809" spans="1:14" s="347" customFormat="1" x14ac:dyDescent="0.25">
      <c r="A7809" s="369"/>
      <c r="E7809" s="396"/>
      <c r="F7809" s="396"/>
      <c r="G7809" s="396"/>
      <c r="K7809" s="370"/>
      <c r="N7809" s="370"/>
    </row>
    <row r="7810" spans="1:14" s="347" customFormat="1" x14ac:dyDescent="0.25">
      <c r="A7810" s="369"/>
      <c r="E7810" s="396"/>
      <c r="F7810" s="396"/>
      <c r="G7810" s="396"/>
      <c r="K7810" s="370"/>
      <c r="N7810" s="370"/>
    </row>
    <row r="7811" spans="1:14" s="347" customFormat="1" x14ac:dyDescent="0.25">
      <c r="A7811" s="369"/>
      <c r="E7811" s="396"/>
      <c r="F7811" s="396"/>
      <c r="G7811" s="396"/>
      <c r="K7811" s="370"/>
      <c r="N7811" s="370"/>
    </row>
    <row r="7812" spans="1:14" s="347" customFormat="1" x14ac:dyDescent="0.25">
      <c r="A7812" s="369"/>
      <c r="E7812" s="396"/>
      <c r="F7812" s="396"/>
      <c r="G7812" s="396"/>
      <c r="K7812" s="370"/>
      <c r="N7812" s="370"/>
    </row>
    <row r="7813" spans="1:14" s="347" customFormat="1" x14ac:dyDescent="0.25">
      <c r="A7813" s="369"/>
      <c r="E7813" s="396"/>
      <c r="F7813" s="396"/>
      <c r="G7813" s="396"/>
      <c r="K7813" s="370"/>
      <c r="N7813" s="370"/>
    </row>
    <row r="7814" spans="1:14" s="347" customFormat="1" x14ac:dyDescent="0.25">
      <c r="A7814" s="369"/>
      <c r="E7814" s="396"/>
      <c r="F7814" s="396"/>
      <c r="G7814" s="396"/>
      <c r="K7814" s="370"/>
      <c r="N7814" s="370"/>
    </row>
    <row r="7815" spans="1:14" s="347" customFormat="1" x14ac:dyDescent="0.25">
      <c r="A7815" s="369"/>
      <c r="E7815" s="396"/>
      <c r="F7815" s="396"/>
      <c r="G7815" s="396"/>
      <c r="K7815" s="370"/>
      <c r="N7815" s="370"/>
    </row>
    <row r="7816" spans="1:14" s="347" customFormat="1" x14ac:dyDescent="0.25">
      <c r="A7816" s="369"/>
      <c r="E7816" s="396"/>
      <c r="F7816" s="396"/>
      <c r="G7816" s="396"/>
      <c r="K7816" s="370"/>
      <c r="N7816" s="370"/>
    </row>
    <row r="7817" spans="1:14" s="347" customFormat="1" x14ac:dyDescent="0.25">
      <c r="A7817" s="369"/>
      <c r="E7817" s="396"/>
      <c r="F7817" s="396"/>
      <c r="G7817" s="396"/>
      <c r="K7817" s="370"/>
      <c r="N7817" s="370"/>
    </row>
    <row r="7818" spans="1:14" s="347" customFormat="1" x14ac:dyDescent="0.25">
      <c r="A7818" s="369"/>
      <c r="E7818" s="396"/>
      <c r="F7818" s="396"/>
      <c r="G7818" s="396"/>
      <c r="K7818" s="370"/>
      <c r="N7818" s="370"/>
    </row>
    <row r="7819" spans="1:14" s="347" customFormat="1" x14ac:dyDescent="0.25">
      <c r="A7819" s="369"/>
      <c r="E7819" s="396"/>
      <c r="F7819" s="396"/>
      <c r="G7819" s="396"/>
      <c r="K7819" s="370"/>
      <c r="N7819" s="370"/>
    </row>
    <row r="7820" spans="1:14" s="347" customFormat="1" x14ac:dyDescent="0.25">
      <c r="A7820" s="369"/>
      <c r="E7820" s="396"/>
      <c r="F7820" s="396"/>
      <c r="G7820" s="396"/>
      <c r="K7820" s="370"/>
      <c r="N7820" s="370"/>
    </row>
    <row r="7821" spans="1:14" s="347" customFormat="1" x14ac:dyDescent="0.25">
      <c r="A7821" s="369"/>
      <c r="E7821" s="396"/>
      <c r="F7821" s="396"/>
      <c r="G7821" s="396"/>
      <c r="K7821" s="370"/>
      <c r="N7821" s="370"/>
    </row>
    <row r="7822" spans="1:14" s="347" customFormat="1" x14ac:dyDescent="0.25">
      <c r="A7822" s="369"/>
      <c r="E7822" s="396"/>
      <c r="F7822" s="396"/>
      <c r="G7822" s="396"/>
      <c r="K7822" s="370"/>
      <c r="N7822" s="370"/>
    </row>
    <row r="7823" spans="1:14" s="347" customFormat="1" x14ac:dyDescent="0.25">
      <c r="A7823" s="369"/>
      <c r="E7823" s="396"/>
      <c r="F7823" s="396"/>
      <c r="G7823" s="396"/>
      <c r="K7823" s="370"/>
      <c r="N7823" s="370"/>
    </row>
    <row r="7824" spans="1:14" s="347" customFormat="1" x14ac:dyDescent="0.25">
      <c r="A7824" s="369"/>
      <c r="E7824" s="396"/>
      <c r="F7824" s="396"/>
      <c r="G7824" s="396"/>
      <c r="K7824" s="370"/>
      <c r="N7824" s="370"/>
    </row>
    <row r="7825" spans="1:14" s="347" customFormat="1" x14ac:dyDescent="0.25">
      <c r="A7825" s="369"/>
      <c r="E7825" s="396"/>
      <c r="F7825" s="396"/>
      <c r="G7825" s="396"/>
      <c r="K7825" s="370"/>
      <c r="N7825" s="370"/>
    </row>
    <row r="7826" spans="1:14" s="347" customFormat="1" x14ac:dyDescent="0.25">
      <c r="A7826" s="369"/>
      <c r="E7826" s="396"/>
      <c r="F7826" s="396"/>
      <c r="G7826" s="396"/>
      <c r="K7826" s="370"/>
      <c r="N7826" s="370"/>
    </row>
    <row r="7827" spans="1:14" s="347" customFormat="1" x14ac:dyDescent="0.25">
      <c r="A7827" s="369"/>
      <c r="E7827" s="396"/>
      <c r="F7827" s="396"/>
      <c r="G7827" s="396"/>
      <c r="K7827" s="370"/>
      <c r="N7827" s="370"/>
    </row>
    <row r="7828" spans="1:14" s="347" customFormat="1" x14ac:dyDescent="0.25">
      <c r="A7828" s="369"/>
      <c r="E7828" s="396"/>
      <c r="F7828" s="396"/>
      <c r="G7828" s="396"/>
      <c r="K7828" s="370"/>
      <c r="N7828" s="370"/>
    </row>
    <row r="7829" spans="1:14" s="347" customFormat="1" x14ac:dyDescent="0.25">
      <c r="A7829" s="369"/>
      <c r="E7829" s="396"/>
      <c r="F7829" s="396"/>
      <c r="G7829" s="396"/>
      <c r="K7829" s="370"/>
      <c r="N7829" s="370"/>
    </row>
    <row r="7830" spans="1:14" s="347" customFormat="1" x14ac:dyDescent="0.25">
      <c r="A7830" s="369"/>
      <c r="E7830" s="396"/>
      <c r="F7830" s="396"/>
      <c r="G7830" s="396"/>
      <c r="K7830" s="370"/>
      <c r="N7830" s="370"/>
    </row>
    <row r="7831" spans="1:14" s="347" customFormat="1" x14ac:dyDescent="0.25">
      <c r="A7831" s="369"/>
      <c r="E7831" s="396"/>
      <c r="F7831" s="396"/>
      <c r="G7831" s="396"/>
      <c r="K7831" s="370"/>
      <c r="N7831" s="370"/>
    </row>
    <row r="7832" spans="1:14" s="347" customFormat="1" x14ac:dyDescent="0.25">
      <c r="A7832" s="369"/>
      <c r="E7832" s="396"/>
      <c r="F7832" s="396"/>
      <c r="G7832" s="396"/>
      <c r="K7832" s="370"/>
      <c r="N7832" s="370"/>
    </row>
    <row r="7833" spans="1:14" s="347" customFormat="1" x14ac:dyDescent="0.25">
      <c r="A7833" s="369"/>
      <c r="E7833" s="396"/>
      <c r="F7833" s="396"/>
      <c r="G7833" s="396"/>
      <c r="K7833" s="370"/>
      <c r="N7833" s="370"/>
    </row>
    <row r="7834" spans="1:14" s="347" customFormat="1" x14ac:dyDescent="0.25">
      <c r="A7834" s="369"/>
      <c r="E7834" s="396"/>
      <c r="F7834" s="396"/>
      <c r="G7834" s="396"/>
      <c r="K7834" s="370"/>
      <c r="N7834" s="370"/>
    </row>
    <row r="7835" spans="1:14" s="347" customFormat="1" x14ac:dyDescent="0.25">
      <c r="A7835" s="369"/>
      <c r="E7835" s="396"/>
      <c r="F7835" s="396"/>
      <c r="G7835" s="396"/>
      <c r="K7835" s="370"/>
      <c r="N7835" s="370"/>
    </row>
    <row r="7836" spans="1:14" s="347" customFormat="1" x14ac:dyDescent="0.25">
      <c r="A7836" s="369"/>
      <c r="E7836" s="396"/>
      <c r="F7836" s="396"/>
      <c r="G7836" s="396"/>
      <c r="K7836" s="370"/>
      <c r="N7836" s="370"/>
    </row>
    <row r="7837" spans="1:14" s="347" customFormat="1" x14ac:dyDescent="0.25">
      <c r="A7837" s="369"/>
      <c r="E7837" s="396"/>
      <c r="F7837" s="396"/>
      <c r="G7837" s="396"/>
      <c r="K7837" s="370"/>
      <c r="N7837" s="370"/>
    </row>
    <row r="7838" spans="1:14" s="347" customFormat="1" x14ac:dyDescent="0.25">
      <c r="A7838" s="369"/>
      <c r="E7838" s="396"/>
      <c r="F7838" s="396"/>
      <c r="G7838" s="396"/>
      <c r="K7838" s="370"/>
      <c r="N7838" s="370"/>
    </row>
    <row r="7839" spans="1:14" s="347" customFormat="1" x14ac:dyDescent="0.25">
      <c r="A7839" s="369"/>
      <c r="E7839" s="396"/>
      <c r="F7839" s="396"/>
      <c r="G7839" s="396"/>
      <c r="K7839" s="370"/>
      <c r="N7839" s="370"/>
    </row>
    <row r="7840" spans="1:14" s="347" customFormat="1" x14ac:dyDescent="0.25">
      <c r="A7840" s="369"/>
      <c r="E7840" s="396"/>
      <c r="F7840" s="396"/>
      <c r="G7840" s="396"/>
      <c r="K7840" s="370"/>
      <c r="N7840" s="370"/>
    </row>
    <row r="7841" spans="1:14" s="347" customFormat="1" x14ac:dyDescent="0.25">
      <c r="A7841" s="369"/>
      <c r="E7841" s="396"/>
      <c r="F7841" s="396"/>
      <c r="G7841" s="396"/>
      <c r="K7841" s="370"/>
      <c r="N7841" s="370"/>
    </row>
    <row r="7842" spans="1:14" s="347" customFormat="1" x14ac:dyDescent="0.25">
      <c r="A7842" s="369"/>
      <c r="E7842" s="396"/>
      <c r="F7842" s="396"/>
      <c r="G7842" s="396"/>
      <c r="K7842" s="370"/>
      <c r="N7842" s="370"/>
    </row>
    <row r="7843" spans="1:14" s="347" customFormat="1" x14ac:dyDescent="0.25">
      <c r="A7843" s="369"/>
      <c r="E7843" s="396"/>
      <c r="F7843" s="396"/>
      <c r="G7843" s="396"/>
      <c r="K7843" s="370"/>
      <c r="N7843" s="370"/>
    </row>
    <row r="7844" spans="1:14" s="347" customFormat="1" x14ac:dyDescent="0.25">
      <c r="A7844" s="369"/>
      <c r="E7844" s="396"/>
      <c r="F7844" s="396"/>
      <c r="G7844" s="396"/>
      <c r="K7844" s="370"/>
      <c r="N7844" s="370"/>
    </row>
    <row r="7845" spans="1:14" s="347" customFormat="1" x14ac:dyDescent="0.25">
      <c r="A7845" s="369"/>
      <c r="E7845" s="396"/>
      <c r="F7845" s="396"/>
      <c r="G7845" s="396"/>
      <c r="K7845" s="370"/>
      <c r="N7845" s="370"/>
    </row>
    <row r="7846" spans="1:14" s="347" customFormat="1" x14ac:dyDescent="0.25">
      <c r="A7846" s="369"/>
      <c r="E7846" s="396"/>
      <c r="F7846" s="396"/>
      <c r="G7846" s="396"/>
      <c r="K7846" s="370"/>
      <c r="N7846" s="370"/>
    </row>
    <row r="7847" spans="1:14" s="347" customFormat="1" x14ac:dyDescent="0.25">
      <c r="A7847" s="369"/>
      <c r="E7847" s="396"/>
      <c r="F7847" s="396"/>
      <c r="G7847" s="396"/>
      <c r="K7847" s="370"/>
      <c r="N7847" s="370"/>
    </row>
    <row r="7848" spans="1:14" s="347" customFormat="1" x14ac:dyDescent="0.25">
      <c r="A7848" s="369"/>
      <c r="E7848" s="396"/>
      <c r="F7848" s="396"/>
      <c r="G7848" s="396"/>
      <c r="K7848" s="370"/>
      <c r="N7848" s="370"/>
    </row>
    <row r="7849" spans="1:14" s="347" customFormat="1" x14ac:dyDescent="0.25">
      <c r="A7849" s="369"/>
      <c r="E7849" s="396"/>
      <c r="F7849" s="396"/>
      <c r="G7849" s="396"/>
      <c r="K7849" s="370"/>
      <c r="N7849" s="370"/>
    </row>
    <row r="7850" spans="1:14" s="347" customFormat="1" x14ac:dyDescent="0.25">
      <c r="A7850" s="369"/>
      <c r="E7850" s="396"/>
      <c r="F7850" s="396"/>
      <c r="G7850" s="396"/>
      <c r="K7850" s="370"/>
      <c r="N7850" s="370"/>
    </row>
    <row r="7851" spans="1:14" s="347" customFormat="1" x14ac:dyDescent="0.25">
      <c r="A7851" s="369"/>
      <c r="E7851" s="396"/>
      <c r="F7851" s="396"/>
      <c r="G7851" s="396"/>
      <c r="K7851" s="370"/>
      <c r="N7851" s="370"/>
    </row>
    <row r="7852" spans="1:14" s="347" customFormat="1" x14ac:dyDescent="0.25">
      <c r="A7852" s="369"/>
      <c r="E7852" s="396"/>
      <c r="F7852" s="396"/>
      <c r="G7852" s="396"/>
      <c r="K7852" s="370"/>
      <c r="N7852" s="370"/>
    </row>
    <row r="7853" spans="1:14" s="347" customFormat="1" x14ac:dyDescent="0.25">
      <c r="A7853" s="369"/>
      <c r="E7853" s="396"/>
      <c r="F7853" s="396"/>
      <c r="G7853" s="396"/>
      <c r="K7853" s="370"/>
      <c r="N7853" s="370"/>
    </row>
    <row r="7854" spans="1:14" s="347" customFormat="1" x14ac:dyDescent="0.25">
      <c r="A7854" s="369"/>
      <c r="E7854" s="396"/>
      <c r="F7854" s="396"/>
      <c r="G7854" s="396"/>
      <c r="K7854" s="370"/>
      <c r="N7854" s="370"/>
    </row>
    <row r="7855" spans="1:14" s="347" customFormat="1" x14ac:dyDescent="0.25">
      <c r="A7855" s="369"/>
      <c r="E7855" s="396"/>
      <c r="F7855" s="396"/>
      <c r="G7855" s="396"/>
      <c r="K7855" s="370"/>
      <c r="N7855" s="370"/>
    </row>
    <row r="7856" spans="1:14" s="347" customFormat="1" x14ac:dyDescent="0.25">
      <c r="A7856" s="369"/>
      <c r="E7856" s="396"/>
      <c r="F7856" s="396"/>
      <c r="G7856" s="396"/>
      <c r="K7856" s="370"/>
      <c r="N7856" s="370"/>
    </row>
    <row r="7857" spans="1:14" s="347" customFormat="1" x14ac:dyDescent="0.25">
      <c r="A7857" s="369"/>
      <c r="E7857" s="396"/>
      <c r="F7857" s="396"/>
      <c r="G7857" s="396"/>
      <c r="K7857" s="370"/>
      <c r="N7857" s="370"/>
    </row>
    <row r="7858" spans="1:14" s="347" customFormat="1" x14ac:dyDescent="0.25">
      <c r="A7858" s="369"/>
      <c r="E7858" s="396"/>
      <c r="F7858" s="396"/>
      <c r="G7858" s="396"/>
      <c r="K7858" s="370"/>
      <c r="N7858" s="370"/>
    </row>
    <row r="7859" spans="1:14" s="347" customFormat="1" x14ac:dyDescent="0.25">
      <c r="A7859" s="369"/>
      <c r="E7859" s="396"/>
      <c r="F7859" s="396"/>
      <c r="G7859" s="396"/>
      <c r="K7859" s="370"/>
      <c r="N7859" s="370"/>
    </row>
    <row r="7860" spans="1:14" s="347" customFormat="1" x14ac:dyDescent="0.25">
      <c r="A7860" s="369"/>
      <c r="E7860" s="396"/>
      <c r="F7860" s="396"/>
      <c r="G7860" s="396"/>
      <c r="K7860" s="370"/>
      <c r="N7860" s="370"/>
    </row>
    <row r="7861" spans="1:14" s="347" customFormat="1" x14ac:dyDescent="0.25">
      <c r="A7861" s="369"/>
      <c r="E7861" s="396"/>
      <c r="F7861" s="396"/>
      <c r="G7861" s="396"/>
      <c r="K7861" s="370"/>
      <c r="N7861" s="370"/>
    </row>
    <row r="7862" spans="1:14" s="347" customFormat="1" x14ac:dyDescent="0.25">
      <c r="A7862" s="369"/>
      <c r="E7862" s="396"/>
      <c r="F7862" s="396"/>
      <c r="G7862" s="396"/>
      <c r="K7862" s="370"/>
      <c r="N7862" s="370"/>
    </row>
    <row r="7863" spans="1:14" s="347" customFormat="1" x14ac:dyDescent="0.25">
      <c r="A7863" s="369"/>
      <c r="E7863" s="396"/>
      <c r="F7863" s="396"/>
      <c r="G7863" s="396"/>
      <c r="K7863" s="370"/>
      <c r="N7863" s="370"/>
    </row>
    <row r="7864" spans="1:14" s="347" customFormat="1" x14ac:dyDescent="0.25">
      <c r="A7864" s="369"/>
      <c r="E7864" s="396"/>
      <c r="F7864" s="396"/>
      <c r="G7864" s="396"/>
      <c r="K7864" s="370"/>
      <c r="N7864" s="370"/>
    </row>
    <row r="7865" spans="1:14" s="347" customFormat="1" x14ac:dyDescent="0.25">
      <c r="A7865" s="369"/>
      <c r="E7865" s="396"/>
      <c r="F7865" s="396"/>
      <c r="G7865" s="396"/>
      <c r="K7865" s="370"/>
      <c r="N7865" s="370"/>
    </row>
    <row r="7866" spans="1:14" s="347" customFormat="1" x14ac:dyDescent="0.25">
      <c r="A7866" s="369"/>
      <c r="E7866" s="396"/>
      <c r="F7866" s="396"/>
      <c r="G7866" s="396"/>
      <c r="K7866" s="370"/>
      <c r="N7866" s="370"/>
    </row>
    <row r="7867" spans="1:14" s="347" customFormat="1" x14ac:dyDescent="0.25">
      <c r="A7867" s="369"/>
      <c r="E7867" s="396"/>
      <c r="F7867" s="396"/>
      <c r="G7867" s="396"/>
      <c r="K7867" s="370"/>
      <c r="N7867" s="370"/>
    </row>
    <row r="7868" spans="1:14" s="347" customFormat="1" x14ac:dyDescent="0.25">
      <c r="A7868" s="369"/>
      <c r="E7868" s="396"/>
      <c r="F7868" s="396"/>
      <c r="G7868" s="396"/>
      <c r="K7868" s="370"/>
      <c r="N7868" s="370"/>
    </row>
    <row r="7869" spans="1:14" s="347" customFormat="1" x14ac:dyDescent="0.25">
      <c r="A7869" s="369"/>
      <c r="E7869" s="396"/>
      <c r="F7869" s="396"/>
      <c r="G7869" s="396"/>
      <c r="K7869" s="370"/>
      <c r="N7869" s="370"/>
    </row>
    <row r="7870" spans="1:14" s="347" customFormat="1" x14ac:dyDescent="0.25">
      <c r="A7870" s="369"/>
      <c r="E7870" s="396"/>
      <c r="F7870" s="396"/>
      <c r="G7870" s="396"/>
      <c r="K7870" s="370"/>
      <c r="N7870" s="370"/>
    </row>
    <row r="7871" spans="1:14" s="347" customFormat="1" x14ac:dyDescent="0.25">
      <c r="A7871" s="369"/>
      <c r="E7871" s="396"/>
      <c r="F7871" s="396"/>
      <c r="G7871" s="396"/>
      <c r="K7871" s="370"/>
      <c r="N7871" s="370"/>
    </row>
    <row r="7872" spans="1:14" s="347" customFormat="1" x14ac:dyDescent="0.25">
      <c r="A7872" s="369"/>
      <c r="E7872" s="396"/>
      <c r="F7872" s="396"/>
      <c r="G7872" s="396"/>
      <c r="K7872" s="370"/>
      <c r="N7872" s="370"/>
    </row>
    <row r="7873" spans="1:14" s="347" customFormat="1" x14ac:dyDescent="0.25">
      <c r="A7873" s="369"/>
      <c r="E7873" s="396"/>
      <c r="F7873" s="396"/>
      <c r="G7873" s="396"/>
      <c r="K7873" s="370"/>
      <c r="N7873" s="370"/>
    </row>
    <row r="7874" spans="1:14" s="347" customFormat="1" x14ac:dyDescent="0.25">
      <c r="A7874" s="369"/>
      <c r="E7874" s="396"/>
      <c r="F7874" s="396"/>
      <c r="G7874" s="396"/>
      <c r="K7874" s="370"/>
      <c r="N7874" s="370"/>
    </row>
    <row r="7875" spans="1:14" s="347" customFormat="1" x14ac:dyDescent="0.25">
      <c r="A7875" s="369"/>
      <c r="E7875" s="396"/>
      <c r="F7875" s="396"/>
      <c r="G7875" s="396"/>
      <c r="K7875" s="370"/>
      <c r="N7875" s="370"/>
    </row>
    <row r="7876" spans="1:14" s="347" customFormat="1" x14ac:dyDescent="0.25">
      <c r="A7876" s="369"/>
      <c r="E7876" s="396"/>
      <c r="F7876" s="396"/>
      <c r="G7876" s="396"/>
      <c r="K7876" s="370"/>
      <c r="N7876" s="370"/>
    </row>
    <row r="7877" spans="1:14" s="347" customFormat="1" x14ac:dyDescent="0.25">
      <c r="A7877" s="369"/>
      <c r="E7877" s="396"/>
      <c r="F7877" s="396"/>
      <c r="G7877" s="396"/>
      <c r="K7877" s="370"/>
      <c r="N7877" s="370"/>
    </row>
    <row r="7878" spans="1:14" s="347" customFormat="1" x14ac:dyDescent="0.25">
      <c r="A7878" s="369"/>
      <c r="E7878" s="396"/>
      <c r="F7878" s="396"/>
      <c r="G7878" s="396"/>
      <c r="K7878" s="370"/>
      <c r="N7878" s="370"/>
    </row>
    <row r="7879" spans="1:14" s="347" customFormat="1" x14ac:dyDescent="0.25">
      <c r="A7879" s="369"/>
      <c r="E7879" s="396"/>
      <c r="F7879" s="396"/>
      <c r="G7879" s="396"/>
      <c r="K7879" s="370"/>
      <c r="N7879" s="370"/>
    </row>
    <row r="7880" spans="1:14" s="347" customFormat="1" x14ac:dyDescent="0.25">
      <c r="A7880" s="369"/>
      <c r="E7880" s="396"/>
      <c r="F7880" s="396"/>
      <c r="G7880" s="396"/>
      <c r="K7880" s="370"/>
      <c r="N7880" s="370"/>
    </row>
    <row r="7881" spans="1:14" s="347" customFormat="1" x14ac:dyDescent="0.25">
      <c r="A7881" s="369"/>
      <c r="E7881" s="396"/>
      <c r="F7881" s="396"/>
      <c r="G7881" s="396"/>
      <c r="K7881" s="370"/>
      <c r="N7881" s="370"/>
    </row>
    <row r="7882" spans="1:14" s="347" customFormat="1" x14ac:dyDescent="0.25">
      <c r="A7882" s="369"/>
      <c r="E7882" s="396"/>
      <c r="F7882" s="396"/>
      <c r="G7882" s="396"/>
      <c r="K7882" s="370"/>
      <c r="N7882" s="370"/>
    </row>
    <row r="7883" spans="1:14" s="347" customFormat="1" x14ac:dyDescent="0.25">
      <c r="A7883" s="369"/>
      <c r="E7883" s="396"/>
      <c r="F7883" s="396"/>
      <c r="G7883" s="396"/>
      <c r="K7883" s="370"/>
      <c r="N7883" s="370"/>
    </row>
    <row r="7884" spans="1:14" s="347" customFormat="1" x14ac:dyDescent="0.25">
      <c r="A7884" s="369"/>
      <c r="E7884" s="396"/>
      <c r="F7884" s="396"/>
      <c r="G7884" s="396"/>
      <c r="K7884" s="370"/>
      <c r="N7884" s="370"/>
    </row>
    <row r="7885" spans="1:14" s="347" customFormat="1" x14ac:dyDescent="0.25">
      <c r="A7885" s="369"/>
      <c r="E7885" s="396"/>
      <c r="F7885" s="396"/>
      <c r="G7885" s="396"/>
      <c r="K7885" s="370"/>
      <c r="N7885" s="370"/>
    </row>
    <row r="7886" spans="1:14" s="347" customFormat="1" x14ac:dyDescent="0.25">
      <c r="A7886" s="369"/>
      <c r="E7886" s="396"/>
      <c r="F7886" s="396"/>
      <c r="G7886" s="396"/>
      <c r="K7886" s="370"/>
      <c r="N7886" s="370"/>
    </row>
    <row r="7887" spans="1:14" s="347" customFormat="1" x14ac:dyDescent="0.25">
      <c r="A7887" s="369"/>
      <c r="E7887" s="396"/>
      <c r="F7887" s="396"/>
      <c r="G7887" s="396"/>
      <c r="K7887" s="370"/>
      <c r="N7887" s="370"/>
    </row>
    <row r="7888" spans="1:14" s="347" customFormat="1" x14ac:dyDescent="0.25">
      <c r="A7888" s="369"/>
      <c r="E7888" s="396"/>
      <c r="F7888" s="396"/>
      <c r="G7888" s="396"/>
      <c r="K7888" s="370"/>
      <c r="N7888" s="370"/>
    </row>
    <row r="7889" spans="1:14" s="347" customFormat="1" x14ac:dyDescent="0.25">
      <c r="A7889" s="369"/>
      <c r="E7889" s="396"/>
      <c r="F7889" s="396"/>
      <c r="G7889" s="396"/>
      <c r="K7889" s="370"/>
      <c r="N7889" s="370"/>
    </row>
    <row r="7890" spans="1:14" s="347" customFormat="1" x14ac:dyDescent="0.25">
      <c r="A7890" s="369"/>
      <c r="E7890" s="396"/>
      <c r="F7890" s="396"/>
      <c r="G7890" s="396"/>
      <c r="K7890" s="370"/>
      <c r="N7890" s="370"/>
    </row>
    <row r="7891" spans="1:14" s="347" customFormat="1" x14ac:dyDescent="0.25">
      <c r="A7891" s="369"/>
      <c r="E7891" s="396"/>
      <c r="F7891" s="396"/>
      <c r="G7891" s="396"/>
      <c r="K7891" s="370"/>
      <c r="N7891" s="370"/>
    </row>
    <row r="7892" spans="1:14" s="347" customFormat="1" x14ac:dyDescent="0.25">
      <c r="A7892" s="369"/>
      <c r="E7892" s="396"/>
      <c r="F7892" s="396"/>
      <c r="G7892" s="396"/>
      <c r="K7892" s="370"/>
      <c r="N7892" s="370"/>
    </row>
    <row r="7893" spans="1:14" s="347" customFormat="1" x14ac:dyDescent="0.25">
      <c r="A7893" s="369"/>
      <c r="E7893" s="396"/>
      <c r="F7893" s="396"/>
      <c r="G7893" s="396"/>
      <c r="K7893" s="370"/>
      <c r="N7893" s="370"/>
    </row>
    <row r="7894" spans="1:14" s="347" customFormat="1" x14ac:dyDescent="0.25">
      <c r="A7894" s="369"/>
      <c r="E7894" s="396"/>
      <c r="F7894" s="396"/>
      <c r="G7894" s="396"/>
      <c r="K7894" s="370"/>
      <c r="N7894" s="370"/>
    </row>
    <row r="7895" spans="1:14" s="347" customFormat="1" x14ac:dyDescent="0.25">
      <c r="A7895" s="369"/>
      <c r="E7895" s="396"/>
      <c r="F7895" s="396"/>
      <c r="G7895" s="396"/>
      <c r="K7895" s="370"/>
      <c r="N7895" s="370"/>
    </row>
    <row r="7896" spans="1:14" s="347" customFormat="1" x14ac:dyDescent="0.25">
      <c r="A7896" s="369"/>
      <c r="E7896" s="396"/>
      <c r="F7896" s="396"/>
      <c r="G7896" s="396"/>
      <c r="K7896" s="370"/>
      <c r="N7896" s="370"/>
    </row>
    <row r="7897" spans="1:14" s="347" customFormat="1" x14ac:dyDescent="0.25">
      <c r="A7897" s="369"/>
      <c r="E7897" s="396"/>
      <c r="F7897" s="396"/>
      <c r="G7897" s="396"/>
      <c r="K7897" s="370"/>
      <c r="N7897" s="370"/>
    </row>
    <row r="7898" spans="1:14" s="347" customFormat="1" x14ac:dyDescent="0.25">
      <c r="A7898" s="369"/>
      <c r="E7898" s="396"/>
      <c r="F7898" s="396"/>
      <c r="G7898" s="396"/>
      <c r="K7898" s="370"/>
      <c r="N7898" s="370"/>
    </row>
    <row r="7899" spans="1:14" s="347" customFormat="1" x14ac:dyDescent="0.25">
      <c r="A7899" s="369"/>
      <c r="E7899" s="396"/>
      <c r="F7899" s="396"/>
      <c r="G7899" s="396"/>
      <c r="K7899" s="370"/>
      <c r="N7899" s="370"/>
    </row>
    <row r="7900" spans="1:14" s="347" customFormat="1" x14ac:dyDescent="0.25">
      <c r="A7900" s="369"/>
      <c r="E7900" s="396"/>
      <c r="F7900" s="396"/>
      <c r="G7900" s="396"/>
      <c r="K7900" s="370"/>
      <c r="N7900" s="370"/>
    </row>
    <row r="7901" spans="1:14" s="347" customFormat="1" x14ac:dyDescent="0.25">
      <c r="A7901" s="369"/>
      <c r="E7901" s="396"/>
      <c r="F7901" s="396"/>
      <c r="G7901" s="396"/>
      <c r="K7901" s="370"/>
      <c r="N7901" s="370"/>
    </row>
    <row r="7902" spans="1:14" s="347" customFormat="1" x14ac:dyDescent="0.25">
      <c r="A7902" s="369"/>
      <c r="E7902" s="396"/>
      <c r="F7902" s="396"/>
      <c r="G7902" s="396"/>
      <c r="K7902" s="370"/>
      <c r="N7902" s="370"/>
    </row>
    <row r="7903" spans="1:14" s="347" customFormat="1" x14ac:dyDescent="0.25">
      <c r="A7903" s="369"/>
      <c r="E7903" s="396"/>
      <c r="F7903" s="396"/>
      <c r="G7903" s="396"/>
      <c r="K7903" s="370"/>
      <c r="N7903" s="370"/>
    </row>
    <row r="7904" spans="1:14" s="347" customFormat="1" x14ac:dyDescent="0.25">
      <c r="A7904" s="369"/>
      <c r="E7904" s="396"/>
      <c r="F7904" s="396"/>
      <c r="G7904" s="396"/>
      <c r="K7904" s="370"/>
      <c r="N7904" s="370"/>
    </row>
    <row r="7905" spans="1:14" s="347" customFormat="1" x14ac:dyDescent="0.25">
      <c r="A7905" s="369"/>
      <c r="E7905" s="396"/>
      <c r="F7905" s="396"/>
      <c r="G7905" s="396"/>
      <c r="K7905" s="370"/>
      <c r="N7905" s="370"/>
    </row>
    <row r="7906" spans="1:14" s="347" customFormat="1" x14ac:dyDescent="0.25">
      <c r="A7906" s="369"/>
      <c r="E7906" s="396"/>
      <c r="F7906" s="396"/>
      <c r="G7906" s="396"/>
      <c r="K7906" s="370"/>
      <c r="N7906" s="370"/>
    </row>
    <row r="7907" spans="1:14" s="347" customFormat="1" x14ac:dyDescent="0.25">
      <c r="A7907" s="369"/>
      <c r="E7907" s="396"/>
      <c r="F7907" s="396"/>
      <c r="G7907" s="396"/>
      <c r="K7907" s="370"/>
      <c r="N7907" s="370"/>
    </row>
    <row r="7908" spans="1:14" s="347" customFormat="1" x14ac:dyDescent="0.25">
      <c r="A7908" s="369"/>
      <c r="E7908" s="396"/>
      <c r="F7908" s="396"/>
      <c r="G7908" s="396"/>
      <c r="K7908" s="370"/>
      <c r="N7908" s="370"/>
    </row>
    <row r="7909" spans="1:14" s="347" customFormat="1" x14ac:dyDescent="0.25">
      <c r="A7909" s="369"/>
      <c r="E7909" s="396"/>
      <c r="F7909" s="396"/>
      <c r="G7909" s="396"/>
      <c r="K7909" s="370"/>
      <c r="N7909" s="370"/>
    </row>
    <row r="7910" spans="1:14" s="347" customFormat="1" x14ac:dyDescent="0.25">
      <c r="A7910" s="369"/>
      <c r="E7910" s="396"/>
      <c r="F7910" s="396"/>
      <c r="G7910" s="396"/>
      <c r="K7910" s="370"/>
      <c r="N7910" s="370"/>
    </row>
    <row r="7911" spans="1:14" s="347" customFormat="1" x14ac:dyDescent="0.25">
      <c r="A7911" s="369"/>
      <c r="E7911" s="396"/>
      <c r="F7911" s="396"/>
      <c r="G7911" s="396"/>
      <c r="K7911" s="370"/>
      <c r="N7911" s="370"/>
    </row>
    <row r="7912" spans="1:14" s="347" customFormat="1" x14ac:dyDescent="0.25">
      <c r="A7912" s="369"/>
      <c r="E7912" s="396"/>
      <c r="F7912" s="396"/>
      <c r="G7912" s="396"/>
      <c r="K7912" s="370"/>
      <c r="N7912" s="370"/>
    </row>
    <row r="7913" spans="1:14" s="347" customFormat="1" x14ac:dyDescent="0.25">
      <c r="A7913" s="369"/>
      <c r="E7913" s="396"/>
      <c r="F7913" s="396"/>
      <c r="G7913" s="396"/>
      <c r="K7913" s="370"/>
      <c r="N7913" s="370"/>
    </row>
    <row r="7914" spans="1:14" s="347" customFormat="1" x14ac:dyDescent="0.25">
      <c r="A7914" s="369"/>
      <c r="E7914" s="396"/>
      <c r="F7914" s="396"/>
      <c r="G7914" s="396"/>
      <c r="K7914" s="370"/>
      <c r="N7914" s="370"/>
    </row>
    <row r="7915" spans="1:14" s="347" customFormat="1" x14ac:dyDescent="0.25">
      <c r="A7915" s="369"/>
      <c r="E7915" s="396"/>
      <c r="F7915" s="396"/>
      <c r="G7915" s="396"/>
      <c r="K7915" s="370"/>
      <c r="N7915" s="370"/>
    </row>
    <row r="7916" spans="1:14" s="347" customFormat="1" x14ac:dyDescent="0.25">
      <c r="A7916" s="369"/>
      <c r="E7916" s="396"/>
      <c r="F7916" s="396"/>
      <c r="G7916" s="396"/>
      <c r="K7916" s="370"/>
      <c r="N7916" s="370"/>
    </row>
    <row r="7917" spans="1:14" s="347" customFormat="1" x14ac:dyDescent="0.25">
      <c r="A7917" s="369"/>
      <c r="E7917" s="396"/>
      <c r="F7917" s="396"/>
      <c r="G7917" s="396"/>
      <c r="K7917" s="370"/>
      <c r="N7917" s="370"/>
    </row>
    <row r="7918" spans="1:14" s="347" customFormat="1" x14ac:dyDescent="0.25">
      <c r="A7918" s="369"/>
      <c r="E7918" s="396"/>
      <c r="F7918" s="396"/>
      <c r="G7918" s="396"/>
      <c r="K7918" s="370"/>
      <c r="N7918" s="370"/>
    </row>
    <row r="7919" spans="1:14" s="347" customFormat="1" x14ac:dyDescent="0.25">
      <c r="A7919" s="369"/>
      <c r="E7919" s="396"/>
      <c r="F7919" s="396"/>
      <c r="G7919" s="396"/>
      <c r="K7919" s="370"/>
      <c r="N7919" s="370"/>
    </row>
    <row r="7920" spans="1:14" s="347" customFormat="1" x14ac:dyDescent="0.25">
      <c r="A7920" s="369"/>
      <c r="E7920" s="396"/>
      <c r="F7920" s="396"/>
      <c r="G7920" s="396"/>
      <c r="K7920" s="370"/>
      <c r="N7920" s="370"/>
    </row>
    <row r="7921" spans="1:14" s="347" customFormat="1" x14ac:dyDescent="0.25">
      <c r="A7921" s="369"/>
      <c r="E7921" s="396"/>
      <c r="F7921" s="396"/>
      <c r="G7921" s="396"/>
      <c r="K7921" s="370"/>
      <c r="N7921" s="370"/>
    </row>
    <row r="7922" spans="1:14" s="347" customFormat="1" x14ac:dyDescent="0.25">
      <c r="A7922" s="369"/>
      <c r="E7922" s="396"/>
      <c r="F7922" s="396"/>
      <c r="G7922" s="396"/>
      <c r="K7922" s="370"/>
      <c r="N7922" s="370"/>
    </row>
    <row r="7923" spans="1:14" s="347" customFormat="1" x14ac:dyDescent="0.25">
      <c r="A7923" s="369"/>
      <c r="E7923" s="396"/>
      <c r="F7923" s="396"/>
      <c r="G7923" s="396"/>
      <c r="K7923" s="370"/>
      <c r="N7923" s="370"/>
    </row>
    <row r="7924" spans="1:14" s="347" customFormat="1" x14ac:dyDescent="0.25">
      <c r="A7924" s="369"/>
      <c r="E7924" s="396"/>
      <c r="F7924" s="396"/>
      <c r="G7924" s="396"/>
      <c r="K7924" s="370"/>
      <c r="N7924" s="370"/>
    </row>
    <row r="7925" spans="1:14" s="347" customFormat="1" x14ac:dyDescent="0.25">
      <c r="A7925" s="369"/>
      <c r="E7925" s="396"/>
      <c r="F7925" s="396"/>
      <c r="G7925" s="396"/>
      <c r="K7925" s="370"/>
      <c r="N7925" s="370"/>
    </row>
    <row r="7926" spans="1:14" s="347" customFormat="1" x14ac:dyDescent="0.25">
      <c r="A7926" s="369"/>
      <c r="E7926" s="396"/>
      <c r="F7926" s="396"/>
      <c r="G7926" s="396"/>
      <c r="K7926" s="370"/>
      <c r="N7926" s="370"/>
    </row>
    <row r="7927" spans="1:14" s="347" customFormat="1" x14ac:dyDescent="0.25">
      <c r="A7927" s="369"/>
      <c r="E7927" s="396"/>
      <c r="F7927" s="396"/>
      <c r="G7927" s="396"/>
      <c r="K7927" s="370"/>
      <c r="N7927" s="370"/>
    </row>
    <row r="7928" spans="1:14" s="347" customFormat="1" x14ac:dyDescent="0.25">
      <c r="A7928" s="369"/>
      <c r="E7928" s="396"/>
      <c r="F7928" s="396"/>
      <c r="G7928" s="396"/>
      <c r="K7928" s="370"/>
      <c r="N7928" s="370"/>
    </row>
    <row r="7929" spans="1:14" s="347" customFormat="1" x14ac:dyDescent="0.25">
      <c r="A7929" s="369"/>
      <c r="E7929" s="396"/>
      <c r="F7929" s="396"/>
      <c r="G7929" s="396"/>
      <c r="K7929" s="370"/>
      <c r="N7929" s="370"/>
    </row>
    <row r="7930" spans="1:14" s="347" customFormat="1" x14ac:dyDescent="0.25">
      <c r="A7930" s="369"/>
      <c r="E7930" s="396"/>
      <c r="F7930" s="396"/>
      <c r="G7930" s="396"/>
      <c r="K7930" s="370"/>
      <c r="N7930" s="370"/>
    </row>
    <row r="7931" spans="1:14" s="347" customFormat="1" x14ac:dyDescent="0.25">
      <c r="A7931" s="369"/>
      <c r="E7931" s="396"/>
      <c r="F7931" s="396"/>
      <c r="G7931" s="396"/>
      <c r="K7931" s="370"/>
      <c r="N7931" s="370"/>
    </row>
    <row r="7932" spans="1:14" s="347" customFormat="1" x14ac:dyDescent="0.25">
      <c r="A7932" s="369"/>
      <c r="E7932" s="396"/>
      <c r="F7932" s="396"/>
      <c r="G7932" s="396"/>
      <c r="K7932" s="370"/>
      <c r="N7932" s="370"/>
    </row>
    <row r="7933" spans="1:14" s="347" customFormat="1" x14ac:dyDescent="0.25">
      <c r="A7933" s="369"/>
      <c r="E7933" s="396"/>
      <c r="F7933" s="396"/>
      <c r="G7933" s="396"/>
      <c r="K7933" s="370"/>
      <c r="N7933" s="370"/>
    </row>
    <row r="7934" spans="1:14" s="347" customFormat="1" x14ac:dyDescent="0.25">
      <c r="A7934" s="369"/>
      <c r="E7934" s="396"/>
      <c r="F7934" s="396"/>
      <c r="G7934" s="396"/>
      <c r="K7934" s="370"/>
      <c r="N7934" s="370"/>
    </row>
    <row r="7935" spans="1:14" s="347" customFormat="1" x14ac:dyDescent="0.25">
      <c r="A7935" s="369"/>
      <c r="E7935" s="396"/>
      <c r="F7935" s="396"/>
      <c r="G7935" s="396"/>
      <c r="K7935" s="370"/>
      <c r="N7935" s="370"/>
    </row>
    <row r="7936" spans="1:14" s="347" customFormat="1" x14ac:dyDescent="0.25">
      <c r="A7936" s="369"/>
      <c r="E7936" s="396"/>
      <c r="F7936" s="396"/>
      <c r="G7936" s="396"/>
      <c r="K7936" s="370"/>
      <c r="N7936" s="370"/>
    </row>
    <row r="7937" spans="1:14" s="347" customFormat="1" x14ac:dyDescent="0.25">
      <c r="A7937" s="369"/>
      <c r="E7937" s="396"/>
      <c r="F7937" s="396"/>
      <c r="G7937" s="396"/>
      <c r="K7937" s="370"/>
      <c r="N7937" s="370"/>
    </row>
    <row r="7938" spans="1:14" s="347" customFormat="1" x14ac:dyDescent="0.25">
      <c r="A7938" s="369"/>
      <c r="E7938" s="396"/>
      <c r="F7938" s="396"/>
      <c r="G7938" s="396"/>
      <c r="K7938" s="370"/>
      <c r="N7938" s="370"/>
    </row>
    <row r="7939" spans="1:14" s="347" customFormat="1" x14ac:dyDescent="0.25">
      <c r="A7939" s="369"/>
      <c r="E7939" s="396"/>
      <c r="F7939" s="396"/>
      <c r="G7939" s="396"/>
      <c r="K7939" s="370"/>
      <c r="N7939" s="370"/>
    </row>
    <row r="7940" spans="1:14" s="347" customFormat="1" x14ac:dyDescent="0.25">
      <c r="A7940" s="369"/>
      <c r="E7940" s="396"/>
      <c r="F7940" s="396"/>
      <c r="G7940" s="396"/>
      <c r="K7940" s="370"/>
      <c r="N7940" s="370"/>
    </row>
    <row r="7941" spans="1:14" s="347" customFormat="1" x14ac:dyDescent="0.25">
      <c r="A7941" s="369"/>
      <c r="E7941" s="396"/>
      <c r="F7941" s="396"/>
      <c r="G7941" s="396"/>
      <c r="K7941" s="370"/>
      <c r="N7941" s="370"/>
    </row>
    <row r="7942" spans="1:14" s="347" customFormat="1" x14ac:dyDescent="0.25">
      <c r="A7942" s="369"/>
      <c r="E7942" s="396"/>
      <c r="F7942" s="396"/>
      <c r="G7942" s="396"/>
      <c r="K7942" s="370"/>
      <c r="N7942" s="370"/>
    </row>
    <row r="7943" spans="1:14" s="347" customFormat="1" x14ac:dyDescent="0.25">
      <c r="A7943" s="369"/>
      <c r="E7943" s="396"/>
      <c r="F7943" s="396"/>
      <c r="G7943" s="396"/>
      <c r="K7943" s="370"/>
      <c r="N7943" s="370"/>
    </row>
    <row r="7944" spans="1:14" s="347" customFormat="1" x14ac:dyDescent="0.25">
      <c r="A7944" s="369"/>
      <c r="E7944" s="396"/>
      <c r="F7944" s="396"/>
      <c r="G7944" s="396"/>
      <c r="K7944" s="370"/>
      <c r="N7944" s="370"/>
    </row>
    <row r="7945" spans="1:14" s="347" customFormat="1" x14ac:dyDescent="0.25">
      <c r="A7945" s="369"/>
      <c r="E7945" s="396"/>
      <c r="F7945" s="396"/>
      <c r="G7945" s="396"/>
      <c r="K7945" s="370"/>
      <c r="N7945" s="370"/>
    </row>
    <row r="7946" spans="1:14" s="347" customFormat="1" x14ac:dyDescent="0.25">
      <c r="A7946" s="369"/>
      <c r="E7946" s="396"/>
      <c r="F7946" s="396"/>
      <c r="G7946" s="396"/>
      <c r="K7946" s="370"/>
      <c r="N7946" s="370"/>
    </row>
    <row r="7947" spans="1:14" s="347" customFormat="1" x14ac:dyDescent="0.25">
      <c r="A7947" s="369"/>
      <c r="E7947" s="396"/>
      <c r="F7947" s="396"/>
      <c r="G7947" s="396"/>
      <c r="K7947" s="370"/>
      <c r="N7947" s="370"/>
    </row>
    <row r="7948" spans="1:14" s="347" customFormat="1" x14ac:dyDescent="0.25">
      <c r="A7948" s="369"/>
      <c r="E7948" s="396"/>
      <c r="F7948" s="396"/>
      <c r="G7948" s="396"/>
      <c r="K7948" s="370"/>
      <c r="N7948" s="370"/>
    </row>
    <row r="7949" spans="1:14" s="347" customFormat="1" x14ac:dyDescent="0.25">
      <c r="A7949" s="369"/>
      <c r="E7949" s="396"/>
      <c r="F7949" s="396"/>
      <c r="G7949" s="396"/>
      <c r="K7949" s="370"/>
      <c r="N7949" s="370"/>
    </row>
    <row r="7950" spans="1:14" s="347" customFormat="1" x14ac:dyDescent="0.25">
      <c r="A7950" s="369"/>
      <c r="E7950" s="396"/>
      <c r="F7950" s="396"/>
      <c r="G7950" s="396"/>
      <c r="K7950" s="370"/>
      <c r="N7950" s="370"/>
    </row>
    <row r="7951" spans="1:14" s="347" customFormat="1" x14ac:dyDescent="0.25">
      <c r="A7951" s="369"/>
      <c r="E7951" s="396"/>
      <c r="F7951" s="396"/>
      <c r="G7951" s="396"/>
      <c r="K7951" s="370"/>
      <c r="N7951" s="370"/>
    </row>
    <row r="7952" spans="1:14" s="347" customFormat="1" x14ac:dyDescent="0.25">
      <c r="A7952" s="369"/>
      <c r="E7952" s="396"/>
      <c r="F7952" s="396"/>
      <c r="G7952" s="396"/>
      <c r="K7952" s="370"/>
      <c r="N7952" s="370"/>
    </row>
    <row r="7953" spans="1:14" s="347" customFormat="1" x14ac:dyDescent="0.25">
      <c r="A7953" s="369"/>
      <c r="E7953" s="396"/>
      <c r="F7953" s="396"/>
      <c r="G7953" s="396"/>
      <c r="K7953" s="370"/>
      <c r="N7953" s="370"/>
    </row>
    <row r="7954" spans="1:14" s="347" customFormat="1" x14ac:dyDescent="0.25">
      <c r="A7954" s="369"/>
      <c r="E7954" s="396"/>
      <c r="F7954" s="396"/>
      <c r="G7954" s="396"/>
      <c r="K7954" s="370"/>
      <c r="N7954" s="370"/>
    </row>
    <row r="7955" spans="1:14" s="347" customFormat="1" x14ac:dyDescent="0.25">
      <c r="A7955" s="369"/>
      <c r="E7955" s="396"/>
      <c r="F7955" s="396"/>
      <c r="G7955" s="396"/>
      <c r="K7955" s="370"/>
      <c r="N7955" s="370"/>
    </row>
    <row r="7956" spans="1:14" s="347" customFormat="1" x14ac:dyDescent="0.25">
      <c r="A7956" s="369"/>
      <c r="E7956" s="396"/>
      <c r="F7956" s="396"/>
      <c r="G7956" s="396"/>
      <c r="K7956" s="370"/>
      <c r="N7956" s="370"/>
    </row>
    <row r="7957" spans="1:14" s="347" customFormat="1" x14ac:dyDescent="0.25">
      <c r="A7957" s="369"/>
      <c r="E7957" s="396"/>
      <c r="F7957" s="396"/>
      <c r="G7957" s="396"/>
      <c r="K7957" s="370"/>
      <c r="N7957" s="370"/>
    </row>
    <row r="7958" spans="1:14" s="347" customFormat="1" x14ac:dyDescent="0.25">
      <c r="A7958" s="369"/>
      <c r="E7958" s="396"/>
      <c r="F7958" s="396"/>
      <c r="G7958" s="396"/>
      <c r="K7958" s="370"/>
      <c r="N7958" s="370"/>
    </row>
    <row r="7959" spans="1:14" s="347" customFormat="1" x14ac:dyDescent="0.25">
      <c r="A7959" s="369"/>
      <c r="E7959" s="396"/>
      <c r="F7959" s="396"/>
      <c r="G7959" s="396"/>
      <c r="K7959" s="370"/>
      <c r="N7959" s="370"/>
    </row>
    <row r="7960" spans="1:14" s="347" customFormat="1" x14ac:dyDescent="0.25">
      <c r="A7960" s="369"/>
      <c r="E7960" s="396"/>
      <c r="F7960" s="396"/>
      <c r="G7960" s="396"/>
      <c r="K7960" s="370"/>
      <c r="N7960" s="370"/>
    </row>
    <row r="7961" spans="1:14" s="347" customFormat="1" x14ac:dyDescent="0.25">
      <c r="A7961" s="369"/>
      <c r="E7961" s="396"/>
      <c r="F7961" s="396"/>
      <c r="G7961" s="396"/>
      <c r="K7961" s="370"/>
      <c r="N7961" s="370"/>
    </row>
    <row r="7962" spans="1:14" s="347" customFormat="1" x14ac:dyDescent="0.25">
      <c r="A7962" s="369"/>
      <c r="E7962" s="396"/>
      <c r="F7962" s="396"/>
      <c r="G7962" s="396"/>
      <c r="K7962" s="370"/>
      <c r="N7962" s="370"/>
    </row>
    <row r="7963" spans="1:14" s="347" customFormat="1" x14ac:dyDescent="0.25">
      <c r="A7963" s="369"/>
      <c r="E7963" s="396"/>
      <c r="F7963" s="396"/>
      <c r="G7963" s="396"/>
      <c r="K7963" s="370"/>
      <c r="N7963" s="370"/>
    </row>
    <row r="7964" spans="1:14" s="347" customFormat="1" x14ac:dyDescent="0.25">
      <c r="A7964" s="369"/>
      <c r="E7964" s="396"/>
      <c r="F7964" s="396"/>
      <c r="G7964" s="396"/>
      <c r="K7964" s="370"/>
      <c r="N7964" s="370"/>
    </row>
    <row r="7965" spans="1:14" s="347" customFormat="1" x14ac:dyDescent="0.25">
      <c r="A7965" s="369"/>
      <c r="E7965" s="396"/>
      <c r="F7965" s="396"/>
      <c r="G7965" s="396"/>
      <c r="K7965" s="370"/>
      <c r="N7965" s="370"/>
    </row>
    <row r="7966" spans="1:14" s="347" customFormat="1" x14ac:dyDescent="0.25">
      <c r="A7966" s="369"/>
      <c r="E7966" s="396"/>
      <c r="F7966" s="396"/>
      <c r="G7966" s="396"/>
      <c r="K7966" s="370"/>
      <c r="N7966" s="370"/>
    </row>
    <row r="7967" spans="1:14" s="347" customFormat="1" x14ac:dyDescent="0.25">
      <c r="A7967" s="369"/>
      <c r="E7967" s="396"/>
      <c r="F7967" s="396"/>
      <c r="G7967" s="396"/>
      <c r="K7967" s="370"/>
      <c r="N7967" s="370"/>
    </row>
    <row r="7968" spans="1:14" s="347" customFormat="1" x14ac:dyDescent="0.25">
      <c r="A7968" s="369"/>
      <c r="E7968" s="396"/>
      <c r="F7968" s="396"/>
      <c r="G7968" s="396"/>
      <c r="K7968" s="370"/>
      <c r="N7968" s="370"/>
    </row>
    <row r="7969" spans="1:14" s="347" customFormat="1" x14ac:dyDescent="0.25">
      <c r="A7969" s="369"/>
      <c r="E7969" s="396"/>
      <c r="F7969" s="396"/>
      <c r="G7969" s="396"/>
      <c r="K7969" s="370"/>
      <c r="N7969" s="370"/>
    </row>
    <row r="7970" spans="1:14" s="347" customFormat="1" x14ac:dyDescent="0.25">
      <c r="A7970" s="369"/>
      <c r="E7970" s="396"/>
      <c r="F7970" s="396"/>
      <c r="G7970" s="396"/>
      <c r="K7970" s="370"/>
      <c r="N7970" s="370"/>
    </row>
    <row r="7971" spans="1:14" s="347" customFormat="1" x14ac:dyDescent="0.25">
      <c r="A7971" s="369"/>
      <c r="E7971" s="396"/>
      <c r="F7971" s="396"/>
      <c r="G7971" s="396"/>
      <c r="K7971" s="370"/>
      <c r="N7971" s="370"/>
    </row>
    <row r="7972" spans="1:14" s="347" customFormat="1" x14ac:dyDescent="0.25">
      <c r="A7972" s="369"/>
      <c r="E7972" s="396"/>
      <c r="F7972" s="396"/>
      <c r="G7972" s="396"/>
      <c r="K7972" s="370"/>
      <c r="N7972" s="370"/>
    </row>
    <row r="7973" spans="1:14" s="347" customFormat="1" x14ac:dyDescent="0.25">
      <c r="A7973" s="369"/>
      <c r="E7973" s="396"/>
      <c r="F7973" s="396"/>
      <c r="G7973" s="396"/>
      <c r="K7973" s="370"/>
      <c r="N7973" s="370"/>
    </row>
    <row r="7974" spans="1:14" s="347" customFormat="1" x14ac:dyDescent="0.25">
      <c r="A7974" s="369"/>
      <c r="E7974" s="396"/>
      <c r="F7974" s="396"/>
      <c r="G7974" s="396"/>
      <c r="K7974" s="370"/>
      <c r="N7974" s="370"/>
    </row>
    <row r="7975" spans="1:14" s="347" customFormat="1" x14ac:dyDescent="0.25">
      <c r="A7975" s="369"/>
      <c r="E7975" s="396"/>
      <c r="F7975" s="396"/>
      <c r="G7975" s="396"/>
      <c r="K7975" s="370"/>
      <c r="N7975" s="370"/>
    </row>
    <row r="7976" spans="1:14" s="347" customFormat="1" x14ac:dyDescent="0.25">
      <c r="A7976" s="369"/>
      <c r="E7976" s="396"/>
      <c r="F7976" s="396"/>
      <c r="G7976" s="396"/>
      <c r="K7976" s="370"/>
      <c r="N7976" s="370"/>
    </row>
    <row r="7977" spans="1:14" s="347" customFormat="1" x14ac:dyDescent="0.25">
      <c r="A7977" s="369"/>
      <c r="E7977" s="396"/>
      <c r="F7977" s="396"/>
      <c r="G7977" s="396"/>
      <c r="K7977" s="370"/>
      <c r="N7977" s="370"/>
    </row>
    <row r="7978" spans="1:14" s="347" customFormat="1" x14ac:dyDescent="0.25">
      <c r="A7978" s="369"/>
      <c r="E7978" s="396"/>
      <c r="F7978" s="396"/>
      <c r="G7978" s="396"/>
      <c r="K7978" s="370"/>
      <c r="N7978" s="370"/>
    </row>
    <row r="7979" spans="1:14" s="347" customFormat="1" x14ac:dyDescent="0.25">
      <c r="A7979" s="369"/>
      <c r="E7979" s="396"/>
      <c r="F7979" s="396"/>
      <c r="G7979" s="396"/>
      <c r="K7979" s="370"/>
      <c r="N7979" s="370"/>
    </row>
    <row r="7980" spans="1:14" s="347" customFormat="1" x14ac:dyDescent="0.25">
      <c r="A7980" s="369"/>
      <c r="E7980" s="396"/>
      <c r="F7980" s="396"/>
      <c r="G7980" s="396"/>
      <c r="K7980" s="370"/>
      <c r="N7980" s="370"/>
    </row>
    <row r="7981" spans="1:14" s="347" customFormat="1" x14ac:dyDescent="0.25">
      <c r="A7981" s="369"/>
      <c r="E7981" s="396"/>
      <c r="F7981" s="396"/>
      <c r="G7981" s="396"/>
      <c r="K7981" s="370"/>
      <c r="N7981" s="370"/>
    </row>
    <row r="7982" spans="1:14" s="347" customFormat="1" x14ac:dyDescent="0.25">
      <c r="A7982" s="369"/>
      <c r="E7982" s="396"/>
      <c r="F7982" s="396"/>
      <c r="G7982" s="396"/>
      <c r="K7982" s="370"/>
      <c r="N7982" s="370"/>
    </row>
    <row r="7983" spans="1:14" s="347" customFormat="1" x14ac:dyDescent="0.25">
      <c r="A7983" s="369"/>
      <c r="E7983" s="396"/>
      <c r="F7983" s="396"/>
      <c r="G7983" s="396"/>
      <c r="K7983" s="370"/>
      <c r="N7983" s="370"/>
    </row>
    <row r="7984" spans="1:14" s="347" customFormat="1" x14ac:dyDescent="0.25">
      <c r="A7984" s="369"/>
      <c r="E7984" s="396"/>
      <c r="F7984" s="396"/>
      <c r="G7984" s="396"/>
      <c r="K7984" s="370"/>
      <c r="N7984" s="370"/>
    </row>
    <row r="7985" spans="1:14" s="347" customFormat="1" x14ac:dyDescent="0.25">
      <c r="A7985" s="369"/>
      <c r="E7985" s="396"/>
      <c r="F7985" s="396"/>
      <c r="G7985" s="396"/>
      <c r="K7985" s="370"/>
      <c r="N7985" s="370"/>
    </row>
    <row r="7986" spans="1:14" s="347" customFormat="1" x14ac:dyDescent="0.25">
      <c r="A7986" s="369"/>
      <c r="E7986" s="396"/>
      <c r="F7986" s="396"/>
      <c r="G7986" s="396"/>
      <c r="K7986" s="370"/>
      <c r="N7986" s="370"/>
    </row>
    <row r="7987" spans="1:14" s="347" customFormat="1" x14ac:dyDescent="0.25">
      <c r="A7987" s="369"/>
      <c r="E7987" s="396"/>
      <c r="F7987" s="396"/>
      <c r="G7987" s="396"/>
      <c r="K7987" s="370"/>
      <c r="N7987" s="370"/>
    </row>
    <row r="7988" spans="1:14" s="347" customFormat="1" x14ac:dyDescent="0.25">
      <c r="A7988" s="369"/>
      <c r="E7988" s="396"/>
      <c r="F7988" s="396"/>
      <c r="G7988" s="396"/>
      <c r="K7988" s="370"/>
      <c r="N7988" s="370"/>
    </row>
    <row r="7989" spans="1:14" s="347" customFormat="1" x14ac:dyDescent="0.25">
      <c r="A7989" s="369"/>
      <c r="E7989" s="396"/>
      <c r="F7989" s="396"/>
      <c r="G7989" s="396"/>
      <c r="K7989" s="370"/>
      <c r="N7989" s="370"/>
    </row>
    <row r="7990" spans="1:14" s="347" customFormat="1" x14ac:dyDescent="0.25">
      <c r="A7990" s="369"/>
      <c r="E7990" s="396"/>
      <c r="F7990" s="396"/>
      <c r="G7990" s="396"/>
      <c r="K7990" s="370"/>
      <c r="N7990" s="370"/>
    </row>
    <row r="7991" spans="1:14" s="347" customFormat="1" x14ac:dyDescent="0.25">
      <c r="A7991" s="369"/>
      <c r="E7991" s="396"/>
      <c r="F7991" s="396"/>
      <c r="G7991" s="396"/>
      <c r="K7991" s="370"/>
      <c r="N7991" s="370"/>
    </row>
    <row r="7992" spans="1:14" s="347" customFormat="1" x14ac:dyDescent="0.25">
      <c r="A7992" s="369"/>
      <c r="E7992" s="396"/>
      <c r="F7992" s="396"/>
      <c r="G7992" s="396"/>
      <c r="K7992" s="370"/>
      <c r="N7992" s="370"/>
    </row>
    <row r="7993" spans="1:14" s="347" customFormat="1" x14ac:dyDescent="0.25">
      <c r="A7993" s="369"/>
      <c r="E7993" s="396"/>
      <c r="F7993" s="396"/>
      <c r="G7993" s="396"/>
      <c r="K7993" s="370"/>
      <c r="N7993" s="370"/>
    </row>
    <row r="7994" spans="1:14" s="347" customFormat="1" x14ac:dyDescent="0.25">
      <c r="A7994" s="369"/>
      <c r="E7994" s="396"/>
      <c r="F7994" s="396"/>
      <c r="G7994" s="396"/>
      <c r="K7994" s="370"/>
      <c r="N7994" s="370"/>
    </row>
    <row r="7995" spans="1:14" s="347" customFormat="1" x14ac:dyDescent="0.25">
      <c r="A7995" s="369"/>
      <c r="E7995" s="396"/>
      <c r="F7995" s="396"/>
      <c r="G7995" s="396"/>
      <c r="K7995" s="370"/>
      <c r="N7995" s="370"/>
    </row>
    <row r="7996" spans="1:14" s="347" customFormat="1" x14ac:dyDescent="0.25">
      <c r="A7996" s="369"/>
      <c r="E7996" s="396"/>
      <c r="F7996" s="396"/>
      <c r="G7996" s="396"/>
      <c r="K7996" s="370"/>
      <c r="N7996" s="370"/>
    </row>
    <row r="7997" spans="1:14" s="347" customFormat="1" x14ac:dyDescent="0.25">
      <c r="A7997" s="369"/>
      <c r="E7997" s="396"/>
      <c r="F7997" s="396"/>
      <c r="G7997" s="396"/>
      <c r="K7997" s="370"/>
      <c r="N7997" s="370"/>
    </row>
    <row r="7998" spans="1:14" s="347" customFormat="1" x14ac:dyDescent="0.25">
      <c r="A7998" s="369"/>
      <c r="E7998" s="396"/>
      <c r="F7998" s="396"/>
      <c r="G7998" s="396"/>
      <c r="K7998" s="370"/>
      <c r="N7998" s="370"/>
    </row>
    <row r="7999" spans="1:14" s="347" customFormat="1" x14ac:dyDescent="0.25">
      <c r="A7999" s="369"/>
      <c r="E7999" s="396"/>
      <c r="F7999" s="396"/>
      <c r="G7999" s="396"/>
      <c r="K7999" s="370"/>
      <c r="N7999" s="370"/>
    </row>
    <row r="8000" spans="1:14" s="347" customFormat="1" x14ac:dyDescent="0.25">
      <c r="A8000" s="369"/>
      <c r="E8000" s="396"/>
      <c r="F8000" s="396"/>
      <c r="G8000" s="396"/>
      <c r="K8000" s="370"/>
      <c r="N8000" s="370"/>
    </row>
    <row r="8001" spans="1:14" s="347" customFormat="1" x14ac:dyDescent="0.25">
      <c r="A8001" s="369"/>
      <c r="E8001" s="396"/>
      <c r="F8001" s="396"/>
      <c r="G8001" s="396"/>
      <c r="K8001" s="370"/>
      <c r="N8001" s="370"/>
    </row>
    <row r="8002" spans="1:14" s="347" customFormat="1" x14ac:dyDescent="0.25">
      <c r="A8002" s="369"/>
      <c r="E8002" s="396"/>
      <c r="F8002" s="396"/>
      <c r="G8002" s="396"/>
      <c r="K8002" s="370"/>
      <c r="N8002" s="370"/>
    </row>
    <row r="8003" spans="1:14" s="347" customFormat="1" x14ac:dyDescent="0.25">
      <c r="A8003" s="369"/>
      <c r="E8003" s="396"/>
      <c r="F8003" s="396"/>
      <c r="G8003" s="396"/>
      <c r="K8003" s="370"/>
      <c r="N8003" s="370"/>
    </row>
    <row r="8004" spans="1:14" s="347" customFormat="1" x14ac:dyDescent="0.25">
      <c r="A8004" s="369"/>
      <c r="E8004" s="396"/>
      <c r="F8004" s="396"/>
      <c r="G8004" s="396"/>
      <c r="K8004" s="370"/>
      <c r="N8004" s="370"/>
    </row>
    <row r="8005" spans="1:14" s="347" customFormat="1" x14ac:dyDescent="0.25">
      <c r="A8005" s="369"/>
      <c r="E8005" s="396"/>
      <c r="F8005" s="396"/>
      <c r="G8005" s="396"/>
      <c r="K8005" s="370"/>
      <c r="N8005" s="370"/>
    </row>
    <row r="8006" spans="1:14" s="347" customFormat="1" x14ac:dyDescent="0.25">
      <c r="A8006" s="369"/>
      <c r="E8006" s="396"/>
      <c r="F8006" s="396"/>
      <c r="G8006" s="396"/>
      <c r="K8006" s="370"/>
      <c r="N8006" s="370"/>
    </row>
    <row r="8007" spans="1:14" s="347" customFormat="1" x14ac:dyDescent="0.25">
      <c r="A8007" s="369"/>
      <c r="E8007" s="396"/>
      <c r="F8007" s="396"/>
      <c r="G8007" s="396"/>
      <c r="K8007" s="370"/>
      <c r="N8007" s="370"/>
    </row>
    <row r="8008" spans="1:14" s="347" customFormat="1" x14ac:dyDescent="0.25">
      <c r="A8008" s="369"/>
      <c r="E8008" s="396"/>
      <c r="F8008" s="396"/>
      <c r="G8008" s="396"/>
      <c r="K8008" s="370"/>
      <c r="N8008" s="370"/>
    </row>
    <row r="8009" spans="1:14" s="347" customFormat="1" x14ac:dyDescent="0.25">
      <c r="A8009" s="369"/>
      <c r="E8009" s="396"/>
      <c r="F8009" s="396"/>
      <c r="G8009" s="396"/>
      <c r="K8009" s="370"/>
      <c r="N8009" s="370"/>
    </row>
    <row r="8010" spans="1:14" s="347" customFormat="1" x14ac:dyDescent="0.25">
      <c r="A8010" s="369"/>
      <c r="E8010" s="396"/>
      <c r="F8010" s="396"/>
      <c r="G8010" s="396"/>
      <c r="K8010" s="370"/>
      <c r="N8010" s="370"/>
    </row>
    <row r="8011" spans="1:14" s="347" customFormat="1" x14ac:dyDescent="0.25">
      <c r="A8011" s="369"/>
      <c r="E8011" s="396"/>
      <c r="F8011" s="396"/>
      <c r="G8011" s="396"/>
      <c r="K8011" s="370"/>
      <c r="N8011" s="370"/>
    </row>
    <row r="8012" spans="1:14" s="347" customFormat="1" x14ac:dyDescent="0.25">
      <c r="A8012" s="369"/>
      <c r="E8012" s="396"/>
      <c r="F8012" s="396"/>
      <c r="G8012" s="396"/>
      <c r="K8012" s="370"/>
      <c r="N8012" s="370"/>
    </row>
    <row r="8013" spans="1:14" s="347" customFormat="1" x14ac:dyDescent="0.25">
      <c r="A8013" s="369"/>
      <c r="E8013" s="396"/>
      <c r="F8013" s="396"/>
      <c r="G8013" s="396"/>
      <c r="K8013" s="370"/>
      <c r="N8013" s="370"/>
    </row>
    <row r="8014" spans="1:14" s="347" customFormat="1" x14ac:dyDescent="0.25">
      <c r="A8014" s="369"/>
      <c r="E8014" s="396"/>
      <c r="F8014" s="396"/>
      <c r="G8014" s="396"/>
      <c r="K8014" s="370"/>
      <c r="N8014" s="370"/>
    </row>
    <row r="8015" spans="1:14" s="347" customFormat="1" x14ac:dyDescent="0.25">
      <c r="A8015" s="369"/>
      <c r="E8015" s="396"/>
      <c r="F8015" s="396"/>
      <c r="G8015" s="396"/>
      <c r="K8015" s="370"/>
      <c r="N8015" s="370"/>
    </row>
    <row r="8016" spans="1:14" s="347" customFormat="1" x14ac:dyDescent="0.25">
      <c r="A8016" s="369"/>
      <c r="E8016" s="396"/>
      <c r="F8016" s="396"/>
      <c r="G8016" s="396"/>
      <c r="K8016" s="370"/>
      <c r="N8016" s="370"/>
    </row>
    <row r="8017" spans="1:14" s="347" customFormat="1" x14ac:dyDescent="0.25">
      <c r="A8017" s="369"/>
      <c r="E8017" s="396"/>
      <c r="F8017" s="396"/>
      <c r="G8017" s="396"/>
      <c r="K8017" s="370"/>
      <c r="N8017" s="370"/>
    </row>
    <row r="8018" spans="1:14" s="347" customFormat="1" x14ac:dyDescent="0.25">
      <c r="A8018" s="369"/>
      <c r="E8018" s="396"/>
      <c r="F8018" s="396"/>
      <c r="G8018" s="396"/>
      <c r="K8018" s="370"/>
      <c r="N8018" s="370"/>
    </row>
    <row r="8019" spans="1:14" s="347" customFormat="1" x14ac:dyDescent="0.25">
      <c r="A8019" s="369"/>
      <c r="E8019" s="396"/>
      <c r="F8019" s="396"/>
      <c r="G8019" s="396"/>
      <c r="K8019" s="370"/>
      <c r="N8019" s="370"/>
    </row>
    <row r="8020" spans="1:14" s="347" customFormat="1" x14ac:dyDescent="0.25">
      <c r="A8020" s="369"/>
      <c r="E8020" s="396"/>
      <c r="F8020" s="396"/>
      <c r="G8020" s="396"/>
      <c r="K8020" s="370"/>
      <c r="N8020" s="370"/>
    </row>
    <row r="8021" spans="1:14" s="347" customFormat="1" x14ac:dyDescent="0.25">
      <c r="A8021" s="369"/>
      <c r="E8021" s="396"/>
      <c r="F8021" s="396"/>
      <c r="G8021" s="396"/>
      <c r="K8021" s="370"/>
      <c r="N8021" s="370"/>
    </row>
    <row r="8022" spans="1:14" s="347" customFormat="1" x14ac:dyDescent="0.25">
      <c r="A8022" s="369"/>
      <c r="E8022" s="396"/>
      <c r="F8022" s="396"/>
      <c r="G8022" s="396"/>
      <c r="K8022" s="370"/>
      <c r="N8022" s="370"/>
    </row>
    <row r="8023" spans="1:14" s="347" customFormat="1" x14ac:dyDescent="0.25">
      <c r="A8023" s="369"/>
      <c r="E8023" s="396"/>
      <c r="F8023" s="396"/>
      <c r="G8023" s="396"/>
      <c r="K8023" s="370"/>
      <c r="N8023" s="370"/>
    </row>
    <row r="8024" spans="1:14" s="347" customFormat="1" x14ac:dyDescent="0.25">
      <c r="A8024" s="369"/>
      <c r="E8024" s="396"/>
      <c r="F8024" s="396"/>
      <c r="G8024" s="396"/>
      <c r="K8024" s="370"/>
      <c r="N8024" s="370"/>
    </row>
    <row r="8025" spans="1:14" s="347" customFormat="1" x14ac:dyDescent="0.25">
      <c r="A8025" s="369"/>
      <c r="E8025" s="396"/>
      <c r="F8025" s="396"/>
      <c r="G8025" s="396"/>
      <c r="K8025" s="370"/>
      <c r="N8025" s="370"/>
    </row>
    <row r="8026" spans="1:14" s="347" customFormat="1" x14ac:dyDescent="0.25">
      <c r="A8026" s="369"/>
      <c r="E8026" s="396"/>
      <c r="F8026" s="396"/>
      <c r="G8026" s="396"/>
      <c r="K8026" s="370"/>
      <c r="N8026" s="370"/>
    </row>
    <row r="8027" spans="1:14" s="347" customFormat="1" x14ac:dyDescent="0.25">
      <c r="A8027" s="369"/>
      <c r="E8027" s="396"/>
      <c r="F8027" s="396"/>
      <c r="G8027" s="396"/>
      <c r="K8027" s="370"/>
      <c r="N8027" s="370"/>
    </row>
    <row r="8028" spans="1:14" s="347" customFormat="1" x14ac:dyDescent="0.25">
      <c r="A8028" s="369"/>
      <c r="E8028" s="396"/>
      <c r="F8028" s="396"/>
      <c r="G8028" s="396"/>
      <c r="K8028" s="370"/>
      <c r="N8028" s="370"/>
    </row>
    <row r="8029" spans="1:14" s="347" customFormat="1" x14ac:dyDescent="0.25">
      <c r="A8029" s="369"/>
      <c r="E8029" s="396"/>
      <c r="F8029" s="396"/>
      <c r="G8029" s="396"/>
      <c r="K8029" s="370"/>
      <c r="N8029" s="370"/>
    </row>
    <row r="8030" spans="1:14" s="347" customFormat="1" x14ac:dyDescent="0.25">
      <c r="A8030" s="369"/>
      <c r="E8030" s="396"/>
      <c r="F8030" s="396"/>
      <c r="G8030" s="396"/>
      <c r="K8030" s="370"/>
      <c r="N8030" s="370"/>
    </row>
    <row r="8031" spans="1:14" s="347" customFormat="1" x14ac:dyDescent="0.25">
      <c r="A8031" s="369"/>
      <c r="E8031" s="396"/>
      <c r="F8031" s="396"/>
      <c r="G8031" s="396"/>
      <c r="K8031" s="370"/>
      <c r="N8031" s="370"/>
    </row>
    <row r="8032" spans="1:14" s="347" customFormat="1" x14ac:dyDescent="0.25">
      <c r="A8032" s="369"/>
      <c r="E8032" s="396"/>
      <c r="F8032" s="396"/>
      <c r="G8032" s="396"/>
      <c r="K8032" s="370"/>
      <c r="N8032" s="370"/>
    </row>
    <row r="8033" spans="1:14" s="347" customFormat="1" x14ac:dyDescent="0.25">
      <c r="A8033" s="369"/>
      <c r="E8033" s="396"/>
      <c r="F8033" s="396"/>
      <c r="G8033" s="396"/>
      <c r="K8033" s="370"/>
      <c r="N8033" s="370"/>
    </row>
    <row r="8034" spans="1:14" s="347" customFormat="1" x14ac:dyDescent="0.25">
      <c r="A8034" s="369"/>
      <c r="E8034" s="396"/>
      <c r="F8034" s="396"/>
      <c r="G8034" s="396"/>
      <c r="K8034" s="370"/>
      <c r="N8034" s="370"/>
    </row>
    <row r="8035" spans="1:14" s="347" customFormat="1" x14ac:dyDescent="0.25">
      <c r="A8035" s="369"/>
      <c r="E8035" s="396"/>
      <c r="F8035" s="396"/>
      <c r="G8035" s="396"/>
      <c r="K8035" s="370"/>
      <c r="N8035" s="370"/>
    </row>
    <row r="8036" spans="1:14" s="347" customFormat="1" x14ac:dyDescent="0.25">
      <c r="A8036" s="369"/>
      <c r="E8036" s="396"/>
      <c r="F8036" s="396"/>
      <c r="G8036" s="396"/>
      <c r="K8036" s="370"/>
      <c r="N8036" s="370"/>
    </row>
    <row r="8037" spans="1:14" s="347" customFormat="1" x14ac:dyDescent="0.25">
      <c r="A8037" s="369"/>
      <c r="E8037" s="396"/>
      <c r="F8037" s="396"/>
      <c r="G8037" s="396"/>
      <c r="K8037" s="370"/>
      <c r="N8037" s="370"/>
    </row>
    <row r="8038" spans="1:14" s="347" customFormat="1" x14ac:dyDescent="0.25">
      <c r="A8038" s="369"/>
      <c r="E8038" s="396"/>
      <c r="F8038" s="396"/>
      <c r="G8038" s="396"/>
      <c r="K8038" s="370"/>
      <c r="N8038" s="370"/>
    </row>
    <row r="8039" spans="1:14" s="347" customFormat="1" x14ac:dyDescent="0.25">
      <c r="A8039" s="369"/>
      <c r="E8039" s="396"/>
      <c r="F8039" s="396"/>
      <c r="G8039" s="396"/>
      <c r="K8039" s="370"/>
      <c r="N8039" s="370"/>
    </row>
    <row r="8040" spans="1:14" s="347" customFormat="1" x14ac:dyDescent="0.25">
      <c r="A8040" s="369"/>
      <c r="E8040" s="396"/>
      <c r="F8040" s="396"/>
      <c r="G8040" s="396"/>
      <c r="K8040" s="370"/>
      <c r="N8040" s="370"/>
    </row>
    <row r="8041" spans="1:14" s="347" customFormat="1" x14ac:dyDescent="0.25">
      <c r="A8041" s="369"/>
      <c r="E8041" s="396"/>
      <c r="F8041" s="396"/>
      <c r="G8041" s="396"/>
      <c r="K8041" s="370"/>
      <c r="N8041" s="370"/>
    </row>
    <row r="8042" spans="1:14" s="347" customFormat="1" x14ac:dyDescent="0.25">
      <c r="A8042" s="369"/>
      <c r="E8042" s="396"/>
      <c r="F8042" s="396"/>
      <c r="G8042" s="396"/>
      <c r="K8042" s="370"/>
      <c r="N8042" s="370"/>
    </row>
    <row r="8043" spans="1:14" s="347" customFormat="1" x14ac:dyDescent="0.25">
      <c r="A8043" s="369"/>
      <c r="E8043" s="396"/>
      <c r="F8043" s="396"/>
      <c r="G8043" s="396"/>
      <c r="K8043" s="370"/>
      <c r="N8043" s="370"/>
    </row>
    <row r="8044" spans="1:14" s="347" customFormat="1" x14ac:dyDescent="0.25">
      <c r="A8044" s="369"/>
      <c r="E8044" s="396"/>
      <c r="F8044" s="396"/>
      <c r="G8044" s="396"/>
      <c r="K8044" s="370"/>
      <c r="N8044" s="370"/>
    </row>
    <row r="8045" spans="1:14" s="347" customFormat="1" x14ac:dyDescent="0.25">
      <c r="A8045" s="369"/>
      <c r="E8045" s="396"/>
      <c r="F8045" s="396"/>
      <c r="G8045" s="396"/>
      <c r="K8045" s="370"/>
      <c r="N8045" s="370"/>
    </row>
    <row r="8046" spans="1:14" s="347" customFormat="1" x14ac:dyDescent="0.25">
      <c r="A8046" s="369"/>
      <c r="E8046" s="396"/>
      <c r="F8046" s="396"/>
      <c r="G8046" s="396"/>
      <c r="K8046" s="370"/>
      <c r="N8046" s="370"/>
    </row>
    <row r="8047" spans="1:14" s="347" customFormat="1" x14ac:dyDescent="0.25">
      <c r="A8047" s="369"/>
      <c r="E8047" s="396"/>
      <c r="F8047" s="396"/>
      <c r="G8047" s="396"/>
      <c r="K8047" s="370"/>
      <c r="N8047" s="370"/>
    </row>
    <row r="8048" spans="1:14" s="347" customFormat="1" x14ac:dyDescent="0.25">
      <c r="A8048" s="369"/>
      <c r="E8048" s="396"/>
      <c r="F8048" s="396"/>
      <c r="G8048" s="396"/>
      <c r="K8048" s="370"/>
      <c r="N8048" s="370"/>
    </row>
    <row r="8049" spans="1:14" s="347" customFormat="1" x14ac:dyDescent="0.25">
      <c r="A8049" s="369"/>
      <c r="E8049" s="396"/>
      <c r="F8049" s="396"/>
      <c r="G8049" s="396"/>
      <c r="K8049" s="370"/>
      <c r="N8049" s="370"/>
    </row>
    <row r="8050" spans="1:14" s="347" customFormat="1" x14ac:dyDescent="0.25">
      <c r="A8050" s="369"/>
      <c r="E8050" s="396"/>
      <c r="F8050" s="396"/>
      <c r="G8050" s="396"/>
      <c r="K8050" s="370"/>
      <c r="N8050" s="370"/>
    </row>
    <row r="8051" spans="1:14" s="347" customFormat="1" x14ac:dyDescent="0.25">
      <c r="A8051" s="369"/>
      <c r="E8051" s="396"/>
      <c r="F8051" s="396"/>
      <c r="G8051" s="396"/>
      <c r="K8051" s="370"/>
      <c r="N8051" s="370"/>
    </row>
    <row r="8052" spans="1:14" s="347" customFormat="1" x14ac:dyDescent="0.25">
      <c r="A8052" s="369"/>
      <c r="E8052" s="396"/>
      <c r="F8052" s="396"/>
      <c r="G8052" s="396"/>
      <c r="K8052" s="370"/>
      <c r="N8052" s="370"/>
    </row>
    <row r="8053" spans="1:14" s="347" customFormat="1" x14ac:dyDescent="0.25">
      <c r="A8053" s="369"/>
      <c r="E8053" s="396"/>
      <c r="F8053" s="396"/>
      <c r="G8053" s="396"/>
      <c r="K8053" s="370"/>
      <c r="N8053" s="370"/>
    </row>
    <row r="8054" spans="1:14" s="347" customFormat="1" x14ac:dyDescent="0.25">
      <c r="A8054" s="369"/>
      <c r="E8054" s="396"/>
      <c r="F8054" s="396"/>
      <c r="G8054" s="396"/>
      <c r="K8054" s="370"/>
      <c r="N8054" s="370"/>
    </row>
    <row r="8055" spans="1:14" s="347" customFormat="1" x14ac:dyDescent="0.25">
      <c r="A8055" s="369"/>
      <c r="E8055" s="396"/>
      <c r="F8055" s="396"/>
      <c r="G8055" s="396"/>
      <c r="K8055" s="370"/>
      <c r="N8055" s="370"/>
    </row>
    <row r="8056" spans="1:14" s="347" customFormat="1" x14ac:dyDescent="0.25">
      <c r="A8056" s="369"/>
      <c r="E8056" s="396"/>
      <c r="F8056" s="396"/>
      <c r="G8056" s="396"/>
      <c r="K8056" s="370"/>
      <c r="N8056" s="370"/>
    </row>
    <row r="8057" spans="1:14" s="347" customFormat="1" x14ac:dyDescent="0.25">
      <c r="A8057" s="369"/>
      <c r="E8057" s="396"/>
      <c r="F8057" s="396"/>
      <c r="G8057" s="396"/>
      <c r="K8057" s="370"/>
      <c r="N8057" s="370"/>
    </row>
    <row r="8058" spans="1:14" s="347" customFormat="1" x14ac:dyDescent="0.25">
      <c r="A8058" s="369"/>
      <c r="E8058" s="396"/>
      <c r="F8058" s="396"/>
      <c r="G8058" s="396"/>
      <c r="K8058" s="370"/>
      <c r="N8058" s="370"/>
    </row>
    <row r="8059" spans="1:14" s="347" customFormat="1" x14ac:dyDescent="0.25">
      <c r="A8059" s="369"/>
      <c r="E8059" s="396"/>
      <c r="F8059" s="396"/>
      <c r="G8059" s="396"/>
      <c r="K8059" s="370"/>
      <c r="N8059" s="370"/>
    </row>
    <row r="8060" spans="1:14" s="347" customFormat="1" x14ac:dyDescent="0.25">
      <c r="A8060" s="369"/>
      <c r="E8060" s="396"/>
      <c r="F8060" s="396"/>
      <c r="G8060" s="396"/>
      <c r="K8060" s="370"/>
      <c r="N8060" s="370"/>
    </row>
    <row r="8061" spans="1:14" s="347" customFormat="1" x14ac:dyDescent="0.25">
      <c r="A8061" s="369"/>
      <c r="E8061" s="396"/>
      <c r="F8061" s="396"/>
      <c r="G8061" s="396"/>
      <c r="K8061" s="370"/>
      <c r="N8061" s="370"/>
    </row>
    <row r="8062" spans="1:14" s="347" customFormat="1" x14ac:dyDescent="0.25">
      <c r="A8062" s="369"/>
      <c r="E8062" s="396"/>
      <c r="F8062" s="396"/>
      <c r="G8062" s="396"/>
      <c r="K8062" s="370"/>
      <c r="N8062" s="370"/>
    </row>
    <row r="8063" spans="1:14" s="347" customFormat="1" x14ac:dyDescent="0.25">
      <c r="A8063" s="369"/>
      <c r="E8063" s="396"/>
      <c r="F8063" s="396"/>
      <c r="G8063" s="396"/>
      <c r="K8063" s="370"/>
      <c r="N8063" s="370"/>
    </row>
    <row r="8064" spans="1:14" s="347" customFormat="1" x14ac:dyDescent="0.25">
      <c r="A8064" s="369"/>
      <c r="E8064" s="396"/>
      <c r="F8064" s="396"/>
      <c r="G8064" s="396"/>
      <c r="K8064" s="370"/>
      <c r="N8064" s="370"/>
    </row>
    <row r="8065" spans="1:14" s="347" customFormat="1" x14ac:dyDescent="0.25">
      <c r="A8065" s="369"/>
      <c r="E8065" s="396"/>
      <c r="F8065" s="396"/>
      <c r="G8065" s="396"/>
      <c r="K8065" s="370"/>
      <c r="N8065" s="370"/>
    </row>
    <row r="8066" spans="1:14" s="347" customFormat="1" x14ac:dyDescent="0.25">
      <c r="A8066" s="369"/>
      <c r="E8066" s="396"/>
      <c r="F8066" s="396"/>
      <c r="G8066" s="396"/>
      <c r="K8066" s="370"/>
      <c r="N8066" s="370"/>
    </row>
    <row r="8067" spans="1:14" s="347" customFormat="1" x14ac:dyDescent="0.25">
      <c r="A8067" s="369"/>
      <c r="E8067" s="396"/>
      <c r="F8067" s="396"/>
      <c r="G8067" s="396"/>
      <c r="K8067" s="370"/>
      <c r="N8067" s="370"/>
    </row>
    <row r="8068" spans="1:14" s="347" customFormat="1" x14ac:dyDescent="0.25">
      <c r="A8068" s="369"/>
      <c r="E8068" s="396"/>
      <c r="F8068" s="396"/>
      <c r="G8068" s="396"/>
      <c r="K8068" s="370"/>
      <c r="N8068" s="370"/>
    </row>
    <row r="8069" spans="1:14" s="347" customFormat="1" x14ac:dyDescent="0.25">
      <c r="A8069" s="369"/>
      <c r="E8069" s="396"/>
      <c r="F8069" s="396"/>
      <c r="G8069" s="396"/>
      <c r="K8069" s="370"/>
      <c r="N8069" s="370"/>
    </row>
    <row r="8070" spans="1:14" s="347" customFormat="1" x14ac:dyDescent="0.25">
      <c r="A8070" s="369"/>
      <c r="E8070" s="396"/>
      <c r="F8070" s="396"/>
      <c r="G8070" s="396"/>
      <c r="K8070" s="370"/>
      <c r="N8070" s="370"/>
    </row>
    <row r="8071" spans="1:14" s="347" customFormat="1" x14ac:dyDescent="0.25">
      <c r="A8071" s="369"/>
      <c r="E8071" s="396"/>
      <c r="F8071" s="396"/>
      <c r="G8071" s="396"/>
      <c r="K8071" s="370"/>
      <c r="N8071" s="370"/>
    </row>
    <row r="8072" spans="1:14" s="347" customFormat="1" x14ac:dyDescent="0.25">
      <c r="A8072" s="369"/>
      <c r="E8072" s="396"/>
      <c r="F8072" s="396"/>
      <c r="G8072" s="396"/>
      <c r="K8072" s="370"/>
      <c r="N8072" s="370"/>
    </row>
    <row r="8073" spans="1:14" s="347" customFormat="1" x14ac:dyDescent="0.25">
      <c r="A8073" s="369"/>
      <c r="E8073" s="396"/>
      <c r="F8073" s="396"/>
      <c r="G8073" s="396"/>
      <c r="K8073" s="370"/>
      <c r="N8073" s="370"/>
    </row>
    <row r="8074" spans="1:14" s="347" customFormat="1" x14ac:dyDescent="0.25">
      <c r="A8074" s="369"/>
      <c r="E8074" s="396"/>
      <c r="F8074" s="396"/>
      <c r="G8074" s="396"/>
      <c r="K8074" s="370"/>
      <c r="N8074" s="370"/>
    </row>
    <row r="8075" spans="1:14" s="347" customFormat="1" x14ac:dyDescent="0.25">
      <c r="A8075" s="369"/>
      <c r="E8075" s="396"/>
      <c r="F8075" s="396"/>
      <c r="G8075" s="396"/>
      <c r="K8075" s="370"/>
      <c r="N8075" s="370"/>
    </row>
    <row r="8076" spans="1:14" s="347" customFormat="1" x14ac:dyDescent="0.25">
      <c r="A8076" s="369"/>
      <c r="E8076" s="396"/>
      <c r="F8076" s="396"/>
      <c r="G8076" s="396"/>
      <c r="K8076" s="370"/>
      <c r="N8076" s="370"/>
    </row>
    <row r="8077" spans="1:14" s="347" customFormat="1" x14ac:dyDescent="0.25">
      <c r="A8077" s="369"/>
      <c r="E8077" s="396"/>
      <c r="F8077" s="396"/>
      <c r="G8077" s="396"/>
      <c r="K8077" s="370"/>
      <c r="N8077" s="370"/>
    </row>
    <row r="8078" spans="1:14" s="347" customFormat="1" x14ac:dyDescent="0.25">
      <c r="A8078" s="369"/>
      <c r="E8078" s="396"/>
      <c r="F8078" s="396"/>
      <c r="G8078" s="396"/>
      <c r="K8078" s="370"/>
      <c r="N8078" s="370"/>
    </row>
    <row r="8079" spans="1:14" s="347" customFormat="1" x14ac:dyDescent="0.25">
      <c r="A8079" s="369"/>
      <c r="E8079" s="396"/>
      <c r="F8079" s="396"/>
      <c r="G8079" s="396"/>
      <c r="K8079" s="370"/>
      <c r="N8079" s="370"/>
    </row>
    <row r="8080" spans="1:14" s="347" customFormat="1" x14ac:dyDescent="0.25">
      <c r="A8080" s="369"/>
      <c r="E8080" s="396"/>
      <c r="F8080" s="396"/>
      <c r="G8080" s="396"/>
      <c r="K8080" s="370"/>
      <c r="N8080" s="370"/>
    </row>
    <row r="8081" spans="1:14" s="347" customFormat="1" x14ac:dyDescent="0.25">
      <c r="A8081" s="369"/>
      <c r="E8081" s="396"/>
      <c r="F8081" s="396"/>
      <c r="G8081" s="396"/>
      <c r="K8081" s="370"/>
      <c r="N8081" s="370"/>
    </row>
    <row r="8082" spans="1:14" s="347" customFormat="1" x14ac:dyDescent="0.25">
      <c r="A8082" s="369"/>
      <c r="E8082" s="396"/>
      <c r="F8082" s="396"/>
      <c r="G8082" s="396"/>
      <c r="K8082" s="370"/>
      <c r="N8082" s="370"/>
    </row>
    <row r="8083" spans="1:14" s="347" customFormat="1" x14ac:dyDescent="0.25">
      <c r="A8083" s="369"/>
      <c r="E8083" s="396"/>
      <c r="F8083" s="396"/>
      <c r="G8083" s="396"/>
      <c r="K8083" s="370"/>
      <c r="N8083" s="370"/>
    </row>
    <row r="8084" spans="1:14" s="347" customFormat="1" x14ac:dyDescent="0.25">
      <c r="A8084" s="369"/>
      <c r="E8084" s="396"/>
      <c r="F8084" s="396"/>
      <c r="G8084" s="396"/>
      <c r="K8084" s="370"/>
      <c r="N8084" s="370"/>
    </row>
    <row r="8085" spans="1:14" s="347" customFormat="1" x14ac:dyDescent="0.25">
      <c r="A8085" s="369"/>
      <c r="E8085" s="396"/>
      <c r="F8085" s="396"/>
      <c r="G8085" s="396"/>
      <c r="K8085" s="370"/>
      <c r="N8085" s="370"/>
    </row>
    <row r="8086" spans="1:14" s="347" customFormat="1" x14ac:dyDescent="0.25">
      <c r="A8086" s="369"/>
      <c r="E8086" s="396"/>
      <c r="F8086" s="396"/>
      <c r="G8086" s="396"/>
      <c r="K8086" s="370"/>
      <c r="N8086" s="370"/>
    </row>
    <row r="8087" spans="1:14" s="347" customFormat="1" x14ac:dyDescent="0.25">
      <c r="A8087" s="369"/>
      <c r="E8087" s="396"/>
      <c r="F8087" s="396"/>
      <c r="G8087" s="396"/>
      <c r="K8087" s="370"/>
      <c r="N8087" s="370"/>
    </row>
    <row r="8088" spans="1:14" s="347" customFormat="1" x14ac:dyDescent="0.25">
      <c r="A8088" s="369"/>
      <c r="E8088" s="396"/>
      <c r="F8088" s="396"/>
      <c r="G8088" s="396"/>
      <c r="K8088" s="370"/>
      <c r="N8088" s="370"/>
    </row>
    <row r="8089" spans="1:14" s="347" customFormat="1" x14ac:dyDescent="0.25">
      <c r="A8089" s="369"/>
      <c r="E8089" s="396"/>
      <c r="F8089" s="396"/>
      <c r="G8089" s="396"/>
      <c r="K8089" s="370"/>
      <c r="N8089" s="370"/>
    </row>
    <row r="8090" spans="1:14" s="347" customFormat="1" x14ac:dyDescent="0.25">
      <c r="A8090" s="369"/>
      <c r="E8090" s="396"/>
      <c r="F8090" s="396"/>
      <c r="G8090" s="396"/>
      <c r="K8090" s="370"/>
      <c r="N8090" s="370"/>
    </row>
    <row r="8091" spans="1:14" s="347" customFormat="1" x14ac:dyDescent="0.25">
      <c r="A8091" s="369"/>
      <c r="E8091" s="396"/>
      <c r="F8091" s="396"/>
      <c r="G8091" s="396"/>
      <c r="K8091" s="370"/>
      <c r="N8091" s="370"/>
    </row>
    <row r="8092" spans="1:14" s="347" customFormat="1" x14ac:dyDescent="0.25">
      <c r="A8092" s="369"/>
      <c r="E8092" s="396"/>
      <c r="F8092" s="396"/>
      <c r="G8092" s="396"/>
      <c r="K8092" s="370"/>
      <c r="N8092" s="370"/>
    </row>
    <row r="8093" spans="1:14" s="347" customFormat="1" x14ac:dyDescent="0.25">
      <c r="A8093" s="369"/>
      <c r="E8093" s="396"/>
      <c r="F8093" s="396"/>
      <c r="G8093" s="396"/>
      <c r="K8093" s="370"/>
      <c r="N8093" s="370"/>
    </row>
    <row r="8094" spans="1:14" s="347" customFormat="1" x14ac:dyDescent="0.25">
      <c r="A8094" s="369"/>
      <c r="E8094" s="396"/>
      <c r="F8094" s="396"/>
      <c r="G8094" s="396"/>
      <c r="K8094" s="370"/>
      <c r="N8094" s="370"/>
    </row>
    <row r="8095" spans="1:14" s="347" customFormat="1" x14ac:dyDescent="0.25">
      <c r="A8095" s="369"/>
      <c r="E8095" s="396"/>
      <c r="F8095" s="396"/>
      <c r="G8095" s="396"/>
      <c r="K8095" s="370"/>
      <c r="N8095" s="370"/>
    </row>
    <row r="8096" spans="1:14" s="347" customFormat="1" x14ac:dyDescent="0.25">
      <c r="A8096" s="369"/>
      <c r="E8096" s="396"/>
      <c r="F8096" s="396"/>
      <c r="G8096" s="396"/>
      <c r="K8096" s="370"/>
      <c r="N8096" s="370"/>
    </row>
    <row r="8097" spans="1:14" s="347" customFormat="1" x14ac:dyDescent="0.25">
      <c r="A8097" s="369"/>
      <c r="E8097" s="396"/>
      <c r="F8097" s="396"/>
      <c r="G8097" s="396"/>
      <c r="K8097" s="370"/>
      <c r="N8097" s="370"/>
    </row>
    <row r="8098" spans="1:14" s="347" customFormat="1" x14ac:dyDescent="0.25">
      <c r="A8098" s="369"/>
      <c r="E8098" s="396"/>
      <c r="F8098" s="396"/>
      <c r="G8098" s="396"/>
      <c r="K8098" s="370"/>
      <c r="N8098" s="370"/>
    </row>
    <row r="8099" spans="1:14" s="347" customFormat="1" x14ac:dyDescent="0.25">
      <c r="A8099" s="369"/>
      <c r="E8099" s="396"/>
      <c r="F8099" s="396"/>
      <c r="G8099" s="396"/>
      <c r="K8099" s="370"/>
      <c r="N8099" s="370"/>
    </row>
    <row r="8100" spans="1:14" s="347" customFormat="1" x14ac:dyDescent="0.25">
      <c r="A8100" s="369"/>
      <c r="E8100" s="396"/>
      <c r="F8100" s="396"/>
      <c r="G8100" s="396"/>
      <c r="K8100" s="370"/>
      <c r="N8100" s="370"/>
    </row>
    <row r="8101" spans="1:14" s="347" customFormat="1" x14ac:dyDescent="0.25">
      <c r="A8101" s="369"/>
      <c r="E8101" s="396"/>
      <c r="F8101" s="396"/>
      <c r="G8101" s="396"/>
      <c r="K8101" s="370"/>
      <c r="N8101" s="370"/>
    </row>
    <row r="8102" spans="1:14" s="347" customFormat="1" x14ac:dyDescent="0.25">
      <c r="A8102" s="369"/>
      <c r="E8102" s="396"/>
      <c r="F8102" s="396"/>
      <c r="G8102" s="396"/>
      <c r="K8102" s="370"/>
      <c r="N8102" s="370"/>
    </row>
    <row r="8103" spans="1:14" s="347" customFormat="1" x14ac:dyDescent="0.25">
      <c r="A8103" s="369"/>
      <c r="E8103" s="396"/>
      <c r="F8103" s="396"/>
      <c r="G8103" s="396"/>
      <c r="K8103" s="370"/>
      <c r="N8103" s="370"/>
    </row>
    <row r="8104" spans="1:14" s="347" customFormat="1" x14ac:dyDescent="0.25">
      <c r="A8104" s="369"/>
      <c r="E8104" s="396"/>
      <c r="F8104" s="396"/>
      <c r="G8104" s="396"/>
      <c r="K8104" s="370"/>
      <c r="N8104" s="370"/>
    </row>
    <row r="8105" spans="1:14" s="347" customFormat="1" x14ac:dyDescent="0.25">
      <c r="A8105" s="369"/>
      <c r="E8105" s="396"/>
      <c r="F8105" s="396"/>
      <c r="G8105" s="396"/>
      <c r="K8105" s="370"/>
      <c r="N8105" s="370"/>
    </row>
    <row r="8106" spans="1:14" s="347" customFormat="1" x14ac:dyDescent="0.25">
      <c r="A8106" s="369"/>
      <c r="E8106" s="396"/>
      <c r="F8106" s="396"/>
      <c r="G8106" s="396"/>
      <c r="K8106" s="370"/>
      <c r="N8106" s="370"/>
    </row>
    <row r="8107" spans="1:14" s="347" customFormat="1" x14ac:dyDescent="0.25">
      <c r="A8107" s="369"/>
      <c r="E8107" s="396"/>
      <c r="F8107" s="396"/>
      <c r="G8107" s="396"/>
      <c r="K8107" s="370"/>
      <c r="N8107" s="370"/>
    </row>
    <row r="8108" spans="1:14" s="347" customFormat="1" x14ac:dyDescent="0.25">
      <c r="A8108" s="369"/>
      <c r="E8108" s="396"/>
      <c r="F8108" s="396"/>
      <c r="G8108" s="396"/>
      <c r="K8108" s="370"/>
      <c r="N8108" s="370"/>
    </row>
    <row r="8109" spans="1:14" s="347" customFormat="1" x14ac:dyDescent="0.25">
      <c r="A8109" s="369"/>
      <c r="E8109" s="396"/>
      <c r="F8109" s="396"/>
      <c r="G8109" s="396"/>
      <c r="K8109" s="370"/>
      <c r="N8109" s="370"/>
    </row>
    <row r="8110" spans="1:14" s="347" customFormat="1" x14ac:dyDescent="0.25">
      <c r="A8110" s="369"/>
      <c r="E8110" s="396"/>
      <c r="F8110" s="396"/>
      <c r="G8110" s="396"/>
      <c r="K8110" s="370"/>
      <c r="N8110" s="370"/>
    </row>
    <row r="8111" spans="1:14" s="347" customFormat="1" x14ac:dyDescent="0.25">
      <c r="A8111" s="369"/>
      <c r="E8111" s="396"/>
      <c r="F8111" s="396"/>
      <c r="G8111" s="396"/>
      <c r="K8111" s="370"/>
      <c r="N8111" s="370"/>
    </row>
    <row r="8112" spans="1:14" s="347" customFormat="1" x14ac:dyDescent="0.25">
      <c r="A8112" s="369"/>
      <c r="E8112" s="396"/>
      <c r="F8112" s="396"/>
      <c r="G8112" s="396"/>
      <c r="K8112" s="370"/>
      <c r="N8112" s="370"/>
    </row>
    <row r="8113" spans="1:14" s="347" customFormat="1" x14ac:dyDescent="0.25">
      <c r="A8113" s="369"/>
      <c r="E8113" s="396"/>
      <c r="F8113" s="396"/>
      <c r="G8113" s="396"/>
      <c r="K8113" s="370"/>
      <c r="N8113" s="370"/>
    </row>
    <row r="8114" spans="1:14" s="347" customFormat="1" x14ac:dyDescent="0.25">
      <c r="A8114" s="369"/>
      <c r="E8114" s="396"/>
      <c r="F8114" s="396"/>
      <c r="G8114" s="396"/>
      <c r="K8114" s="370"/>
      <c r="N8114" s="370"/>
    </row>
    <row r="8115" spans="1:14" s="347" customFormat="1" x14ac:dyDescent="0.25">
      <c r="A8115" s="369"/>
      <c r="E8115" s="396"/>
      <c r="F8115" s="396"/>
      <c r="G8115" s="396"/>
      <c r="K8115" s="370"/>
      <c r="N8115" s="370"/>
    </row>
    <row r="8116" spans="1:14" s="347" customFormat="1" x14ac:dyDescent="0.25">
      <c r="A8116" s="369"/>
      <c r="E8116" s="396"/>
      <c r="F8116" s="396"/>
      <c r="G8116" s="396"/>
      <c r="K8116" s="370"/>
      <c r="N8116" s="370"/>
    </row>
    <row r="8117" spans="1:14" s="347" customFormat="1" x14ac:dyDescent="0.25">
      <c r="A8117" s="369"/>
      <c r="E8117" s="396"/>
      <c r="F8117" s="396"/>
      <c r="G8117" s="396"/>
      <c r="K8117" s="370"/>
      <c r="N8117" s="370"/>
    </row>
    <row r="8118" spans="1:14" s="347" customFormat="1" x14ac:dyDescent="0.25">
      <c r="A8118" s="369"/>
      <c r="E8118" s="396"/>
      <c r="F8118" s="396"/>
      <c r="G8118" s="396"/>
      <c r="K8118" s="370"/>
      <c r="N8118" s="370"/>
    </row>
    <row r="8119" spans="1:14" s="347" customFormat="1" x14ac:dyDescent="0.25">
      <c r="A8119" s="369"/>
      <c r="E8119" s="396"/>
      <c r="F8119" s="396"/>
      <c r="G8119" s="396"/>
      <c r="K8119" s="370"/>
      <c r="N8119" s="370"/>
    </row>
    <row r="8120" spans="1:14" s="347" customFormat="1" x14ac:dyDescent="0.25">
      <c r="A8120" s="369"/>
      <c r="E8120" s="396"/>
      <c r="F8120" s="396"/>
      <c r="G8120" s="396"/>
      <c r="K8120" s="370"/>
      <c r="N8120" s="370"/>
    </row>
    <row r="8121" spans="1:14" s="347" customFormat="1" x14ac:dyDescent="0.25">
      <c r="A8121" s="369"/>
      <c r="E8121" s="396"/>
      <c r="F8121" s="396"/>
      <c r="G8121" s="396"/>
      <c r="K8121" s="370"/>
      <c r="N8121" s="370"/>
    </row>
    <row r="8122" spans="1:14" s="347" customFormat="1" x14ac:dyDescent="0.25">
      <c r="A8122" s="369"/>
      <c r="E8122" s="396"/>
      <c r="F8122" s="396"/>
      <c r="G8122" s="396"/>
      <c r="K8122" s="370"/>
      <c r="N8122" s="370"/>
    </row>
    <row r="8123" spans="1:14" s="347" customFormat="1" x14ac:dyDescent="0.25">
      <c r="A8123" s="369"/>
      <c r="E8123" s="396"/>
      <c r="F8123" s="396"/>
      <c r="G8123" s="396"/>
      <c r="K8123" s="370"/>
      <c r="N8123" s="370"/>
    </row>
    <row r="8124" spans="1:14" s="347" customFormat="1" x14ac:dyDescent="0.25">
      <c r="A8124" s="369"/>
      <c r="E8124" s="396"/>
      <c r="F8124" s="396"/>
      <c r="G8124" s="396"/>
      <c r="K8124" s="370"/>
      <c r="N8124" s="370"/>
    </row>
    <row r="8125" spans="1:14" s="347" customFormat="1" x14ac:dyDescent="0.25">
      <c r="A8125" s="369"/>
      <c r="E8125" s="396"/>
      <c r="F8125" s="396"/>
      <c r="G8125" s="396"/>
      <c r="K8125" s="370"/>
      <c r="N8125" s="370"/>
    </row>
    <row r="8126" spans="1:14" s="347" customFormat="1" x14ac:dyDescent="0.25">
      <c r="A8126" s="369"/>
      <c r="E8126" s="396"/>
      <c r="F8126" s="396"/>
      <c r="G8126" s="396"/>
      <c r="K8126" s="370"/>
      <c r="N8126" s="370"/>
    </row>
    <row r="8127" spans="1:14" s="347" customFormat="1" x14ac:dyDescent="0.25">
      <c r="A8127" s="369"/>
      <c r="E8127" s="396"/>
      <c r="F8127" s="396"/>
      <c r="G8127" s="396"/>
      <c r="K8127" s="370"/>
      <c r="N8127" s="370"/>
    </row>
    <row r="8128" spans="1:14" s="347" customFormat="1" x14ac:dyDescent="0.25">
      <c r="A8128" s="369"/>
      <c r="E8128" s="396"/>
      <c r="F8128" s="396"/>
      <c r="G8128" s="396"/>
      <c r="K8128" s="370"/>
      <c r="N8128" s="370"/>
    </row>
    <row r="8129" spans="1:14" s="347" customFormat="1" x14ac:dyDescent="0.25">
      <c r="A8129" s="369"/>
      <c r="E8129" s="396"/>
      <c r="F8129" s="396"/>
      <c r="G8129" s="396"/>
      <c r="K8129" s="370"/>
      <c r="N8129" s="370"/>
    </row>
    <row r="8130" spans="1:14" s="347" customFormat="1" x14ac:dyDescent="0.25">
      <c r="A8130" s="369"/>
      <c r="E8130" s="396"/>
      <c r="F8130" s="396"/>
      <c r="G8130" s="396"/>
      <c r="K8130" s="370"/>
      <c r="N8130" s="370"/>
    </row>
    <row r="8131" spans="1:14" s="347" customFormat="1" x14ac:dyDescent="0.25">
      <c r="A8131" s="369"/>
      <c r="E8131" s="396"/>
      <c r="F8131" s="396"/>
      <c r="G8131" s="396"/>
      <c r="K8131" s="370"/>
      <c r="N8131" s="370"/>
    </row>
    <row r="8132" spans="1:14" s="347" customFormat="1" x14ac:dyDescent="0.25">
      <c r="A8132" s="369"/>
      <c r="E8132" s="396"/>
      <c r="F8132" s="396"/>
      <c r="G8132" s="396"/>
      <c r="K8132" s="370"/>
      <c r="N8132" s="370"/>
    </row>
    <row r="8133" spans="1:14" s="347" customFormat="1" x14ac:dyDescent="0.25">
      <c r="A8133" s="369"/>
      <c r="E8133" s="396"/>
      <c r="F8133" s="396"/>
      <c r="G8133" s="396"/>
      <c r="K8133" s="370"/>
      <c r="N8133" s="370"/>
    </row>
    <row r="8134" spans="1:14" s="347" customFormat="1" x14ac:dyDescent="0.25">
      <c r="A8134" s="369"/>
      <c r="E8134" s="396"/>
      <c r="F8134" s="396"/>
      <c r="G8134" s="396"/>
      <c r="K8134" s="370"/>
      <c r="N8134" s="370"/>
    </row>
    <row r="8135" spans="1:14" s="347" customFormat="1" x14ac:dyDescent="0.25">
      <c r="A8135" s="369"/>
      <c r="E8135" s="396"/>
      <c r="F8135" s="396"/>
      <c r="G8135" s="396"/>
      <c r="K8135" s="370"/>
      <c r="N8135" s="370"/>
    </row>
    <row r="8136" spans="1:14" s="347" customFormat="1" x14ac:dyDescent="0.25">
      <c r="A8136" s="369"/>
      <c r="E8136" s="396"/>
      <c r="F8136" s="396"/>
      <c r="G8136" s="396"/>
      <c r="K8136" s="370"/>
      <c r="N8136" s="370"/>
    </row>
    <row r="8137" spans="1:14" s="347" customFormat="1" x14ac:dyDescent="0.25">
      <c r="A8137" s="369"/>
      <c r="E8137" s="396"/>
      <c r="F8137" s="396"/>
      <c r="G8137" s="396"/>
      <c r="K8137" s="370"/>
      <c r="N8137" s="370"/>
    </row>
    <row r="8138" spans="1:14" s="347" customFormat="1" x14ac:dyDescent="0.25">
      <c r="A8138" s="369"/>
      <c r="E8138" s="396"/>
      <c r="F8138" s="396"/>
      <c r="G8138" s="396"/>
      <c r="K8138" s="370"/>
      <c r="N8138" s="370"/>
    </row>
    <row r="8139" spans="1:14" s="347" customFormat="1" x14ac:dyDescent="0.25">
      <c r="A8139" s="369"/>
      <c r="E8139" s="396"/>
      <c r="F8139" s="396"/>
      <c r="G8139" s="396"/>
      <c r="K8139" s="370"/>
      <c r="N8139" s="370"/>
    </row>
    <row r="8140" spans="1:14" s="347" customFormat="1" x14ac:dyDescent="0.25">
      <c r="A8140" s="369"/>
      <c r="E8140" s="396"/>
      <c r="F8140" s="396"/>
      <c r="G8140" s="396"/>
      <c r="K8140" s="370"/>
      <c r="N8140" s="370"/>
    </row>
    <row r="8141" spans="1:14" s="347" customFormat="1" x14ac:dyDescent="0.25">
      <c r="A8141" s="369"/>
      <c r="E8141" s="396"/>
      <c r="F8141" s="396"/>
      <c r="G8141" s="396"/>
      <c r="K8141" s="370"/>
      <c r="N8141" s="370"/>
    </row>
    <row r="8142" spans="1:14" s="347" customFormat="1" x14ac:dyDescent="0.25">
      <c r="A8142" s="369"/>
      <c r="E8142" s="396"/>
      <c r="F8142" s="396"/>
      <c r="G8142" s="396"/>
      <c r="K8142" s="370"/>
      <c r="N8142" s="370"/>
    </row>
    <row r="8143" spans="1:14" s="347" customFormat="1" x14ac:dyDescent="0.25">
      <c r="A8143" s="369"/>
      <c r="E8143" s="396"/>
      <c r="F8143" s="396"/>
      <c r="G8143" s="396"/>
      <c r="K8143" s="370"/>
      <c r="N8143" s="370"/>
    </row>
    <row r="8144" spans="1:14" s="347" customFormat="1" x14ac:dyDescent="0.25">
      <c r="A8144" s="369"/>
      <c r="E8144" s="396"/>
      <c r="F8144" s="396"/>
      <c r="G8144" s="396"/>
      <c r="K8144" s="370"/>
      <c r="N8144" s="370"/>
    </row>
    <row r="8145" spans="1:14" s="347" customFormat="1" x14ac:dyDescent="0.25">
      <c r="A8145" s="369"/>
      <c r="E8145" s="396"/>
      <c r="F8145" s="396"/>
      <c r="G8145" s="396"/>
      <c r="K8145" s="370"/>
      <c r="N8145" s="370"/>
    </row>
    <row r="8146" spans="1:14" s="347" customFormat="1" x14ac:dyDescent="0.25">
      <c r="A8146" s="369"/>
      <c r="E8146" s="396"/>
      <c r="F8146" s="396"/>
      <c r="G8146" s="396"/>
      <c r="K8146" s="370"/>
      <c r="N8146" s="370"/>
    </row>
    <row r="8147" spans="1:14" s="347" customFormat="1" x14ac:dyDescent="0.25">
      <c r="A8147" s="369"/>
      <c r="E8147" s="396"/>
      <c r="F8147" s="396"/>
      <c r="G8147" s="396"/>
      <c r="K8147" s="370"/>
      <c r="N8147" s="370"/>
    </row>
    <row r="8148" spans="1:14" s="347" customFormat="1" x14ac:dyDescent="0.25">
      <c r="A8148" s="369"/>
      <c r="E8148" s="396"/>
      <c r="F8148" s="396"/>
      <c r="G8148" s="396"/>
      <c r="K8148" s="370"/>
      <c r="N8148" s="370"/>
    </row>
    <row r="8149" spans="1:14" s="347" customFormat="1" x14ac:dyDescent="0.25">
      <c r="A8149" s="369"/>
      <c r="E8149" s="396"/>
      <c r="F8149" s="396"/>
      <c r="G8149" s="396"/>
      <c r="K8149" s="370"/>
      <c r="N8149" s="370"/>
    </row>
    <row r="8150" spans="1:14" s="347" customFormat="1" x14ac:dyDescent="0.25">
      <c r="A8150" s="369"/>
      <c r="E8150" s="396"/>
      <c r="F8150" s="396"/>
      <c r="G8150" s="396"/>
      <c r="K8150" s="370"/>
      <c r="N8150" s="370"/>
    </row>
    <row r="8151" spans="1:14" s="347" customFormat="1" x14ac:dyDescent="0.25">
      <c r="A8151" s="369"/>
      <c r="E8151" s="396"/>
      <c r="F8151" s="396"/>
      <c r="G8151" s="396"/>
      <c r="K8151" s="370"/>
      <c r="N8151" s="370"/>
    </row>
    <row r="8152" spans="1:14" s="347" customFormat="1" x14ac:dyDescent="0.25">
      <c r="A8152" s="369"/>
      <c r="E8152" s="396"/>
      <c r="F8152" s="396"/>
      <c r="G8152" s="396"/>
      <c r="K8152" s="370"/>
      <c r="N8152" s="370"/>
    </row>
    <row r="8153" spans="1:14" s="347" customFormat="1" x14ac:dyDescent="0.25">
      <c r="A8153" s="369"/>
      <c r="E8153" s="396"/>
      <c r="F8153" s="396"/>
      <c r="G8153" s="396"/>
      <c r="K8153" s="370"/>
      <c r="N8153" s="370"/>
    </row>
    <row r="8154" spans="1:14" s="347" customFormat="1" x14ac:dyDescent="0.25">
      <c r="A8154" s="369"/>
      <c r="E8154" s="396"/>
      <c r="F8154" s="396"/>
      <c r="G8154" s="396"/>
      <c r="K8154" s="370"/>
      <c r="N8154" s="370"/>
    </row>
    <row r="8155" spans="1:14" s="347" customFormat="1" x14ac:dyDescent="0.25">
      <c r="A8155" s="369"/>
      <c r="E8155" s="396"/>
      <c r="F8155" s="396"/>
      <c r="G8155" s="396"/>
      <c r="K8155" s="370"/>
      <c r="N8155" s="370"/>
    </row>
    <row r="8156" spans="1:14" s="347" customFormat="1" x14ac:dyDescent="0.25">
      <c r="A8156" s="369"/>
      <c r="E8156" s="396"/>
      <c r="F8156" s="396"/>
      <c r="G8156" s="396"/>
      <c r="K8156" s="370"/>
      <c r="N8156" s="370"/>
    </row>
    <row r="8157" spans="1:14" s="347" customFormat="1" x14ac:dyDescent="0.25">
      <c r="A8157" s="369"/>
      <c r="E8157" s="396"/>
      <c r="F8157" s="396"/>
      <c r="G8157" s="396"/>
      <c r="K8157" s="370"/>
      <c r="N8157" s="370"/>
    </row>
    <row r="8158" spans="1:14" s="347" customFormat="1" x14ac:dyDescent="0.25">
      <c r="A8158" s="369"/>
      <c r="E8158" s="396"/>
      <c r="F8158" s="396"/>
      <c r="G8158" s="396"/>
      <c r="K8158" s="370"/>
      <c r="N8158" s="370"/>
    </row>
    <row r="8159" spans="1:14" s="347" customFormat="1" x14ac:dyDescent="0.25">
      <c r="A8159" s="369"/>
      <c r="E8159" s="396"/>
      <c r="F8159" s="396"/>
      <c r="G8159" s="396"/>
      <c r="K8159" s="370"/>
      <c r="N8159" s="370"/>
    </row>
    <row r="8160" spans="1:14" s="347" customFormat="1" x14ac:dyDescent="0.25">
      <c r="A8160" s="369"/>
      <c r="E8160" s="396"/>
      <c r="F8160" s="396"/>
      <c r="G8160" s="396"/>
      <c r="K8160" s="370"/>
      <c r="N8160" s="370"/>
    </row>
    <row r="8161" spans="1:14" s="347" customFormat="1" x14ac:dyDescent="0.25">
      <c r="A8161" s="369"/>
      <c r="E8161" s="396"/>
      <c r="F8161" s="396"/>
      <c r="G8161" s="396"/>
      <c r="K8161" s="370"/>
      <c r="N8161" s="370"/>
    </row>
    <row r="8162" spans="1:14" s="347" customFormat="1" x14ac:dyDescent="0.25">
      <c r="A8162" s="369"/>
      <c r="E8162" s="396"/>
      <c r="F8162" s="396"/>
      <c r="G8162" s="396"/>
      <c r="K8162" s="370"/>
      <c r="N8162" s="370"/>
    </row>
    <row r="8163" spans="1:14" s="347" customFormat="1" x14ac:dyDescent="0.25">
      <c r="A8163" s="369"/>
      <c r="E8163" s="396"/>
      <c r="F8163" s="396"/>
      <c r="G8163" s="396"/>
      <c r="K8163" s="370"/>
      <c r="N8163" s="370"/>
    </row>
    <row r="8164" spans="1:14" s="347" customFormat="1" x14ac:dyDescent="0.25">
      <c r="A8164" s="369"/>
      <c r="E8164" s="396"/>
      <c r="F8164" s="396"/>
      <c r="G8164" s="396"/>
      <c r="K8164" s="370"/>
      <c r="N8164" s="370"/>
    </row>
    <row r="8165" spans="1:14" s="347" customFormat="1" x14ac:dyDescent="0.25">
      <c r="A8165" s="369"/>
      <c r="E8165" s="396"/>
      <c r="F8165" s="396"/>
      <c r="G8165" s="396"/>
      <c r="K8165" s="370"/>
      <c r="N8165" s="370"/>
    </row>
    <row r="8166" spans="1:14" s="347" customFormat="1" x14ac:dyDescent="0.25">
      <c r="A8166" s="369"/>
      <c r="E8166" s="396"/>
      <c r="F8166" s="396"/>
      <c r="G8166" s="396"/>
      <c r="K8166" s="370"/>
      <c r="N8166" s="370"/>
    </row>
    <row r="8167" spans="1:14" s="347" customFormat="1" x14ac:dyDescent="0.25">
      <c r="A8167" s="369"/>
      <c r="E8167" s="396"/>
      <c r="F8167" s="396"/>
      <c r="G8167" s="396"/>
      <c r="K8167" s="370"/>
      <c r="N8167" s="370"/>
    </row>
    <row r="8168" spans="1:14" s="347" customFormat="1" x14ac:dyDescent="0.25">
      <c r="A8168" s="369"/>
      <c r="E8168" s="396"/>
      <c r="F8168" s="396"/>
      <c r="G8168" s="396"/>
      <c r="K8168" s="370"/>
      <c r="N8168" s="370"/>
    </row>
    <row r="8169" spans="1:14" s="347" customFormat="1" x14ac:dyDescent="0.25">
      <c r="A8169" s="369"/>
      <c r="E8169" s="396"/>
      <c r="F8169" s="396"/>
      <c r="G8169" s="396"/>
      <c r="K8169" s="370"/>
      <c r="N8169" s="370"/>
    </row>
    <row r="8170" spans="1:14" s="347" customFormat="1" x14ac:dyDescent="0.25">
      <c r="A8170" s="369"/>
      <c r="E8170" s="396"/>
      <c r="F8170" s="396"/>
      <c r="G8170" s="396"/>
      <c r="K8170" s="370"/>
      <c r="N8170" s="370"/>
    </row>
    <row r="8171" spans="1:14" s="347" customFormat="1" x14ac:dyDescent="0.25">
      <c r="A8171" s="369"/>
      <c r="E8171" s="396"/>
      <c r="F8171" s="396"/>
      <c r="G8171" s="396"/>
      <c r="K8171" s="370"/>
      <c r="N8171" s="370"/>
    </row>
    <row r="8172" spans="1:14" s="347" customFormat="1" x14ac:dyDescent="0.25">
      <c r="A8172" s="369"/>
      <c r="E8172" s="396"/>
      <c r="F8172" s="396"/>
      <c r="G8172" s="396"/>
      <c r="K8172" s="370"/>
      <c r="N8172" s="370"/>
    </row>
    <row r="8173" spans="1:14" s="347" customFormat="1" x14ac:dyDescent="0.25">
      <c r="A8173" s="369"/>
      <c r="E8173" s="396"/>
      <c r="F8173" s="396"/>
      <c r="G8173" s="396"/>
      <c r="K8173" s="370"/>
      <c r="N8173" s="370"/>
    </row>
    <row r="8174" spans="1:14" s="347" customFormat="1" x14ac:dyDescent="0.25">
      <c r="A8174" s="369"/>
      <c r="E8174" s="396"/>
      <c r="F8174" s="396"/>
      <c r="G8174" s="396"/>
      <c r="K8174" s="370"/>
      <c r="N8174" s="370"/>
    </row>
    <row r="8175" spans="1:14" s="347" customFormat="1" x14ac:dyDescent="0.25">
      <c r="A8175" s="369"/>
      <c r="E8175" s="396"/>
      <c r="F8175" s="396"/>
      <c r="G8175" s="396"/>
      <c r="K8175" s="370"/>
      <c r="N8175" s="370"/>
    </row>
    <row r="8176" spans="1:14" s="347" customFormat="1" x14ac:dyDescent="0.25">
      <c r="A8176" s="369"/>
      <c r="E8176" s="396"/>
      <c r="F8176" s="396"/>
      <c r="G8176" s="396"/>
      <c r="K8176" s="370"/>
      <c r="N8176" s="370"/>
    </row>
    <row r="8177" spans="1:14" s="347" customFormat="1" x14ac:dyDescent="0.25">
      <c r="A8177" s="369"/>
      <c r="E8177" s="396"/>
      <c r="F8177" s="396"/>
      <c r="G8177" s="396"/>
      <c r="K8177" s="370"/>
      <c r="N8177" s="370"/>
    </row>
    <row r="8178" spans="1:14" s="347" customFormat="1" x14ac:dyDescent="0.25">
      <c r="A8178" s="369"/>
      <c r="E8178" s="396"/>
      <c r="F8178" s="396"/>
      <c r="G8178" s="396"/>
      <c r="K8178" s="370"/>
      <c r="N8178" s="370"/>
    </row>
    <row r="8179" spans="1:14" s="347" customFormat="1" x14ac:dyDescent="0.25">
      <c r="A8179" s="369"/>
      <c r="E8179" s="396"/>
      <c r="F8179" s="396"/>
      <c r="G8179" s="396"/>
      <c r="K8179" s="370"/>
      <c r="N8179" s="370"/>
    </row>
    <row r="8180" spans="1:14" s="347" customFormat="1" x14ac:dyDescent="0.25">
      <c r="A8180" s="369"/>
      <c r="E8180" s="396"/>
      <c r="F8180" s="396"/>
      <c r="G8180" s="396"/>
      <c r="K8180" s="370"/>
      <c r="N8180" s="370"/>
    </row>
    <row r="8181" spans="1:14" s="347" customFormat="1" x14ac:dyDescent="0.25">
      <c r="A8181" s="369"/>
      <c r="E8181" s="396"/>
      <c r="F8181" s="396"/>
      <c r="G8181" s="396"/>
      <c r="K8181" s="370"/>
      <c r="N8181" s="370"/>
    </row>
    <row r="8182" spans="1:14" s="347" customFormat="1" x14ac:dyDescent="0.25">
      <c r="A8182" s="369"/>
      <c r="E8182" s="396"/>
      <c r="F8182" s="396"/>
      <c r="G8182" s="396"/>
      <c r="K8182" s="370"/>
      <c r="N8182" s="370"/>
    </row>
    <row r="8183" spans="1:14" s="347" customFormat="1" x14ac:dyDescent="0.25">
      <c r="A8183" s="369"/>
      <c r="E8183" s="396"/>
      <c r="F8183" s="396"/>
      <c r="G8183" s="396"/>
      <c r="K8183" s="370"/>
      <c r="N8183" s="370"/>
    </row>
    <row r="8184" spans="1:14" s="347" customFormat="1" x14ac:dyDescent="0.25">
      <c r="A8184" s="369"/>
      <c r="E8184" s="396"/>
      <c r="F8184" s="396"/>
      <c r="G8184" s="396"/>
      <c r="K8184" s="370"/>
      <c r="N8184" s="370"/>
    </row>
    <row r="8185" spans="1:14" s="347" customFormat="1" x14ac:dyDescent="0.25">
      <c r="A8185" s="369"/>
      <c r="E8185" s="396"/>
      <c r="F8185" s="396"/>
      <c r="G8185" s="396"/>
      <c r="K8185" s="370"/>
      <c r="N8185" s="370"/>
    </row>
    <row r="8186" spans="1:14" s="347" customFormat="1" x14ac:dyDescent="0.25">
      <c r="A8186" s="369"/>
      <c r="E8186" s="396"/>
      <c r="F8186" s="396"/>
      <c r="G8186" s="396"/>
      <c r="K8186" s="370"/>
      <c r="N8186" s="370"/>
    </row>
    <row r="8187" spans="1:14" s="347" customFormat="1" x14ac:dyDescent="0.25">
      <c r="A8187" s="369"/>
      <c r="E8187" s="396"/>
      <c r="F8187" s="396"/>
      <c r="G8187" s="396"/>
      <c r="K8187" s="370"/>
      <c r="N8187" s="370"/>
    </row>
    <row r="8188" spans="1:14" s="347" customFormat="1" x14ac:dyDescent="0.25">
      <c r="A8188" s="369"/>
      <c r="E8188" s="396"/>
      <c r="F8188" s="396"/>
      <c r="G8188" s="396"/>
      <c r="K8188" s="370"/>
      <c r="N8188" s="370"/>
    </row>
    <row r="8189" spans="1:14" s="347" customFormat="1" x14ac:dyDescent="0.25">
      <c r="A8189" s="369"/>
      <c r="E8189" s="396"/>
      <c r="F8189" s="396"/>
      <c r="G8189" s="396"/>
      <c r="K8189" s="370"/>
      <c r="N8189" s="370"/>
    </row>
    <row r="8190" spans="1:14" s="347" customFormat="1" x14ac:dyDescent="0.25">
      <c r="A8190" s="369"/>
      <c r="E8190" s="396"/>
      <c r="F8190" s="396"/>
      <c r="G8190" s="396"/>
      <c r="K8190" s="370"/>
      <c r="N8190" s="370"/>
    </row>
    <row r="8191" spans="1:14" s="347" customFormat="1" x14ac:dyDescent="0.25">
      <c r="A8191" s="369"/>
      <c r="E8191" s="396"/>
      <c r="F8191" s="396"/>
      <c r="G8191" s="396"/>
      <c r="K8191" s="370"/>
      <c r="N8191" s="370"/>
    </row>
    <row r="8192" spans="1:14" s="347" customFormat="1" x14ac:dyDescent="0.25">
      <c r="A8192" s="369"/>
      <c r="E8192" s="396"/>
      <c r="F8192" s="396"/>
      <c r="G8192" s="396"/>
      <c r="K8192" s="370"/>
      <c r="N8192" s="370"/>
    </row>
    <row r="8193" spans="1:14" s="347" customFormat="1" x14ac:dyDescent="0.25">
      <c r="A8193" s="369"/>
      <c r="E8193" s="396"/>
      <c r="F8193" s="396"/>
      <c r="G8193" s="396"/>
      <c r="K8193" s="370"/>
      <c r="N8193" s="370"/>
    </row>
    <row r="8194" spans="1:14" s="347" customFormat="1" x14ac:dyDescent="0.25">
      <c r="A8194" s="369"/>
      <c r="E8194" s="396"/>
      <c r="F8194" s="396"/>
      <c r="G8194" s="396"/>
      <c r="K8194" s="370"/>
      <c r="N8194" s="370"/>
    </row>
    <row r="8195" spans="1:14" s="347" customFormat="1" x14ac:dyDescent="0.25">
      <c r="A8195" s="369"/>
      <c r="E8195" s="396"/>
      <c r="F8195" s="396"/>
      <c r="G8195" s="396"/>
      <c r="K8195" s="370"/>
      <c r="N8195" s="370"/>
    </row>
    <row r="8196" spans="1:14" s="347" customFormat="1" x14ac:dyDescent="0.25">
      <c r="A8196" s="369"/>
      <c r="E8196" s="396"/>
      <c r="F8196" s="396"/>
      <c r="G8196" s="396"/>
      <c r="K8196" s="370"/>
      <c r="N8196" s="370"/>
    </row>
    <row r="8197" spans="1:14" s="347" customFormat="1" x14ac:dyDescent="0.25">
      <c r="A8197" s="369"/>
      <c r="E8197" s="396"/>
      <c r="F8197" s="396"/>
      <c r="G8197" s="396"/>
      <c r="K8197" s="370"/>
      <c r="N8197" s="370"/>
    </row>
    <row r="8198" spans="1:14" s="347" customFormat="1" x14ac:dyDescent="0.25">
      <c r="A8198" s="369"/>
      <c r="E8198" s="396"/>
      <c r="F8198" s="396"/>
      <c r="G8198" s="396"/>
      <c r="K8198" s="370"/>
      <c r="N8198" s="370"/>
    </row>
    <row r="8199" spans="1:14" s="347" customFormat="1" x14ac:dyDescent="0.25">
      <c r="A8199" s="369"/>
      <c r="E8199" s="396"/>
      <c r="F8199" s="396"/>
      <c r="G8199" s="396"/>
      <c r="K8199" s="370"/>
      <c r="N8199" s="370"/>
    </row>
    <row r="8200" spans="1:14" s="347" customFormat="1" x14ac:dyDescent="0.25">
      <c r="A8200" s="369"/>
      <c r="E8200" s="396"/>
      <c r="F8200" s="396"/>
      <c r="G8200" s="396"/>
      <c r="K8200" s="370"/>
      <c r="N8200" s="370"/>
    </row>
    <row r="8201" spans="1:14" s="347" customFormat="1" x14ac:dyDescent="0.25">
      <c r="A8201" s="369"/>
      <c r="E8201" s="396"/>
      <c r="F8201" s="396"/>
      <c r="G8201" s="396"/>
      <c r="K8201" s="370"/>
      <c r="N8201" s="370"/>
    </row>
    <row r="8202" spans="1:14" s="347" customFormat="1" x14ac:dyDescent="0.25">
      <c r="A8202" s="369"/>
      <c r="E8202" s="396"/>
      <c r="F8202" s="396"/>
      <c r="G8202" s="396"/>
      <c r="K8202" s="370"/>
      <c r="N8202" s="370"/>
    </row>
    <row r="8203" spans="1:14" s="347" customFormat="1" x14ac:dyDescent="0.25">
      <c r="A8203" s="369"/>
      <c r="E8203" s="396"/>
      <c r="F8203" s="396"/>
      <c r="G8203" s="396"/>
      <c r="K8203" s="370"/>
      <c r="N8203" s="370"/>
    </row>
    <row r="8204" spans="1:14" s="347" customFormat="1" x14ac:dyDescent="0.25">
      <c r="A8204" s="369"/>
      <c r="E8204" s="396"/>
      <c r="F8204" s="396"/>
      <c r="G8204" s="396"/>
      <c r="K8204" s="370"/>
      <c r="N8204" s="370"/>
    </row>
    <row r="8205" spans="1:14" s="347" customFormat="1" x14ac:dyDescent="0.25">
      <c r="A8205" s="369"/>
      <c r="E8205" s="396"/>
      <c r="F8205" s="396"/>
      <c r="G8205" s="396"/>
      <c r="K8205" s="370"/>
      <c r="N8205" s="370"/>
    </row>
    <row r="8206" spans="1:14" s="347" customFormat="1" x14ac:dyDescent="0.25">
      <c r="A8206" s="369"/>
      <c r="E8206" s="396"/>
      <c r="F8206" s="396"/>
      <c r="G8206" s="396"/>
      <c r="K8206" s="370"/>
      <c r="N8206" s="370"/>
    </row>
    <row r="8207" spans="1:14" s="347" customFormat="1" x14ac:dyDescent="0.25">
      <c r="A8207" s="369"/>
      <c r="E8207" s="396"/>
      <c r="F8207" s="396"/>
      <c r="G8207" s="396"/>
      <c r="K8207" s="370"/>
      <c r="N8207" s="370"/>
    </row>
    <row r="8208" spans="1:14" s="347" customFormat="1" x14ac:dyDescent="0.25">
      <c r="A8208" s="369"/>
      <c r="E8208" s="396"/>
      <c r="F8208" s="396"/>
      <c r="G8208" s="396"/>
      <c r="K8208" s="370"/>
      <c r="N8208" s="370"/>
    </row>
    <row r="8209" spans="1:14" s="347" customFormat="1" x14ac:dyDescent="0.25">
      <c r="A8209" s="369"/>
      <c r="E8209" s="396"/>
      <c r="F8209" s="396"/>
      <c r="G8209" s="396"/>
      <c r="K8209" s="370"/>
      <c r="N8209" s="370"/>
    </row>
    <row r="8210" spans="1:14" s="347" customFormat="1" x14ac:dyDescent="0.25">
      <c r="A8210" s="369"/>
      <c r="E8210" s="396"/>
      <c r="F8210" s="396"/>
      <c r="G8210" s="396"/>
      <c r="K8210" s="370"/>
      <c r="N8210" s="370"/>
    </row>
    <row r="8211" spans="1:14" s="347" customFormat="1" x14ac:dyDescent="0.25">
      <c r="A8211" s="369"/>
      <c r="E8211" s="396"/>
      <c r="F8211" s="396"/>
      <c r="G8211" s="396"/>
      <c r="K8211" s="370"/>
      <c r="N8211" s="370"/>
    </row>
    <row r="8212" spans="1:14" s="347" customFormat="1" x14ac:dyDescent="0.25">
      <c r="A8212" s="369"/>
      <c r="E8212" s="396"/>
      <c r="F8212" s="396"/>
      <c r="G8212" s="396"/>
      <c r="K8212" s="370"/>
      <c r="N8212" s="370"/>
    </row>
    <row r="8213" spans="1:14" s="347" customFormat="1" x14ac:dyDescent="0.25">
      <c r="A8213" s="369"/>
      <c r="E8213" s="396"/>
      <c r="F8213" s="396"/>
      <c r="G8213" s="396"/>
      <c r="K8213" s="370"/>
      <c r="N8213" s="370"/>
    </row>
    <row r="8214" spans="1:14" s="347" customFormat="1" x14ac:dyDescent="0.25">
      <c r="A8214" s="369"/>
      <c r="E8214" s="396"/>
      <c r="F8214" s="396"/>
      <c r="G8214" s="396"/>
      <c r="K8214" s="370"/>
      <c r="N8214" s="370"/>
    </row>
    <row r="8215" spans="1:14" s="347" customFormat="1" x14ac:dyDescent="0.25">
      <c r="A8215" s="369"/>
      <c r="E8215" s="396"/>
      <c r="F8215" s="396"/>
      <c r="G8215" s="396"/>
      <c r="K8215" s="370"/>
      <c r="N8215" s="370"/>
    </row>
    <row r="8216" spans="1:14" s="347" customFormat="1" x14ac:dyDescent="0.25">
      <c r="A8216" s="369"/>
      <c r="E8216" s="396"/>
      <c r="F8216" s="396"/>
      <c r="G8216" s="396"/>
      <c r="K8216" s="370"/>
      <c r="N8216" s="370"/>
    </row>
    <row r="8217" spans="1:14" s="347" customFormat="1" x14ac:dyDescent="0.25">
      <c r="A8217" s="369"/>
      <c r="E8217" s="396"/>
      <c r="F8217" s="396"/>
      <c r="G8217" s="396"/>
      <c r="K8217" s="370"/>
      <c r="N8217" s="370"/>
    </row>
    <row r="8218" spans="1:14" s="347" customFormat="1" x14ac:dyDescent="0.25">
      <c r="A8218" s="369"/>
      <c r="E8218" s="396"/>
      <c r="F8218" s="396"/>
      <c r="G8218" s="396"/>
      <c r="K8218" s="370"/>
      <c r="N8218" s="370"/>
    </row>
    <row r="8219" spans="1:14" s="347" customFormat="1" x14ac:dyDescent="0.25">
      <c r="A8219" s="369"/>
      <c r="E8219" s="396"/>
      <c r="F8219" s="396"/>
      <c r="G8219" s="396"/>
      <c r="K8219" s="370"/>
      <c r="N8219" s="370"/>
    </row>
    <row r="8220" spans="1:14" s="347" customFormat="1" x14ac:dyDescent="0.25">
      <c r="A8220" s="369"/>
      <c r="E8220" s="396"/>
      <c r="F8220" s="396"/>
      <c r="G8220" s="396"/>
      <c r="K8220" s="370"/>
      <c r="N8220" s="370"/>
    </row>
    <row r="8221" spans="1:14" s="347" customFormat="1" x14ac:dyDescent="0.25">
      <c r="A8221" s="369"/>
      <c r="E8221" s="396"/>
      <c r="F8221" s="396"/>
      <c r="G8221" s="396"/>
      <c r="K8221" s="370"/>
      <c r="N8221" s="370"/>
    </row>
    <row r="8222" spans="1:14" s="347" customFormat="1" x14ac:dyDescent="0.25">
      <c r="A8222" s="369"/>
      <c r="E8222" s="396"/>
      <c r="F8222" s="396"/>
      <c r="G8222" s="396"/>
      <c r="K8222" s="370"/>
      <c r="N8222" s="370"/>
    </row>
    <row r="8223" spans="1:14" s="347" customFormat="1" x14ac:dyDescent="0.25">
      <c r="A8223" s="369"/>
      <c r="E8223" s="396"/>
      <c r="F8223" s="396"/>
      <c r="G8223" s="396"/>
      <c r="K8223" s="370"/>
      <c r="N8223" s="370"/>
    </row>
    <row r="8224" spans="1:14" s="347" customFormat="1" x14ac:dyDescent="0.25">
      <c r="A8224" s="369"/>
      <c r="E8224" s="396"/>
      <c r="F8224" s="396"/>
      <c r="G8224" s="396"/>
      <c r="K8224" s="370"/>
      <c r="N8224" s="370"/>
    </row>
    <row r="8225" spans="1:14" s="347" customFormat="1" x14ac:dyDescent="0.25">
      <c r="A8225" s="369"/>
      <c r="E8225" s="396"/>
      <c r="F8225" s="396"/>
      <c r="G8225" s="396"/>
      <c r="K8225" s="370"/>
      <c r="N8225" s="370"/>
    </row>
    <row r="8226" spans="1:14" s="347" customFormat="1" x14ac:dyDescent="0.25">
      <c r="A8226" s="369"/>
      <c r="E8226" s="396"/>
      <c r="F8226" s="396"/>
      <c r="G8226" s="396"/>
      <c r="K8226" s="370"/>
      <c r="N8226" s="370"/>
    </row>
    <row r="8227" spans="1:14" s="347" customFormat="1" x14ac:dyDescent="0.25">
      <c r="A8227" s="369"/>
      <c r="E8227" s="396"/>
      <c r="F8227" s="396"/>
      <c r="G8227" s="396"/>
      <c r="K8227" s="370"/>
      <c r="N8227" s="370"/>
    </row>
    <row r="8228" spans="1:14" s="347" customFormat="1" x14ac:dyDescent="0.25">
      <c r="A8228" s="369"/>
      <c r="E8228" s="396"/>
      <c r="F8228" s="396"/>
      <c r="G8228" s="396"/>
      <c r="K8228" s="370"/>
      <c r="N8228" s="370"/>
    </row>
    <row r="8229" spans="1:14" s="347" customFormat="1" x14ac:dyDescent="0.25">
      <c r="A8229" s="369"/>
      <c r="E8229" s="396"/>
      <c r="F8229" s="396"/>
      <c r="G8229" s="396"/>
      <c r="K8229" s="370"/>
      <c r="N8229" s="370"/>
    </row>
    <row r="8230" spans="1:14" s="347" customFormat="1" x14ac:dyDescent="0.25">
      <c r="A8230" s="369"/>
      <c r="E8230" s="396"/>
      <c r="F8230" s="396"/>
      <c r="G8230" s="396"/>
      <c r="K8230" s="370"/>
      <c r="N8230" s="370"/>
    </row>
    <row r="8231" spans="1:14" s="347" customFormat="1" x14ac:dyDescent="0.25">
      <c r="A8231" s="369"/>
      <c r="E8231" s="396"/>
      <c r="F8231" s="396"/>
      <c r="G8231" s="396"/>
      <c r="K8231" s="370"/>
      <c r="N8231" s="370"/>
    </row>
    <row r="8232" spans="1:14" s="347" customFormat="1" x14ac:dyDescent="0.25">
      <c r="A8232" s="369"/>
      <c r="E8232" s="396"/>
      <c r="F8232" s="396"/>
      <c r="G8232" s="396"/>
      <c r="K8232" s="370"/>
      <c r="N8232" s="370"/>
    </row>
    <row r="8233" spans="1:14" s="347" customFormat="1" x14ac:dyDescent="0.25">
      <c r="A8233" s="369"/>
      <c r="E8233" s="396"/>
      <c r="F8233" s="396"/>
      <c r="G8233" s="396"/>
      <c r="K8233" s="370"/>
      <c r="N8233" s="370"/>
    </row>
    <row r="8234" spans="1:14" s="347" customFormat="1" x14ac:dyDescent="0.25">
      <c r="A8234" s="369"/>
      <c r="E8234" s="396"/>
      <c r="F8234" s="396"/>
      <c r="G8234" s="396"/>
      <c r="K8234" s="370"/>
      <c r="N8234" s="370"/>
    </row>
    <row r="8235" spans="1:14" s="347" customFormat="1" x14ac:dyDescent="0.25">
      <c r="A8235" s="369"/>
      <c r="E8235" s="396"/>
      <c r="F8235" s="396"/>
      <c r="G8235" s="396"/>
      <c r="K8235" s="370"/>
      <c r="N8235" s="370"/>
    </row>
    <row r="8236" spans="1:14" s="347" customFormat="1" x14ac:dyDescent="0.25">
      <c r="A8236" s="369"/>
      <c r="E8236" s="396"/>
      <c r="F8236" s="396"/>
      <c r="G8236" s="396"/>
      <c r="K8236" s="370"/>
      <c r="N8236" s="370"/>
    </row>
    <row r="8237" spans="1:14" s="347" customFormat="1" x14ac:dyDescent="0.25">
      <c r="A8237" s="369"/>
      <c r="E8237" s="396"/>
      <c r="F8237" s="396"/>
      <c r="G8237" s="396"/>
      <c r="K8237" s="370"/>
      <c r="N8237" s="370"/>
    </row>
    <row r="8238" spans="1:14" s="347" customFormat="1" x14ac:dyDescent="0.25">
      <c r="A8238" s="369"/>
      <c r="E8238" s="396"/>
      <c r="F8238" s="396"/>
      <c r="G8238" s="396"/>
      <c r="K8238" s="370"/>
      <c r="N8238" s="370"/>
    </row>
    <row r="8239" spans="1:14" s="347" customFormat="1" x14ac:dyDescent="0.25">
      <c r="A8239" s="369"/>
      <c r="E8239" s="396"/>
      <c r="F8239" s="396"/>
      <c r="G8239" s="396"/>
      <c r="K8239" s="370"/>
      <c r="N8239" s="370"/>
    </row>
    <row r="8240" spans="1:14" s="347" customFormat="1" x14ac:dyDescent="0.25">
      <c r="A8240" s="369"/>
      <c r="E8240" s="396"/>
      <c r="F8240" s="396"/>
      <c r="G8240" s="396"/>
      <c r="K8240" s="370"/>
      <c r="N8240" s="370"/>
    </row>
    <row r="8241" spans="1:14" s="347" customFormat="1" x14ac:dyDescent="0.25">
      <c r="A8241" s="369"/>
      <c r="E8241" s="396"/>
      <c r="F8241" s="396"/>
      <c r="G8241" s="396"/>
      <c r="K8241" s="370"/>
      <c r="N8241" s="370"/>
    </row>
    <row r="8242" spans="1:14" s="347" customFormat="1" x14ac:dyDescent="0.25">
      <c r="A8242" s="369"/>
      <c r="E8242" s="396"/>
      <c r="F8242" s="396"/>
      <c r="G8242" s="396"/>
      <c r="K8242" s="370"/>
      <c r="N8242" s="370"/>
    </row>
    <row r="8243" spans="1:14" s="347" customFormat="1" x14ac:dyDescent="0.25">
      <c r="A8243" s="369"/>
      <c r="E8243" s="396"/>
      <c r="F8243" s="396"/>
      <c r="G8243" s="396"/>
      <c r="K8243" s="370"/>
      <c r="N8243" s="370"/>
    </row>
    <row r="8244" spans="1:14" s="347" customFormat="1" x14ac:dyDescent="0.25">
      <c r="A8244" s="369"/>
      <c r="E8244" s="396"/>
      <c r="F8244" s="396"/>
      <c r="G8244" s="396"/>
      <c r="K8244" s="370"/>
      <c r="N8244" s="370"/>
    </row>
    <row r="8245" spans="1:14" s="347" customFormat="1" x14ac:dyDescent="0.25">
      <c r="A8245" s="369"/>
      <c r="E8245" s="396"/>
      <c r="F8245" s="396"/>
      <c r="G8245" s="396"/>
      <c r="K8245" s="370"/>
      <c r="N8245" s="370"/>
    </row>
    <row r="8246" spans="1:14" s="347" customFormat="1" x14ac:dyDescent="0.25">
      <c r="A8246" s="369"/>
      <c r="E8246" s="396"/>
      <c r="F8246" s="396"/>
      <c r="G8246" s="396"/>
      <c r="K8246" s="370"/>
      <c r="N8246" s="370"/>
    </row>
    <row r="8247" spans="1:14" s="347" customFormat="1" x14ac:dyDescent="0.25">
      <c r="A8247" s="369"/>
      <c r="E8247" s="396"/>
      <c r="F8247" s="396"/>
      <c r="G8247" s="396"/>
      <c r="K8247" s="370"/>
      <c r="N8247" s="370"/>
    </row>
    <row r="8248" spans="1:14" s="347" customFormat="1" x14ac:dyDescent="0.25">
      <c r="A8248" s="369"/>
      <c r="E8248" s="396"/>
      <c r="F8248" s="396"/>
      <c r="G8248" s="396"/>
      <c r="K8248" s="370"/>
      <c r="N8248" s="370"/>
    </row>
    <row r="8249" spans="1:14" s="347" customFormat="1" x14ac:dyDescent="0.25">
      <c r="A8249" s="369"/>
      <c r="E8249" s="396"/>
      <c r="F8249" s="396"/>
      <c r="G8249" s="396"/>
      <c r="K8249" s="370"/>
      <c r="N8249" s="370"/>
    </row>
    <row r="8250" spans="1:14" s="347" customFormat="1" x14ac:dyDescent="0.25">
      <c r="A8250" s="369"/>
      <c r="E8250" s="396"/>
      <c r="F8250" s="396"/>
      <c r="G8250" s="396"/>
      <c r="K8250" s="370"/>
      <c r="N8250" s="370"/>
    </row>
    <row r="8251" spans="1:14" s="347" customFormat="1" x14ac:dyDescent="0.25">
      <c r="A8251" s="369"/>
      <c r="E8251" s="396"/>
      <c r="F8251" s="396"/>
      <c r="G8251" s="396"/>
      <c r="K8251" s="370"/>
      <c r="N8251" s="370"/>
    </row>
    <row r="8252" spans="1:14" s="347" customFormat="1" x14ac:dyDescent="0.25">
      <c r="A8252" s="369"/>
      <c r="E8252" s="396"/>
      <c r="F8252" s="396"/>
      <c r="G8252" s="396"/>
      <c r="K8252" s="370"/>
      <c r="N8252" s="370"/>
    </row>
    <row r="8253" spans="1:14" s="347" customFormat="1" x14ac:dyDescent="0.25">
      <c r="A8253" s="369"/>
      <c r="E8253" s="396"/>
      <c r="F8253" s="396"/>
      <c r="G8253" s="396"/>
      <c r="K8253" s="370"/>
      <c r="N8253" s="370"/>
    </row>
    <row r="8254" spans="1:14" s="347" customFormat="1" x14ac:dyDescent="0.25">
      <c r="A8254" s="369"/>
      <c r="E8254" s="396"/>
      <c r="F8254" s="396"/>
      <c r="G8254" s="396"/>
      <c r="K8254" s="370"/>
      <c r="N8254" s="370"/>
    </row>
    <row r="8255" spans="1:14" s="347" customFormat="1" x14ac:dyDescent="0.25">
      <c r="A8255" s="369"/>
      <c r="E8255" s="396"/>
      <c r="F8255" s="396"/>
      <c r="G8255" s="396"/>
      <c r="K8255" s="370"/>
      <c r="N8255" s="370"/>
    </row>
    <row r="8256" spans="1:14" s="347" customFormat="1" x14ac:dyDescent="0.25">
      <c r="A8256" s="369"/>
      <c r="E8256" s="396"/>
      <c r="F8256" s="396"/>
      <c r="G8256" s="396"/>
      <c r="K8256" s="370"/>
      <c r="N8256" s="370"/>
    </row>
    <row r="8257" spans="1:14" s="347" customFormat="1" x14ac:dyDescent="0.25">
      <c r="A8257" s="369"/>
      <c r="E8257" s="396"/>
      <c r="F8257" s="396"/>
      <c r="G8257" s="396"/>
      <c r="K8257" s="370"/>
      <c r="N8257" s="370"/>
    </row>
    <row r="8258" spans="1:14" s="347" customFormat="1" x14ac:dyDescent="0.25">
      <c r="A8258" s="369"/>
      <c r="E8258" s="396"/>
      <c r="F8258" s="396"/>
      <c r="G8258" s="396"/>
      <c r="K8258" s="370"/>
      <c r="N8258" s="370"/>
    </row>
    <row r="8259" spans="1:14" s="347" customFormat="1" x14ac:dyDescent="0.25">
      <c r="A8259" s="369"/>
      <c r="E8259" s="396"/>
      <c r="F8259" s="396"/>
      <c r="G8259" s="396"/>
      <c r="K8259" s="370"/>
      <c r="N8259" s="370"/>
    </row>
    <row r="8260" spans="1:14" s="347" customFormat="1" x14ac:dyDescent="0.25">
      <c r="A8260" s="369"/>
      <c r="E8260" s="396"/>
      <c r="F8260" s="396"/>
      <c r="G8260" s="396"/>
      <c r="K8260" s="370"/>
      <c r="N8260" s="370"/>
    </row>
    <row r="8261" spans="1:14" s="347" customFormat="1" x14ac:dyDescent="0.25">
      <c r="A8261" s="369"/>
      <c r="E8261" s="396"/>
      <c r="F8261" s="396"/>
      <c r="G8261" s="396"/>
      <c r="K8261" s="370"/>
      <c r="N8261" s="370"/>
    </row>
    <row r="8262" spans="1:14" s="347" customFormat="1" x14ac:dyDescent="0.25">
      <c r="A8262" s="369"/>
      <c r="E8262" s="396"/>
      <c r="F8262" s="396"/>
      <c r="G8262" s="396"/>
      <c r="K8262" s="370"/>
      <c r="N8262" s="370"/>
    </row>
    <row r="8263" spans="1:14" s="347" customFormat="1" x14ac:dyDescent="0.25">
      <c r="A8263" s="369"/>
      <c r="E8263" s="396"/>
      <c r="F8263" s="396"/>
      <c r="G8263" s="396"/>
      <c r="K8263" s="370"/>
      <c r="N8263" s="370"/>
    </row>
    <row r="8264" spans="1:14" s="347" customFormat="1" x14ac:dyDescent="0.25">
      <c r="A8264" s="369"/>
      <c r="E8264" s="396"/>
      <c r="F8264" s="396"/>
      <c r="G8264" s="396"/>
      <c r="K8264" s="370"/>
      <c r="N8264" s="370"/>
    </row>
    <row r="8265" spans="1:14" s="347" customFormat="1" x14ac:dyDescent="0.25">
      <c r="A8265" s="369"/>
      <c r="E8265" s="396"/>
      <c r="F8265" s="396"/>
      <c r="G8265" s="396"/>
      <c r="K8265" s="370"/>
      <c r="N8265" s="370"/>
    </row>
    <row r="8266" spans="1:14" s="347" customFormat="1" x14ac:dyDescent="0.25">
      <c r="A8266" s="369"/>
      <c r="E8266" s="396"/>
      <c r="F8266" s="396"/>
      <c r="G8266" s="396"/>
      <c r="K8266" s="370"/>
      <c r="N8266" s="370"/>
    </row>
    <row r="8267" spans="1:14" s="347" customFormat="1" x14ac:dyDescent="0.25">
      <c r="A8267" s="369"/>
      <c r="E8267" s="396"/>
      <c r="F8267" s="396"/>
      <c r="G8267" s="396"/>
      <c r="K8267" s="370"/>
      <c r="N8267" s="370"/>
    </row>
    <row r="8268" spans="1:14" s="347" customFormat="1" x14ac:dyDescent="0.25">
      <c r="A8268" s="369"/>
      <c r="E8268" s="396"/>
      <c r="F8268" s="396"/>
      <c r="G8268" s="396"/>
      <c r="K8268" s="370"/>
      <c r="N8268" s="370"/>
    </row>
    <row r="8269" spans="1:14" s="347" customFormat="1" x14ac:dyDescent="0.25">
      <c r="A8269" s="369"/>
      <c r="E8269" s="396"/>
      <c r="F8269" s="396"/>
      <c r="G8269" s="396"/>
      <c r="K8269" s="370"/>
      <c r="N8269" s="370"/>
    </row>
    <row r="8270" spans="1:14" s="347" customFormat="1" x14ac:dyDescent="0.25">
      <c r="A8270" s="369"/>
      <c r="E8270" s="396"/>
      <c r="F8270" s="396"/>
      <c r="G8270" s="396"/>
      <c r="K8270" s="370"/>
      <c r="N8270" s="370"/>
    </row>
    <row r="8271" spans="1:14" s="347" customFormat="1" x14ac:dyDescent="0.25">
      <c r="A8271" s="369"/>
      <c r="E8271" s="396"/>
      <c r="F8271" s="396"/>
      <c r="G8271" s="396"/>
      <c r="K8271" s="370"/>
      <c r="N8271" s="370"/>
    </row>
    <row r="8272" spans="1:14" s="347" customFormat="1" x14ac:dyDescent="0.25">
      <c r="A8272" s="369"/>
      <c r="E8272" s="396"/>
      <c r="F8272" s="396"/>
      <c r="G8272" s="396"/>
      <c r="K8272" s="370"/>
      <c r="N8272" s="370"/>
    </row>
    <row r="8273" spans="1:14" s="347" customFormat="1" x14ac:dyDescent="0.25">
      <c r="A8273" s="369"/>
      <c r="E8273" s="396"/>
      <c r="F8273" s="396"/>
      <c r="G8273" s="396"/>
      <c r="K8273" s="370"/>
      <c r="N8273" s="370"/>
    </row>
    <row r="8274" spans="1:14" s="347" customFormat="1" x14ac:dyDescent="0.25">
      <c r="A8274" s="369"/>
      <c r="E8274" s="396"/>
      <c r="F8274" s="396"/>
      <c r="G8274" s="396"/>
      <c r="K8274" s="370"/>
      <c r="N8274" s="370"/>
    </row>
    <row r="8275" spans="1:14" s="347" customFormat="1" x14ac:dyDescent="0.25">
      <c r="A8275" s="369"/>
      <c r="E8275" s="396"/>
      <c r="F8275" s="396"/>
      <c r="G8275" s="396"/>
      <c r="K8275" s="370"/>
      <c r="N8275" s="370"/>
    </row>
    <row r="8276" spans="1:14" s="347" customFormat="1" x14ac:dyDescent="0.25">
      <c r="A8276" s="369"/>
      <c r="E8276" s="396"/>
      <c r="F8276" s="396"/>
      <c r="G8276" s="396"/>
      <c r="K8276" s="370"/>
      <c r="N8276" s="370"/>
    </row>
    <row r="8277" spans="1:14" s="347" customFormat="1" x14ac:dyDescent="0.25">
      <c r="A8277" s="369"/>
      <c r="E8277" s="396"/>
      <c r="F8277" s="396"/>
      <c r="G8277" s="396"/>
      <c r="K8277" s="370"/>
      <c r="N8277" s="370"/>
    </row>
    <row r="8278" spans="1:14" s="347" customFormat="1" x14ac:dyDescent="0.25">
      <c r="A8278" s="369"/>
      <c r="E8278" s="396"/>
      <c r="F8278" s="396"/>
      <c r="G8278" s="396"/>
      <c r="K8278" s="370"/>
      <c r="N8278" s="370"/>
    </row>
    <row r="8279" spans="1:14" s="347" customFormat="1" x14ac:dyDescent="0.25">
      <c r="A8279" s="369"/>
      <c r="E8279" s="396"/>
      <c r="F8279" s="396"/>
      <c r="G8279" s="396"/>
      <c r="K8279" s="370"/>
      <c r="N8279" s="370"/>
    </row>
    <row r="8280" spans="1:14" s="347" customFormat="1" x14ac:dyDescent="0.25">
      <c r="A8280" s="369"/>
      <c r="E8280" s="396"/>
      <c r="F8280" s="396"/>
      <c r="G8280" s="396"/>
      <c r="K8280" s="370"/>
      <c r="N8280" s="370"/>
    </row>
    <row r="8281" spans="1:14" s="347" customFormat="1" x14ac:dyDescent="0.25">
      <c r="A8281" s="369"/>
      <c r="E8281" s="396"/>
      <c r="F8281" s="396"/>
      <c r="G8281" s="396"/>
      <c r="K8281" s="370"/>
      <c r="N8281" s="370"/>
    </row>
    <row r="8282" spans="1:14" s="347" customFormat="1" x14ac:dyDescent="0.25">
      <c r="A8282" s="369"/>
      <c r="E8282" s="396"/>
      <c r="F8282" s="396"/>
      <c r="G8282" s="396"/>
      <c r="K8282" s="370"/>
      <c r="N8282" s="370"/>
    </row>
    <row r="8283" spans="1:14" s="347" customFormat="1" x14ac:dyDescent="0.25">
      <c r="A8283" s="369"/>
      <c r="E8283" s="396"/>
      <c r="F8283" s="396"/>
      <c r="G8283" s="396"/>
      <c r="K8283" s="370"/>
      <c r="N8283" s="370"/>
    </row>
    <row r="8284" spans="1:14" s="347" customFormat="1" x14ac:dyDescent="0.25">
      <c r="A8284" s="369"/>
      <c r="E8284" s="396"/>
      <c r="F8284" s="396"/>
      <c r="G8284" s="396"/>
      <c r="K8284" s="370"/>
      <c r="N8284" s="370"/>
    </row>
    <row r="8285" spans="1:14" s="347" customFormat="1" x14ac:dyDescent="0.25">
      <c r="A8285" s="369"/>
      <c r="E8285" s="396"/>
      <c r="F8285" s="396"/>
      <c r="G8285" s="396"/>
      <c r="K8285" s="370"/>
      <c r="N8285" s="370"/>
    </row>
    <row r="8286" spans="1:14" s="347" customFormat="1" x14ac:dyDescent="0.25">
      <c r="A8286" s="369"/>
      <c r="E8286" s="396"/>
      <c r="F8286" s="396"/>
      <c r="G8286" s="396"/>
      <c r="K8286" s="370"/>
      <c r="N8286" s="370"/>
    </row>
    <row r="8287" spans="1:14" s="347" customFormat="1" x14ac:dyDescent="0.25">
      <c r="A8287" s="369"/>
      <c r="E8287" s="396"/>
      <c r="F8287" s="396"/>
      <c r="G8287" s="396"/>
      <c r="K8287" s="370"/>
      <c r="N8287" s="370"/>
    </row>
    <row r="8288" spans="1:14" s="347" customFormat="1" x14ac:dyDescent="0.25">
      <c r="A8288" s="369"/>
      <c r="E8288" s="396"/>
      <c r="F8288" s="396"/>
      <c r="G8288" s="396"/>
      <c r="K8288" s="370"/>
      <c r="N8288" s="370"/>
    </row>
    <row r="8289" spans="1:14" s="347" customFormat="1" x14ac:dyDescent="0.25">
      <c r="A8289" s="369"/>
      <c r="E8289" s="396"/>
      <c r="F8289" s="396"/>
      <c r="G8289" s="396"/>
      <c r="K8289" s="370"/>
      <c r="N8289" s="370"/>
    </row>
    <row r="8290" spans="1:14" s="347" customFormat="1" x14ac:dyDescent="0.25">
      <c r="A8290" s="369"/>
      <c r="E8290" s="396"/>
      <c r="F8290" s="396"/>
      <c r="G8290" s="396"/>
      <c r="K8290" s="370"/>
      <c r="N8290" s="370"/>
    </row>
    <row r="8291" spans="1:14" s="347" customFormat="1" x14ac:dyDescent="0.25">
      <c r="A8291" s="369"/>
      <c r="E8291" s="396"/>
      <c r="F8291" s="396"/>
      <c r="G8291" s="396"/>
      <c r="K8291" s="370"/>
      <c r="N8291" s="370"/>
    </row>
    <row r="8292" spans="1:14" s="347" customFormat="1" x14ac:dyDescent="0.25">
      <c r="A8292" s="369"/>
      <c r="E8292" s="396"/>
      <c r="F8292" s="396"/>
      <c r="G8292" s="396"/>
      <c r="K8292" s="370"/>
      <c r="N8292" s="370"/>
    </row>
    <row r="8293" spans="1:14" s="347" customFormat="1" x14ac:dyDescent="0.25">
      <c r="A8293" s="369"/>
      <c r="E8293" s="396"/>
      <c r="F8293" s="396"/>
      <c r="G8293" s="396"/>
      <c r="K8293" s="370"/>
      <c r="N8293" s="370"/>
    </row>
    <row r="8294" spans="1:14" s="347" customFormat="1" x14ac:dyDescent="0.25">
      <c r="A8294" s="369"/>
      <c r="E8294" s="396"/>
      <c r="F8294" s="396"/>
      <c r="G8294" s="396"/>
      <c r="K8294" s="370"/>
      <c r="N8294" s="370"/>
    </row>
    <row r="8295" spans="1:14" s="347" customFormat="1" x14ac:dyDescent="0.25">
      <c r="A8295" s="369"/>
      <c r="E8295" s="396"/>
      <c r="F8295" s="396"/>
      <c r="G8295" s="396"/>
      <c r="K8295" s="370"/>
      <c r="N8295" s="370"/>
    </row>
    <row r="8296" spans="1:14" s="347" customFormat="1" x14ac:dyDescent="0.25">
      <c r="A8296" s="369"/>
      <c r="E8296" s="396"/>
      <c r="F8296" s="396"/>
      <c r="G8296" s="396"/>
      <c r="K8296" s="370"/>
      <c r="N8296" s="370"/>
    </row>
    <row r="8297" spans="1:14" s="347" customFormat="1" x14ac:dyDescent="0.25">
      <c r="A8297" s="369"/>
      <c r="E8297" s="396"/>
      <c r="F8297" s="396"/>
      <c r="G8297" s="396"/>
      <c r="K8297" s="370"/>
      <c r="N8297" s="370"/>
    </row>
    <row r="8298" spans="1:14" s="347" customFormat="1" x14ac:dyDescent="0.25">
      <c r="A8298" s="369"/>
      <c r="E8298" s="396"/>
      <c r="F8298" s="396"/>
      <c r="G8298" s="396"/>
      <c r="K8298" s="370"/>
      <c r="N8298" s="370"/>
    </row>
    <row r="8299" spans="1:14" s="347" customFormat="1" x14ac:dyDescent="0.25">
      <c r="A8299" s="369"/>
      <c r="E8299" s="396"/>
      <c r="F8299" s="396"/>
      <c r="G8299" s="396"/>
      <c r="K8299" s="370"/>
      <c r="N8299" s="370"/>
    </row>
    <row r="8300" spans="1:14" s="347" customFormat="1" x14ac:dyDescent="0.25">
      <c r="A8300" s="369"/>
      <c r="E8300" s="396"/>
      <c r="F8300" s="396"/>
      <c r="G8300" s="396"/>
      <c r="K8300" s="370"/>
      <c r="N8300" s="370"/>
    </row>
    <row r="8301" spans="1:14" s="347" customFormat="1" x14ac:dyDescent="0.25">
      <c r="A8301" s="369"/>
      <c r="E8301" s="396"/>
      <c r="F8301" s="396"/>
      <c r="G8301" s="396"/>
      <c r="K8301" s="370"/>
      <c r="N8301" s="370"/>
    </row>
    <row r="8302" spans="1:14" s="347" customFormat="1" x14ac:dyDescent="0.25">
      <c r="A8302" s="369"/>
      <c r="E8302" s="396"/>
      <c r="F8302" s="396"/>
      <c r="G8302" s="396"/>
      <c r="K8302" s="370"/>
      <c r="N8302" s="370"/>
    </row>
    <row r="8303" spans="1:14" s="347" customFormat="1" x14ac:dyDescent="0.25">
      <c r="A8303" s="369"/>
      <c r="E8303" s="396"/>
      <c r="F8303" s="396"/>
      <c r="G8303" s="396"/>
      <c r="K8303" s="370"/>
      <c r="N8303" s="370"/>
    </row>
    <row r="8304" spans="1:14" s="347" customFormat="1" x14ac:dyDescent="0.25">
      <c r="A8304" s="369"/>
      <c r="E8304" s="396"/>
      <c r="F8304" s="396"/>
      <c r="G8304" s="396"/>
      <c r="K8304" s="370"/>
      <c r="N8304" s="370"/>
    </row>
    <row r="8305" spans="1:14" s="347" customFormat="1" x14ac:dyDescent="0.25">
      <c r="A8305" s="369"/>
      <c r="E8305" s="396"/>
      <c r="F8305" s="396"/>
      <c r="G8305" s="396"/>
      <c r="K8305" s="370"/>
      <c r="N8305" s="370"/>
    </row>
    <row r="8306" spans="1:14" s="347" customFormat="1" x14ac:dyDescent="0.25">
      <c r="A8306" s="369"/>
      <c r="E8306" s="396"/>
      <c r="F8306" s="396"/>
      <c r="G8306" s="396"/>
      <c r="K8306" s="370"/>
      <c r="N8306" s="370"/>
    </row>
    <row r="8307" spans="1:14" s="347" customFormat="1" x14ac:dyDescent="0.25">
      <c r="A8307" s="369"/>
      <c r="E8307" s="396"/>
      <c r="F8307" s="396"/>
      <c r="G8307" s="396"/>
      <c r="K8307" s="370"/>
      <c r="N8307" s="370"/>
    </row>
    <row r="8308" spans="1:14" s="347" customFormat="1" x14ac:dyDescent="0.25">
      <c r="A8308" s="369"/>
      <c r="E8308" s="396"/>
      <c r="F8308" s="396"/>
      <c r="G8308" s="396"/>
      <c r="K8308" s="370"/>
      <c r="N8308" s="370"/>
    </row>
    <row r="8309" spans="1:14" s="347" customFormat="1" x14ac:dyDescent="0.25">
      <c r="A8309" s="369"/>
      <c r="E8309" s="396"/>
      <c r="F8309" s="396"/>
      <c r="G8309" s="396"/>
      <c r="K8309" s="370"/>
      <c r="N8309" s="370"/>
    </row>
    <row r="8310" spans="1:14" s="347" customFormat="1" x14ac:dyDescent="0.25">
      <c r="A8310" s="369"/>
      <c r="E8310" s="396"/>
      <c r="F8310" s="396"/>
      <c r="G8310" s="396"/>
      <c r="K8310" s="370"/>
      <c r="N8310" s="370"/>
    </row>
    <row r="8311" spans="1:14" s="347" customFormat="1" x14ac:dyDescent="0.25">
      <c r="A8311" s="369"/>
      <c r="E8311" s="396"/>
      <c r="F8311" s="396"/>
      <c r="G8311" s="396"/>
      <c r="K8311" s="370"/>
      <c r="N8311" s="370"/>
    </row>
    <row r="8312" spans="1:14" s="347" customFormat="1" x14ac:dyDescent="0.25">
      <c r="A8312" s="369"/>
      <c r="E8312" s="396"/>
      <c r="F8312" s="396"/>
      <c r="G8312" s="396"/>
      <c r="K8312" s="370"/>
      <c r="N8312" s="370"/>
    </row>
    <row r="8313" spans="1:14" s="347" customFormat="1" x14ac:dyDescent="0.25">
      <c r="A8313" s="369"/>
      <c r="E8313" s="396"/>
      <c r="F8313" s="396"/>
      <c r="G8313" s="396"/>
      <c r="K8313" s="370"/>
      <c r="N8313" s="370"/>
    </row>
    <row r="8314" spans="1:14" s="347" customFormat="1" x14ac:dyDescent="0.25">
      <c r="A8314" s="369"/>
      <c r="E8314" s="396"/>
      <c r="F8314" s="396"/>
      <c r="G8314" s="396"/>
      <c r="K8314" s="370"/>
      <c r="N8314" s="370"/>
    </row>
    <row r="8315" spans="1:14" s="347" customFormat="1" x14ac:dyDescent="0.25">
      <c r="A8315" s="369"/>
      <c r="E8315" s="396"/>
      <c r="F8315" s="396"/>
      <c r="G8315" s="396"/>
      <c r="K8315" s="370"/>
      <c r="N8315" s="370"/>
    </row>
    <row r="8316" spans="1:14" s="347" customFormat="1" x14ac:dyDescent="0.25">
      <c r="A8316" s="369"/>
      <c r="E8316" s="396"/>
      <c r="F8316" s="396"/>
      <c r="G8316" s="396"/>
      <c r="K8316" s="370"/>
      <c r="N8316" s="370"/>
    </row>
    <row r="8317" spans="1:14" s="347" customFormat="1" x14ac:dyDescent="0.25">
      <c r="A8317" s="369"/>
      <c r="E8317" s="396"/>
      <c r="F8317" s="396"/>
      <c r="G8317" s="396"/>
      <c r="K8317" s="370"/>
      <c r="N8317" s="370"/>
    </row>
    <row r="8318" spans="1:14" s="347" customFormat="1" x14ac:dyDescent="0.25">
      <c r="A8318" s="369"/>
      <c r="E8318" s="396"/>
      <c r="F8318" s="396"/>
      <c r="G8318" s="396"/>
      <c r="K8318" s="370"/>
      <c r="N8318" s="370"/>
    </row>
    <row r="8319" spans="1:14" s="347" customFormat="1" x14ac:dyDescent="0.25">
      <c r="A8319" s="369"/>
      <c r="E8319" s="396"/>
      <c r="F8319" s="396"/>
      <c r="G8319" s="396"/>
      <c r="K8319" s="370"/>
      <c r="N8319" s="370"/>
    </row>
    <row r="8320" spans="1:14" s="347" customFormat="1" x14ac:dyDescent="0.25">
      <c r="A8320" s="369"/>
      <c r="E8320" s="396"/>
      <c r="F8320" s="396"/>
      <c r="G8320" s="396"/>
      <c r="K8320" s="370"/>
      <c r="N8320" s="370"/>
    </row>
    <row r="8321" spans="1:14" s="347" customFormat="1" x14ac:dyDescent="0.25">
      <c r="A8321" s="369"/>
      <c r="E8321" s="396"/>
      <c r="F8321" s="396"/>
      <c r="G8321" s="396"/>
      <c r="K8321" s="370"/>
      <c r="N8321" s="370"/>
    </row>
    <row r="8322" spans="1:14" s="347" customFormat="1" x14ac:dyDescent="0.25">
      <c r="A8322" s="369"/>
      <c r="E8322" s="396"/>
      <c r="F8322" s="396"/>
      <c r="G8322" s="396"/>
      <c r="K8322" s="370"/>
      <c r="N8322" s="370"/>
    </row>
    <row r="8323" spans="1:14" s="347" customFormat="1" x14ac:dyDescent="0.25">
      <c r="A8323" s="369"/>
      <c r="E8323" s="396"/>
      <c r="F8323" s="396"/>
      <c r="G8323" s="396"/>
      <c r="K8323" s="370"/>
      <c r="N8323" s="370"/>
    </row>
    <row r="8324" spans="1:14" s="347" customFormat="1" x14ac:dyDescent="0.25">
      <c r="A8324" s="369"/>
      <c r="E8324" s="396"/>
      <c r="F8324" s="396"/>
      <c r="G8324" s="396"/>
      <c r="K8324" s="370"/>
      <c r="N8324" s="370"/>
    </row>
    <row r="8325" spans="1:14" s="347" customFormat="1" x14ac:dyDescent="0.25">
      <c r="A8325" s="369"/>
      <c r="E8325" s="396"/>
      <c r="F8325" s="396"/>
      <c r="G8325" s="396"/>
      <c r="K8325" s="370"/>
      <c r="N8325" s="370"/>
    </row>
    <row r="8326" spans="1:14" s="347" customFormat="1" x14ac:dyDescent="0.25">
      <c r="A8326" s="369"/>
      <c r="E8326" s="396"/>
      <c r="F8326" s="396"/>
      <c r="G8326" s="396"/>
      <c r="K8326" s="370"/>
      <c r="N8326" s="370"/>
    </row>
    <row r="8327" spans="1:14" s="347" customFormat="1" x14ac:dyDescent="0.25">
      <c r="A8327" s="369"/>
      <c r="E8327" s="396"/>
      <c r="F8327" s="396"/>
      <c r="G8327" s="396"/>
      <c r="K8327" s="370"/>
      <c r="N8327" s="370"/>
    </row>
    <row r="8328" spans="1:14" s="347" customFormat="1" x14ac:dyDescent="0.25">
      <c r="A8328" s="369"/>
      <c r="E8328" s="396"/>
      <c r="F8328" s="396"/>
      <c r="G8328" s="396"/>
      <c r="K8328" s="370"/>
      <c r="N8328" s="370"/>
    </row>
    <row r="8329" spans="1:14" s="347" customFormat="1" x14ac:dyDescent="0.25">
      <c r="A8329" s="369"/>
      <c r="E8329" s="396"/>
      <c r="F8329" s="396"/>
      <c r="G8329" s="396"/>
      <c r="K8329" s="370"/>
      <c r="N8329" s="370"/>
    </row>
    <row r="8330" spans="1:14" s="347" customFormat="1" x14ac:dyDescent="0.25">
      <c r="A8330" s="369"/>
      <c r="E8330" s="396"/>
      <c r="F8330" s="396"/>
      <c r="G8330" s="396"/>
      <c r="K8330" s="370"/>
      <c r="N8330" s="370"/>
    </row>
    <row r="8331" spans="1:14" s="347" customFormat="1" x14ac:dyDescent="0.25">
      <c r="A8331" s="369"/>
      <c r="E8331" s="396"/>
      <c r="F8331" s="396"/>
      <c r="G8331" s="396"/>
      <c r="K8331" s="370"/>
      <c r="N8331" s="370"/>
    </row>
    <row r="8332" spans="1:14" s="347" customFormat="1" x14ac:dyDescent="0.25">
      <c r="A8332" s="369"/>
      <c r="E8332" s="396"/>
      <c r="F8332" s="396"/>
      <c r="G8332" s="396"/>
      <c r="K8332" s="370"/>
      <c r="N8332" s="370"/>
    </row>
    <row r="8333" spans="1:14" s="347" customFormat="1" x14ac:dyDescent="0.25">
      <c r="A8333" s="369"/>
      <c r="E8333" s="396"/>
      <c r="F8333" s="396"/>
      <c r="G8333" s="396"/>
      <c r="K8333" s="370"/>
      <c r="N8333" s="370"/>
    </row>
    <row r="8334" spans="1:14" s="347" customFormat="1" x14ac:dyDescent="0.25">
      <c r="A8334" s="369"/>
      <c r="E8334" s="396"/>
      <c r="F8334" s="396"/>
      <c r="G8334" s="396"/>
      <c r="K8334" s="370"/>
      <c r="N8334" s="370"/>
    </row>
    <row r="8335" spans="1:14" s="347" customFormat="1" x14ac:dyDescent="0.25">
      <c r="A8335" s="369"/>
      <c r="E8335" s="396"/>
      <c r="F8335" s="396"/>
      <c r="G8335" s="396"/>
      <c r="K8335" s="370"/>
      <c r="N8335" s="370"/>
    </row>
    <row r="8336" spans="1:14" s="347" customFormat="1" x14ac:dyDescent="0.25">
      <c r="A8336" s="369"/>
      <c r="E8336" s="396"/>
      <c r="F8336" s="396"/>
      <c r="G8336" s="396"/>
      <c r="K8336" s="370"/>
      <c r="N8336" s="370"/>
    </row>
    <row r="8337" spans="1:14" s="347" customFormat="1" x14ac:dyDescent="0.25">
      <c r="A8337" s="369"/>
      <c r="E8337" s="396"/>
      <c r="F8337" s="396"/>
      <c r="G8337" s="396"/>
      <c r="K8337" s="370"/>
      <c r="N8337" s="370"/>
    </row>
    <row r="8338" spans="1:14" s="347" customFormat="1" x14ac:dyDescent="0.25">
      <c r="A8338" s="369"/>
      <c r="E8338" s="396"/>
      <c r="F8338" s="396"/>
      <c r="G8338" s="396"/>
      <c r="K8338" s="370"/>
      <c r="N8338" s="370"/>
    </row>
    <row r="8339" spans="1:14" s="347" customFormat="1" x14ac:dyDescent="0.25">
      <c r="A8339" s="369"/>
      <c r="E8339" s="396"/>
      <c r="F8339" s="396"/>
      <c r="G8339" s="396"/>
      <c r="K8339" s="370"/>
      <c r="N8339" s="370"/>
    </row>
    <row r="8340" spans="1:14" s="347" customFormat="1" x14ac:dyDescent="0.25">
      <c r="A8340" s="369"/>
      <c r="E8340" s="396"/>
      <c r="F8340" s="396"/>
      <c r="G8340" s="396"/>
      <c r="K8340" s="370"/>
      <c r="N8340" s="370"/>
    </row>
    <row r="8341" spans="1:14" s="347" customFormat="1" x14ac:dyDescent="0.25">
      <c r="A8341" s="369"/>
      <c r="E8341" s="396"/>
      <c r="F8341" s="396"/>
      <c r="G8341" s="396"/>
      <c r="K8341" s="370"/>
      <c r="N8341" s="370"/>
    </row>
    <row r="8342" spans="1:14" s="347" customFormat="1" x14ac:dyDescent="0.25">
      <c r="A8342" s="369"/>
      <c r="E8342" s="396"/>
      <c r="F8342" s="396"/>
      <c r="G8342" s="396"/>
      <c r="K8342" s="370"/>
      <c r="N8342" s="370"/>
    </row>
    <row r="8343" spans="1:14" s="347" customFormat="1" x14ac:dyDescent="0.25">
      <c r="A8343" s="369"/>
      <c r="E8343" s="396"/>
      <c r="F8343" s="396"/>
      <c r="G8343" s="396"/>
      <c r="K8343" s="370"/>
      <c r="N8343" s="370"/>
    </row>
    <row r="8344" spans="1:14" s="347" customFormat="1" x14ac:dyDescent="0.25">
      <c r="A8344" s="369"/>
      <c r="E8344" s="396"/>
      <c r="F8344" s="396"/>
      <c r="G8344" s="396"/>
      <c r="K8344" s="370"/>
      <c r="N8344" s="370"/>
    </row>
    <row r="8345" spans="1:14" s="347" customFormat="1" x14ac:dyDescent="0.25">
      <c r="A8345" s="369"/>
      <c r="E8345" s="396"/>
      <c r="F8345" s="396"/>
      <c r="G8345" s="396"/>
      <c r="K8345" s="370"/>
      <c r="N8345" s="370"/>
    </row>
    <row r="8346" spans="1:14" s="347" customFormat="1" x14ac:dyDescent="0.25">
      <c r="A8346" s="369"/>
      <c r="E8346" s="396"/>
      <c r="F8346" s="396"/>
      <c r="G8346" s="396"/>
      <c r="K8346" s="370"/>
      <c r="N8346" s="370"/>
    </row>
    <row r="8347" spans="1:14" s="347" customFormat="1" x14ac:dyDescent="0.25">
      <c r="A8347" s="369"/>
      <c r="E8347" s="396"/>
      <c r="F8347" s="396"/>
      <c r="G8347" s="396"/>
      <c r="K8347" s="370"/>
      <c r="N8347" s="370"/>
    </row>
    <row r="8348" spans="1:14" s="347" customFormat="1" x14ac:dyDescent="0.25">
      <c r="A8348" s="369"/>
      <c r="E8348" s="396"/>
      <c r="F8348" s="396"/>
      <c r="G8348" s="396"/>
      <c r="K8348" s="370"/>
      <c r="N8348" s="370"/>
    </row>
    <row r="8349" spans="1:14" s="347" customFormat="1" x14ac:dyDescent="0.25">
      <c r="A8349" s="369"/>
      <c r="E8349" s="396"/>
      <c r="F8349" s="396"/>
      <c r="G8349" s="396"/>
      <c r="K8349" s="370"/>
      <c r="N8349" s="370"/>
    </row>
    <row r="8350" spans="1:14" s="347" customFormat="1" x14ac:dyDescent="0.25">
      <c r="A8350" s="369"/>
      <c r="E8350" s="396"/>
      <c r="F8350" s="396"/>
      <c r="G8350" s="396"/>
      <c r="K8350" s="370"/>
      <c r="N8350" s="370"/>
    </row>
    <row r="8351" spans="1:14" s="347" customFormat="1" x14ac:dyDescent="0.25">
      <c r="A8351" s="369"/>
      <c r="E8351" s="396"/>
      <c r="F8351" s="396"/>
      <c r="G8351" s="396"/>
      <c r="K8351" s="370"/>
      <c r="N8351" s="370"/>
    </row>
    <row r="8352" spans="1:14" s="347" customFormat="1" x14ac:dyDescent="0.25">
      <c r="A8352" s="369"/>
      <c r="E8352" s="396"/>
      <c r="F8352" s="396"/>
      <c r="G8352" s="396"/>
      <c r="K8352" s="370"/>
      <c r="N8352" s="370"/>
    </row>
    <row r="8353" spans="1:14" s="347" customFormat="1" x14ac:dyDescent="0.25">
      <c r="A8353" s="369"/>
      <c r="E8353" s="396"/>
      <c r="F8353" s="396"/>
      <c r="G8353" s="396"/>
      <c r="K8353" s="370"/>
      <c r="N8353" s="370"/>
    </row>
    <row r="8354" spans="1:14" s="347" customFormat="1" x14ac:dyDescent="0.25">
      <c r="A8354" s="369"/>
      <c r="E8354" s="396"/>
      <c r="F8354" s="396"/>
      <c r="G8354" s="396"/>
      <c r="K8354" s="370"/>
      <c r="N8354" s="370"/>
    </row>
    <row r="8355" spans="1:14" s="347" customFormat="1" x14ac:dyDescent="0.25">
      <c r="A8355" s="369"/>
      <c r="E8355" s="396"/>
      <c r="F8355" s="396"/>
      <c r="G8355" s="396"/>
      <c r="K8355" s="370"/>
      <c r="N8355" s="370"/>
    </row>
    <row r="8356" spans="1:14" s="347" customFormat="1" x14ac:dyDescent="0.25">
      <c r="A8356" s="369"/>
      <c r="E8356" s="396"/>
      <c r="F8356" s="396"/>
      <c r="G8356" s="396"/>
      <c r="K8356" s="370"/>
      <c r="N8356" s="370"/>
    </row>
    <row r="8357" spans="1:14" s="347" customFormat="1" x14ac:dyDescent="0.25">
      <c r="A8357" s="369"/>
      <c r="E8357" s="396"/>
      <c r="F8357" s="396"/>
      <c r="G8357" s="396"/>
      <c r="K8357" s="370"/>
      <c r="N8357" s="370"/>
    </row>
    <row r="8358" spans="1:14" s="347" customFormat="1" x14ac:dyDescent="0.25">
      <c r="A8358" s="369"/>
      <c r="E8358" s="396"/>
      <c r="F8358" s="396"/>
      <c r="G8358" s="396"/>
      <c r="K8358" s="370"/>
      <c r="N8358" s="370"/>
    </row>
    <row r="8359" spans="1:14" s="347" customFormat="1" x14ac:dyDescent="0.25">
      <c r="A8359" s="369"/>
      <c r="E8359" s="396"/>
      <c r="F8359" s="396"/>
      <c r="G8359" s="396"/>
      <c r="K8359" s="370"/>
      <c r="N8359" s="370"/>
    </row>
    <row r="8360" spans="1:14" s="347" customFormat="1" x14ac:dyDescent="0.25">
      <c r="A8360" s="369"/>
      <c r="E8360" s="396"/>
      <c r="F8360" s="396"/>
      <c r="G8360" s="396"/>
      <c r="K8360" s="370"/>
      <c r="N8360" s="370"/>
    </row>
    <row r="8361" spans="1:14" s="347" customFormat="1" x14ac:dyDescent="0.25">
      <c r="A8361" s="369"/>
      <c r="E8361" s="396"/>
      <c r="F8361" s="396"/>
      <c r="G8361" s="396"/>
      <c r="K8361" s="370"/>
      <c r="N8361" s="370"/>
    </row>
    <row r="8362" spans="1:14" s="347" customFormat="1" x14ac:dyDescent="0.25">
      <c r="A8362" s="369"/>
      <c r="E8362" s="396"/>
      <c r="F8362" s="396"/>
      <c r="G8362" s="396"/>
      <c r="K8362" s="370"/>
      <c r="N8362" s="370"/>
    </row>
    <row r="8363" spans="1:14" s="347" customFormat="1" x14ac:dyDescent="0.25">
      <c r="A8363" s="369"/>
      <c r="E8363" s="396"/>
      <c r="F8363" s="396"/>
      <c r="G8363" s="396"/>
      <c r="K8363" s="370"/>
      <c r="N8363" s="370"/>
    </row>
    <row r="8364" spans="1:14" s="347" customFormat="1" x14ac:dyDescent="0.25">
      <c r="A8364" s="369"/>
      <c r="E8364" s="396"/>
      <c r="F8364" s="396"/>
      <c r="G8364" s="396"/>
      <c r="K8364" s="370"/>
      <c r="N8364" s="370"/>
    </row>
    <row r="8365" spans="1:14" s="347" customFormat="1" x14ac:dyDescent="0.25">
      <c r="A8365" s="369"/>
      <c r="E8365" s="396"/>
      <c r="F8365" s="396"/>
      <c r="G8365" s="396"/>
      <c r="K8365" s="370"/>
      <c r="N8365" s="370"/>
    </row>
    <row r="8366" spans="1:14" s="347" customFormat="1" x14ac:dyDescent="0.25">
      <c r="A8366" s="369"/>
      <c r="E8366" s="396"/>
      <c r="F8366" s="396"/>
      <c r="G8366" s="396"/>
      <c r="K8366" s="370"/>
      <c r="N8366" s="370"/>
    </row>
    <row r="8367" spans="1:14" s="347" customFormat="1" x14ac:dyDescent="0.25">
      <c r="A8367" s="369"/>
      <c r="E8367" s="396"/>
      <c r="F8367" s="396"/>
      <c r="G8367" s="396"/>
      <c r="K8367" s="370"/>
      <c r="N8367" s="370"/>
    </row>
    <row r="8368" spans="1:14" s="347" customFormat="1" x14ac:dyDescent="0.25">
      <c r="A8368" s="369"/>
      <c r="E8368" s="396"/>
      <c r="F8368" s="396"/>
      <c r="G8368" s="396"/>
      <c r="K8368" s="370"/>
      <c r="N8368" s="370"/>
    </row>
    <row r="8369" spans="1:14" s="347" customFormat="1" x14ac:dyDescent="0.25">
      <c r="A8369" s="369"/>
      <c r="E8369" s="396"/>
      <c r="F8369" s="396"/>
      <c r="G8369" s="396"/>
      <c r="K8369" s="370"/>
      <c r="N8369" s="370"/>
    </row>
    <row r="8370" spans="1:14" s="347" customFormat="1" x14ac:dyDescent="0.25">
      <c r="A8370" s="369"/>
      <c r="E8370" s="396"/>
      <c r="F8370" s="396"/>
      <c r="G8370" s="396"/>
      <c r="K8370" s="370"/>
      <c r="N8370" s="370"/>
    </row>
    <row r="8371" spans="1:14" s="347" customFormat="1" x14ac:dyDescent="0.25">
      <c r="A8371" s="369"/>
      <c r="E8371" s="396"/>
      <c r="F8371" s="396"/>
      <c r="G8371" s="396"/>
      <c r="K8371" s="370"/>
      <c r="N8371" s="370"/>
    </row>
    <row r="8372" spans="1:14" s="347" customFormat="1" x14ac:dyDescent="0.25">
      <c r="A8372" s="369"/>
      <c r="E8372" s="396"/>
      <c r="F8372" s="396"/>
      <c r="G8372" s="396"/>
      <c r="K8372" s="370"/>
      <c r="N8372" s="370"/>
    </row>
    <row r="8373" spans="1:14" s="347" customFormat="1" x14ac:dyDescent="0.25">
      <c r="A8373" s="369"/>
      <c r="E8373" s="396"/>
      <c r="F8373" s="396"/>
      <c r="G8373" s="396"/>
      <c r="K8373" s="370"/>
      <c r="N8373" s="370"/>
    </row>
    <row r="8374" spans="1:14" s="347" customFormat="1" x14ac:dyDescent="0.25">
      <c r="A8374" s="369"/>
      <c r="E8374" s="396"/>
      <c r="F8374" s="396"/>
      <c r="G8374" s="396"/>
      <c r="K8374" s="370"/>
      <c r="N8374" s="370"/>
    </row>
    <row r="8375" spans="1:14" s="347" customFormat="1" x14ac:dyDescent="0.25">
      <c r="A8375" s="369"/>
      <c r="E8375" s="396"/>
      <c r="F8375" s="396"/>
      <c r="G8375" s="396"/>
      <c r="K8375" s="370"/>
      <c r="N8375" s="370"/>
    </row>
    <row r="8376" spans="1:14" s="347" customFormat="1" x14ac:dyDescent="0.25">
      <c r="A8376" s="369"/>
      <c r="E8376" s="396"/>
      <c r="F8376" s="396"/>
      <c r="G8376" s="396"/>
      <c r="K8376" s="370"/>
      <c r="N8376" s="370"/>
    </row>
    <row r="8377" spans="1:14" s="347" customFormat="1" x14ac:dyDescent="0.25">
      <c r="A8377" s="369"/>
      <c r="E8377" s="396"/>
      <c r="F8377" s="396"/>
      <c r="G8377" s="396"/>
      <c r="K8377" s="370"/>
      <c r="N8377" s="370"/>
    </row>
    <row r="8378" spans="1:14" s="347" customFormat="1" x14ac:dyDescent="0.25">
      <c r="A8378" s="369"/>
      <c r="E8378" s="396"/>
      <c r="F8378" s="396"/>
      <c r="G8378" s="396"/>
      <c r="K8378" s="370"/>
      <c r="N8378" s="370"/>
    </row>
    <row r="8379" spans="1:14" s="347" customFormat="1" x14ac:dyDescent="0.25">
      <c r="A8379" s="369"/>
      <c r="E8379" s="396"/>
      <c r="F8379" s="396"/>
      <c r="G8379" s="396"/>
      <c r="K8379" s="370"/>
      <c r="N8379" s="370"/>
    </row>
    <row r="8380" spans="1:14" s="347" customFormat="1" x14ac:dyDescent="0.25">
      <c r="A8380" s="369"/>
      <c r="E8380" s="396"/>
      <c r="F8380" s="396"/>
      <c r="G8380" s="396"/>
      <c r="K8380" s="370"/>
      <c r="N8380" s="370"/>
    </row>
    <row r="8381" spans="1:14" s="347" customFormat="1" x14ac:dyDescent="0.25">
      <c r="A8381" s="369"/>
      <c r="E8381" s="396"/>
      <c r="F8381" s="396"/>
      <c r="G8381" s="396"/>
      <c r="K8381" s="370"/>
      <c r="N8381" s="370"/>
    </row>
    <row r="8382" spans="1:14" s="347" customFormat="1" x14ac:dyDescent="0.25">
      <c r="A8382" s="369"/>
      <c r="E8382" s="396"/>
      <c r="F8382" s="396"/>
      <c r="G8382" s="396"/>
      <c r="K8382" s="370"/>
      <c r="N8382" s="370"/>
    </row>
    <row r="8383" spans="1:14" s="347" customFormat="1" x14ac:dyDescent="0.25">
      <c r="A8383" s="369"/>
      <c r="E8383" s="396"/>
      <c r="F8383" s="396"/>
      <c r="G8383" s="396"/>
      <c r="K8383" s="370"/>
      <c r="N8383" s="370"/>
    </row>
    <row r="8384" spans="1:14" s="347" customFormat="1" x14ac:dyDescent="0.25">
      <c r="A8384" s="369"/>
      <c r="E8384" s="396"/>
      <c r="F8384" s="396"/>
      <c r="G8384" s="396"/>
      <c r="K8384" s="370"/>
      <c r="N8384" s="370"/>
    </row>
    <row r="8385" spans="1:14" s="347" customFormat="1" x14ac:dyDescent="0.25">
      <c r="A8385" s="369"/>
      <c r="E8385" s="396"/>
      <c r="F8385" s="396"/>
      <c r="G8385" s="396"/>
      <c r="K8385" s="370"/>
      <c r="N8385" s="370"/>
    </row>
    <row r="8386" spans="1:14" s="347" customFormat="1" x14ac:dyDescent="0.25">
      <c r="A8386" s="369"/>
      <c r="E8386" s="396"/>
      <c r="F8386" s="396"/>
      <c r="G8386" s="396"/>
      <c r="K8386" s="370"/>
      <c r="N8386" s="370"/>
    </row>
    <row r="8387" spans="1:14" s="347" customFormat="1" x14ac:dyDescent="0.25">
      <c r="A8387" s="369"/>
      <c r="E8387" s="396"/>
      <c r="F8387" s="396"/>
      <c r="G8387" s="396"/>
      <c r="K8387" s="370"/>
      <c r="N8387" s="370"/>
    </row>
    <row r="8388" spans="1:14" s="347" customFormat="1" x14ac:dyDescent="0.25">
      <c r="A8388" s="369"/>
      <c r="E8388" s="396"/>
      <c r="F8388" s="396"/>
      <c r="G8388" s="396"/>
      <c r="K8388" s="370"/>
      <c r="N8388" s="370"/>
    </row>
    <row r="8389" spans="1:14" s="347" customFormat="1" x14ac:dyDescent="0.25">
      <c r="A8389" s="369"/>
      <c r="E8389" s="396"/>
      <c r="F8389" s="396"/>
      <c r="G8389" s="396"/>
      <c r="K8389" s="370"/>
      <c r="N8389" s="370"/>
    </row>
    <row r="8390" spans="1:14" s="347" customFormat="1" x14ac:dyDescent="0.25">
      <c r="A8390" s="369"/>
      <c r="E8390" s="396"/>
      <c r="F8390" s="396"/>
      <c r="G8390" s="396"/>
      <c r="K8390" s="370"/>
      <c r="N8390" s="370"/>
    </row>
    <row r="8391" spans="1:14" s="347" customFormat="1" x14ac:dyDescent="0.25">
      <c r="A8391" s="369"/>
      <c r="E8391" s="396"/>
      <c r="F8391" s="396"/>
      <c r="G8391" s="396"/>
      <c r="K8391" s="370"/>
      <c r="N8391" s="370"/>
    </row>
    <row r="8392" spans="1:14" s="347" customFormat="1" x14ac:dyDescent="0.25">
      <c r="A8392" s="369"/>
      <c r="E8392" s="396"/>
      <c r="F8392" s="396"/>
      <c r="G8392" s="396"/>
      <c r="K8392" s="370"/>
      <c r="N8392" s="370"/>
    </row>
    <row r="8393" spans="1:14" s="347" customFormat="1" x14ac:dyDescent="0.25">
      <c r="A8393" s="369"/>
      <c r="E8393" s="396"/>
      <c r="F8393" s="396"/>
      <c r="G8393" s="396"/>
      <c r="K8393" s="370"/>
      <c r="N8393" s="370"/>
    </row>
    <row r="8394" spans="1:14" s="347" customFormat="1" x14ac:dyDescent="0.25">
      <c r="A8394" s="369"/>
      <c r="E8394" s="396"/>
      <c r="F8394" s="396"/>
      <c r="G8394" s="396"/>
      <c r="K8394" s="370"/>
      <c r="N8394" s="370"/>
    </row>
    <row r="8395" spans="1:14" s="347" customFormat="1" x14ac:dyDescent="0.25">
      <c r="A8395" s="369"/>
      <c r="E8395" s="396"/>
      <c r="F8395" s="396"/>
      <c r="G8395" s="396"/>
      <c r="K8395" s="370"/>
      <c r="N8395" s="370"/>
    </row>
    <row r="8396" spans="1:14" s="347" customFormat="1" x14ac:dyDescent="0.25">
      <c r="A8396" s="369"/>
      <c r="E8396" s="396"/>
      <c r="F8396" s="396"/>
      <c r="G8396" s="396"/>
      <c r="K8396" s="370"/>
      <c r="N8396" s="370"/>
    </row>
    <row r="8397" spans="1:14" s="347" customFormat="1" x14ac:dyDescent="0.25">
      <c r="A8397" s="369"/>
      <c r="E8397" s="396"/>
      <c r="F8397" s="396"/>
      <c r="G8397" s="396"/>
      <c r="K8397" s="370"/>
      <c r="N8397" s="370"/>
    </row>
    <row r="8398" spans="1:14" s="347" customFormat="1" x14ac:dyDescent="0.25">
      <c r="A8398" s="369"/>
      <c r="E8398" s="396"/>
      <c r="F8398" s="396"/>
      <c r="G8398" s="396"/>
      <c r="K8398" s="370"/>
      <c r="N8398" s="370"/>
    </row>
    <row r="8399" spans="1:14" s="347" customFormat="1" x14ac:dyDescent="0.25">
      <c r="A8399" s="369"/>
      <c r="E8399" s="396"/>
      <c r="F8399" s="396"/>
      <c r="G8399" s="396"/>
      <c r="K8399" s="370"/>
      <c r="N8399" s="370"/>
    </row>
    <row r="8400" spans="1:14" s="347" customFormat="1" x14ac:dyDescent="0.25">
      <c r="A8400" s="369"/>
      <c r="E8400" s="396"/>
      <c r="F8400" s="396"/>
      <c r="G8400" s="396"/>
      <c r="K8400" s="370"/>
      <c r="N8400" s="370"/>
    </row>
    <row r="8401" spans="1:14" s="347" customFormat="1" x14ac:dyDescent="0.25">
      <c r="A8401" s="369"/>
      <c r="E8401" s="396"/>
      <c r="F8401" s="396"/>
      <c r="G8401" s="396"/>
      <c r="K8401" s="370"/>
      <c r="N8401" s="370"/>
    </row>
    <row r="8402" spans="1:14" s="347" customFormat="1" x14ac:dyDescent="0.25">
      <c r="A8402" s="369"/>
      <c r="E8402" s="396"/>
      <c r="F8402" s="396"/>
      <c r="G8402" s="396"/>
      <c r="K8402" s="370"/>
      <c r="N8402" s="370"/>
    </row>
    <row r="8403" spans="1:14" s="347" customFormat="1" x14ac:dyDescent="0.25">
      <c r="A8403" s="369"/>
      <c r="E8403" s="396"/>
      <c r="F8403" s="396"/>
      <c r="G8403" s="396"/>
      <c r="K8403" s="370"/>
      <c r="N8403" s="370"/>
    </row>
    <row r="8404" spans="1:14" s="347" customFormat="1" x14ac:dyDescent="0.25">
      <c r="A8404" s="369"/>
      <c r="E8404" s="396"/>
      <c r="F8404" s="396"/>
      <c r="G8404" s="396"/>
      <c r="K8404" s="370"/>
      <c r="N8404" s="370"/>
    </row>
    <row r="8405" spans="1:14" s="347" customFormat="1" x14ac:dyDescent="0.25">
      <c r="A8405" s="369"/>
      <c r="E8405" s="396"/>
      <c r="F8405" s="396"/>
      <c r="G8405" s="396"/>
      <c r="K8405" s="370"/>
      <c r="N8405" s="370"/>
    </row>
    <row r="8406" spans="1:14" s="347" customFormat="1" x14ac:dyDescent="0.25">
      <c r="A8406" s="369"/>
      <c r="E8406" s="396"/>
      <c r="F8406" s="396"/>
      <c r="G8406" s="396"/>
      <c r="K8406" s="370"/>
      <c r="N8406" s="370"/>
    </row>
    <row r="8407" spans="1:14" s="347" customFormat="1" x14ac:dyDescent="0.25">
      <c r="A8407" s="369"/>
      <c r="E8407" s="396"/>
      <c r="F8407" s="396"/>
      <c r="G8407" s="396"/>
      <c r="K8407" s="370"/>
      <c r="N8407" s="370"/>
    </row>
    <row r="8408" spans="1:14" s="347" customFormat="1" x14ac:dyDescent="0.25">
      <c r="A8408" s="369"/>
      <c r="E8408" s="396"/>
      <c r="F8408" s="396"/>
      <c r="G8408" s="396"/>
      <c r="K8408" s="370"/>
      <c r="N8408" s="370"/>
    </row>
    <row r="8409" spans="1:14" s="347" customFormat="1" x14ac:dyDescent="0.25">
      <c r="A8409" s="369"/>
      <c r="E8409" s="396"/>
      <c r="F8409" s="396"/>
      <c r="G8409" s="396"/>
      <c r="K8409" s="370"/>
      <c r="N8409" s="370"/>
    </row>
    <row r="8410" spans="1:14" s="347" customFormat="1" x14ac:dyDescent="0.25">
      <c r="A8410" s="369"/>
      <c r="E8410" s="396"/>
      <c r="F8410" s="396"/>
      <c r="G8410" s="396"/>
      <c r="K8410" s="370"/>
      <c r="N8410" s="370"/>
    </row>
    <row r="8411" spans="1:14" s="347" customFormat="1" x14ac:dyDescent="0.25">
      <c r="A8411" s="369"/>
      <c r="E8411" s="396"/>
      <c r="F8411" s="396"/>
      <c r="G8411" s="396"/>
      <c r="K8411" s="370"/>
      <c r="N8411" s="370"/>
    </row>
    <row r="8412" spans="1:14" s="347" customFormat="1" x14ac:dyDescent="0.25">
      <c r="A8412" s="369"/>
      <c r="E8412" s="396"/>
      <c r="F8412" s="396"/>
      <c r="G8412" s="396"/>
      <c r="K8412" s="370"/>
      <c r="N8412" s="370"/>
    </row>
    <row r="8413" spans="1:14" s="347" customFormat="1" x14ac:dyDescent="0.25">
      <c r="A8413" s="369"/>
      <c r="E8413" s="396"/>
      <c r="F8413" s="396"/>
      <c r="G8413" s="396"/>
      <c r="K8413" s="370"/>
      <c r="N8413" s="370"/>
    </row>
    <row r="8414" spans="1:14" s="347" customFormat="1" x14ac:dyDescent="0.25">
      <c r="A8414" s="369"/>
      <c r="E8414" s="396"/>
      <c r="F8414" s="396"/>
      <c r="G8414" s="396"/>
      <c r="K8414" s="370"/>
      <c r="N8414" s="370"/>
    </row>
    <row r="8415" spans="1:14" s="347" customFormat="1" x14ac:dyDescent="0.25">
      <c r="A8415" s="369"/>
      <c r="E8415" s="396"/>
      <c r="F8415" s="396"/>
      <c r="G8415" s="396"/>
      <c r="K8415" s="370"/>
      <c r="N8415" s="370"/>
    </row>
    <row r="8416" spans="1:14" s="347" customFormat="1" x14ac:dyDescent="0.25">
      <c r="A8416" s="369"/>
      <c r="E8416" s="396"/>
      <c r="F8416" s="396"/>
      <c r="G8416" s="396"/>
      <c r="K8416" s="370"/>
      <c r="N8416" s="370"/>
    </row>
    <row r="8417" spans="1:14" s="347" customFormat="1" x14ac:dyDescent="0.25">
      <c r="A8417" s="369"/>
      <c r="E8417" s="396"/>
      <c r="F8417" s="396"/>
      <c r="G8417" s="396"/>
      <c r="K8417" s="370"/>
      <c r="N8417" s="370"/>
    </row>
    <row r="8418" spans="1:14" s="347" customFormat="1" x14ac:dyDescent="0.25">
      <c r="A8418" s="369"/>
      <c r="E8418" s="396"/>
      <c r="F8418" s="396"/>
      <c r="G8418" s="396"/>
      <c r="K8418" s="370"/>
      <c r="N8418" s="370"/>
    </row>
    <row r="8419" spans="1:14" s="347" customFormat="1" x14ac:dyDescent="0.25">
      <c r="A8419" s="369"/>
      <c r="E8419" s="396"/>
      <c r="F8419" s="396"/>
      <c r="G8419" s="396"/>
      <c r="K8419" s="370"/>
      <c r="N8419" s="370"/>
    </row>
    <row r="8420" spans="1:14" s="347" customFormat="1" x14ac:dyDescent="0.25">
      <c r="A8420" s="369"/>
      <c r="E8420" s="396"/>
      <c r="F8420" s="396"/>
      <c r="G8420" s="396"/>
      <c r="K8420" s="370"/>
      <c r="N8420" s="370"/>
    </row>
    <row r="8421" spans="1:14" s="347" customFormat="1" x14ac:dyDescent="0.25">
      <c r="A8421" s="369"/>
      <c r="E8421" s="396"/>
      <c r="F8421" s="396"/>
      <c r="G8421" s="396"/>
      <c r="K8421" s="370"/>
      <c r="N8421" s="370"/>
    </row>
    <row r="8422" spans="1:14" s="347" customFormat="1" x14ac:dyDescent="0.25">
      <c r="A8422" s="369"/>
      <c r="E8422" s="396"/>
      <c r="F8422" s="396"/>
      <c r="G8422" s="396"/>
      <c r="K8422" s="370"/>
      <c r="N8422" s="370"/>
    </row>
    <row r="8423" spans="1:14" s="347" customFormat="1" x14ac:dyDescent="0.25">
      <c r="A8423" s="369"/>
      <c r="E8423" s="396"/>
      <c r="F8423" s="396"/>
      <c r="G8423" s="396"/>
      <c r="K8423" s="370"/>
      <c r="N8423" s="370"/>
    </row>
    <row r="8424" spans="1:14" s="347" customFormat="1" x14ac:dyDescent="0.25">
      <c r="A8424" s="369"/>
      <c r="E8424" s="396"/>
      <c r="F8424" s="396"/>
      <c r="G8424" s="396"/>
      <c r="K8424" s="370"/>
      <c r="N8424" s="370"/>
    </row>
    <row r="8425" spans="1:14" s="347" customFormat="1" x14ac:dyDescent="0.25">
      <c r="A8425" s="369"/>
      <c r="E8425" s="396"/>
      <c r="F8425" s="396"/>
      <c r="G8425" s="396"/>
      <c r="K8425" s="370"/>
      <c r="N8425" s="370"/>
    </row>
    <row r="8426" spans="1:14" s="347" customFormat="1" x14ac:dyDescent="0.25">
      <c r="A8426" s="369"/>
      <c r="E8426" s="396"/>
      <c r="F8426" s="396"/>
      <c r="G8426" s="396"/>
      <c r="K8426" s="370"/>
      <c r="N8426" s="370"/>
    </row>
    <row r="8427" spans="1:14" s="347" customFormat="1" x14ac:dyDescent="0.25">
      <c r="A8427" s="369"/>
      <c r="E8427" s="396"/>
      <c r="F8427" s="396"/>
      <c r="G8427" s="396"/>
      <c r="K8427" s="370"/>
      <c r="N8427" s="370"/>
    </row>
    <row r="8428" spans="1:14" s="347" customFormat="1" x14ac:dyDescent="0.25">
      <c r="A8428" s="369"/>
      <c r="E8428" s="396"/>
      <c r="F8428" s="396"/>
      <c r="G8428" s="396"/>
      <c r="K8428" s="370"/>
      <c r="N8428" s="370"/>
    </row>
    <row r="8429" spans="1:14" s="347" customFormat="1" x14ac:dyDescent="0.25">
      <c r="A8429" s="369"/>
      <c r="E8429" s="396"/>
      <c r="F8429" s="396"/>
      <c r="G8429" s="396"/>
      <c r="K8429" s="370"/>
      <c r="N8429" s="370"/>
    </row>
    <row r="8430" spans="1:14" s="347" customFormat="1" x14ac:dyDescent="0.25">
      <c r="A8430" s="369"/>
      <c r="E8430" s="396"/>
      <c r="F8430" s="396"/>
      <c r="G8430" s="396"/>
      <c r="K8430" s="370"/>
      <c r="N8430" s="370"/>
    </row>
    <row r="8431" spans="1:14" s="347" customFormat="1" x14ac:dyDescent="0.25">
      <c r="A8431" s="369"/>
      <c r="E8431" s="396"/>
      <c r="F8431" s="396"/>
      <c r="G8431" s="396"/>
      <c r="K8431" s="370"/>
      <c r="N8431" s="370"/>
    </row>
    <row r="8432" spans="1:14" s="347" customFormat="1" x14ac:dyDescent="0.25">
      <c r="A8432" s="369"/>
      <c r="E8432" s="396"/>
      <c r="F8432" s="396"/>
      <c r="G8432" s="396"/>
      <c r="K8432" s="370"/>
      <c r="N8432" s="370"/>
    </row>
    <row r="8433" spans="1:14" s="347" customFormat="1" x14ac:dyDescent="0.25">
      <c r="A8433" s="369"/>
      <c r="E8433" s="396"/>
      <c r="F8433" s="396"/>
      <c r="G8433" s="396"/>
      <c r="K8433" s="370"/>
      <c r="N8433" s="370"/>
    </row>
    <row r="8434" spans="1:14" s="347" customFormat="1" x14ac:dyDescent="0.25">
      <c r="A8434" s="369"/>
      <c r="E8434" s="396"/>
      <c r="F8434" s="396"/>
      <c r="G8434" s="396"/>
      <c r="K8434" s="370"/>
      <c r="N8434" s="370"/>
    </row>
    <row r="8435" spans="1:14" s="347" customFormat="1" x14ac:dyDescent="0.25">
      <c r="A8435" s="369"/>
      <c r="E8435" s="396"/>
      <c r="F8435" s="396"/>
      <c r="G8435" s="396"/>
      <c r="K8435" s="370"/>
      <c r="N8435" s="370"/>
    </row>
    <row r="8436" spans="1:14" s="347" customFormat="1" x14ac:dyDescent="0.25">
      <c r="A8436" s="369"/>
      <c r="E8436" s="396"/>
      <c r="F8436" s="396"/>
      <c r="G8436" s="396"/>
      <c r="K8436" s="370"/>
      <c r="N8436" s="370"/>
    </row>
    <row r="8437" spans="1:14" s="347" customFormat="1" x14ac:dyDescent="0.25">
      <c r="A8437" s="369"/>
      <c r="E8437" s="396"/>
      <c r="F8437" s="396"/>
      <c r="G8437" s="396"/>
      <c r="K8437" s="370"/>
      <c r="N8437" s="370"/>
    </row>
    <row r="8438" spans="1:14" s="347" customFormat="1" x14ac:dyDescent="0.25">
      <c r="A8438" s="369"/>
      <c r="E8438" s="396"/>
      <c r="F8438" s="396"/>
      <c r="G8438" s="396"/>
      <c r="K8438" s="370"/>
      <c r="N8438" s="370"/>
    </row>
    <row r="8439" spans="1:14" s="347" customFormat="1" x14ac:dyDescent="0.25">
      <c r="A8439" s="369"/>
      <c r="E8439" s="396"/>
      <c r="F8439" s="396"/>
      <c r="G8439" s="396"/>
      <c r="K8439" s="370"/>
      <c r="N8439" s="370"/>
    </row>
    <row r="8440" spans="1:14" s="347" customFormat="1" x14ac:dyDescent="0.25">
      <c r="A8440" s="369"/>
      <c r="E8440" s="396"/>
      <c r="F8440" s="396"/>
      <c r="G8440" s="396"/>
      <c r="K8440" s="370"/>
      <c r="N8440" s="370"/>
    </row>
    <row r="8441" spans="1:14" s="347" customFormat="1" x14ac:dyDescent="0.25">
      <c r="A8441" s="369"/>
      <c r="E8441" s="396"/>
      <c r="F8441" s="396"/>
      <c r="G8441" s="396"/>
      <c r="K8441" s="370"/>
      <c r="N8441" s="370"/>
    </row>
    <row r="8442" spans="1:14" s="347" customFormat="1" x14ac:dyDescent="0.25">
      <c r="A8442" s="369"/>
      <c r="E8442" s="396"/>
      <c r="F8442" s="396"/>
      <c r="G8442" s="396"/>
      <c r="K8442" s="370"/>
      <c r="N8442" s="370"/>
    </row>
    <row r="8443" spans="1:14" s="347" customFormat="1" x14ac:dyDescent="0.25">
      <c r="A8443" s="369"/>
      <c r="E8443" s="396"/>
      <c r="F8443" s="396"/>
      <c r="G8443" s="396"/>
      <c r="K8443" s="370"/>
      <c r="N8443" s="370"/>
    </row>
    <row r="8444" spans="1:14" s="347" customFormat="1" x14ac:dyDescent="0.25">
      <c r="A8444" s="369"/>
      <c r="E8444" s="396"/>
      <c r="F8444" s="396"/>
      <c r="G8444" s="396"/>
      <c r="K8444" s="370"/>
      <c r="N8444" s="370"/>
    </row>
    <row r="8445" spans="1:14" s="347" customFormat="1" x14ac:dyDescent="0.25">
      <c r="A8445" s="369"/>
      <c r="E8445" s="396"/>
      <c r="F8445" s="396"/>
      <c r="G8445" s="396"/>
      <c r="K8445" s="370"/>
      <c r="N8445" s="370"/>
    </row>
    <row r="8446" spans="1:14" s="347" customFormat="1" x14ac:dyDescent="0.25">
      <c r="A8446" s="369"/>
      <c r="E8446" s="396"/>
      <c r="F8446" s="396"/>
      <c r="G8446" s="396"/>
      <c r="K8446" s="370"/>
      <c r="N8446" s="370"/>
    </row>
    <row r="8447" spans="1:14" s="347" customFormat="1" x14ac:dyDescent="0.25">
      <c r="A8447" s="369"/>
      <c r="E8447" s="396"/>
      <c r="F8447" s="396"/>
      <c r="G8447" s="396"/>
      <c r="K8447" s="370"/>
      <c r="N8447" s="370"/>
    </row>
    <row r="8448" spans="1:14" s="347" customFormat="1" x14ac:dyDescent="0.25">
      <c r="A8448" s="369"/>
      <c r="E8448" s="396"/>
      <c r="F8448" s="396"/>
      <c r="G8448" s="396"/>
      <c r="K8448" s="370"/>
      <c r="N8448" s="370"/>
    </row>
    <row r="8449" spans="1:14" s="347" customFormat="1" x14ac:dyDescent="0.25">
      <c r="A8449" s="369"/>
      <c r="E8449" s="396"/>
      <c r="F8449" s="396"/>
      <c r="G8449" s="396"/>
      <c r="K8449" s="370"/>
      <c r="N8449" s="370"/>
    </row>
    <row r="8450" spans="1:14" s="347" customFormat="1" x14ac:dyDescent="0.25">
      <c r="A8450" s="369"/>
      <c r="E8450" s="396"/>
      <c r="F8450" s="396"/>
      <c r="G8450" s="396"/>
      <c r="K8450" s="370"/>
      <c r="N8450" s="370"/>
    </row>
    <row r="8451" spans="1:14" s="347" customFormat="1" x14ac:dyDescent="0.25">
      <c r="A8451" s="369"/>
      <c r="E8451" s="396"/>
      <c r="F8451" s="396"/>
      <c r="G8451" s="396"/>
      <c r="K8451" s="370"/>
      <c r="N8451" s="370"/>
    </row>
    <row r="8452" spans="1:14" s="347" customFormat="1" x14ac:dyDescent="0.25">
      <c r="A8452" s="369"/>
      <c r="E8452" s="396"/>
      <c r="F8452" s="396"/>
      <c r="G8452" s="396"/>
      <c r="K8452" s="370"/>
      <c r="N8452" s="370"/>
    </row>
    <row r="8453" spans="1:14" s="347" customFormat="1" x14ac:dyDescent="0.25">
      <c r="A8453" s="369"/>
      <c r="E8453" s="396"/>
      <c r="F8453" s="396"/>
      <c r="G8453" s="396"/>
      <c r="K8453" s="370"/>
      <c r="N8453" s="370"/>
    </row>
    <row r="8454" spans="1:14" s="347" customFormat="1" x14ac:dyDescent="0.25">
      <c r="A8454" s="369"/>
      <c r="E8454" s="396"/>
      <c r="F8454" s="396"/>
      <c r="G8454" s="396"/>
      <c r="K8454" s="370"/>
      <c r="N8454" s="370"/>
    </row>
    <row r="8455" spans="1:14" s="347" customFormat="1" x14ac:dyDescent="0.25">
      <c r="A8455" s="369"/>
      <c r="E8455" s="396"/>
      <c r="F8455" s="396"/>
      <c r="G8455" s="396"/>
      <c r="K8455" s="370"/>
      <c r="N8455" s="370"/>
    </row>
    <row r="8456" spans="1:14" s="347" customFormat="1" x14ac:dyDescent="0.25">
      <c r="A8456" s="369"/>
      <c r="E8456" s="396"/>
      <c r="F8456" s="396"/>
      <c r="G8456" s="396"/>
      <c r="K8456" s="370"/>
      <c r="N8456" s="370"/>
    </row>
    <row r="8457" spans="1:14" s="347" customFormat="1" x14ac:dyDescent="0.25">
      <c r="A8457" s="369"/>
      <c r="E8457" s="396"/>
      <c r="F8457" s="396"/>
      <c r="G8457" s="396"/>
      <c r="K8457" s="370"/>
      <c r="N8457" s="370"/>
    </row>
    <row r="8458" spans="1:14" s="347" customFormat="1" x14ac:dyDescent="0.25">
      <c r="A8458" s="369"/>
      <c r="E8458" s="396"/>
      <c r="F8458" s="396"/>
      <c r="G8458" s="396"/>
      <c r="K8458" s="370"/>
      <c r="N8458" s="370"/>
    </row>
    <row r="8459" spans="1:14" s="347" customFormat="1" x14ac:dyDescent="0.25">
      <c r="A8459" s="369"/>
      <c r="E8459" s="396"/>
      <c r="F8459" s="396"/>
      <c r="G8459" s="396"/>
      <c r="K8459" s="370"/>
      <c r="N8459" s="370"/>
    </row>
    <row r="8460" spans="1:14" s="347" customFormat="1" x14ac:dyDescent="0.25">
      <c r="A8460" s="369"/>
      <c r="E8460" s="396"/>
      <c r="F8460" s="396"/>
      <c r="G8460" s="396"/>
      <c r="K8460" s="370"/>
      <c r="N8460" s="370"/>
    </row>
    <row r="8461" spans="1:14" s="347" customFormat="1" x14ac:dyDescent="0.25">
      <c r="A8461" s="369"/>
      <c r="E8461" s="396"/>
      <c r="F8461" s="396"/>
      <c r="G8461" s="396"/>
      <c r="K8461" s="370"/>
      <c r="N8461" s="370"/>
    </row>
    <row r="8462" spans="1:14" s="347" customFormat="1" x14ac:dyDescent="0.25">
      <c r="A8462" s="369"/>
      <c r="E8462" s="396"/>
      <c r="F8462" s="396"/>
      <c r="G8462" s="396"/>
      <c r="K8462" s="370"/>
      <c r="N8462" s="370"/>
    </row>
    <row r="8463" spans="1:14" s="347" customFormat="1" x14ac:dyDescent="0.25">
      <c r="A8463" s="369"/>
      <c r="E8463" s="396"/>
      <c r="F8463" s="396"/>
      <c r="G8463" s="396"/>
      <c r="K8463" s="370"/>
      <c r="N8463" s="370"/>
    </row>
    <row r="8464" spans="1:14" s="347" customFormat="1" x14ac:dyDescent="0.25">
      <c r="A8464" s="369"/>
      <c r="E8464" s="396"/>
      <c r="F8464" s="396"/>
      <c r="G8464" s="396"/>
      <c r="K8464" s="370"/>
      <c r="N8464" s="370"/>
    </row>
    <row r="8465" spans="1:14" s="347" customFormat="1" x14ac:dyDescent="0.25">
      <c r="A8465" s="369"/>
      <c r="E8465" s="396"/>
      <c r="F8465" s="396"/>
      <c r="G8465" s="396"/>
      <c r="K8465" s="370"/>
      <c r="N8465" s="370"/>
    </row>
    <row r="8466" spans="1:14" s="347" customFormat="1" x14ac:dyDescent="0.25">
      <c r="A8466" s="369"/>
      <c r="E8466" s="396"/>
      <c r="F8466" s="396"/>
      <c r="G8466" s="396"/>
      <c r="K8466" s="370"/>
      <c r="N8466" s="370"/>
    </row>
    <row r="8467" spans="1:14" s="347" customFormat="1" x14ac:dyDescent="0.25">
      <c r="A8467" s="369"/>
      <c r="E8467" s="396"/>
      <c r="F8467" s="396"/>
      <c r="G8467" s="396"/>
      <c r="K8467" s="370"/>
      <c r="N8467" s="370"/>
    </row>
    <row r="8468" spans="1:14" s="347" customFormat="1" x14ac:dyDescent="0.25">
      <c r="A8468" s="369"/>
      <c r="E8468" s="396"/>
      <c r="F8468" s="396"/>
      <c r="G8468" s="396"/>
      <c r="K8468" s="370"/>
      <c r="N8468" s="370"/>
    </row>
    <row r="8469" spans="1:14" s="347" customFormat="1" x14ac:dyDescent="0.25">
      <c r="A8469" s="369"/>
      <c r="E8469" s="396"/>
      <c r="F8469" s="396"/>
      <c r="G8469" s="396"/>
      <c r="K8469" s="370"/>
      <c r="N8469" s="370"/>
    </row>
    <row r="8470" spans="1:14" s="347" customFormat="1" x14ac:dyDescent="0.25">
      <c r="A8470" s="369"/>
      <c r="E8470" s="396"/>
      <c r="F8470" s="396"/>
      <c r="G8470" s="396"/>
      <c r="K8470" s="370"/>
      <c r="N8470" s="370"/>
    </row>
    <row r="8471" spans="1:14" s="347" customFormat="1" x14ac:dyDescent="0.25">
      <c r="A8471" s="369"/>
      <c r="E8471" s="396"/>
      <c r="F8471" s="396"/>
      <c r="G8471" s="396"/>
      <c r="K8471" s="370"/>
      <c r="N8471" s="370"/>
    </row>
    <row r="8472" spans="1:14" s="347" customFormat="1" x14ac:dyDescent="0.25">
      <c r="A8472" s="369"/>
      <c r="E8472" s="396"/>
      <c r="F8472" s="396"/>
      <c r="G8472" s="396"/>
      <c r="K8472" s="370"/>
      <c r="N8472" s="370"/>
    </row>
    <row r="8473" spans="1:14" s="347" customFormat="1" x14ac:dyDescent="0.25">
      <c r="A8473" s="369"/>
      <c r="E8473" s="396"/>
      <c r="F8473" s="396"/>
      <c r="G8473" s="396"/>
      <c r="K8473" s="370"/>
      <c r="N8473" s="370"/>
    </row>
    <row r="8474" spans="1:14" s="347" customFormat="1" x14ac:dyDescent="0.25">
      <c r="A8474" s="369"/>
      <c r="E8474" s="396"/>
      <c r="F8474" s="396"/>
      <c r="G8474" s="396"/>
      <c r="K8474" s="370"/>
      <c r="N8474" s="370"/>
    </row>
    <row r="8475" spans="1:14" s="347" customFormat="1" x14ac:dyDescent="0.25">
      <c r="A8475" s="369"/>
      <c r="E8475" s="396"/>
      <c r="F8475" s="396"/>
      <c r="G8475" s="396"/>
      <c r="K8475" s="370"/>
      <c r="N8475" s="370"/>
    </row>
    <row r="8476" spans="1:14" s="347" customFormat="1" x14ac:dyDescent="0.25">
      <c r="A8476" s="369"/>
      <c r="E8476" s="396"/>
      <c r="F8476" s="396"/>
      <c r="G8476" s="396"/>
      <c r="K8476" s="370"/>
      <c r="N8476" s="370"/>
    </row>
    <row r="8477" spans="1:14" s="347" customFormat="1" x14ac:dyDescent="0.25">
      <c r="A8477" s="369"/>
      <c r="E8477" s="396"/>
      <c r="F8477" s="396"/>
      <c r="G8477" s="396"/>
      <c r="K8477" s="370"/>
      <c r="N8477" s="370"/>
    </row>
    <row r="8478" spans="1:14" s="347" customFormat="1" x14ac:dyDescent="0.25">
      <c r="A8478" s="369"/>
      <c r="E8478" s="396"/>
      <c r="F8478" s="396"/>
      <c r="G8478" s="396"/>
      <c r="K8478" s="370"/>
      <c r="N8478" s="370"/>
    </row>
    <row r="8479" spans="1:14" s="347" customFormat="1" x14ac:dyDescent="0.25">
      <c r="A8479" s="369"/>
      <c r="E8479" s="396"/>
      <c r="F8479" s="396"/>
      <c r="G8479" s="396"/>
      <c r="K8479" s="370"/>
      <c r="N8479" s="370"/>
    </row>
    <row r="8480" spans="1:14" s="347" customFormat="1" x14ac:dyDescent="0.25">
      <c r="A8480" s="369"/>
      <c r="E8480" s="396"/>
      <c r="F8480" s="396"/>
      <c r="G8480" s="396"/>
      <c r="K8480" s="370"/>
      <c r="N8480" s="370"/>
    </row>
    <row r="8481" spans="1:14" s="347" customFormat="1" x14ac:dyDescent="0.25">
      <c r="A8481" s="369"/>
      <c r="E8481" s="396"/>
      <c r="F8481" s="396"/>
      <c r="G8481" s="396"/>
      <c r="K8481" s="370"/>
      <c r="N8481" s="370"/>
    </row>
    <row r="8482" spans="1:14" s="347" customFormat="1" x14ac:dyDescent="0.25">
      <c r="A8482" s="369"/>
      <c r="E8482" s="396"/>
      <c r="F8482" s="396"/>
      <c r="G8482" s="396"/>
      <c r="K8482" s="370"/>
      <c r="N8482" s="370"/>
    </row>
    <row r="8483" spans="1:14" s="347" customFormat="1" x14ac:dyDescent="0.25">
      <c r="A8483" s="369"/>
      <c r="E8483" s="396"/>
      <c r="F8483" s="396"/>
      <c r="G8483" s="396"/>
      <c r="K8483" s="370"/>
      <c r="N8483" s="370"/>
    </row>
    <row r="8484" spans="1:14" s="347" customFormat="1" x14ac:dyDescent="0.25">
      <c r="A8484" s="369"/>
      <c r="E8484" s="396"/>
      <c r="F8484" s="396"/>
      <c r="G8484" s="396"/>
      <c r="K8484" s="370"/>
      <c r="N8484" s="370"/>
    </row>
    <row r="8485" spans="1:14" s="347" customFormat="1" x14ac:dyDescent="0.25">
      <c r="A8485" s="369"/>
      <c r="E8485" s="396"/>
      <c r="F8485" s="396"/>
      <c r="G8485" s="396"/>
      <c r="K8485" s="370"/>
      <c r="N8485" s="370"/>
    </row>
    <row r="8486" spans="1:14" s="347" customFormat="1" x14ac:dyDescent="0.25">
      <c r="A8486" s="369"/>
      <c r="E8486" s="396"/>
      <c r="F8486" s="396"/>
      <c r="G8486" s="396"/>
      <c r="K8486" s="370"/>
      <c r="N8486" s="370"/>
    </row>
    <row r="8487" spans="1:14" s="347" customFormat="1" x14ac:dyDescent="0.25">
      <c r="A8487" s="369"/>
      <c r="E8487" s="396"/>
      <c r="F8487" s="396"/>
      <c r="G8487" s="396"/>
      <c r="K8487" s="370"/>
      <c r="N8487" s="370"/>
    </row>
    <row r="8488" spans="1:14" s="347" customFormat="1" x14ac:dyDescent="0.25">
      <c r="A8488" s="369"/>
      <c r="E8488" s="396"/>
      <c r="F8488" s="396"/>
      <c r="G8488" s="396"/>
      <c r="K8488" s="370"/>
      <c r="N8488" s="370"/>
    </row>
    <row r="8489" spans="1:14" s="347" customFormat="1" x14ac:dyDescent="0.25">
      <c r="A8489" s="369"/>
      <c r="E8489" s="396"/>
      <c r="F8489" s="396"/>
      <c r="G8489" s="396"/>
      <c r="K8489" s="370"/>
      <c r="N8489" s="370"/>
    </row>
    <row r="8490" spans="1:14" s="347" customFormat="1" x14ac:dyDescent="0.25">
      <c r="A8490" s="369"/>
      <c r="E8490" s="396"/>
      <c r="F8490" s="396"/>
      <c r="G8490" s="396"/>
      <c r="K8490" s="370"/>
      <c r="N8490" s="370"/>
    </row>
    <row r="8491" spans="1:14" s="347" customFormat="1" x14ac:dyDescent="0.25">
      <c r="A8491" s="369"/>
      <c r="E8491" s="396"/>
      <c r="F8491" s="396"/>
      <c r="G8491" s="396"/>
      <c r="K8491" s="370"/>
      <c r="N8491" s="370"/>
    </row>
    <row r="8492" spans="1:14" s="347" customFormat="1" x14ac:dyDescent="0.25">
      <c r="A8492" s="369"/>
      <c r="E8492" s="396"/>
      <c r="F8492" s="396"/>
      <c r="G8492" s="396"/>
      <c r="K8492" s="370"/>
      <c r="N8492" s="370"/>
    </row>
    <row r="8493" spans="1:14" s="347" customFormat="1" x14ac:dyDescent="0.25">
      <c r="A8493" s="369"/>
      <c r="E8493" s="396"/>
      <c r="F8493" s="396"/>
      <c r="G8493" s="396"/>
      <c r="K8493" s="370"/>
      <c r="N8493" s="370"/>
    </row>
    <row r="8494" spans="1:14" s="347" customFormat="1" x14ac:dyDescent="0.25">
      <c r="A8494" s="369"/>
      <c r="E8494" s="396"/>
      <c r="F8494" s="396"/>
      <c r="G8494" s="396"/>
      <c r="K8494" s="370"/>
      <c r="N8494" s="370"/>
    </row>
    <row r="8495" spans="1:14" s="347" customFormat="1" x14ac:dyDescent="0.25">
      <c r="A8495" s="369"/>
      <c r="E8495" s="396"/>
      <c r="F8495" s="396"/>
      <c r="G8495" s="396"/>
      <c r="K8495" s="370"/>
      <c r="N8495" s="370"/>
    </row>
    <row r="8496" spans="1:14" s="347" customFormat="1" x14ac:dyDescent="0.25">
      <c r="A8496" s="369"/>
      <c r="E8496" s="396"/>
      <c r="F8496" s="396"/>
      <c r="G8496" s="396"/>
      <c r="K8496" s="370"/>
      <c r="N8496" s="370"/>
    </row>
    <row r="8497" spans="1:14" s="347" customFormat="1" x14ac:dyDescent="0.25">
      <c r="A8497" s="369"/>
      <c r="E8497" s="396"/>
      <c r="F8497" s="396"/>
      <c r="G8497" s="396"/>
      <c r="K8497" s="370"/>
      <c r="N8497" s="370"/>
    </row>
    <row r="8498" spans="1:14" s="347" customFormat="1" x14ac:dyDescent="0.25">
      <c r="A8498" s="369"/>
      <c r="E8498" s="396"/>
      <c r="F8498" s="396"/>
      <c r="G8498" s="396"/>
      <c r="K8498" s="370"/>
      <c r="N8498" s="370"/>
    </row>
    <row r="8499" spans="1:14" s="347" customFormat="1" x14ac:dyDescent="0.25">
      <c r="A8499" s="369"/>
      <c r="E8499" s="396"/>
      <c r="F8499" s="396"/>
      <c r="G8499" s="396"/>
      <c r="K8499" s="370"/>
      <c r="N8499" s="370"/>
    </row>
    <row r="8500" spans="1:14" s="347" customFormat="1" x14ac:dyDescent="0.25">
      <c r="A8500" s="369"/>
      <c r="E8500" s="396"/>
      <c r="F8500" s="396"/>
      <c r="G8500" s="396"/>
      <c r="K8500" s="370"/>
      <c r="N8500" s="370"/>
    </row>
    <row r="8501" spans="1:14" s="347" customFormat="1" x14ac:dyDescent="0.25">
      <c r="A8501" s="369"/>
      <c r="E8501" s="396"/>
      <c r="F8501" s="396"/>
      <c r="G8501" s="396"/>
      <c r="K8501" s="370"/>
      <c r="N8501" s="370"/>
    </row>
    <row r="8502" spans="1:14" s="347" customFormat="1" x14ac:dyDescent="0.25">
      <c r="A8502" s="369"/>
      <c r="E8502" s="396"/>
      <c r="F8502" s="396"/>
      <c r="G8502" s="396"/>
      <c r="K8502" s="370"/>
      <c r="N8502" s="370"/>
    </row>
    <row r="8503" spans="1:14" s="347" customFormat="1" x14ac:dyDescent="0.25">
      <c r="A8503" s="369"/>
      <c r="E8503" s="396"/>
      <c r="F8503" s="396"/>
      <c r="G8503" s="396"/>
      <c r="K8503" s="370"/>
      <c r="N8503" s="370"/>
    </row>
    <row r="8504" spans="1:14" s="347" customFormat="1" x14ac:dyDescent="0.25">
      <c r="A8504" s="369"/>
      <c r="E8504" s="396"/>
      <c r="F8504" s="396"/>
      <c r="G8504" s="396"/>
      <c r="K8504" s="370"/>
      <c r="N8504" s="370"/>
    </row>
    <row r="8505" spans="1:14" s="347" customFormat="1" x14ac:dyDescent="0.25">
      <c r="A8505" s="369"/>
      <c r="E8505" s="396"/>
      <c r="F8505" s="396"/>
      <c r="G8505" s="396"/>
      <c r="K8505" s="370"/>
      <c r="N8505" s="370"/>
    </row>
    <row r="8506" spans="1:14" s="347" customFormat="1" x14ac:dyDescent="0.25">
      <c r="A8506" s="369"/>
      <c r="E8506" s="396"/>
      <c r="F8506" s="396"/>
      <c r="G8506" s="396"/>
      <c r="K8506" s="370"/>
      <c r="N8506" s="370"/>
    </row>
    <row r="8507" spans="1:14" s="347" customFormat="1" x14ac:dyDescent="0.25">
      <c r="A8507" s="369"/>
      <c r="E8507" s="396"/>
      <c r="F8507" s="396"/>
      <c r="G8507" s="396"/>
      <c r="K8507" s="370"/>
      <c r="N8507" s="370"/>
    </row>
    <row r="8508" spans="1:14" s="347" customFormat="1" x14ac:dyDescent="0.25">
      <c r="A8508" s="369"/>
      <c r="E8508" s="396"/>
      <c r="F8508" s="396"/>
      <c r="G8508" s="396"/>
      <c r="K8508" s="370"/>
      <c r="N8508" s="370"/>
    </row>
    <row r="8509" spans="1:14" s="347" customFormat="1" x14ac:dyDescent="0.25">
      <c r="A8509" s="369"/>
      <c r="E8509" s="396"/>
      <c r="F8509" s="396"/>
      <c r="G8509" s="396"/>
      <c r="K8509" s="370"/>
      <c r="N8509" s="370"/>
    </row>
    <row r="8510" spans="1:14" s="347" customFormat="1" x14ac:dyDescent="0.25">
      <c r="A8510" s="369"/>
      <c r="E8510" s="396"/>
      <c r="F8510" s="396"/>
      <c r="G8510" s="396"/>
      <c r="K8510" s="370"/>
      <c r="N8510" s="370"/>
    </row>
    <row r="8511" spans="1:14" s="347" customFormat="1" x14ac:dyDescent="0.25">
      <c r="A8511" s="369"/>
      <c r="E8511" s="396"/>
      <c r="F8511" s="396"/>
      <c r="G8511" s="396"/>
      <c r="K8511" s="370"/>
      <c r="N8511" s="370"/>
    </row>
    <row r="8512" spans="1:14" s="347" customFormat="1" x14ac:dyDescent="0.25">
      <c r="A8512" s="369"/>
      <c r="E8512" s="396"/>
      <c r="F8512" s="396"/>
      <c r="G8512" s="396"/>
      <c r="K8512" s="370"/>
      <c r="N8512" s="370"/>
    </row>
    <row r="8513" spans="1:14" s="347" customFormat="1" x14ac:dyDescent="0.25">
      <c r="A8513" s="369"/>
      <c r="E8513" s="396"/>
      <c r="F8513" s="396"/>
      <c r="G8513" s="396"/>
      <c r="K8513" s="370"/>
      <c r="N8513" s="370"/>
    </row>
    <row r="8514" spans="1:14" s="347" customFormat="1" x14ac:dyDescent="0.25">
      <c r="A8514" s="369"/>
      <c r="E8514" s="396"/>
      <c r="F8514" s="396"/>
      <c r="G8514" s="396"/>
      <c r="K8514" s="370"/>
      <c r="N8514" s="370"/>
    </row>
    <row r="8515" spans="1:14" s="347" customFormat="1" x14ac:dyDescent="0.25">
      <c r="A8515" s="369"/>
      <c r="E8515" s="396"/>
      <c r="F8515" s="396"/>
      <c r="G8515" s="396"/>
      <c r="K8515" s="370"/>
      <c r="N8515" s="370"/>
    </row>
    <row r="8516" spans="1:14" s="347" customFormat="1" x14ac:dyDescent="0.25">
      <c r="A8516" s="369"/>
      <c r="E8516" s="396"/>
      <c r="F8516" s="396"/>
      <c r="G8516" s="396"/>
      <c r="K8516" s="370"/>
      <c r="N8516" s="370"/>
    </row>
    <row r="8517" spans="1:14" s="347" customFormat="1" x14ac:dyDescent="0.25">
      <c r="A8517" s="369"/>
      <c r="E8517" s="396"/>
      <c r="F8517" s="396"/>
      <c r="G8517" s="396"/>
      <c r="K8517" s="370"/>
      <c r="N8517" s="370"/>
    </row>
    <row r="8518" spans="1:14" s="347" customFormat="1" x14ac:dyDescent="0.25">
      <c r="A8518" s="369"/>
      <c r="E8518" s="396"/>
      <c r="F8518" s="396"/>
      <c r="G8518" s="396"/>
      <c r="K8518" s="370"/>
      <c r="N8518" s="370"/>
    </row>
    <row r="8519" spans="1:14" s="347" customFormat="1" x14ac:dyDescent="0.25">
      <c r="A8519" s="369"/>
      <c r="E8519" s="396"/>
      <c r="F8519" s="396"/>
      <c r="G8519" s="396"/>
      <c r="K8519" s="370"/>
      <c r="N8519" s="370"/>
    </row>
    <row r="8520" spans="1:14" s="347" customFormat="1" x14ac:dyDescent="0.25">
      <c r="A8520" s="369"/>
      <c r="E8520" s="396"/>
      <c r="F8520" s="396"/>
      <c r="G8520" s="396"/>
      <c r="K8520" s="370"/>
      <c r="N8520" s="370"/>
    </row>
    <row r="8521" spans="1:14" s="347" customFormat="1" x14ac:dyDescent="0.25">
      <c r="A8521" s="369"/>
      <c r="E8521" s="396"/>
      <c r="F8521" s="396"/>
      <c r="G8521" s="396"/>
      <c r="K8521" s="370"/>
      <c r="N8521" s="370"/>
    </row>
    <row r="8522" spans="1:14" s="347" customFormat="1" x14ac:dyDescent="0.25">
      <c r="A8522" s="369"/>
      <c r="E8522" s="396"/>
      <c r="F8522" s="396"/>
      <c r="G8522" s="396"/>
      <c r="K8522" s="370"/>
      <c r="N8522" s="370"/>
    </row>
    <row r="8523" spans="1:14" s="347" customFormat="1" x14ac:dyDescent="0.25">
      <c r="A8523" s="369"/>
      <c r="E8523" s="396"/>
      <c r="F8523" s="396"/>
      <c r="G8523" s="396"/>
      <c r="K8523" s="370"/>
      <c r="N8523" s="370"/>
    </row>
    <row r="8524" spans="1:14" s="347" customFormat="1" x14ac:dyDescent="0.25">
      <c r="A8524" s="369"/>
      <c r="E8524" s="396"/>
      <c r="F8524" s="396"/>
      <c r="G8524" s="396"/>
      <c r="K8524" s="370"/>
      <c r="N8524" s="370"/>
    </row>
    <row r="8525" spans="1:14" s="347" customFormat="1" x14ac:dyDescent="0.25">
      <c r="A8525" s="369"/>
      <c r="E8525" s="396"/>
      <c r="F8525" s="396"/>
      <c r="G8525" s="396"/>
      <c r="K8525" s="370"/>
      <c r="N8525" s="370"/>
    </row>
    <row r="8526" spans="1:14" s="347" customFormat="1" x14ac:dyDescent="0.25">
      <c r="A8526" s="369"/>
      <c r="E8526" s="396"/>
      <c r="F8526" s="396"/>
      <c r="G8526" s="396"/>
      <c r="K8526" s="370"/>
      <c r="N8526" s="370"/>
    </row>
    <row r="8527" spans="1:14" s="347" customFormat="1" x14ac:dyDescent="0.25">
      <c r="A8527" s="369"/>
      <c r="E8527" s="396"/>
      <c r="F8527" s="396"/>
      <c r="G8527" s="396"/>
      <c r="K8527" s="370"/>
      <c r="N8527" s="370"/>
    </row>
    <row r="8528" spans="1:14" s="347" customFormat="1" x14ac:dyDescent="0.25">
      <c r="A8528" s="369"/>
      <c r="E8528" s="396"/>
      <c r="F8528" s="396"/>
      <c r="G8528" s="396"/>
      <c r="K8528" s="370"/>
      <c r="N8528" s="370"/>
    </row>
    <row r="8529" spans="1:14" s="347" customFormat="1" x14ac:dyDescent="0.25">
      <c r="A8529" s="369"/>
      <c r="E8529" s="396"/>
      <c r="F8529" s="396"/>
      <c r="G8529" s="396"/>
      <c r="K8529" s="370"/>
      <c r="N8529" s="370"/>
    </row>
    <row r="8530" spans="1:14" s="347" customFormat="1" x14ac:dyDescent="0.25">
      <c r="A8530" s="369"/>
      <c r="E8530" s="396"/>
      <c r="F8530" s="396"/>
      <c r="G8530" s="396"/>
      <c r="K8530" s="370"/>
      <c r="N8530" s="370"/>
    </row>
    <row r="8531" spans="1:14" s="347" customFormat="1" x14ac:dyDescent="0.25">
      <c r="A8531" s="369"/>
      <c r="E8531" s="396"/>
      <c r="F8531" s="396"/>
      <c r="G8531" s="396"/>
      <c r="K8531" s="370"/>
      <c r="N8531" s="370"/>
    </row>
    <row r="8532" spans="1:14" s="347" customFormat="1" x14ac:dyDescent="0.25">
      <c r="A8532" s="369"/>
      <c r="E8532" s="396"/>
      <c r="F8532" s="396"/>
      <c r="G8532" s="396"/>
      <c r="K8532" s="370"/>
      <c r="N8532" s="370"/>
    </row>
    <row r="8533" spans="1:14" s="347" customFormat="1" x14ac:dyDescent="0.25">
      <c r="A8533" s="369"/>
      <c r="E8533" s="396"/>
      <c r="F8533" s="396"/>
      <c r="G8533" s="396"/>
      <c r="K8533" s="370"/>
      <c r="N8533" s="370"/>
    </row>
    <row r="8534" spans="1:14" s="347" customFormat="1" x14ac:dyDescent="0.25">
      <c r="A8534" s="369"/>
      <c r="E8534" s="396"/>
      <c r="F8534" s="396"/>
      <c r="G8534" s="396"/>
      <c r="K8534" s="370"/>
      <c r="N8534" s="370"/>
    </row>
    <row r="8535" spans="1:14" s="347" customFormat="1" x14ac:dyDescent="0.25">
      <c r="A8535" s="369"/>
      <c r="E8535" s="396"/>
      <c r="F8535" s="396"/>
      <c r="G8535" s="396"/>
      <c r="K8535" s="370"/>
      <c r="N8535" s="370"/>
    </row>
    <row r="8536" spans="1:14" s="347" customFormat="1" x14ac:dyDescent="0.25">
      <c r="A8536" s="369"/>
      <c r="E8536" s="396"/>
      <c r="F8536" s="396"/>
      <c r="G8536" s="396"/>
      <c r="K8536" s="370"/>
      <c r="N8536" s="370"/>
    </row>
    <row r="8537" spans="1:14" s="347" customFormat="1" x14ac:dyDescent="0.25">
      <c r="A8537" s="369"/>
      <c r="E8537" s="396"/>
      <c r="F8537" s="396"/>
      <c r="G8537" s="396"/>
      <c r="K8537" s="370"/>
      <c r="N8537" s="370"/>
    </row>
    <row r="8538" spans="1:14" s="347" customFormat="1" x14ac:dyDescent="0.25">
      <c r="A8538" s="369"/>
      <c r="E8538" s="396"/>
      <c r="F8538" s="396"/>
      <c r="G8538" s="396"/>
      <c r="K8538" s="370"/>
      <c r="N8538" s="370"/>
    </row>
    <row r="8539" spans="1:14" s="347" customFormat="1" x14ac:dyDescent="0.25">
      <c r="A8539" s="369"/>
      <c r="E8539" s="396"/>
      <c r="F8539" s="396"/>
      <c r="G8539" s="396"/>
      <c r="K8539" s="370"/>
      <c r="N8539" s="370"/>
    </row>
    <row r="8540" spans="1:14" s="347" customFormat="1" x14ac:dyDescent="0.25">
      <c r="A8540" s="369"/>
      <c r="E8540" s="396"/>
      <c r="F8540" s="396"/>
      <c r="G8540" s="396"/>
      <c r="K8540" s="370"/>
      <c r="N8540" s="370"/>
    </row>
    <row r="8541" spans="1:14" s="347" customFormat="1" x14ac:dyDescent="0.25">
      <c r="A8541" s="369"/>
      <c r="E8541" s="396"/>
      <c r="F8541" s="396"/>
      <c r="G8541" s="396"/>
      <c r="K8541" s="370"/>
      <c r="N8541" s="370"/>
    </row>
    <row r="8542" spans="1:14" s="347" customFormat="1" x14ac:dyDescent="0.25">
      <c r="A8542" s="369"/>
      <c r="E8542" s="396"/>
      <c r="F8542" s="396"/>
      <c r="G8542" s="396"/>
      <c r="K8542" s="370"/>
      <c r="N8542" s="370"/>
    </row>
    <row r="8543" spans="1:14" s="347" customFormat="1" x14ac:dyDescent="0.25">
      <c r="A8543" s="369"/>
      <c r="E8543" s="396"/>
      <c r="F8543" s="396"/>
      <c r="G8543" s="396"/>
      <c r="K8543" s="370"/>
      <c r="N8543" s="370"/>
    </row>
    <row r="8544" spans="1:14" s="347" customFormat="1" x14ac:dyDescent="0.25">
      <c r="A8544" s="369"/>
      <c r="E8544" s="396"/>
      <c r="F8544" s="396"/>
      <c r="G8544" s="396"/>
      <c r="K8544" s="370"/>
      <c r="N8544" s="370"/>
    </row>
    <row r="8545" spans="1:14" s="347" customFormat="1" x14ac:dyDescent="0.25">
      <c r="A8545" s="369"/>
      <c r="E8545" s="396"/>
      <c r="F8545" s="396"/>
      <c r="G8545" s="396"/>
      <c r="K8545" s="370"/>
      <c r="N8545" s="370"/>
    </row>
    <row r="8546" spans="1:14" s="347" customFormat="1" x14ac:dyDescent="0.25">
      <c r="A8546" s="369"/>
      <c r="E8546" s="396"/>
      <c r="F8546" s="396"/>
      <c r="G8546" s="396"/>
      <c r="K8546" s="370"/>
      <c r="N8546" s="370"/>
    </row>
    <row r="8547" spans="1:14" s="347" customFormat="1" x14ac:dyDescent="0.25">
      <c r="A8547" s="369"/>
      <c r="E8547" s="396"/>
      <c r="F8547" s="396"/>
      <c r="G8547" s="396"/>
      <c r="K8547" s="370"/>
      <c r="N8547" s="370"/>
    </row>
    <row r="8548" spans="1:14" s="347" customFormat="1" x14ac:dyDescent="0.25">
      <c r="A8548" s="369"/>
      <c r="E8548" s="396"/>
      <c r="F8548" s="396"/>
      <c r="G8548" s="396"/>
      <c r="K8548" s="370"/>
      <c r="N8548" s="370"/>
    </row>
    <row r="8549" spans="1:14" s="347" customFormat="1" x14ac:dyDescent="0.25">
      <c r="A8549" s="369"/>
      <c r="E8549" s="396"/>
      <c r="F8549" s="396"/>
      <c r="G8549" s="396"/>
      <c r="K8549" s="370"/>
      <c r="N8549" s="370"/>
    </row>
    <row r="8550" spans="1:14" s="347" customFormat="1" x14ac:dyDescent="0.25">
      <c r="A8550" s="369"/>
      <c r="E8550" s="396"/>
      <c r="F8550" s="396"/>
      <c r="G8550" s="396"/>
      <c r="K8550" s="370"/>
      <c r="N8550" s="370"/>
    </row>
    <row r="8551" spans="1:14" s="347" customFormat="1" x14ac:dyDescent="0.25">
      <c r="A8551" s="369"/>
      <c r="E8551" s="396"/>
      <c r="F8551" s="396"/>
      <c r="G8551" s="396"/>
      <c r="K8551" s="370"/>
      <c r="N8551" s="370"/>
    </row>
    <row r="8552" spans="1:14" s="347" customFormat="1" x14ac:dyDescent="0.25">
      <c r="A8552" s="369"/>
      <c r="E8552" s="396"/>
      <c r="F8552" s="396"/>
      <c r="G8552" s="396"/>
      <c r="K8552" s="370"/>
      <c r="N8552" s="370"/>
    </row>
    <row r="8553" spans="1:14" s="347" customFormat="1" x14ac:dyDescent="0.25">
      <c r="A8553" s="369"/>
      <c r="E8553" s="396"/>
      <c r="F8553" s="396"/>
      <c r="G8553" s="396"/>
      <c r="K8553" s="370"/>
      <c r="N8553" s="370"/>
    </row>
    <row r="8554" spans="1:14" s="347" customFormat="1" x14ac:dyDescent="0.25">
      <c r="A8554" s="369"/>
      <c r="E8554" s="396"/>
      <c r="F8554" s="396"/>
      <c r="G8554" s="396"/>
      <c r="K8554" s="370"/>
      <c r="N8554" s="370"/>
    </row>
    <row r="8555" spans="1:14" s="347" customFormat="1" x14ac:dyDescent="0.25">
      <c r="A8555" s="369"/>
      <c r="E8555" s="396"/>
      <c r="F8555" s="396"/>
      <c r="G8555" s="396"/>
      <c r="K8555" s="370"/>
      <c r="N8555" s="370"/>
    </row>
    <row r="8556" spans="1:14" s="347" customFormat="1" x14ac:dyDescent="0.25">
      <c r="A8556" s="369"/>
      <c r="E8556" s="396"/>
      <c r="F8556" s="396"/>
      <c r="G8556" s="396"/>
      <c r="K8556" s="370"/>
      <c r="N8556" s="370"/>
    </row>
    <row r="8557" spans="1:14" s="347" customFormat="1" x14ac:dyDescent="0.25">
      <c r="A8557" s="369"/>
      <c r="E8557" s="396"/>
      <c r="F8557" s="396"/>
      <c r="G8557" s="396"/>
      <c r="K8557" s="370"/>
      <c r="N8557" s="370"/>
    </row>
    <row r="8558" spans="1:14" s="347" customFormat="1" x14ac:dyDescent="0.25">
      <c r="A8558" s="369"/>
      <c r="E8558" s="396"/>
      <c r="F8558" s="396"/>
      <c r="G8558" s="396"/>
      <c r="K8558" s="370"/>
      <c r="N8558" s="370"/>
    </row>
    <row r="8559" spans="1:14" s="347" customFormat="1" x14ac:dyDescent="0.25">
      <c r="A8559" s="369"/>
      <c r="E8559" s="396"/>
      <c r="F8559" s="396"/>
      <c r="G8559" s="396"/>
      <c r="K8559" s="370"/>
      <c r="N8559" s="370"/>
    </row>
    <row r="8560" spans="1:14" s="347" customFormat="1" x14ac:dyDescent="0.25">
      <c r="A8560" s="369"/>
      <c r="E8560" s="396"/>
      <c r="F8560" s="396"/>
      <c r="G8560" s="396"/>
      <c r="K8560" s="370"/>
      <c r="N8560" s="370"/>
    </row>
    <row r="8561" spans="1:14" s="347" customFormat="1" x14ac:dyDescent="0.25">
      <c r="A8561" s="369"/>
      <c r="E8561" s="396"/>
      <c r="F8561" s="396"/>
      <c r="G8561" s="396"/>
      <c r="K8561" s="370"/>
      <c r="N8561" s="370"/>
    </row>
    <row r="8562" spans="1:14" s="347" customFormat="1" x14ac:dyDescent="0.25">
      <c r="A8562" s="369"/>
      <c r="E8562" s="396"/>
      <c r="F8562" s="396"/>
      <c r="G8562" s="396"/>
      <c r="K8562" s="370"/>
      <c r="N8562" s="370"/>
    </row>
    <row r="8563" spans="1:14" s="347" customFormat="1" x14ac:dyDescent="0.25">
      <c r="A8563" s="369"/>
      <c r="E8563" s="396"/>
      <c r="F8563" s="396"/>
      <c r="G8563" s="396"/>
      <c r="K8563" s="370"/>
      <c r="N8563" s="370"/>
    </row>
    <row r="8564" spans="1:14" s="347" customFormat="1" x14ac:dyDescent="0.25">
      <c r="A8564" s="369"/>
      <c r="E8564" s="396"/>
      <c r="F8564" s="396"/>
      <c r="G8564" s="396"/>
      <c r="K8564" s="370"/>
      <c r="N8564" s="370"/>
    </row>
    <row r="8565" spans="1:14" s="347" customFormat="1" x14ac:dyDescent="0.25">
      <c r="A8565" s="369"/>
      <c r="E8565" s="396"/>
      <c r="F8565" s="396"/>
      <c r="G8565" s="396"/>
      <c r="K8565" s="370"/>
      <c r="N8565" s="370"/>
    </row>
    <row r="8566" spans="1:14" s="347" customFormat="1" x14ac:dyDescent="0.25">
      <c r="A8566" s="369"/>
      <c r="E8566" s="396"/>
      <c r="F8566" s="396"/>
      <c r="G8566" s="396"/>
      <c r="K8566" s="370"/>
      <c r="N8566" s="370"/>
    </row>
    <row r="8567" spans="1:14" s="347" customFormat="1" x14ac:dyDescent="0.25">
      <c r="A8567" s="369"/>
      <c r="E8567" s="396"/>
      <c r="F8567" s="396"/>
      <c r="G8567" s="396"/>
      <c r="K8567" s="370"/>
      <c r="N8567" s="370"/>
    </row>
    <row r="8568" spans="1:14" s="347" customFormat="1" x14ac:dyDescent="0.25">
      <c r="A8568" s="369"/>
      <c r="E8568" s="396"/>
      <c r="F8568" s="396"/>
      <c r="G8568" s="396"/>
      <c r="K8568" s="370"/>
      <c r="N8568" s="370"/>
    </row>
    <row r="8569" spans="1:14" s="347" customFormat="1" x14ac:dyDescent="0.25">
      <c r="A8569" s="369"/>
      <c r="E8569" s="396"/>
      <c r="F8569" s="396"/>
      <c r="G8569" s="396"/>
      <c r="K8569" s="370"/>
      <c r="N8569" s="370"/>
    </row>
    <row r="8570" spans="1:14" s="347" customFormat="1" x14ac:dyDescent="0.25">
      <c r="A8570" s="369"/>
      <c r="E8570" s="396"/>
      <c r="F8570" s="396"/>
      <c r="G8570" s="396"/>
      <c r="K8570" s="370"/>
      <c r="N8570" s="370"/>
    </row>
    <row r="8571" spans="1:14" s="347" customFormat="1" x14ac:dyDescent="0.25">
      <c r="A8571" s="369"/>
      <c r="E8571" s="396"/>
      <c r="F8571" s="396"/>
      <c r="G8571" s="396"/>
      <c r="K8571" s="370"/>
      <c r="N8571" s="370"/>
    </row>
    <row r="8572" spans="1:14" s="347" customFormat="1" x14ac:dyDescent="0.25">
      <c r="A8572" s="369"/>
      <c r="E8572" s="396"/>
      <c r="F8572" s="396"/>
      <c r="G8572" s="396"/>
      <c r="K8572" s="370"/>
      <c r="N8572" s="370"/>
    </row>
    <row r="8573" spans="1:14" s="347" customFormat="1" x14ac:dyDescent="0.25">
      <c r="A8573" s="369"/>
      <c r="E8573" s="396"/>
      <c r="F8573" s="396"/>
      <c r="G8573" s="396"/>
      <c r="K8573" s="370"/>
      <c r="N8573" s="370"/>
    </row>
    <row r="8574" spans="1:14" s="347" customFormat="1" x14ac:dyDescent="0.25">
      <c r="A8574" s="369"/>
      <c r="E8574" s="396"/>
      <c r="F8574" s="396"/>
      <c r="G8574" s="396"/>
      <c r="K8574" s="370"/>
      <c r="N8574" s="370"/>
    </row>
    <row r="8575" spans="1:14" s="347" customFormat="1" x14ac:dyDescent="0.25">
      <c r="A8575" s="369"/>
      <c r="E8575" s="396"/>
      <c r="F8575" s="396"/>
      <c r="G8575" s="396"/>
      <c r="K8575" s="370"/>
      <c r="N8575" s="370"/>
    </row>
    <row r="8576" spans="1:14" s="347" customFormat="1" x14ac:dyDescent="0.25">
      <c r="A8576" s="369"/>
      <c r="E8576" s="396"/>
      <c r="F8576" s="396"/>
      <c r="G8576" s="396"/>
      <c r="K8576" s="370"/>
      <c r="N8576" s="370"/>
    </row>
    <row r="8577" spans="1:14" s="347" customFormat="1" x14ac:dyDescent="0.25">
      <c r="A8577" s="369"/>
      <c r="E8577" s="396"/>
      <c r="F8577" s="396"/>
      <c r="G8577" s="396"/>
      <c r="K8577" s="370"/>
      <c r="N8577" s="370"/>
    </row>
    <row r="8578" spans="1:14" s="347" customFormat="1" x14ac:dyDescent="0.25">
      <c r="A8578" s="369"/>
      <c r="E8578" s="396"/>
      <c r="F8578" s="396"/>
      <c r="G8578" s="396"/>
      <c r="K8578" s="370"/>
      <c r="N8578" s="370"/>
    </row>
    <row r="8579" spans="1:14" s="347" customFormat="1" x14ac:dyDescent="0.25">
      <c r="A8579" s="369"/>
      <c r="E8579" s="396"/>
      <c r="F8579" s="396"/>
      <c r="G8579" s="396"/>
      <c r="K8579" s="370"/>
      <c r="N8579" s="370"/>
    </row>
    <row r="8580" spans="1:14" s="347" customFormat="1" x14ac:dyDescent="0.25">
      <c r="A8580" s="369"/>
      <c r="E8580" s="396"/>
      <c r="F8580" s="396"/>
      <c r="G8580" s="396"/>
      <c r="K8580" s="370"/>
      <c r="N8580" s="370"/>
    </row>
    <row r="8581" spans="1:14" s="347" customFormat="1" x14ac:dyDescent="0.25">
      <c r="A8581" s="369"/>
      <c r="E8581" s="396"/>
      <c r="F8581" s="396"/>
      <c r="G8581" s="396"/>
      <c r="K8581" s="370"/>
      <c r="N8581" s="370"/>
    </row>
    <row r="8582" spans="1:14" s="347" customFormat="1" x14ac:dyDescent="0.25">
      <c r="A8582" s="369"/>
      <c r="E8582" s="396"/>
      <c r="F8582" s="396"/>
      <c r="G8582" s="396"/>
      <c r="K8582" s="370"/>
      <c r="N8582" s="370"/>
    </row>
    <row r="8583" spans="1:14" s="347" customFormat="1" x14ac:dyDescent="0.25">
      <c r="A8583" s="369"/>
      <c r="E8583" s="396"/>
      <c r="F8583" s="396"/>
      <c r="G8583" s="396"/>
      <c r="K8583" s="370"/>
      <c r="N8583" s="370"/>
    </row>
    <row r="8584" spans="1:14" s="347" customFormat="1" x14ac:dyDescent="0.25">
      <c r="A8584" s="369"/>
      <c r="E8584" s="396"/>
      <c r="F8584" s="396"/>
      <c r="G8584" s="396"/>
      <c r="K8584" s="370"/>
      <c r="N8584" s="370"/>
    </row>
    <row r="8585" spans="1:14" s="347" customFormat="1" x14ac:dyDescent="0.25">
      <c r="A8585" s="369"/>
      <c r="E8585" s="396"/>
      <c r="F8585" s="396"/>
      <c r="G8585" s="396"/>
      <c r="K8585" s="370"/>
      <c r="N8585" s="370"/>
    </row>
    <row r="8586" spans="1:14" s="347" customFormat="1" x14ac:dyDescent="0.25">
      <c r="A8586" s="369"/>
      <c r="E8586" s="396"/>
      <c r="F8586" s="396"/>
      <c r="G8586" s="396"/>
      <c r="K8586" s="370"/>
      <c r="N8586" s="370"/>
    </row>
    <row r="8587" spans="1:14" s="347" customFormat="1" x14ac:dyDescent="0.25">
      <c r="A8587" s="369"/>
      <c r="E8587" s="396"/>
      <c r="F8587" s="396"/>
      <c r="G8587" s="396"/>
      <c r="K8587" s="370"/>
      <c r="N8587" s="370"/>
    </row>
    <row r="8588" spans="1:14" s="347" customFormat="1" x14ac:dyDescent="0.25">
      <c r="A8588" s="369"/>
      <c r="E8588" s="396"/>
      <c r="F8588" s="396"/>
      <c r="G8588" s="396"/>
      <c r="K8588" s="370"/>
      <c r="N8588" s="370"/>
    </row>
    <row r="8589" spans="1:14" s="347" customFormat="1" x14ac:dyDescent="0.25">
      <c r="A8589" s="369"/>
      <c r="E8589" s="396"/>
      <c r="F8589" s="396"/>
      <c r="G8589" s="396"/>
      <c r="K8589" s="370"/>
      <c r="N8589" s="370"/>
    </row>
    <row r="8590" spans="1:14" s="347" customFormat="1" x14ac:dyDescent="0.25">
      <c r="A8590" s="369"/>
      <c r="E8590" s="396"/>
      <c r="F8590" s="396"/>
      <c r="G8590" s="396"/>
      <c r="K8590" s="370"/>
      <c r="N8590" s="370"/>
    </row>
    <row r="8591" spans="1:14" s="347" customFormat="1" x14ac:dyDescent="0.25">
      <c r="A8591" s="369"/>
      <c r="E8591" s="396"/>
      <c r="F8591" s="396"/>
      <c r="G8591" s="396"/>
      <c r="K8591" s="370"/>
      <c r="N8591" s="370"/>
    </row>
    <row r="8592" spans="1:14" s="347" customFormat="1" x14ac:dyDescent="0.25">
      <c r="A8592" s="369"/>
      <c r="E8592" s="396"/>
      <c r="F8592" s="396"/>
      <c r="G8592" s="396"/>
      <c r="K8592" s="370"/>
      <c r="N8592" s="370"/>
    </row>
    <row r="8593" spans="1:14" s="347" customFormat="1" x14ac:dyDescent="0.25">
      <c r="A8593" s="369"/>
      <c r="E8593" s="396"/>
      <c r="F8593" s="396"/>
      <c r="G8593" s="396"/>
      <c r="K8593" s="370"/>
      <c r="N8593" s="370"/>
    </row>
    <row r="8594" spans="1:14" s="347" customFormat="1" x14ac:dyDescent="0.25">
      <c r="A8594" s="369"/>
      <c r="E8594" s="396"/>
      <c r="F8594" s="396"/>
      <c r="G8594" s="396"/>
      <c r="K8594" s="370"/>
      <c r="N8594" s="370"/>
    </row>
    <row r="8595" spans="1:14" s="347" customFormat="1" x14ac:dyDescent="0.25">
      <c r="A8595" s="369"/>
      <c r="E8595" s="396"/>
      <c r="F8595" s="396"/>
      <c r="G8595" s="396"/>
      <c r="K8595" s="370"/>
      <c r="N8595" s="370"/>
    </row>
    <row r="8596" spans="1:14" s="347" customFormat="1" x14ac:dyDescent="0.25">
      <c r="A8596" s="369"/>
      <c r="E8596" s="396"/>
      <c r="F8596" s="396"/>
      <c r="G8596" s="396"/>
      <c r="K8596" s="370"/>
      <c r="N8596" s="370"/>
    </row>
    <row r="8597" spans="1:14" s="347" customFormat="1" x14ac:dyDescent="0.25">
      <c r="A8597" s="369"/>
      <c r="E8597" s="396"/>
      <c r="F8597" s="396"/>
      <c r="G8597" s="396"/>
      <c r="K8597" s="370"/>
      <c r="N8597" s="370"/>
    </row>
    <row r="8598" spans="1:14" s="347" customFormat="1" x14ac:dyDescent="0.25">
      <c r="A8598" s="369"/>
      <c r="E8598" s="396"/>
      <c r="F8598" s="396"/>
      <c r="G8598" s="396"/>
      <c r="K8598" s="370"/>
      <c r="N8598" s="370"/>
    </row>
    <row r="8599" spans="1:14" s="347" customFormat="1" x14ac:dyDescent="0.25">
      <c r="A8599" s="369"/>
      <c r="E8599" s="396"/>
      <c r="F8599" s="396"/>
      <c r="G8599" s="396"/>
      <c r="K8599" s="370"/>
      <c r="N8599" s="370"/>
    </row>
    <row r="8600" spans="1:14" s="347" customFormat="1" x14ac:dyDescent="0.25">
      <c r="A8600" s="369"/>
      <c r="E8600" s="396"/>
      <c r="F8600" s="396"/>
      <c r="G8600" s="396"/>
      <c r="K8600" s="370"/>
      <c r="N8600" s="370"/>
    </row>
    <row r="8601" spans="1:14" s="347" customFormat="1" x14ac:dyDescent="0.25">
      <c r="A8601" s="369"/>
      <c r="E8601" s="396"/>
      <c r="F8601" s="396"/>
      <c r="G8601" s="396"/>
      <c r="K8601" s="370"/>
      <c r="N8601" s="370"/>
    </row>
    <row r="8602" spans="1:14" s="347" customFormat="1" x14ac:dyDescent="0.25">
      <c r="A8602" s="369"/>
      <c r="E8602" s="396"/>
      <c r="F8602" s="396"/>
      <c r="G8602" s="396"/>
      <c r="K8602" s="370"/>
      <c r="N8602" s="370"/>
    </row>
    <row r="8603" spans="1:14" s="347" customFormat="1" x14ac:dyDescent="0.25">
      <c r="A8603" s="369"/>
      <c r="E8603" s="396"/>
      <c r="F8603" s="396"/>
      <c r="G8603" s="396"/>
      <c r="K8603" s="370"/>
      <c r="N8603" s="370"/>
    </row>
    <row r="8604" spans="1:14" s="347" customFormat="1" x14ac:dyDescent="0.25">
      <c r="A8604" s="369"/>
      <c r="E8604" s="396"/>
      <c r="F8604" s="396"/>
      <c r="G8604" s="396"/>
      <c r="K8604" s="370"/>
      <c r="N8604" s="370"/>
    </row>
    <row r="8605" spans="1:14" s="347" customFormat="1" x14ac:dyDescent="0.25">
      <c r="A8605" s="369"/>
      <c r="E8605" s="396"/>
      <c r="F8605" s="396"/>
      <c r="G8605" s="396"/>
      <c r="K8605" s="370"/>
      <c r="N8605" s="370"/>
    </row>
    <row r="8606" spans="1:14" s="347" customFormat="1" x14ac:dyDescent="0.25">
      <c r="A8606" s="369"/>
      <c r="E8606" s="396"/>
      <c r="F8606" s="396"/>
      <c r="G8606" s="396"/>
      <c r="K8606" s="370"/>
      <c r="N8606" s="370"/>
    </row>
    <row r="8607" spans="1:14" s="347" customFormat="1" x14ac:dyDescent="0.25">
      <c r="A8607" s="369"/>
      <c r="E8607" s="396"/>
      <c r="F8607" s="396"/>
      <c r="G8607" s="396"/>
      <c r="K8607" s="370"/>
      <c r="N8607" s="370"/>
    </row>
    <row r="8608" spans="1:14" s="347" customFormat="1" x14ac:dyDescent="0.25">
      <c r="A8608" s="369"/>
      <c r="E8608" s="396"/>
      <c r="F8608" s="396"/>
      <c r="G8608" s="396"/>
      <c r="K8608" s="370"/>
      <c r="N8608" s="370"/>
    </row>
    <row r="8609" spans="1:14" s="347" customFormat="1" x14ac:dyDescent="0.25">
      <c r="A8609" s="369"/>
      <c r="E8609" s="396"/>
      <c r="F8609" s="396"/>
      <c r="G8609" s="396"/>
      <c r="K8609" s="370"/>
      <c r="N8609" s="370"/>
    </row>
    <row r="8610" spans="1:14" s="347" customFormat="1" x14ac:dyDescent="0.25">
      <c r="A8610" s="369"/>
      <c r="E8610" s="396"/>
      <c r="F8610" s="396"/>
      <c r="G8610" s="396"/>
      <c r="K8610" s="370"/>
      <c r="N8610" s="370"/>
    </row>
    <row r="8611" spans="1:14" s="347" customFormat="1" x14ac:dyDescent="0.25">
      <c r="A8611" s="369"/>
      <c r="E8611" s="396"/>
      <c r="F8611" s="396"/>
      <c r="G8611" s="396"/>
      <c r="K8611" s="370"/>
      <c r="N8611" s="370"/>
    </row>
    <row r="8612" spans="1:14" s="347" customFormat="1" x14ac:dyDescent="0.25">
      <c r="A8612" s="369"/>
      <c r="E8612" s="396"/>
      <c r="F8612" s="396"/>
      <c r="G8612" s="396"/>
      <c r="K8612" s="370"/>
      <c r="N8612" s="370"/>
    </row>
    <row r="8613" spans="1:14" s="347" customFormat="1" x14ac:dyDescent="0.25">
      <c r="A8613" s="369"/>
      <c r="E8613" s="396"/>
      <c r="F8613" s="396"/>
      <c r="G8613" s="396"/>
      <c r="K8613" s="370"/>
      <c r="N8613" s="370"/>
    </row>
    <row r="8614" spans="1:14" s="347" customFormat="1" x14ac:dyDescent="0.25">
      <c r="A8614" s="369"/>
      <c r="E8614" s="396"/>
      <c r="F8614" s="396"/>
      <c r="G8614" s="396"/>
      <c r="K8614" s="370"/>
      <c r="N8614" s="370"/>
    </row>
    <row r="8615" spans="1:14" s="347" customFormat="1" x14ac:dyDescent="0.25">
      <c r="A8615" s="369"/>
      <c r="E8615" s="396"/>
      <c r="F8615" s="396"/>
      <c r="G8615" s="396"/>
      <c r="K8615" s="370"/>
      <c r="N8615" s="370"/>
    </row>
    <row r="8616" spans="1:14" s="347" customFormat="1" x14ac:dyDescent="0.25">
      <c r="A8616" s="369"/>
      <c r="E8616" s="396"/>
      <c r="F8616" s="396"/>
      <c r="G8616" s="396"/>
      <c r="K8616" s="370"/>
      <c r="N8616" s="370"/>
    </row>
    <row r="8617" spans="1:14" s="347" customFormat="1" x14ac:dyDescent="0.25">
      <c r="A8617" s="369"/>
      <c r="E8617" s="396"/>
      <c r="F8617" s="396"/>
      <c r="G8617" s="396"/>
      <c r="K8617" s="370"/>
      <c r="N8617" s="370"/>
    </row>
    <row r="8618" spans="1:14" s="347" customFormat="1" x14ac:dyDescent="0.25">
      <c r="A8618" s="369"/>
      <c r="E8618" s="396"/>
      <c r="F8618" s="396"/>
      <c r="G8618" s="396"/>
      <c r="K8618" s="370"/>
      <c r="N8618" s="370"/>
    </row>
    <row r="8619" spans="1:14" s="347" customFormat="1" x14ac:dyDescent="0.25">
      <c r="A8619" s="369"/>
      <c r="E8619" s="396"/>
      <c r="F8619" s="396"/>
      <c r="G8619" s="396"/>
      <c r="K8619" s="370"/>
      <c r="N8619" s="370"/>
    </row>
    <row r="8620" spans="1:14" s="347" customFormat="1" x14ac:dyDescent="0.25">
      <c r="A8620" s="369"/>
      <c r="E8620" s="396"/>
      <c r="F8620" s="396"/>
      <c r="G8620" s="396"/>
      <c r="K8620" s="370"/>
      <c r="N8620" s="370"/>
    </row>
    <row r="8621" spans="1:14" s="347" customFormat="1" x14ac:dyDescent="0.25">
      <c r="A8621" s="369"/>
      <c r="E8621" s="396"/>
      <c r="F8621" s="396"/>
      <c r="G8621" s="396"/>
      <c r="K8621" s="370"/>
      <c r="N8621" s="370"/>
    </row>
    <row r="8622" spans="1:14" s="347" customFormat="1" x14ac:dyDescent="0.25">
      <c r="A8622" s="369"/>
      <c r="E8622" s="396"/>
      <c r="F8622" s="396"/>
      <c r="G8622" s="396"/>
      <c r="K8622" s="370"/>
      <c r="N8622" s="370"/>
    </row>
    <row r="8623" spans="1:14" s="347" customFormat="1" x14ac:dyDescent="0.25">
      <c r="A8623" s="369"/>
      <c r="E8623" s="396"/>
      <c r="F8623" s="396"/>
      <c r="G8623" s="396"/>
      <c r="K8623" s="370"/>
      <c r="N8623" s="370"/>
    </row>
    <row r="8624" spans="1:14" s="347" customFormat="1" x14ac:dyDescent="0.25">
      <c r="A8624" s="369"/>
      <c r="E8624" s="396"/>
      <c r="F8624" s="396"/>
      <c r="G8624" s="396"/>
      <c r="K8624" s="370"/>
      <c r="N8624" s="370"/>
    </row>
    <row r="8625" spans="1:14" s="347" customFormat="1" x14ac:dyDescent="0.25">
      <c r="A8625" s="369"/>
      <c r="E8625" s="396"/>
      <c r="F8625" s="396"/>
      <c r="G8625" s="396"/>
      <c r="K8625" s="370"/>
      <c r="N8625" s="370"/>
    </row>
    <row r="8626" spans="1:14" s="347" customFormat="1" x14ac:dyDescent="0.25">
      <c r="A8626" s="369"/>
      <c r="E8626" s="396"/>
      <c r="F8626" s="396"/>
      <c r="G8626" s="396"/>
      <c r="K8626" s="370"/>
      <c r="N8626" s="370"/>
    </row>
    <row r="8627" spans="1:14" s="347" customFormat="1" x14ac:dyDescent="0.25">
      <c r="A8627" s="369"/>
      <c r="E8627" s="396"/>
      <c r="F8627" s="396"/>
      <c r="G8627" s="396"/>
      <c r="K8627" s="370"/>
      <c r="N8627" s="370"/>
    </row>
    <row r="8628" spans="1:14" s="347" customFormat="1" x14ac:dyDescent="0.25">
      <c r="A8628" s="369"/>
      <c r="E8628" s="396"/>
      <c r="F8628" s="396"/>
      <c r="G8628" s="396"/>
      <c r="K8628" s="370"/>
      <c r="N8628" s="370"/>
    </row>
    <row r="8629" spans="1:14" s="347" customFormat="1" x14ac:dyDescent="0.25">
      <c r="A8629" s="369"/>
      <c r="E8629" s="396"/>
      <c r="F8629" s="396"/>
      <c r="G8629" s="396"/>
      <c r="K8629" s="370"/>
      <c r="N8629" s="370"/>
    </row>
    <row r="8630" spans="1:14" s="347" customFormat="1" x14ac:dyDescent="0.25">
      <c r="A8630" s="369"/>
      <c r="E8630" s="396"/>
      <c r="F8630" s="396"/>
      <c r="G8630" s="396"/>
      <c r="K8630" s="370"/>
      <c r="N8630" s="370"/>
    </row>
    <row r="8631" spans="1:14" s="347" customFormat="1" x14ac:dyDescent="0.25">
      <c r="A8631" s="369"/>
      <c r="E8631" s="396"/>
      <c r="F8631" s="396"/>
      <c r="G8631" s="396"/>
      <c r="K8631" s="370"/>
      <c r="N8631" s="370"/>
    </row>
    <row r="8632" spans="1:14" s="347" customFormat="1" x14ac:dyDescent="0.25">
      <c r="A8632" s="369"/>
      <c r="E8632" s="396"/>
      <c r="F8632" s="396"/>
      <c r="G8632" s="396"/>
      <c r="K8632" s="370"/>
      <c r="N8632" s="370"/>
    </row>
    <row r="8633" spans="1:14" s="347" customFormat="1" x14ac:dyDescent="0.25">
      <c r="A8633" s="369"/>
      <c r="E8633" s="396"/>
      <c r="F8633" s="396"/>
      <c r="G8633" s="396"/>
      <c r="K8633" s="370"/>
      <c r="N8633" s="370"/>
    </row>
    <row r="8634" spans="1:14" s="347" customFormat="1" x14ac:dyDescent="0.25">
      <c r="A8634" s="369"/>
      <c r="E8634" s="396"/>
      <c r="F8634" s="396"/>
      <c r="G8634" s="396"/>
      <c r="K8634" s="370"/>
      <c r="N8634" s="370"/>
    </row>
    <row r="8635" spans="1:14" s="347" customFormat="1" x14ac:dyDescent="0.25">
      <c r="A8635" s="369"/>
      <c r="E8635" s="396"/>
      <c r="F8635" s="396"/>
      <c r="G8635" s="396"/>
      <c r="K8635" s="370"/>
      <c r="N8635" s="370"/>
    </row>
    <row r="8636" spans="1:14" s="347" customFormat="1" x14ac:dyDescent="0.25">
      <c r="A8636" s="369"/>
      <c r="E8636" s="396"/>
      <c r="F8636" s="396"/>
      <c r="G8636" s="396"/>
      <c r="K8636" s="370"/>
      <c r="N8636" s="370"/>
    </row>
    <row r="8637" spans="1:14" s="347" customFormat="1" x14ac:dyDescent="0.25">
      <c r="A8637" s="369"/>
      <c r="E8637" s="396"/>
      <c r="F8637" s="396"/>
      <c r="G8637" s="396"/>
      <c r="K8637" s="370"/>
      <c r="N8637" s="370"/>
    </row>
    <row r="8638" spans="1:14" s="347" customFormat="1" x14ac:dyDescent="0.25">
      <c r="A8638" s="369"/>
      <c r="E8638" s="396"/>
      <c r="F8638" s="396"/>
      <c r="G8638" s="396"/>
      <c r="K8638" s="370"/>
      <c r="N8638" s="370"/>
    </row>
    <row r="8639" spans="1:14" s="347" customFormat="1" x14ac:dyDescent="0.25">
      <c r="A8639" s="369"/>
      <c r="E8639" s="396"/>
      <c r="F8639" s="396"/>
      <c r="G8639" s="396"/>
      <c r="K8639" s="370"/>
      <c r="N8639" s="370"/>
    </row>
    <row r="8640" spans="1:14" s="347" customFormat="1" x14ac:dyDescent="0.25">
      <c r="A8640" s="369"/>
      <c r="E8640" s="396"/>
      <c r="F8640" s="396"/>
      <c r="G8640" s="396"/>
      <c r="K8640" s="370"/>
      <c r="N8640" s="370"/>
    </row>
    <row r="8641" spans="1:14" s="347" customFormat="1" x14ac:dyDescent="0.25">
      <c r="A8641" s="369"/>
      <c r="E8641" s="396"/>
      <c r="F8641" s="396"/>
      <c r="G8641" s="396"/>
      <c r="K8641" s="370"/>
      <c r="N8641" s="370"/>
    </row>
    <row r="8642" spans="1:14" s="347" customFormat="1" x14ac:dyDescent="0.25">
      <c r="A8642" s="369"/>
      <c r="E8642" s="396"/>
      <c r="F8642" s="396"/>
      <c r="G8642" s="396"/>
      <c r="K8642" s="370"/>
      <c r="N8642" s="370"/>
    </row>
    <row r="8643" spans="1:14" s="347" customFormat="1" x14ac:dyDescent="0.25">
      <c r="A8643" s="369"/>
      <c r="E8643" s="396"/>
      <c r="F8643" s="396"/>
      <c r="G8643" s="396"/>
      <c r="K8643" s="370"/>
      <c r="N8643" s="370"/>
    </row>
    <row r="8644" spans="1:14" s="347" customFormat="1" x14ac:dyDescent="0.25">
      <c r="A8644" s="369"/>
      <c r="E8644" s="396"/>
      <c r="F8644" s="396"/>
      <c r="G8644" s="396"/>
      <c r="K8644" s="370"/>
      <c r="N8644" s="370"/>
    </row>
    <row r="8645" spans="1:14" s="347" customFormat="1" x14ac:dyDescent="0.25">
      <c r="A8645" s="369"/>
      <c r="E8645" s="396"/>
      <c r="F8645" s="396"/>
      <c r="G8645" s="396"/>
      <c r="K8645" s="370"/>
      <c r="N8645" s="370"/>
    </row>
    <row r="8646" spans="1:14" s="347" customFormat="1" x14ac:dyDescent="0.25">
      <c r="A8646" s="369"/>
      <c r="E8646" s="396"/>
      <c r="F8646" s="396"/>
      <c r="G8646" s="396"/>
      <c r="K8646" s="370"/>
      <c r="N8646" s="370"/>
    </row>
    <row r="8647" spans="1:14" s="347" customFormat="1" x14ac:dyDescent="0.25">
      <c r="A8647" s="369"/>
      <c r="E8647" s="396"/>
      <c r="F8647" s="396"/>
      <c r="G8647" s="396"/>
      <c r="K8647" s="370"/>
      <c r="N8647" s="370"/>
    </row>
    <row r="8648" spans="1:14" s="347" customFormat="1" x14ac:dyDescent="0.25">
      <c r="A8648" s="369"/>
      <c r="E8648" s="396"/>
      <c r="F8648" s="396"/>
      <c r="G8648" s="396"/>
      <c r="K8648" s="370"/>
      <c r="N8648" s="370"/>
    </row>
    <row r="8649" spans="1:14" s="347" customFormat="1" x14ac:dyDescent="0.25">
      <c r="A8649" s="369"/>
      <c r="E8649" s="396"/>
      <c r="F8649" s="396"/>
      <c r="G8649" s="396"/>
      <c r="K8649" s="370"/>
      <c r="N8649" s="370"/>
    </row>
    <row r="8650" spans="1:14" s="347" customFormat="1" x14ac:dyDescent="0.25">
      <c r="A8650" s="369"/>
      <c r="E8650" s="396"/>
      <c r="F8650" s="396"/>
      <c r="G8650" s="396"/>
      <c r="K8650" s="370"/>
      <c r="N8650" s="370"/>
    </row>
    <row r="8651" spans="1:14" s="347" customFormat="1" x14ac:dyDescent="0.25">
      <c r="A8651" s="369"/>
      <c r="E8651" s="396"/>
      <c r="F8651" s="396"/>
      <c r="G8651" s="396"/>
      <c r="K8651" s="370"/>
      <c r="N8651" s="370"/>
    </row>
    <row r="8652" spans="1:14" s="347" customFormat="1" x14ac:dyDescent="0.25">
      <c r="A8652" s="369"/>
      <c r="E8652" s="396"/>
      <c r="F8652" s="396"/>
      <c r="G8652" s="396"/>
      <c r="K8652" s="370"/>
      <c r="N8652" s="370"/>
    </row>
    <row r="8653" spans="1:14" s="347" customFormat="1" x14ac:dyDescent="0.25">
      <c r="A8653" s="369"/>
      <c r="E8653" s="396"/>
      <c r="F8653" s="396"/>
      <c r="G8653" s="396"/>
      <c r="K8653" s="370"/>
      <c r="N8653" s="370"/>
    </row>
    <row r="8654" spans="1:14" s="347" customFormat="1" x14ac:dyDescent="0.25">
      <c r="A8654" s="369"/>
      <c r="E8654" s="396"/>
      <c r="F8654" s="396"/>
      <c r="G8654" s="396"/>
      <c r="K8654" s="370"/>
      <c r="N8654" s="370"/>
    </row>
    <row r="8655" spans="1:14" s="347" customFormat="1" x14ac:dyDescent="0.25">
      <c r="A8655" s="369"/>
      <c r="E8655" s="396"/>
      <c r="F8655" s="396"/>
      <c r="G8655" s="396"/>
      <c r="K8655" s="370"/>
      <c r="N8655" s="370"/>
    </row>
    <row r="8656" spans="1:14" s="347" customFormat="1" x14ac:dyDescent="0.25">
      <c r="A8656" s="369"/>
      <c r="E8656" s="396"/>
      <c r="F8656" s="396"/>
      <c r="G8656" s="396"/>
      <c r="K8656" s="370"/>
      <c r="N8656" s="370"/>
    </row>
    <row r="8657" spans="1:14" s="347" customFormat="1" x14ac:dyDescent="0.25">
      <c r="A8657" s="369"/>
      <c r="E8657" s="396"/>
      <c r="F8657" s="396"/>
      <c r="G8657" s="396"/>
      <c r="K8657" s="370"/>
      <c r="N8657" s="370"/>
    </row>
    <row r="8658" spans="1:14" s="347" customFormat="1" x14ac:dyDescent="0.25">
      <c r="A8658" s="369"/>
      <c r="E8658" s="396"/>
      <c r="F8658" s="396"/>
      <c r="G8658" s="396"/>
      <c r="K8658" s="370"/>
      <c r="N8658" s="370"/>
    </row>
    <row r="8659" spans="1:14" s="347" customFormat="1" x14ac:dyDescent="0.25">
      <c r="A8659" s="369"/>
      <c r="E8659" s="396"/>
      <c r="F8659" s="396"/>
      <c r="G8659" s="396"/>
      <c r="K8659" s="370"/>
      <c r="N8659" s="370"/>
    </row>
    <row r="8660" spans="1:14" s="347" customFormat="1" x14ac:dyDescent="0.25">
      <c r="A8660" s="369"/>
      <c r="E8660" s="396"/>
      <c r="F8660" s="396"/>
      <c r="G8660" s="396"/>
      <c r="K8660" s="370"/>
      <c r="N8660" s="370"/>
    </row>
    <row r="8661" spans="1:14" s="347" customFormat="1" x14ac:dyDescent="0.25">
      <c r="A8661" s="369"/>
      <c r="E8661" s="396"/>
      <c r="F8661" s="396"/>
      <c r="G8661" s="396"/>
      <c r="K8661" s="370"/>
      <c r="N8661" s="370"/>
    </row>
    <row r="8662" spans="1:14" s="347" customFormat="1" x14ac:dyDescent="0.25">
      <c r="A8662" s="369"/>
      <c r="E8662" s="396"/>
      <c r="F8662" s="396"/>
      <c r="G8662" s="396"/>
      <c r="K8662" s="370"/>
      <c r="N8662" s="370"/>
    </row>
    <row r="8663" spans="1:14" s="347" customFormat="1" x14ac:dyDescent="0.25">
      <c r="A8663" s="369"/>
      <c r="E8663" s="396"/>
      <c r="F8663" s="396"/>
      <c r="G8663" s="396"/>
      <c r="K8663" s="370"/>
      <c r="N8663" s="370"/>
    </row>
    <row r="8664" spans="1:14" s="347" customFormat="1" x14ac:dyDescent="0.25">
      <c r="A8664" s="369"/>
      <c r="E8664" s="396"/>
      <c r="F8664" s="396"/>
      <c r="G8664" s="396"/>
      <c r="K8664" s="370"/>
      <c r="N8664" s="370"/>
    </row>
    <row r="8665" spans="1:14" s="347" customFormat="1" x14ac:dyDescent="0.25">
      <c r="A8665" s="369"/>
      <c r="E8665" s="396"/>
      <c r="F8665" s="396"/>
      <c r="G8665" s="396"/>
      <c r="K8665" s="370"/>
      <c r="N8665" s="370"/>
    </row>
    <row r="8666" spans="1:14" s="347" customFormat="1" x14ac:dyDescent="0.25">
      <c r="A8666" s="369"/>
      <c r="E8666" s="396"/>
      <c r="F8666" s="396"/>
      <c r="G8666" s="396"/>
      <c r="K8666" s="370"/>
      <c r="N8666" s="370"/>
    </row>
    <row r="8667" spans="1:14" s="347" customFormat="1" x14ac:dyDescent="0.25">
      <c r="A8667" s="369"/>
      <c r="E8667" s="396"/>
      <c r="F8667" s="396"/>
      <c r="G8667" s="396"/>
      <c r="K8667" s="370"/>
      <c r="N8667" s="370"/>
    </row>
    <row r="8668" spans="1:14" s="347" customFormat="1" x14ac:dyDescent="0.25">
      <c r="A8668" s="369"/>
      <c r="E8668" s="396"/>
      <c r="F8668" s="396"/>
      <c r="G8668" s="396"/>
      <c r="K8668" s="370"/>
      <c r="N8668" s="370"/>
    </row>
    <row r="8669" spans="1:14" s="347" customFormat="1" x14ac:dyDescent="0.25">
      <c r="A8669" s="369"/>
      <c r="E8669" s="396"/>
      <c r="F8669" s="396"/>
      <c r="G8669" s="396"/>
      <c r="K8669" s="370"/>
      <c r="N8669" s="370"/>
    </row>
    <row r="8670" spans="1:14" s="347" customFormat="1" x14ac:dyDescent="0.25">
      <c r="A8670" s="369"/>
      <c r="E8670" s="396"/>
      <c r="F8670" s="396"/>
      <c r="G8670" s="396"/>
      <c r="K8670" s="370"/>
      <c r="N8670" s="370"/>
    </row>
    <row r="8671" spans="1:14" s="347" customFormat="1" x14ac:dyDescent="0.25">
      <c r="A8671" s="369"/>
      <c r="E8671" s="396"/>
      <c r="F8671" s="396"/>
      <c r="G8671" s="396"/>
      <c r="K8671" s="370"/>
      <c r="N8671" s="370"/>
    </row>
    <row r="8672" spans="1:14" s="347" customFormat="1" x14ac:dyDescent="0.25">
      <c r="A8672" s="369"/>
      <c r="E8672" s="396"/>
      <c r="F8672" s="396"/>
      <c r="G8672" s="396"/>
      <c r="K8672" s="370"/>
      <c r="N8672" s="370"/>
    </row>
    <row r="8673" spans="1:14" s="347" customFormat="1" x14ac:dyDescent="0.25">
      <c r="A8673" s="369"/>
      <c r="E8673" s="396"/>
      <c r="F8673" s="396"/>
      <c r="G8673" s="396"/>
      <c r="K8673" s="370"/>
      <c r="N8673" s="370"/>
    </row>
    <row r="8674" spans="1:14" s="347" customFormat="1" x14ac:dyDescent="0.25">
      <c r="A8674" s="369"/>
      <c r="E8674" s="396"/>
      <c r="F8674" s="396"/>
      <c r="G8674" s="396"/>
      <c r="K8674" s="370"/>
      <c r="N8674" s="370"/>
    </row>
    <row r="8675" spans="1:14" s="347" customFormat="1" x14ac:dyDescent="0.25">
      <c r="A8675" s="369"/>
      <c r="E8675" s="396"/>
      <c r="F8675" s="396"/>
      <c r="G8675" s="396"/>
      <c r="K8675" s="370"/>
      <c r="N8675" s="370"/>
    </row>
    <row r="8676" spans="1:14" s="347" customFormat="1" x14ac:dyDescent="0.25">
      <c r="A8676" s="369"/>
      <c r="E8676" s="396"/>
      <c r="F8676" s="396"/>
      <c r="G8676" s="396"/>
      <c r="K8676" s="370"/>
      <c r="N8676" s="370"/>
    </row>
    <row r="8677" spans="1:14" s="347" customFormat="1" x14ac:dyDescent="0.25">
      <c r="A8677" s="369"/>
      <c r="E8677" s="396"/>
      <c r="F8677" s="396"/>
      <c r="G8677" s="396"/>
      <c r="K8677" s="370"/>
      <c r="N8677" s="370"/>
    </row>
    <row r="8678" spans="1:14" s="347" customFormat="1" x14ac:dyDescent="0.25">
      <c r="A8678" s="369"/>
      <c r="E8678" s="396"/>
      <c r="F8678" s="396"/>
      <c r="G8678" s="396"/>
      <c r="K8678" s="370"/>
      <c r="N8678" s="370"/>
    </row>
    <row r="8679" spans="1:14" s="347" customFormat="1" x14ac:dyDescent="0.25">
      <c r="A8679" s="369"/>
      <c r="E8679" s="396"/>
      <c r="F8679" s="396"/>
      <c r="G8679" s="396"/>
      <c r="K8679" s="370"/>
      <c r="N8679" s="370"/>
    </row>
    <row r="8680" spans="1:14" s="347" customFormat="1" x14ac:dyDescent="0.25">
      <c r="A8680" s="369"/>
      <c r="E8680" s="396"/>
      <c r="F8680" s="396"/>
      <c r="G8680" s="396"/>
      <c r="K8680" s="370"/>
      <c r="N8680" s="370"/>
    </row>
    <row r="8681" spans="1:14" s="347" customFormat="1" x14ac:dyDescent="0.25">
      <c r="A8681" s="369"/>
      <c r="E8681" s="396"/>
      <c r="F8681" s="396"/>
      <c r="G8681" s="396"/>
      <c r="K8681" s="370"/>
      <c r="N8681" s="370"/>
    </row>
    <row r="8682" spans="1:14" s="347" customFormat="1" x14ac:dyDescent="0.25">
      <c r="A8682" s="369"/>
      <c r="E8682" s="396"/>
      <c r="F8682" s="396"/>
      <c r="G8682" s="396"/>
      <c r="K8682" s="370"/>
      <c r="N8682" s="370"/>
    </row>
    <row r="8683" spans="1:14" s="347" customFormat="1" x14ac:dyDescent="0.25">
      <c r="A8683" s="369"/>
      <c r="E8683" s="396"/>
      <c r="F8683" s="396"/>
      <c r="G8683" s="396"/>
      <c r="K8683" s="370"/>
      <c r="N8683" s="370"/>
    </row>
    <row r="8684" spans="1:14" s="347" customFormat="1" x14ac:dyDescent="0.25">
      <c r="A8684" s="369"/>
      <c r="E8684" s="396"/>
      <c r="F8684" s="396"/>
      <c r="G8684" s="396"/>
      <c r="K8684" s="370"/>
      <c r="N8684" s="370"/>
    </row>
    <row r="8685" spans="1:14" s="347" customFormat="1" x14ac:dyDescent="0.25">
      <c r="A8685" s="369"/>
      <c r="E8685" s="396"/>
      <c r="F8685" s="396"/>
      <c r="G8685" s="396"/>
      <c r="K8685" s="370"/>
      <c r="N8685" s="370"/>
    </row>
    <row r="8686" spans="1:14" s="347" customFormat="1" x14ac:dyDescent="0.25">
      <c r="A8686" s="369"/>
      <c r="E8686" s="396"/>
      <c r="F8686" s="396"/>
      <c r="G8686" s="396"/>
      <c r="K8686" s="370"/>
      <c r="N8686" s="370"/>
    </row>
    <row r="8687" spans="1:14" s="347" customFormat="1" x14ac:dyDescent="0.25">
      <c r="A8687" s="369"/>
      <c r="E8687" s="396"/>
      <c r="F8687" s="396"/>
      <c r="G8687" s="396"/>
      <c r="K8687" s="370"/>
      <c r="N8687" s="370"/>
    </row>
    <row r="8688" spans="1:14" s="347" customFormat="1" x14ac:dyDescent="0.25">
      <c r="A8688" s="369"/>
      <c r="E8688" s="396"/>
      <c r="F8688" s="396"/>
      <c r="G8688" s="396"/>
      <c r="K8688" s="370"/>
      <c r="N8688" s="370"/>
    </row>
    <row r="8689" spans="1:14" s="347" customFormat="1" x14ac:dyDescent="0.25">
      <c r="A8689" s="369"/>
      <c r="E8689" s="396"/>
      <c r="F8689" s="396"/>
      <c r="G8689" s="396"/>
      <c r="K8689" s="370"/>
      <c r="N8689" s="370"/>
    </row>
    <row r="8690" spans="1:14" s="347" customFormat="1" x14ac:dyDescent="0.25">
      <c r="A8690" s="369"/>
      <c r="E8690" s="396"/>
      <c r="F8690" s="396"/>
      <c r="G8690" s="396"/>
      <c r="K8690" s="370"/>
      <c r="N8690" s="370"/>
    </row>
    <row r="8691" spans="1:14" s="347" customFormat="1" x14ac:dyDescent="0.25">
      <c r="A8691" s="369"/>
      <c r="E8691" s="396"/>
      <c r="F8691" s="396"/>
      <c r="G8691" s="396"/>
      <c r="K8691" s="370"/>
      <c r="N8691" s="370"/>
    </row>
    <row r="8692" spans="1:14" s="347" customFormat="1" x14ac:dyDescent="0.25">
      <c r="A8692" s="369"/>
      <c r="E8692" s="396"/>
      <c r="F8692" s="396"/>
      <c r="G8692" s="396"/>
      <c r="K8692" s="370"/>
      <c r="N8692" s="370"/>
    </row>
    <row r="8693" spans="1:14" s="347" customFormat="1" x14ac:dyDescent="0.25">
      <c r="A8693" s="369"/>
      <c r="E8693" s="396"/>
      <c r="F8693" s="396"/>
      <c r="G8693" s="396"/>
      <c r="K8693" s="370"/>
      <c r="N8693" s="370"/>
    </row>
    <row r="8694" spans="1:14" s="347" customFormat="1" x14ac:dyDescent="0.25">
      <c r="A8694" s="369"/>
      <c r="E8694" s="396"/>
      <c r="F8694" s="396"/>
      <c r="G8694" s="396"/>
      <c r="K8694" s="370"/>
      <c r="N8694" s="370"/>
    </row>
    <row r="8695" spans="1:14" s="347" customFormat="1" x14ac:dyDescent="0.25">
      <c r="A8695" s="369"/>
      <c r="E8695" s="396"/>
      <c r="F8695" s="396"/>
      <c r="G8695" s="396"/>
      <c r="K8695" s="370"/>
      <c r="N8695" s="370"/>
    </row>
    <row r="8696" spans="1:14" s="347" customFormat="1" x14ac:dyDescent="0.25">
      <c r="A8696" s="369"/>
      <c r="E8696" s="396"/>
      <c r="F8696" s="396"/>
      <c r="G8696" s="396"/>
      <c r="K8696" s="370"/>
      <c r="N8696" s="370"/>
    </row>
    <row r="8697" spans="1:14" s="347" customFormat="1" x14ac:dyDescent="0.25">
      <c r="A8697" s="369"/>
      <c r="E8697" s="396"/>
      <c r="F8697" s="396"/>
      <c r="G8697" s="396"/>
      <c r="K8697" s="370"/>
      <c r="N8697" s="370"/>
    </row>
    <row r="8698" spans="1:14" s="347" customFormat="1" x14ac:dyDescent="0.25">
      <c r="A8698" s="369"/>
      <c r="E8698" s="396"/>
      <c r="F8698" s="396"/>
      <c r="G8698" s="396"/>
      <c r="K8698" s="370"/>
      <c r="N8698" s="370"/>
    </row>
    <row r="8699" spans="1:14" s="347" customFormat="1" x14ac:dyDescent="0.25">
      <c r="A8699" s="369"/>
      <c r="E8699" s="396"/>
      <c r="F8699" s="396"/>
      <c r="G8699" s="396"/>
      <c r="K8699" s="370"/>
      <c r="N8699" s="370"/>
    </row>
    <row r="8700" spans="1:14" s="347" customFormat="1" x14ac:dyDescent="0.25">
      <c r="A8700" s="369"/>
      <c r="E8700" s="396"/>
      <c r="F8700" s="396"/>
      <c r="G8700" s="396"/>
      <c r="K8700" s="370"/>
      <c r="N8700" s="370"/>
    </row>
    <row r="8701" spans="1:14" s="347" customFormat="1" x14ac:dyDescent="0.25">
      <c r="A8701" s="369"/>
      <c r="E8701" s="396"/>
      <c r="F8701" s="396"/>
      <c r="G8701" s="396"/>
      <c r="K8701" s="370"/>
      <c r="N8701" s="370"/>
    </row>
    <row r="8702" spans="1:14" s="347" customFormat="1" x14ac:dyDescent="0.25">
      <c r="A8702" s="369"/>
      <c r="E8702" s="396"/>
      <c r="F8702" s="396"/>
      <c r="G8702" s="396"/>
      <c r="K8702" s="370"/>
      <c r="N8702" s="370"/>
    </row>
    <row r="8703" spans="1:14" s="347" customFormat="1" x14ac:dyDescent="0.25">
      <c r="A8703" s="369"/>
      <c r="E8703" s="396"/>
      <c r="F8703" s="396"/>
      <c r="G8703" s="396"/>
      <c r="K8703" s="370"/>
      <c r="N8703" s="370"/>
    </row>
    <row r="8704" spans="1:14" s="347" customFormat="1" x14ac:dyDescent="0.25">
      <c r="A8704" s="369"/>
      <c r="E8704" s="396"/>
      <c r="F8704" s="396"/>
      <c r="G8704" s="396"/>
      <c r="K8704" s="370"/>
      <c r="N8704" s="370"/>
    </row>
    <row r="8705" spans="1:14" s="347" customFormat="1" x14ac:dyDescent="0.25">
      <c r="A8705" s="369"/>
      <c r="E8705" s="396"/>
      <c r="F8705" s="396"/>
      <c r="G8705" s="396"/>
      <c r="K8705" s="370"/>
      <c r="N8705" s="370"/>
    </row>
    <row r="8706" spans="1:14" s="347" customFormat="1" x14ac:dyDescent="0.25">
      <c r="A8706" s="369"/>
      <c r="E8706" s="396"/>
      <c r="F8706" s="396"/>
      <c r="G8706" s="396"/>
      <c r="K8706" s="370"/>
      <c r="N8706" s="370"/>
    </row>
    <row r="8707" spans="1:14" s="347" customFormat="1" x14ac:dyDescent="0.25">
      <c r="A8707" s="369"/>
      <c r="E8707" s="396"/>
      <c r="F8707" s="396"/>
      <c r="G8707" s="396"/>
      <c r="K8707" s="370"/>
      <c r="N8707" s="370"/>
    </row>
    <row r="8708" spans="1:14" s="347" customFormat="1" x14ac:dyDescent="0.25">
      <c r="A8708" s="369"/>
      <c r="E8708" s="396"/>
      <c r="F8708" s="396"/>
      <c r="G8708" s="396"/>
      <c r="K8708" s="370"/>
      <c r="N8708" s="370"/>
    </row>
    <row r="8709" spans="1:14" s="347" customFormat="1" x14ac:dyDescent="0.25">
      <c r="A8709" s="369"/>
      <c r="E8709" s="396"/>
      <c r="F8709" s="396"/>
      <c r="G8709" s="396"/>
      <c r="K8709" s="370"/>
      <c r="N8709" s="370"/>
    </row>
    <row r="8710" spans="1:14" s="347" customFormat="1" x14ac:dyDescent="0.25">
      <c r="A8710" s="369"/>
      <c r="E8710" s="396"/>
      <c r="F8710" s="396"/>
      <c r="G8710" s="396"/>
      <c r="K8710" s="370"/>
      <c r="N8710" s="370"/>
    </row>
    <row r="8711" spans="1:14" s="347" customFormat="1" x14ac:dyDescent="0.25">
      <c r="A8711" s="369"/>
      <c r="E8711" s="396"/>
      <c r="F8711" s="396"/>
      <c r="G8711" s="396"/>
      <c r="K8711" s="370"/>
      <c r="N8711" s="370"/>
    </row>
    <row r="8712" spans="1:14" s="347" customFormat="1" x14ac:dyDescent="0.25">
      <c r="A8712" s="369"/>
      <c r="E8712" s="396"/>
      <c r="F8712" s="396"/>
      <c r="G8712" s="396"/>
      <c r="K8712" s="370"/>
      <c r="N8712" s="370"/>
    </row>
    <row r="8713" spans="1:14" s="347" customFormat="1" x14ac:dyDescent="0.25">
      <c r="A8713" s="369"/>
      <c r="E8713" s="396"/>
      <c r="F8713" s="396"/>
      <c r="G8713" s="396"/>
      <c r="K8713" s="370"/>
      <c r="N8713" s="370"/>
    </row>
    <row r="8714" spans="1:14" s="347" customFormat="1" x14ac:dyDescent="0.25">
      <c r="A8714" s="369"/>
      <c r="E8714" s="396"/>
      <c r="F8714" s="396"/>
      <c r="G8714" s="396"/>
      <c r="K8714" s="370"/>
      <c r="N8714" s="370"/>
    </row>
    <row r="8715" spans="1:14" s="347" customFormat="1" x14ac:dyDescent="0.25">
      <c r="A8715" s="369"/>
      <c r="E8715" s="396"/>
      <c r="F8715" s="396"/>
      <c r="G8715" s="396"/>
      <c r="K8715" s="370"/>
      <c r="N8715" s="370"/>
    </row>
    <row r="8716" spans="1:14" s="347" customFormat="1" x14ac:dyDescent="0.25">
      <c r="A8716" s="369"/>
      <c r="E8716" s="396"/>
      <c r="F8716" s="396"/>
      <c r="G8716" s="396"/>
      <c r="K8716" s="370"/>
      <c r="N8716" s="370"/>
    </row>
    <row r="8717" spans="1:14" s="347" customFormat="1" x14ac:dyDescent="0.25">
      <c r="A8717" s="369"/>
      <c r="E8717" s="396"/>
      <c r="F8717" s="396"/>
      <c r="G8717" s="396"/>
      <c r="K8717" s="370"/>
      <c r="N8717" s="370"/>
    </row>
    <row r="8718" spans="1:14" s="347" customFormat="1" x14ac:dyDescent="0.25">
      <c r="A8718" s="369"/>
      <c r="E8718" s="396"/>
      <c r="F8718" s="396"/>
      <c r="G8718" s="396"/>
      <c r="K8718" s="370"/>
      <c r="N8718" s="370"/>
    </row>
    <row r="8719" spans="1:14" s="347" customFormat="1" x14ac:dyDescent="0.25">
      <c r="A8719" s="369"/>
      <c r="E8719" s="396"/>
      <c r="F8719" s="396"/>
      <c r="G8719" s="396"/>
      <c r="K8719" s="370"/>
      <c r="N8719" s="370"/>
    </row>
    <row r="8720" spans="1:14" s="347" customFormat="1" x14ac:dyDescent="0.25">
      <c r="A8720" s="369"/>
      <c r="E8720" s="396"/>
      <c r="F8720" s="396"/>
      <c r="G8720" s="396"/>
      <c r="K8720" s="370"/>
      <c r="N8720" s="370"/>
    </row>
    <row r="8721" spans="1:14" s="347" customFormat="1" x14ac:dyDescent="0.25">
      <c r="A8721" s="369"/>
      <c r="E8721" s="396"/>
      <c r="F8721" s="396"/>
      <c r="G8721" s="396"/>
      <c r="K8721" s="370"/>
      <c r="N8721" s="370"/>
    </row>
    <row r="8722" spans="1:14" s="347" customFormat="1" x14ac:dyDescent="0.25">
      <c r="A8722" s="369"/>
      <c r="E8722" s="396"/>
      <c r="F8722" s="396"/>
      <c r="G8722" s="396"/>
      <c r="K8722" s="370"/>
      <c r="N8722" s="370"/>
    </row>
    <row r="8723" spans="1:14" s="347" customFormat="1" x14ac:dyDescent="0.25">
      <c r="A8723" s="369"/>
      <c r="E8723" s="396"/>
      <c r="F8723" s="396"/>
      <c r="G8723" s="396"/>
      <c r="K8723" s="370"/>
      <c r="N8723" s="370"/>
    </row>
    <row r="8724" spans="1:14" s="347" customFormat="1" x14ac:dyDescent="0.25">
      <c r="A8724" s="369"/>
      <c r="E8724" s="396"/>
      <c r="F8724" s="396"/>
      <c r="G8724" s="396"/>
      <c r="K8724" s="370"/>
      <c r="N8724" s="370"/>
    </row>
    <row r="8725" spans="1:14" s="347" customFormat="1" x14ac:dyDescent="0.25">
      <c r="A8725" s="369"/>
      <c r="E8725" s="396"/>
      <c r="F8725" s="396"/>
      <c r="G8725" s="396"/>
      <c r="K8725" s="370"/>
      <c r="N8725" s="370"/>
    </row>
    <row r="8726" spans="1:14" s="347" customFormat="1" x14ac:dyDescent="0.25">
      <c r="A8726" s="369"/>
      <c r="E8726" s="396"/>
      <c r="F8726" s="396"/>
      <c r="G8726" s="396"/>
      <c r="K8726" s="370"/>
      <c r="N8726" s="370"/>
    </row>
    <row r="8727" spans="1:14" s="347" customFormat="1" x14ac:dyDescent="0.25">
      <c r="A8727" s="369"/>
      <c r="E8727" s="396"/>
      <c r="F8727" s="396"/>
      <c r="G8727" s="396"/>
      <c r="K8727" s="370"/>
      <c r="N8727" s="370"/>
    </row>
    <row r="8728" spans="1:14" s="347" customFormat="1" x14ac:dyDescent="0.25">
      <c r="A8728" s="369"/>
      <c r="E8728" s="396"/>
      <c r="F8728" s="396"/>
      <c r="G8728" s="396"/>
      <c r="K8728" s="370"/>
      <c r="N8728" s="370"/>
    </row>
    <row r="8729" spans="1:14" s="347" customFormat="1" x14ac:dyDescent="0.25">
      <c r="A8729" s="369"/>
      <c r="E8729" s="396"/>
      <c r="F8729" s="396"/>
      <c r="G8729" s="396"/>
      <c r="K8729" s="370"/>
      <c r="N8729" s="370"/>
    </row>
    <row r="8730" spans="1:14" s="347" customFormat="1" x14ac:dyDescent="0.25">
      <c r="A8730" s="369"/>
      <c r="E8730" s="396"/>
      <c r="F8730" s="396"/>
      <c r="G8730" s="396"/>
      <c r="K8730" s="370"/>
      <c r="N8730" s="370"/>
    </row>
    <row r="8731" spans="1:14" s="347" customFormat="1" x14ac:dyDescent="0.25">
      <c r="A8731" s="369"/>
      <c r="E8731" s="396"/>
      <c r="F8731" s="396"/>
      <c r="G8731" s="396"/>
      <c r="K8731" s="370"/>
      <c r="N8731" s="370"/>
    </row>
    <row r="8732" spans="1:14" s="347" customFormat="1" x14ac:dyDescent="0.25">
      <c r="A8732" s="369"/>
      <c r="E8732" s="396"/>
      <c r="F8732" s="396"/>
      <c r="G8732" s="396"/>
      <c r="K8732" s="370"/>
      <c r="N8732" s="370"/>
    </row>
    <row r="8733" spans="1:14" s="347" customFormat="1" x14ac:dyDescent="0.25">
      <c r="A8733" s="369"/>
      <c r="E8733" s="396"/>
      <c r="F8733" s="396"/>
      <c r="G8733" s="396"/>
      <c r="K8733" s="370"/>
      <c r="N8733" s="370"/>
    </row>
    <row r="8734" spans="1:14" s="347" customFormat="1" x14ac:dyDescent="0.25">
      <c r="A8734" s="369"/>
      <c r="E8734" s="396"/>
      <c r="F8734" s="396"/>
      <c r="G8734" s="396"/>
      <c r="K8734" s="370"/>
      <c r="N8734" s="370"/>
    </row>
    <row r="8735" spans="1:14" s="347" customFormat="1" x14ac:dyDescent="0.25">
      <c r="A8735" s="369"/>
      <c r="E8735" s="396"/>
      <c r="F8735" s="396"/>
      <c r="G8735" s="396"/>
      <c r="K8735" s="370"/>
      <c r="N8735" s="370"/>
    </row>
    <row r="8736" spans="1:14" s="347" customFormat="1" x14ac:dyDescent="0.25">
      <c r="A8736" s="369"/>
      <c r="E8736" s="396"/>
      <c r="F8736" s="396"/>
      <c r="G8736" s="396"/>
      <c r="K8736" s="370"/>
      <c r="N8736" s="370"/>
    </row>
    <row r="8737" spans="1:14" s="347" customFormat="1" x14ac:dyDescent="0.25">
      <c r="A8737" s="369"/>
      <c r="E8737" s="396"/>
      <c r="F8737" s="396"/>
      <c r="G8737" s="396"/>
      <c r="K8737" s="370"/>
      <c r="N8737" s="370"/>
    </row>
    <row r="8738" spans="1:14" s="347" customFormat="1" x14ac:dyDescent="0.25">
      <c r="A8738" s="369"/>
      <c r="E8738" s="396"/>
      <c r="F8738" s="396"/>
      <c r="G8738" s="396"/>
      <c r="K8738" s="370"/>
      <c r="N8738" s="370"/>
    </row>
    <row r="8739" spans="1:14" s="347" customFormat="1" x14ac:dyDescent="0.25">
      <c r="A8739" s="369"/>
      <c r="E8739" s="396"/>
      <c r="F8739" s="396"/>
      <c r="G8739" s="396"/>
      <c r="K8739" s="370"/>
      <c r="N8739" s="370"/>
    </row>
    <row r="8740" spans="1:14" s="347" customFormat="1" x14ac:dyDescent="0.25">
      <c r="A8740" s="369"/>
      <c r="E8740" s="396"/>
      <c r="F8740" s="396"/>
      <c r="G8740" s="396"/>
      <c r="K8740" s="370"/>
      <c r="N8740" s="370"/>
    </row>
    <row r="8741" spans="1:14" s="347" customFormat="1" x14ac:dyDescent="0.25">
      <c r="A8741" s="369"/>
      <c r="E8741" s="396"/>
      <c r="F8741" s="396"/>
      <c r="G8741" s="396"/>
      <c r="K8741" s="370"/>
      <c r="N8741" s="370"/>
    </row>
    <row r="8742" spans="1:14" s="347" customFormat="1" x14ac:dyDescent="0.25">
      <c r="A8742" s="369"/>
      <c r="E8742" s="396"/>
      <c r="F8742" s="396"/>
      <c r="G8742" s="396"/>
      <c r="K8742" s="370"/>
      <c r="N8742" s="370"/>
    </row>
    <row r="8743" spans="1:14" s="347" customFormat="1" x14ac:dyDescent="0.25">
      <c r="A8743" s="369"/>
      <c r="E8743" s="396"/>
      <c r="F8743" s="396"/>
      <c r="G8743" s="396"/>
      <c r="K8743" s="370"/>
      <c r="N8743" s="370"/>
    </row>
    <row r="8744" spans="1:14" s="347" customFormat="1" x14ac:dyDescent="0.25">
      <c r="A8744" s="369"/>
      <c r="E8744" s="396"/>
      <c r="F8744" s="396"/>
      <c r="G8744" s="396"/>
      <c r="K8744" s="370"/>
      <c r="N8744" s="370"/>
    </row>
    <row r="8745" spans="1:14" s="347" customFormat="1" x14ac:dyDescent="0.25">
      <c r="A8745" s="369"/>
      <c r="E8745" s="396"/>
      <c r="F8745" s="396"/>
      <c r="G8745" s="396"/>
      <c r="K8745" s="370"/>
      <c r="N8745" s="370"/>
    </row>
    <row r="8746" spans="1:14" s="347" customFormat="1" x14ac:dyDescent="0.25">
      <c r="A8746" s="369"/>
      <c r="E8746" s="396"/>
      <c r="F8746" s="396"/>
      <c r="G8746" s="396"/>
      <c r="K8746" s="370"/>
      <c r="N8746" s="370"/>
    </row>
    <row r="8747" spans="1:14" s="347" customFormat="1" x14ac:dyDescent="0.25">
      <c r="A8747" s="369"/>
      <c r="E8747" s="396"/>
      <c r="F8747" s="396"/>
      <c r="G8747" s="396"/>
      <c r="K8747" s="370"/>
      <c r="N8747" s="370"/>
    </row>
    <row r="8748" spans="1:14" s="347" customFormat="1" x14ac:dyDescent="0.25">
      <c r="A8748" s="369"/>
      <c r="E8748" s="396"/>
      <c r="F8748" s="396"/>
      <c r="G8748" s="396"/>
      <c r="K8748" s="370"/>
      <c r="N8748" s="370"/>
    </row>
    <row r="8749" spans="1:14" s="347" customFormat="1" x14ac:dyDescent="0.25">
      <c r="A8749" s="369"/>
      <c r="E8749" s="396"/>
      <c r="F8749" s="396"/>
      <c r="G8749" s="396"/>
      <c r="K8749" s="370"/>
      <c r="N8749" s="370"/>
    </row>
    <row r="8750" spans="1:14" s="347" customFormat="1" x14ac:dyDescent="0.25">
      <c r="A8750" s="369"/>
      <c r="E8750" s="396"/>
      <c r="F8750" s="396"/>
      <c r="G8750" s="396"/>
      <c r="K8750" s="370"/>
      <c r="N8750" s="370"/>
    </row>
    <row r="8751" spans="1:14" s="347" customFormat="1" x14ac:dyDescent="0.25">
      <c r="A8751" s="369"/>
      <c r="E8751" s="396"/>
      <c r="F8751" s="396"/>
      <c r="G8751" s="396"/>
      <c r="K8751" s="370"/>
      <c r="N8751" s="370"/>
    </row>
    <row r="8752" spans="1:14" s="347" customFormat="1" x14ac:dyDescent="0.25">
      <c r="A8752" s="369"/>
      <c r="E8752" s="396"/>
      <c r="F8752" s="396"/>
      <c r="G8752" s="396"/>
      <c r="K8752" s="370"/>
      <c r="N8752" s="370"/>
    </row>
    <row r="8753" spans="1:14" s="347" customFormat="1" x14ac:dyDescent="0.25">
      <c r="A8753" s="369"/>
      <c r="E8753" s="396"/>
      <c r="F8753" s="396"/>
      <c r="G8753" s="396"/>
      <c r="K8753" s="370"/>
      <c r="N8753" s="370"/>
    </row>
    <row r="8754" spans="1:14" s="347" customFormat="1" x14ac:dyDescent="0.25">
      <c r="A8754" s="369"/>
      <c r="E8754" s="396"/>
      <c r="F8754" s="396"/>
      <c r="G8754" s="396"/>
      <c r="K8754" s="370"/>
      <c r="N8754" s="370"/>
    </row>
    <row r="8755" spans="1:14" s="347" customFormat="1" x14ac:dyDescent="0.25">
      <c r="A8755" s="369"/>
      <c r="E8755" s="396"/>
      <c r="F8755" s="396"/>
      <c r="G8755" s="396"/>
      <c r="K8755" s="370"/>
      <c r="N8755" s="370"/>
    </row>
    <row r="8756" spans="1:14" s="347" customFormat="1" x14ac:dyDescent="0.25">
      <c r="A8756" s="369"/>
      <c r="E8756" s="396"/>
      <c r="F8756" s="396"/>
      <c r="G8756" s="396"/>
      <c r="K8756" s="370"/>
      <c r="N8756" s="370"/>
    </row>
    <row r="8757" spans="1:14" s="347" customFormat="1" x14ac:dyDescent="0.25">
      <c r="A8757" s="369"/>
      <c r="E8757" s="396"/>
      <c r="F8757" s="396"/>
      <c r="G8757" s="396"/>
      <c r="K8757" s="370"/>
      <c r="N8757" s="370"/>
    </row>
    <row r="8758" spans="1:14" s="347" customFormat="1" x14ac:dyDescent="0.25">
      <c r="A8758" s="369"/>
      <c r="E8758" s="396"/>
      <c r="F8758" s="396"/>
      <c r="G8758" s="396"/>
      <c r="K8758" s="370"/>
      <c r="N8758" s="370"/>
    </row>
    <row r="8759" spans="1:14" s="347" customFormat="1" x14ac:dyDescent="0.25">
      <c r="A8759" s="369"/>
      <c r="E8759" s="396"/>
      <c r="F8759" s="396"/>
      <c r="G8759" s="396"/>
      <c r="K8759" s="370"/>
      <c r="N8759" s="370"/>
    </row>
    <row r="8760" spans="1:14" s="347" customFormat="1" x14ac:dyDescent="0.25">
      <c r="A8760" s="369"/>
      <c r="E8760" s="396"/>
      <c r="F8760" s="396"/>
      <c r="G8760" s="396"/>
      <c r="K8760" s="370"/>
      <c r="N8760" s="370"/>
    </row>
    <row r="8761" spans="1:14" s="347" customFormat="1" x14ac:dyDescent="0.25">
      <c r="A8761" s="369"/>
      <c r="E8761" s="396"/>
      <c r="F8761" s="396"/>
      <c r="G8761" s="396"/>
      <c r="K8761" s="370"/>
      <c r="N8761" s="370"/>
    </row>
    <row r="8762" spans="1:14" s="347" customFormat="1" x14ac:dyDescent="0.25">
      <c r="A8762" s="369"/>
      <c r="E8762" s="396"/>
      <c r="F8762" s="396"/>
      <c r="G8762" s="396"/>
      <c r="K8762" s="370"/>
      <c r="N8762" s="370"/>
    </row>
    <row r="8763" spans="1:14" s="347" customFormat="1" x14ac:dyDescent="0.25">
      <c r="A8763" s="369"/>
      <c r="E8763" s="396"/>
      <c r="F8763" s="396"/>
      <c r="G8763" s="396"/>
      <c r="K8763" s="370"/>
      <c r="N8763" s="370"/>
    </row>
    <row r="8764" spans="1:14" s="347" customFormat="1" x14ac:dyDescent="0.25">
      <c r="A8764" s="369"/>
      <c r="E8764" s="396"/>
      <c r="F8764" s="396"/>
      <c r="G8764" s="396"/>
      <c r="K8764" s="370"/>
      <c r="N8764" s="370"/>
    </row>
    <row r="8765" spans="1:14" s="347" customFormat="1" x14ac:dyDescent="0.25">
      <c r="A8765" s="369"/>
      <c r="E8765" s="396"/>
      <c r="F8765" s="396"/>
      <c r="G8765" s="396"/>
      <c r="K8765" s="370"/>
      <c r="N8765" s="370"/>
    </row>
    <row r="8766" spans="1:14" s="347" customFormat="1" x14ac:dyDescent="0.25">
      <c r="A8766" s="369"/>
      <c r="E8766" s="396"/>
      <c r="F8766" s="396"/>
      <c r="G8766" s="396"/>
      <c r="K8766" s="370"/>
      <c r="N8766" s="370"/>
    </row>
    <row r="8767" spans="1:14" s="347" customFormat="1" x14ac:dyDescent="0.25">
      <c r="A8767" s="369"/>
      <c r="E8767" s="396"/>
      <c r="F8767" s="396"/>
      <c r="G8767" s="396"/>
      <c r="K8767" s="370"/>
      <c r="N8767" s="370"/>
    </row>
    <row r="8768" spans="1:14" s="347" customFormat="1" x14ac:dyDescent="0.25">
      <c r="A8768" s="369"/>
      <c r="E8768" s="396"/>
      <c r="F8768" s="396"/>
      <c r="G8768" s="396"/>
      <c r="K8768" s="370"/>
      <c r="N8768" s="370"/>
    </row>
    <row r="8769" spans="1:14" s="347" customFormat="1" x14ac:dyDescent="0.25">
      <c r="A8769" s="369"/>
      <c r="E8769" s="396"/>
      <c r="F8769" s="396"/>
      <c r="G8769" s="396"/>
      <c r="K8769" s="370"/>
      <c r="N8769" s="370"/>
    </row>
    <row r="8770" spans="1:14" s="347" customFormat="1" x14ac:dyDescent="0.25">
      <c r="A8770" s="369"/>
      <c r="E8770" s="396"/>
      <c r="F8770" s="396"/>
      <c r="G8770" s="396"/>
      <c r="K8770" s="370"/>
      <c r="N8770" s="370"/>
    </row>
    <row r="8771" spans="1:14" s="347" customFormat="1" x14ac:dyDescent="0.25">
      <c r="A8771" s="369"/>
      <c r="E8771" s="396"/>
      <c r="F8771" s="396"/>
      <c r="G8771" s="396"/>
      <c r="K8771" s="370"/>
      <c r="N8771" s="370"/>
    </row>
    <row r="8772" spans="1:14" s="347" customFormat="1" x14ac:dyDescent="0.25">
      <c r="A8772" s="369"/>
      <c r="E8772" s="396"/>
      <c r="F8772" s="396"/>
      <c r="G8772" s="396"/>
      <c r="K8772" s="370"/>
      <c r="N8772" s="370"/>
    </row>
    <row r="8773" spans="1:14" s="347" customFormat="1" x14ac:dyDescent="0.25">
      <c r="A8773" s="369"/>
      <c r="E8773" s="396"/>
      <c r="F8773" s="396"/>
      <c r="G8773" s="396"/>
      <c r="K8773" s="370"/>
      <c r="N8773" s="370"/>
    </row>
    <row r="8774" spans="1:14" s="347" customFormat="1" x14ac:dyDescent="0.25">
      <c r="A8774" s="369"/>
      <c r="E8774" s="396"/>
      <c r="F8774" s="396"/>
      <c r="G8774" s="396"/>
      <c r="K8774" s="370"/>
      <c r="N8774" s="370"/>
    </row>
    <row r="8775" spans="1:14" s="347" customFormat="1" x14ac:dyDescent="0.25">
      <c r="A8775" s="369"/>
      <c r="E8775" s="396"/>
      <c r="F8775" s="396"/>
      <c r="G8775" s="396"/>
      <c r="K8775" s="370"/>
      <c r="N8775" s="370"/>
    </row>
    <row r="8776" spans="1:14" s="347" customFormat="1" x14ac:dyDescent="0.25">
      <c r="A8776" s="369"/>
      <c r="E8776" s="396"/>
      <c r="F8776" s="396"/>
      <c r="G8776" s="396"/>
      <c r="K8776" s="370"/>
      <c r="N8776" s="370"/>
    </row>
    <row r="8777" spans="1:14" s="347" customFormat="1" x14ac:dyDescent="0.25">
      <c r="A8777" s="369"/>
      <c r="E8777" s="396"/>
      <c r="F8777" s="396"/>
      <c r="G8777" s="396"/>
      <c r="K8777" s="370"/>
      <c r="N8777" s="370"/>
    </row>
    <row r="8778" spans="1:14" s="347" customFormat="1" x14ac:dyDescent="0.25">
      <c r="A8778" s="369"/>
      <c r="E8778" s="396"/>
      <c r="F8778" s="396"/>
      <c r="G8778" s="396"/>
      <c r="K8778" s="370"/>
      <c r="N8778" s="370"/>
    </row>
    <row r="8779" spans="1:14" s="347" customFormat="1" x14ac:dyDescent="0.25">
      <c r="A8779" s="369"/>
      <c r="E8779" s="396"/>
      <c r="F8779" s="396"/>
      <c r="G8779" s="396"/>
      <c r="K8779" s="370"/>
      <c r="N8779" s="370"/>
    </row>
    <row r="8780" spans="1:14" s="347" customFormat="1" x14ac:dyDescent="0.25">
      <c r="A8780" s="369"/>
      <c r="E8780" s="396"/>
      <c r="F8780" s="396"/>
      <c r="G8780" s="396"/>
      <c r="K8780" s="370"/>
      <c r="N8780" s="370"/>
    </row>
    <row r="8781" spans="1:14" s="347" customFormat="1" x14ac:dyDescent="0.25">
      <c r="A8781" s="369"/>
      <c r="E8781" s="396"/>
      <c r="F8781" s="396"/>
      <c r="G8781" s="396"/>
      <c r="K8781" s="370"/>
      <c r="N8781" s="370"/>
    </row>
    <row r="8782" spans="1:14" s="347" customFormat="1" x14ac:dyDescent="0.25">
      <c r="A8782" s="369"/>
      <c r="E8782" s="396"/>
      <c r="F8782" s="396"/>
      <c r="G8782" s="396"/>
      <c r="K8782" s="370"/>
      <c r="N8782" s="370"/>
    </row>
    <row r="8783" spans="1:14" s="347" customFormat="1" x14ac:dyDescent="0.25">
      <c r="A8783" s="369"/>
      <c r="E8783" s="396"/>
      <c r="F8783" s="396"/>
      <c r="G8783" s="396"/>
      <c r="K8783" s="370"/>
      <c r="N8783" s="370"/>
    </row>
    <row r="8784" spans="1:14" s="347" customFormat="1" x14ac:dyDescent="0.25">
      <c r="A8784" s="369"/>
      <c r="E8784" s="396"/>
      <c r="F8784" s="396"/>
      <c r="G8784" s="396"/>
      <c r="K8784" s="370"/>
      <c r="N8784" s="370"/>
    </row>
    <row r="8785" spans="1:14" s="347" customFormat="1" x14ac:dyDescent="0.25">
      <c r="A8785" s="369"/>
      <c r="E8785" s="396"/>
      <c r="F8785" s="396"/>
      <c r="G8785" s="396"/>
      <c r="K8785" s="370"/>
      <c r="N8785" s="370"/>
    </row>
    <row r="8786" spans="1:14" s="347" customFormat="1" x14ac:dyDescent="0.25">
      <c r="A8786" s="369"/>
      <c r="E8786" s="396"/>
      <c r="F8786" s="396"/>
      <c r="G8786" s="396"/>
      <c r="K8786" s="370"/>
      <c r="N8786" s="370"/>
    </row>
    <row r="8787" spans="1:14" s="347" customFormat="1" x14ac:dyDescent="0.25">
      <c r="A8787" s="369"/>
      <c r="E8787" s="396"/>
      <c r="F8787" s="396"/>
      <c r="G8787" s="396"/>
      <c r="K8787" s="370"/>
      <c r="N8787" s="370"/>
    </row>
    <row r="8788" spans="1:14" s="347" customFormat="1" x14ac:dyDescent="0.25">
      <c r="A8788" s="369"/>
      <c r="E8788" s="396"/>
      <c r="F8788" s="396"/>
      <c r="G8788" s="396"/>
      <c r="K8788" s="370"/>
      <c r="N8788" s="370"/>
    </row>
    <row r="8789" spans="1:14" s="347" customFormat="1" x14ac:dyDescent="0.25">
      <c r="A8789" s="369"/>
      <c r="E8789" s="396"/>
      <c r="F8789" s="396"/>
      <c r="G8789" s="396"/>
      <c r="K8789" s="370"/>
      <c r="N8789" s="370"/>
    </row>
    <row r="8790" spans="1:14" s="347" customFormat="1" x14ac:dyDescent="0.25">
      <c r="A8790" s="369"/>
      <c r="E8790" s="396"/>
      <c r="F8790" s="396"/>
      <c r="G8790" s="396"/>
      <c r="K8790" s="370"/>
      <c r="N8790" s="370"/>
    </row>
    <row r="8791" spans="1:14" s="347" customFormat="1" x14ac:dyDescent="0.25">
      <c r="A8791" s="369"/>
      <c r="E8791" s="396"/>
      <c r="F8791" s="396"/>
      <c r="G8791" s="396"/>
      <c r="K8791" s="370"/>
      <c r="N8791" s="370"/>
    </row>
    <row r="8792" spans="1:14" s="347" customFormat="1" x14ac:dyDescent="0.25">
      <c r="A8792" s="369"/>
      <c r="E8792" s="396"/>
      <c r="F8792" s="396"/>
      <c r="G8792" s="396"/>
      <c r="K8792" s="370"/>
      <c r="N8792" s="370"/>
    </row>
    <row r="8793" spans="1:14" s="347" customFormat="1" x14ac:dyDescent="0.25">
      <c r="A8793" s="369"/>
      <c r="E8793" s="396"/>
      <c r="F8793" s="396"/>
      <c r="G8793" s="396"/>
      <c r="K8793" s="370"/>
      <c r="N8793" s="370"/>
    </row>
    <row r="8794" spans="1:14" s="347" customFormat="1" x14ac:dyDescent="0.25">
      <c r="A8794" s="369"/>
      <c r="E8794" s="396"/>
      <c r="F8794" s="396"/>
      <c r="G8794" s="396"/>
      <c r="K8794" s="370"/>
      <c r="N8794" s="370"/>
    </row>
    <row r="8795" spans="1:14" s="347" customFormat="1" x14ac:dyDescent="0.25">
      <c r="A8795" s="369"/>
      <c r="E8795" s="396"/>
      <c r="F8795" s="396"/>
      <c r="G8795" s="396"/>
      <c r="K8795" s="370"/>
      <c r="N8795" s="370"/>
    </row>
    <row r="8796" spans="1:14" s="347" customFormat="1" x14ac:dyDescent="0.25">
      <c r="A8796" s="369"/>
      <c r="E8796" s="396"/>
      <c r="F8796" s="396"/>
      <c r="G8796" s="396"/>
      <c r="K8796" s="370"/>
      <c r="N8796" s="370"/>
    </row>
    <row r="8797" spans="1:14" s="347" customFormat="1" x14ac:dyDescent="0.25">
      <c r="A8797" s="369"/>
      <c r="E8797" s="396"/>
      <c r="F8797" s="396"/>
      <c r="G8797" s="396"/>
      <c r="K8797" s="370"/>
      <c r="N8797" s="370"/>
    </row>
    <row r="8798" spans="1:14" s="347" customFormat="1" x14ac:dyDescent="0.25">
      <c r="A8798" s="369"/>
      <c r="E8798" s="396"/>
      <c r="F8798" s="396"/>
      <c r="G8798" s="396"/>
      <c r="K8798" s="370"/>
      <c r="N8798" s="370"/>
    </row>
    <row r="8799" spans="1:14" s="347" customFormat="1" x14ac:dyDescent="0.25">
      <c r="A8799" s="369"/>
      <c r="E8799" s="396"/>
      <c r="F8799" s="396"/>
      <c r="G8799" s="396"/>
      <c r="K8799" s="370"/>
      <c r="N8799" s="370"/>
    </row>
    <row r="8800" spans="1:14" s="347" customFormat="1" x14ac:dyDescent="0.25">
      <c r="A8800" s="369"/>
      <c r="E8800" s="396"/>
      <c r="F8800" s="396"/>
      <c r="G8800" s="396"/>
      <c r="K8800" s="370"/>
      <c r="N8800" s="370"/>
    </row>
    <row r="8801" spans="1:14" s="347" customFormat="1" x14ac:dyDescent="0.25">
      <c r="A8801" s="369"/>
      <c r="E8801" s="396"/>
      <c r="F8801" s="396"/>
      <c r="G8801" s="396"/>
      <c r="K8801" s="370"/>
      <c r="N8801" s="370"/>
    </row>
    <row r="8802" spans="1:14" s="347" customFormat="1" x14ac:dyDescent="0.25">
      <c r="A8802" s="369"/>
      <c r="E8802" s="396"/>
      <c r="F8802" s="396"/>
      <c r="G8802" s="396"/>
      <c r="K8802" s="370"/>
      <c r="N8802" s="370"/>
    </row>
    <row r="8803" spans="1:14" s="347" customFormat="1" x14ac:dyDescent="0.25">
      <c r="A8803" s="369"/>
      <c r="E8803" s="396"/>
      <c r="F8803" s="396"/>
      <c r="G8803" s="396"/>
      <c r="K8803" s="370"/>
      <c r="N8803" s="370"/>
    </row>
    <row r="8804" spans="1:14" s="347" customFormat="1" x14ac:dyDescent="0.25">
      <c r="A8804" s="369"/>
      <c r="E8804" s="396"/>
      <c r="F8804" s="396"/>
      <c r="G8804" s="396"/>
      <c r="K8804" s="370"/>
      <c r="N8804" s="370"/>
    </row>
    <row r="8805" spans="1:14" s="347" customFormat="1" x14ac:dyDescent="0.25">
      <c r="A8805" s="369"/>
      <c r="E8805" s="396"/>
      <c r="F8805" s="396"/>
      <c r="G8805" s="396"/>
      <c r="K8805" s="370"/>
      <c r="N8805" s="370"/>
    </row>
    <row r="8806" spans="1:14" s="347" customFormat="1" x14ac:dyDescent="0.25">
      <c r="A8806" s="369"/>
      <c r="E8806" s="396"/>
      <c r="F8806" s="396"/>
      <c r="G8806" s="396"/>
      <c r="K8806" s="370"/>
      <c r="N8806" s="370"/>
    </row>
    <row r="8807" spans="1:14" s="347" customFormat="1" x14ac:dyDescent="0.25">
      <c r="A8807" s="369"/>
      <c r="E8807" s="396"/>
      <c r="F8807" s="396"/>
      <c r="G8807" s="396"/>
      <c r="K8807" s="370"/>
      <c r="N8807" s="370"/>
    </row>
    <row r="8808" spans="1:14" s="347" customFormat="1" x14ac:dyDescent="0.25">
      <c r="A8808" s="369"/>
      <c r="E8808" s="396"/>
      <c r="F8808" s="396"/>
      <c r="G8808" s="396"/>
      <c r="K8808" s="370"/>
      <c r="N8808" s="370"/>
    </row>
    <row r="8809" spans="1:14" s="347" customFormat="1" x14ac:dyDescent="0.25">
      <c r="A8809" s="369"/>
      <c r="E8809" s="396"/>
      <c r="F8809" s="396"/>
      <c r="G8809" s="396"/>
      <c r="K8809" s="370"/>
      <c r="N8809" s="370"/>
    </row>
    <row r="8810" spans="1:14" s="347" customFormat="1" x14ac:dyDescent="0.25">
      <c r="A8810" s="369"/>
      <c r="E8810" s="396"/>
      <c r="F8810" s="396"/>
      <c r="G8810" s="396"/>
      <c r="K8810" s="370"/>
      <c r="N8810" s="370"/>
    </row>
    <row r="8811" spans="1:14" s="347" customFormat="1" x14ac:dyDescent="0.25">
      <c r="A8811" s="369"/>
      <c r="E8811" s="396"/>
      <c r="F8811" s="396"/>
      <c r="G8811" s="396"/>
      <c r="K8811" s="370"/>
      <c r="N8811" s="370"/>
    </row>
    <row r="8812" spans="1:14" s="347" customFormat="1" x14ac:dyDescent="0.25">
      <c r="A8812" s="369"/>
      <c r="E8812" s="396"/>
      <c r="F8812" s="396"/>
      <c r="G8812" s="396"/>
      <c r="K8812" s="370"/>
      <c r="N8812" s="370"/>
    </row>
    <row r="8813" spans="1:14" s="347" customFormat="1" x14ac:dyDescent="0.25">
      <c r="A8813" s="369"/>
      <c r="E8813" s="396"/>
      <c r="F8813" s="396"/>
      <c r="G8813" s="396"/>
      <c r="K8813" s="370"/>
      <c r="N8813" s="370"/>
    </row>
    <row r="8814" spans="1:14" s="347" customFormat="1" x14ac:dyDescent="0.25">
      <c r="A8814" s="369"/>
      <c r="E8814" s="396"/>
      <c r="F8814" s="396"/>
      <c r="G8814" s="396"/>
      <c r="K8814" s="370"/>
      <c r="N8814" s="370"/>
    </row>
    <row r="8815" spans="1:14" s="347" customFormat="1" x14ac:dyDescent="0.25">
      <c r="A8815" s="369"/>
      <c r="E8815" s="396"/>
      <c r="F8815" s="396"/>
      <c r="G8815" s="396"/>
      <c r="K8815" s="370"/>
      <c r="N8815" s="370"/>
    </row>
    <row r="8816" spans="1:14" s="347" customFormat="1" x14ac:dyDescent="0.25">
      <c r="A8816" s="369"/>
      <c r="E8816" s="396"/>
      <c r="F8816" s="396"/>
      <c r="G8816" s="396"/>
      <c r="K8816" s="370"/>
      <c r="N8816" s="370"/>
    </row>
    <row r="8817" spans="1:14" s="347" customFormat="1" x14ac:dyDescent="0.25">
      <c r="A8817" s="369"/>
      <c r="E8817" s="396"/>
      <c r="F8817" s="396"/>
      <c r="G8817" s="396"/>
      <c r="K8817" s="370"/>
      <c r="N8817" s="370"/>
    </row>
    <row r="8818" spans="1:14" s="347" customFormat="1" x14ac:dyDescent="0.25">
      <c r="A8818" s="369"/>
      <c r="E8818" s="396"/>
      <c r="F8818" s="396"/>
      <c r="G8818" s="396"/>
      <c r="K8818" s="370"/>
      <c r="N8818" s="370"/>
    </row>
    <row r="8819" spans="1:14" s="347" customFormat="1" x14ac:dyDescent="0.25">
      <c r="A8819" s="369"/>
      <c r="E8819" s="396"/>
      <c r="F8819" s="396"/>
      <c r="G8819" s="396"/>
      <c r="K8819" s="370"/>
      <c r="N8819" s="370"/>
    </row>
    <row r="8820" spans="1:14" s="347" customFormat="1" x14ac:dyDescent="0.25">
      <c r="A8820" s="369"/>
      <c r="E8820" s="396"/>
      <c r="F8820" s="396"/>
      <c r="G8820" s="396"/>
      <c r="K8820" s="370"/>
      <c r="N8820" s="370"/>
    </row>
    <row r="8821" spans="1:14" s="347" customFormat="1" x14ac:dyDescent="0.25">
      <c r="A8821" s="369"/>
      <c r="E8821" s="396"/>
      <c r="F8821" s="396"/>
      <c r="G8821" s="396"/>
      <c r="K8821" s="370"/>
      <c r="N8821" s="370"/>
    </row>
    <row r="8822" spans="1:14" s="347" customFormat="1" x14ac:dyDescent="0.25">
      <c r="A8822" s="369"/>
      <c r="E8822" s="396"/>
      <c r="F8822" s="396"/>
      <c r="G8822" s="396"/>
      <c r="K8822" s="370"/>
      <c r="N8822" s="370"/>
    </row>
    <row r="8823" spans="1:14" s="347" customFormat="1" x14ac:dyDescent="0.25">
      <c r="A8823" s="369"/>
      <c r="E8823" s="396"/>
      <c r="F8823" s="396"/>
      <c r="G8823" s="396"/>
      <c r="K8823" s="370"/>
      <c r="N8823" s="370"/>
    </row>
    <row r="8824" spans="1:14" s="347" customFormat="1" x14ac:dyDescent="0.25">
      <c r="A8824" s="369"/>
      <c r="E8824" s="396"/>
      <c r="F8824" s="396"/>
      <c r="G8824" s="396"/>
      <c r="K8824" s="370"/>
      <c r="N8824" s="370"/>
    </row>
    <row r="8825" spans="1:14" s="347" customFormat="1" x14ac:dyDescent="0.25">
      <c r="A8825" s="369"/>
      <c r="E8825" s="396"/>
      <c r="F8825" s="396"/>
      <c r="G8825" s="396"/>
      <c r="K8825" s="370"/>
      <c r="N8825" s="370"/>
    </row>
    <row r="8826" spans="1:14" s="347" customFormat="1" x14ac:dyDescent="0.25">
      <c r="A8826" s="369"/>
      <c r="E8826" s="396"/>
      <c r="F8826" s="396"/>
      <c r="G8826" s="396"/>
      <c r="K8826" s="370"/>
      <c r="N8826" s="370"/>
    </row>
    <row r="8827" spans="1:14" s="347" customFormat="1" x14ac:dyDescent="0.25">
      <c r="A8827" s="369"/>
      <c r="E8827" s="396"/>
      <c r="F8827" s="396"/>
      <c r="G8827" s="396"/>
      <c r="K8827" s="370"/>
      <c r="N8827" s="370"/>
    </row>
    <row r="8828" spans="1:14" s="347" customFormat="1" x14ac:dyDescent="0.25">
      <c r="A8828" s="369"/>
      <c r="E8828" s="396"/>
      <c r="F8828" s="396"/>
      <c r="G8828" s="396"/>
      <c r="K8828" s="370"/>
      <c r="N8828" s="370"/>
    </row>
    <row r="8829" spans="1:14" s="347" customFormat="1" x14ac:dyDescent="0.25">
      <c r="A8829" s="369"/>
      <c r="E8829" s="396"/>
      <c r="F8829" s="396"/>
      <c r="G8829" s="396"/>
      <c r="K8829" s="370"/>
      <c r="N8829" s="370"/>
    </row>
    <row r="8830" spans="1:14" s="347" customFormat="1" x14ac:dyDescent="0.25">
      <c r="A8830" s="369"/>
      <c r="E8830" s="396"/>
      <c r="F8830" s="396"/>
      <c r="G8830" s="396"/>
      <c r="K8830" s="370"/>
      <c r="N8830" s="370"/>
    </row>
    <row r="8831" spans="1:14" s="347" customFormat="1" x14ac:dyDescent="0.25">
      <c r="A8831" s="369"/>
      <c r="E8831" s="396"/>
      <c r="F8831" s="396"/>
      <c r="G8831" s="396"/>
      <c r="K8831" s="370"/>
      <c r="N8831" s="370"/>
    </row>
    <row r="8832" spans="1:14" s="347" customFormat="1" x14ac:dyDescent="0.25">
      <c r="A8832" s="369"/>
      <c r="E8832" s="396"/>
      <c r="F8832" s="396"/>
      <c r="G8832" s="396"/>
      <c r="K8832" s="370"/>
      <c r="N8832" s="370"/>
    </row>
    <row r="8833" spans="1:14" s="347" customFormat="1" x14ac:dyDescent="0.25">
      <c r="A8833" s="369"/>
      <c r="E8833" s="396"/>
      <c r="F8833" s="396"/>
      <c r="G8833" s="396"/>
      <c r="K8833" s="370"/>
      <c r="N8833" s="370"/>
    </row>
    <row r="8834" spans="1:14" s="347" customFormat="1" x14ac:dyDescent="0.25">
      <c r="A8834" s="369"/>
      <c r="E8834" s="396"/>
      <c r="F8834" s="396"/>
      <c r="G8834" s="396"/>
      <c r="K8834" s="370"/>
      <c r="N8834" s="370"/>
    </row>
    <row r="8835" spans="1:14" s="347" customFormat="1" x14ac:dyDescent="0.25">
      <c r="A8835" s="369"/>
      <c r="E8835" s="396"/>
      <c r="F8835" s="396"/>
      <c r="G8835" s="396"/>
      <c r="K8835" s="370"/>
      <c r="N8835" s="370"/>
    </row>
    <row r="8836" spans="1:14" s="347" customFormat="1" x14ac:dyDescent="0.25">
      <c r="A8836" s="369"/>
      <c r="E8836" s="396"/>
      <c r="F8836" s="396"/>
      <c r="G8836" s="396"/>
      <c r="K8836" s="370"/>
      <c r="N8836" s="370"/>
    </row>
    <row r="8837" spans="1:14" s="347" customFormat="1" x14ac:dyDescent="0.25">
      <c r="A8837" s="369"/>
      <c r="E8837" s="396"/>
      <c r="F8837" s="396"/>
      <c r="G8837" s="396"/>
      <c r="K8837" s="370"/>
      <c r="N8837" s="370"/>
    </row>
    <row r="8838" spans="1:14" s="347" customFormat="1" x14ac:dyDescent="0.25">
      <c r="A8838" s="369"/>
      <c r="E8838" s="396"/>
      <c r="F8838" s="396"/>
      <c r="G8838" s="396"/>
      <c r="K8838" s="370"/>
      <c r="N8838" s="370"/>
    </row>
    <row r="8839" spans="1:14" s="347" customFormat="1" x14ac:dyDescent="0.25">
      <c r="A8839" s="369"/>
      <c r="E8839" s="396"/>
      <c r="F8839" s="396"/>
      <c r="G8839" s="396"/>
      <c r="K8839" s="370"/>
      <c r="N8839" s="370"/>
    </row>
    <row r="8840" spans="1:14" s="347" customFormat="1" x14ac:dyDescent="0.25">
      <c r="A8840" s="369"/>
      <c r="E8840" s="396"/>
      <c r="F8840" s="396"/>
      <c r="G8840" s="396"/>
      <c r="K8840" s="370"/>
      <c r="N8840" s="370"/>
    </row>
    <row r="8841" spans="1:14" s="347" customFormat="1" x14ac:dyDescent="0.25">
      <c r="A8841" s="369"/>
      <c r="E8841" s="396"/>
      <c r="F8841" s="396"/>
      <c r="G8841" s="396"/>
      <c r="K8841" s="370"/>
      <c r="N8841" s="370"/>
    </row>
    <row r="8842" spans="1:14" s="347" customFormat="1" x14ac:dyDescent="0.25">
      <c r="A8842" s="369"/>
      <c r="E8842" s="396"/>
      <c r="F8842" s="396"/>
      <c r="G8842" s="396"/>
      <c r="K8842" s="370"/>
      <c r="N8842" s="370"/>
    </row>
    <row r="8843" spans="1:14" s="347" customFormat="1" x14ac:dyDescent="0.25">
      <c r="A8843" s="369"/>
      <c r="E8843" s="396"/>
      <c r="F8843" s="396"/>
      <c r="G8843" s="396"/>
      <c r="K8843" s="370"/>
      <c r="N8843" s="370"/>
    </row>
    <row r="8844" spans="1:14" s="347" customFormat="1" x14ac:dyDescent="0.25">
      <c r="A8844" s="369"/>
      <c r="E8844" s="396"/>
      <c r="F8844" s="396"/>
      <c r="G8844" s="396"/>
      <c r="K8844" s="370"/>
      <c r="N8844" s="370"/>
    </row>
    <row r="8845" spans="1:14" s="347" customFormat="1" x14ac:dyDescent="0.25">
      <c r="A8845" s="369"/>
      <c r="E8845" s="396"/>
      <c r="F8845" s="396"/>
      <c r="G8845" s="396"/>
      <c r="K8845" s="370"/>
      <c r="N8845" s="370"/>
    </row>
    <row r="8846" spans="1:14" s="347" customFormat="1" x14ac:dyDescent="0.25">
      <c r="A8846" s="369"/>
      <c r="E8846" s="396"/>
      <c r="F8846" s="396"/>
      <c r="G8846" s="396"/>
      <c r="K8846" s="370"/>
      <c r="N8846" s="370"/>
    </row>
    <row r="8847" spans="1:14" s="347" customFormat="1" x14ac:dyDescent="0.25">
      <c r="A8847" s="369"/>
      <c r="E8847" s="396"/>
      <c r="F8847" s="396"/>
      <c r="G8847" s="396"/>
      <c r="K8847" s="370"/>
      <c r="N8847" s="370"/>
    </row>
    <row r="8848" spans="1:14" s="347" customFormat="1" x14ac:dyDescent="0.25">
      <c r="A8848" s="369"/>
      <c r="E8848" s="396"/>
      <c r="F8848" s="396"/>
      <c r="G8848" s="396"/>
      <c r="K8848" s="370"/>
      <c r="N8848" s="370"/>
    </row>
    <row r="8849" spans="1:14" s="347" customFormat="1" x14ac:dyDescent="0.25">
      <c r="A8849" s="369"/>
      <c r="E8849" s="396"/>
      <c r="F8849" s="396"/>
      <c r="G8849" s="396"/>
      <c r="K8849" s="370"/>
      <c r="N8849" s="370"/>
    </row>
    <row r="8850" spans="1:14" s="347" customFormat="1" x14ac:dyDescent="0.25">
      <c r="A8850" s="369"/>
      <c r="E8850" s="396"/>
      <c r="F8850" s="396"/>
      <c r="G8850" s="396"/>
      <c r="K8850" s="370"/>
      <c r="N8850" s="370"/>
    </row>
    <row r="8851" spans="1:14" s="347" customFormat="1" x14ac:dyDescent="0.25">
      <c r="A8851" s="369"/>
      <c r="E8851" s="396"/>
      <c r="F8851" s="396"/>
      <c r="G8851" s="396"/>
      <c r="K8851" s="370"/>
      <c r="N8851" s="370"/>
    </row>
    <row r="8852" spans="1:14" s="347" customFormat="1" x14ac:dyDescent="0.25">
      <c r="A8852" s="369"/>
      <c r="E8852" s="396"/>
      <c r="F8852" s="396"/>
      <c r="G8852" s="396"/>
      <c r="K8852" s="370"/>
      <c r="N8852" s="370"/>
    </row>
    <row r="8853" spans="1:14" s="347" customFormat="1" x14ac:dyDescent="0.25">
      <c r="A8853" s="369"/>
      <c r="E8853" s="396"/>
      <c r="F8853" s="396"/>
      <c r="G8853" s="396"/>
      <c r="K8853" s="370"/>
      <c r="N8853" s="370"/>
    </row>
    <row r="8854" spans="1:14" s="347" customFormat="1" x14ac:dyDescent="0.25">
      <c r="A8854" s="369"/>
      <c r="E8854" s="396"/>
      <c r="F8854" s="396"/>
      <c r="G8854" s="396"/>
      <c r="K8854" s="370"/>
      <c r="N8854" s="370"/>
    </row>
    <row r="8855" spans="1:14" s="347" customFormat="1" x14ac:dyDescent="0.25">
      <c r="A8855" s="369"/>
      <c r="E8855" s="396"/>
      <c r="F8855" s="396"/>
      <c r="G8855" s="396"/>
      <c r="K8855" s="370"/>
      <c r="N8855" s="370"/>
    </row>
    <row r="8856" spans="1:14" s="347" customFormat="1" x14ac:dyDescent="0.25">
      <c r="A8856" s="369"/>
      <c r="E8856" s="396"/>
      <c r="F8856" s="396"/>
      <c r="G8856" s="396"/>
      <c r="K8856" s="370"/>
      <c r="N8856" s="370"/>
    </row>
    <row r="8857" spans="1:14" s="347" customFormat="1" x14ac:dyDescent="0.25">
      <c r="A8857" s="369"/>
      <c r="E8857" s="396"/>
      <c r="F8857" s="396"/>
      <c r="G8857" s="396"/>
      <c r="K8857" s="370"/>
      <c r="N8857" s="370"/>
    </row>
    <row r="8858" spans="1:14" s="347" customFormat="1" x14ac:dyDescent="0.25">
      <c r="A8858" s="369"/>
      <c r="E8858" s="396"/>
      <c r="F8858" s="396"/>
      <c r="G8858" s="396"/>
      <c r="K8858" s="370"/>
      <c r="N8858" s="370"/>
    </row>
    <row r="8859" spans="1:14" s="347" customFormat="1" x14ac:dyDescent="0.25">
      <c r="A8859" s="369"/>
      <c r="E8859" s="396"/>
      <c r="F8859" s="396"/>
      <c r="G8859" s="396"/>
      <c r="K8859" s="370"/>
      <c r="N8859" s="370"/>
    </row>
    <row r="8860" spans="1:14" s="347" customFormat="1" x14ac:dyDescent="0.25">
      <c r="A8860" s="369"/>
      <c r="E8860" s="396"/>
      <c r="F8860" s="396"/>
      <c r="G8860" s="396"/>
      <c r="K8860" s="370"/>
      <c r="N8860" s="370"/>
    </row>
    <row r="8861" spans="1:14" s="347" customFormat="1" x14ac:dyDescent="0.25">
      <c r="A8861" s="369"/>
      <c r="E8861" s="396"/>
      <c r="F8861" s="396"/>
      <c r="G8861" s="396"/>
      <c r="K8861" s="370"/>
      <c r="N8861" s="370"/>
    </row>
    <row r="8862" spans="1:14" s="347" customFormat="1" x14ac:dyDescent="0.25">
      <c r="A8862" s="369"/>
      <c r="E8862" s="396"/>
      <c r="F8862" s="396"/>
      <c r="G8862" s="396"/>
      <c r="K8862" s="370"/>
      <c r="N8862" s="370"/>
    </row>
    <row r="8863" spans="1:14" s="347" customFormat="1" x14ac:dyDescent="0.25">
      <c r="A8863" s="369"/>
      <c r="E8863" s="396"/>
      <c r="F8863" s="396"/>
      <c r="G8863" s="396"/>
      <c r="K8863" s="370"/>
      <c r="N8863" s="370"/>
    </row>
    <row r="8864" spans="1:14" s="347" customFormat="1" x14ac:dyDescent="0.25">
      <c r="A8864" s="369"/>
      <c r="E8864" s="396"/>
      <c r="F8864" s="396"/>
      <c r="G8864" s="396"/>
      <c r="K8864" s="370"/>
      <c r="N8864" s="370"/>
    </row>
    <row r="8865" spans="1:14" s="347" customFormat="1" x14ac:dyDescent="0.25">
      <c r="A8865" s="369"/>
      <c r="E8865" s="396"/>
      <c r="F8865" s="396"/>
      <c r="G8865" s="396"/>
      <c r="K8865" s="370"/>
      <c r="N8865" s="370"/>
    </row>
    <row r="8866" spans="1:14" s="347" customFormat="1" x14ac:dyDescent="0.25">
      <c r="A8866" s="369"/>
      <c r="E8866" s="396"/>
      <c r="F8866" s="396"/>
      <c r="G8866" s="396"/>
      <c r="K8866" s="370"/>
      <c r="N8866" s="370"/>
    </row>
    <row r="8867" spans="1:14" s="347" customFormat="1" x14ac:dyDescent="0.25">
      <c r="A8867" s="369"/>
      <c r="E8867" s="396"/>
      <c r="F8867" s="396"/>
      <c r="G8867" s="396"/>
      <c r="K8867" s="370"/>
      <c r="N8867" s="370"/>
    </row>
    <row r="8868" spans="1:14" s="347" customFormat="1" x14ac:dyDescent="0.25">
      <c r="A8868" s="369"/>
      <c r="E8868" s="396"/>
      <c r="F8868" s="396"/>
      <c r="G8868" s="396"/>
      <c r="K8868" s="370"/>
      <c r="N8868" s="370"/>
    </row>
    <row r="8869" spans="1:14" s="347" customFormat="1" x14ac:dyDescent="0.25">
      <c r="A8869" s="369"/>
      <c r="E8869" s="396"/>
      <c r="F8869" s="396"/>
      <c r="G8869" s="396"/>
      <c r="K8869" s="370"/>
      <c r="N8869" s="370"/>
    </row>
    <row r="8870" spans="1:14" s="347" customFormat="1" x14ac:dyDescent="0.25">
      <c r="A8870" s="369"/>
      <c r="E8870" s="396"/>
      <c r="F8870" s="396"/>
      <c r="G8870" s="396"/>
      <c r="K8870" s="370"/>
      <c r="N8870" s="370"/>
    </row>
    <row r="8871" spans="1:14" s="347" customFormat="1" x14ac:dyDescent="0.25">
      <c r="A8871" s="369"/>
      <c r="E8871" s="396"/>
      <c r="F8871" s="396"/>
      <c r="G8871" s="396"/>
      <c r="K8871" s="370"/>
      <c r="N8871" s="370"/>
    </row>
    <row r="8872" spans="1:14" s="347" customFormat="1" x14ac:dyDescent="0.25">
      <c r="A8872" s="369"/>
      <c r="E8872" s="396"/>
      <c r="F8872" s="396"/>
      <c r="G8872" s="396"/>
      <c r="K8872" s="370"/>
      <c r="N8872" s="370"/>
    </row>
    <row r="8873" spans="1:14" s="347" customFormat="1" x14ac:dyDescent="0.25">
      <c r="A8873" s="369"/>
      <c r="E8873" s="396"/>
      <c r="F8873" s="396"/>
      <c r="G8873" s="396"/>
      <c r="K8873" s="370"/>
      <c r="N8873" s="370"/>
    </row>
    <row r="8874" spans="1:14" s="347" customFormat="1" x14ac:dyDescent="0.25">
      <c r="A8874" s="369"/>
      <c r="E8874" s="396"/>
      <c r="F8874" s="396"/>
      <c r="G8874" s="396"/>
      <c r="K8874" s="370"/>
      <c r="N8874" s="370"/>
    </row>
    <row r="8875" spans="1:14" s="347" customFormat="1" x14ac:dyDescent="0.25">
      <c r="A8875" s="369"/>
      <c r="E8875" s="396"/>
      <c r="F8875" s="396"/>
      <c r="G8875" s="396"/>
      <c r="K8875" s="370"/>
      <c r="N8875" s="370"/>
    </row>
    <row r="8876" spans="1:14" s="347" customFormat="1" x14ac:dyDescent="0.25">
      <c r="A8876" s="369"/>
      <c r="E8876" s="396"/>
      <c r="F8876" s="396"/>
      <c r="G8876" s="396"/>
      <c r="K8876" s="370"/>
      <c r="N8876" s="370"/>
    </row>
    <row r="8877" spans="1:14" s="347" customFormat="1" x14ac:dyDescent="0.25">
      <c r="A8877" s="369"/>
      <c r="E8877" s="396"/>
      <c r="F8877" s="396"/>
      <c r="G8877" s="396"/>
      <c r="K8877" s="370"/>
      <c r="N8877" s="370"/>
    </row>
    <row r="8878" spans="1:14" s="347" customFormat="1" x14ac:dyDescent="0.25">
      <c r="A8878" s="369"/>
      <c r="E8878" s="396"/>
      <c r="F8878" s="396"/>
      <c r="G8878" s="396"/>
      <c r="K8878" s="370"/>
      <c r="N8878" s="370"/>
    </row>
    <row r="8879" spans="1:14" s="347" customFormat="1" x14ac:dyDescent="0.25">
      <c r="A8879" s="369"/>
      <c r="E8879" s="396"/>
      <c r="F8879" s="396"/>
      <c r="G8879" s="396"/>
      <c r="K8879" s="370"/>
      <c r="N8879" s="370"/>
    </row>
    <row r="8880" spans="1:14" s="347" customFormat="1" x14ac:dyDescent="0.25">
      <c r="A8880" s="369"/>
      <c r="E8880" s="396"/>
      <c r="F8880" s="396"/>
      <c r="G8880" s="396"/>
      <c r="K8880" s="370"/>
      <c r="N8880" s="370"/>
    </row>
    <row r="8881" spans="1:14" s="347" customFormat="1" x14ac:dyDescent="0.25">
      <c r="A8881" s="369"/>
      <c r="E8881" s="396"/>
      <c r="F8881" s="396"/>
      <c r="G8881" s="396"/>
      <c r="K8881" s="370"/>
      <c r="N8881" s="370"/>
    </row>
    <row r="8882" spans="1:14" s="347" customFormat="1" x14ac:dyDescent="0.25">
      <c r="A8882" s="369"/>
      <c r="E8882" s="396"/>
      <c r="F8882" s="396"/>
      <c r="G8882" s="396"/>
      <c r="K8882" s="370"/>
      <c r="N8882" s="370"/>
    </row>
    <row r="8883" spans="1:14" s="347" customFormat="1" x14ac:dyDescent="0.25">
      <c r="A8883" s="369"/>
      <c r="E8883" s="396"/>
      <c r="F8883" s="396"/>
      <c r="G8883" s="396"/>
      <c r="K8883" s="370"/>
      <c r="N8883" s="370"/>
    </row>
    <row r="8884" spans="1:14" s="347" customFormat="1" x14ac:dyDescent="0.25">
      <c r="A8884" s="369"/>
      <c r="E8884" s="396"/>
      <c r="F8884" s="396"/>
      <c r="G8884" s="396"/>
      <c r="K8884" s="370"/>
      <c r="N8884" s="370"/>
    </row>
    <row r="8885" spans="1:14" s="347" customFormat="1" x14ac:dyDescent="0.25">
      <c r="A8885" s="369"/>
      <c r="E8885" s="396"/>
      <c r="F8885" s="396"/>
      <c r="G8885" s="396"/>
      <c r="K8885" s="370"/>
      <c r="N8885" s="370"/>
    </row>
    <row r="8886" spans="1:14" s="347" customFormat="1" x14ac:dyDescent="0.25">
      <c r="A8886" s="369"/>
      <c r="E8886" s="396"/>
      <c r="F8886" s="396"/>
      <c r="G8886" s="396"/>
      <c r="K8886" s="370"/>
      <c r="N8886" s="370"/>
    </row>
    <row r="8887" spans="1:14" s="347" customFormat="1" x14ac:dyDescent="0.25">
      <c r="A8887" s="369"/>
      <c r="E8887" s="396"/>
      <c r="F8887" s="396"/>
      <c r="G8887" s="396"/>
      <c r="K8887" s="370"/>
      <c r="N8887" s="370"/>
    </row>
    <row r="8888" spans="1:14" s="347" customFormat="1" x14ac:dyDescent="0.25">
      <c r="A8888" s="369"/>
      <c r="E8888" s="396"/>
      <c r="F8888" s="396"/>
      <c r="G8888" s="396"/>
      <c r="K8888" s="370"/>
      <c r="N8888" s="370"/>
    </row>
    <row r="8889" spans="1:14" s="347" customFormat="1" x14ac:dyDescent="0.25">
      <c r="A8889" s="369"/>
      <c r="E8889" s="396"/>
      <c r="F8889" s="396"/>
      <c r="G8889" s="396"/>
      <c r="K8889" s="370"/>
      <c r="N8889" s="370"/>
    </row>
    <row r="8890" spans="1:14" s="347" customFormat="1" x14ac:dyDescent="0.25">
      <c r="A8890" s="369"/>
      <c r="E8890" s="396"/>
      <c r="F8890" s="396"/>
      <c r="G8890" s="396"/>
      <c r="K8890" s="370"/>
      <c r="N8890" s="370"/>
    </row>
    <row r="8891" spans="1:14" s="347" customFormat="1" x14ac:dyDescent="0.25">
      <c r="A8891" s="369"/>
      <c r="E8891" s="396"/>
      <c r="F8891" s="396"/>
      <c r="G8891" s="396"/>
      <c r="K8891" s="370"/>
      <c r="N8891" s="370"/>
    </row>
    <row r="8892" spans="1:14" s="347" customFormat="1" x14ac:dyDescent="0.25">
      <c r="A8892" s="369"/>
      <c r="E8892" s="396"/>
      <c r="F8892" s="396"/>
      <c r="G8892" s="396"/>
      <c r="K8892" s="370"/>
      <c r="N8892" s="370"/>
    </row>
    <row r="8893" spans="1:14" s="347" customFormat="1" x14ac:dyDescent="0.25">
      <c r="A8893" s="369"/>
      <c r="E8893" s="396"/>
      <c r="F8893" s="396"/>
      <c r="G8893" s="396"/>
      <c r="K8893" s="370"/>
      <c r="N8893" s="370"/>
    </row>
    <row r="8894" spans="1:14" s="347" customFormat="1" x14ac:dyDescent="0.25">
      <c r="A8894" s="369"/>
      <c r="E8894" s="396"/>
      <c r="F8894" s="396"/>
      <c r="G8894" s="396"/>
      <c r="K8894" s="370"/>
      <c r="N8894" s="370"/>
    </row>
    <row r="8895" spans="1:14" s="347" customFormat="1" x14ac:dyDescent="0.25">
      <c r="A8895" s="369"/>
      <c r="E8895" s="396"/>
      <c r="F8895" s="396"/>
      <c r="G8895" s="396"/>
      <c r="K8895" s="370"/>
      <c r="N8895" s="370"/>
    </row>
    <row r="8896" spans="1:14" s="347" customFormat="1" x14ac:dyDescent="0.25">
      <c r="A8896" s="369"/>
      <c r="E8896" s="396"/>
      <c r="F8896" s="396"/>
      <c r="G8896" s="396"/>
      <c r="K8896" s="370"/>
      <c r="N8896" s="370"/>
    </row>
    <row r="8897" spans="1:14" s="347" customFormat="1" x14ac:dyDescent="0.25">
      <c r="A8897" s="369"/>
      <c r="E8897" s="396"/>
      <c r="F8897" s="396"/>
      <c r="G8897" s="396"/>
      <c r="K8897" s="370"/>
      <c r="N8897" s="370"/>
    </row>
    <row r="8898" spans="1:14" s="347" customFormat="1" x14ac:dyDescent="0.25">
      <c r="A8898" s="369"/>
      <c r="E8898" s="396"/>
      <c r="F8898" s="396"/>
      <c r="G8898" s="396"/>
      <c r="K8898" s="370"/>
      <c r="N8898" s="370"/>
    </row>
    <row r="8899" spans="1:14" s="347" customFormat="1" x14ac:dyDescent="0.25">
      <c r="A8899" s="369"/>
      <c r="E8899" s="396"/>
      <c r="F8899" s="396"/>
      <c r="G8899" s="396"/>
      <c r="K8899" s="370"/>
      <c r="N8899" s="370"/>
    </row>
    <row r="8900" spans="1:14" s="347" customFormat="1" x14ac:dyDescent="0.25">
      <c r="A8900" s="369"/>
      <c r="E8900" s="396"/>
      <c r="F8900" s="396"/>
      <c r="G8900" s="396"/>
      <c r="K8900" s="370"/>
      <c r="N8900" s="370"/>
    </row>
    <row r="8901" spans="1:14" s="347" customFormat="1" x14ac:dyDescent="0.25">
      <c r="A8901" s="369"/>
      <c r="E8901" s="396"/>
      <c r="F8901" s="396"/>
      <c r="G8901" s="396"/>
      <c r="K8901" s="370"/>
      <c r="N8901" s="370"/>
    </row>
    <row r="8902" spans="1:14" s="347" customFormat="1" x14ac:dyDescent="0.25">
      <c r="A8902" s="369"/>
      <c r="E8902" s="396"/>
      <c r="F8902" s="396"/>
      <c r="G8902" s="396"/>
      <c r="K8902" s="370"/>
      <c r="N8902" s="370"/>
    </row>
    <row r="8903" spans="1:14" s="347" customFormat="1" x14ac:dyDescent="0.25">
      <c r="A8903" s="369"/>
      <c r="E8903" s="396"/>
      <c r="F8903" s="396"/>
      <c r="G8903" s="396"/>
      <c r="K8903" s="370"/>
      <c r="N8903" s="370"/>
    </row>
    <row r="8904" spans="1:14" s="347" customFormat="1" x14ac:dyDescent="0.25">
      <c r="A8904" s="369"/>
      <c r="E8904" s="396"/>
      <c r="F8904" s="396"/>
      <c r="G8904" s="396"/>
      <c r="K8904" s="370"/>
      <c r="N8904" s="370"/>
    </row>
    <row r="8905" spans="1:14" s="347" customFormat="1" x14ac:dyDescent="0.25">
      <c r="A8905" s="369"/>
      <c r="E8905" s="396"/>
      <c r="F8905" s="396"/>
      <c r="G8905" s="396"/>
      <c r="K8905" s="370"/>
      <c r="N8905" s="370"/>
    </row>
    <row r="8906" spans="1:14" s="347" customFormat="1" x14ac:dyDescent="0.25">
      <c r="A8906" s="369"/>
      <c r="E8906" s="396"/>
      <c r="F8906" s="396"/>
      <c r="G8906" s="396"/>
      <c r="K8906" s="370"/>
      <c r="N8906" s="370"/>
    </row>
    <row r="8907" spans="1:14" s="347" customFormat="1" x14ac:dyDescent="0.25">
      <c r="A8907" s="369"/>
      <c r="E8907" s="396"/>
      <c r="F8907" s="396"/>
      <c r="G8907" s="396"/>
      <c r="K8907" s="370"/>
      <c r="N8907" s="370"/>
    </row>
    <row r="8908" spans="1:14" s="347" customFormat="1" x14ac:dyDescent="0.25">
      <c r="A8908" s="369"/>
      <c r="E8908" s="396"/>
      <c r="F8908" s="396"/>
      <c r="G8908" s="396"/>
      <c r="K8908" s="370"/>
      <c r="N8908" s="370"/>
    </row>
    <row r="8909" spans="1:14" s="347" customFormat="1" x14ac:dyDescent="0.25">
      <c r="A8909" s="369"/>
      <c r="E8909" s="396"/>
      <c r="F8909" s="396"/>
      <c r="G8909" s="396"/>
      <c r="K8909" s="370"/>
      <c r="N8909" s="370"/>
    </row>
    <row r="8910" spans="1:14" s="347" customFormat="1" x14ac:dyDescent="0.25">
      <c r="A8910" s="369"/>
      <c r="E8910" s="396"/>
      <c r="F8910" s="396"/>
      <c r="G8910" s="396"/>
      <c r="K8910" s="370"/>
      <c r="N8910" s="370"/>
    </row>
    <row r="8911" spans="1:14" s="347" customFormat="1" x14ac:dyDescent="0.25">
      <c r="A8911" s="369"/>
      <c r="E8911" s="396"/>
      <c r="F8911" s="396"/>
      <c r="G8911" s="396"/>
      <c r="K8911" s="370"/>
      <c r="N8911" s="370"/>
    </row>
    <row r="8912" spans="1:14" s="347" customFormat="1" x14ac:dyDescent="0.25">
      <c r="A8912" s="369"/>
      <c r="E8912" s="396"/>
      <c r="F8912" s="396"/>
      <c r="G8912" s="396"/>
      <c r="K8912" s="370"/>
      <c r="N8912" s="370"/>
    </row>
    <row r="8913" spans="1:14" s="347" customFormat="1" x14ac:dyDescent="0.25">
      <c r="A8913" s="369"/>
      <c r="E8913" s="396"/>
      <c r="F8913" s="396"/>
      <c r="G8913" s="396"/>
      <c r="K8913" s="370"/>
      <c r="N8913" s="370"/>
    </row>
    <row r="8914" spans="1:14" s="347" customFormat="1" x14ac:dyDescent="0.25">
      <c r="A8914" s="369"/>
      <c r="E8914" s="396"/>
      <c r="F8914" s="396"/>
      <c r="G8914" s="396"/>
      <c r="K8914" s="370"/>
      <c r="N8914" s="370"/>
    </row>
    <row r="8915" spans="1:14" s="347" customFormat="1" x14ac:dyDescent="0.25">
      <c r="A8915" s="369"/>
      <c r="E8915" s="396"/>
      <c r="F8915" s="396"/>
      <c r="G8915" s="396"/>
      <c r="K8915" s="370"/>
      <c r="N8915" s="370"/>
    </row>
    <row r="8916" spans="1:14" s="347" customFormat="1" x14ac:dyDescent="0.25">
      <c r="A8916" s="369"/>
      <c r="E8916" s="396"/>
      <c r="F8916" s="396"/>
      <c r="G8916" s="396"/>
      <c r="K8916" s="370"/>
      <c r="N8916" s="370"/>
    </row>
    <row r="8917" spans="1:14" s="347" customFormat="1" x14ac:dyDescent="0.25">
      <c r="A8917" s="369"/>
      <c r="E8917" s="396"/>
      <c r="F8917" s="396"/>
      <c r="G8917" s="396"/>
      <c r="K8917" s="370"/>
      <c r="N8917" s="370"/>
    </row>
    <row r="8918" spans="1:14" s="347" customFormat="1" x14ac:dyDescent="0.25">
      <c r="A8918" s="369"/>
      <c r="E8918" s="396"/>
      <c r="F8918" s="396"/>
      <c r="G8918" s="396"/>
      <c r="K8918" s="370"/>
      <c r="N8918" s="370"/>
    </row>
    <row r="8919" spans="1:14" s="347" customFormat="1" x14ac:dyDescent="0.25">
      <c r="A8919" s="369"/>
      <c r="E8919" s="396"/>
      <c r="F8919" s="396"/>
      <c r="G8919" s="396"/>
      <c r="K8919" s="370"/>
      <c r="N8919" s="370"/>
    </row>
    <row r="8920" spans="1:14" s="347" customFormat="1" x14ac:dyDescent="0.25">
      <c r="A8920" s="369"/>
      <c r="E8920" s="396"/>
      <c r="F8920" s="396"/>
      <c r="G8920" s="396"/>
      <c r="K8920" s="370"/>
      <c r="N8920" s="370"/>
    </row>
    <row r="8921" spans="1:14" s="347" customFormat="1" x14ac:dyDescent="0.25">
      <c r="A8921" s="369"/>
      <c r="E8921" s="396"/>
      <c r="F8921" s="396"/>
      <c r="G8921" s="396"/>
      <c r="K8921" s="370"/>
      <c r="N8921" s="370"/>
    </row>
    <row r="8922" spans="1:14" s="347" customFormat="1" x14ac:dyDescent="0.25">
      <c r="A8922" s="369"/>
      <c r="E8922" s="396"/>
      <c r="F8922" s="396"/>
      <c r="G8922" s="396"/>
      <c r="K8922" s="370"/>
      <c r="N8922" s="370"/>
    </row>
    <row r="8923" spans="1:14" s="347" customFormat="1" x14ac:dyDescent="0.25">
      <c r="A8923" s="369"/>
      <c r="E8923" s="396"/>
      <c r="F8923" s="396"/>
      <c r="G8923" s="396"/>
      <c r="K8923" s="370"/>
      <c r="N8923" s="370"/>
    </row>
    <row r="8924" spans="1:14" s="347" customFormat="1" x14ac:dyDescent="0.25">
      <c r="A8924" s="369"/>
      <c r="E8924" s="396"/>
      <c r="F8924" s="396"/>
      <c r="G8924" s="396"/>
      <c r="K8924" s="370"/>
      <c r="N8924" s="370"/>
    </row>
    <row r="8925" spans="1:14" s="347" customFormat="1" x14ac:dyDescent="0.25">
      <c r="A8925" s="369"/>
      <c r="E8925" s="396"/>
      <c r="F8925" s="396"/>
      <c r="G8925" s="396"/>
      <c r="K8925" s="370"/>
      <c r="N8925" s="370"/>
    </row>
    <row r="8926" spans="1:14" s="347" customFormat="1" x14ac:dyDescent="0.25">
      <c r="A8926" s="369"/>
      <c r="E8926" s="396"/>
      <c r="F8926" s="396"/>
      <c r="G8926" s="396"/>
      <c r="K8926" s="370"/>
      <c r="N8926" s="370"/>
    </row>
    <row r="8927" spans="1:14" s="347" customFormat="1" x14ac:dyDescent="0.25">
      <c r="A8927" s="369"/>
      <c r="E8927" s="396"/>
      <c r="F8927" s="396"/>
      <c r="G8927" s="396"/>
      <c r="K8927" s="370"/>
      <c r="N8927" s="370"/>
    </row>
    <row r="8928" spans="1:14" s="347" customFormat="1" x14ac:dyDescent="0.25">
      <c r="A8928" s="369"/>
      <c r="E8928" s="396"/>
      <c r="F8928" s="396"/>
      <c r="G8928" s="396"/>
      <c r="K8928" s="370"/>
      <c r="N8928" s="370"/>
    </row>
    <row r="8929" spans="1:14" s="347" customFormat="1" x14ac:dyDescent="0.25">
      <c r="A8929" s="369"/>
      <c r="E8929" s="396"/>
      <c r="F8929" s="396"/>
      <c r="G8929" s="396"/>
      <c r="K8929" s="370"/>
      <c r="N8929" s="370"/>
    </row>
    <row r="8930" spans="1:14" s="347" customFormat="1" x14ac:dyDescent="0.25">
      <c r="A8930" s="369"/>
      <c r="E8930" s="396"/>
      <c r="F8930" s="396"/>
      <c r="G8930" s="396"/>
      <c r="K8930" s="370"/>
      <c r="N8930" s="370"/>
    </row>
    <row r="8931" spans="1:14" s="347" customFormat="1" x14ac:dyDescent="0.25">
      <c r="A8931" s="369"/>
      <c r="E8931" s="396"/>
      <c r="F8931" s="396"/>
      <c r="G8931" s="396"/>
      <c r="K8931" s="370"/>
      <c r="N8931" s="370"/>
    </row>
    <row r="8932" spans="1:14" s="347" customFormat="1" x14ac:dyDescent="0.25">
      <c r="A8932" s="369"/>
      <c r="E8932" s="396"/>
      <c r="F8932" s="396"/>
      <c r="G8932" s="396"/>
      <c r="K8932" s="370"/>
      <c r="N8932" s="370"/>
    </row>
    <row r="8933" spans="1:14" s="347" customFormat="1" x14ac:dyDescent="0.25">
      <c r="A8933" s="369"/>
      <c r="E8933" s="396"/>
      <c r="F8933" s="396"/>
      <c r="G8933" s="396"/>
      <c r="K8933" s="370"/>
      <c r="N8933" s="370"/>
    </row>
    <row r="8934" spans="1:14" s="347" customFormat="1" x14ac:dyDescent="0.25">
      <c r="A8934" s="369"/>
      <c r="E8934" s="396"/>
      <c r="F8934" s="396"/>
      <c r="G8934" s="396"/>
      <c r="K8934" s="370"/>
      <c r="N8934" s="370"/>
    </row>
    <row r="8935" spans="1:14" s="347" customFormat="1" x14ac:dyDescent="0.25">
      <c r="A8935" s="369"/>
      <c r="E8935" s="396"/>
      <c r="F8935" s="396"/>
      <c r="G8935" s="396"/>
      <c r="K8935" s="370"/>
      <c r="N8935" s="370"/>
    </row>
    <row r="8936" spans="1:14" s="347" customFormat="1" x14ac:dyDescent="0.25">
      <c r="A8936" s="369"/>
      <c r="E8936" s="396"/>
      <c r="F8936" s="396"/>
      <c r="G8936" s="396"/>
      <c r="K8936" s="370"/>
      <c r="N8936" s="370"/>
    </row>
    <row r="8937" spans="1:14" s="347" customFormat="1" x14ac:dyDescent="0.25">
      <c r="A8937" s="369"/>
      <c r="E8937" s="396"/>
      <c r="F8937" s="396"/>
      <c r="G8937" s="396"/>
      <c r="K8937" s="370"/>
      <c r="N8937" s="370"/>
    </row>
    <row r="8938" spans="1:14" s="347" customFormat="1" x14ac:dyDescent="0.25">
      <c r="A8938" s="369"/>
      <c r="E8938" s="396"/>
      <c r="F8938" s="396"/>
      <c r="G8938" s="396"/>
      <c r="K8938" s="370"/>
      <c r="N8938" s="370"/>
    </row>
    <row r="8939" spans="1:14" s="347" customFormat="1" x14ac:dyDescent="0.25">
      <c r="A8939" s="369"/>
      <c r="E8939" s="396"/>
      <c r="F8939" s="396"/>
      <c r="G8939" s="396"/>
      <c r="K8939" s="370"/>
      <c r="N8939" s="370"/>
    </row>
    <row r="8940" spans="1:14" s="347" customFormat="1" x14ac:dyDescent="0.25">
      <c r="A8940" s="369"/>
      <c r="E8940" s="396"/>
      <c r="F8940" s="396"/>
      <c r="G8940" s="396"/>
      <c r="K8940" s="370"/>
      <c r="N8940" s="370"/>
    </row>
    <row r="8941" spans="1:14" s="347" customFormat="1" x14ac:dyDescent="0.25">
      <c r="A8941" s="369"/>
      <c r="E8941" s="396"/>
      <c r="F8941" s="396"/>
      <c r="G8941" s="396"/>
      <c r="K8941" s="370"/>
      <c r="N8941" s="370"/>
    </row>
    <row r="8942" spans="1:14" s="347" customFormat="1" x14ac:dyDescent="0.25">
      <c r="A8942" s="369"/>
      <c r="E8942" s="396"/>
      <c r="F8942" s="396"/>
      <c r="G8942" s="396"/>
      <c r="K8942" s="370"/>
      <c r="N8942" s="370"/>
    </row>
    <row r="8943" spans="1:14" s="347" customFormat="1" x14ac:dyDescent="0.25">
      <c r="A8943" s="369"/>
      <c r="E8943" s="396"/>
      <c r="F8943" s="396"/>
      <c r="G8943" s="396"/>
      <c r="K8943" s="370"/>
      <c r="N8943" s="370"/>
    </row>
    <row r="8944" spans="1:14" s="347" customFormat="1" x14ac:dyDescent="0.25">
      <c r="A8944" s="369"/>
      <c r="E8944" s="396"/>
      <c r="F8944" s="396"/>
      <c r="G8944" s="396"/>
      <c r="K8944" s="370"/>
      <c r="N8944" s="370"/>
    </row>
    <row r="8945" spans="1:14" s="347" customFormat="1" x14ac:dyDescent="0.25">
      <c r="A8945" s="369"/>
      <c r="E8945" s="396"/>
      <c r="F8945" s="396"/>
      <c r="G8945" s="396"/>
      <c r="K8945" s="370"/>
      <c r="N8945" s="370"/>
    </row>
    <row r="8946" spans="1:14" s="347" customFormat="1" x14ac:dyDescent="0.25">
      <c r="A8946" s="369"/>
      <c r="E8946" s="396"/>
      <c r="F8946" s="396"/>
      <c r="G8946" s="396"/>
      <c r="K8946" s="370"/>
      <c r="N8946" s="370"/>
    </row>
    <row r="8947" spans="1:14" s="347" customFormat="1" x14ac:dyDescent="0.25">
      <c r="A8947" s="369"/>
      <c r="E8947" s="396"/>
      <c r="F8947" s="396"/>
      <c r="G8947" s="396"/>
      <c r="K8947" s="370"/>
      <c r="N8947" s="370"/>
    </row>
    <row r="8948" spans="1:14" s="347" customFormat="1" x14ac:dyDescent="0.25">
      <c r="A8948" s="369"/>
      <c r="E8948" s="396"/>
      <c r="F8948" s="396"/>
      <c r="G8948" s="396"/>
      <c r="K8948" s="370"/>
      <c r="N8948" s="370"/>
    </row>
    <row r="8949" spans="1:14" s="347" customFormat="1" x14ac:dyDescent="0.25">
      <c r="A8949" s="369"/>
      <c r="E8949" s="396"/>
      <c r="F8949" s="396"/>
      <c r="G8949" s="396"/>
      <c r="K8949" s="370"/>
      <c r="N8949" s="370"/>
    </row>
    <row r="8950" spans="1:14" s="347" customFormat="1" x14ac:dyDescent="0.25">
      <c r="A8950" s="369"/>
      <c r="E8950" s="396"/>
      <c r="F8950" s="396"/>
      <c r="G8950" s="396"/>
      <c r="K8950" s="370"/>
      <c r="N8950" s="370"/>
    </row>
    <row r="8951" spans="1:14" s="347" customFormat="1" x14ac:dyDescent="0.25">
      <c r="A8951" s="369"/>
      <c r="E8951" s="396"/>
      <c r="F8951" s="396"/>
      <c r="G8951" s="396"/>
      <c r="K8951" s="370"/>
      <c r="N8951" s="370"/>
    </row>
    <row r="8952" spans="1:14" s="347" customFormat="1" x14ac:dyDescent="0.25">
      <c r="A8952" s="369"/>
      <c r="E8952" s="396"/>
      <c r="F8952" s="396"/>
      <c r="G8952" s="396"/>
      <c r="K8952" s="370"/>
      <c r="N8952" s="370"/>
    </row>
    <row r="8953" spans="1:14" s="347" customFormat="1" x14ac:dyDescent="0.25">
      <c r="A8953" s="369"/>
      <c r="E8953" s="396"/>
      <c r="F8953" s="396"/>
      <c r="G8953" s="396"/>
      <c r="K8953" s="370"/>
      <c r="N8953" s="370"/>
    </row>
    <row r="8954" spans="1:14" s="347" customFormat="1" x14ac:dyDescent="0.25">
      <c r="A8954" s="369"/>
      <c r="E8954" s="396"/>
      <c r="F8954" s="396"/>
      <c r="G8954" s="396"/>
      <c r="K8954" s="370"/>
      <c r="N8954" s="370"/>
    </row>
    <row r="8955" spans="1:14" s="347" customFormat="1" x14ac:dyDescent="0.25">
      <c r="A8955" s="369"/>
      <c r="E8955" s="396"/>
      <c r="F8955" s="396"/>
      <c r="G8955" s="396"/>
      <c r="K8955" s="370"/>
      <c r="N8955" s="370"/>
    </row>
    <row r="8956" spans="1:14" s="347" customFormat="1" x14ac:dyDescent="0.25">
      <c r="A8956" s="369"/>
      <c r="E8956" s="396"/>
      <c r="F8956" s="396"/>
      <c r="G8956" s="396"/>
      <c r="K8956" s="370"/>
      <c r="N8956" s="370"/>
    </row>
    <row r="8957" spans="1:14" s="347" customFormat="1" x14ac:dyDescent="0.25">
      <c r="A8957" s="369"/>
      <c r="E8957" s="396"/>
      <c r="F8957" s="396"/>
      <c r="G8957" s="396"/>
      <c r="K8957" s="370"/>
      <c r="N8957" s="370"/>
    </row>
    <row r="8958" spans="1:14" s="347" customFormat="1" x14ac:dyDescent="0.25">
      <c r="A8958" s="369"/>
      <c r="E8958" s="396"/>
      <c r="F8958" s="396"/>
      <c r="G8958" s="396"/>
      <c r="K8958" s="370"/>
      <c r="N8958" s="370"/>
    </row>
    <row r="8959" spans="1:14" s="347" customFormat="1" x14ac:dyDescent="0.25">
      <c r="A8959" s="369"/>
      <c r="E8959" s="396"/>
      <c r="F8959" s="396"/>
      <c r="G8959" s="396"/>
      <c r="K8959" s="370"/>
      <c r="N8959" s="370"/>
    </row>
    <row r="8960" spans="1:14" s="347" customFormat="1" x14ac:dyDescent="0.25">
      <c r="A8960" s="369"/>
      <c r="E8960" s="396"/>
      <c r="F8960" s="396"/>
      <c r="G8960" s="396"/>
      <c r="K8960" s="370"/>
      <c r="N8960" s="370"/>
    </row>
    <row r="8961" spans="1:14" s="347" customFormat="1" x14ac:dyDescent="0.25">
      <c r="A8961" s="369"/>
      <c r="E8961" s="396"/>
      <c r="F8961" s="396"/>
      <c r="G8961" s="396"/>
      <c r="K8961" s="370"/>
      <c r="N8961" s="370"/>
    </row>
    <row r="8962" spans="1:14" s="347" customFormat="1" x14ac:dyDescent="0.25">
      <c r="A8962" s="369"/>
      <c r="E8962" s="396"/>
      <c r="F8962" s="396"/>
      <c r="G8962" s="396"/>
      <c r="K8962" s="370"/>
      <c r="N8962" s="370"/>
    </row>
    <row r="8963" spans="1:14" s="347" customFormat="1" x14ac:dyDescent="0.25">
      <c r="A8963" s="369"/>
      <c r="E8963" s="396"/>
      <c r="F8963" s="396"/>
      <c r="G8963" s="396"/>
      <c r="K8963" s="370"/>
      <c r="N8963" s="370"/>
    </row>
    <row r="8964" spans="1:14" s="347" customFormat="1" x14ac:dyDescent="0.25">
      <c r="A8964" s="369"/>
      <c r="E8964" s="396"/>
      <c r="F8964" s="396"/>
      <c r="G8964" s="396"/>
      <c r="K8964" s="370"/>
      <c r="N8964" s="370"/>
    </row>
    <row r="8965" spans="1:14" s="347" customFormat="1" x14ac:dyDescent="0.25">
      <c r="A8965" s="369"/>
      <c r="E8965" s="396"/>
      <c r="F8965" s="396"/>
      <c r="G8965" s="396"/>
      <c r="K8965" s="370"/>
      <c r="N8965" s="370"/>
    </row>
    <row r="8966" spans="1:14" s="347" customFormat="1" x14ac:dyDescent="0.25">
      <c r="A8966" s="369"/>
      <c r="E8966" s="396"/>
      <c r="F8966" s="396"/>
      <c r="G8966" s="396"/>
      <c r="K8966" s="370"/>
      <c r="N8966" s="370"/>
    </row>
    <row r="8967" spans="1:14" s="347" customFormat="1" x14ac:dyDescent="0.25">
      <c r="A8967" s="369"/>
      <c r="E8967" s="396"/>
      <c r="F8967" s="396"/>
      <c r="G8967" s="396"/>
      <c r="K8967" s="370"/>
      <c r="N8967" s="370"/>
    </row>
    <row r="8968" spans="1:14" s="347" customFormat="1" x14ac:dyDescent="0.25">
      <c r="A8968" s="369"/>
      <c r="E8968" s="396"/>
      <c r="F8968" s="396"/>
      <c r="G8968" s="396"/>
      <c r="K8968" s="370"/>
      <c r="N8968" s="370"/>
    </row>
    <row r="8969" spans="1:14" s="347" customFormat="1" x14ac:dyDescent="0.25">
      <c r="A8969" s="369"/>
      <c r="E8969" s="396"/>
      <c r="F8969" s="396"/>
      <c r="G8969" s="396"/>
      <c r="K8969" s="370"/>
      <c r="N8969" s="370"/>
    </row>
    <row r="8970" spans="1:14" s="347" customFormat="1" x14ac:dyDescent="0.25">
      <c r="A8970" s="369"/>
      <c r="E8970" s="396"/>
      <c r="F8970" s="396"/>
      <c r="G8970" s="396"/>
      <c r="K8970" s="370"/>
      <c r="N8970" s="370"/>
    </row>
    <row r="8971" spans="1:14" s="347" customFormat="1" x14ac:dyDescent="0.25">
      <c r="A8971" s="369"/>
      <c r="E8971" s="396"/>
      <c r="F8971" s="396"/>
      <c r="G8971" s="396"/>
      <c r="K8971" s="370"/>
      <c r="N8971" s="370"/>
    </row>
    <row r="8972" spans="1:14" s="347" customFormat="1" x14ac:dyDescent="0.25">
      <c r="A8972" s="369"/>
      <c r="E8972" s="396"/>
      <c r="F8972" s="396"/>
      <c r="G8972" s="396"/>
      <c r="K8972" s="370"/>
      <c r="N8972" s="370"/>
    </row>
    <row r="8973" spans="1:14" s="347" customFormat="1" x14ac:dyDescent="0.25">
      <c r="A8973" s="369"/>
      <c r="E8973" s="396"/>
      <c r="F8973" s="396"/>
      <c r="G8973" s="396"/>
      <c r="K8973" s="370"/>
      <c r="N8973" s="370"/>
    </row>
    <row r="8974" spans="1:14" s="347" customFormat="1" x14ac:dyDescent="0.25">
      <c r="A8974" s="369"/>
      <c r="E8974" s="396"/>
      <c r="F8974" s="396"/>
      <c r="G8974" s="396"/>
      <c r="K8974" s="370"/>
      <c r="N8974" s="370"/>
    </row>
    <row r="8975" spans="1:14" s="347" customFormat="1" x14ac:dyDescent="0.25">
      <c r="A8975" s="369"/>
      <c r="E8975" s="396"/>
      <c r="F8975" s="396"/>
      <c r="G8975" s="396"/>
      <c r="K8975" s="370"/>
      <c r="N8975" s="370"/>
    </row>
    <row r="8976" spans="1:14" s="347" customFormat="1" x14ac:dyDescent="0.25">
      <c r="A8976" s="369"/>
      <c r="E8976" s="396"/>
      <c r="F8976" s="396"/>
      <c r="G8976" s="396"/>
      <c r="K8976" s="370"/>
      <c r="N8976" s="370"/>
    </row>
    <row r="8977" spans="1:14" s="347" customFormat="1" x14ac:dyDescent="0.25">
      <c r="A8977" s="369"/>
      <c r="E8977" s="396"/>
      <c r="F8977" s="396"/>
      <c r="G8977" s="396"/>
      <c r="K8977" s="370"/>
      <c r="N8977" s="370"/>
    </row>
    <row r="8978" spans="1:14" s="347" customFormat="1" x14ac:dyDescent="0.25">
      <c r="A8978" s="369"/>
      <c r="E8978" s="396"/>
      <c r="F8978" s="396"/>
      <c r="G8978" s="396"/>
      <c r="K8978" s="370"/>
      <c r="N8978" s="370"/>
    </row>
    <row r="8979" spans="1:14" s="347" customFormat="1" x14ac:dyDescent="0.25">
      <c r="A8979" s="369"/>
      <c r="E8979" s="396"/>
      <c r="F8979" s="396"/>
      <c r="G8979" s="396"/>
      <c r="K8979" s="370"/>
      <c r="N8979" s="370"/>
    </row>
    <row r="8980" spans="1:14" s="347" customFormat="1" x14ac:dyDescent="0.25">
      <c r="A8980" s="369"/>
      <c r="E8980" s="396"/>
      <c r="F8980" s="396"/>
      <c r="G8980" s="396"/>
      <c r="K8980" s="370"/>
      <c r="N8980" s="370"/>
    </row>
    <row r="8981" spans="1:14" s="347" customFormat="1" x14ac:dyDescent="0.25">
      <c r="A8981" s="369"/>
      <c r="E8981" s="396"/>
      <c r="F8981" s="396"/>
      <c r="G8981" s="396"/>
      <c r="K8981" s="370"/>
      <c r="N8981" s="370"/>
    </row>
    <row r="8982" spans="1:14" s="347" customFormat="1" x14ac:dyDescent="0.25">
      <c r="A8982" s="369"/>
      <c r="E8982" s="396"/>
      <c r="F8982" s="396"/>
      <c r="G8982" s="396"/>
      <c r="K8982" s="370"/>
      <c r="N8982" s="370"/>
    </row>
    <row r="8983" spans="1:14" s="347" customFormat="1" x14ac:dyDescent="0.25">
      <c r="A8983" s="369"/>
      <c r="E8983" s="396"/>
      <c r="F8983" s="396"/>
      <c r="G8983" s="396"/>
      <c r="K8983" s="370"/>
      <c r="N8983" s="370"/>
    </row>
    <row r="8984" spans="1:14" s="347" customFormat="1" x14ac:dyDescent="0.25">
      <c r="A8984" s="369"/>
      <c r="E8984" s="396"/>
      <c r="F8984" s="396"/>
      <c r="G8984" s="396"/>
      <c r="K8984" s="370"/>
      <c r="N8984" s="370"/>
    </row>
    <row r="8985" spans="1:14" s="347" customFormat="1" x14ac:dyDescent="0.25">
      <c r="A8985" s="369"/>
      <c r="E8985" s="396"/>
      <c r="F8985" s="396"/>
      <c r="G8985" s="396"/>
      <c r="K8985" s="370"/>
      <c r="N8985" s="370"/>
    </row>
    <row r="8986" spans="1:14" s="347" customFormat="1" x14ac:dyDescent="0.25">
      <c r="A8986" s="369"/>
      <c r="E8986" s="396"/>
      <c r="F8986" s="396"/>
      <c r="G8986" s="396"/>
      <c r="K8986" s="370"/>
      <c r="N8986" s="370"/>
    </row>
    <row r="8987" spans="1:14" s="347" customFormat="1" x14ac:dyDescent="0.25">
      <c r="A8987" s="369"/>
      <c r="E8987" s="396"/>
      <c r="F8987" s="396"/>
      <c r="G8987" s="396"/>
      <c r="K8987" s="370"/>
      <c r="N8987" s="370"/>
    </row>
    <row r="8988" spans="1:14" s="347" customFormat="1" x14ac:dyDescent="0.25">
      <c r="A8988" s="369"/>
      <c r="E8988" s="396"/>
      <c r="F8988" s="396"/>
      <c r="G8988" s="396"/>
      <c r="K8988" s="370"/>
      <c r="N8988" s="370"/>
    </row>
    <row r="8989" spans="1:14" s="347" customFormat="1" x14ac:dyDescent="0.25">
      <c r="A8989" s="369"/>
      <c r="E8989" s="396"/>
      <c r="F8989" s="396"/>
      <c r="G8989" s="396"/>
      <c r="K8989" s="370"/>
      <c r="N8989" s="370"/>
    </row>
    <row r="8990" spans="1:14" s="347" customFormat="1" x14ac:dyDescent="0.25">
      <c r="A8990" s="369"/>
      <c r="E8990" s="396"/>
      <c r="F8990" s="396"/>
      <c r="G8990" s="396"/>
      <c r="K8990" s="370"/>
      <c r="N8990" s="370"/>
    </row>
    <row r="8991" spans="1:14" s="347" customFormat="1" x14ac:dyDescent="0.25">
      <c r="A8991" s="369"/>
      <c r="E8991" s="396"/>
      <c r="F8991" s="396"/>
      <c r="G8991" s="396"/>
      <c r="K8991" s="370"/>
      <c r="N8991" s="370"/>
    </row>
    <row r="8992" spans="1:14" s="347" customFormat="1" x14ac:dyDescent="0.25">
      <c r="A8992" s="369"/>
      <c r="E8992" s="396"/>
      <c r="F8992" s="396"/>
      <c r="G8992" s="396"/>
      <c r="K8992" s="370"/>
      <c r="N8992" s="370"/>
    </row>
    <row r="8993" spans="1:14" s="347" customFormat="1" x14ac:dyDescent="0.25">
      <c r="A8993" s="369"/>
      <c r="E8993" s="396"/>
      <c r="F8993" s="396"/>
      <c r="G8993" s="396"/>
      <c r="K8993" s="370"/>
      <c r="N8993" s="370"/>
    </row>
    <row r="8994" spans="1:14" s="347" customFormat="1" x14ac:dyDescent="0.25">
      <c r="A8994" s="369"/>
      <c r="E8994" s="396"/>
      <c r="F8994" s="396"/>
      <c r="G8994" s="396"/>
      <c r="K8994" s="370"/>
      <c r="N8994" s="370"/>
    </row>
    <row r="8995" spans="1:14" s="347" customFormat="1" x14ac:dyDescent="0.25">
      <c r="A8995" s="369"/>
      <c r="E8995" s="396"/>
      <c r="F8995" s="396"/>
      <c r="G8995" s="396"/>
      <c r="K8995" s="370"/>
      <c r="N8995" s="370"/>
    </row>
    <row r="8996" spans="1:14" s="347" customFormat="1" x14ac:dyDescent="0.25">
      <c r="A8996" s="369"/>
      <c r="E8996" s="396"/>
      <c r="F8996" s="396"/>
      <c r="G8996" s="396"/>
      <c r="K8996" s="370"/>
      <c r="N8996" s="370"/>
    </row>
    <row r="8997" spans="1:14" s="347" customFormat="1" x14ac:dyDescent="0.25">
      <c r="A8997" s="369"/>
      <c r="E8997" s="396"/>
      <c r="F8997" s="396"/>
      <c r="G8997" s="396"/>
      <c r="K8997" s="370"/>
      <c r="N8997" s="370"/>
    </row>
    <row r="8998" spans="1:14" s="347" customFormat="1" x14ac:dyDescent="0.25">
      <c r="A8998" s="369"/>
      <c r="E8998" s="396"/>
      <c r="F8998" s="396"/>
      <c r="G8998" s="396"/>
      <c r="K8998" s="370"/>
      <c r="N8998" s="370"/>
    </row>
    <row r="8999" spans="1:14" s="347" customFormat="1" x14ac:dyDescent="0.25">
      <c r="A8999" s="369"/>
      <c r="E8999" s="396"/>
      <c r="F8999" s="396"/>
      <c r="G8999" s="396"/>
      <c r="K8999" s="370"/>
      <c r="N8999" s="370"/>
    </row>
    <row r="9000" spans="1:14" s="347" customFormat="1" x14ac:dyDescent="0.25">
      <c r="A9000" s="369"/>
      <c r="E9000" s="396"/>
      <c r="F9000" s="396"/>
      <c r="G9000" s="396"/>
      <c r="K9000" s="370"/>
      <c r="N9000" s="370"/>
    </row>
    <row r="9001" spans="1:14" s="347" customFormat="1" x14ac:dyDescent="0.25">
      <c r="A9001" s="369"/>
      <c r="E9001" s="396"/>
      <c r="F9001" s="396"/>
      <c r="G9001" s="396"/>
      <c r="K9001" s="370"/>
      <c r="N9001" s="370"/>
    </row>
    <row r="9002" spans="1:14" s="347" customFormat="1" x14ac:dyDescent="0.25">
      <c r="A9002" s="369"/>
      <c r="E9002" s="396"/>
      <c r="F9002" s="396"/>
      <c r="G9002" s="396"/>
      <c r="K9002" s="370"/>
      <c r="N9002" s="370"/>
    </row>
    <row r="9003" spans="1:14" s="347" customFormat="1" x14ac:dyDescent="0.25">
      <c r="A9003" s="369"/>
      <c r="E9003" s="396"/>
      <c r="F9003" s="396"/>
      <c r="G9003" s="396"/>
      <c r="K9003" s="370"/>
      <c r="N9003" s="370"/>
    </row>
    <row r="9004" spans="1:14" s="347" customFormat="1" x14ac:dyDescent="0.25">
      <c r="A9004" s="369"/>
      <c r="E9004" s="396"/>
      <c r="F9004" s="396"/>
      <c r="G9004" s="396"/>
      <c r="K9004" s="370"/>
      <c r="N9004" s="370"/>
    </row>
    <row r="9005" spans="1:14" s="347" customFormat="1" x14ac:dyDescent="0.25">
      <c r="A9005" s="369"/>
      <c r="E9005" s="396"/>
      <c r="F9005" s="396"/>
      <c r="G9005" s="396"/>
      <c r="K9005" s="370"/>
      <c r="N9005" s="370"/>
    </row>
    <row r="9006" spans="1:14" s="347" customFormat="1" x14ac:dyDescent="0.25">
      <c r="A9006" s="369"/>
      <c r="E9006" s="396"/>
      <c r="F9006" s="396"/>
      <c r="G9006" s="396"/>
      <c r="K9006" s="370"/>
      <c r="N9006" s="370"/>
    </row>
    <row r="9007" spans="1:14" s="347" customFormat="1" x14ac:dyDescent="0.25">
      <c r="A9007" s="369"/>
      <c r="E9007" s="396"/>
      <c r="F9007" s="396"/>
      <c r="G9007" s="396"/>
      <c r="K9007" s="370"/>
      <c r="N9007" s="370"/>
    </row>
    <row r="9008" spans="1:14" s="347" customFormat="1" x14ac:dyDescent="0.25">
      <c r="A9008" s="369"/>
      <c r="E9008" s="396"/>
      <c r="F9008" s="396"/>
      <c r="G9008" s="396"/>
      <c r="K9008" s="370"/>
      <c r="N9008" s="370"/>
    </row>
    <row r="9009" spans="1:14" s="347" customFormat="1" x14ac:dyDescent="0.25">
      <c r="A9009" s="369"/>
      <c r="E9009" s="396"/>
      <c r="F9009" s="396"/>
      <c r="G9009" s="396"/>
      <c r="K9009" s="370"/>
      <c r="N9009" s="370"/>
    </row>
    <row r="9010" spans="1:14" s="347" customFormat="1" x14ac:dyDescent="0.25">
      <c r="A9010" s="369"/>
      <c r="E9010" s="396"/>
      <c r="F9010" s="396"/>
      <c r="G9010" s="396"/>
      <c r="K9010" s="370"/>
      <c r="N9010" s="370"/>
    </row>
    <row r="9011" spans="1:14" s="347" customFormat="1" x14ac:dyDescent="0.25">
      <c r="A9011" s="369"/>
      <c r="E9011" s="396"/>
      <c r="F9011" s="396"/>
      <c r="G9011" s="396"/>
      <c r="K9011" s="370"/>
      <c r="N9011" s="370"/>
    </row>
    <row r="9012" spans="1:14" s="347" customFormat="1" x14ac:dyDescent="0.25">
      <c r="A9012" s="369"/>
      <c r="E9012" s="396"/>
      <c r="F9012" s="396"/>
      <c r="G9012" s="396"/>
      <c r="K9012" s="370"/>
      <c r="N9012" s="370"/>
    </row>
    <row r="9013" spans="1:14" s="347" customFormat="1" x14ac:dyDescent="0.25">
      <c r="A9013" s="369"/>
      <c r="E9013" s="396"/>
      <c r="F9013" s="396"/>
      <c r="G9013" s="396"/>
      <c r="K9013" s="370"/>
      <c r="N9013" s="370"/>
    </row>
    <row r="9014" spans="1:14" s="347" customFormat="1" x14ac:dyDescent="0.25">
      <c r="A9014" s="369"/>
      <c r="E9014" s="396"/>
      <c r="F9014" s="396"/>
      <c r="G9014" s="396"/>
      <c r="K9014" s="370"/>
      <c r="N9014" s="370"/>
    </row>
    <row r="9015" spans="1:14" s="347" customFormat="1" x14ac:dyDescent="0.25">
      <c r="A9015" s="369"/>
      <c r="E9015" s="396"/>
      <c r="F9015" s="396"/>
      <c r="G9015" s="396"/>
      <c r="K9015" s="370"/>
      <c r="N9015" s="370"/>
    </row>
    <row r="9016" spans="1:14" s="347" customFormat="1" x14ac:dyDescent="0.25">
      <c r="A9016" s="369"/>
      <c r="E9016" s="396"/>
      <c r="F9016" s="396"/>
      <c r="G9016" s="396"/>
      <c r="K9016" s="370"/>
      <c r="N9016" s="370"/>
    </row>
    <row r="9017" spans="1:14" s="347" customFormat="1" x14ac:dyDescent="0.25">
      <c r="A9017" s="369"/>
      <c r="E9017" s="396"/>
      <c r="F9017" s="396"/>
      <c r="G9017" s="396"/>
      <c r="K9017" s="370"/>
      <c r="N9017" s="370"/>
    </row>
    <row r="9018" spans="1:14" s="347" customFormat="1" x14ac:dyDescent="0.25">
      <c r="A9018" s="369"/>
      <c r="E9018" s="396"/>
      <c r="F9018" s="396"/>
      <c r="G9018" s="396"/>
      <c r="K9018" s="370"/>
      <c r="N9018" s="370"/>
    </row>
    <row r="9019" spans="1:14" s="347" customFormat="1" x14ac:dyDescent="0.25">
      <c r="A9019" s="369"/>
      <c r="E9019" s="396"/>
      <c r="F9019" s="396"/>
      <c r="G9019" s="396"/>
      <c r="K9019" s="370"/>
      <c r="N9019" s="370"/>
    </row>
    <row r="9020" spans="1:14" s="347" customFormat="1" x14ac:dyDescent="0.25">
      <c r="A9020" s="369"/>
      <c r="E9020" s="396"/>
      <c r="F9020" s="396"/>
      <c r="G9020" s="396"/>
      <c r="K9020" s="370"/>
      <c r="N9020" s="370"/>
    </row>
    <row r="9021" spans="1:14" s="347" customFormat="1" x14ac:dyDescent="0.25">
      <c r="A9021" s="369"/>
      <c r="E9021" s="396"/>
      <c r="F9021" s="396"/>
      <c r="G9021" s="396"/>
      <c r="K9021" s="370"/>
      <c r="N9021" s="370"/>
    </row>
    <row r="9022" spans="1:14" s="347" customFormat="1" x14ac:dyDescent="0.25">
      <c r="A9022" s="369"/>
      <c r="E9022" s="396"/>
      <c r="F9022" s="396"/>
      <c r="G9022" s="396"/>
      <c r="K9022" s="370"/>
      <c r="N9022" s="370"/>
    </row>
    <row r="9023" spans="1:14" s="347" customFormat="1" x14ac:dyDescent="0.25">
      <c r="A9023" s="369"/>
      <c r="E9023" s="396"/>
      <c r="F9023" s="396"/>
      <c r="G9023" s="396"/>
      <c r="K9023" s="370"/>
      <c r="N9023" s="370"/>
    </row>
    <row r="9024" spans="1:14" s="347" customFormat="1" x14ac:dyDescent="0.25">
      <c r="A9024" s="369"/>
      <c r="E9024" s="396"/>
      <c r="F9024" s="396"/>
      <c r="G9024" s="396"/>
      <c r="K9024" s="370"/>
      <c r="N9024" s="370"/>
    </row>
    <row r="9025" spans="1:14" s="347" customFormat="1" x14ac:dyDescent="0.25">
      <c r="A9025" s="369"/>
      <c r="E9025" s="396"/>
      <c r="F9025" s="396"/>
      <c r="G9025" s="396"/>
      <c r="K9025" s="370"/>
      <c r="N9025" s="370"/>
    </row>
    <row r="9026" spans="1:14" s="347" customFormat="1" x14ac:dyDescent="0.25">
      <c r="A9026" s="369"/>
      <c r="E9026" s="396"/>
      <c r="F9026" s="396"/>
      <c r="G9026" s="396"/>
      <c r="K9026" s="370"/>
      <c r="N9026" s="370"/>
    </row>
    <row r="9027" spans="1:14" s="347" customFormat="1" x14ac:dyDescent="0.25">
      <c r="A9027" s="369"/>
      <c r="E9027" s="396"/>
      <c r="F9027" s="396"/>
      <c r="G9027" s="396"/>
      <c r="K9027" s="370"/>
      <c r="N9027" s="370"/>
    </row>
    <row r="9028" spans="1:14" s="347" customFormat="1" x14ac:dyDescent="0.25">
      <c r="A9028" s="369"/>
      <c r="E9028" s="396"/>
      <c r="F9028" s="396"/>
      <c r="G9028" s="396"/>
      <c r="K9028" s="370"/>
      <c r="N9028" s="370"/>
    </row>
    <row r="9029" spans="1:14" s="347" customFormat="1" x14ac:dyDescent="0.25">
      <c r="A9029" s="369"/>
      <c r="E9029" s="396"/>
      <c r="F9029" s="396"/>
      <c r="G9029" s="396"/>
      <c r="K9029" s="370"/>
      <c r="N9029" s="370"/>
    </row>
    <row r="9030" spans="1:14" s="347" customFormat="1" x14ac:dyDescent="0.25">
      <c r="A9030" s="369"/>
      <c r="E9030" s="396"/>
      <c r="F9030" s="396"/>
      <c r="G9030" s="396"/>
      <c r="K9030" s="370"/>
      <c r="N9030" s="370"/>
    </row>
    <row r="9031" spans="1:14" s="347" customFormat="1" x14ac:dyDescent="0.25">
      <c r="A9031" s="369"/>
      <c r="E9031" s="396"/>
      <c r="F9031" s="396"/>
      <c r="G9031" s="396"/>
      <c r="K9031" s="370"/>
      <c r="N9031" s="370"/>
    </row>
    <row r="9032" spans="1:14" s="347" customFormat="1" x14ac:dyDescent="0.25">
      <c r="A9032" s="369"/>
      <c r="E9032" s="396"/>
      <c r="F9032" s="396"/>
      <c r="G9032" s="396"/>
      <c r="K9032" s="370"/>
      <c r="N9032" s="370"/>
    </row>
    <row r="9033" spans="1:14" s="347" customFormat="1" x14ac:dyDescent="0.25">
      <c r="A9033" s="369"/>
      <c r="E9033" s="396"/>
      <c r="F9033" s="396"/>
      <c r="G9033" s="396"/>
      <c r="K9033" s="370"/>
      <c r="N9033" s="370"/>
    </row>
    <row r="9034" spans="1:14" s="347" customFormat="1" x14ac:dyDescent="0.25">
      <c r="A9034" s="369"/>
      <c r="E9034" s="396"/>
      <c r="F9034" s="396"/>
      <c r="G9034" s="396"/>
      <c r="K9034" s="370"/>
      <c r="N9034" s="370"/>
    </row>
    <row r="9035" spans="1:14" s="347" customFormat="1" x14ac:dyDescent="0.25">
      <c r="A9035" s="369"/>
      <c r="E9035" s="396"/>
      <c r="F9035" s="396"/>
      <c r="G9035" s="396"/>
      <c r="K9035" s="370"/>
      <c r="N9035" s="370"/>
    </row>
    <row r="9036" spans="1:14" s="347" customFormat="1" x14ac:dyDescent="0.25">
      <c r="A9036" s="369"/>
      <c r="E9036" s="396"/>
      <c r="F9036" s="396"/>
      <c r="G9036" s="396"/>
      <c r="K9036" s="370"/>
      <c r="N9036" s="370"/>
    </row>
    <row r="9037" spans="1:14" s="347" customFormat="1" x14ac:dyDescent="0.25">
      <c r="A9037" s="369"/>
      <c r="E9037" s="396"/>
      <c r="F9037" s="396"/>
      <c r="G9037" s="396"/>
      <c r="K9037" s="370"/>
      <c r="N9037" s="370"/>
    </row>
    <row r="9038" spans="1:14" s="347" customFormat="1" x14ac:dyDescent="0.25">
      <c r="A9038" s="369"/>
      <c r="E9038" s="396"/>
      <c r="F9038" s="396"/>
      <c r="G9038" s="396"/>
      <c r="K9038" s="370"/>
      <c r="N9038" s="370"/>
    </row>
    <row r="9039" spans="1:14" s="347" customFormat="1" x14ac:dyDescent="0.25">
      <c r="A9039" s="369"/>
      <c r="E9039" s="396"/>
      <c r="F9039" s="396"/>
      <c r="G9039" s="396"/>
      <c r="K9039" s="370"/>
      <c r="N9039" s="370"/>
    </row>
    <row r="9040" spans="1:14" s="347" customFormat="1" x14ac:dyDescent="0.25">
      <c r="A9040" s="369"/>
      <c r="E9040" s="396"/>
      <c r="F9040" s="396"/>
      <c r="G9040" s="396"/>
      <c r="K9040" s="370"/>
      <c r="N9040" s="370"/>
    </row>
    <row r="9041" spans="1:14" s="347" customFormat="1" x14ac:dyDescent="0.25">
      <c r="A9041" s="369"/>
      <c r="E9041" s="396"/>
      <c r="F9041" s="396"/>
      <c r="G9041" s="396"/>
      <c r="K9041" s="370"/>
      <c r="N9041" s="370"/>
    </row>
    <row r="9042" spans="1:14" s="347" customFormat="1" x14ac:dyDescent="0.25">
      <c r="A9042" s="369"/>
      <c r="E9042" s="396"/>
      <c r="F9042" s="396"/>
      <c r="G9042" s="396"/>
      <c r="K9042" s="370"/>
      <c r="N9042" s="370"/>
    </row>
    <row r="9043" spans="1:14" s="347" customFormat="1" x14ac:dyDescent="0.25">
      <c r="A9043" s="369"/>
      <c r="E9043" s="396"/>
      <c r="F9043" s="396"/>
      <c r="G9043" s="396"/>
      <c r="K9043" s="370"/>
      <c r="N9043" s="370"/>
    </row>
    <row r="9044" spans="1:14" s="347" customFormat="1" x14ac:dyDescent="0.25">
      <c r="A9044" s="369"/>
      <c r="E9044" s="396"/>
      <c r="F9044" s="396"/>
      <c r="G9044" s="396"/>
      <c r="K9044" s="370"/>
      <c r="N9044" s="370"/>
    </row>
    <row r="9045" spans="1:14" s="347" customFormat="1" x14ac:dyDescent="0.25">
      <c r="A9045" s="369"/>
      <c r="E9045" s="396"/>
      <c r="F9045" s="396"/>
      <c r="G9045" s="396"/>
      <c r="K9045" s="370"/>
      <c r="N9045" s="370"/>
    </row>
    <row r="9046" spans="1:14" s="347" customFormat="1" x14ac:dyDescent="0.25">
      <c r="A9046" s="369"/>
      <c r="E9046" s="396"/>
      <c r="F9046" s="396"/>
      <c r="G9046" s="396"/>
      <c r="K9046" s="370"/>
      <c r="N9046" s="370"/>
    </row>
    <row r="9047" spans="1:14" s="347" customFormat="1" x14ac:dyDescent="0.25">
      <c r="A9047" s="369"/>
      <c r="E9047" s="396"/>
      <c r="F9047" s="396"/>
      <c r="G9047" s="396"/>
      <c r="K9047" s="370"/>
      <c r="N9047" s="370"/>
    </row>
    <row r="9048" spans="1:14" s="347" customFormat="1" x14ac:dyDescent="0.25">
      <c r="A9048" s="369"/>
      <c r="E9048" s="396"/>
      <c r="F9048" s="396"/>
      <c r="G9048" s="396"/>
      <c r="K9048" s="370"/>
      <c r="N9048" s="370"/>
    </row>
    <row r="9049" spans="1:14" s="347" customFormat="1" x14ac:dyDescent="0.25">
      <c r="A9049" s="369"/>
      <c r="E9049" s="396"/>
      <c r="F9049" s="396"/>
      <c r="G9049" s="396"/>
      <c r="K9049" s="370"/>
      <c r="N9049" s="370"/>
    </row>
    <row r="9050" spans="1:14" s="347" customFormat="1" x14ac:dyDescent="0.25">
      <c r="A9050" s="369"/>
      <c r="E9050" s="396"/>
      <c r="F9050" s="396"/>
      <c r="G9050" s="396"/>
      <c r="K9050" s="370"/>
      <c r="N9050" s="370"/>
    </row>
    <row r="9051" spans="1:14" s="347" customFormat="1" x14ac:dyDescent="0.25">
      <c r="A9051" s="369"/>
      <c r="E9051" s="396"/>
      <c r="F9051" s="396"/>
      <c r="G9051" s="396"/>
      <c r="K9051" s="370"/>
      <c r="N9051" s="370"/>
    </row>
    <row r="9052" spans="1:14" s="347" customFormat="1" x14ac:dyDescent="0.25">
      <c r="A9052" s="369"/>
      <c r="E9052" s="396"/>
      <c r="F9052" s="396"/>
      <c r="G9052" s="396"/>
      <c r="K9052" s="370"/>
      <c r="N9052" s="370"/>
    </row>
    <row r="9053" spans="1:14" s="347" customFormat="1" x14ac:dyDescent="0.25">
      <c r="A9053" s="369"/>
      <c r="E9053" s="396"/>
      <c r="F9053" s="396"/>
      <c r="G9053" s="396"/>
      <c r="K9053" s="370"/>
      <c r="N9053" s="370"/>
    </row>
    <row r="9054" spans="1:14" s="347" customFormat="1" x14ac:dyDescent="0.25">
      <c r="A9054" s="369"/>
      <c r="E9054" s="396"/>
      <c r="F9054" s="396"/>
      <c r="G9054" s="396"/>
      <c r="K9054" s="370"/>
      <c r="N9054" s="370"/>
    </row>
    <row r="9055" spans="1:14" s="347" customFormat="1" x14ac:dyDescent="0.25">
      <c r="A9055" s="369"/>
      <c r="E9055" s="396"/>
      <c r="F9055" s="396"/>
      <c r="G9055" s="396"/>
      <c r="K9055" s="370"/>
      <c r="N9055" s="370"/>
    </row>
    <row r="9056" spans="1:14" s="347" customFormat="1" x14ac:dyDescent="0.25">
      <c r="A9056" s="369"/>
      <c r="E9056" s="396"/>
      <c r="F9056" s="396"/>
      <c r="G9056" s="396"/>
      <c r="K9056" s="370"/>
      <c r="N9056" s="370"/>
    </row>
    <row r="9057" spans="1:14" s="347" customFormat="1" x14ac:dyDescent="0.25">
      <c r="A9057" s="369"/>
      <c r="E9057" s="396"/>
      <c r="F9057" s="396"/>
      <c r="G9057" s="396"/>
      <c r="K9057" s="370"/>
      <c r="N9057" s="370"/>
    </row>
    <row r="9058" spans="1:14" s="347" customFormat="1" x14ac:dyDescent="0.25">
      <c r="A9058" s="369"/>
      <c r="E9058" s="396"/>
      <c r="F9058" s="396"/>
      <c r="G9058" s="396"/>
      <c r="K9058" s="370"/>
      <c r="N9058" s="370"/>
    </row>
    <row r="9059" spans="1:14" s="347" customFormat="1" x14ac:dyDescent="0.25">
      <c r="A9059" s="369"/>
      <c r="E9059" s="396"/>
      <c r="F9059" s="396"/>
      <c r="G9059" s="396"/>
      <c r="K9059" s="370"/>
      <c r="N9059" s="370"/>
    </row>
    <row r="9060" spans="1:14" s="347" customFormat="1" x14ac:dyDescent="0.25">
      <c r="A9060" s="369"/>
      <c r="E9060" s="396"/>
      <c r="F9060" s="396"/>
      <c r="G9060" s="396"/>
      <c r="K9060" s="370"/>
      <c r="N9060" s="370"/>
    </row>
    <row r="9061" spans="1:14" s="347" customFormat="1" x14ac:dyDescent="0.25">
      <c r="A9061" s="369"/>
      <c r="E9061" s="396"/>
      <c r="F9061" s="396"/>
      <c r="G9061" s="396"/>
      <c r="K9061" s="370"/>
      <c r="N9061" s="370"/>
    </row>
    <row r="9062" spans="1:14" s="347" customFormat="1" x14ac:dyDescent="0.25">
      <c r="A9062" s="369"/>
      <c r="E9062" s="396"/>
      <c r="F9062" s="396"/>
      <c r="G9062" s="396"/>
      <c r="K9062" s="370"/>
      <c r="N9062" s="370"/>
    </row>
    <row r="9063" spans="1:14" s="347" customFormat="1" x14ac:dyDescent="0.25">
      <c r="A9063" s="369"/>
      <c r="E9063" s="396"/>
      <c r="F9063" s="396"/>
      <c r="G9063" s="396"/>
      <c r="K9063" s="370"/>
      <c r="N9063" s="370"/>
    </row>
    <row r="9064" spans="1:14" s="347" customFormat="1" x14ac:dyDescent="0.25">
      <c r="A9064" s="369"/>
      <c r="E9064" s="396"/>
      <c r="F9064" s="396"/>
      <c r="G9064" s="396"/>
      <c r="K9064" s="370"/>
      <c r="N9064" s="370"/>
    </row>
    <row r="9065" spans="1:14" s="347" customFormat="1" x14ac:dyDescent="0.25">
      <c r="A9065" s="369"/>
      <c r="E9065" s="396"/>
      <c r="F9065" s="396"/>
      <c r="G9065" s="396"/>
      <c r="K9065" s="370"/>
      <c r="N9065" s="370"/>
    </row>
    <row r="9066" spans="1:14" s="347" customFormat="1" x14ac:dyDescent="0.25">
      <c r="A9066" s="369"/>
      <c r="E9066" s="396"/>
      <c r="F9066" s="396"/>
      <c r="G9066" s="396"/>
      <c r="K9066" s="370"/>
      <c r="N9066" s="370"/>
    </row>
    <row r="9067" spans="1:14" s="347" customFormat="1" x14ac:dyDescent="0.25">
      <c r="A9067" s="369"/>
      <c r="E9067" s="396"/>
      <c r="F9067" s="396"/>
      <c r="G9067" s="396"/>
      <c r="K9067" s="370"/>
      <c r="N9067" s="370"/>
    </row>
    <row r="9068" spans="1:14" s="347" customFormat="1" x14ac:dyDescent="0.25">
      <c r="A9068" s="369"/>
      <c r="E9068" s="396"/>
      <c r="F9068" s="396"/>
      <c r="G9068" s="396"/>
      <c r="K9068" s="370"/>
      <c r="N9068" s="370"/>
    </row>
    <row r="9069" spans="1:14" s="347" customFormat="1" x14ac:dyDescent="0.25">
      <c r="A9069" s="369"/>
      <c r="E9069" s="396"/>
      <c r="F9069" s="396"/>
      <c r="G9069" s="396"/>
      <c r="K9069" s="370"/>
      <c r="N9069" s="370"/>
    </row>
    <row r="9070" spans="1:14" s="347" customFormat="1" x14ac:dyDescent="0.25">
      <c r="A9070" s="369"/>
      <c r="E9070" s="396"/>
      <c r="F9070" s="396"/>
      <c r="G9070" s="396"/>
      <c r="K9070" s="370"/>
      <c r="N9070" s="370"/>
    </row>
    <row r="9071" spans="1:14" s="347" customFormat="1" x14ac:dyDescent="0.25">
      <c r="A9071" s="369"/>
      <c r="E9071" s="396"/>
      <c r="F9071" s="396"/>
      <c r="G9071" s="396"/>
      <c r="K9071" s="370"/>
      <c r="N9071" s="370"/>
    </row>
    <row r="9072" spans="1:14" s="347" customFormat="1" x14ac:dyDescent="0.25">
      <c r="A9072" s="369"/>
      <c r="E9072" s="396"/>
      <c r="F9072" s="396"/>
      <c r="G9072" s="396"/>
      <c r="K9072" s="370"/>
      <c r="N9072" s="370"/>
    </row>
    <row r="9073" spans="1:14" s="347" customFormat="1" x14ac:dyDescent="0.25">
      <c r="A9073" s="369"/>
      <c r="E9073" s="396"/>
      <c r="F9073" s="396"/>
      <c r="G9073" s="396"/>
      <c r="K9073" s="370"/>
      <c r="N9073" s="370"/>
    </row>
    <row r="9074" spans="1:14" s="347" customFormat="1" x14ac:dyDescent="0.25">
      <c r="A9074" s="369"/>
      <c r="E9074" s="396"/>
      <c r="F9074" s="396"/>
      <c r="G9074" s="396"/>
      <c r="K9074" s="370"/>
      <c r="N9074" s="370"/>
    </row>
    <row r="9075" spans="1:14" s="347" customFormat="1" x14ac:dyDescent="0.25">
      <c r="A9075" s="369"/>
      <c r="E9075" s="396"/>
      <c r="F9075" s="396"/>
      <c r="G9075" s="396"/>
      <c r="K9075" s="370"/>
      <c r="N9075" s="370"/>
    </row>
    <row r="9076" spans="1:14" s="347" customFormat="1" x14ac:dyDescent="0.25">
      <c r="A9076" s="369"/>
      <c r="E9076" s="396"/>
      <c r="F9076" s="396"/>
      <c r="G9076" s="396"/>
      <c r="K9076" s="370"/>
      <c r="N9076" s="370"/>
    </row>
    <row r="9077" spans="1:14" s="347" customFormat="1" x14ac:dyDescent="0.25">
      <c r="A9077" s="369"/>
      <c r="E9077" s="396"/>
      <c r="F9077" s="396"/>
      <c r="G9077" s="396"/>
      <c r="K9077" s="370"/>
      <c r="N9077" s="370"/>
    </row>
    <row r="9078" spans="1:14" s="347" customFormat="1" x14ac:dyDescent="0.25">
      <c r="A9078" s="369"/>
      <c r="E9078" s="396"/>
      <c r="F9078" s="396"/>
      <c r="G9078" s="396"/>
      <c r="K9078" s="370"/>
      <c r="N9078" s="370"/>
    </row>
    <row r="9079" spans="1:14" s="347" customFormat="1" x14ac:dyDescent="0.25">
      <c r="A9079" s="369"/>
      <c r="E9079" s="396"/>
      <c r="F9079" s="396"/>
      <c r="G9079" s="396"/>
      <c r="K9079" s="370"/>
      <c r="N9079" s="370"/>
    </row>
    <row r="9080" spans="1:14" s="347" customFormat="1" x14ac:dyDescent="0.25">
      <c r="A9080" s="369"/>
      <c r="E9080" s="396"/>
      <c r="F9080" s="396"/>
      <c r="G9080" s="396"/>
      <c r="K9080" s="370"/>
      <c r="N9080" s="370"/>
    </row>
    <row r="9081" spans="1:14" s="347" customFormat="1" x14ac:dyDescent="0.25">
      <c r="A9081" s="369"/>
      <c r="E9081" s="396"/>
      <c r="F9081" s="396"/>
      <c r="G9081" s="396"/>
      <c r="K9081" s="370"/>
      <c r="N9081" s="370"/>
    </row>
    <row r="9082" spans="1:14" s="347" customFormat="1" x14ac:dyDescent="0.25">
      <c r="A9082" s="369"/>
      <c r="E9082" s="396"/>
      <c r="F9082" s="396"/>
      <c r="G9082" s="396"/>
      <c r="K9082" s="370"/>
      <c r="N9082" s="370"/>
    </row>
    <row r="9083" spans="1:14" s="347" customFormat="1" x14ac:dyDescent="0.25">
      <c r="A9083" s="369"/>
      <c r="E9083" s="396"/>
      <c r="F9083" s="396"/>
      <c r="G9083" s="396"/>
      <c r="K9083" s="370"/>
      <c r="N9083" s="370"/>
    </row>
    <row r="9084" spans="1:14" s="347" customFormat="1" x14ac:dyDescent="0.25">
      <c r="A9084" s="369"/>
      <c r="E9084" s="396"/>
      <c r="F9084" s="396"/>
      <c r="G9084" s="396"/>
      <c r="K9084" s="370"/>
      <c r="N9084" s="370"/>
    </row>
    <row r="9085" spans="1:14" s="347" customFormat="1" x14ac:dyDescent="0.25">
      <c r="A9085" s="369"/>
      <c r="E9085" s="396"/>
      <c r="F9085" s="396"/>
      <c r="G9085" s="396"/>
      <c r="K9085" s="370"/>
      <c r="N9085" s="370"/>
    </row>
    <row r="9086" spans="1:14" s="347" customFormat="1" x14ac:dyDescent="0.25">
      <c r="A9086" s="369"/>
      <c r="E9086" s="396"/>
      <c r="F9086" s="396"/>
      <c r="G9086" s="396"/>
      <c r="K9086" s="370"/>
      <c r="N9086" s="370"/>
    </row>
    <row r="9087" spans="1:14" s="347" customFormat="1" x14ac:dyDescent="0.25">
      <c r="A9087" s="369"/>
      <c r="E9087" s="396"/>
      <c r="F9087" s="396"/>
      <c r="G9087" s="396"/>
      <c r="K9087" s="370"/>
      <c r="N9087" s="370"/>
    </row>
    <row r="9088" spans="1:14" s="347" customFormat="1" x14ac:dyDescent="0.25">
      <c r="A9088" s="369"/>
      <c r="E9088" s="396"/>
      <c r="F9088" s="396"/>
      <c r="G9088" s="396"/>
      <c r="K9088" s="370"/>
      <c r="N9088" s="370"/>
    </row>
    <row r="9089" spans="1:14" s="347" customFormat="1" x14ac:dyDescent="0.25">
      <c r="A9089" s="369"/>
      <c r="E9089" s="396"/>
      <c r="F9089" s="396"/>
      <c r="G9089" s="396"/>
      <c r="K9089" s="370"/>
      <c r="N9089" s="370"/>
    </row>
    <row r="9090" spans="1:14" s="347" customFormat="1" x14ac:dyDescent="0.25">
      <c r="A9090" s="369"/>
      <c r="E9090" s="396"/>
      <c r="F9090" s="396"/>
      <c r="G9090" s="396"/>
      <c r="K9090" s="370"/>
      <c r="N9090" s="370"/>
    </row>
    <row r="9091" spans="1:14" s="347" customFormat="1" x14ac:dyDescent="0.25">
      <c r="A9091" s="369"/>
      <c r="E9091" s="396"/>
      <c r="F9091" s="396"/>
      <c r="G9091" s="396"/>
      <c r="K9091" s="370"/>
      <c r="N9091" s="370"/>
    </row>
    <row r="9092" spans="1:14" s="347" customFormat="1" x14ac:dyDescent="0.25">
      <c r="A9092" s="369"/>
      <c r="E9092" s="396"/>
      <c r="F9092" s="396"/>
      <c r="G9092" s="396"/>
      <c r="K9092" s="370"/>
      <c r="N9092" s="370"/>
    </row>
    <row r="9093" spans="1:14" s="347" customFormat="1" x14ac:dyDescent="0.25">
      <c r="A9093" s="369"/>
      <c r="E9093" s="396"/>
      <c r="F9093" s="396"/>
      <c r="G9093" s="396"/>
      <c r="K9093" s="370"/>
      <c r="N9093" s="370"/>
    </row>
    <row r="9094" spans="1:14" s="347" customFormat="1" x14ac:dyDescent="0.25">
      <c r="A9094" s="369"/>
      <c r="E9094" s="396"/>
      <c r="F9094" s="396"/>
      <c r="G9094" s="396"/>
      <c r="K9094" s="370"/>
      <c r="N9094" s="370"/>
    </row>
    <row r="9095" spans="1:14" s="347" customFormat="1" x14ac:dyDescent="0.25">
      <c r="A9095" s="369"/>
      <c r="E9095" s="396"/>
      <c r="F9095" s="396"/>
      <c r="G9095" s="396"/>
      <c r="K9095" s="370"/>
      <c r="N9095" s="370"/>
    </row>
    <row r="9096" spans="1:14" s="347" customFormat="1" x14ac:dyDescent="0.25">
      <c r="A9096" s="369"/>
      <c r="E9096" s="396"/>
      <c r="F9096" s="396"/>
      <c r="G9096" s="396"/>
      <c r="K9096" s="370"/>
      <c r="N9096" s="370"/>
    </row>
    <row r="9097" spans="1:14" s="347" customFormat="1" x14ac:dyDescent="0.25">
      <c r="A9097" s="369"/>
      <c r="E9097" s="396"/>
      <c r="F9097" s="396"/>
      <c r="G9097" s="396"/>
      <c r="K9097" s="370"/>
      <c r="N9097" s="370"/>
    </row>
    <row r="9098" spans="1:14" s="347" customFormat="1" x14ac:dyDescent="0.25">
      <c r="A9098" s="369"/>
      <c r="E9098" s="396"/>
      <c r="F9098" s="396"/>
      <c r="G9098" s="396"/>
      <c r="K9098" s="370"/>
      <c r="N9098" s="370"/>
    </row>
    <row r="9099" spans="1:14" s="347" customFormat="1" x14ac:dyDescent="0.25">
      <c r="A9099" s="369"/>
      <c r="E9099" s="396"/>
      <c r="F9099" s="396"/>
      <c r="G9099" s="396"/>
      <c r="K9099" s="370"/>
      <c r="N9099" s="370"/>
    </row>
    <row r="9100" spans="1:14" s="347" customFormat="1" x14ac:dyDescent="0.25">
      <c r="A9100" s="369"/>
      <c r="E9100" s="396"/>
      <c r="F9100" s="396"/>
      <c r="G9100" s="396"/>
      <c r="K9100" s="370"/>
      <c r="N9100" s="370"/>
    </row>
    <row r="9101" spans="1:14" s="347" customFormat="1" x14ac:dyDescent="0.25">
      <c r="A9101" s="369"/>
      <c r="E9101" s="396"/>
      <c r="F9101" s="396"/>
      <c r="G9101" s="396"/>
      <c r="K9101" s="370"/>
      <c r="N9101" s="370"/>
    </row>
    <row r="9102" spans="1:14" s="347" customFormat="1" x14ac:dyDescent="0.25">
      <c r="A9102" s="369"/>
      <c r="E9102" s="396"/>
      <c r="F9102" s="396"/>
      <c r="G9102" s="396"/>
      <c r="K9102" s="370"/>
      <c r="N9102" s="370"/>
    </row>
    <row r="9103" spans="1:14" s="347" customFormat="1" x14ac:dyDescent="0.25">
      <c r="A9103" s="369"/>
      <c r="E9103" s="396"/>
      <c r="F9103" s="396"/>
      <c r="G9103" s="396"/>
      <c r="K9103" s="370"/>
      <c r="N9103" s="370"/>
    </row>
    <row r="9104" spans="1:14" s="347" customFormat="1" x14ac:dyDescent="0.25">
      <c r="A9104" s="369"/>
      <c r="E9104" s="396"/>
      <c r="F9104" s="396"/>
      <c r="G9104" s="396"/>
      <c r="K9104" s="370"/>
      <c r="N9104" s="370"/>
    </row>
    <row r="9105" spans="1:14" s="347" customFormat="1" x14ac:dyDescent="0.25">
      <c r="A9105" s="369"/>
      <c r="E9105" s="396"/>
      <c r="F9105" s="396"/>
      <c r="G9105" s="396"/>
      <c r="K9105" s="370"/>
      <c r="N9105" s="370"/>
    </row>
    <row r="9106" spans="1:14" s="347" customFormat="1" x14ac:dyDescent="0.25">
      <c r="A9106" s="369"/>
      <c r="E9106" s="396"/>
      <c r="F9106" s="396"/>
      <c r="G9106" s="396"/>
      <c r="K9106" s="370"/>
      <c r="N9106" s="370"/>
    </row>
    <row r="9107" spans="1:14" s="347" customFormat="1" x14ac:dyDescent="0.25">
      <c r="A9107" s="369"/>
      <c r="E9107" s="396"/>
      <c r="F9107" s="396"/>
      <c r="G9107" s="396"/>
      <c r="K9107" s="370"/>
      <c r="N9107" s="370"/>
    </row>
    <row r="9108" spans="1:14" s="347" customFormat="1" x14ac:dyDescent="0.25">
      <c r="A9108" s="369"/>
      <c r="E9108" s="396"/>
      <c r="F9108" s="396"/>
      <c r="G9108" s="396"/>
      <c r="K9108" s="370"/>
      <c r="N9108" s="370"/>
    </row>
    <row r="9109" spans="1:14" s="347" customFormat="1" x14ac:dyDescent="0.25">
      <c r="A9109" s="369"/>
      <c r="E9109" s="396"/>
      <c r="F9109" s="396"/>
      <c r="G9109" s="396"/>
      <c r="K9109" s="370"/>
      <c r="N9109" s="370"/>
    </row>
    <row r="9110" spans="1:14" s="347" customFormat="1" x14ac:dyDescent="0.25">
      <c r="A9110" s="369"/>
      <c r="E9110" s="396"/>
      <c r="F9110" s="396"/>
      <c r="G9110" s="396"/>
      <c r="K9110" s="370"/>
      <c r="N9110" s="370"/>
    </row>
    <row r="9111" spans="1:14" s="347" customFormat="1" x14ac:dyDescent="0.25">
      <c r="A9111" s="369"/>
      <c r="E9111" s="396"/>
      <c r="F9111" s="396"/>
      <c r="G9111" s="396"/>
      <c r="K9111" s="370"/>
      <c r="N9111" s="370"/>
    </row>
    <row r="9112" spans="1:14" s="347" customFormat="1" x14ac:dyDescent="0.25">
      <c r="A9112" s="369"/>
      <c r="E9112" s="396"/>
      <c r="F9112" s="396"/>
      <c r="G9112" s="396"/>
      <c r="K9112" s="370"/>
      <c r="N9112" s="370"/>
    </row>
    <row r="9113" spans="1:14" s="347" customFormat="1" x14ac:dyDescent="0.25">
      <c r="A9113" s="369"/>
      <c r="E9113" s="396"/>
      <c r="F9113" s="396"/>
      <c r="G9113" s="396"/>
      <c r="K9113" s="370"/>
      <c r="N9113" s="370"/>
    </row>
    <row r="9114" spans="1:14" s="347" customFormat="1" x14ac:dyDescent="0.25">
      <c r="A9114" s="369"/>
      <c r="E9114" s="396"/>
      <c r="F9114" s="396"/>
      <c r="G9114" s="396"/>
      <c r="K9114" s="370"/>
      <c r="N9114" s="370"/>
    </row>
    <row r="9115" spans="1:14" s="347" customFormat="1" x14ac:dyDescent="0.25">
      <c r="A9115" s="369"/>
      <c r="E9115" s="396"/>
      <c r="F9115" s="396"/>
      <c r="G9115" s="396"/>
      <c r="K9115" s="370"/>
      <c r="N9115" s="370"/>
    </row>
    <row r="9116" spans="1:14" s="347" customFormat="1" x14ac:dyDescent="0.25">
      <c r="A9116" s="369"/>
      <c r="E9116" s="396"/>
      <c r="F9116" s="396"/>
      <c r="G9116" s="396"/>
      <c r="K9116" s="370"/>
      <c r="N9116" s="370"/>
    </row>
    <row r="9117" spans="1:14" s="347" customFormat="1" x14ac:dyDescent="0.25">
      <c r="A9117" s="369"/>
      <c r="E9117" s="396"/>
      <c r="F9117" s="396"/>
      <c r="G9117" s="396"/>
      <c r="K9117" s="370"/>
      <c r="N9117" s="370"/>
    </row>
    <row r="9118" spans="1:14" s="347" customFormat="1" x14ac:dyDescent="0.25">
      <c r="A9118" s="369"/>
      <c r="E9118" s="396"/>
      <c r="F9118" s="396"/>
      <c r="G9118" s="396"/>
      <c r="K9118" s="370"/>
      <c r="N9118" s="370"/>
    </row>
    <row r="9119" spans="1:14" s="347" customFormat="1" x14ac:dyDescent="0.25">
      <c r="A9119" s="369"/>
      <c r="E9119" s="396"/>
      <c r="F9119" s="396"/>
      <c r="G9119" s="396"/>
      <c r="K9119" s="370"/>
      <c r="N9119" s="370"/>
    </row>
    <row r="9120" spans="1:14" s="347" customFormat="1" x14ac:dyDescent="0.25">
      <c r="A9120" s="369"/>
      <c r="E9120" s="396"/>
      <c r="F9120" s="396"/>
      <c r="G9120" s="396"/>
      <c r="K9120" s="370"/>
      <c r="N9120" s="370"/>
    </row>
    <row r="9121" spans="1:14" s="347" customFormat="1" x14ac:dyDescent="0.25">
      <c r="A9121" s="369"/>
      <c r="E9121" s="396"/>
      <c r="F9121" s="396"/>
      <c r="G9121" s="396"/>
      <c r="K9121" s="370"/>
      <c r="N9121" s="370"/>
    </row>
    <row r="9122" spans="1:14" s="347" customFormat="1" x14ac:dyDescent="0.25">
      <c r="A9122" s="369"/>
      <c r="E9122" s="396"/>
      <c r="F9122" s="396"/>
      <c r="G9122" s="396"/>
      <c r="K9122" s="370"/>
      <c r="N9122" s="370"/>
    </row>
    <row r="9123" spans="1:14" s="347" customFormat="1" x14ac:dyDescent="0.25">
      <c r="A9123" s="369"/>
      <c r="E9123" s="396"/>
      <c r="F9123" s="396"/>
      <c r="G9123" s="396"/>
      <c r="K9123" s="370"/>
      <c r="N9123" s="370"/>
    </row>
    <row r="9124" spans="1:14" s="347" customFormat="1" x14ac:dyDescent="0.25">
      <c r="A9124" s="369"/>
      <c r="E9124" s="396"/>
      <c r="F9124" s="396"/>
      <c r="G9124" s="396"/>
      <c r="K9124" s="370"/>
      <c r="N9124" s="370"/>
    </row>
    <row r="9125" spans="1:14" s="347" customFormat="1" x14ac:dyDescent="0.25">
      <c r="A9125" s="369"/>
      <c r="E9125" s="396"/>
      <c r="F9125" s="396"/>
      <c r="G9125" s="396"/>
      <c r="K9125" s="370"/>
      <c r="N9125" s="370"/>
    </row>
    <row r="9126" spans="1:14" s="347" customFormat="1" x14ac:dyDescent="0.25">
      <c r="A9126" s="369"/>
      <c r="E9126" s="396"/>
      <c r="F9126" s="396"/>
      <c r="G9126" s="396"/>
      <c r="K9126" s="370"/>
      <c r="N9126" s="370"/>
    </row>
    <row r="9127" spans="1:14" s="347" customFormat="1" x14ac:dyDescent="0.25">
      <c r="A9127" s="369"/>
      <c r="E9127" s="396"/>
      <c r="F9127" s="396"/>
      <c r="G9127" s="396"/>
      <c r="K9127" s="370"/>
      <c r="N9127" s="370"/>
    </row>
    <row r="9128" spans="1:14" s="347" customFormat="1" x14ac:dyDescent="0.25">
      <c r="A9128" s="369"/>
      <c r="E9128" s="396"/>
      <c r="F9128" s="396"/>
      <c r="G9128" s="396"/>
      <c r="K9128" s="370"/>
      <c r="N9128" s="370"/>
    </row>
    <row r="9129" spans="1:14" s="347" customFormat="1" x14ac:dyDescent="0.25">
      <c r="A9129" s="369"/>
      <c r="E9129" s="396"/>
      <c r="F9129" s="396"/>
      <c r="G9129" s="396"/>
      <c r="K9129" s="370"/>
      <c r="N9129" s="370"/>
    </row>
    <row r="9130" spans="1:14" s="347" customFormat="1" x14ac:dyDescent="0.25">
      <c r="A9130" s="369"/>
      <c r="E9130" s="396"/>
      <c r="F9130" s="396"/>
      <c r="G9130" s="396"/>
      <c r="K9130" s="370"/>
      <c r="N9130" s="370"/>
    </row>
    <row r="9131" spans="1:14" s="347" customFormat="1" x14ac:dyDescent="0.25">
      <c r="A9131" s="369"/>
      <c r="E9131" s="396"/>
      <c r="F9131" s="396"/>
      <c r="G9131" s="396"/>
      <c r="K9131" s="370"/>
      <c r="N9131" s="370"/>
    </row>
    <row r="9132" spans="1:14" s="347" customFormat="1" x14ac:dyDescent="0.25">
      <c r="A9132" s="369"/>
      <c r="E9132" s="396"/>
      <c r="F9132" s="396"/>
      <c r="G9132" s="396"/>
      <c r="K9132" s="370"/>
      <c r="N9132" s="370"/>
    </row>
    <row r="9133" spans="1:14" s="347" customFormat="1" x14ac:dyDescent="0.25">
      <c r="A9133" s="369"/>
      <c r="E9133" s="396"/>
      <c r="F9133" s="396"/>
      <c r="G9133" s="396"/>
      <c r="K9133" s="370"/>
      <c r="N9133" s="370"/>
    </row>
    <row r="9134" spans="1:14" s="347" customFormat="1" x14ac:dyDescent="0.25">
      <c r="A9134" s="369"/>
      <c r="E9134" s="396"/>
      <c r="F9134" s="396"/>
      <c r="G9134" s="396"/>
      <c r="K9134" s="370"/>
      <c r="N9134" s="370"/>
    </row>
    <row r="9135" spans="1:14" s="347" customFormat="1" x14ac:dyDescent="0.25">
      <c r="A9135" s="369"/>
      <c r="E9135" s="396"/>
      <c r="F9135" s="396"/>
      <c r="G9135" s="396"/>
      <c r="K9135" s="370"/>
      <c r="N9135" s="370"/>
    </row>
    <row r="9136" spans="1:14" s="347" customFormat="1" x14ac:dyDescent="0.25">
      <c r="A9136" s="369"/>
      <c r="E9136" s="396"/>
      <c r="F9136" s="396"/>
      <c r="G9136" s="396"/>
      <c r="K9136" s="370"/>
      <c r="N9136" s="370"/>
    </row>
    <row r="9137" spans="1:14" s="347" customFormat="1" x14ac:dyDescent="0.25">
      <c r="A9137" s="369"/>
      <c r="E9137" s="396"/>
      <c r="F9137" s="396"/>
      <c r="G9137" s="396"/>
      <c r="K9137" s="370"/>
      <c r="N9137" s="370"/>
    </row>
    <row r="9138" spans="1:14" s="347" customFormat="1" x14ac:dyDescent="0.25">
      <c r="A9138" s="369"/>
      <c r="E9138" s="396"/>
      <c r="F9138" s="396"/>
      <c r="G9138" s="396"/>
      <c r="K9138" s="370"/>
      <c r="N9138" s="370"/>
    </row>
    <row r="9139" spans="1:14" s="347" customFormat="1" x14ac:dyDescent="0.25">
      <c r="A9139" s="369"/>
      <c r="E9139" s="396"/>
      <c r="F9139" s="396"/>
      <c r="G9139" s="396"/>
      <c r="K9139" s="370"/>
      <c r="N9139" s="370"/>
    </row>
    <row r="9140" spans="1:14" s="347" customFormat="1" x14ac:dyDescent="0.25">
      <c r="A9140" s="369"/>
      <c r="E9140" s="396"/>
      <c r="F9140" s="396"/>
      <c r="G9140" s="396"/>
      <c r="K9140" s="370"/>
      <c r="N9140" s="370"/>
    </row>
    <row r="9141" spans="1:14" s="347" customFormat="1" x14ac:dyDescent="0.25">
      <c r="A9141" s="369"/>
      <c r="E9141" s="396"/>
      <c r="F9141" s="396"/>
      <c r="G9141" s="396"/>
      <c r="K9141" s="370"/>
      <c r="N9141" s="370"/>
    </row>
    <row r="9142" spans="1:14" s="347" customFormat="1" x14ac:dyDescent="0.25">
      <c r="A9142" s="369"/>
      <c r="E9142" s="396"/>
      <c r="F9142" s="396"/>
      <c r="G9142" s="396"/>
      <c r="K9142" s="370"/>
      <c r="N9142" s="370"/>
    </row>
    <row r="9143" spans="1:14" s="347" customFormat="1" x14ac:dyDescent="0.25">
      <c r="A9143" s="369"/>
      <c r="E9143" s="396"/>
      <c r="F9143" s="396"/>
      <c r="G9143" s="396"/>
      <c r="K9143" s="370"/>
      <c r="N9143" s="370"/>
    </row>
    <row r="9144" spans="1:14" s="347" customFormat="1" x14ac:dyDescent="0.25">
      <c r="A9144" s="369"/>
      <c r="E9144" s="396"/>
      <c r="F9144" s="396"/>
      <c r="G9144" s="396"/>
      <c r="K9144" s="370"/>
      <c r="N9144" s="370"/>
    </row>
    <row r="9145" spans="1:14" s="347" customFormat="1" x14ac:dyDescent="0.25">
      <c r="A9145" s="369"/>
      <c r="E9145" s="396"/>
      <c r="F9145" s="396"/>
      <c r="G9145" s="396"/>
      <c r="K9145" s="370"/>
      <c r="N9145" s="370"/>
    </row>
    <row r="9146" spans="1:14" s="347" customFormat="1" x14ac:dyDescent="0.25">
      <c r="A9146" s="369"/>
      <c r="E9146" s="396"/>
      <c r="F9146" s="396"/>
      <c r="G9146" s="396"/>
      <c r="K9146" s="370"/>
      <c r="N9146" s="370"/>
    </row>
    <row r="9147" spans="1:14" s="347" customFormat="1" x14ac:dyDescent="0.25">
      <c r="A9147" s="369"/>
      <c r="E9147" s="396"/>
      <c r="F9147" s="396"/>
      <c r="G9147" s="396"/>
      <c r="K9147" s="370"/>
      <c r="N9147" s="370"/>
    </row>
    <row r="9148" spans="1:14" s="347" customFormat="1" x14ac:dyDescent="0.25">
      <c r="A9148" s="369"/>
      <c r="E9148" s="396"/>
      <c r="F9148" s="396"/>
      <c r="G9148" s="396"/>
      <c r="K9148" s="370"/>
      <c r="N9148" s="370"/>
    </row>
    <row r="9149" spans="1:14" s="347" customFormat="1" x14ac:dyDescent="0.25">
      <c r="A9149" s="369"/>
      <c r="E9149" s="396"/>
      <c r="F9149" s="396"/>
      <c r="G9149" s="396"/>
      <c r="K9149" s="370"/>
      <c r="N9149" s="370"/>
    </row>
    <row r="9150" spans="1:14" s="347" customFormat="1" x14ac:dyDescent="0.25">
      <c r="A9150" s="369"/>
      <c r="E9150" s="396"/>
      <c r="F9150" s="396"/>
      <c r="G9150" s="396"/>
      <c r="K9150" s="370"/>
      <c r="N9150" s="370"/>
    </row>
    <row r="9151" spans="1:14" s="347" customFormat="1" x14ac:dyDescent="0.25">
      <c r="A9151" s="369"/>
      <c r="E9151" s="396"/>
      <c r="F9151" s="396"/>
      <c r="G9151" s="396"/>
      <c r="K9151" s="370"/>
      <c r="N9151" s="370"/>
    </row>
    <row r="9152" spans="1:14" s="347" customFormat="1" x14ac:dyDescent="0.25">
      <c r="A9152" s="369"/>
      <c r="E9152" s="396"/>
      <c r="F9152" s="396"/>
      <c r="G9152" s="396"/>
      <c r="K9152" s="370"/>
      <c r="N9152" s="370"/>
    </row>
    <row r="9153" spans="1:14" s="347" customFormat="1" x14ac:dyDescent="0.25">
      <c r="A9153" s="369"/>
      <c r="E9153" s="396"/>
      <c r="F9153" s="396"/>
      <c r="G9153" s="396"/>
      <c r="K9153" s="370"/>
      <c r="N9153" s="370"/>
    </row>
    <row r="9154" spans="1:14" s="347" customFormat="1" x14ac:dyDescent="0.25">
      <c r="A9154" s="369"/>
      <c r="E9154" s="396"/>
      <c r="F9154" s="396"/>
      <c r="G9154" s="396"/>
      <c r="K9154" s="370"/>
      <c r="N9154" s="370"/>
    </row>
    <row r="9155" spans="1:14" s="347" customFormat="1" x14ac:dyDescent="0.25">
      <c r="A9155" s="369"/>
      <c r="E9155" s="396"/>
      <c r="F9155" s="396"/>
      <c r="G9155" s="396"/>
      <c r="K9155" s="370"/>
      <c r="N9155" s="370"/>
    </row>
    <row r="9156" spans="1:14" s="347" customFormat="1" x14ac:dyDescent="0.25">
      <c r="A9156" s="369"/>
      <c r="E9156" s="396"/>
      <c r="F9156" s="396"/>
      <c r="G9156" s="396"/>
      <c r="K9156" s="370"/>
      <c r="N9156" s="370"/>
    </row>
    <row r="9157" spans="1:14" s="347" customFormat="1" x14ac:dyDescent="0.25">
      <c r="A9157" s="369"/>
      <c r="E9157" s="396"/>
      <c r="F9157" s="396"/>
      <c r="G9157" s="396"/>
      <c r="K9157" s="370"/>
      <c r="N9157" s="370"/>
    </row>
    <row r="9158" spans="1:14" s="347" customFormat="1" x14ac:dyDescent="0.25">
      <c r="A9158" s="369"/>
      <c r="E9158" s="396"/>
      <c r="F9158" s="396"/>
      <c r="G9158" s="396"/>
      <c r="K9158" s="370"/>
      <c r="N9158" s="370"/>
    </row>
    <row r="9159" spans="1:14" s="347" customFormat="1" x14ac:dyDescent="0.25">
      <c r="A9159" s="369"/>
      <c r="E9159" s="396"/>
      <c r="F9159" s="396"/>
      <c r="G9159" s="396"/>
      <c r="K9159" s="370"/>
      <c r="N9159" s="370"/>
    </row>
    <row r="9160" spans="1:14" s="347" customFormat="1" x14ac:dyDescent="0.25">
      <c r="A9160" s="369"/>
      <c r="E9160" s="396"/>
      <c r="F9160" s="396"/>
      <c r="G9160" s="396"/>
      <c r="K9160" s="370"/>
      <c r="N9160" s="370"/>
    </row>
    <row r="9161" spans="1:14" s="347" customFormat="1" x14ac:dyDescent="0.25">
      <c r="A9161" s="369"/>
      <c r="E9161" s="396"/>
      <c r="F9161" s="396"/>
      <c r="G9161" s="396"/>
      <c r="K9161" s="370"/>
      <c r="N9161" s="370"/>
    </row>
    <row r="9162" spans="1:14" s="347" customFormat="1" x14ac:dyDescent="0.25">
      <c r="A9162" s="369"/>
      <c r="E9162" s="396"/>
      <c r="F9162" s="396"/>
      <c r="G9162" s="396"/>
      <c r="K9162" s="370"/>
      <c r="N9162" s="370"/>
    </row>
    <row r="9163" spans="1:14" s="347" customFormat="1" x14ac:dyDescent="0.25">
      <c r="A9163" s="369"/>
      <c r="E9163" s="396"/>
      <c r="F9163" s="396"/>
      <c r="G9163" s="396"/>
      <c r="K9163" s="370"/>
      <c r="N9163" s="370"/>
    </row>
    <row r="9164" spans="1:14" s="347" customFormat="1" x14ac:dyDescent="0.25">
      <c r="A9164" s="369"/>
      <c r="E9164" s="396"/>
      <c r="F9164" s="396"/>
      <c r="G9164" s="396"/>
      <c r="K9164" s="370"/>
      <c r="N9164" s="370"/>
    </row>
    <row r="9165" spans="1:14" s="347" customFormat="1" x14ac:dyDescent="0.25">
      <c r="A9165" s="369"/>
      <c r="E9165" s="396"/>
      <c r="F9165" s="396"/>
      <c r="G9165" s="396"/>
      <c r="K9165" s="370"/>
      <c r="N9165" s="370"/>
    </row>
    <row r="9166" spans="1:14" s="347" customFormat="1" x14ac:dyDescent="0.25">
      <c r="A9166" s="369"/>
      <c r="E9166" s="396"/>
      <c r="F9166" s="396"/>
      <c r="G9166" s="396"/>
      <c r="K9166" s="370"/>
      <c r="N9166" s="370"/>
    </row>
    <row r="9167" spans="1:14" s="347" customFormat="1" x14ac:dyDescent="0.25">
      <c r="A9167" s="369"/>
      <c r="E9167" s="396"/>
      <c r="F9167" s="396"/>
      <c r="G9167" s="396"/>
      <c r="K9167" s="370"/>
      <c r="N9167" s="370"/>
    </row>
    <row r="9168" spans="1:14" s="347" customFormat="1" x14ac:dyDescent="0.25">
      <c r="A9168" s="369"/>
      <c r="E9168" s="396"/>
      <c r="F9168" s="396"/>
      <c r="G9168" s="396"/>
      <c r="K9168" s="370"/>
      <c r="N9168" s="370"/>
    </row>
    <row r="9169" spans="1:14" s="347" customFormat="1" x14ac:dyDescent="0.25">
      <c r="A9169" s="369"/>
      <c r="E9169" s="396"/>
      <c r="F9169" s="396"/>
      <c r="G9169" s="396"/>
      <c r="K9169" s="370"/>
      <c r="N9169" s="370"/>
    </row>
    <row r="9170" spans="1:14" s="347" customFormat="1" x14ac:dyDescent="0.25">
      <c r="A9170" s="369"/>
      <c r="E9170" s="396"/>
      <c r="F9170" s="396"/>
      <c r="G9170" s="396"/>
      <c r="K9170" s="370"/>
      <c r="N9170" s="370"/>
    </row>
    <row r="9171" spans="1:14" s="347" customFormat="1" x14ac:dyDescent="0.25">
      <c r="A9171" s="369"/>
      <c r="E9171" s="396"/>
      <c r="F9171" s="396"/>
      <c r="G9171" s="396"/>
      <c r="K9171" s="370"/>
      <c r="N9171" s="370"/>
    </row>
    <row r="9172" spans="1:14" s="347" customFormat="1" x14ac:dyDescent="0.25">
      <c r="A9172" s="369"/>
      <c r="E9172" s="396"/>
      <c r="F9172" s="396"/>
      <c r="G9172" s="396"/>
      <c r="K9172" s="370"/>
      <c r="N9172" s="370"/>
    </row>
    <row r="9173" spans="1:14" s="347" customFormat="1" x14ac:dyDescent="0.25">
      <c r="A9173" s="369"/>
      <c r="E9173" s="396"/>
      <c r="F9173" s="396"/>
      <c r="G9173" s="396"/>
      <c r="K9173" s="370"/>
      <c r="N9173" s="370"/>
    </row>
    <row r="9174" spans="1:14" s="347" customFormat="1" x14ac:dyDescent="0.25">
      <c r="A9174" s="369"/>
      <c r="E9174" s="396"/>
      <c r="F9174" s="396"/>
      <c r="G9174" s="396"/>
      <c r="K9174" s="370"/>
      <c r="N9174" s="370"/>
    </row>
    <row r="9175" spans="1:14" s="347" customFormat="1" x14ac:dyDescent="0.25">
      <c r="A9175" s="369"/>
      <c r="E9175" s="396"/>
      <c r="F9175" s="396"/>
      <c r="G9175" s="396"/>
      <c r="K9175" s="370"/>
      <c r="N9175" s="370"/>
    </row>
    <row r="9176" spans="1:14" s="347" customFormat="1" x14ac:dyDescent="0.25">
      <c r="A9176" s="369"/>
      <c r="E9176" s="396"/>
      <c r="F9176" s="396"/>
      <c r="G9176" s="396"/>
      <c r="K9176" s="370"/>
      <c r="N9176" s="370"/>
    </row>
    <row r="9177" spans="1:14" s="347" customFormat="1" x14ac:dyDescent="0.25">
      <c r="A9177" s="369"/>
      <c r="E9177" s="396"/>
      <c r="F9177" s="396"/>
      <c r="G9177" s="396"/>
      <c r="K9177" s="370"/>
      <c r="N9177" s="370"/>
    </row>
    <row r="9178" spans="1:14" s="347" customFormat="1" x14ac:dyDescent="0.25">
      <c r="A9178" s="369"/>
      <c r="E9178" s="396"/>
      <c r="F9178" s="396"/>
      <c r="G9178" s="396"/>
      <c r="K9178" s="370"/>
      <c r="N9178" s="370"/>
    </row>
    <row r="9179" spans="1:14" s="347" customFormat="1" x14ac:dyDescent="0.25">
      <c r="A9179" s="369"/>
      <c r="E9179" s="396"/>
      <c r="F9179" s="396"/>
      <c r="G9179" s="396"/>
      <c r="K9179" s="370"/>
      <c r="N9179" s="370"/>
    </row>
    <row r="9180" spans="1:14" s="347" customFormat="1" x14ac:dyDescent="0.25">
      <c r="A9180" s="369"/>
      <c r="E9180" s="396"/>
      <c r="F9180" s="396"/>
      <c r="G9180" s="396"/>
      <c r="K9180" s="370"/>
      <c r="N9180" s="370"/>
    </row>
    <row r="9181" spans="1:14" s="347" customFormat="1" x14ac:dyDescent="0.25">
      <c r="A9181" s="369"/>
      <c r="E9181" s="396"/>
      <c r="F9181" s="396"/>
      <c r="G9181" s="396"/>
      <c r="K9181" s="370"/>
      <c r="N9181" s="370"/>
    </row>
    <row r="9182" spans="1:14" s="347" customFormat="1" x14ac:dyDescent="0.25">
      <c r="A9182" s="369"/>
      <c r="E9182" s="396"/>
      <c r="F9182" s="396"/>
      <c r="G9182" s="396"/>
      <c r="K9182" s="370"/>
      <c r="N9182" s="370"/>
    </row>
    <row r="9183" spans="1:14" s="347" customFormat="1" x14ac:dyDescent="0.25">
      <c r="A9183" s="369"/>
      <c r="E9183" s="396"/>
      <c r="F9183" s="396"/>
      <c r="G9183" s="396"/>
      <c r="K9183" s="370"/>
      <c r="N9183" s="370"/>
    </row>
    <row r="9184" spans="1:14" s="347" customFormat="1" x14ac:dyDescent="0.25">
      <c r="A9184" s="369"/>
      <c r="E9184" s="396"/>
      <c r="F9184" s="396"/>
      <c r="G9184" s="396"/>
      <c r="K9184" s="370"/>
      <c r="N9184" s="370"/>
    </row>
    <row r="9185" spans="1:14" s="347" customFormat="1" x14ac:dyDescent="0.25">
      <c r="A9185" s="369"/>
      <c r="E9185" s="396"/>
      <c r="F9185" s="396"/>
      <c r="G9185" s="396"/>
      <c r="K9185" s="370"/>
      <c r="N9185" s="370"/>
    </row>
    <row r="9186" spans="1:14" s="347" customFormat="1" x14ac:dyDescent="0.25">
      <c r="A9186" s="369"/>
      <c r="E9186" s="396"/>
      <c r="F9186" s="396"/>
      <c r="G9186" s="396"/>
      <c r="K9186" s="370"/>
      <c r="N9186" s="370"/>
    </row>
    <row r="9187" spans="1:14" s="347" customFormat="1" x14ac:dyDescent="0.25">
      <c r="A9187" s="369"/>
      <c r="E9187" s="396"/>
      <c r="F9187" s="396"/>
      <c r="G9187" s="396"/>
      <c r="K9187" s="370"/>
      <c r="N9187" s="370"/>
    </row>
    <row r="9188" spans="1:14" s="347" customFormat="1" x14ac:dyDescent="0.25">
      <c r="A9188" s="369"/>
      <c r="E9188" s="396"/>
      <c r="F9188" s="396"/>
      <c r="G9188" s="396"/>
      <c r="K9188" s="370"/>
      <c r="N9188" s="370"/>
    </row>
    <row r="9189" spans="1:14" s="347" customFormat="1" x14ac:dyDescent="0.25">
      <c r="A9189" s="369"/>
      <c r="E9189" s="396"/>
      <c r="F9189" s="396"/>
      <c r="G9189" s="396"/>
      <c r="K9189" s="370"/>
      <c r="N9189" s="370"/>
    </row>
    <row r="9190" spans="1:14" s="347" customFormat="1" x14ac:dyDescent="0.25">
      <c r="A9190" s="369"/>
      <c r="E9190" s="396"/>
      <c r="F9190" s="396"/>
      <c r="G9190" s="396"/>
      <c r="K9190" s="370"/>
      <c r="N9190" s="370"/>
    </row>
    <row r="9191" spans="1:14" s="347" customFormat="1" x14ac:dyDescent="0.25">
      <c r="A9191" s="369"/>
      <c r="E9191" s="396"/>
      <c r="F9191" s="396"/>
      <c r="G9191" s="396"/>
      <c r="K9191" s="370"/>
      <c r="N9191" s="370"/>
    </row>
    <row r="9192" spans="1:14" s="347" customFormat="1" x14ac:dyDescent="0.25">
      <c r="A9192" s="369"/>
      <c r="E9192" s="396"/>
      <c r="F9192" s="396"/>
      <c r="G9192" s="396"/>
      <c r="K9192" s="370"/>
      <c r="N9192" s="370"/>
    </row>
    <row r="9193" spans="1:14" s="347" customFormat="1" x14ac:dyDescent="0.25">
      <c r="A9193" s="369"/>
      <c r="E9193" s="396"/>
      <c r="F9193" s="396"/>
      <c r="G9193" s="396"/>
      <c r="K9193" s="370"/>
      <c r="N9193" s="370"/>
    </row>
    <row r="9194" spans="1:14" s="347" customFormat="1" x14ac:dyDescent="0.25">
      <c r="A9194" s="369"/>
      <c r="E9194" s="396"/>
      <c r="F9194" s="396"/>
      <c r="G9194" s="396"/>
      <c r="K9194" s="370"/>
      <c r="N9194" s="370"/>
    </row>
    <row r="9195" spans="1:14" s="347" customFormat="1" x14ac:dyDescent="0.25">
      <c r="A9195" s="369"/>
      <c r="E9195" s="396"/>
      <c r="F9195" s="396"/>
      <c r="G9195" s="396"/>
      <c r="K9195" s="370"/>
      <c r="N9195" s="370"/>
    </row>
    <row r="9196" spans="1:14" s="347" customFormat="1" x14ac:dyDescent="0.25">
      <c r="A9196" s="369"/>
      <c r="E9196" s="396"/>
      <c r="F9196" s="396"/>
      <c r="G9196" s="396"/>
      <c r="K9196" s="370"/>
      <c r="N9196" s="370"/>
    </row>
    <row r="9197" spans="1:14" s="347" customFormat="1" x14ac:dyDescent="0.25">
      <c r="A9197" s="369"/>
      <c r="E9197" s="396"/>
      <c r="F9197" s="396"/>
      <c r="G9197" s="396"/>
      <c r="K9197" s="370"/>
      <c r="N9197" s="370"/>
    </row>
    <row r="9198" spans="1:14" s="347" customFormat="1" x14ac:dyDescent="0.25">
      <c r="A9198" s="369"/>
      <c r="E9198" s="396"/>
      <c r="F9198" s="396"/>
      <c r="G9198" s="396"/>
      <c r="K9198" s="370"/>
      <c r="N9198" s="370"/>
    </row>
    <row r="9199" spans="1:14" s="347" customFormat="1" x14ac:dyDescent="0.25">
      <c r="A9199" s="369"/>
      <c r="E9199" s="396"/>
      <c r="F9199" s="396"/>
      <c r="G9199" s="396"/>
      <c r="K9199" s="370"/>
      <c r="N9199" s="370"/>
    </row>
    <row r="9200" spans="1:14" s="347" customFormat="1" x14ac:dyDescent="0.25">
      <c r="A9200" s="369"/>
      <c r="E9200" s="396"/>
      <c r="F9200" s="396"/>
      <c r="G9200" s="396"/>
      <c r="K9200" s="370"/>
      <c r="N9200" s="370"/>
    </row>
    <row r="9201" spans="1:14" s="347" customFormat="1" x14ac:dyDescent="0.25">
      <c r="A9201" s="369"/>
      <c r="E9201" s="396"/>
      <c r="F9201" s="396"/>
      <c r="G9201" s="396"/>
      <c r="K9201" s="370"/>
      <c r="N9201" s="370"/>
    </row>
    <row r="9202" spans="1:14" s="347" customFormat="1" x14ac:dyDescent="0.25">
      <c r="A9202" s="369"/>
      <c r="E9202" s="396"/>
      <c r="F9202" s="396"/>
      <c r="G9202" s="396"/>
      <c r="K9202" s="370"/>
      <c r="N9202" s="370"/>
    </row>
    <row r="9203" spans="1:14" s="347" customFormat="1" x14ac:dyDescent="0.25">
      <c r="A9203" s="369"/>
      <c r="E9203" s="396"/>
      <c r="F9203" s="396"/>
      <c r="G9203" s="396"/>
      <c r="K9203" s="370"/>
      <c r="N9203" s="370"/>
    </row>
    <row r="9204" spans="1:14" s="347" customFormat="1" x14ac:dyDescent="0.25">
      <c r="A9204" s="369"/>
      <c r="E9204" s="396"/>
      <c r="F9204" s="396"/>
      <c r="G9204" s="396"/>
      <c r="K9204" s="370"/>
      <c r="N9204" s="370"/>
    </row>
    <row r="9205" spans="1:14" s="347" customFormat="1" x14ac:dyDescent="0.25">
      <c r="A9205" s="369"/>
      <c r="E9205" s="396"/>
      <c r="F9205" s="396"/>
      <c r="G9205" s="396"/>
      <c r="K9205" s="370"/>
      <c r="N9205" s="370"/>
    </row>
    <row r="9206" spans="1:14" s="347" customFormat="1" x14ac:dyDescent="0.25">
      <c r="A9206" s="369"/>
      <c r="E9206" s="396"/>
      <c r="F9206" s="396"/>
      <c r="G9206" s="396"/>
      <c r="K9206" s="370"/>
      <c r="N9206" s="370"/>
    </row>
    <row r="9207" spans="1:14" s="347" customFormat="1" x14ac:dyDescent="0.25">
      <c r="A9207" s="369"/>
      <c r="E9207" s="396"/>
      <c r="F9207" s="396"/>
      <c r="G9207" s="396"/>
      <c r="K9207" s="370"/>
      <c r="N9207" s="370"/>
    </row>
    <row r="9208" spans="1:14" s="347" customFormat="1" x14ac:dyDescent="0.25">
      <c r="A9208" s="369"/>
      <c r="E9208" s="396"/>
      <c r="F9208" s="396"/>
      <c r="G9208" s="396"/>
      <c r="K9208" s="370"/>
      <c r="N9208" s="370"/>
    </row>
    <row r="9209" spans="1:14" s="347" customFormat="1" x14ac:dyDescent="0.25">
      <c r="A9209" s="369"/>
      <c r="E9209" s="396"/>
      <c r="F9209" s="396"/>
      <c r="G9209" s="396"/>
      <c r="K9209" s="370"/>
      <c r="N9209" s="370"/>
    </row>
    <row r="9210" spans="1:14" s="347" customFormat="1" x14ac:dyDescent="0.25">
      <c r="A9210" s="369"/>
      <c r="E9210" s="396"/>
      <c r="F9210" s="396"/>
      <c r="G9210" s="396"/>
      <c r="K9210" s="370"/>
      <c r="N9210" s="370"/>
    </row>
    <row r="9211" spans="1:14" s="347" customFormat="1" x14ac:dyDescent="0.25">
      <c r="A9211" s="369"/>
      <c r="E9211" s="396"/>
      <c r="F9211" s="396"/>
      <c r="G9211" s="396"/>
      <c r="K9211" s="370"/>
      <c r="N9211" s="370"/>
    </row>
    <row r="9212" spans="1:14" s="347" customFormat="1" x14ac:dyDescent="0.25">
      <c r="A9212" s="369"/>
      <c r="E9212" s="396"/>
      <c r="F9212" s="396"/>
      <c r="G9212" s="396"/>
      <c r="K9212" s="370"/>
      <c r="N9212" s="370"/>
    </row>
    <row r="9213" spans="1:14" s="347" customFormat="1" x14ac:dyDescent="0.25">
      <c r="A9213" s="369"/>
      <c r="E9213" s="396"/>
      <c r="F9213" s="396"/>
      <c r="G9213" s="396"/>
      <c r="K9213" s="370"/>
      <c r="N9213" s="370"/>
    </row>
    <row r="9214" spans="1:14" s="347" customFormat="1" x14ac:dyDescent="0.25">
      <c r="A9214" s="369"/>
      <c r="E9214" s="396"/>
      <c r="F9214" s="396"/>
      <c r="G9214" s="396"/>
      <c r="K9214" s="370"/>
      <c r="N9214" s="370"/>
    </row>
    <row r="9215" spans="1:14" s="347" customFormat="1" x14ac:dyDescent="0.25">
      <c r="A9215" s="369"/>
      <c r="E9215" s="396"/>
      <c r="F9215" s="396"/>
      <c r="G9215" s="396"/>
      <c r="K9215" s="370"/>
      <c r="N9215" s="370"/>
    </row>
    <row r="9216" spans="1:14" s="347" customFormat="1" x14ac:dyDescent="0.25">
      <c r="A9216" s="369"/>
      <c r="E9216" s="396"/>
      <c r="F9216" s="396"/>
      <c r="G9216" s="396"/>
      <c r="K9216" s="370"/>
      <c r="N9216" s="370"/>
    </row>
    <row r="9217" spans="1:14" s="347" customFormat="1" x14ac:dyDescent="0.25">
      <c r="A9217" s="369"/>
      <c r="E9217" s="396"/>
      <c r="F9217" s="396"/>
      <c r="G9217" s="396"/>
      <c r="K9217" s="370"/>
      <c r="N9217" s="370"/>
    </row>
    <row r="9218" spans="1:14" s="347" customFormat="1" x14ac:dyDescent="0.25">
      <c r="A9218" s="369"/>
      <c r="E9218" s="396"/>
      <c r="F9218" s="396"/>
      <c r="G9218" s="396"/>
      <c r="K9218" s="370"/>
      <c r="N9218" s="370"/>
    </row>
    <row r="9219" spans="1:14" s="347" customFormat="1" x14ac:dyDescent="0.25">
      <c r="A9219" s="369"/>
      <c r="E9219" s="396"/>
      <c r="F9219" s="396"/>
      <c r="G9219" s="396"/>
      <c r="K9219" s="370"/>
      <c r="N9219" s="370"/>
    </row>
    <row r="9220" spans="1:14" s="347" customFormat="1" x14ac:dyDescent="0.25">
      <c r="A9220" s="369"/>
      <c r="E9220" s="396"/>
      <c r="F9220" s="396"/>
      <c r="G9220" s="396"/>
      <c r="K9220" s="370"/>
      <c r="N9220" s="370"/>
    </row>
    <row r="9221" spans="1:14" s="347" customFormat="1" x14ac:dyDescent="0.25">
      <c r="A9221" s="369"/>
      <c r="E9221" s="396"/>
      <c r="F9221" s="396"/>
      <c r="G9221" s="396"/>
      <c r="K9221" s="370"/>
      <c r="N9221" s="370"/>
    </row>
    <row r="9222" spans="1:14" s="347" customFormat="1" x14ac:dyDescent="0.25">
      <c r="A9222" s="369"/>
      <c r="E9222" s="396"/>
      <c r="F9222" s="396"/>
      <c r="G9222" s="396"/>
      <c r="K9222" s="370"/>
      <c r="N9222" s="370"/>
    </row>
    <row r="9223" spans="1:14" s="347" customFormat="1" x14ac:dyDescent="0.25">
      <c r="A9223" s="369"/>
      <c r="E9223" s="396"/>
      <c r="F9223" s="396"/>
      <c r="G9223" s="396"/>
      <c r="K9223" s="370"/>
      <c r="N9223" s="370"/>
    </row>
    <row r="9224" spans="1:14" s="347" customFormat="1" x14ac:dyDescent="0.25">
      <c r="A9224" s="369"/>
      <c r="E9224" s="396"/>
      <c r="F9224" s="396"/>
      <c r="G9224" s="396"/>
      <c r="K9224" s="370"/>
      <c r="N9224" s="370"/>
    </row>
    <row r="9225" spans="1:14" s="347" customFormat="1" x14ac:dyDescent="0.25">
      <c r="A9225" s="369"/>
      <c r="E9225" s="396"/>
      <c r="F9225" s="396"/>
      <c r="G9225" s="396"/>
      <c r="K9225" s="370"/>
      <c r="N9225" s="370"/>
    </row>
    <row r="9226" spans="1:14" s="347" customFormat="1" x14ac:dyDescent="0.25">
      <c r="A9226" s="369"/>
      <c r="E9226" s="396"/>
      <c r="F9226" s="396"/>
      <c r="G9226" s="396"/>
      <c r="K9226" s="370"/>
      <c r="N9226" s="370"/>
    </row>
    <row r="9227" spans="1:14" s="347" customFormat="1" x14ac:dyDescent="0.25">
      <c r="A9227" s="369"/>
      <c r="E9227" s="396"/>
      <c r="F9227" s="396"/>
      <c r="G9227" s="396"/>
      <c r="K9227" s="370"/>
      <c r="N9227" s="370"/>
    </row>
    <row r="9228" spans="1:14" s="347" customFormat="1" x14ac:dyDescent="0.25">
      <c r="A9228" s="369"/>
      <c r="E9228" s="396"/>
      <c r="F9228" s="396"/>
      <c r="G9228" s="396"/>
      <c r="K9228" s="370"/>
      <c r="N9228" s="370"/>
    </row>
    <row r="9229" spans="1:14" s="347" customFormat="1" x14ac:dyDescent="0.25">
      <c r="A9229" s="369"/>
      <c r="E9229" s="396"/>
      <c r="F9229" s="396"/>
      <c r="G9229" s="396"/>
      <c r="K9229" s="370"/>
      <c r="N9229" s="370"/>
    </row>
    <row r="9230" spans="1:14" s="347" customFormat="1" x14ac:dyDescent="0.25">
      <c r="A9230" s="369"/>
      <c r="E9230" s="396"/>
      <c r="F9230" s="396"/>
      <c r="G9230" s="396"/>
      <c r="K9230" s="370"/>
      <c r="N9230" s="370"/>
    </row>
    <row r="9231" spans="1:14" s="347" customFormat="1" x14ac:dyDescent="0.25">
      <c r="A9231" s="369"/>
      <c r="E9231" s="396"/>
      <c r="F9231" s="396"/>
      <c r="G9231" s="396"/>
      <c r="K9231" s="370"/>
      <c r="N9231" s="370"/>
    </row>
    <row r="9232" spans="1:14" s="347" customFormat="1" x14ac:dyDescent="0.25">
      <c r="A9232" s="369"/>
      <c r="E9232" s="396"/>
      <c r="F9232" s="396"/>
      <c r="G9232" s="396"/>
      <c r="K9232" s="370"/>
      <c r="N9232" s="370"/>
    </row>
    <row r="9233" spans="1:14" s="347" customFormat="1" x14ac:dyDescent="0.25">
      <c r="A9233" s="369"/>
      <c r="E9233" s="396"/>
      <c r="F9233" s="396"/>
      <c r="G9233" s="396"/>
      <c r="K9233" s="370"/>
      <c r="N9233" s="370"/>
    </row>
    <row r="9234" spans="1:14" s="347" customFormat="1" x14ac:dyDescent="0.25">
      <c r="A9234" s="369"/>
      <c r="E9234" s="396"/>
      <c r="F9234" s="396"/>
      <c r="G9234" s="396"/>
      <c r="K9234" s="370"/>
      <c r="N9234" s="370"/>
    </row>
    <row r="9235" spans="1:14" s="347" customFormat="1" x14ac:dyDescent="0.25">
      <c r="A9235" s="369"/>
      <c r="E9235" s="396"/>
      <c r="F9235" s="396"/>
      <c r="G9235" s="396"/>
      <c r="K9235" s="370"/>
      <c r="N9235" s="370"/>
    </row>
    <row r="9236" spans="1:14" s="347" customFormat="1" x14ac:dyDescent="0.25">
      <c r="A9236" s="369"/>
      <c r="E9236" s="396"/>
      <c r="F9236" s="396"/>
      <c r="G9236" s="396"/>
      <c r="K9236" s="370"/>
      <c r="N9236" s="370"/>
    </row>
    <row r="9237" spans="1:14" s="347" customFormat="1" x14ac:dyDescent="0.25">
      <c r="A9237" s="369"/>
      <c r="E9237" s="396"/>
      <c r="F9237" s="396"/>
      <c r="G9237" s="396"/>
      <c r="K9237" s="370"/>
      <c r="N9237" s="370"/>
    </row>
    <row r="9238" spans="1:14" s="347" customFormat="1" x14ac:dyDescent="0.25">
      <c r="A9238" s="369"/>
      <c r="E9238" s="396"/>
      <c r="F9238" s="396"/>
      <c r="G9238" s="396"/>
      <c r="K9238" s="370"/>
      <c r="N9238" s="370"/>
    </row>
    <row r="9239" spans="1:14" s="347" customFormat="1" x14ac:dyDescent="0.25">
      <c r="A9239" s="369"/>
      <c r="E9239" s="396"/>
      <c r="F9239" s="396"/>
      <c r="G9239" s="396"/>
      <c r="K9239" s="370"/>
      <c r="N9239" s="370"/>
    </row>
    <row r="9240" spans="1:14" s="347" customFormat="1" x14ac:dyDescent="0.25">
      <c r="A9240" s="369"/>
      <c r="E9240" s="396"/>
      <c r="F9240" s="396"/>
      <c r="G9240" s="396"/>
      <c r="K9240" s="370"/>
      <c r="N9240" s="370"/>
    </row>
    <row r="9241" spans="1:14" s="347" customFormat="1" x14ac:dyDescent="0.25">
      <c r="A9241" s="369"/>
      <c r="E9241" s="396"/>
      <c r="F9241" s="396"/>
      <c r="G9241" s="396"/>
      <c r="K9241" s="370"/>
      <c r="N9241" s="370"/>
    </row>
    <row r="9242" spans="1:14" s="347" customFormat="1" x14ac:dyDescent="0.25">
      <c r="A9242" s="369"/>
      <c r="E9242" s="396"/>
      <c r="F9242" s="396"/>
      <c r="G9242" s="396"/>
      <c r="K9242" s="370"/>
      <c r="N9242" s="370"/>
    </row>
    <row r="9243" spans="1:14" s="347" customFormat="1" x14ac:dyDescent="0.25">
      <c r="A9243" s="369"/>
      <c r="E9243" s="396"/>
      <c r="F9243" s="396"/>
      <c r="G9243" s="396"/>
      <c r="K9243" s="370"/>
      <c r="N9243" s="370"/>
    </row>
    <row r="9244" spans="1:14" s="347" customFormat="1" x14ac:dyDescent="0.25">
      <c r="A9244" s="369"/>
      <c r="E9244" s="396"/>
      <c r="F9244" s="396"/>
      <c r="G9244" s="396"/>
      <c r="K9244" s="370"/>
      <c r="N9244" s="370"/>
    </row>
    <row r="9245" spans="1:14" s="347" customFormat="1" x14ac:dyDescent="0.25">
      <c r="A9245" s="369"/>
      <c r="E9245" s="396"/>
      <c r="F9245" s="396"/>
      <c r="G9245" s="396"/>
      <c r="K9245" s="370"/>
      <c r="N9245" s="370"/>
    </row>
    <row r="9246" spans="1:14" s="347" customFormat="1" x14ac:dyDescent="0.25">
      <c r="A9246" s="369"/>
      <c r="E9246" s="396"/>
      <c r="F9246" s="396"/>
      <c r="G9246" s="396"/>
      <c r="K9246" s="370"/>
      <c r="N9246" s="370"/>
    </row>
    <row r="9247" spans="1:14" s="347" customFormat="1" x14ac:dyDescent="0.25">
      <c r="A9247" s="369"/>
      <c r="E9247" s="396"/>
      <c r="F9247" s="396"/>
      <c r="G9247" s="396"/>
      <c r="K9247" s="370"/>
      <c r="N9247" s="370"/>
    </row>
    <row r="9248" spans="1:14" s="347" customFormat="1" x14ac:dyDescent="0.25">
      <c r="A9248" s="369"/>
      <c r="E9248" s="396"/>
      <c r="F9248" s="396"/>
      <c r="G9248" s="396"/>
      <c r="K9248" s="370"/>
      <c r="N9248" s="370"/>
    </row>
    <row r="9249" spans="1:14" s="347" customFormat="1" x14ac:dyDescent="0.25">
      <c r="A9249" s="369"/>
      <c r="E9249" s="396"/>
      <c r="F9249" s="396"/>
      <c r="G9249" s="396"/>
      <c r="K9249" s="370"/>
      <c r="N9249" s="370"/>
    </row>
    <row r="9250" spans="1:14" s="347" customFormat="1" x14ac:dyDescent="0.25">
      <c r="A9250" s="369"/>
      <c r="E9250" s="396"/>
      <c r="F9250" s="396"/>
      <c r="G9250" s="396"/>
      <c r="K9250" s="370"/>
      <c r="N9250" s="370"/>
    </row>
    <row r="9251" spans="1:14" s="347" customFormat="1" x14ac:dyDescent="0.25">
      <c r="A9251" s="369"/>
      <c r="E9251" s="396"/>
      <c r="F9251" s="396"/>
      <c r="G9251" s="396"/>
      <c r="K9251" s="370"/>
      <c r="N9251" s="370"/>
    </row>
    <row r="9252" spans="1:14" s="347" customFormat="1" x14ac:dyDescent="0.25">
      <c r="A9252" s="369"/>
      <c r="E9252" s="396"/>
      <c r="F9252" s="396"/>
      <c r="G9252" s="396"/>
      <c r="K9252" s="370"/>
      <c r="N9252" s="370"/>
    </row>
    <row r="9253" spans="1:14" s="347" customFormat="1" x14ac:dyDescent="0.25">
      <c r="A9253" s="369"/>
      <c r="E9253" s="396"/>
      <c r="F9253" s="396"/>
      <c r="G9253" s="396"/>
      <c r="K9253" s="370"/>
      <c r="N9253" s="370"/>
    </row>
    <row r="9254" spans="1:14" s="347" customFormat="1" x14ac:dyDescent="0.25">
      <c r="A9254" s="369"/>
      <c r="E9254" s="396"/>
      <c r="F9254" s="396"/>
      <c r="G9254" s="396"/>
      <c r="K9254" s="370"/>
      <c r="N9254" s="370"/>
    </row>
    <row r="9255" spans="1:14" s="347" customFormat="1" x14ac:dyDescent="0.25">
      <c r="A9255" s="369"/>
      <c r="E9255" s="396"/>
      <c r="F9255" s="396"/>
      <c r="G9255" s="396"/>
      <c r="K9255" s="370"/>
      <c r="N9255" s="370"/>
    </row>
    <row r="9256" spans="1:14" s="347" customFormat="1" x14ac:dyDescent="0.25">
      <c r="A9256" s="369"/>
      <c r="E9256" s="396"/>
      <c r="F9256" s="396"/>
      <c r="G9256" s="396"/>
      <c r="K9256" s="370"/>
      <c r="N9256" s="370"/>
    </row>
    <row r="9257" spans="1:14" s="347" customFormat="1" x14ac:dyDescent="0.25">
      <c r="A9257" s="369"/>
      <c r="E9257" s="396"/>
      <c r="F9257" s="396"/>
      <c r="G9257" s="396"/>
      <c r="K9257" s="370"/>
      <c r="N9257" s="370"/>
    </row>
    <row r="9258" spans="1:14" s="347" customFormat="1" x14ac:dyDescent="0.25">
      <c r="A9258" s="369"/>
      <c r="E9258" s="396"/>
      <c r="F9258" s="396"/>
      <c r="G9258" s="396"/>
      <c r="K9258" s="370"/>
      <c r="N9258" s="370"/>
    </row>
    <row r="9259" spans="1:14" s="347" customFormat="1" x14ac:dyDescent="0.25">
      <c r="A9259" s="369"/>
      <c r="E9259" s="396"/>
      <c r="F9259" s="396"/>
      <c r="G9259" s="396"/>
      <c r="K9259" s="370"/>
      <c r="N9259" s="370"/>
    </row>
    <row r="9260" spans="1:14" s="347" customFormat="1" x14ac:dyDescent="0.25">
      <c r="A9260" s="369"/>
      <c r="E9260" s="396"/>
      <c r="F9260" s="396"/>
      <c r="G9260" s="396"/>
      <c r="K9260" s="370"/>
      <c r="N9260" s="370"/>
    </row>
    <row r="9261" spans="1:14" s="347" customFormat="1" x14ac:dyDescent="0.25">
      <c r="A9261" s="369"/>
      <c r="E9261" s="396"/>
      <c r="F9261" s="396"/>
      <c r="G9261" s="396"/>
      <c r="K9261" s="370"/>
      <c r="N9261" s="370"/>
    </row>
    <row r="9262" spans="1:14" s="347" customFormat="1" x14ac:dyDescent="0.25">
      <c r="A9262" s="369"/>
      <c r="E9262" s="396"/>
      <c r="F9262" s="396"/>
      <c r="G9262" s="396"/>
      <c r="K9262" s="370"/>
      <c r="N9262" s="370"/>
    </row>
    <row r="9263" spans="1:14" s="347" customFormat="1" x14ac:dyDescent="0.25">
      <c r="A9263" s="369"/>
      <c r="E9263" s="396"/>
      <c r="F9263" s="396"/>
      <c r="G9263" s="396"/>
      <c r="K9263" s="370"/>
      <c r="N9263" s="370"/>
    </row>
    <row r="9264" spans="1:14" s="347" customFormat="1" x14ac:dyDescent="0.25">
      <c r="A9264" s="369"/>
      <c r="E9264" s="396"/>
      <c r="F9264" s="396"/>
      <c r="G9264" s="396"/>
      <c r="K9264" s="370"/>
      <c r="N9264" s="370"/>
    </row>
    <row r="9265" spans="1:14" s="347" customFormat="1" x14ac:dyDescent="0.25">
      <c r="A9265" s="369"/>
      <c r="E9265" s="396"/>
      <c r="F9265" s="396"/>
      <c r="G9265" s="396"/>
      <c r="K9265" s="370"/>
      <c r="N9265" s="370"/>
    </row>
    <row r="9266" spans="1:14" s="347" customFormat="1" x14ac:dyDescent="0.25">
      <c r="A9266" s="369"/>
      <c r="E9266" s="396"/>
      <c r="F9266" s="396"/>
      <c r="G9266" s="396"/>
      <c r="K9266" s="370"/>
      <c r="N9266" s="370"/>
    </row>
    <row r="9267" spans="1:14" s="347" customFormat="1" x14ac:dyDescent="0.25">
      <c r="A9267" s="369"/>
      <c r="E9267" s="396"/>
      <c r="F9267" s="396"/>
      <c r="G9267" s="396"/>
      <c r="K9267" s="370"/>
      <c r="N9267" s="370"/>
    </row>
    <row r="9268" spans="1:14" s="347" customFormat="1" x14ac:dyDescent="0.25">
      <c r="A9268" s="369"/>
      <c r="E9268" s="396"/>
      <c r="F9268" s="396"/>
      <c r="G9268" s="396"/>
      <c r="K9268" s="370"/>
      <c r="N9268" s="370"/>
    </row>
    <row r="9269" spans="1:14" s="347" customFormat="1" x14ac:dyDescent="0.25">
      <c r="A9269" s="369"/>
      <c r="E9269" s="396"/>
      <c r="F9269" s="396"/>
      <c r="G9269" s="396"/>
      <c r="K9269" s="370"/>
      <c r="N9269" s="370"/>
    </row>
    <row r="9270" spans="1:14" s="347" customFormat="1" x14ac:dyDescent="0.25">
      <c r="A9270" s="369"/>
      <c r="E9270" s="396"/>
      <c r="F9270" s="396"/>
      <c r="G9270" s="396"/>
      <c r="K9270" s="370"/>
      <c r="N9270" s="370"/>
    </row>
    <row r="9271" spans="1:14" s="347" customFormat="1" x14ac:dyDescent="0.25">
      <c r="A9271" s="369"/>
      <c r="E9271" s="396"/>
      <c r="F9271" s="396"/>
      <c r="G9271" s="396"/>
      <c r="K9271" s="370"/>
      <c r="N9271" s="370"/>
    </row>
    <row r="9272" spans="1:14" s="347" customFormat="1" x14ac:dyDescent="0.25">
      <c r="A9272" s="369"/>
      <c r="E9272" s="396"/>
      <c r="F9272" s="396"/>
      <c r="G9272" s="396"/>
      <c r="K9272" s="370"/>
      <c r="N9272" s="370"/>
    </row>
    <row r="9273" spans="1:14" s="347" customFormat="1" x14ac:dyDescent="0.25">
      <c r="A9273" s="369"/>
      <c r="E9273" s="396"/>
      <c r="F9273" s="396"/>
      <c r="G9273" s="396"/>
      <c r="K9273" s="370"/>
      <c r="N9273" s="370"/>
    </row>
    <row r="9274" spans="1:14" s="347" customFormat="1" x14ac:dyDescent="0.25">
      <c r="A9274" s="369"/>
      <c r="E9274" s="396"/>
      <c r="F9274" s="396"/>
      <c r="G9274" s="396"/>
      <c r="K9274" s="370"/>
      <c r="N9274" s="370"/>
    </row>
    <row r="9275" spans="1:14" s="347" customFormat="1" x14ac:dyDescent="0.25">
      <c r="A9275" s="369"/>
      <c r="E9275" s="396"/>
      <c r="F9275" s="396"/>
      <c r="G9275" s="396"/>
      <c r="K9275" s="370"/>
      <c r="N9275" s="370"/>
    </row>
    <row r="9276" spans="1:14" s="347" customFormat="1" x14ac:dyDescent="0.25">
      <c r="A9276" s="369"/>
      <c r="E9276" s="396"/>
      <c r="F9276" s="396"/>
      <c r="G9276" s="396"/>
      <c r="K9276" s="370"/>
      <c r="N9276" s="370"/>
    </row>
    <row r="9277" spans="1:14" s="347" customFormat="1" x14ac:dyDescent="0.25">
      <c r="A9277" s="369"/>
      <c r="E9277" s="396"/>
      <c r="F9277" s="396"/>
      <c r="G9277" s="396"/>
      <c r="K9277" s="370"/>
      <c r="N9277" s="370"/>
    </row>
    <row r="9278" spans="1:14" s="347" customFormat="1" x14ac:dyDescent="0.25">
      <c r="A9278" s="369"/>
      <c r="E9278" s="396"/>
      <c r="F9278" s="396"/>
      <c r="G9278" s="396"/>
      <c r="K9278" s="370"/>
      <c r="N9278" s="370"/>
    </row>
    <row r="9279" spans="1:14" s="347" customFormat="1" x14ac:dyDescent="0.25">
      <c r="A9279" s="369"/>
      <c r="E9279" s="396"/>
      <c r="F9279" s="396"/>
      <c r="G9279" s="396"/>
      <c r="K9279" s="370"/>
      <c r="N9279" s="370"/>
    </row>
    <row r="9280" spans="1:14" s="347" customFormat="1" x14ac:dyDescent="0.25">
      <c r="A9280" s="369"/>
      <c r="E9280" s="396"/>
      <c r="F9280" s="396"/>
      <c r="G9280" s="396"/>
      <c r="K9280" s="370"/>
      <c r="N9280" s="370"/>
    </row>
    <row r="9281" spans="1:14" s="347" customFormat="1" x14ac:dyDescent="0.25">
      <c r="A9281" s="369"/>
      <c r="E9281" s="396"/>
      <c r="F9281" s="396"/>
      <c r="G9281" s="396"/>
      <c r="K9281" s="370"/>
      <c r="N9281" s="370"/>
    </row>
    <row r="9282" spans="1:14" s="347" customFormat="1" x14ac:dyDescent="0.25">
      <c r="A9282" s="369"/>
      <c r="E9282" s="396"/>
      <c r="F9282" s="396"/>
      <c r="G9282" s="396"/>
      <c r="K9282" s="370"/>
      <c r="N9282" s="370"/>
    </row>
    <row r="9283" spans="1:14" s="347" customFormat="1" x14ac:dyDescent="0.25">
      <c r="A9283" s="369"/>
      <c r="E9283" s="396"/>
      <c r="F9283" s="396"/>
      <c r="G9283" s="396"/>
      <c r="K9283" s="370"/>
      <c r="N9283" s="370"/>
    </row>
    <row r="9284" spans="1:14" s="347" customFormat="1" x14ac:dyDescent="0.25">
      <c r="A9284" s="369"/>
      <c r="E9284" s="396"/>
      <c r="F9284" s="396"/>
      <c r="G9284" s="396"/>
      <c r="K9284" s="370"/>
      <c r="N9284" s="370"/>
    </row>
    <row r="9285" spans="1:14" s="347" customFormat="1" x14ac:dyDescent="0.25">
      <c r="A9285" s="369"/>
      <c r="E9285" s="396"/>
      <c r="F9285" s="396"/>
      <c r="G9285" s="396"/>
      <c r="K9285" s="370"/>
      <c r="N9285" s="370"/>
    </row>
    <row r="9286" spans="1:14" s="347" customFormat="1" x14ac:dyDescent="0.25">
      <c r="A9286" s="369"/>
      <c r="E9286" s="396"/>
      <c r="F9286" s="396"/>
      <c r="G9286" s="396"/>
      <c r="K9286" s="370"/>
      <c r="N9286" s="370"/>
    </row>
    <row r="9287" spans="1:14" s="347" customFormat="1" x14ac:dyDescent="0.25">
      <c r="A9287" s="369"/>
      <c r="E9287" s="396"/>
      <c r="F9287" s="396"/>
      <c r="G9287" s="396"/>
      <c r="K9287" s="370"/>
      <c r="N9287" s="370"/>
    </row>
    <row r="9288" spans="1:14" s="347" customFormat="1" x14ac:dyDescent="0.25">
      <c r="A9288" s="369"/>
      <c r="E9288" s="396"/>
      <c r="F9288" s="396"/>
      <c r="G9288" s="396"/>
      <c r="K9288" s="370"/>
      <c r="N9288" s="370"/>
    </row>
    <row r="9289" spans="1:14" s="347" customFormat="1" x14ac:dyDescent="0.25">
      <c r="A9289" s="369"/>
      <c r="E9289" s="396"/>
      <c r="F9289" s="396"/>
      <c r="G9289" s="396"/>
      <c r="K9289" s="370"/>
      <c r="N9289" s="370"/>
    </row>
    <row r="9290" spans="1:14" s="347" customFormat="1" x14ac:dyDescent="0.25">
      <c r="A9290" s="369"/>
      <c r="E9290" s="396"/>
      <c r="F9290" s="396"/>
      <c r="G9290" s="396"/>
      <c r="K9290" s="370"/>
      <c r="N9290" s="370"/>
    </row>
    <row r="9291" spans="1:14" s="347" customFormat="1" x14ac:dyDescent="0.25">
      <c r="A9291" s="369"/>
      <c r="E9291" s="396"/>
      <c r="F9291" s="396"/>
      <c r="G9291" s="396"/>
      <c r="K9291" s="370"/>
      <c r="N9291" s="370"/>
    </row>
    <row r="9292" spans="1:14" s="347" customFormat="1" x14ac:dyDescent="0.25">
      <c r="A9292" s="369"/>
      <c r="E9292" s="396"/>
      <c r="F9292" s="396"/>
      <c r="G9292" s="396"/>
      <c r="K9292" s="370"/>
      <c r="N9292" s="370"/>
    </row>
    <row r="9293" spans="1:14" s="347" customFormat="1" x14ac:dyDescent="0.25">
      <c r="A9293" s="369"/>
      <c r="E9293" s="396"/>
      <c r="F9293" s="396"/>
      <c r="G9293" s="396"/>
      <c r="K9293" s="370"/>
      <c r="N9293" s="370"/>
    </row>
    <row r="9294" spans="1:14" s="347" customFormat="1" x14ac:dyDescent="0.25">
      <c r="A9294" s="369"/>
      <c r="E9294" s="396"/>
      <c r="F9294" s="396"/>
      <c r="G9294" s="396"/>
      <c r="K9294" s="370"/>
      <c r="N9294" s="370"/>
    </row>
    <row r="9295" spans="1:14" s="347" customFormat="1" x14ac:dyDescent="0.25">
      <c r="A9295" s="369"/>
      <c r="E9295" s="396"/>
      <c r="F9295" s="396"/>
      <c r="G9295" s="396"/>
      <c r="K9295" s="370"/>
      <c r="N9295" s="370"/>
    </row>
    <row r="9296" spans="1:14" s="347" customFormat="1" x14ac:dyDescent="0.25">
      <c r="A9296" s="369"/>
      <c r="E9296" s="396"/>
      <c r="F9296" s="396"/>
      <c r="G9296" s="396"/>
      <c r="K9296" s="370"/>
      <c r="N9296" s="370"/>
    </row>
    <row r="9297" spans="1:14" s="347" customFormat="1" x14ac:dyDescent="0.25">
      <c r="A9297" s="369"/>
      <c r="E9297" s="396"/>
      <c r="F9297" s="396"/>
      <c r="G9297" s="396"/>
      <c r="K9297" s="370"/>
      <c r="N9297" s="370"/>
    </row>
    <row r="9298" spans="1:14" s="347" customFormat="1" x14ac:dyDescent="0.25">
      <c r="A9298" s="369"/>
      <c r="E9298" s="396"/>
      <c r="F9298" s="396"/>
      <c r="G9298" s="396"/>
      <c r="K9298" s="370"/>
      <c r="N9298" s="370"/>
    </row>
    <row r="9299" spans="1:14" s="347" customFormat="1" x14ac:dyDescent="0.25">
      <c r="A9299" s="369"/>
      <c r="E9299" s="396"/>
      <c r="F9299" s="396"/>
      <c r="G9299" s="396"/>
      <c r="K9299" s="370"/>
      <c r="N9299" s="370"/>
    </row>
    <row r="9300" spans="1:14" s="347" customFormat="1" x14ac:dyDescent="0.25">
      <c r="A9300" s="369"/>
      <c r="E9300" s="396"/>
      <c r="F9300" s="396"/>
      <c r="G9300" s="396"/>
      <c r="K9300" s="370"/>
      <c r="N9300" s="370"/>
    </row>
    <row r="9301" spans="1:14" s="347" customFormat="1" x14ac:dyDescent="0.25">
      <c r="A9301" s="369"/>
      <c r="E9301" s="396"/>
      <c r="F9301" s="396"/>
      <c r="G9301" s="396"/>
      <c r="K9301" s="370"/>
      <c r="N9301" s="370"/>
    </row>
    <row r="9302" spans="1:14" s="347" customFormat="1" x14ac:dyDescent="0.25">
      <c r="A9302" s="369"/>
      <c r="E9302" s="396"/>
      <c r="F9302" s="396"/>
      <c r="G9302" s="396"/>
      <c r="K9302" s="370"/>
      <c r="N9302" s="370"/>
    </row>
    <row r="9303" spans="1:14" s="347" customFormat="1" x14ac:dyDescent="0.25">
      <c r="A9303" s="369"/>
      <c r="E9303" s="396"/>
      <c r="F9303" s="396"/>
      <c r="G9303" s="396"/>
      <c r="K9303" s="370"/>
      <c r="N9303" s="370"/>
    </row>
    <row r="9304" spans="1:14" s="347" customFormat="1" x14ac:dyDescent="0.25">
      <c r="A9304" s="369"/>
      <c r="E9304" s="396"/>
      <c r="F9304" s="396"/>
      <c r="G9304" s="396"/>
      <c r="K9304" s="370"/>
      <c r="N9304" s="370"/>
    </row>
    <row r="9305" spans="1:14" s="347" customFormat="1" x14ac:dyDescent="0.25">
      <c r="A9305" s="369"/>
      <c r="E9305" s="396"/>
      <c r="F9305" s="396"/>
      <c r="G9305" s="396"/>
      <c r="K9305" s="370"/>
      <c r="N9305" s="370"/>
    </row>
    <row r="9306" spans="1:14" s="347" customFormat="1" x14ac:dyDescent="0.25">
      <c r="A9306" s="369"/>
      <c r="E9306" s="396"/>
      <c r="F9306" s="396"/>
      <c r="G9306" s="396"/>
      <c r="K9306" s="370"/>
      <c r="N9306" s="370"/>
    </row>
    <row r="9307" spans="1:14" s="347" customFormat="1" x14ac:dyDescent="0.25">
      <c r="A9307" s="369"/>
      <c r="E9307" s="396"/>
      <c r="F9307" s="396"/>
      <c r="G9307" s="396"/>
      <c r="K9307" s="370"/>
      <c r="N9307" s="370"/>
    </row>
    <row r="9308" spans="1:14" s="347" customFormat="1" x14ac:dyDescent="0.25">
      <c r="A9308" s="369"/>
      <c r="E9308" s="396"/>
      <c r="F9308" s="396"/>
      <c r="G9308" s="396"/>
      <c r="K9308" s="370"/>
      <c r="N9308" s="370"/>
    </row>
    <row r="9309" spans="1:14" s="347" customFormat="1" x14ac:dyDescent="0.25">
      <c r="A9309" s="369"/>
      <c r="E9309" s="396"/>
      <c r="F9309" s="396"/>
      <c r="G9309" s="396"/>
      <c r="K9309" s="370"/>
      <c r="N9309" s="370"/>
    </row>
    <row r="9310" spans="1:14" s="347" customFormat="1" x14ac:dyDescent="0.25">
      <c r="A9310" s="369"/>
      <c r="E9310" s="396"/>
      <c r="F9310" s="396"/>
      <c r="G9310" s="396"/>
      <c r="K9310" s="370"/>
      <c r="N9310" s="370"/>
    </row>
    <row r="9311" spans="1:14" s="347" customFormat="1" x14ac:dyDescent="0.25">
      <c r="A9311" s="369"/>
      <c r="E9311" s="396"/>
      <c r="F9311" s="396"/>
      <c r="G9311" s="396"/>
      <c r="K9311" s="370"/>
      <c r="N9311" s="370"/>
    </row>
    <row r="9312" spans="1:14" s="347" customFormat="1" x14ac:dyDescent="0.25">
      <c r="A9312" s="369"/>
      <c r="E9312" s="396"/>
      <c r="F9312" s="396"/>
      <c r="G9312" s="396"/>
      <c r="K9312" s="370"/>
      <c r="N9312" s="370"/>
    </row>
    <row r="9313" spans="1:14" s="347" customFormat="1" x14ac:dyDescent="0.25">
      <c r="A9313" s="369"/>
      <c r="E9313" s="396"/>
      <c r="F9313" s="396"/>
      <c r="G9313" s="396"/>
      <c r="K9313" s="370"/>
      <c r="N9313" s="370"/>
    </row>
    <row r="9314" spans="1:14" s="347" customFormat="1" x14ac:dyDescent="0.25">
      <c r="A9314" s="369"/>
      <c r="E9314" s="396"/>
      <c r="F9314" s="396"/>
      <c r="G9314" s="396"/>
      <c r="K9314" s="370"/>
      <c r="N9314" s="370"/>
    </row>
    <row r="9315" spans="1:14" s="347" customFormat="1" x14ac:dyDescent="0.25">
      <c r="A9315" s="369"/>
      <c r="E9315" s="396"/>
      <c r="F9315" s="396"/>
      <c r="G9315" s="396"/>
      <c r="K9315" s="370"/>
      <c r="N9315" s="370"/>
    </row>
    <row r="9316" spans="1:14" s="347" customFormat="1" x14ac:dyDescent="0.25">
      <c r="A9316" s="369"/>
      <c r="E9316" s="396"/>
      <c r="F9316" s="396"/>
      <c r="G9316" s="396"/>
      <c r="K9316" s="370"/>
      <c r="N9316" s="370"/>
    </row>
    <row r="9317" spans="1:14" s="347" customFormat="1" x14ac:dyDescent="0.25">
      <c r="A9317" s="369"/>
      <c r="E9317" s="396"/>
      <c r="F9317" s="396"/>
      <c r="G9317" s="396"/>
      <c r="K9317" s="370"/>
      <c r="N9317" s="370"/>
    </row>
    <row r="9318" spans="1:14" s="347" customFormat="1" x14ac:dyDescent="0.25">
      <c r="A9318" s="369"/>
      <c r="E9318" s="396"/>
      <c r="F9318" s="396"/>
      <c r="G9318" s="396"/>
      <c r="K9318" s="370"/>
      <c r="N9318" s="370"/>
    </row>
    <row r="9319" spans="1:14" s="347" customFormat="1" x14ac:dyDescent="0.25">
      <c r="A9319" s="369"/>
      <c r="E9319" s="396"/>
      <c r="F9319" s="396"/>
      <c r="G9319" s="396"/>
      <c r="K9319" s="370"/>
      <c r="N9319" s="370"/>
    </row>
    <row r="9320" spans="1:14" s="347" customFormat="1" x14ac:dyDescent="0.25">
      <c r="A9320" s="369"/>
      <c r="E9320" s="396"/>
      <c r="F9320" s="396"/>
      <c r="G9320" s="396"/>
      <c r="K9320" s="370"/>
      <c r="N9320" s="370"/>
    </row>
    <row r="9321" spans="1:14" s="347" customFormat="1" x14ac:dyDescent="0.25">
      <c r="A9321" s="369"/>
      <c r="E9321" s="396"/>
      <c r="F9321" s="396"/>
      <c r="G9321" s="396"/>
      <c r="K9321" s="370"/>
      <c r="N9321" s="370"/>
    </row>
    <row r="9322" spans="1:14" s="347" customFormat="1" x14ac:dyDescent="0.25">
      <c r="A9322" s="369"/>
      <c r="E9322" s="396"/>
      <c r="F9322" s="396"/>
      <c r="G9322" s="396"/>
      <c r="K9322" s="370"/>
      <c r="N9322" s="370"/>
    </row>
    <row r="9323" spans="1:14" s="347" customFormat="1" x14ac:dyDescent="0.25">
      <c r="A9323" s="369"/>
      <c r="E9323" s="396"/>
      <c r="F9323" s="396"/>
      <c r="G9323" s="396"/>
      <c r="K9323" s="370"/>
      <c r="N9323" s="370"/>
    </row>
    <row r="9324" spans="1:14" s="347" customFormat="1" x14ac:dyDescent="0.25">
      <c r="A9324" s="369"/>
      <c r="E9324" s="396"/>
      <c r="F9324" s="396"/>
      <c r="G9324" s="396"/>
      <c r="K9324" s="370"/>
      <c r="N9324" s="370"/>
    </row>
    <row r="9325" spans="1:14" s="347" customFormat="1" x14ac:dyDescent="0.25">
      <c r="A9325" s="369"/>
      <c r="E9325" s="396"/>
      <c r="F9325" s="396"/>
      <c r="G9325" s="396"/>
      <c r="K9325" s="370"/>
      <c r="N9325" s="370"/>
    </row>
    <row r="9326" spans="1:14" s="347" customFormat="1" x14ac:dyDescent="0.25">
      <c r="A9326" s="369"/>
      <c r="E9326" s="396"/>
      <c r="F9326" s="396"/>
      <c r="G9326" s="396"/>
      <c r="K9326" s="370"/>
      <c r="N9326" s="370"/>
    </row>
    <row r="9327" spans="1:14" s="347" customFormat="1" x14ac:dyDescent="0.25">
      <c r="A9327" s="369"/>
      <c r="E9327" s="396"/>
      <c r="F9327" s="396"/>
      <c r="G9327" s="396"/>
      <c r="K9327" s="370"/>
      <c r="N9327" s="370"/>
    </row>
    <row r="9328" spans="1:14" s="347" customFormat="1" x14ac:dyDescent="0.25">
      <c r="A9328" s="369"/>
      <c r="E9328" s="396"/>
      <c r="F9328" s="396"/>
      <c r="G9328" s="396"/>
      <c r="K9328" s="370"/>
      <c r="N9328" s="370"/>
    </row>
    <row r="9329" spans="1:14" s="347" customFormat="1" x14ac:dyDescent="0.25">
      <c r="A9329" s="369"/>
      <c r="E9329" s="396"/>
      <c r="F9329" s="396"/>
      <c r="G9329" s="396"/>
      <c r="K9329" s="370"/>
      <c r="N9329" s="370"/>
    </row>
    <row r="9330" spans="1:14" s="347" customFormat="1" x14ac:dyDescent="0.25">
      <c r="A9330" s="369"/>
      <c r="E9330" s="396"/>
      <c r="F9330" s="396"/>
      <c r="G9330" s="396"/>
      <c r="K9330" s="370"/>
      <c r="N9330" s="370"/>
    </row>
    <row r="9331" spans="1:14" s="347" customFormat="1" x14ac:dyDescent="0.25">
      <c r="A9331" s="369"/>
      <c r="E9331" s="396"/>
      <c r="F9331" s="396"/>
      <c r="G9331" s="396"/>
      <c r="K9331" s="370"/>
      <c r="N9331" s="370"/>
    </row>
    <row r="9332" spans="1:14" s="347" customFormat="1" x14ac:dyDescent="0.25">
      <c r="A9332" s="369"/>
      <c r="E9332" s="396"/>
      <c r="F9332" s="396"/>
      <c r="G9332" s="396"/>
      <c r="K9332" s="370"/>
      <c r="N9332" s="370"/>
    </row>
    <row r="9333" spans="1:14" s="347" customFormat="1" x14ac:dyDescent="0.25">
      <c r="A9333" s="369"/>
      <c r="E9333" s="396"/>
      <c r="F9333" s="396"/>
      <c r="G9333" s="396"/>
      <c r="K9333" s="370"/>
      <c r="N9333" s="370"/>
    </row>
    <row r="9334" spans="1:14" s="347" customFormat="1" x14ac:dyDescent="0.25">
      <c r="A9334" s="369"/>
      <c r="E9334" s="396"/>
      <c r="F9334" s="396"/>
      <c r="G9334" s="396"/>
      <c r="K9334" s="370"/>
      <c r="N9334" s="370"/>
    </row>
    <row r="9335" spans="1:14" s="347" customFormat="1" x14ac:dyDescent="0.25">
      <c r="A9335" s="369"/>
      <c r="E9335" s="396"/>
      <c r="F9335" s="396"/>
      <c r="G9335" s="396"/>
      <c r="K9335" s="370"/>
      <c r="N9335" s="370"/>
    </row>
    <row r="9336" spans="1:14" s="347" customFormat="1" x14ac:dyDescent="0.25">
      <c r="A9336" s="369"/>
      <c r="E9336" s="396"/>
      <c r="F9336" s="396"/>
      <c r="G9336" s="396"/>
      <c r="K9336" s="370"/>
      <c r="N9336" s="370"/>
    </row>
    <row r="9337" spans="1:14" s="347" customFormat="1" x14ac:dyDescent="0.25">
      <c r="A9337" s="369"/>
      <c r="E9337" s="396"/>
      <c r="F9337" s="396"/>
      <c r="G9337" s="396"/>
      <c r="K9337" s="370"/>
      <c r="N9337" s="370"/>
    </row>
    <row r="9338" spans="1:14" s="347" customFormat="1" x14ac:dyDescent="0.25">
      <c r="A9338" s="369"/>
      <c r="E9338" s="396"/>
      <c r="F9338" s="396"/>
      <c r="G9338" s="396"/>
      <c r="K9338" s="370"/>
      <c r="N9338" s="370"/>
    </row>
    <row r="9339" spans="1:14" s="347" customFormat="1" x14ac:dyDescent="0.25">
      <c r="A9339" s="369"/>
      <c r="E9339" s="396"/>
      <c r="F9339" s="396"/>
      <c r="G9339" s="396"/>
      <c r="K9339" s="370"/>
      <c r="N9339" s="370"/>
    </row>
    <row r="9340" spans="1:14" s="347" customFormat="1" x14ac:dyDescent="0.25">
      <c r="A9340" s="369"/>
      <c r="E9340" s="396"/>
      <c r="F9340" s="396"/>
      <c r="G9340" s="396"/>
      <c r="K9340" s="370"/>
      <c r="N9340" s="370"/>
    </row>
    <row r="9341" spans="1:14" s="347" customFormat="1" x14ac:dyDescent="0.25">
      <c r="A9341" s="369"/>
      <c r="E9341" s="396"/>
      <c r="F9341" s="396"/>
      <c r="G9341" s="396"/>
      <c r="K9341" s="370"/>
      <c r="N9341" s="370"/>
    </row>
    <row r="9342" spans="1:14" s="347" customFormat="1" x14ac:dyDescent="0.25">
      <c r="A9342" s="369"/>
      <c r="E9342" s="396"/>
      <c r="F9342" s="396"/>
      <c r="G9342" s="396"/>
      <c r="K9342" s="370"/>
      <c r="N9342" s="370"/>
    </row>
    <row r="9343" spans="1:14" s="347" customFormat="1" x14ac:dyDescent="0.25">
      <c r="A9343" s="369"/>
      <c r="E9343" s="396"/>
      <c r="F9343" s="396"/>
      <c r="G9343" s="396"/>
      <c r="K9343" s="370"/>
      <c r="N9343" s="370"/>
    </row>
    <row r="9344" spans="1:14" s="347" customFormat="1" x14ac:dyDescent="0.25">
      <c r="A9344" s="369"/>
      <c r="E9344" s="396"/>
      <c r="F9344" s="396"/>
      <c r="G9344" s="396"/>
      <c r="K9344" s="370"/>
      <c r="N9344" s="370"/>
    </row>
    <row r="9345" spans="1:14" s="347" customFormat="1" x14ac:dyDescent="0.25">
      <c r="A9345" s="369"/>
      <c r="E9345" s="396"/>
      <c r="F9345" s="396"/>
      <c r="G9345" s="396"/>
      <c r="K9345" s="370"/>
      <c r="N9345" s="370"/>
    </row>
    <row r="9346" spans="1:14" s="347" customFormat="1" x14ac:dyDescent="0.25">
      <c r="A9346" s="369"/>
      <c r="E9346" s="396"/>
      <c r="F9346" s="396"/>
      <c r="G9346" s="396"/>
      <c r="K9346" s="370"/>
      <c r="N9346" s="370"/>
    </row>
    <row r="9347" spans="1:14" s="347" customFormat="1" x14ac:dyDescent="0.25">
      <c r="A9347" s="369"/>
      <c r="E9347" s="396"/>
      <c r="F9347" s="396"/>
      <c r="G9347" s="396"/>
      <c r="K9347" s="370"/>
      <c r="N9347" s="370"/>
    </row>
    <row r="9348" spans="1:14" s="347" customFormat="1" x14ac:dyDescent="0.25">
      <c r="A9348" s="369"/>
      <c r="E9348" s="396"/>
      <c r="F9348" s="396"/>
      <c r="G9348" s="396"/>
      <c r="K9348" s="370"/>
      <c r="N9348" s="370"/>
    </row>
    <row r="9349" spans="1:14" s="347" customFormat="1" x14ac:dyDescent="0.25">
      <c r="A9349" s="369"/>
      <c r="E9349" s="396"/>
      <c r="F9349" s="396"/>
      <c r="G9349" s="396"/>
      <c r="K9349" s="370"/>
      <c r="N9349" s="370"/>
    </row>
    <row r="9350" spans="1:14" s="347" customFormat="1" x14ac:dyDescent="0.25">
      <c r="A9350" s="369"/>
      <c r="E9350" s="396"/>
      <c r="F9350" s="396"/>
      <c r="G9350" s="396"/>
      <c r="K9350" s="370"/>
      <c r="N9350" s="370"/>
    </row>
    <row r="9351" spans="1:14" s="347" customFormat="1" x14ac:dyDescent="0.25">
      <c r="A9351" s="369"/>
      <c r="E9351" s="396"/>
      <c r="F9351" s="396"/>
      <c r="G9351" s="396"/>
      <c r="K9351" s="370"/>
      <c r="N9351" s="370"/>
    </row>
    <row r="9352" spans="1:14" s="347" customFormat="1" x14ac:dyDescent="0.25">
      <c r="A9352" s="369"/>
      <c r="E9352" s="396"/>
      <c r="F9352" s="396"/>
      <c r="G9352" s="396"/>
      <c r="K9352" s="370"/>
      <c r="N9352" s="370"/>
    </row>
    <row r="9353" spans="1:14" s="347" customFormat="1" x14ac:dyDescent="0.25">
      <c r="A9353" s="369"/>
      <c r="E9353" s="396"/>
      <c r="F9353" s="396"/>
      <c r="G9353" s="396"/>
      <c r="K9353" s="370"/>
      <c r="N9353" s="370"/>
    </row>
    <row r="9354" spans="1:14" s="347" customFormat="1" x14ac:dyDescent="0.25">
      <c r="A9354" s="369"/>
      <c r="E9354" s="396"/>
      <c r="F9354" s="396"/>
      <c r="G9354" s="396"/>
      <c r="K9354" s="370"/>
      <c r="N9354" s="370"/>
    </row>
    <row r="9355" spans="1:14" s="347" customFormat="1" x14ac:dyDescent="0.25">
      <c r="A9355" s="369"/>
      <c r="E9355" s="396"/>
      <c r="F9355" s="396"/>
      <c r="G9355" s="396"/>
      <c r="K9355" s="370"/>
      <c r="N9355" s="370"/>
    </row>
    <row r="9356" spans="1:14" s="347" customFormat="1" x14ac:dyDescent="0.25">
      <c r="A9356" s="369"/>
      <c r="E9356" s="396"/>
      <c r="F9356" s="396"/>
      <c r="G9356" s="396"/>
      <c r="K9356" s="370"/>
      <c r="N9356" s="370"/>
    </row>
    <row r="9357" spans="1:14" s="347" customFormat="1" x14ac:dyDescent="0.25">
      <c r="A9357" s="369"/>
      <c r="E9357" s="396"/>
      <c r="F9357" s="396"/>
      <c r="G9357" s="396"/>
      <c r="K9357" s="370"/>
      <c r="N9357" s="370"/>
    </row>
    <row r="9358" spans="1:14" s="347" customFormat="1" x14ac:dyDescent="0.25">
      <c r="A9358" s="369"/>
      <c r="E9358" s="396"/>
      <c r="F9358" s="396"/>
      <c r="G9358" s="396"/>
      <c r="K9358" s="370"/>
      <c r="N9358" s="370"/>
    </row>
    <row r="9359" spans="1:14" s="347" customFormat="1" x14ac:dyDescent="0.25">
      <c r="A9359" s="369"/>
      <c r="E9359" s="396"/>
      <c r="F9359" s="396"/>
      <c r="G9359" s="396"/>
      <c r="K9359" s="370"/>
      <c r="N9359" s="370"/>
    </row>
    <row r="9360" spans="1:14" s="347" customFormat="1" x14ac:dyDescent="0.25">
      <c r="A9360" s="369"/>
      <c r="E9360" s="396"/>
      <c r="F9360" s="396"/>
      <c r="G9360" s="396"/>
      <c r="K9360" s="370"/>
      <c r="N9360" s="370"/>
    </row>
    <row r="9361" spans="1:14" s="347" customFormat="1" x14ac:dyDescent="0.25">
      <c r="A9361" s="369"/>
      <c r="E9361" s="396"/>
      <c r="F9361" s="396"/>
      <c r="G9361" s="396"/>
      <c r="K9361" s="370"/>
      <c r="N9361" s="370"/>
    </row>
    <row r="9362" spans="1:14" s="347" customFormat="1" x14ac:dyDescent="0.25">
      <c r="A9362" s="369"/>
      <c r="E9362" s="396"/>
      <c r="F9362" s="396"/>
      <c r="G9362" s="396"/>
      <c r="K9362" s="370"/>
      <c r="N9362" s="370"/>
    </row>
    <row r="9363" spans="1:14" s="347" customFormat="1" x14ac:dyDescent="0.25">
      <c r="A9363" s="369"/>
      <c r="E9363" s="396"/>
      <c r="F9363" s="396"/>
      <c r="G9363" s="396"/>
      <c r="K9363" s="370"/>
      <c r="N9363" s="370"/>
    </row>
    <row r="9364" spans="1:14" s="347" customFormat="1" x14ac:dyDescent="0.25">
      <c r="A9364" s="369"/>
      <c r="E9364" s="396"/>
      <c r="F9364" s="396"/>
      <c r="G9364" s="396"/>
      <c r="K9364" s="370"/>
      <c r="N9364" s="370"/>
    </row>
    <row r="9365" spans="1:14" s="347" customFormat="1" x14ac:dyDescent="0.25">
      <c r="A9365" s="369"/>
      <c r="E9365" s="396"/>
      <c r="F9365" s="396"/>
      <c r="G9365" s="396"/>
      <c r="K9365" s="370"/>
      <c r="N9365" s="370"/>
    </row>
    <row r="9366" spans="1:14" s="347" customFormat="1" x14ac:dyDescent="0.25">
      <c r="A9366" s="369"/>
      <c r="E9366" s="396"/>
      <c r="F9366" s="396"/>
      <c r="G9366" s="396"/>
      <c r="K9366" s="370"/>
      <c r="N9366" s="370"/>
    </row>
    <row r="9367" spans="1:14" s="347" customFormat="1" x14ac:dyDescent="0.25">
      <c r="A9367" s="369"/>
      <c r="E9367" s="396"/>
      <c r="F9367" s="396"/>
      <c r="G9367" s="396"/>
      <c r="K9367" s="370"/>
      <c r="N9367" s="370"/>
    </row>
    <row r="9368" spans="1:14" s="347" customFormat="1" x14ac:dyDescent="0.25">
      <c r="A9368" s="369"/>
      <c r="E9368" s="396"/>
      <c r="F9368" s="396"/>
      <c r="G9368" s="396"/>
      <c r="K9368" s="370"/>
      <c r="N9368" s="370"/>
    </row>
    <row r="9369" spans="1:14" s="347" customFormat="1" x14ac:dyDescent="0.25">
      <c r="A9369" s="369"/>
      <c r="E9369" s="396"/>
      <c r="F9369" s="396"/>
      <c r="G9369" s="396"/>
      <c r="K9369" s="370"/>
      <c r="N9369" s="370"/>
    </row>
    <row r="9370" spans="1:14" s="347" customFormat="1" x14ac:dyDescent="0.25">
      <c r="A9370" s="369"/>
      <c r="E9370" s="396"/>
      <c r="F9370" s="396"/>
      <c r="G9370" s="396"/>
      <c r="K9370" s="370"/>
      <c r="N9370" s="370"/>
    </row>
    <row r="9371" spans="1:14" s="347" customFormat="1" x14ac:dyDescent="0.25">
      <c r="A9371" s="369"/>
      <c r="E9371" s="396"/>
      <c r="F9371" s="396"/>
      <c r="G9371" s="396"/>
      <c r="K9371" s="370"/>
      <c r="N9371" s="370"/>
    </row>
    <row r="9372" spans="1:14" s="347" customFormat="1" x14ac:dyDescent="0.25">
      <c r="A9372" s="369"/>
      <c r="E9372" s="396"/>
      <c r="F9372" s="396"/>
      <c r="G9372" s="396"/>
      <c r="K9372" s="370"/>
      <c r="N9372" s="370"/>
    </row>
    <row r="9373" spans="1:14" s="347" customFormat="1" x14ac:dyDescent="0.25">
      <c r="A9373" s="369"/>
      <c r="E9373" s="396"/>
      <c r="F9373" s="396"/>
      <c r="G9373" s="396"/>
      <c r="K9373" s="370"/>
      <c r="N9373" s="370"/>
    </row>
    <row r="9374" spans="1:14" s="347" customFormat="1" x14ac:dyDescent="0.25">
      <c r="A9374" s="369"/>
      <c r="E9374" s="396"/>
      <c r="F9374" s="396"/>
      <c r="G9374" s="396"/>
      <c r="K9374" s="370"/>
      <c r="N9374" s="370"/>
    </row>
    <row r="9375" spans="1:14" s="347" customFormat="1" x14ac:dyDescent="0.25">
      <c r="A9375" s="369"/>
      <c r="E9375" s="396"/>
      <c r="F9375" s="396"/>
      <c r="G9375" s="396"/>
      <c r="K9375" s="370"/>
      <c r="N9375" s="370"/>
    </row>
    <row r="9376" spans="1:14" s="347" customFormat="1" x14ac:dyDescent="0.25">
      <c r="A9376" s="369"/>
      <c r="E9376" s="396"/>
      <c r="F9376" s="396"/>
      <c r="G9376" s="396"/>
      <c r="K9376" s="370"/>
      <c r="N9376" s="370"/>
    </row>
    <row r="9377" spans="1:14" s="347" customFormat="1" x14ac:dyDescent="0.25">
      <c r="A9377" s="369"/>
      <c r="E9377" s="396"/>
      <c r="F9377" s="396"/>
      <c r="G9377" s="396"/>
      <c r="K9377" s="370"/>
      <c r="N9377" s="370"/>
    </row>
    <row r="9378" spans="1:14" s="347" customFormat="1" x14ac:dyDescent="0.25">
      <c r="A9378" s="369"/>
      <c r="E9378" s="396"/>
      <c r="F9378" s="396"/>
      <c r="G9378" s="396"/>
      <c r="K9378" s="370"/>
      <c r="N9378" s="370"/>
    </row>
    <row r="9379" spans="1:14" s="347" customFormat="1" x14ac:dyDescent="0.25">
      <c r="A9379" s="369"/>
      <c r="E9379" s="396"/>
      <c r="F9379" s="396"/>
      <c r="G9379" s="396"/>
      <c r="K9379" s="370"/>
      <c r="N9379" s="370"/>
    </row>
    <row r="9380" spans="1:14" s="347" customFormat="1" x14ac:dyDescent="0.25">
      <c r="A9380" s="369"/>
      <c r="E9380" s="396"/>
      <c r="F9380" s="396"/>
      <c r="G9380" s="396"/>
      <c r="K9380" s="370"/>
      <c r="N9380" s="370"/>
    </row>
    <row r="9381" spans="1:14" s="347" customFormat="1" x14ac:dyDescent="0.25">
      <c r="A9381" s="369"/>
      <c r="E9381" s="396"/>
      <c r="F9381" s="396"/>
      <c r="G9381" s="396"/>
      <c r="K9381" s="370"/>
      <c r="N9381" s="370"/>
    </row>
    <row r="9382" spans="1:14" s="347" customFormat="1" x14ac:dyDescent="0.25">
      <c r="A9382" s="369"/>
      <c r="E9382" s="396"/>
      <c r="F9382" s="396"/>
      <c r="G9382" s="396"/>
      <c r="K9382" s="370"/>
      <c r="N9382" s="370"/>
    </row>
    <row r="9383" spans="1:14" s="347" customFormat="1" x14ac:dyDescent="0.25">
      <c r="A9383" s="369"/>
      <c r="E9383" s="396"/>
      <c r="F9383" s="396"/>
      <c r="G9383" s="396"/>
      <c r="K9383" s="370"/>
      <c r="N9383" s="370"/>
    </row>
    <row r="9384" spans="1:14" s="347" customFormat="1" x14ac:dyDescent="0.25">
      <c r="A9384" s="369"/>
      <c r="E9384" s="396"/>
      <c r="F9384" s="396"/>
      <c r="G9384" s="396"/>
      <c r="K9384" s="370"/>
      <c r="N9384" s="370"/>
    </row>
    <row r="9385" spans="1:14" s="347" customFormat="1" x14ac:dyDescent="0.25">
      <c r="A9385" s="369"/>
      <c r="E9385" s="396"/>
      <c r="F9385" s="396"/>
      <c r="G9385" s="396"/>
      <c r="K9385" s="370"/>
      <c r="N9385" s="370"/>
    </row>
    <row r="9386" spans="1:14" s="347" customFormat="1" x14ac:dyDescent="0.25">
      <c r="A9386" s="369"/>
      <c r="E9386" s="396"/>
      <c r="F9386" s="396"/>
      <c r="G9386" s="396"/>
      <c r="K9386" s="370"/>
      <c r="N9386" s="370"/>
    </row>
    <row r="9387" spans="1:14" s="347" customFormat="1" x14ac:dyDescent="0.25">
      <c r="A9387" s="369"/>
      <c r="E9387" s="396"/>
      <c r="F9387" s="396"/>
      <c r="G9387" s="396"/>
      <c r="K9387" s="370"/>
      <c r="N9387" s="370"/>
    </row>
    <row r="9388" spans="1:14" s="347" customFormat="1" x14ac:dyDescent="0.25">
      <c r="A9388" s="369"/>
      <c r="E9388" s="396"/>
      <c r="F9388" s="396"/>
      <c r="G9388" s="396"/>
      <c r="K9388" s="370"/>
      <c r="N9388" s="370"/>
    </row>
    <row r="9389" spans="1:14" s="347" customFormat="1" x14ac:dyDescent="0.25">
      <c r="A9389" s="369"/>
      <c r="E9389" s="396"/>
      <c r="F9389" s="396"/>
      <c r="G9389" s="396"/>
      <c r="K9389" s="370"/>
      <c r="N9389" s="370"/>
    </row>
    <row r="9390" spans="1:14" s="347" customFormat="1" x14ac:dyDescent="0.25">
      <c r="A9390" s="369"/>
      <c r="E9390" s="396"/>
      <c r="F9390" s="396"/>
      <c r="G9390" s="396"/>
      <c r="K9390" s="370"/>
      <c r="N9390" s="370"/>
    </row>
    <row r="9391" spans="1:14" s="347" customFormat="1" x14ac:dyDescent="0.25">
      <c r="A9391" s="369"/>
      <c r="E9391" s="396"/>
      <c r="F9391" s="396"/>
      <c r="G9391" s="396"/>
      <c r="K9391" s="370"/>
      <c r="N9391" s="370"/>
    </row>
    <row r="9392" spans="1:14" s="347" customFormat="1" x14ac:dyDescent="0.25">
      <c r="A9392" s="369"/>
      <c r="E9392" s="396"/>
      <c r="F9392" s="396"/>
      <c r="G9392" s="396"/>
      <c r="K9392" s="370"/>
      <c r="N9392" s="370"/>
    </row>
    <row r="9393" spans="1:14" s="347" customFormat="1" x14ac:dyDescent="0.25">
      <c r="A9393" s="369"/>
      <c r="E9393" s="396"/>
      <c r="F9393" s="396"/>
      <c r="G9393" s="396"/>
      <c r="K9393" s="370"/>
      <c r="N9393" s="370"/>
    </row>
    <row r="9394" spans="1:14" s="347" customFormat="1" x14ac:dyDescent="0.25">
      <c r="A9394" s="369"/>
      <c r="E9394" s="396"/>
      <c r="F9394" s="396"/>
      <c r="G9394" s="396"/>
      <c r="K9394" s="370"/>
      <c r="N9394" s="370"/>
    </row>
    <row r="9395" spans="1:14" s="347" customFormat="1" x14ac:dyDescent="0.25">
      <c r="A9395" s="369"/>
      <c r="E9395" s="396"/>
      <c r="F9395" s="396"/>
      <c r="G9395" s="396"/>
      <c r="K9395" s="370"/>
      <c r="N9395" s="370"/>
    </row>
    <row r="9396" spans="1:14" s="347" customFormat="1" x14ac:dyDescent="0.25">
      <c r="A9396" s="369"/>
      <c r="E9396" s="396"/>
      <c r="F9396" s="396"/>
      <c r="G9396" s="396"/>
      <c r="K9396" s="370"/>
      <c r="N9396" s="370"/>
    </row>
    <row r="9397" spans="1:14" s="347" customFormat="1" x14ac:dyDescent="0.25">
      <c r="A9397" s="369"/>
      <c r="E9397" s="396"/>
      <c r="F9397" s="396"/>
      <c r="G9397" s="396"/>
      <c r="K9397" s="370"/>
      <c r="N9397" s="370"/>
    </row>
    <row r="9398" spans="1:14" s="347" customFormat="1" x14ac:dyDescent="0.25">
      <c r="A9398" s="369"/>
      <c r="E9398" s="396"/>
      <c r="F9398" s="396"/>
      <c r="G9398" s="396"/>
      <c r="K9398" s="370"/>
      <c r="N9398" s="370"/>
    </row>
    <row r="9399" spans="1:14" s="347" customFormat="1" x14ac:dyDescent="0.25">
      <c r="A9399" s="369"/>
      <c r="E9399" s="396"/>
      <c r="F9399" s="396"/>
      <c r="G9399" s="396"/>
      <c r="K9399" s="370"/>
      <c r="N9399" s="370"/>
    </row>
    <row r="9400" spans="1:14" s="347" customFormat="1" x14ac:dyDescent="0.25">
      <c r="A9400" s="369"/>
      <c r="E9400" s="396"/>
      <c r="F9400" s="396"/>
      <c r="G9400" s="396"/>
      <c r="K9400" s="370"/>
      <c r="N9400" s="370"/>
    </row>
    <row r="9401" spans="1:14" s="347" customFormat="1" x14ac:dyDescent="0.25">
      <c r="A9401" s="369"/>
      <c r="E9401" s="396"/>
      <c r="F9401" s="396"/>
      <c r="G9401" s="396"/>
      <c r="K9401" s="370"/>
      <c r="N9401" s="370"/>
    </row>
    <row r="9402" spans="1:14" s="347" customFormat="1" x14ac:dyDescent="0.25">
      <c r="A9402" s="369"/>
      <c r="E9402" s="396"/>
      <c r="F9402" s="396"/>
      <c r="G9402" s="396"/>
      <c r="K9402" s="370"/>
      <c r="N9402" s="370"/>
    </row>
    <row r="9403" spans="1:14" s="347" customFormat="1" x14ac:dyDescent="0.25">
      <c r="A9403" s="369"/>
      <c r="E9403" s="396"/>
      <c r="F9403" s="396"/>
      <c r="G9403" s="396"/>
      <c r="K9403" s="370"/>
      <c r="N9403" s="370"/>
    </row>
    <row r="9404" spans="1:14" s="347" customFormat="1" x14ac:dyDescent="0.25">
      <c r="A9404" s="369"/>
      <c r="E9404" s="396"/>
      <c r="F9404" s="396"/>
      <c r="G9404" s="396"/>
      <c r="K9404" s="370"/>
      <c r="N9404" s="370"/>
    </row>
    <row r="9405" spans="1:14" s="347" customFormat="1" x14ac:dyDescent="0.25">
      <c r="A9405" s="369"/>
      <c r="E9405" s="396"/>
      <c r="F9405" s="396"/>
      <c r="G9405" s="396"/>
      <c r="K9405" s="370"/>
      <c r="N9405" s="370"/>
    </row>
    <row r="9406" spans="1:14" s="347" customFormat="1" x14ac:dyDescent="0.25">
      <c r="A9406" s="369"/>
      <c r="E9406" s="396"/>
      <c r="F9406" s="396"/>
      <c r="G9406" s="396"/>
      <c r="K9406" s="370"/>
      <c r="N9406" s="370"/>
    </row>
    <row r="9407" spans="1:14" s="347" customFormat="1" x14ac:dyDescent="0.25">
      <c r="A9407" s="369"/>
      <c r="E9407" s="396"/>
      <c r="F9407" s="396"/>
      <c r="G9407" s="396"/>
      <c r="K9407" s="370"/>
      <c r="N9407" s="370"/>
    </row>
    <row r="9408" spans="1:14" s="347" customFormat="1" x14ac:dyDescent="0.25">
      <c r="A9408" s="369"/>
      <c r="E9408" s="396"/>
      <c r="F9408" s="396"/>
      <c r="G9408" s="396"/>
      <c r="K9408" s="370"/>
      <c r="N9408" s="370"/>
    </row>
    <row r="9409" spans="1:14" s="347" customFormat="1" x14ac:dyDescent="0.25">
      <c r="A9409" s="369"/>
      <c r="E9409" s="396"/>
      <c r="F9409" s="396"/>
      <c r="G9409" s="396"/>
      <c r="K9409" s="370"/>
      <c r="N9409" s="370"/>
    </row>
    <row r="9410" spans="1:14" s="347" customFormat="1" x14ac:dyDescent="0.25">
      <c r="A9410" s="369"/>
      <c r="E9410" s="396"/>
      <c r="F9410" s="396"/>
      <c r="G9410" s="396"/>
      <c r="K9410" s="370"/>
      <c r="N9410" s="370"/>
    </row>
    <row r="9411" spans="1:14" s="347" customFormat="1" x14ac:dyDescent="0.25">
      <c r="A9411" s="369"/>
      <c r="E9411" s="396"/>
      <c r="F9411" s="396"/>
      <c r="G9411" s="396"/>
      <c r="K9411" s="370"/>
      <c r="N9411" s="370"/>
    </row>
    <row r="9412" spans="1:14" s="347" customFormat="1" x14ac:dyDescent="0.25">
      <c r="A9412" s="369"/>
      <c r="E9412" s="396"/>
      <c r="F9412" s="396"/>
      <c r="G9412" s="396"/>
      <c r="K9412" s="370"/>
      <c r="N9412" s="370"/>
    </row>
    <row r="9413" spans="1:14" s="347" customFormat="1" x14ac:dyDescent="0.25">
      <c r="A9413" s="369"/>
      <c r="E9413" s="396"/>
      <c r="F9413" s="396"/>
      <c r="G9413" s="396"/>
      <c r="K9413" s="370"/>
      <c r="N9413" s="370"/>
    </row>
    <row r="9414" spans="1:14" s="347" customFormat="1" x14ac:dyDescent="0.25">
      <c r="A9414" s="369"/>
      <c r="E9414" s="396"/>
      <c r="F9414" s="396"/>
      <c r="G9414" s="396"/>
      <c r="K9414" s="370"/>
      <c r="N9414" s="370"/>
    </row>
    <row r="9415" spans="1:14" s="347" customFormat="1" x14ac:dyDescent="0.25">
      <c r="A9415" s="369"/>
      <c r="E9415" s="396"/>
      <c r="F9415" s="396"/>
      <c r="G9415" s="396"/>
      <c r="K9415" s="370"/>
      <c r="N9415" s="370"/>
    </row>
    <row r="9416" spans="1:14" s="347" customFormat="1" x14ac:dyDescent="0.25">
      <c r="A9416" s="369"/>
      <c r="E9416" s="396"/>
      <c r="F9416" s="396"/>
      <c r="G9416" s="396"/>
      <c r="K9416" s="370"/>
      <c r="N9416" s="370"/>
    </row>
    <row r="9417" spans="1:14" s="347" customFormat="1" x14ac:dyDescent="0.25">
      <c r="A9417" s="369"/>
      <c r="E9417" s="396"/>
      <c r="F9417" s="396"/>
      <c r="G9417" s="396"/>
      <c r="K9417" s="370"/>
      <c r="N9417" s="370"/>
    </row>
    <row r="9418" spans="1:14" s="347" customFormat="1" x14ac:dyDescent="0.25">
      <c r="A9418" s="369"/>
      <c r="E9418" s="396"/>
      <c r="F9418" s="396"/>
      <c r="G9418" s="396"/>
      <c r="K9418" s="370"/>
      <c r="N9418" s="370"/>
    </row>
    <row r="9419" spans="1:14" s="347" customFormat="1" x14ac:dyDescent="0.25">
      <c r="A9419" s="369"/>
      <c r="E9419" s="396"/>
      <c r="F9419" s="396"/>
      <c r="G9419" s="396"/>
      <c r="K9419" s="370"/>
      <c r="N9419" s="370"/>
    </row>
    <row r="9420" spans="1:14" s="347" customFormat="1" x14ac:dyDescent="0.25">
      <c r="A9420" s="369"/>
      <c r="E9420" s="396"/>
      <c r="F9420" s="396"/>
      <c r="G9420" s="396"/>
      <c r="K9420" s="370"/>
      <c r="N9420" s="370"/>
    </row>
    <row r="9421" spans="1:14" s="347" customFormat="1" x14ac:dyDescent="0.25">
      <c r="A9421" s="369"/>
      <c r="E9421" s="396"/>
      <c r="F9421" s="396"/>
      <c r="G9421" s="396"/>
      <c r="K9421" s="370"/>
      <c r="N9421" s="370"/>
    </row>
    <row r="9422" spans="1:14" s="347" customFormat="1" x14ac:dyDescent="0.25">
      <c r="A9422" s="369"/>
      <c r="E9422" s="396"/>
      <c r="F9422" s="396"/>
      <c r="G9422" s="396"/>
      <c r="K9422" s="370"/>
      <c r="N9422" s="370"/>
    </row>
    <row r="9423" spans="1:14" s="347" customFormat="1" x14ac:dyDescent="0.25">
      <c r="A9423" s="369"/>
      <c r="E9423" s="396"/>
      <c r="F9423" s="396"/>
      <c r="G9423" s="396"/>
      <c r="K9423" s="370"/>
      <c r="N9423" s="370"/>
    </row>
    <row r="9424" spans="1:14" s="347" customFormat="1" x14ac:dyDescent="0.25">
      <c r="A9424" s="369"/>
      <c r="E9424" s="396"/>
      <c r="F9424" s="396"/>
      <c r="G9424" s="396"/>
      <c r="K9424" s="370"/>
      <c r="N9424" s="370"/>
    </row>
    <row r="9425" spans="1:14" s="347" customFormat="1" x14ac:dyDescent="0.25">
      <c r="A9425" s="369"/>
      <c r="E9425" s="396"/>
      <c r="F9425" s="396"/>
      <c r="G9425" s="396"/>
      <c r="K9425" s="370"/>
      <c r="N9425" s="370"/>
    </row>
    <row r="9426" spans="1:14" s="347" customFormat="1" x14ac:dyDescent="0.25">
      <c r="A9426" s="369"/>
      <c r="E9426" s="396"/>
      <c r="F9426" s="396"/>
      <c r="G9426" s="396"/>
      <c r="K9426" s="370"/>
      <c r="N9426" s="370"/>
    </row>
    <row r="9427" spans="1:14" s="347" customFormat="1" x14ac:dyDescent="0.25">
      <c r="A9427" s="369"/>
      <c r="E9427" s="396"/>
      <c r="F9427" s="396"/>
      <c r="G9427" s="396"/>
      <c r="K9427" s="370"/>
      <c r="N9427" s="370"/>
    </row>
    <row r="9428" spans="1:14" s="347" customFormat="1" x14ac:dyDescent="0.25">
      <c r="A9428" s="369"/>
      <c r="E9428" s="396"/>
      <c r="F9428" s="396"/>
      <c r="G9428" s="396"/>
      <c r="K9428" s="370"/>
      <c r="N9428" s="370"/>
    </row>
    <row r="9429" spans="1:14" s="347" customFormat="1" x14ac:dyDescent="0.25">
      <c r="A9429" s="369"/>
      <c r="E9429" s="396"/>
      <c r="F9429" s="396"/>
      <c r="G9429" s="396"/>
      <c r="K9429" s="370"/>
      <c r="N9429" s="370"/>
    </row>
    <row r="9430" spans="1:14" s="347" customFormat="1" x14ac:dyDescent="0.25">
      <c r="A9430" s="369"/>
      <c r="E9430" s="396"/>
      <c r="F9430" s="396"/>
      <c r="G9430" s="396"/>
      <c r="K9430" s="370"/>
      <c r="N9430" s="370"/>
    </row>
    <row r="9431" spans="1:14" s="347" customFormat="1" x14ac:dyDescent="0.25">
      <c r="A9431" s="369"/>
      <c r="E9431" s="396"/>
      <c r="F9431" s="396"/>
      <c r="G9431" s="396"/>
      <c r="K9431" s="370"/>
      <c r="N9431" s="370"/>
    </row>
    <row r="9432" spans="1:14" s="347" customFormat="1" x14ac:dyDescent="0.25">
      <c r="A9432" s="369"/>
      <c r="E9432" s="396"/>
      <c r="F9432" s="396"/>
      <c r="G9432" s="396"/>
      <c r="K9432" s="370"/>
      <c r="N9432" s="370"/>
    </row>
    <row r="9433" spans="1:14" s="347" customFormat="1" x14ac:dyDescent="0.25">
      <c r="A9433" s="369"/>
      <c r="E9433" s="396"/>
      <c r="F9433" s="396"/>
      <c r="G9433" s="396"/>
      <c r="K9433" s="370"/>
      <c r="N9433" s="370"/>
    </row>
    <row r="9434" spans="1:14" s="347" customFormat="1" x14ac:dyDescent="0.25">
      <c r="A9434" s="369"/>
      <c r="E9434" s="396"/>
      <c r="F9434" s="396"/>
      <c r="G9434" s="396"/>
      <c r="K9434" s="370"/>
      <c r="N9434" s="370"/>
    </row>
    <row r="9435" spans="1:14" s="347" customFormat="1" x14ac:dyDescent="0.25">
      <c r="A9435" s="369"/>
      <c r="E9435" s="396"/>
      <c r="F9435" s="396"/>
      <c r="G9435" s="396"/>
      <c r="K9435" s="370"/>
      <c r="N9435" s="370"/>
    </row>
    <row r="9436" spans="1:14" s="347" customFormat="1" x14ac:dyDescent="0.25">
      <c r="A9436" s="369"/>
      <c r="E9436" s="396"/>
      <c r="F9436" s="396"/>
      <c r="G9436" s="396"/>
      <c r="K9436" s="370"/>
      <c r="N9436" s="370"/>
    </row>
    <row r="9437" spans="1:14" s="347" customFormat="1" x14ac:dyDescent="0.25">
      <c r="A9437" s="369"/>
      <c r="E9437" s="396"/>
      <c r="F9437" s="396"/>
      <c r="G9437" s="396"/>
      <c r="K9437" s="370"/>
      <c r="N9437" s="370"/>
    </row>
    <row r="9438" spans="1:14" s="347" customFormat="1" x14ac:dyDescent="0.25">
      <c r="A9438" s="369"/>
      <c r="E9438" s="396"/>
      <c r="F9438" s="396"/>
      <c r="G9438" s="396"/>
      <c r="K9438" s="370"/>
      <c r="N9438" s="370"/>
    </row>
    <row r="9439" spans="1:14" s="347" customFormat="1" x14ac:dyDescent="0.25">
      <c r="A9439" s="369"/>
      <c r="E9439" s="396"/>
      <c r="F9439" s="396"/>
      <c r="G9439" s="396"/>
      <c r="K9439" s="370"/>
      <c r="N9439" s="370"/>
    </row>
    <row r="9440" spans="1:14" s="347" customFormat="1" x14ac:dyDescent="0.25">
      <c r="A9440" s="369"/>
      <c r="E9440" s="396"/>
      <c r="F9440" s="396"/>
      <c r="G9440" s="396"/>
      <c r="K9440" s="370"/>
      <c r="N9440" s="370"/>
    </row>
    <row r="9441" spans="1:14" s="347" customFormat="1" x14ac:dyDescent="0.25">
      <c r="A9441" s="369"/>
      <c r="E9441" s="396"/>
      <c r="F9441" s="396"/>
      <c r="G9441" s="396"/>
      <c r="K9441" s="370"/>
      <c r="N9441" s="370"/>
    </row>
    <row r="9442" spans="1:14" s="347" customFormat="1" x14ac:dyDescent="0.25">
      <c r="A9442" s="369"/>
      <c r="E9442" s="396"/>
      <c r="F9442" s="396"/>
      <c r="G9442" s="396"/>
      <c r="K9442" s="370"/>
      <c r="N9442" s="370"/>
    </row>
    <row r="9443" spans="1:14" s="347" customFormat="1" x14ac:dyDescent="0.25">
      <c r="A9443" s="369"/>
      <c r="E9443" s="396"/>
      <c r="F9443" s="396"/>
      <c r="G9443" s="396"/>
      <c r="K9443" s="370"/>
      <c r="N9443" s="370"/>
    </row>
    <row r="9444" spans="1:14" s="347" customFormat="1" x14ac:dyDescent="0.25">
      <c r="A9444" s="369"/>
      <c r="E9444" s="396"/>
      <c r="F9444" s="396"/>
      <c r="G9444" s="396"/>
      <c r="K9444" s="370"/>
      <c r="N9444" s="370"/>
    </row>
    <row r="9445" spans="1:14" s="347" customFormat="1" x14ac:dyDescent="0.25">
      <c r="A9445" s="369"/>
      <c r="E9445" s="396"/>
      <c r="F9445" s="396"/>
      <c r="G9445" s="396"/>
      <c r="K9445" s="370"/>
      <c r="N9445" s="370"/>
    </row>
    <row r="9446" spans="1:14" s="347" customFormat="1" x14ac:dyDescent="0.25">
      <c r="A9446" s="369"/>
      <c r="E9446" s="396"/>
      <c r="F9446" s="396"/>
      <c r="G9446" s="396"/>
      <c r="K9446" s="370"/>
      <c r="N9446" s="370"/>
    </row>
    <row r="9447" spans="1:14" s="347" customFormat="1" x14ac:dyDescent="0.25">
      <c r="A9447" s="369"/>
      <c r="E9447" s="396"/>
      <c r="F9447" s="396"/>
      <c r="G9447" s="396"/>
      <c r="K9447" s="370"/>
      <c r="N9447" s="370"/>
    </row>
    <row r="9448" spans="1:14" s="347" customFormat="1" x14ac:dyDescent="0.25">
      <c r="A9448" s="369"/>
      <c r="E9448" s="396"/>
      <c r="F9448" s="396"/>
      <c r="G9448" s="396"/>
      <c r="K9448" s="370"/>
      <c r="N9448" s="370"/>
    </row>
    <row r="9449" spans="1:14" s="347" customFormat="1" x14ac:dyDescent="0.25">
      <c r="A9449" s="369"/>
      <c r="E9449" s="396"/>
      <c r="F9449" s="396"/>
      <c r="G9449" s="396"/>
      <c r="K9449" s="370"/>
      <c r="N9449" s="370"/>
    </row>
    <row r="9450" spans="1:14" s="347" customFormat="1" x14ac:dyDescent="0.25">
      <c r="A9450" s="369"/>
      <c r="E9450" s="396"/>
      <c r="F9450" s="396"/>
      <c r="G9450" s="396"/>
      <c r="K9450" s="370"/>
      <c r="N9450" s="370"/>
    </row>
    <row r="9451" spans="1:14" s="347" customFormat="1" x14ac:dyDescent="0.25">
      <c r="A9451" s="369"/>
      <c r="E9451" s="396"/>
      <c r="F9451" s="396"/>
      <c r="G9451" s="396"/>
      <c r="K9451" s="370"/>
      <c r="N9451" s="370"/>
    </row>
    <row r="9452" spans="1:14" s="347" customFormat="1" x14ac:dyDescent="0.25">
      <c r="A9452" s="369"/>
      <c r="E9452" s="396"/>
      <c r="F9452" s="396"/>
      <c r="G9452" s="396"/>
      <c r="K9452" s="370"/>
      <c r="N9452" s="370"/>
    </row>
    <row r="9453" spans="1:14" s="347" customFormat="1" x14ac:dyDescent="0.25">
      <c r="A9453" s="369"/>
      <c r="E9453" s="396"/>
      <c r="F9453" s="396"/>
      <c r="G9453" s="396"/>
      <c r="K9453" s="370"/>
      <c r="N9453" s="370"/>
    </row>
    <row r="9454" spans="1:14" s="347" customFormat="1" x14ac:dyDescent="0.25">
      <c r="A9454" s="369"/>
      <c r="E9454" s="396"/>
      <c r="F9454" s="396"/>
      <c r="G9454" s="396"/>
      <c r="K9454" s="370"/>
      <c r="N9454" s="370"/>
    </row>
    <row r="9455" spans="1:14" s="347" customFormat="1" x14ac:dyDescent="0.25">
      <c r="A9455" s="369"/>
      <c r="E9455" s="396"/>
      <c r="F9455" s="396"/>
      <c r="G9455" s="396"/>
      <c r="K9455" s="370"/>
      <c r="N9455" s="370"/>
    </row>
    <row r="9456" spans="1:14" s="347" customFormat="1" x14ac:dyDescent="0.25">
      <c r="A9456" s="369"/>
      <c r="E9456" s="396"/>
      <c r="F9456" s="396"/>
      <c r="G9456" s="396"/>
      <c r="K9456" s="370"/>
      <c r="N9456" s="370"/>
    </row>
    <row r="9457" spans="1:14" s="347" customFormat="1" x14ac:dyDescent="0.25">
      <c r="A9457" s="369"/>
      <c r="E9457" s="396"/>
      <c r="F9457" s="396"/>
      <c r="G9457" s="396"/>
      <c r="K9457" s="370"/>
      <c r="N9457" s="370"/>
    </row>
    <row r="9458" spans="1:14" s="347" customFormat="1" x14ac:dyDescent="0.25">
      <c r="A9458" s="369"/>
      <c r="E9458" s="396"/>
      <c r="F9458" s="396"/>
      <c r="G9458" s="396"/>
      <c r="K9458" s="370"/>
      <c r="N9458" s="370"/>
    </row>
    <row r="9459" spans="1:14" s="347" customFormat="1" x14ac:dyDescent="0.25">
      <c r="A9459" s="369"/>
      <c r="E9459" s="396"/>
      <c r="F9459" s="396"/>
      <c r="G9459" s="396"/>
      <c r="K9459" s="370"/>
      <c r="N9459" s="370"/>
    </row>
    <row r="9460" spans="1:14" s="347" customFormat="1" x14ac:dyDescent="0.25">
      <c r="A9460" s="369"/>
      <c r="E9460" s="396"/>
      <c r="F9460" s="396"/>
      <c r="G9460" s="396"/>
      <c r="K9460" s="370"/>
      <c r="N9460" s="370"/>
    </row>
    <row r="9461" spans="1:14" s="347" customFormat="1" x14ac:dyDescent="0.25">
      <c r="A9461" s="369"/>
      <c r="E9461" s="396"/>
      <c r="F9461" s="396"/>
      <c r="G9461" s="396"/>
      <c r="K9461" s="370"/>
      <c r="N9461" s="370"/>
    </row>
    <row r="9462" spans="1:14" s="347" customFormat="1" x14ac:dyDescent="0.25">
      <c r="A9462" s="369"/>
      <c r="E9462" s="396"/>
      <c r="F9462" s="396"/>
      <c r="G9462" s="396"/>
      <c r="K9462" s="370"/>
      <c r="N9462" s="370"/>
    </row>
    <row r="9463" spans="1:14" s="347" customFormat="1" x14ac:dyDescent="0.25">
      <c r="A9463" s="369"/>
      <c r="E9463" s="396"/>
      <c r="F9463" s="396"/>
      <c r="G9463" s="396"/>
      <c r="K9463" s="370"/>
      <c r="N9463" s="370"/>
    </row>
    <row r="9464" spans="1:14" s="347" customFormat="1" x14ac:dyDescent="0.25">
      <c r="A9464" s="369"/>
      <c r="E9464" s="396"/>
      <c r="F9464" s="396"/>
      <c r="G9464" s="396"/>
      <c r="K9464" s="370"/>
      <c r="N9464" s="370"/>
    </row>
    <row r="9465" spans="1:14" s="347" customFormat="1" x14ac:dyDescent="0.25">
      <c r="A9465" s="369"/>
      <c r="E9465" s="396"/>
      <c r="F9465" s="396"/>
      <c r="G9465" s="396"/>
      <c r="K9465" s="370"/>
      <c r="N9465" s="370"/>
    </row>
    <row r="9466" spans="1:14" s="347" customFormat="1" x14ac:dyDescent="0.25">
      <c r="A9466" s="369"/>
      <c r="E9466" s="396"/>
      <c r="F9466" s="396"/>
      <c r="G9466" s="396"/>
      <c r="K9466" s="370"/>
      <c r="N9466" s="370"/>
    </row>
    <row r="9467" spans="1:14" s="347" customFormat="1" x14ac:dyDescent="0.25">
      <c r="A9467" s="369"/>
      <c r="E9467" s="396"/>
      <c r="F9467" s="396"/>
      <c r="G9467" s="396"/>
      <c r="K9467" s="370"/>
      <c r="N9467" s="370"/>
    </row>
    <row r="9468" spans="1:14" s="347" customFormat="1" x14ac:dyDescent="0.25">
      <c r="A9468" s="369"/>
      <c r="E9468" s="396"/>
      <c r="F9468" s="396"/>
      <c r="G9468" s="396"/>
      <c r="K9468" s="370"/>
      <c r="N9468" s="370"/>
    </row>
    <row r="9469" spans="1:14" s="347" customFormat="1" x14ac:dyDescent="0.25">
      <c r="A9469" s="369"/>
      <c r="E9469" s="396"/>
      <c r="F9469" s="396"/>
      <c r="G9469" s="396"/>
      <c r="K9469" s="370"/>
      <c r="N9469" s="370"/>
    </row>
    <row r="9470" spans="1:14" s="347" customFormat="1" x14ac:dyDescent="0.25">
      <c r="A9470" s="369"/>
      <c r="E9470" s="396"/>
      <c r="F9470" s="396"/>
      <c r="G9470" s="396"/>
      <c r="K9470" s="370"/>
      <c r="N9470" s="370"/>
    </row>
    <row r="9471" spans="1:14" s="347" customFormat="1" x14ac:dyDescent="0.25">
      <c r="A9471" s="369"/>
      <c r="E9471" s="396"/>
      <c r="F9471" s="396"/>
      <c r="G9471" s="396"/>
      <c r="K9471" s="370"/>
      <c r="N9471" s="370"/>
    </row>
    <row r="9472" spans="1:14" s="347" customFormat="1" x14ac:dyDescent="0.25">
      <c r="A9472" s="369"/>
      <c r="E9472" s="396"/>
      <c r="F9472" s="396"/>
      <c r="G9472" s="396"/>
      <c r="K9472" s="370"/>
      <c r="N9472" s="370"/>
    </row>
    <row r="9473" spans="1:14" s="347" customFormat="1" x14ac:dyDescent="0.25">
      <c r="A9473" s="369"/>
      <c r="E9473" s="396"/>
      <c r="F9473" s="396"/>
      <c r="G9473" s="396"/>
      <c r="K9473" s="370"/>
      <c r="N9473" s="370"/>
    </row>
    <row r="9474" spans="1:14" s="347" customFormat="1" x14ac:dyDescent="0.25">
      <c r="A9474" s="369"/>
      <c r="E9474" s="396"/>
      <c r="F9474" s="396"/>
      <c r="G9474" s="396"/>
      <c r="K9474" s="370"/>
      <c r="N9474" s="370"/>
    </row>
    <row r="9475" spans="1:14" s="347" customFormat="1" x14ac:dyDescent="0.25">
      <c r="A9475" s="369"/>
      <c r="E9475" s="396"/>
      <c r="F9475" s="396"/>
      <c r="G9475" s="396"/>
      <c r="K9475" s="370"/>
      <c r="N9475" s="370"/>
    </row>
    <row r="9476" spans="1:14" s="347" customFormat="1" x14ac:dyDescent="0.25">
      <c r="A9476" s="369"/>
      <c r="E9476" s="396"/>
      <c r="F9476" s="396"/>
      <c r="G9476" s="396"/>
      <c r="K9476" s="370"/>
      <c r="N9476" s="370"/>
    </row>
    <row r="9477" spans="1:14" s="347" customFormat="1" x14ac:dyDescent="0.25">
      <c r="A9477" s="369"/>
      <c r="E9477" s="396"/>
      <c r="F9477" s="396"/>
      <c r="G9477" s="396"/>
      <c r="K9477" s="370"/>
      <c r="N9477" s="370"/>
    </row>
    <row r="9478" spans="1:14" s="347" customFormat="1" x14ac:dyDescent="0.25">
      <c r="A9478" s="369"/>
      <c r="E9478" s="396"/>
      <c r="F9478" s="396"/>
      <c r="G9478" s="396"/>
      <c r="K9478" s="370"/>
      <c r="N9478" s="370"/>
    </row>
    <row r="9479" spans="1:14" s="347" customFormat="1" x14ac:dyDescent="0.25">
      <c r="A9479" s="369"/>
      <c r="E9479" s="396"/>
      <c r="F9479" s="396"/>
      <c r="G9479" s="396"/>
      <c r="K9479" s="370"/>
      <c r="N9479" s="370"/>
    </row>
    <row r="9480" spans="1:14" s="347" customFormat="1" x14ac:dyDescent="0.25">
      <c r="A9480" s="369"/>
      <c r="E9480" s="396"/>
      <c r="F9480" s="396"/>
      <c r="G9480" s="396"/>
      <c r="K9480" s="370"/>
      <c r="N9480" s="370"/>
    </row>
    <row r="9481" spans="1:14" s="347" customFormat="1" x14ac:dyDescent="0.25">
      <c r="A9481" s="369"/>
      <c r="E9481" s="396"/>
      <c r="F9481" s="396"/>
      <c r="G9481" s="396"/>
      <c r="K9481" s="370"/>
      <c r="N9481" s="370"/>
    </row>
    <row r="9482" spans="1:14" s="347" customFormat="1" x14ac:dyDescent="0.25">
      <c r="A9482" s="369"/>
      <c r="E9482" s="396"/>
      <c r="F9482" s="396"/>
      <c r="G9482" s="396"/>
      <c r="K9482" s="370"/>
      <c r="N9482" s="370"/>
    </row>
    <row r="9483" spans="1:14" s="347" customFormat="1" x14ac:dyDescent="0.25">
      <c r="A9483" s="369"/>
      <c r="E9483" s="396"/>
      <c r="F9483" s="396"/>
      <c r="G9483" s="396"/>
      <c r="K9483" s="370"/>
      <c r="N9483" s="370"/>
    </row>
    <row r="9484" spans="1:14" s="347" customFormat="1" x14ac:dyDescent="0.25">
      <c r="A9484" s="369"/>
      <c r="E9484" s="396"/>
      <c r="F9484" s="396"/>
      <c r="G9484" s="396"/>
      <c r="K9484" s="370"/>
      <c r="N9484" s="370"/>
    </row>
    <row r="9485" spans="1:14" s="347" customFormat="1" x14ac:dyDescent="0.25">
      <c r="A9485" s="369"/>
      <c r="E9485" s="396"/>
      <c r="F9485" s="396"/>
      <c r="G9485" s="396"/>
      <c r="K9485" s="370"/>
      <c r="N9485" s="370"/>
    </row>
    <row r="9486" spans="1:14" s="347" customFormat="1" x14ac:dyDescent="0.25">
      <c r="A9486" s="369"/>
      <c r="E9486" s="396"/>
      <c r="F9486" s="396"/>
      <c r="G9486" s="396"/>
      <c r="K9486" s="370"/>
      <c r="N9486" s="370"/>
    </row>
    <row r="9487" spans="1:14" s="347" customFormat="1" x14ac:dyDescent="0.25">
      <c r="A9487" s="369"/>
      <c r="E9487" s="396"/>
      <c r="F9487" s="396"/>
      <c r="G9487" s="396"/>
      <c r="K9487" s="370"/>
      <c r="N9487" s="370"/>
    </row>
    <row r="9488" spans="1:14" s="347" customFormat="1" x14ac:dyDescent="0.25">
      <c r="A9488" s="369"/>
      <c r="E9488" s="396"/>
      <c r="F9488" s="396"/>
      <c r="G9488" s="396"/>
      <c r="K9488" s="370"/>
      <c r="N9488" s="370"/>
    </row>
    <row r="9489" spans="1:14" s="347" customFormat="1" x14ac:dyDescent="0.25">
      <c r="A9489" s="369"/>
      <c r="E9489" s="396"/>
      <c r="F9489" s="396"/>
      <c r="G9489" s="396"/>
      <c r="K9489" s="370"/>
      <c r="N9489" s="370"/>
    </row>
    <row r="9490" spans="1:14" s="347" customFormat="1" x14ac:dyDescent="0.25">
      <c r="A9490" s="369"/>
      <c r="E9490" s="396"/>
      <c r="F9490" s="396"/>
      <c r="G9490" s="396"/>
      <c r="K9490" s="370"/>
      <c r="N9490" s="370"/>
    </row>
    <row r="9491" spans="1:14" s="347" customFormat="1" x14ac:dyDescent="0.25">
      <c r="A9491" s="369"/>
      <c r="E9491" s="396"/>
      <c r="F9491" s="396"/>
      <c r="G9491" s="396"/>
      <c r="K9491" s="370"/>
      <c r="N9491" s="370"/>
    </row>
    <row r="9492" spans="1:14" s="347" customFormat="1" x14ac:dyDescent="0.25">
      <c r="A9492" s="369"/>
      <c r="E9492" s="396"/>
      <c r="F9492" s="396"/>
      <c r="G9492" s="396"/>
      <c r="K9492" s="370"/>
      <c r="N9492" s="370"/>
    </row>
    <row r="9493" spans="1:14" s="347" customFormat="1" x14ac:dyDescent="0.25">
      <c r="A9493" s="369"/>
      <c r="E9493" s="396"/>
      <c r="F9493" s="396"/>
      <c r="G9493" s="396"/>
      <c r="K9493" s="370"/>
      <c r="N9493" s="370"/>
    </row>
    <row r="9494" spans="1:14" s="347" customFormat="1" x14ac:dyDescent="0.25">
      <c r="A9494" s="369"/>
      <c r="E9494" s="396"/>
      <c r="F9494" s="396"/>
      <c r="G9494" s="396"/>
      <c r="K9494" s="370"/>
      <c r="N9494" s="370"/>
    </row>
    <row r="9495" spans="1:14" s="347" customFormat="1" x14ac:dyDescent="0.25">
      <c r="A9495" s="369"/>
      <c r="E9495" s="396"/>
      <c r="F9495" s="396"/>
      <c r="G9495" s="396"/>
      <c r="K9495" s="370"/>
      <c r="N9495" s="370"/>
    </row>
    <row r="9496" spans="1:14" s="347" customFormat="1" x14ac:dyDescent="0.25">
      <c r="A9496" s="369"/>
      <c r="E9496" s="396"/>
      <c r="F9496" s="396"/>
      <c r="G9496" s="396"/>
      <c r="K9496" s="370"/>
      <c r="N9496" s="370"/>
    </row>
    <row r="9497" spans="1:14" s="347" customFormat="1" x14ac:dyDescent="0.25">
      <c r="A9497" s="369"/>
      <c r="E9497" s="396"/>
      <c r="F9497" s="396"/>
      <c r="G9497" s="396"/>
      <c r="K9497" s="370"/>
      <c r="N9497" s="370"/>
    </row>
    <row r="9498" spans="1:14" s="347" customFormat="1" x14ac:dyDescent="0.25">
      <c r="A9498" s="369"/>
      <c r="E9498" s="396"/>
      <c r="F9498" s="396"/>
      <c r="G9498" s="396"/>
      <c r="K9498" s="370"/>
      <c r="N9498" s="370"/>
    </row>
    <row r="9499" spans="1:14" s="347" customFormat="1" x14ac:dyDescent="0.25">
      <c r="A9499" s="369"/>
      <c r="E9499" s="396"/>
      <c r="F9499" s="396"/>
      <c r="G9499" s="396"/>
      <c r="K9499" s="370"/>
      <c r="N9499" s="370"/>
    </row>
    <row r="9500" spans="1:14" s="347" customFormat="1" x14ac:dyDescent="0.25">
      <c r="A9500" s="369"/>
      <c r="E9500" s="396"/>
      <c r="F9500" s="396"/>
      <c r="G9500" s="396"/>
      <c r="K9500" s="370"/>
      <c r="N9500" s="370"/>
    </row>
    <row r="9501" spans="1:14" s="347" customFormat="1" x14ac:dyDescent="0.25">
      <c r="A9501" s="369"/>
      <c r="E9501" s="396"/>
      <c r="F9501" s="396"/>
      <c r="G9501" s="396"/>
      <c r="K9501" s="370"/>
      <c r="N9501" s="370"/>
    </row>
    <row r="9502" spans="1:14" s="347" customFormat="1" x14ac:dyDescent="0.25">
      <c r="A9502" s="369"/>
      <c r="E9502" s="396"/>
      <c r="F9502" s="396"/>
      <c r="G9502" s="396"/>
      <c r="K9502" s="370"/>
      <c r="N9502" s="370"/>
    </row>
    <row r="9503" spans="1:14" s="347" customFormat="1" x14ac:dyDescent="0.25">
      <c r="A9503" s="369"/>
      <c r="E9503" s="396"/>
      <c r="F9503" s="396"/>
      <c r="G9503" s="396"/>
      <c r="K9503" s="370"/>
      <c r="N9503" s="370"/>
    </row>
    <row r="9504" spans="1:14" s="347" customFormat="1" x14ac:dyDescent="0.25">
      <c r="A9504" s="369"/>
      <c r="E9504" s="396"/>
      <c r="F9504" s="396"/>
      <c r="G9504" s="396"/>
      <c r="K9504" s="370"/>
      <c r="N9504" s="370"/>
    </row>
    <row r="9505" spans="1:14" s="347" customFormat="1" x14ac:dyDescent="0.25">
      <c r="A9505" s="369"/>
      <c r="E9505" s="396"/>
      <c r="F9505" s="396"/>
      <c r="G9505" s="396"/>
      <c r="K9505" s="370"/>
      <c r="N9505" s="370"/>
    </row>
    <row r="9506" spans="1:14" s="347" customFormat="1" x14ac:dyDescent="0.25">
      <c r="A9506" s="369"/>
      <c r="E9506" s="396"/>
      <c r="F9506" s="396"/>
      <c r="G9506" s="396"/>
      <c r="K9506" s="370"/>
      <c r="N9506" s="370"/>
    </row>
    <row r="9507" spans="1:14" s="347" customFormat="1" x14ac:dyDescent="0.25">
      <c r="A9507" s="369"/>
      <c r="E9507" s="396"/>
      <c r="F9507" s="396"/>
      <c r="G9507" s="396"/>
      <c r="K9507" s="370"/>
      <c r="N9507" s="370"/>
    </row>
    <row r="9508" spans="1:14" s="347" customFormat="1" x14ac:dyDescent="0.25">
      <c r="A9508" s="369"/>
      <c r="E9508" s="396"/>
      <c r="F9508" s="396"/>
      <c r="G9508" s="396"/>
      <c r="K9508" s="370"/>
      <c r="N9508" s="370"/>
    </row>
    <row r="9509" spans="1:14" s="347" customFormat="1" x14ac:dyDescent="0.25">
      <c r="A9509" s="369"/>
      <c r="E9509" s="396"/>
      <c r="F9509" s="396"/>
      <c r="G9509" s="396"/>
      <c r="K9509" s="370"/>
      <c r="N9509" s="370"/>
    </row>
    <row r="9510" spans="1:14" s="347" customFormat="1" x14ac:dyDescent="0.25">
      <c r="A9510" s="369"/>
      <c r="E9510" s="396"/>
      <c r="F9510" s="396"/>
      <c r="G9510" s="396"/>
      <c r="K9510" s="370"/>
      <c r="N9510" s="370"/>
    </row>
    <row r="9511" spans="1:14" s="347" customFormat="1" x14ac:dyDescent="0.25">
      <c r="A9511" s="369"/>
      <c r="E9511" s="396"/>
      <c r="F9511" s="396"/>
      <c r="G9511" s="396"/>
      <c r="K9511" s="370"/>
      <c r="N9511" s="370"/>
    </row>
    <row r="9512" spans="1:14" s="347" customFormat="1" x14ac:dyDescent="0.25">
      <c r="A9512" s="369"/>
      <c r="E9512" s="396"/>
      <c r="F9512" s="396"/>
      <c r="G9512" s="396"/>
      <c r="K9512" s="370"/>
      <c r="N9512" s="370"/>
    </row>
    <row r="9513" spans="1:14" s="347" customFormat="1" x14ac:dyDescent="0.25">
      <c r="A9513" s="369"/>
      <c r="E9513" s="396"/>
      <c r="F9513" s="396"/>
      <c r="G9513" s="396"/>
      <c r="K9513" s="370"/>
      <c r="N9513" s="370"/>
    </row>
    <row r="9514" spans="1:14" s="347" customFormat="1" x14ac:dyDescent="0.25">
      <c r="A9514" s="369"/>
      <c r="E9514" s="396"/>
      <c r="F9514" s="396"/>
      <c r="G9514" s="396"/>
      <c r="K9514" s="370"/>
      <c r="N9514" s="370"/>
    </row>
    <row r="9515" spans="1:14" s="347" customFormat="1" x14ac:dyDescent="0.25">
      <c r="A9515" s="369"/>
      <c r="E9515" s="396"/>
      <c r="F9515" s="396"/>
      <c r="G9515" s="396"/>
      <c r="K9515" s="370"/>
      <c r="N9515" s="370"/>
    </row>
    <row r="9516" spans="1:14" s="347" customFormat="1" x14ac:dyDescent="0.25">
      <c r="A9516" s="369"/>
      <c r="E9516" s="396"/>
      <c r="F9516" s="396"/>
      <c r="G9516" s="396"/>
      <c r="K9516" s="370"/>
      <c r="N9516" s="370"/>
    </row>
    <row r="9517" spans="1:14" s="347" customFormat="1" x14ac:dyDescent="0.25">
      <c r="A9517" s="369"/>
      <c r="E9517" s="396"/>
      <c r="F9517" s="396"/>
      <c r="G9517" s="396"/>
      <c r="K9517" s="370"/>
      <c r="N9517" s="370"/>
    </row>
    <row r="9518" spans="1:14" s="347" customFormat="1" x14ac:dyDescent="0.25">
      <c r="A9518" s="369"/>
      <c r="E9518" s="396"/>
      <c r="F9518" s="396"/>
      <c r="G9518" s="396"/>
      <c r="K9518" s="370"/>
      <c r="N9518" s="370"/>
    </row>
    <row r="9519" spans="1:14" s="347" customFormat="1" x14ac:dyDescent="0.25">
      <c r="A9519" s="369"/>
      <c r="E9519" s="396"/>
      <c r="F9519" s="396"/>
      <c r="G9519" s="396"/>
      <c r="K9519" s="370"/>
      <c r="N9519" s="370"/>
    </row>
    <row r="9520" spans="1:14" s="347" customFormat="1" x14ac:dyDescent="0.25">
      <c r="A9520" s="369"/>
      <c r="E9520" s="396"/>
      <c r="F9520" s="396"/>
      <c r="G9520" s="396"/>
      <c r="K9520" s="370"/>
      <c r="N9520" s="370"/>
    </row>
    <row r="9521" spans="1:14" s="347" customFormat="1" x14ac:dyDescent="0.25">
      <c r="A9521" s="369"/>
      <c r="E9521" s="396"/>
      <c r="F9521" s="396"/>
      <c r="G9521" s="396"/>
      <c r="K9521" s="370"/>
      <c r="N9521" s="370"/>
    </row>
    <row r="9522" spans="1:14" s="347" customFormat="1" x14ac:dyDescent="0.25">
      <c r="A9522" s="369"/>
      <c r="E9522" s="396"/>
      <c r="F9522" s="396"/>
      <c r="G9522" s="396"/>
      <c r="K9522" s="370"/>
      <c r="N9522" s="370"/>
    </row>
    <row r="9523" spans="1:14" s="347" customFormat="1" x14ac:dyDescent="0.25">
      <c r="A9523" s="369"/>
      <c r="E9523" s="396"/>
      <c r="F9523" s="396"/>
      <c r="G9523" s="396"/>
      <c r="K9523" s="370"/>
      <c r="N9523" s="370"/>
    </row>
    <row r="9524" spans="1:14" s="347" customFormat="1" x14ac:dyDescent="0.25">
      <c r="A9524" s="369"/>
      <c r="E9524" s="396"/>
      <c r="F9524" s="396"/>
      <c r="G9524" s="396"/>
      <c r="K9524" s="370"/>
      <c r="N9524" s="370"/>
    </row>
    <row r="9525" spans="1:14" s="347" customFormat="1" x14ac:dyDescent="0.25">
      <c r="A9525" s="369"/>
      <c r="E9525" s="396"/>
      <c r="F9525" s="396"/>
      <c r="G9525" s="396"/>
      <c r="K9525" s="370"/>
      <c r="N9525" s="370"/>
    </row>
    <row r="9526" spans="1:14" s="347" customFormat="1" x14ac:dyDescent="0.25">
      <c r="A9526" s="369"/>
      <c r="E9526" s="396"/>
      <c r="F9526" s="396"/>
      <c r="G9526" s="396"/>
      <c r="K9526" s="370"/>
      <c r="N9526" s="370"/>
    </row>
    <row r="9527" spans="1:14" s="347" customFormat="1" x14ac:dyDescent="0.25">
      <c r="A9527" s="369"/>
      <c r="E9527" s="396"/>
      <c r="F9527" s="396"/>
      <c r="G9527" s="396"/>
      <c r="K9527" s="370"/>
      <c r="N9527" s="370"/>
    </row>
    <row r="9528" spans="1:14" s="347" customFormat="1" x14ac:dyDescent="0.25">
      <c r="A9528" s="369"/>
      <c r="E9528" s="396"/>
      <c r="F9528" s="396"/>
      <c r="G9528" s="396"/>
      <c r="K9528" s="370"/>
      <c r="N9528" s="370"/>
    </row>
    <row r="9529" spans="1:14" s="347" customFormat="1" x14ac:dyDescent="0.25">
      <c r="A9529" s="369"/>
      <c r="E9529" s="396"/>
      <c r="F9529" s="396"/>
      <c r="G9529" s="396"/>
      <c r="K9529" s="370"/>
      <c r="N9529" s="370"/>
    </row>
    <row r="9530" spans="1:14" s="347" customFormat="1" x14ac:dyDescent="0.25">
      <c r="A9530" s="369"/>
      <c r="E9530" s="396"/>
      <c r="F9530" s="396"/>
      <c r="G9530" s="396"/>
      <c r="K9530" s="370"/>
      <c r="N9530" s="370"/>
    </row>
    <row r="9531" spans="1:14" s="347" customFormat="1" x14ac:dyDescent="0.25">
      <c r="A9531" s="369"/>
      <c r="E9531" s="396"/>
      <c r="F9531" s="396"/>
      <c r="G9531" s="396"/>
      <c r="K9531" s="370"/>
      <c r="N9531" s="370"/>
    </row>
    <row r="9532" spans="1:14" s="347" customFormat="1" x14ac:dyDescent="0.25">
      <c r="A9532" s="369"/>
      <c r="E9532" s="396"/>
      <c r="F9532" s="396"/>
      <c r="G9532" s="396"/>
      <c r="K9532" s="370"/>
      <c r="N9532" s="370"/>
    </row>
    <row r="9533" spans="1:14" s="347" customFormat="1" x14ac:dyDescent="0.25">
      <c r="A9533" s="369"/>
      <c r="E9533" s="396"/>
      <c r="F9533" s="396"/>
      <c r="G9533" s="396"/>
      <c r="K9533" s="370"/>
      <c r="N9533" s="370"/>
    </row>
    <row r="9534" spans="1:14" s="347" customFormat="1" x14ac:dyDescent="0.25">
      <c r="A9534" s="369"/>
      <c r="E9534" s="396"/>
      <c r="F9534" s="396"/>
      <c r="G9534" s="396"/>
      <c r="K9534" s="370"/>
      <c r="N9534" s="370"/>
    </row>
    <row r="9535" spans="1:14" s="347" customFormat="1" x14ac:dyDescent="0.25">
      <c r="A9535" s="369"/>
      <c r="E9535" s="396"/>
      <c r="F9535" s="396"/>
      <c r="G9535" s="396"/>
      <c r="K9535" s="370"/>
      <c r="N9535" s="370"/>
    </row>
    <row r="9536" spans="1:14" s="347" customFormat="1" x14ac:dyDescent="0.25">
      <c r="A9536" s="369"/>
      <c r="E9536" s="396"/>
      <c r="F9536" s="396"/>
      <c r="G9536" s="396"/>
      <c r="K9536" s="370"/>
      <c r="N9536" s="370"/>
    </row>
    <row r="9537" spans="1:14" s="347" customFormat="1" x14ac:dyDescent="0.25">
      <c r="A9537" s="369"/>
      <c r="E9537" s="396"/>
      <c r="F9537" s="396"/>
      <c r="G9537" s="396"/>
      <c r="K9537" s="370"/>
      <c r="N9537" s="370"/>
    </row>
    <row r="9538" spans="1:14" s="347" customFormat="1" x14ac:dyDescent="0.25">
      <c r="A9538" s="369"/>
      <c r="E9538" s="396"/>
      <c r="F9538" s="396"/>
      <c r="G9538" s="396"/>
      <c r="K9538" s="370"/>
      <c r="N9538" s="370"/>
    </row>
    <row r="9539" spans="1:14" s="347" customFormat="1" x14ac:dyDescent="0.25">
      <c r="A9539" s="369"/>
      <c r="E9539" s="396"/>
      <c r="F9539" s="396"/>
      <c r="G9539" s="396"/>
      <c r="K9539" s="370"/>
      <c r="N9539" s="370"/>
    </row>
    <row r="9540" spans="1:14" s="347" customFormat="1" x14ac:dyDescent="0.25">
      <c r="A9540" s="369"/>
      <c r="E9540" s="396"/>
      <c r="F9540" s="396"/>
      <c r="G9540" s="396"/>
      <c r="K9540" s="370"/>
      <c r="N9540" s="370"/>
    </row>
    <row r="9541" spans="1:14" s="347" customFormat="1" x14ac:dyDescent="0.25">
      <c r="A9541" s="369"/>
      <c r="E9541" s="396"/>
      <c r="F9541" s="396"/>
      <c r="G9541" s="396"/>
      <c r="K9541" s="370"/>
      <c r="N9541" s="370"/>
    </row>
    <row r="9542" spans="1:14" s="347" customFormat="1" x14ac:dyDescent="0.25">
      <c r="A9542" s="369"/>
      <c r="E9542" s="396"/>
      <c r="F9542" s="396"/>
      <c r="G9542" s="396"/>
      <c r="K9542" s="370"/>
      <c r="N9542" s="370"/>
    </row>
    <row r="9543" spans="1:14" s="347" customFormat="1" x14ac:dyDescent="0.25">
      <c r="A9543" s="369"/>
      <c r="E9543" s="396"/>
      <c r="F9543" s="396"/>
      <c r="G9543" s="396"/>
      <c r="K9543" s="370"/>
      <c r="N9543" s="370"/>
    </row>
    <row r="9544" spans="1:14" s="347" customFormat="1" x14ac:dyDescent="0.25">
      <c r="A9544" s="369"/>
      <c r="E9544" s="396"/>
      <c r="F9544" s="396"/>
      <c r="G9544" s="396"/>
      <c r="K9544" s="370"/>
      <c r="N9544" s="370"/>
    </row>
    <row r="9545" spans="1:14" s="347" customFormat="1" x14ac:dyDescent="0.25">
      <c r="A9545" s="369"/>
      <c r="E9545" s="396"/>
      <c r="F9545" s="396"/>
      <c r="G9545" s="396"/>
      <c r="K9545" s="370"/>
      <c r="N9545" s="370"/>
    </row>
    <row r="9546" spans="1:14" s="347" customFormat="1" x14ac:dyDescent="0.25">
      <c r="A9546" s="369"/>
      <c r="E9546" s="396"/>
      <c r="F9546" s="396"/>
      <c r="G9546" s="396"/>
      <c r="K9546" s="370"/>
      <c r="N9546" s="370"/>
    </row>
    <row r="9547" spans="1:14" s="347" customFormat="1" x14ac:dyDescent="0.25">
      <c r="A9547" s="369"/>
      <c r="E9547" s="396"/>
      <c r="F9547" s="396"/>
      <c r="G9547" s="396"/>
      <c r="K9547" s="370"/>
      <c r="N9547" s="370"/>
    </row>
    <row r="9548" spans="1:14" s="347" customFormat="1" x14ac:dyDescent="0.25">
      <c r="A9548" s="369"/>
      <c r="E9548" s="396"/>
      <c r="F9548" s="396"/>
      <c r="G9548" s="396"/>
      <c r="K9548" s="370"/>
      <c r="N9548" s="370"/>
    </row>
    <row r="9549" spans="1:14" s="347" customFormat="1" x14ac:dyDescent="0.25">
      <c r="A9549" s="369"/>
      <c r="E9549" s="396"/>
      <c r="F9549" s="396"/>
      <c r="G9549" s="396"/>
      <c r="K9549" s="370"/>
      <c r="N9549" s="370"/>
    </row>
    <row r="9550" spans="1:14" s="347" customFormat="1" x14ac:dyDescent="0.25">
      <c r="A9550" s="369"/>
      <c r="E9550" s="396"/>
      <c r="F9550" s="396"/>
      <c r="G9550" s="396"/>
      <c r="K9550" s="370"/>
      <c r="N9550" s="370"/>
    </row>
    <row r="9551" spans="1:14" s="347" customFormat="1" x14ac:dyDescent="0.25">
      <c r="A9551" s="369"/>
      <c r="E9551" s="396"/>
      <c r="F9551" s="396"/>
      <c r="G9551" s="396"/>
      <c r="K9551" s="370"/>
      <c r="N9551" s="370"/>
    </row>
    <row r="9552" spans="1:14" s="347" customFormat="1" x14ac:dyDescent="0.25">
      <c r="A9552" s="369"/>
      <c r="E9552" s="396"/>
      <c r="F9552" s="396"/>
      <c r="G9552" s="396"/>
      <c r="K9552" s="370"/>
      <c r="N9552" s="370"/>
    </row>
    <row r="9553" spans="1:14" s="347" customFormat="1" x14ac:dyDescent="0.25">
      <c r="A9553" s="369"/>
      <c r="E9553" s="396"/>
      <c r="F9553" s="396"/>
      <c r="G9553" s="396"/>
      <c r="K9553" s="370"/>
      <c r="N9553" s="370"/>
    </row>
    <row r="9554" spans="1:14" s="347" customFormat="1" x14ac:dyDescent="0.25">
      <c r="A9554" s="369"/>
      <c r="E9554" s="396"/>
      <c r="F9554" s="396"/>
      <c r="G9554" s="396"/>
      <c r="K9554" s="370"/>
      <c r="N9554" s="370"/>
    </row>
    <row r="9555" spans="1:14" s="347" customFormat="1" x14ac:dyDescent="0.25">
      <c r="A9555" s="369"/>
      <c r="E9555" s="396"/>
      <c r="F9555" s="396"/>
      <c r="G9555" s="396"/>
      <c r="K9555" s="370"/>
      <c r="N9555" s="370"/>
    </row>
    <row r="9556" spans="1:14" s="347" customFormat="1" x14ac:dyDescent="0.25">
      <c r="A9556" s="369"/>
      <c r="E9556" s="396"/>
      <c r="F9556" s="396"/>
      <c r="G9556" s="396"/>
      <c r="K9556" s="370"/>
      <c r="N9556" s="370"/>
    </row>
    <row r="9557" spans="1:14" s="347" customFormat="1" x14ac:dyDescent="0.25">
      <c r="A9557" s="369"/>
      <c r="E9557" s="396"/>
      <c r="F9557" s="396"/>
      <c r="G9557" s="396"/>
      <c r="K9557" s="370"/>
      <c r="N9557" s="370"/>
    </row>
    <row r="9558" spans="1:14" s="347" customFormat="1" x14ac:dyDescent="0.25">
      <c r="A9558" s="369"/>
      <c r="E9558" s="396"/>
      <c r="F9558" s="396"/>
      <c r="G9558" s="396"/>
      <c r="K9558" s="370"/>
      <c r="N9558" s="370"/>
    </row>
    <row r="9559" spans="1:14" s="347" customFormat="1" x14ac:dyDescent="0.25">
      <c r="A9559" s="369"/>
      <c r="E9559" s="396"/>
      <c r="F9559" s="396"/>
      <c r="G9559" s="396"/>
      <c r="K9559" s="370"/>
      <c r="N9559" s="370"/>
    </row>
    <row r="9560" spans="1:14" s="347" customFormat="1" x14ac:dyDescent="0.25">
      <c r="A9560" s="369"/>
      <c r="E9560" s="396"/>
      <c r="F9560" s="396"/>
      <c r="G9560" s="396"/>
      <c r="K9560" s="370"/>
      <c r="N9560" s="370"/>
    </row>
    <row r="9561" spans="1:14" s="347" customFormat="1" x14ac:dyDescent="0.25">
      <c r="A9561" s="369"/>
      <c r="E9561" s="396"/>
      <c r="F9561" s="396"/>
      <c r="G9561" s="396"/>
      <c r="K9561" s="370"/>
      <c r="N9561" s="370"/>
    </row>
    <row r="9562" spans="1:14" s="347" customFormat="1" x14ac:dyDescent="0.25">
      <c r="A9562" s="369"/>
      <c r="E9562" s="396"/>
      <c r="F9562" s="396"/>
      <c r="G9562" s="396"/>
      <c r="K9562" s="370"/>
      <c r="N9562" s="370"/>
    </row>
    <row r="9563" spans="1:14" s="347" customFormat="1" x14ac:dyDescent="0.25">
      <c r="A9563" s="369"/>
      <c r="E9563" s="396"/>
      <c r="F9563" s="396"/>
      <c r="G9563" s="396"/>
      <c r="K9563" s="370"/>
      <c r="N9563" s="370"/>
    </row>
    <row r="9564" spans="1:14" s="347" customFormat="1" x14ac:dyDescent="0.25">
      <c r="A9564" s="369"/>
      <c r="E9564" s="396"/>
      <c r="F9564" s="396"/>
      <c r="G9564" s="396"/>
      <c r="K9564" s="370"/>
      <c r="N9564" s="370"/>
    </row>
    <row r="9565" spans="1:14" s="347" customFormat="1" x14ac:dyDescent="0.25">
      <c r="A9565" s="369"/>
      <c r="E9565" s="396"/>
      <c r="F9565" s="396"/>
      <c r="G9565" s="396"/>
      <c r="K9565" s="370"/>
      <c r="N9565" s="370"/>
    </row>
    <row r="9566" spans="1:14" s="347" customFormat="1" x14ac:dyDescent="0.25">
      <c r="A9566" s="369"/>
      <c r="E9566" s="396"/>
      <c r="F9566" s="396"/>
      <c r="G9566" s="396"/>
      <c r="K9566" s="370"/>
      <c r="N9566" s="370"/>
    </row>
    <row r="9567" spans="1:14" s="347" customFormat="1" x14ac:dyDescent="0.25">
      <c r="A9567" s="369"/>
      <c r="E9567" s="396"/>
      <c r="F9567" s="396"/>
      <c r="G9567" s="396"/>
      <c r="K9567" s="370"/>
      <c r="N9567" s="370"/>
    </row>
    <row r="9568" spans="1:14" s="347" customFormat="1" x14ac:dyDescent="0.25">
      <c r="A9568" s="369"/>
      <c r="E9568" s="396"/>
      <c r="F9568" s="396"/>
      <c r="G9568" s="396"/>
      <c r="K9568" s="370"/>
      <c r="N9568" s="370"/>
    </row>
    <row r="9569" spans="1:14" s="347" customFormat="1" x14ac:dyDescent="0.25">
      <c r="A9569" s="369"/>
      <c r="E9569" s="396"/>
      <c r="F9569" s="396"/>
      <c r="G9569" s="396"/>
      <c r="K9569" s="370"/>
      <c r="N9569" s="370"/>
    </row>
    <row r="9570" spans="1:14" s="347" customFormat="1" x14ac:dyDescent="0.25">
      <c r="A9570" s="369"/>
      <c r="E9570" s="396"/>
      <c r="F9570" s="396"/>
      <c r="G9570" s="396"/>
      <c r="K9570" s="370"/>
      <c r="N9570" s="370"/>
    </row>
    <row r="9571" spans="1:14" s="347" customFormat="1" x14ac:dyDescent="0.25">
      <c r="A9571" s="369"/>
      <c r="E9571" s="396"/>
      <c r="F9571" s="396"/>
      <c r="G9571" s="396"/>
      <c r="K9571" s="370"/>
      <c r="N9571" s="370"/>
    </row>
    <row r="9572" spans="1:14" s="347" customFormat="1" x14ac:dyDescent="0.25">
      <c r="A9572" s="369"/>
      <c r="E9572" s="396"/>
      <c r="F9572" s="396"/>
      <c r="G9572" s="396"/>
      <c r="K9572" s="370"/>
      <c r="N9572" s="370"/>
    </row>
    <row r="9573" spans="1:14" s="347" customFormat="1" x14ac:dyDescent="0.25">
      <c r="A9573" s="369"/>
      <c r="E9573" s="396"/>
      <c r="F9573" s="396"/>
      <c r="G9573" s="396"/>
      <c r="K9573" s="370"/>
      <c r="N9573" s="370"/>
    </row>
    <row r="9574" spans="1:14" s="347" customFormat="1" x14ac:dyDescent="0.25">
      <c r="A9574" s="369"/>
      <c r="E9574" s="396"/>
      <c r="F9574" s="396"/>
      <c r="G9574" s="396"/>
      <c r="K9574" s="370"/>
      <c r="N9574" s="370"/>
    </row>
    <row r="9575" spans="1:14" s="347" customFormat="1" x14ac:dyDescent="0.25">
      <c r="A9575" s="369"/>
      <c r="E9575" s="396"/>
      <c r="F9575" s="396"/>
      <c r="G9575" s="396"/>
      <c r="K9575" s="370"/>
      <c r="N9575" s="370"/>
    </row>
    <row r="9576" spans="1:14" s="347" customFormat="1" x14ac:dyDescent="0.25">
      <c r="A9576" s="369"/>
      <c r="E9576" s="396"/>
      <c r="F9576" s="396"/>
      <c r="G9576" s="396"/>
      <c r="K9576" s="370"/>
      <c r="N9576" s="370"/>
    </row>
    <row r="9577" spans="1:14" s="347" customFormat="1" x14ac:dyDescent="0.25">
      <c r="A9577" s="369"/>
      <c r="E9577" s="396"/>
      <c r="F9577" s="396"/>
      <c r="G9577" s="396"/>
      <c r="K9577" s="370"/>
      <c r="N9577" s="370"/>
    </row>
    <row r="9578" spans="1:14" s="347" customFormat="1" x14ac:dyDescent="0.25">
      <c r="A9578" s="369"/>
      <c r="E9578" s="396"/>
      <c r="F9578" s="396"/>
      <c r="G9578" s="396"/>
      <c r="K9578" s="370"/>
      <c r="N9578" s="370"/>
    </row>
    <row r="9579" spans="1:14" s="347" customFormat="1" x14ac:dyDescent="0.25">
      <c r="A9579" s="369"/>
      <c r="E9579" s="396"/>
      <c r="F9579" s="396"/>
      <c r="G9579" s="396"/>
      <c r="K9579" s="370"/>
      <c r="N9579" s="370"/>
    </row>
    <row r="9580" spans="1:14" s="347" customFormat="1" x14ac:dyDescent="0.25">
      <c r="A9580" s="369"/>
      <c r="E9580" s="396"/>
      <c r="F9580" s="396"/>
      <c r="G9580" s="396"/>
      <c r="K9580" s="370"/>
      <c r="N9580" s="370"/>
    </row>
    <row r="9581" spans="1:14" s="347" customFormat="1" x14ac:dyDescent="0.25">
      <c r="A9581" s="369"/>
      <c r="E9581" s="396"/>
      <c r="F9581" s="396"/>
      <c r="G9581" s="396"/>
      <c r="K9581" s="370"/>
      <c r="N9581" s="370"/>
    </row>
    <row r="9582" spans="1:14" s="347" customFormat="1" x14ac:dyDescent="0.25">
      <c r="A9582" s="369"/>
      <c r="E9582" s="396"/>
      <c r="F9582" s="396"/>
      <c r="G9582" s="396"/>
      <c r="K9582" s="370"/>
      <c r="N9582" s="370"/>
    </row>
    <row r="9583" spans="1:14" s="347" customFormat="1" x14ac:dyDescent="0.25">
      <c r="A9583" s="369"/>
      <c r="E9583" s="396"/>
      <c r="F9583" s="396"/>
      <c r="G9583" s="396"/>
      <c r="K9583" s="370"/>
      <c r="N9583" s="370"/>
    </row>
    <row r="9584" spans="1:14" s="347" customFormat="1" x14ac:dyDescent="0.25">
      <c r="A9584" s="369"/>
      <c r="E9584" s="396"/>
      <c r="F9584" s="396"/>
      <c r="G9584" s="396"/>
      <c r="K9584" s="370"/>
      <c r="N9584" s="370"/>
    </row>
    <row r="9585" spans="1:14" s="347" customFormat="1" x14ac:dyDescent="0.25">
      <c r="A9585" s="369"/>
      <c r="E9585" s="396"/>
      <c r="F9585" s="396"/>
      <c r="G9585" s="396"/>
      <c r="K9585" s="370"/>
      <c r="N9585" s="370"/>
    </row>
    <row r="9586" spans="1:14" s="347" customFormat="1" x14ac:dyDescent="0.25">
      <c r="A9586" s="369"/>
      <c r="E9586" s="396"/>
      <c r="F9586" s="396"/>
      <c r="G9586" s="396"/>
      <c r="K9586" s="370"/>
      <c r="N9586" s="370"/>
    </row>
    <row r="9587" spans="1:14" s="347" customFormat="1" x14ac:dyDescent="0.25">
      <c r="A9587" s="369"/>
      <c r="E9587" s="396"/>
      <c r="F9587" s="396"/>
      <c r="G9587" s="396"/>
      <c r="K9587" s="370"/>
      <c r="N9587" s="370"/>
    </row>
    <row r="9588" spans="1:14" s="347" customFormat="1" x14ac:dyDescent="0.25">
      <c r="A9588" s="369"/>
      <c r="E9588" s="396"/>
      <c r="F9588" s="396"/>
      <c r="G9588" s="396"/>
      <c r="K9588" s="370"/>
      <c r="N9588" s="370"/>
    </row>
    <row r="9589" spans="1:14" s="347" customFormat="1" x14ac:dyDescent="0.25">
      <c r="A9589" s="369"/>
      <c r="E9589" s="396"/>
      <c r="F9589" s="396"/>
      <c r="G9589" s="396"/>
      <c r="K9589" s="370"/>
      <c r="N9589" s="370"/>
    </row>
    <row r="9590" spans="1:14" s="347" customFormat="1" x14ac:dyDescent="0.25">
      <c r="A9590" s="369"/>
      <c r="E9590" s="396"/>
      <c r="F9590" s="396"/>
      <c r="G9590" s="396"/>
      <c r="K9590" s="370"/>
      <c r="N9590" s="370"/>
    </row>
    <row r="9591" spans="1:14" s="347" customFormat="1" x14ac:dyDescent="0.25">
      <c r="A9591" s="369"/>
      <c r="E9591" s="396"/>
      <c r="F9591" s="396"/>
      <c r="G9591" s="396"/>
      <c r="K9591" s="370"/>
      <c r="N9591" s="370"/>
    </row>
    <row r="9592" spans="1:14" s="347" customFormat="1" x14ac:dyDescent="0.25">
      <c r="A9592" s="369"/>
      <c r="E9592" s="396"/>
      <c r="F9592" s="396"/>
      <c r="G9592" s="396"/>
      <c r="K9592" s="370"/>
      <c r="N9592" s="370"/>
    </row>
    <row r="9593" spans="1:14" s="347" customFormat="1" x14ac:dyDescent="0.25">
      <c r="A9593" s="369"/>
      <c r="E9593" s="396"/>
      <c r="F9593" s="396"/>
      <c r="G9593" s="396"/>
      <c r="K9593" s="370"/>
      <c r="N9593" s="370"/>
    </row>
    <row r="9594" spans="1:14" s="347" customFormat="1" x14ac:dyDescent="0.25">
      <c r="A9594" s="369"/>
      <c r="E9594" s="396"/>
      <c r="F9594" s="396"/>
      <c r="G9594" s="396"/>
      <c r="K9594" s="370"/>
      <c r="N9594" s="370"/>
    </row>
    <row r="9595" spans="1:14" s="347" customFormat="1" x14ac:dyDescent="0.25">
      <c r="A9595" s="369"/>
      <c r="E9595" s="396"/>
      <c r="F9595" s="396"/>
      <c r="G9595" s="396"/>
      <c r="K9595" s="370"/>
      <c r="N9595" s="370"/>
    </row>
    <row r="9596" spans="1:14" s="347" customFormat="1" x14ac:dyDescent="0.25">
      <c r="A9596" s="369"/>
      <c r="E9596" s="396"/>
      <c r="F9596" s="396"/>
      <c r="G9596" s="396"/>
      <c r="K9596" s="370"/>
      <c r="N9596" s="370"/>
    </row>
    <row r="9597" spans="1:14" s="347" customFormat="1" x14ac:dyDescent="0.25">
      <c r="A9597" s="369"/>
      <c r="E9597" s="396"/>
      <c r="F9597" s="396"/>
      <c r="G9597" s="396"/>
      <c r="K9597" s="370"/>
      <c r="N9597" s="370"/>
    </row>
    <row r="9598" spans="1:14" s="347" customFormat="1" x14ac:dyDescent="0.25">
      <c r="A9598" s="369"/>
      <c r="E9598" s="396"/>
      <c r="F9598" s="396"/>
      <c r="G9598" s="396"/>
      <c r="K9598" s="370"/>
      <c r="N9598" s="370"/>
    </row>
    <row r="9599" spans="1:14" s="347" customFormat="1" x14ac:dyDescent="0.25">
      <c r="A9599" s="369"/>
      <c r="E9599" s="396"/>
      <c r="F9599" s="396"/>
      <c r="G9599" s="396"/>
      <c r="K9599" s="370"/>
      <c r="N9599" s="370"/>
    </row>
    <row r="9600" spans="1:14" s="347" customFormat="1" x14ac:dyDescent="0.25">
      <c r="A9600" s="369"/>
      <c r="E9600" s="396"/>
      <c r="F9600" s="396"/>
      <c r="G9600" s="396"/>
      <c r="K9600" s="370"/>
      <c r="N9600" s="370"/>
    </row>
    <row r="9601" spans="1:14" s="347" customFormat="1" x14ac:dyDescent="0.25">
      <c r="A9601" s="369"/>
      <c r="E9601" s="396"/>
      <c r="F9601" s="396"/>
      <c r="G9601" s="396"/>
      <c r="K9601" s="370"/>
      <c r="N9601" s="370"/>
    </row>
    <row r="9602" spans="1:14" s="347" customFormat="1" x14ac:dyDescent="0.25">
      <c r="A9602" s="369"/>
      <c r="E9602" s="396"/>
      <c r="F9602" s="396"/>
      <c r="G9602" s="396"/>
      <c r="K9602" s="370"/>
      <c r="N9602" s="370"/>
    </row>
    <row r="9603" spans="1:14" s="347" customFormat="1" x14ac:dyDescent="0.25">
      <c r="A9603" s="369"/>
      <c r="E9603" s="396"/>
      <c r="F9603" s="396"/>
      <c r="G9603" s="396"/>
      <c r="K9603" s="370"/>
      <c r="N9603" s="370"/>
    </row>
    <row r="9604" spans="1:14" s="347" customFormat="1" x14ac:dyDescent="0.25">
      <c r="A9604" s="369"/>
      <c r="E9604" s="396"/>
      <c r="F9604" s="396"/>
      <c r="G9604" s="396"/>
      <c r="K9604" s="370"/>
      <c r="N9604" s="370"/>
    </row>
    <row r="9605" spans="1:14" s="347" customFormat="1" x14ac:dyDescent="0.25">
      <c r="A9605" s="369"/>
      <c r="E9605" s="396"/>
      <c r="F9605" s="396"/>
      <c r="G9605" s="396"/>
      <c r="K9605" s="370"/>
      <c r="N9605" s="370"/>
    </row>
    <row r="9606" spans="1:14" s="347" customFormat="1" x14ac:dyDescent="0.25">
      <c r="A9606" s="369"/>
      <c r="E9606" s="396"/>
      <c r="F9606" s="396"/>
      <c r="G9606" s="396"/>
      <c r="K9606" s="370"/>
      <c r="N9606" s="370"/>
    </row>
    <row r="9607" spans="1:14" s="347" customFormat="1" x14ac:dyDescent="0.25">
      <c r="A9607" s="369"/>
      <c r="E9607" s="396"/>
      <c r="F9607" s="396"/>
      <c r="G9607" s="396"/>
      <c r="K9607" s="370"/>
      <c r="N9607" s="370"/>
    </row>
    <row r="9608" spans="1:14" s="347" customFormat="1" x14ac:dyDescent="0.25">
      <c r="A9608" s="369"/>
      <c r="E9608" s="396"/>
      <c r="F9608" s="396"/>
      <c r="G9608" s="396"/>
      <c r="K9608" s="370"/>
      <c r="N9608" s="370"/>
    </row>
    <row r="9609" spans="1:14" s="347" customFormat="1" x14ac:dyDescent="0.25">
      <c r="A9609" s="369"/>
      <c r="E9609" s="396"/>
      <c r="F9609" s="396"/>
      <c r="G9609" s="396"/>
      <c r="K9609" s="370"/>
      <c r="N9609" s="370"/>
    </row>
    <row r="9610" spans="1:14" s="347" customFormat="1" x14ac:dyDescent="0.25">
      <c r="A9610" s="369"/>
      <c r="E9610" s="396"/>
      <c r="F9610" s="396"/>
      <c r="G9610" s="396"/>
      <c r="K9610" s="370"/>
      <c r="N9610" s="370"/>
    </row>
    <row r="9611" spans="1:14" s="347" customFormat="1" x14ac:dyDescent="0.25">
      <c r="A9611" s="369"/>
      <c r="E9611" s="396"/>
      <c r="F9611" s="396"/>
      <c r="G9611" s="396"/>
      <c r="K9611" s="370"/>
      <c r="N9611" s="370"/>
    </row>
    <row r="9612" spans="1:14" s="347" customFormat="1" x14ac:dyDescent="0.25">
      <c r="A9612" s="369"/>
      <c r="E9612" s="396"/>
      <c r="F9612" s="396"/>
      <c r="G9612" s="396"/>
      <c r="K9612" s="370"/>
      <c r="N9612" s="370"/>
    </row>
    <row r="9613" spans="1:14" s="347" customFormat="1" x14ac:dyDescent="0.25">
      <c r="A9613" s="369"/>
      <c r="E9613" s="396"/>
      <c r="F9613" s="396"/>
      <c r="G9613" s="396"/>
      <c r="K9613" s="370"/>
      <c r="N9613" s="370"/>
    </row>
    <row r="9614" spans="1:14" s="347" customFormat="1" x14ac:dyDescent="0.25">
      <c r="A9614" s="369"/>
      <c r="E9614" s="396"/>
      <c r="F9614" s="396"/>
      <c r="G9614" s="396"/>
      <c r="K9614" s="370"/>
      <c r="N9614" s="370"/>
    </row>
    <row r="9615" spans="1:14" s="347" customFormat="1" x14ac:dyDescent="0.25">
      <c r="A9615" s="369"/>
      <c r="E9615" s="396"/>
      <c r="F9615" s="396"/>
      <c r="G9615" s="396"/>
      <c r="K9615" s="370"/>
      <c r="N9615" s="370"/>
    </row>
    <row r="9616" spans="1:14" s="347" customFormat="1" x14ac:dyDescent="0.25">
      <c r="A9616" s="369"/>
      <c r="E9616" s="396"/>
      <c r="F9616" s="396"/>
      <c r="G9616" s="396"/>
      <c r="K9616" s="370"/>
      <c r="N9616" s="370"/>
    </row>
    <row r="9617" spans="1:14" s="347" customFormat="1" x14ac:dyDescent="0.25">
      <c r="A9617" s="369"/>
      <c r="E9617" s="396"/>
      <c r="F9617" s="396"/>
      <c r="G9617" s="396"/>
      <c r="K9617" s="370"/>
      <c r="N9617" s="370"/>
    </row>
    <row r="9618" spans="1:14" s="347" customFormat="1" x14ac:dyDescent="0.25">
      <c r="A9618" s="369"/>
      <c r="E9618" s="396"/>
      <c r="F9618" s="396"/>
      <c r="G9618" s="396"/>
      <c r="K9618" s="370"/>
      <c r="N9618" s="370"/>
    </row>
    <row r="9619" spans="1:14" s="347" customFormat="1" x14ac:dyDescent="0.25">
      <c r="A9619" s="369"/>
      <c r="E9619" s="396"/>
      <c r="F9619" s="396"/>
      <c r="G9619" s="396"/>
      <c r="K9619" s="370"/>
      <c r="N9619" s="370"/>
    </row>
    <row r="9620" spans="1:14" s="347" customFormat="1" x14ac:dyDescent="0.25">
      <c r="A9620" s="369"/>
      <c r="E9620" s="396"/>
      <c r="F9620" s="396"/>
      <c r="G9620" s="396"/>
      <c r="K9620" s="370"/>
      <c r="N9620" s="370"/>
    </row>
    <row r="9621" spans="1:14" s="347" customFormat="1" x14ac:dyDescent="0.25">
      <c r="A9621" s="369"/>
      <c r="E9621" s="396"/>
      <c r="F9621" s="396"/>
      <c r="G9621" s="396"/>
      <c r="K9621" s="370"/>
      <c r="N9621" s="370"/>
    </row>
    <row r="9622" spans="1:14" s="347" customFormat="1" x14ac:dyDescent="0.25">
      <c r="A9622" s="369"/>
      <c r="E9622" s="396"/>
      <c r="F9622" s="396"/>
      <c r="G9622" s="396"/>
      <c r="K9622" s="370"/>
      <c r="N9622" s="370"/>
    </row>
    <row r="9623" spans="1:14" s="347" customFormat="1" x14ac:dyDescent="0.25">
      <c r="A9623" s="369"/>
      <c r="E9623" s="396"/>
      <c r="F9623" s="396"/>
      <c r="G9623" s="396"/>
      <c r="K9623" s="370"/>
      <c r="N9623" s="370"/>
    </row>
    <row r="9624" spans="1:14" s="347" customFormat="1" x14ac:dyDescent="0.25">
      <c r="A9624" s="369"/>
      <c r="E9624" s="396"/>
      <c r="F9624" s="396"/>
      <c r="G9624" s="396"/>
      <c r="K9624" s="370"/>
      <c r="N9624" s="370"/>
    </row>
    <row r="9625" spans="1:14" s="347" customFormat="1" x14ac:dyDescent="0.25">
      <c r="A9625" s="369"/>
      <c r="E9625" s="396"/>
      <c r="F9625" s="396"/>
      <c r="G9625" s="396"/>
      <c r="K9625" s="370"/>
      <c r="N9625" s="370"/>
    </row>
    <row r="9626" spans="1:14" s="347" customFormat="1" x14ac:dyDescent="0.25">
      <c r="A9626" s="369"/>
      <c r="E9626" s="396"/>
      <c r="F9626" s="396"/>
      <c r="G9626" s="396"/>
      <c r="K9626" s="370"/>
      <c r="N9626" s="370"/>
    </row>
    <row r="9627" spans="1:14" s="347" customFormat="1" x14ac:dyDescent="0.25">
      <c r="A9627" s="369"/>
      <c r="E9627" s="396"/>
      <c r="F9627" s="396"/>
      <c r="G9627" s="396"/>
      <c r="K9627" s="370"/>
      <c r="N9627" s="370"/>
    </row>
    <row r="9628" spans="1:14" s="347" customFormat="1" x14ac:dyDescent="0.25">
      <c r="A9628" s="369"/>
      <c r="E9628" s="396"/>
      <c r="F9628" s="396"/>
      <c r="G9628" s="396"/>
      <c r="K9628" s="370"/>
      <c r="N9628" s="370"/>
    </row>
    <row r="9629" spans="1:14" s="347" customFormat="1" x14ac:dyDescent="0.25">
      <c r="A9629" s="369"/>
      <c r="E9629" s="396"/>
      <c r="F9629" s="396"/>
      <c r="G9629" s="396"/>
      <c r="K9629" s="370"/>
      <c r="N9629" s="370"/>
    </row>
    <row r="9630" spans="1:14" s="347" customFormat="1" x14ac:dyDescent="0.25">
      <c r="A9630" s="369"/>
      <c r="E9630" s="396"/>
      <c r="F9630" s="396"/>
      <c r="G9630" s="396"/>
      <c r="K9630" s="370"/>
      <c r="N9630" s="370"/>
    </row>
    <row r="9631" spans="1:14" s="347" customFormat="1" x14ac:dyDescent="0.25">
      <c r="A9631" s="369"/>
      <c r="E9631" s="396"/>
      <c r="F9631" s="396"/>
      <c r="G9631" s="396"/>
      <c r="K9631" s="370"/>
      <c r="N9631" s="370"/>
    </row>
    <row r="9632" spans="1:14" s="347" customFormat="1" x14ac:dyDescent="0.25">
      <c r="A9632" s="369"/>
      <c r="E9632" s="396"/>
      <c r="F9632" s="396"/>
      <c r="G9632" s="396"/>
      <c r="K9632" s="370"/>
      <c r="N9632" s="370"/>
    </row>
    <row r="9633" spans="1:14" s="347" customFormat="1" x14ac:dyDescent="0.25">
      <c r="A9633" s="369"/>
      <c r="E9633" s="396"/>
      <c r="F9633" s="396"/>
      <c r="G9633" s="396"/>
      <c r="K9633" s="370"/>
      <c r="N9633" s="370"/>
    </row>
    <row r="9634" spans="1:14" s="347" customFormat="1" x14ac:dyDescent="0.25">
      <c r="A9634" s="369"/>
      <c r="E9634" s="396"/>
      <c r="F9634" s="396"/>
      <c r="G9634" s="396"/>
      <c r="K9634" s="370"/>
      <c r="N9634" s="370"/>
    </row>
    <row r="9635" spans="1:14" s="347" customFormat="1" x14ac:dyDescent="0.25">
      <c r="A9635" s="369"/>
      <c r="E9635" s="396"/>
      <c r="F9635" s="396"/>
      <c r="G9635" s="396"/>
      <c r="K9635" s="370"/>
      <c r="N9635" s="370"/>
    </row>
    <row r="9636" spans="1:14" s="347" customFormat="1" x14ac:dyDescent="0.25">
      <c r="A9636" s="369"/>
      <c r="E9636" s="396"/>
      <c r="F9636" s="396"/>
      <c r="G9636" s="396"/>
      <c r="K9636" s="370"/>
      <c r="N9636" s="370"/>
    </row>
    <row r="9637" spans="1:14" s="347" customFormat="1" x14ac:dyDescent="0.25">
      <c r="A9637" s="369"/>
      <c r="E9637" s="396"/>
      <c r="F9637" s="396"/>
      <c r="G9637" s="396"/>
      <c r="K9637" s="370"/>
      <c r="N9637" s="370"/>
    </row>
    <row r="9638" spans="1:14" s="347" customFormat="1" x14ac:dyDescent="0.25">
      <c r="A9638" s="369"/>
      <c r="E9638" s="396"/>
      <c r="F9638" s="396"/>
      <c r="G9638" s="396"/>
      <c r="K9638" s="370"/>
      <c r="N9638" s="370"/>
    </row>
    <row r="9639" spans="1:14" s="347" customFormat="1" x14ac:dyDescent="0.25">
      <c r="A9639" s="369"/>
      <c r="E9639" s="396"/>
      <c r="F9639" s="396"/>
      <c r="G9639" s="396"/>
      <c r="K9639" s="370"/>
      <c r="N9639" s="370"/>
    </row>
    <row r="9640" spans="1:14" s="347" customFormat="1" x14ac:dyDescent="0.25">
      <c r="A9640" s="369"/>
      <c r="E9640" s="396"/>
      <c r="F9640" s="396"/>
      <c r="G9640" s="396"/>
      <c r="K9640" s="370"/>
      <c r="N9640" s="370"/>
    </row>
    <row r="9641" spans="1:14" s="347" customFormat="1" x14ac:dyDescent="0.25">
      <c r="A9641" s="369"/>
      <c r="E9641" s="396"/>
      <c r="F9641" s="396"/>
      <c r="G9641" s="396"/>
      <c r="K9641" s="370"/>
      <c r="N9641" s="370"/>
    </row>
    <row r="9642" spans="1:14" s="347" customFormat="1" x14ac:dyDescent="0.25">
      <c r="A9642" s="369"/>
      <c r="E9642" s="396"/>
      <c r="F9642" s="396"/>
      <c r="G9642" s="396"/>
      <c r="K9642" s="370"/>
      <c r="N9642" s="370"/>
    </row>
    <row r="9643" spans="1:14" s="347" customFormat="1" x14ac:dyDescent="0.25">
      <c r="A9643" s="369"/>
      <c r="E9643" s="396"/>
      <c r="F9643" s="396"/>
      <c r="G9643" s="396"/>
      <c r="K9643" s="370"/>
      <c r="N9643" s="370"/>
    </row>
    <row r="9644" spans="1:14" s="347" customFormat="1" x14ac:dyDescent="0.25">
      <c r="A9644" s="369"/>
      <c r="E9644" s="396"/>
      <c r="F9644" s="396"/>
      <c r="G9644" s="396"/>
      <c r="K9644" s="370"/>
      <c r="N9644" s="370"/>
    </row>
    <row r="9645" spans="1:14" s="347" customFormat="1" x14ac:dyDescent="0.25">
      <c r="A9645" s="369"/>
      <c r="E9645" s="396"/>
      <c r="F9645" s="396"/>
      <c r="G9645" s="396"/>
      <c r="K9645" s="370"/>
      <c r="N9645" s="370"/>
    </row>
    <row r="9646" spans="1:14" s="347" customFormat="1" x14ac:dyDescent="0.25">
      <c r="A9646" s="369"/>
      <c r="E9646" s="396"/>
      <c r="F9646" s="396"/>
      <c r="G9646" s="396"/>
      <c r="K9646" s="370"/>
      <c r="N9646" s="370"/>
    </row>
    <row r="9647" spans="1:14" s="347" customFormat="1" x14ac:dyDescent="0.25">
      <c r="A9647" s="369"/>
      <c r="E9647" s="396"/>
      <c r="F9647" s="396"/>
      <c r="G9647" s="396"/>
      <c r="K9647" s="370"/>
      <c r="N9647" s="370"/>
    </row>
    <row r="9648" spans="1:14" s="347" customFormat="1" x14ac:dyDescent="0.25">
      <c r="A9648" s="369"/>
      <c r="E9648" s="396"/>
      <c r="F9648" s="396"/>
      <c r="G9648" s="396"/>
      <c r="K9648" s="370"/>
      <c r="N9648" s="370"/>
    </row>
    <row r="9649" spans="1:14" s="347" customFormat="1" x14ac:dyDescent="0.25">
      <c r="A9649" s="369"/>
      <c r="E9649" s="396"/>
      <c r="F9649" s="396"/>
      <c r="G9649" s="396"/>
      <c r="K9649" s="370"/>
      <c r="N9649" s="370"/>
    </row>
    <row r="9650" spans="1:14" s="347" customFormat="1" x14ac:dyDescent="0.25">
      <c r="A9650" s="369"/>
      <c r="E9650" s="396"/>
      <c r="F9650" s="396"/>
      <c r="G9650" s="396"/>
      <c r="K9650" s="370"/>
      <c r="N9650" s="370"/>
    </row>
    <row r="9651" spans="1:14" s="347" customFormat="1" x14ac:dyDescent="0.25">
      <c r="A9651" s="369"/>
      <c r="E9651" s="396"/>
      <c r="F9651" s="396"/>
      <c r="G9651" s="396"/>
      <c r="K9651" s="370"/>
      <c r="N9651" s="370"/>
    </row>
    <row r="9652" spans="1:14" s="347" customFormat="1" x14ac:dyDescent="0.25">
      <c r="A9652" s="369"/>
      <c r="E9652" s="396"/>
      <c r="F9652" s="396"/>
      <c r="G9652" s="396"/>
      <c r="K9652" s="370"/>
      <c r="N9652" s="370"/>
    </row>
    <row r="9653" spans="1:14" s="347" customFormat="1" x14ac:dyDescent="0.25">
      <c r="A9653" s="369"/>
      <c r="E9653" s="396"/>
      <c r="F9653" s="396"/>
      <c r="G9653" s="396"/>
      <c r="K9653" s="370"/>
      <c r="N9653" s="370"/>
    </row>
    <row r="9654" spans="1:14" s="347" customFormat="1" x14ac:dyDescent="0.25">
      <c r="A9654" s="369"/>
      <c r="E9654" s="396"/>
      <c r="F9654" s="396"/>
      <c r="G9654" s="396"/>
      <c r="K9654" s="370"/>
      <c r="N9654" s="370"/>
    </row>
    <row r="9655" spans="1:14" s="347" customFormat="1" x14ac:dyDescent="0.25">
      <c r="A9655" s="369"/>
      <c r="E9655" s="396"/>
      <c r="F9655" s="396"/>
      <c r="G9655" s="396"/>
      <c r="K9655" s="370"/>
      <c r="N9655" s="370"/>
    </row>
    <row r="9656" spans="1:14" s="347" customFormat="1" x14ac:dyDescent="0.25">
      <c r="A9656" s="369"/>
      <c r="E9656" s="396"/>
      <c r="F9656" s="396"/>
      <c r="G9656" s="396"/>
      <c r="K9656" s="370"/>
      <c r="N9656" s="370"/>
    </row>
    <row r="9657" spans="1:14" s="347" customFormat="1" x14ac:dyDescent="0.25">
      <c r="A9657" s="369"/>
      <c r="E9657" s="396"/>
      <c r="F9657" s="396"/>
      <c r="G9657" s="396"/>
      <c r="K9657" s="370"/>
      <c r="N9657" s="370"/>
    </row>
    <row r="9658" spans="1:14" s="347" customFormat="1" x14ac:dyDescent="0.25">
      <c r="A9658" s="369"/>
      <c r="E9658" s="396"/>
      <c r="F9658" s="396"/>
      <c r="G9658" s="396"/>
      <c r="K9658" s="370"/>
      <c r="N9658" s="370"/>
    </row>
    <row r="9659" spans="1:14" s="347" customFormat="1" x14ac:dyDescent="0.25">
      <c r="A9659" s="369"/>
      <c r="E9659" s="396"/>
      <c r="F9659" s="396"/>
      <c r="G9659" s="396"/>
      <c r="K9659" s="370"/>
      <c r="N9659" s="370"/>
    </row>
    <row r="9660" spans="1:14" s="347" customFormat="1" x14ac:dyDescent="0.25">
      <c r="A9660" s="369"/>
      <c r="E9660" s="396"/>
      <c r="F9660" s="396"/>
      <c r="G9660" s="396"/>
      <c r="K9660" s="370"/>
      <c r="N9660" s="370"/>
    </row>
    <row r="9661" spans="1:14" s="347" customFormat="1" x14ac:dyDescent="0.25">
      <c r="A9661" s="369"/>
      <c r="E9661" s="396"/>
      <c r="F9661" s="396"/>
      <c r="G9661" s="396"/>
      <c r="K9661" s="370"/>
      <c r="N9661" s="370"/>
    </row>
    <row r="9662" spans="1:14" s="347" customFormat="1" x14ac:dyDescent="0.25">
      <c r="A9662" s="369"/>
      <c r="E9662" s="396"/>
      <c r="F9662" s="396"/>
      <c r="G9662" s="396"/>
      <c r="K9662" s="370"/>
      <c r="N9662" s="370"/>
    </row>
    <row r="9663" spans="1:14" s="347" customFormat="1" x14ac:dyDescent="0.25">
      <c r="A9663" s="369"/>
      <c r="E9663" s="396"/>
      <c r="F9663" s="396"/>
      <c r="G9663" s="396"/>
      <c r="K9663" s="370"/>
      <c r="N9663" s="370"/>
    </row>
    <row r="9664" spans="1:14" s="347" customFormat="1" x14ac:dyDescent="0.25">
      <c r="A9664" s="369"/>
      <c r="E9664" s="396"/>
      <c r="F9664" s="396"/>
      <c r="G9664" s="396"/>
      <c r="K9664" s="370"/>
      <c r="N9664" s="370"/>
    </row>
    <row r="9665" spans="1:14" s="347" customFormat="1" x14ac:dyDescent="0.25">
      <c r="A9665" s="369"/>
      <c r="E9665" s="396"/>
      <c r="F9665" s="396"/>
      <c r="G9665" s="396"/>
      <c r="K9665" s="370"/>
      <c r="N9665" s="370"/>
    </row>
    <row r="9666" spans="1:14" s="347" customFormat="1" x14ac:dyDescent="0.25">
      <c r="A9666" s="369"/>
      <c r="E9666" s="396"/>
      <c r="F9666" s="396"/>
      <c r="G9666" s="396"/>
      <c r="K9666" s="370"/>
      <c r="N9666" s="370"/>
    </row>
    <row r="9667" spans="1:14" s="347" customFormat="1" x14ac:dyDescent="0.25">
      <c r="A9667" s="369"/>
      <c r="E9667" s="396"/>
      <c r="F9667" s="396"/>
      <c r="G9667" s="396"/>
      <c r="K9667" s="370"/>
      <c r="N9667" s="370"/>
    </row>
    <row r="9668" spans="1:14" s="347" customFormat="1" x14ac:dyDescent="0.25">
      <c r="A9668" s="369"/>
      <c r="E9668" s="396"/>
      <c r="F9668" s="396"/>
      <c r="G9668" s="396"/>
      <c r="K9668" s="370"/>
      <c r="N9668" s="370"/>
    </row>
    <row r="9669" spans="1:14" s="347" customFormat="1" x14ac:dyDescent="0.25">
      <c r="A9669" s="369"/>
      <c r="E9669" s="396"/>
      <c r="F9669" s="396"/>
      <c r="G9669" s="396"/>
      <c r="K9669" s="370"/>
      <c r="N9669" s="370"/>
    </row>
    <row r="9670" spans="1:14" s="347" customFormat="1" x14ac:dyDescent="0.25">
      <c r="A9670" s="369"/>
      <c r="E9670" s="396"/>
      <c r="F9670" s="396"/>
      <c r="G9670" s="396"/>
      <c r="K9670" s="370"/>
      <c r="N9670" s="370"/>
    </row>
    <row r="9671" spans="1:14" s="347" customFormat="1" x14ac:dyDescent="0.25">
      <c r="A9671" s="369"/>
      <c r="E9671" s="396"/>
      <c r="F9671" s="396"/>
      <c r="G9671" s="396"/>
      <c r="K9671" s="370"/>
      <c r="N9671" s="370"/>
    </row>
    <row r="9672" spans="1:14" s="347" customFormat="1" x14ac:dyDescent="0.25">
      <c r="A9672" s="369"/>
      <c r="E9672" s="396"/>
      <c r="F9672" s="396"/>
      <c r="G9672" s="396"/>
      <c r="K9672" s="370"/>
      <c r="N9672" s="370"/>
    </row>
    <row r="9673" spans="1:14" s="347" customFormat="1" x14ac:dyDescent="0.25">
      <c r="A9673" s="369"/>
      <c r="E9673" s="396"/>
      <c r="F9673" s="396"/>
      <c r="G9673" s="396"/>
      <c r="K9673" s="370"/>
      <c r="N9673" s="370"/>
    </row>
    <row r="9674" spans="1:14" s="347" customFormat="1" x14ac:dyDescent="0.25">
      <c r="A9674" s="369"/>
      <c r="E9674" s="396"/>
      <c r="F9674" s="396"/>
      <c r="G9674" s="396"/>
      <c r="K9674" s="370"/>
      <c r="N9674" s="370"/>
    </row>
    <row r="9675" spans="1:14" s="347" customFormat="1" x14ac:dyDescent="0.25">
      <c r="A9675" s="369"/>
      <c r="E9675" s="396"/>
      <c r="F9675" s="396"/>
      <c r="G9675" s="396"/>
      <c r="K9675" s="370"/>
      <c r="N9675" s="370"/>
    </row>
    <row r="9676" spans="1:14" s="347" customFormat="1" x14ac:dyDescent="0.25">
      <c r="A9676" s="369"/>
      <c r="E9676" s="396"/>
      <c r="F9676" s="396"/>
      <c r="G9676" s="396"/>
      <c r="K9676" s="370"/>
      <c r="N9676" s="370"/>
    </row>
    <row r="9677" spans="1:14" s="347" customFormat="1" x14ac:dyDescent="0.25">
      <c r="A9677" s="369"/>
      <c r="E9677" s="396"/>
      <c r="F9677" s="396"/>
      <c r="G9677" s="396"/>
      <c r="K9677" s="370"/>
      <c r="N9677" s="370"/>
    </row>
    <row r="9678" spans="1:14" s="347" customFormat="1" x14ac:dyDescent="0.25">
      <c r="A9678" s="369"/>
      <c r="E9678" s="396"/>
      <c r="F9678" s="396"/>
      <c r="G9678" s="396"/>
      <c r="K9678" s="370"/>
      <c r="N9678" s="370"/>
    </row>
    <row r="9679" spans="1:14" s="347" customFormat="1" x14ac:dyDescent="0.25">
      <c r="A9679" s="369"/>
      <c r="E9679" s="396"/>
      <c r="F9679" s="396"/>
      <c r="G9679" s="396"/>
      <c r="K9679" s="370"/>
      <c r="N9679" s="370"/>
    </row>
    <row r="9680" spans="1:14" s="347" customFormat="1" x14ac:dyDescent="0.25">
      <c r="A9680" s="369"/>
      <c r="E9680" s="396"/>
      <c r="F9680" s="396"/>
      <c r="G9680" s="396"/>
      <c r="K9680" s="370"/>
      <c r="N9680" s="370"/>
    </row>
    <row r="9681" spans="1:14" s="347" customFormat="1" x14ac:dyDescent="0.25">
      <c r="A9681" s="369"/>
      <c r="E9681" s="396"/>
      <c r="F9681" s="396"/>
      <c r="G9681" s="396"/>
      <c r="K9681" s="370"/>
      <c r="N9681" s="370"/>
    </row>
    <row r="9682" spans="1:14" s="347" customFormat="1" x14ac:dyDescent="0.25">
      <c r="A9682" s="369"/>
      <c r="E9682" s="396"/>
      <c r="F9682" s="396"/>
      <c r="G9682" s="396"/>
      <c r="K9682" s="370"/>
      <c r="N9682" s="370"/>
    </row>
    <row r="9683" spans="1:14" s="347" customFormat="1" x14ac:dyDescent="0.25">
      <c r="A9683" s="369"/>
      <c r="E9683" s="396"/>
      <c r="F9683" s="396"/>
      <c r="G9683" s="396"/>
      <c r="K9683" s="370"/>
      <c r="N9683" s="370"/>
    </row>
    <row r="9684" spans="1:14" s="347" customFormat="1" x14ac:dyDescent="0.25">
      <c r="A9684" s="369"/>
      <c r="E9684" s="396"/>
      <c r="F9684" s="396"/>
      <c r="G9684" s="396"/>
      <c r="K9684" s="370"/>
      <c r="N9684" s="370"/>
    </row>
    <row r="9685" spans="1:14" s="347" customFormat="1" x14ac:dyDescent="0.25">
      <c r="A9685" s="369"/>
      <c r="E9685" s="396"/>
      <c r="F9685" s="396"/>
      <c r="G9685" s="396"/>
      <c r="K9685" s="370"/>
      <c r="N9685" s="370"/>
    </row>
    <row r="9686" spans="1:14" s="347" customFormat="1" x14ac:dyDescent="0.25">
      <c r="A9686" s="369"/>
      <c r="E9686" s="396"/>
      <c r="F9686" s="396"/>
      <c r="G9686" s="396"/>
      <c r="K9686" s="370"/>
      <c r="N9686" s="370"/>
    </row>
    <row r="9687" spans="1:14" s="347" customFormat="1" x14ac:dyDescent="0.25">
      <c r="A9687" s="369"/>
      <c r="E9687" s="396"/>
      <c r="F9687" s="396"/>
      <c r="G9687" s="396"/>
      <c r="K9687" s="370"/>
      <c r="N9687" s="370"/>
    </row>
    <row r="9688" spans="1:14" s="347" customFormat="1" x14ac:dyDescent="0.25">
      <c r="A9688" s="369"/>
      <c r="E9688" s="396"/>
      <c r="F9688" s="396"/>
      <c r="G9688" s="396"/>
      <c r="K9688" s="370"/>
      <c r="N9688" s="370"/>
    </row>
    <row r="9689" spans="1:14" s="347" customFormat="1" x14ac:dyDescent="0.25">
      <c r="A9689" s="369"/>
      <c r="E9689" s="396"/>
      <c r="F9689" s="396"/>
      <c r="G9689" s="396"/>
      <c r="K9689" s="370"/>
      <c r="N9689" s="370"/>
    </row>
    <row r="9690" spans="1:14" s="347" customFormat="1" x14ac:dyDescent="0.25">
      <c r="A9690" s="369"/>
      <c r="E9690" s="396"/>
      <c r="F9690" s="396"/>
      <c r="G9690" s="396"/>
      <c r="K9690" s="370"/>
      <c r="N9690" s="370"/>
    </row>
    <row r="9691" spans="1:14" s="347" customFormat="1" x14ac:dyDescent="0.25">
      <c r="A9691" s="369"/>
      <c r="E9691" s="396"/>
      <c r="F9691" s="396"/>
      <c r="G9691" s="396"/>
      <c r="K9691" s="370"/>
      <c r="N9691" s="370"/>
    </row>
    <row r="9692" spans="1:14" s="347" customFormat="1" x14ac:dyDescent="0.25">
      <c r="A9692" s="369"/>
      <c r="E9692" s="396"/>
      <c r="F9692" s="396"/>
      <c r="G9692" s="396"/>
      <c r="K9692" s="370"/>
      <c r="N9692" s="370"/>
    </row>
    <row r="9693" spans="1:14" s="347" customFormat="1" x14ac:dyDescent="0.25">
      <c r="A9693" s="369"/>
      <c r="E9693" s="396"/>
      <c r="F9693" s="396"/>
      <c r="G9693" s="396"/>
      <c r="K9693" s="370"/>
      <c r="N9693" s="370"/>
    </row>
    <row r="9694" spans="1:14" s="347" customFormat="1" x14ac:dyDescent="0.25">
      <c r="A9694" s="369"/>
      <c r="E9694" s="396"/>
      <c r="F9694" s="396"/>
      <c r="G9694" s="396"/>
      <c r="K9694" s="370"/>
      <c r="N9694" s="370"/>
    </row>
    <row r="9695" spans="1:14" s="347" customFormat="1" x14ac:dyDescent="0.25">
      <c r="A9695" s="369"/>
      <c r="E9695" s="396"/>
      <c r="F9695" s="396"/>
      <c r="G9695" s="396"/>
      <c r="K9695" s="370"/>
      <c r="N9695" s="370"/>
    </row>
    <row r="9696" spans="1:14" s="347" customFormat="1" x14ac:dyDescent="0.25">
      <c r="A9696" s="369"/>
      <c r="E9696" s="396"/>
      <c r="F9696" s="396"/>
      <c r="G9696" s="396"/>
      <c r="K9696" s="370"/>
      <c r="N9696" s="370"/>
    </row>
    <row r="9697" spans="1:14" s="347" customFormat="1" x14ac:dyDescent="0.25">
      <c r="A9697" s="369"/>
      <c r="E9697" s="396"/>
      <c r="F9697" s="396"/>
      <c r="G9697" s="396"/>
      <c r="K9697" s="370"/>
      <c r="N9697" s="370"/>
    </row>
    <row r="9698" spans="1:14" s="347" customFormat="1" x14ac:dyDescent="0.25">
      <c r="A9698" s="369"/>
      <c r="E9698" s="396"/>
      <c r="F9698" s="396"/>
      <c r="G9698" s="396"/>
      <c r="K9698" s="370"/>
      <c r="N9698" s="370"/>
    </row>
    <row r="9699" spans="1:14" s="347" customFormat="1" x14ac:dyDescent="0.25">
      <c r="A9699" s="369"/>
      <c r="E9699" s="396"/>
      <c r="F9699" s="396"/>
      <c r="G9699" s="396"/>
      <c r="K9699" s="370"/>
      <c r="N9699" s="370"/>
    </row>
    <row r="9700" spans="1:14" s="347" customFormat="1" x14ac:dyDescent="0.25">
      <c r="A9700" s="369"/>
      <c r="E9700" s="396"/>
      <c r="F9700" s="396"/>
      <c r="G9700" s="396"/>
      <c r="K9700" s="370"/>
      <c r="N9700" s="370"/>
    </row>
    <row r="9701" spans="1:14" s="347" customFormat="1" x14ac:dyDescent="0.25">
      <c r="A9701" s="369"/>
      <c r="E9701" s="396"/>
      <c r="F9701" s="396"/>
      <c r="G9701" s="396"/>
      <c r="K9701" s="370"/>
      <c r="N9701" s="370"/>
    </row>
    <row r="9702" spans="1:14" s="347" customFormat="1" x14ac:dyDescent="0.25">
      <c r="A9702" s="369"/>
      <c r="E9702" s="396"/>
      <c r="F9702" s="396"/>
      <c r="G9702" s="396"/>
      <c r="K9702" s="370"/>
      <c r="N9702" s="370"/>
    </row>
    <row r="9703" spans="1:14" s="347" customFormat="1" x14ac:dyDescent="0.25">
      <c r="A9703" s="369"/>
      <c r="E9703" s="396"/>
      <c r="F9703" s="396"/>
      <c r="G9703" s="396"/>
      <c r="K9703" s="370"/>
      <c r="N9703" s="370"/>
    </row>
    <row r="9704" spans="1:14" s="347" customFormat="1" x14ac:dyDescent="0.25">
      <c r="A9704" s="369"/>
      <c r="E9704" s="396"/>
      <c r="F9704" s="396"/>
      <c r="G9704" s="396"/>
      <c r="K9704" s="370"/>
      <c r="N9704" s="370"/>
    </row>
    <row r="9705" spans="1:14" s="347" customFormat="1" x14ac:dyDescent="0.25">
      <c r="A9705" s="369"/>
      <c r="E9705" s="396"/>
      <c r="F9705" s="396"/>
      <c r="G9705" s="396"/>
      <c r="K9705" s="370"/>
      <c r="N9705" s="370"/>
    </row>
    <row r="9706" spans="1:14" s="347" customFormat="1" x14ac:dyDescent="0.25">
      <c r="A9706" s="369"/>
      <c r="E9706" s="396"/>
      <c r="F9706" s="396"/>
      <c r="G9706" s="396"/>
      <c r="K9706" s="370"/>
      <c r="N9706" s="370"/>
    </row>
    <row r="9707" spans="1:14" s="347" customFormat="1" x14ac:dyDescent="0.25">
      <c r="A9707" s="369"/>
      <c r="E9707" s="396"/>
      <c r="F9707" s="396"/>
      <c r="G9707" s="396"/>
      <c r="K9707" s="370"/>
      <c r="N9707" s="370"/>
    </row>
    <row r="9708" spans="1:14" s="347" customFormat="1" x14ac:dyDescent="0.25">
      <c r="A9708" s="369"/>
      <c r="E9708" s="396"/>
      <c r="F9708" s="396"/>
      <c r="G9708" s="396"/>
      <c r="K9708" s="370"/>
      <c r="N9708" s="370"/>
    </row>
    <row r="9709" spans="1:14" s="347" customFormat="1" x14ac:dyDescent="0.25">
      <c r="A9709" s="369"/>
      <c r="E9709" s="396"/>
      <c r="F9709" s="396"/>
      <c r="G9709" s="396"/>
      <c r="K9709" s="370"/>
      <c r="N9709" s="370"/>
    </row>
    <row r="9710" spans="1:14" s="347" customFormat="1" x14ac:dyDescent="0.25">
      <c r="A9710" s="369"/>
      <c r="E9710" s="396"/>
      <c r="F9710" s="396"/>
      <c r="G9710" s="396"/>
      <c r="K9710" s="370"/>
      <c r="N9710" s="370"/>
    </row>
    <row r="9711" spans="1:14" s="347" customFormat="1" x14ac:dyDescent="0.25">
      <c r="A9711" s="369"/>
      <c r="E9711" s="396"/>
      <c r="F9711" s="396"/>
      <c r="G9711" s="396"/>
      <c r="K9711" s="370"/>
      <c r="N9711" s="370"/>
    </row>
    <row r="9712" spans="1:14" s="347" customFormat="1" x14ac:dyDescent="0.25">
      <c r="A9712" s="369"/>
      <c r="E9712" s="396"/>
      <c r="F9712" s="396"/>
      <c r="G9712" s="396"/>
      <c r="K9712" s="370"/>
      <c r="N9712" s="370"/>
    </row>
    <row r="9713" spans="1:14" s="347" customFormat="1" x14ac:dyDescent="0.25">
      <c r="A9713" s="369"/>
      <c r="E9713" s="396"/>
      <c r="F9713" s="396"/>
      <c r="G9713" s="396"/>
      <c r="K9713" s="370"/>
      <c r="N9713" s="370"/>
    </row>
    <row r="9714" spans="1:14" s="347" customFormat="1" x14ac:dyDescent="0.25">
      <c r="A9714" s="369"/>
      <c r="E9714" s="396"/>
      <c r="F9714" s="396"/>
      <c r="G9714" s="396"/>
      <c r="K9714" s="370"/>
      <c r="N9714" s="370"/>
    </row>
    <row r="9715" spans="1:14" s="347" customFormat="1" x14ac:dyDescent="0.25">
      <c r="A9715" s="369"/>
      <c r="E9715" s="396"/>
      <c r="F9715" s="396"/>
      <c r="G9715" s="396"/>
      <c r="K9715" s="370"/>
      <c r="N9715" s="370"/>
    </row>
    <row r="9716" spans="1:14" s="347" customFormat="1" x14ac:dyDescent="0.25">
      <c r="A9716" s="369"/>
      <c r="E9716" s="396"/>
      <c r="F9716" s="396"/>
      <c r="G9716" s="396"/>
      <c r="K9716" s="370"/>
      <c r="N9716" s="370"/>
    </row>
    <row r="9717" spans="1:14" s="347" customFormat="1" x14ac:dyDescent="0.25">
      <c r="A9717" s="369"/>
      <c r="E9717" s="396"/>
      <c r="F9717" s="396"/>
      <c r="G9717" s="396"/>
      <c r="K9717" s="370"/>
      <c r="N9717" s="370"/>
    </row>
    <row r="9718" spans="1:14" s="347" customFormat="1" x14ac:dyDescent="0.25">
      <c r="A9718" s="369"/>
      <c r="E9718" s="396"/>
      <c r="F9718" s="396"/>
      <c r="G9718" s="396"/>
      <c r="K9718" s="370"/>
      <c r="N9718" s="370"/>
    </row>
    <row r="9719" spans="1:14" s="347" customFormat="1" x14ac:dyDescent="0.25">
      <c r="A9719" s="369"/>
      <c r="E9719" s="396"/>
      <c r="F9719" s="396"/>
      <c r="G9719" s="396"/>
      <c r="K9719" s="370"/>
      <c r="N9719" s="370"/>
    </row>
    <row r="9720" spans="1:14" s="347" customFormat="1" x14ac:dyDescent="0.25">
      <c r="A9720" s="369"/>
      <c r="E9720" s="396"/>
      <c r="F9720" s="396"/>
      <c r="G9720" s="396"/>
      <c r="K9720" s="370"/>
      <c r="N9720" s="370"/>
    </row>
    <row r="9721" spans="1:14" s="347" customFormat="1" x14ac:dyDescent="0.25">
      <c r="A9721" s="369"/>
      <c r="E9721" s="396"/>
      <c r="F9721" s="396"/>
      <c r="G9721" s="396"/>
      <c r="K9721" s="370"/>
      <c r="N9721" s="370"/>
    </row>
    <row r="9722" spans="1:14" s="347" customFormat="1" x14ac:dyDescent="0.25">
      <c r="A9722" s="369"/>
      <c r="E9722" s="396"/>
      <c r="F9722" s="396"/>
      <c r="G9722" s="396"/>
      <c r="K9722" s="370"/>
      <c r="N9722" s="370"/>
    </row>
    <row r="9723" spans="1:14" s="347" customFormat="1" x14ac:dyDescent="0.25">
      <c r="A9723" s="369"/>
      <c r="E9723" s="396"/>
      <c r="F9723" s="396"/>
      <c r="G9723" s="396"/>
      <c r="K9723" s="370"/>
      <c r="N9723" s="370"/>
    </row>
    <row r="9724" spans="1:14" s="347" customFormat="1" x14ac:dyDescent="0.25">
      <c r="A9724" s="369"/>
      <c r="E9724" s="396"/>
      <c r="F9724" s="396"/>
      <c r="G9724" s="396"/>
      <c r="K9724" s="370"/>
      <c r="N9724" s="370"/>
    </row>
    <row r="9725" spans="1:14" s="347" customFormat="1" x14ac:dyDescent="0.25">
      <c r="A9725" s="369"/>
      <c r="E9725" s="396"/>
      <c r="F9725" s="396"/>
      <c r="G9725" s="396"/>
      <c r="K9725" s="370"/>
      <c r="N9725" s="370"/>
    </row>
    <row r="9726" spans="1:14" s="347" customFormat="1" x14ac:dyDescent="0.25">
      <c r="A9726" s="369"/>
      <c r="E9726" s="396"/>
      <c r="F9726" s="396"/>
      <c r="G9726" s="396"/>
      <c r="K9726" s="370"/>
      <c r="N9726" s="370"/>
    </row>
    <row r="9727" spans="1:14" s="347" customFormat="1" x14ac:dyDescent="0.25">
      <c r="A9727" s="369"/>
      <c r="E9727" s="396"/>
      <c r="F9727" s="396"/>
      <c r="G9727" s="396"/>
      <c r="K9727" s="370"/>
      <c r="N9727" s="370"/>
    </row>
    <row r="9728" spans="1:14" s="347" customFormat="1" x14ac:dyDescent="0.25">
      <c r="A9728" s="369"/>
      <c r="E9728" s="396"/>
      <c r="F9728" s="396"/>
      <c r="G9728" s="396"/>
      <c r="K9728" s="370"/>
      <c r="N9728" s="370"/>
    </row>
    <row r="9729" spans="1:14" s="347" customFormat="1" x14ac:dyDescent="0.25">
      <c r="A9729" s="369"/>
      <c r="E9729" s="396"/>
      <c r="F9729" s="396"/>
      <c r="G9729" s="396"/>
      <c r="K9729" s="370"/>
      <c r="N9729" s="370"/>
    </row>
    <row r="9730" spans="1:14" s="347" customFormat="1" x14ac:dyDescent="0.25">
      <c r="A9730" s="369"/>
      <c r="E9730" s="396"/>
      <c r="F9730" s="396"/>
      <c r="G9730" s="396"/>
      <c r="K9730" s="370"/>
      <c r="N9730" s="370"/>
    </row>
    <row r="9731" spans="1:14" s="347" customFormat="1" x14ac:dyDescent="0.25">
      <c r="A9731" s="369"/>
      <c r="E9731" s="396"/>
      <c r="F9731" s="396"/>
      <c r="G9731" s="396"/>
      <c r="K9731" s="370"/>
      <c r="N9731" s="370"/>
    </row>
    <row r="9732" spans="1:14" s="347" customFormat="1" x14ac:dyDescent="0.25">
      <c r="A9732" s="369"/>
      <c r="E9732" s="396"/>
      <c r="F9732" s="396"/>
      <c r="G9732" s="396"/>
      <c r="K9732" s="370"/>
      <c r="N9732" s="370"/>
    </row>
    <row r="9733" spans="1:14" s="347" customFormat="1" x14ac:dyDescent="0.25">
      <c r="A9733" s="369"/>
      <c r="E9733" s="396"/>
      <c r="F9733" s="396"/>
      <c r="G9733" s="396"/>
      <c r="K9733" s="370"/>
      <c r="N9733" s="370"/>
    </row>
    <row r="9734" spans="1:14" s="347" customFormat="1" x14ac:dyDescent="0.25">
      <c r="A9734" s="369"/>
      <c r="E9734" s="396"/>
      <c r="F9734" s="396"/>
      <c r="G9734" s="396"/>
      <c r="K9734" s="370"/>
      <c r="N9734" s="370"/>
    </row>
    <row r="9735" spans="1:14" s="347" customFormat="1" x14ac:dyDescent="0.25">
      <c r="A9735" s="369"/>
      <c r="E9735" s="396"/>
      <c r="F9735" s="396"/>
      <c r="G9735" s="396"/>
      <c r="K9735" s="370"/>
      <c r="N9735" s="370"/>
    </row>
    <row r="9736" spans="1:14" s="347" customFormat="1" x14ac:dyDescent="0.25">
      <c r="A9736" s="369"/>
      <c r="E9736" s="396"/>
      <c r="F9736" s="396"/>
      <c r="G9736" s="396"/>
      <c r="K9736" s="370"/>
      <c r="N9736" s="370"/>
    </row>
    <row r="9737" spans="1:14" s="347" customFormat="1" x14ac:dyDescent="0.25">
      <c r="A9737" s="369"/>
      <c r="E9737" s="396"/>
      <c r="F9737" s="396"/>
      <c r="G9737" s="396"/>
      <c r="K9737" s="370"/>
      <c r="N9737" s="370"/>
    </row>
    <row r="9738" spans="1:14" s="347" customFormat="1" x14ac:dyDescent="0.25">
      <c r="A9738" s="369"/>
      <c r="E9738" s="396"/>
      <c r="F9738" s="396"/>
      <c r="G9738" s="396"/>
      <c r="K9738" s="370"/>
      <c r="N9738" s="370"/>
    </row>
    <row r="9739" spans="1:14" s="347" customFormat="1" x14ac:dyDescent="0.25">
      <c r="A9739" s="369"/>
      <c r="E9739" s="396"/>
      <c r="F9739" s="396"/>
      <c r="G9739" s="396"/>
      <c r="K9739" s="370"/>
      <c r="N9739" s="370"/>
    </row>
    <row r="9740" spans="1:14" s="347" customFormat="1" x14ac:dyDescent="0.25">
      <c r="A9740" s="369"/>
      <c r="E9740" s="396"/>
      <c r="F9740" s="396"/>
      <c r="G9740" s="396"/>
      <c r="K9740" s="370"/>
      <c r="N9740" s="370"/>
    </row>
    <row r="9741" spans="1:14" s="347" customFormat="1" x14ac:dyDescent="0.25">
      <c r="A9741" s="369"/>
      <c r="E9741" s="396"/>
      <c r="F9741" s="396"/>
      <c r="G9741" s="396"/>
      <c r="K9741" s="370"/>
      <c r="N9741" s="370"/>
    </row>
    <row r="9742" spans="1:14" s="347" customFormat="1" x14ac:dyDescent="0.25">
      <c r="A9742" s="369"/>
      <c r="E9742" s="396"/>
      <c r="F9742" s="396"/>
      <c r="G9742" s="396"/>
      <c r="K9742" s="370"/>
      <c r="N9742" s="370"/>
    </row>
    <row r="9743" spans="1:14" s="347" customFormat="1" x14ac:dyDescent="0.25">
      <c r="A9743" s="369"/>
      <c r="E9743" s="396"/>
      <c r="F9743" s="396"/>
      <c r="G9743" s="396"/>
      <c r="K9743" s="370"/>
      <c r="N9743" s="370"/>
    </row>
    <row r="9744" spans="1:14" s="347" customFormat="1" x14ac:dyDescent="0.25">
      <c r="A9744" s="369"/>
      <c r="E9744" s="396"/>
      <c r="F9744" s="396"/>
      <c r="G9744" s="396"/>
      <c r="K9744" s="370"/>
      <c r="N9744" s="370"/>
    </row>
    <row r="9745" spans="1:14" s="347" customFormat="1" x14ac:dyDescent="0.25">
      <c r="A9745" s="369"/>
      <c r="E9745" s="396"/>
      <c r="F9745" s="396"/>
      <c r="G9745" s="396"/>
      <c r="K9745" s="370"/>
      <c r="N9745" s="370"/>
    </row>
    <row r="9746" spans="1:14" s="347" customFormat="1" x14ac:dyDescent="0.25">
      <c r="A9746" s="369"/>
      <c r="E9746" s="396"/>
      <c r="F9746" s="396"/>
      <c r="G9746" s="396"/>
      <c r="K9746" s="370"/>
      <c r="N9746" s="370"/>
    </row>
    <row r="9747" spans="1:14" s="347" customFormat="1" x14ac:dyDescent="0.25">
      <c r="A9747" s="369"/>
      <c r="E9747" s="396"/>
      <c r="F9747" s="396"/>
      <c r="G9747" s="396"/>
      <c r="K9747" s="370"/>
      <c r="N9747" s="370"/>
    </row>
    <row r="9748" spans="1:14" s="347" customFormat="1" x14ac:dyDescent="0.25">
      <c r="A9748" s="369"/>
      <c r="E9748" s="396"/>
      <c r="F9748" s="396"/>
      <c r="G9748" s="396"/>
      <c r="K9748" s="370"/>
      <c r="N9748" s="370"/>
    </row>
    <row r="9749" spans="1:14" s="347" customFormat="1" x14ac:dyDescent="0.25">
      <c r="A9749" s="369"/>
      <c r="E9749" s="396"/>
      <c r="F9749" s="396"/>
      <c r="G9749" s="396"/>
      <c r="K9749" s="370"/>
      <c r="N9749" s="370"/>
    </row>
    <row r="9750" spans="1:14" s="347" customFormat="1" x14ac:dyDescent="0.25">
      <c r="A9750" s="369"/>
      <c r="E9750" s="396"/>
      <c r="F9750" s="396"/>
      <c r="G9750" s="396"/>
      <c r="K9750" s="370"/>
      <c r="N9750" s="370"/>
    </row>
    <row r="9751" spans="1:14" s="347" customFormat="1" x14ac:dyDescent="0.25">
      <c r="A9751" s="369"/>
      <c r="E9751" s="396"/>
      <c r="F9751" s="396"/>
      <c r="G9751" s="396"/>
      <c r="K9751" s="370"/>
      <c r="N9751" s="370"/>
    </row>
    <row r="9752" spans="1:14" s="347" customFormat="1" x14ac:dyDescent="0.25">
      <c r="A9752" s="369"/>
      <c r="E9752" s="396"/>
      <c r="F9752" s="396"/>
      <c r="G9752" s="396"/>
      <c r="K9752" s="370"/>
      <c r="N9752" s="370"/>
    </row>
    <row r="9753" spans="1:14" s="347" customFormat="1" x14ac:dyDescent="0.25">
      <c r="A9753" s="369"/>
      <c r="E9753" s="396"/>
      <c r="F9753" s="396"/>
      <c r="G9753" s="396"/>
      <c r="K9753" s="370"/>
      <c r="N9753" s="370"/>
    </row>
    <row r="9754" spans="1:14" s="347" customFormat="1" x14ac:dyDescent="0.25">
      <c r="A9754" s="369"/>
      <c r="E9754" s="396"/>
      <c r="F9754" s="396"/>
      <c r="G9754" s="396"/>
      <c r="K9754" s="370"/>
      <c r="N9754" s="370"/>
    </row>
    <row r="9755" spans="1:14" s="347" customFormat="1" x14ac:dyDescent="0.25">
      <c r="A9755" s="369"/>
      <c r="E9755" s="396"/>
      <c r="F9755" s="396"/>
      <c r="G9755" s="396"/>
      <c r="K9755" s="370"/>
      <c r="N9755" s="370"/>
    </row>
    <row r="9756" spans="1:14" s="347" customFormat="1" x14ac:dyDescent="0.25">
      <c r="A9756" s="369"/>
      <c r="E9756" s="396"/>
      <c r="F9756" s="396"/>
      <c r="G9756" s="396"/>
      <c r="K9756" s="370"/>
      <c r="N9756" s="370"/>
    </row>
    <row r="9757" spans="1:14" s="347" customFormat="1" x14ac:dyDescent="0.25">
      <c r="A9757" s="369"/>
      <c r="E9757" s="396"/>
      <c r="F9757" s="396"/>
      <c r="G9757" s="396"/>
      <c r="K9757" s="370"/>
      <c r="N9757" s="370"/>
    </row>
    <row r="9758" spans="1:14" s="347" customFormat="1" x14ac:dyDescent="0.25">
      <c r="A9758" s="369"/>
      <c r="E9758" s="396"/>
      <c r="F9758" s="396"/>
      <c r="G9758" s="396"/>
      <c r="K9758" s="370"/>
      <c r="N9758" s="370"/>
    </row>
    <row r="9759" spans="1:14" s="347" customFormat="1" x14ac:dyDescent="0.25">
      <c r="A9759" s="369"/>
      <c r="E9759" s="396"/>
      <c r="F9759" s="396"/>
      <c r="G9759" s="396"/>
      <c r="K9759" s="370"/>
      <c r="N9759" s="370"/>
    </row>
    <row r="9760" spans="1:14" s="347" customFormat="1" x14ac:dyDescent="0.25">
      <c r="A9760" s="369"/>
      <c r="E9760" s="396"/>
      <c r="F9760" s="396"/>
      <c r="G9760" s="396"/>
      <c r="K9760" s="370"/>
      <c r="N9760" s="370"/>
    </row>
    <row r="9761" spans="1:14" s="347" customFormat="1" x14ac:dyDescent="0.25">
      <c r="A9761" s="369"/>
      <c r="E9761" s="396"/>
      <c r="F9761" s="396"/>
      <c r="G9761" s="396"/>
      <c r="K9761" s="370"/>
      <c r="N9761" s="370"/>
    </row>
    <row r="9762" spans="1:14" s="347" customFormat="1" x14ac:dyDescent="0.25">
      <c r="A9762" s="369"/>
      <c r="E9762" s="396"/>
      <c r="F9762" s="396"/>
      <c r="G9762" s="396"/>
      <c r="K9762" s="370"/>
      <c r="N9762" s="370"/>
    </row>
    <row r="9763" spans="1:14" s="347" customFormat="1" x14ac:dyDescent="0.25">
      <c r="A9763" s="369"/>
      <c r="E9763" s="396"/>
      <c r="F9763" s="396"/>
      <c r="G9763" s="396"/>
      <c r="K9763" s="370"/>
      <c r="N9763" s="370"/>
    </row>
    <row r="9764" spans="1:14" s="347" customFormat="1" x14ac:dyDescent="0.25">
      <c r="A9764" s="369"/>
      <c r="E9764" s="396"/>
      <c r="F9764" s="396"/>
      <c r="G9764" s="396"/>
      <c r="K9764" s="370"/>
      <c r="N9764" s="370"/>
    </row>
    <row r="9765" spans="1:14" s="347" customFormat="1" x14ac:dyDescent="0.25">
      <c r="A9765" s="369"/>
      <c r="E9765" s="396"/>
      <c r="F9765" s="396"/>
      <c r="G9765" s="396"/>
      <c r="K9765" s="370"/>
      <c r="N9765" s="370"/>
    </row>
    <row r="9766" spans="1:14" s="347" customFormat="1" x14ac:dyDescent="0.25">
      <c r="A9766" s="369"/>
      <c r="E9766" s="396"/>
      <c r="F9766" s="396"/>
      <c r="G9766" s="396"/>
      <c r="K9766" s="370"/>
      <c r="N9766" s="370"/>
    </row>
    <row r="9767" spans="1:14" s="347" customFormat="1" x14ac:dyDescent="0.25">
      <c r="A9767" s="369"/>
      <c r="E9767" s="396"/>
      <c r="F9767" s="396"/>
      <c r="G9767" s="396"/>
      <c r="K9767" s="370"/>
      <c r="N9767" s="370"/>
    </row>
    <row r="9768" spans="1:14" s="347" customFormat="1" x14ac:dyDescent="0.25">
      <c r="A9768" s="369"/>
      <c r="E9768" s="396"/>
      <c r="F9768" s="396"/>
      <c r="G9768" s="396"/>
      <c r="K9768" s="370"/>
      <c r="N9768" s="370"/>
    </row>
    <row r="9769" spans="1:14" s="347" customFormat="1" x14ac:dyDescent="0.25">
      <c r="A9769" s="369"/>
      <c r="E9769" s="396"/>
      <c r="F9769" s="396"/>
      <c r="G9769" s="396"/>
      <c r="K9769" s="370"/>
      <c r="N9769" s="370"/>
    </row>
    <row r="9770" spans="1:14" s="347" customFormat="1" x14ac:dyDescent="0.25">
      <c r="A9770" s="369"/>
      <c r="E9770" s="396"/>
      <c r="F9770" s="396"/>
      <c r="G9770" s="396"/>
      <c r="K9770" s="370"/>
      <c r="N9770" s="370"/>
    </row>
    <row r="9771" spans="1:14" s="347" customFormat="1" x14ac:dyDescent="0.25">
      <c r="A9771" s="369"/>
      <c r="E9771" s="396"/>
      <c r="F9771" s="396"/>
      <c r="G9771" s="396"/>
      <c r="K9771" s="370"/>
      <c r="N9771" s="370"/>
    </row>
    <row r="9772" spans="1:14" s="347" customFormat="1" x14ac:dyDescent="0.25">
      <c r="A9772" s="369"/>
      <c r="E9772" s="396"/>
      <c r="F9772" s="396"/>
      <c r="G9772" s="396"/>
      <c r="K9772" s="370"/>
      <c r="N9772" s="370"/>
    </row>
    <row r="9773" spans="1:14" s="347" customFormat="1" x14ac:dyDescent="0.25">
      <c r="A9773" s="369"/>
      <c r="E9773" s="396"/>
      <c r="F9773" s="396"/>
      <c r="G9773" s="396"/>
      <c r="K9773" s="370"/>
      <c r="N9773" s="370"/>
    </row>
    <row r="9774" spans="1:14" s="347" customFormat="1" x14ac:dyDescent="0.25">
      <c r="A9774" s="369"/>
      <c r="E9774" s="396"/>
      <c r="F9774" s="396"/>
      <c r="G9774" s="396"/>
      <c r="K9774" s="370"/>
      <c r="N9774" s="370"/>
    </row>
    <row r="9775" spans="1:14" s="347" customFormat="1" x14ac:dyDescent="0.25">
      <c r="A9775" s="369"/>
      <c r="E9775" s="396"/>
      <c r="F9775" s="396"/>
      <c r="G9775" s="396"/>
      <c r="K9775" s="370"/>
      <c r="N9775" s="370"/>
    </row>
    <row r="9776" spans="1:14" s="347" customFormat="1" x14ac:dyDescent="0.25">
      <c r="A9776" s="369"/>
      <c r="E9776" s="396"/>
      <c r="F9776" s="396"/>
      <c r="G9776" s="396"/>
      <c r="K9776" s="370"/>
      <c r="N9776" s="370"/>
    </row>
    <row r="9777" spans="1:14" s="347" customFormat="1" x14ac:dyDescent="0.25">
      <c r="A9777" s="369"/>
      <c r="E9777" s="396"/>
      <c r="F9777" s="396"/>
      <c r="G9777" s="396"/>
      <c r="K9777" s="370"/>
      <c r="N9777" s="370"/>
    </row>
    <row r="9778" spans="1:14" s="347" customFormat="1" x14ac:dyDescent="0.25">
      <c r="A9778" s="369"/>
      <c r="E9778" s="396"/>
      <c r="F9778" s="396"/>
      <c r="G9778" s="396"/>
      <c r="K9778" s="370"/>
      <c r="N9778" s="370"/>
    </row>
    <row r="9779" spans="1:14" s="347" customFormat="1" x14ac:dyDescent="0.25">
      <c r="A9779" s="369"/>
      <c r="E9779" s="396"/>
      <c r="F9779" s="396"/>
      <c r="G9779" s="396"/>
      <c r="K9779" s="370"/>
      <c r="N9779" s="370"/>
    </row>
    <row r="9780" spans="1:14" s="347" customFormat="1" x14ac:dyDescent="0.25">
      <c r="A9780" s="369"/>
      <c r="E9780" s="396"/>
      <c r="F9780" s="396"/>
      <c r="G9780" s="396"/>
      <c r="K9780" s="370"/>
      <c r="N9780" s="370"/>
    </row>
    <row r="9781" spans="1:14" s="347" customFormat="1" x14ac:dyDescent="0.25">
      <c r="A9781" s="369"/>
      <c r="E9781" s="396"/>
      <c r="F9781" s="396"/>
      <c r="G9781" s="396"/>
      <c r="K9781" s="370"/>
      <c r="N9781" s="370"/>
    </row>
    <row r="9782" spans="1:14" s="347" customFormat="1" x14ac:dyDescent="0.25">
      <c r="A9782" s="369"/>
      <c r="E9782" s="396"/>
      <c r="F9782" s="396"/>
      <c r="G9782" s="396"/>
      <c r="K9782" s="370"/>
      <c r="N9782" s="370"/>
    </row>
    <row r="9783" spans="1:14" s="347" customFormat="1" x14ac:dyDescent="0.25">
      <c r="A9783" s="369"/>
      <c r="E9783" s="396"/>
      <c r="F9783" s="396"/>
      <c r="G9783" s="396"/>
      <c r="K9783" s="370"/>
      <c r="N9783" s="370"/>
    </row>
    <row r="9784" spans="1:14" s="347" customFormat="1" x14ac:dyDescent="0.25">
      <c r="A9784" s="369"/>
      <c r="E9784" s="396"/>
      <c r="F9784" s="396"/>
      <c r="G9784" s="396"/>
      <c r="K9784" s="370"/>
      <c r="N9784" s="370"/>
    </row>
    <row r="9785" spans="1:14" s="347" customFormat="1" x14ac:dyDescent="0.25">
      <c r="A9785" s="369"/>
      <c r="E9785" s="396"/>
      <c r="F9785" s="396"/>
      <c r="G9785" s="396"/>
      <c r="K9785" s="370"/>
      <c r="N9785" s="370"/>
    </row>
    <row r="9786" spans="1:14" s="347" customFormat="1" x14ac:dyDescent="0.25">
      <c r="A9786" s="369"/>
      <c r="E9786" s="396"/>
      <c r="F9786" s="396"/>
      <c r="G9786" s="396"/>
      <c r="K9786" s="370"/>
      <c r="N9786" s="370"/>
    </row>
    <row r="9787" spans="1:14" s="347" customFormat="1" x14ac:dyDescent="0.25">
      <c r="A9787" s="369"/>
      <c r="E9787" s="396"/>
      <c r="F9787" s="396"/>
      <c r="G9787" s="396"/>
      <c r="K9787" s="370"/>
      <c r="N9787" s="370"/>
    </row>
    <row r="9788" spans="1:14" s="347" customFormat="1" x14ac:dyDescent="0.25">
      <c r="A9788" s="369"/>
      <c r="E9788" s="396"/>
      <c r="F9788" s="396"/>
      <c r="G9788" s="396"/>
      <c r="K9788" s="370"/>
      <c r="N9788" s="370"/>
    </row>
    <row r="9789" spans="1:14" s="347" customFormat="1" x14ac:dyDescent="0.25">
      <c r="A9789" s="369"/>
      <c r="E9789" s="396"/>
      <c r="F9789" s="396"/>
      <c r="G9789" s="396"/>
      <c r="K9789" s="370"/>
      <c r="N9789" s="370"/>
    </row>
    <row r="9790" spans="1:14" s="347" customFormat="1" x14ac:dyDescent="0.25">
      <c r="A9790" s="369"/>
      <c r="E9790" s="396"/>
      <c r="F9790" s="396"/>
      <c r="G9790" s="396"/>
      <c r="K9790" s="370"/>
      <c r="N9790" s="370"/>
    </row>
    <row r="9791" spans="1:14" s="347" customFormat="1" x14ac:dyDescent="0.25">
      <c r="A9791" s="369"/>
      <c r="E9791" s="396"/>
      <c r="F9791" s="396"/>
      <c r="G9791" s="396"/>
      <c r="K9791" s="370"/>
      <c r="N9791" s="370"/>
    </row>
    <row r="9792" spans="1:14" s="347" customFormat="1" x14ac:dyDescent="0.25">
      <c r="A9792" s="369"/>
      <c r="E9792" s="396"/>
      <c r="F9792" s="396"/>
      <c r="G9792" s="396"/>
      <c r="K9792" s="370"/>
      <c r="N9792" s="370"/>
    </row>
    <row r="9793" spans="1:14" s="347" customFormat="1" x14ac:dyDescent="0.25">
      <c r="A9793" s="369"/>
      <c r="E9793" s="396"/>
      <c r="F9793" s="396"/>
      <c r="G9793" s="396"/>
      <c r="K9793" s="370"/>
      <c r="N9793" s="370"/>
    </row>
    <row r="9794" spans="1:14" s="347" customFormat="1" x14ac:dyDescent="0.25">
      <c r="A9794" s="369"/>
      <c r="E9794" s="396"/>
      <c r="F9794" s="396"/>
      <c r="G9794" s="396"/>
      <c r="K9794" s="370"/>
      <c r="N9794" s="370"/>
    </row>
    <row r="9795" spans="1:14" s="347" customFormat="1" x14ac:dyDescent="0.25">
      <c r="A9795" s="369"/>
      <c r="E9795" s="396"/>
      <c r="F9795" s="396"/>
      <c r="G9795" s="396"/>
      <c r="K9795" s="370"/>
      <c r="N9795" s="370"/>
    </row>
    <row r="9796" spans="1:14" s="347" customFormat="1" x14ac:dyDescent="0.25">
      <c r="A9796" s="369"/>
      <c r="E9796" s="396"/>
      <c r="F9796" s="396"/>
      <c r="G9796" s="396"/>
      <c r="K9796" s="370"/>
      <c r="N9796" s="370"/>
    </row>
    <row r="9797" spans="1:14" s="347" customFormat="1" x14ac:dyDescent="0.25">
      <c r="A9797" s="369"/>
      <c r="E9797" s="396"/>
      <c r="F9797" s="396"/>
      <c r="G9797" s="396"/>
      <c r="K9797" s="370"/>
      <c r="N9797" s="370"/>
    </row>
    <row r="9798" spans="1:14" s="347" customFormat="1" x14ac:dyDescent="0.25">
      <c r="A9798" s="369"/>
      <c r="E9798" s="396"/>
      <c r="F9798" s="396"/>
      <c r="G9798" s="396"/>
      <c r="K9798" s="370"/>
      <c r="N9798" s="370"/>
    </row>
    <row r="9799" spans="1:14" s="347" customFormat="1" x14ac:dyDescent="0.25">
      <c r="A9799" s="369"/>
      <c r="E9799" s="396"/>
      <c r="F9799" s="396"/>
      <c r="G9799" s="396"/>
      <c r="K9799" s="370"/>
      <c r="N9799" s="370"/>
    </row>
    <row r="9800" spans="1:14" s="347" customFormat="1" x14ac:dyDescent="0.25">
      <c r="A9800" s="369"/>
      <c r="E9800" s="396"/>
      <c r="F9800" s="396"/>
      <c r="G9800" s="396"/>
      <c r="K9800" s="370"/>
      <c r="N9800" s="370"/>
    </row>
    <row r="9801" spans="1:14" s="347" customFormat="1" x14ac:dyDescent="0.25">
      <c r="A9801" s="369"/>
      <c r="E9801" s="396"/>
      <c r="F9801" s="396"/>
      <c r="G9801" s="396"/>
      <c r="K9801" s="370"/>
      <c r="N9801" s="370"/>
    </row>
    <row r="9802" spans="1:14" s="347" customFormat="1" x14ac:dyDescent="0.25">
      <c r="A9802" s="369"/>
      <c r="E9802" s="396"/>
      <c r="F9802" s="396"/>
      <c r="G9802" s="396"/>
      <c r="K9802" s="370"/>
      <c r="N9802" s="370"/>
    </row>
    <row r="9803" spans="1:14" s="347" customFormat="1" x14ac:dyDescent="0.25">
      <c r="A9803" s="369"/>
      <c r="E9803" s="396"/>
      <c r="F9803" s="396"/>
      <c r="G9803" s="396"/>
      <c r="K9803" s="370"/>
      <c r="N9803" s="370"/>
    </row>
    <row r="9804" spans="1:14" s="347" customFormat="1" x14ac:dyDescent="0.25">
      <c r="A9804" s="369"/>
      <c r="E9804" s="396"/>
      <c r="F9804" s="396"/>
      <c r="G9804" s="396"/>
      <c r="K9804" s="370"/>
      <c r="N9804" s="370"/>
    </row>
    <row r="9805" spans="1:14" s="347" customFormat="1" x14ac:dyDescent="0.25">
      <c r="A9805" s="369"/>
      <c r="E9805" s="396"/>
      <c r="F9805" s="396"/>
      <c r="G9805" s="396"/>
      <c r="K9805" s="370"/>
      <c r="N9805" s="370"/>
    </row>
    <row r="9806" spans="1:14" s="347" customFormat="1" x14ac:dyDescent="0.25">
      <c r="A9806" s="369"/>
      <c r="E9806" s="396"/>
      <c r="F9806" s="396"/>
      <c r="G9806" s="396"/>
      <c r="K9806" s="370"/>
      <c r="N9806" s="370"/>
    </row>
    <row r="9807" spans="1:14" s="347" customFormat="1" x14ac:dyDescent="0.25">
      <c r="A9807" s="369"/>
      <c r="E9807" s="396"/>
      <c r="F9807" s="396"/>
      <c r="G9807" s="396"/>
      <c r="K9807" s="370"/>
      <c r="N9807" s="370"/>
    </row>
    <row r="9808" spans="1:14" s="347" customFormat="1" x14ac:dyDescent="0.25">
      <c r="A9808" s="369"/>
      <c r="E9808" s="396"/>
      <c r="F9808" s="396"/>
      <c r="G9808" s="396"/>
      <c r="K9808" s="370"/>
      <c r="N9808" s="370"/>
    </row>
    <row r="9809" spans="1:14" s="347" customFormat="1" x14ac:dyDescent="0.25">
      <c r="A9809" s="369"/>
      <c r="E9809" s="396"/>
      <c r="F9809" s="396"/>
      <c r="G9809" s="396"/>
      <c r="K9809" s="370"/>
      <c r="N9809" s="370"/>
    </row>
    <row r="9810" spans="1:14" s="347" customFormat="1" x14ac:dyDescent="0.25">
      <c r="A9810" s="369"/>
      <c r="E9810" s="396"/>
      <c r="F9810" s="396"/>
      <c r="G9810" s="396"/>
      <c r="K9810" s="370"/>
      <c r="N9810" s="370"/>
    </row>
    <row r="9811" spans="1:14" s="347" customFormat="1" x14ac:dyDescent="0.25">
      <c r="A9811" s="369"/>
      <c r="E9811" s="396"/>
      <c r="F9811" s="396"/>
      <c r="G9811" s="396"/>
      <c r="K9811" s="370"/>
      <c r="N9811" s="370"/>
    </row>
    <row r="9812" spans="1:14" s="347" customFormat="1" x14ac:dyDescent="0.25">
      <c r="A9812" s="369"/>
      <c r="E9812" s="396"/>
      <c r="F9812" s="396"/>
      <c r="G9812" s="396"/>
      <c r="K9812" s="370"/>
      <c r="N9812" s="370"/>
    </row>
    <row r="9813" spans="1:14" s="347" customFormat="1" x14ac:dyDescent="0.25">
      <c r="A9813" s="369"/>
      <c r="E9813" s="396"/>
      <c r="F9813" s="396"/>
      <c r="G9813" s="396"/>
      <c r="K9813" s="370"/>
      <c r="N9813" s="370"/>
    </row>
    <row r="9814" spans="1:14" s="347" customFormat="1" x14ac:dyDescent="0.25">
      <c r="A9814" s="369"/>
      <c r="E9814" s="396"/>
      <c r="F9814" s="396"/>
      <c r="G9814" s="396"/>
      <c r="K9814" s="370"/>
      <c r="N9814" s="370"/>
    </row>
    <row r="9815" spans="1:14" s="347" customFormat="1" x14ac:dyDescent="0.25">
      <c r="A9815" s="369"/>
      <c r="E9815" s="396"/>
      <c r="F9815" s="396"/>
      <c r="G9815" s="396"/>
      <c r="K9815" s="370"/>
      <c r="N9815" s="370"/>
    </row>
    <row r="9816" spans="1:14" s="347" customFormat="1" x14ac:dyDescent="0.25">
      <c r="A9816" s="369"/>
      <c r="E9816" s="396"/>
      <c r="F9816" s="396"/>
      <c r="G9816" s="396"/>
      <c r="K9816" s="370"/>
      <c r="N9816" s="370"/>
    </row>
    <row r="9817" spans="1:14" s="347" customFormat="1" x14ac:dyDescent="0.25">
      <c r="A9817" s="369"/>
      <c r="E9817" s="396"/>
      <c r="F9817" s="396"/>
      <c r="G9817" s="396"/>
      <c r="K9817" s="370"/>
      <c r="N9817" s="370"/>
    </row>
    <row r="9818" spans="1:14" s="347" customFormat="1" x14ac:dyDescent="0.25">
      <c r="A9818" s="369"/>
      <c r="E9818" s="396"/>
      <c r="F9818" s="396"/>
      <c r="G9818" s="396"/>
      <c r="K9818" s="370"/>
      <c r="N9818" s="370"/>
    </row>
    <row r="9819" spans="1:14" s="347" customFormat="1" x14ac:dyDescent="0.25">
      <c r="A9819" s="369"/>
      <c r="E9819" s="396"/>
      <c r="F9819" s="396"/>
      <c r="G9819" s="396"/>
      <c r="K9819" s="370"/>
      <c r="N9819" s="370"/>
    </row>
    <row r="9820" spans="1:14" s="347" customFormat="1" x14ac:dyDescent="0.25">
      <c r="A9820" s="369"/>
      <c r="E9820" s="396"/>
      <c r="F9820" s="396"/>
      <c r="G9820" s="396"/>
      <c r="K9820" s="370"/>
      <c r="N9820" s="370"/>
    </row>
    <row r="9821" spans="1:14" s="347" customFormat="1" x14ac:dyDescent="0.25">
      <c r="A9821" s="369"/>
      <c r="E9821" s="396"/>
      <c r="F9821" s="396"/>
      <c r="G9821" s="396"/>
      <c r="K9821" s="370"/>
      <c r="N9821" s="370"/>
    </row>
    <row r="9822" spans="1:14" s="347" customFormat="1" x14ac:dyDescent="0.25">
      <c r="A9822" s="369"/>
      <c r="E9822" s="396"/>
      <c r="F9822" s="396"/>
      <c r="G9822" s="396"/>
      <c r="K9822" s="370"/>
      <c r="N9822" s="370"/>
    </row>
    <row r="9823" spans="1:14" s="347" customFormat="1" x14ac:dyDescent="0.25">
      <c r="A9823" s="369"/>
      <c r="E9823" s="396"/>
      <c r="F9823" s="396"/>
      <c r="G9823" s="396"/>
      <c r="K9823" s="370"/>
      <c r="N9823" s="370"/>
    </row>
    <row r="9824" spans="1:14" s="347" customFormat="1" x14ac:dyDescent="0.25">
      <c r="A9824" s="369"/>
      <c r="E9824" s="396"/>
      <c r="F9824" s="396"/>
      <c r="G9824" s="396"/>
      <c r="K9824" s="370"/>
      <c r="N9824" s="370"/>
    </row>
    <row r="9825" spans="1:14" s="347" customFormat="1" x14ac:dyDescent="0.25">
      <c r="A9825" s="369"/>
      <c r="E9825" s="396"/>
      <c r="F9825" s="396"/>
      <c r="G9825" s="396"/>
      <c r="K9825" s="370"/>
      <c r="N9825" s="370"/>
    </row>
    <row r="9826" spans="1:14" s="347" customFormat="1" x14ac:dyDescent="0.25">
      <c r="A9826" s="369"/>
      <c r="E9826" s="396"/>
      <c r="F9826" s="396"/>
      <c r="G9826" s="396"/>
      <c r="K9826" s="370"/>
      <c r="N9826" s="370"/>
    </row>
    <row r="9827" spans="1:14" s="347" customFormat="1" x14ac:dyDescent="0.25">
      <c r="A9827" s="369"/>
      <c r="E9827" s="396"/>
      <c r="F9827" s="396"/>
      <c r="G9827" s="396"/>
      <c r="K9827" s="370"/>
      <c r="N9827" s="370"/>
    </row>
    <row r="9828" spans="1:14" s="347" customFormat="1" x14ac:dyDescent="0.25">
      <c r="A9828" s="369"/>
      <c r="E9828" s="396"/>
      <c r="F9828" s="396"/>
      <c r="G9828" s="396"/>
      <c r="K9828" s="370"/>
      <c r="N9828" s="370"/>
    </row>
    <row r="9829" spans="1:14" s="347" customFormat="1" x14ac:dyDescent="0.25">
      <c r="A9829" s="369"/>
      <c r="E9829" s="396"/>
      <c r="F9829" s="396"/>
      <c r="G9829" s="396"/>
      <c r="K9829" s="370"/>
      <c r="N9829" s="370"/>
    </row>
    <row r="9830" spans="1:14" s="347" customFormat="1" x14ac:dyDescent="0.25">
      <c r="A9830" s="369"/>
      <c r="E9830" s="396"/>
      <c r="F9830" s="396"/>
      <c r="G9830" s="396"/>
      <c r="K9830" s="370"/>
      <c r="N9830" s="370"/>
    </row>
    <row r="9831" spans="1:14" s="347" customFormat="1" x14ac:dyDescent="0.25">
      <c r="A9831" s="369"/>
      <c r="E9831" s="396"/>
      <c r="F9831" s="396"/>
      <c r="G9831" s="396"/>
      <c r="K9831" s="370"/>
      <c r="N9831" s="370"/>
    </row>
    <row r="9832" spans="1:14" s="347" customFormat="1" x14ac:dyDescent="0.25">
      <c r="A9832" s="369"/>
      <c r="E9832" s="396"/>
      <c r="F9832" s="396"/>
      <c r="G9832" s="396"/>
      <c r="K9832" s="370"/>
      <c r="N9832" s="370"/>
    </row>
    <row r="9833" spans="1:14" s="347" customFormat="1" x14ac:dyDescent="0.25">
      <c r="A9833" s="369"/>
      <c r="E9833" s="396"/>
      <c r="F9833" s="396"/>
      <c r="G9833" s="396"/>
      <c r="K9833" s="370"/>
      <c r="N9833" s="370"/>
    </row>
    <row r="9834" spans="1:14" s="347" customFormat="1" x14ac:dyDescent="0.25">
      <c r="A9834" s="369"/>
      <c r="E9834" s="396"/>
      <c r="F9834" s="396"/>
      <c r="G9834" s="396"/>
      <c r="K9834" s="370"/>
      <c r="N9834" s="370"/>
    </row>
    <row r="9835" spans="1:14" s="347" customFormat="1" x14ac:dyDescent="0.25">
      <c r="A9835" s="369"/>
      <c r="E9835" s="396"/>
      <c r="F9835" s="396"/>
      <c r="G9835" s="396"/>
      <c r="K9835" s="370"/>
      <c r="N9835" s="370"/>
    </row>
    <row r="9836" spans="1:14" s="347" customFormat="1" x14ac:dyDescent="0.25">
      <c r="A9836" s="369"/>
      <c r="E9836" s="396"/>
      <c r="F9836" s="396"/>
      <c r="G9836" s="396"/>
      <c r="K9836" s="370"/>
      <c r="N9836" s="370"/>
    </row>
    <row r="9837" spans="1:14" s="347" customFormat="1" x14ac:dyDescent="0.25">
      <c r="A9837" s="369"/>
      <c r="E9837" s="396"/>
      <c r="F9837" s="396"/>
      <c r="G9837" s="396"/>
      <c r="K9837" s="370"/>
      <c r="N9837" s="370"/>
    </row>
    <row r="9838" spans="1:14" s="347" customFormat="1" x14ac:dyDescent="0.25">
      <c r="A9838" s="369"/>
      <c r="E9838" s="396"/>
      <c r="F9838" s="396"/>
      <c r="G9838" s="396"/>
      <c r="K9838" s="370"/>
      <c r="N9838" s="370"/>
    </row>
    <row r="9839" spans="1:14" s="347" customFormat="1" x14ac:dyDescent="0.25">
      <c r="A9839" s="369"/>
      <c r="E9839" s="396"/>
      <c r="F9839" s="396"/>
      <c r="G9839" s="396"/>
      <c r="K9839" s="370"/>
      <c r="N9839" s="370"/>
    </row>
    <row r="9840" spans="1:14" s="347" customFormat="1" x14ac:dyDescent="0.25">
      <c r="A9840" s="369"/>
      <c r="E9840" s="396"/>
      <c r="F9840" s="396"/>
      <c r="G9840" s="396"/>
      <c r="K9840" s="370"/>
      <c r="N9840" s="370"/>
    </row>
    <row r="9841" spans="1:14" s="347" customFormat="1" x14ac:dyDescent="0.25">
      <c r="A9841" s="369"/>
      <c r="E9841" s="396"/>
      <c r="F9841" s="396"/>
      <c r="G9841" s="396"/>
      <c r="K9841" s="370"/>
      <c r="N9841" s="370"/>
    </row>
    <row r="9842" spans="1:14" s="347" customFormat="1" x14ac:dyDescent="0.25">
      <c r="A9842" s="369"/>
      <c r="E9842" s="396"/>
      <c r="F9842" s="396"/>
      <c r="G9842" s="396"/>
      <c r="K9842" s="370"/>
      <c r="N9842" s="370"/>
    </row>
    <row r="9843" spans="1:14" s="347" customFormat="1" x14ac:dyDescent="0.25">
      <c r="A9843" s="369"/>
      <c r="E9843" s="396"/>
      <c r="F9843" s="396"/>
      <c r="G9843" s="396"/>
      <c r="K9843" s="370"/>
      <c r="N9843" s="370"/>
    </row>
    <row r="9844" spans="1:14" s="347" customFormat="1" x14ac:dyDescent="0.25">
      <c r="A9844" s="369"/>
      <c r="E9844" s="396"/>
      <c r="F9844" s="396"/>
      <c r="G9844" s="396"/>
      <c r="K9844" s="370"/>
      <c r="N9844" s="370"/>
    </row>
    <row r="9845" spans="1:14" s="347" customFormat="1" x14ac:dyDescent="0.25">
      <c r="A9845" s="369"/>
      <c r="E9845" s="396"/>
      <c r="F9845" s="396"/>
      <c r="G9845" s="396"/>
      <c r="K9845" s="370"/>
      <c r="N9845" s="370"/>
    </row>
    <row r="9846" spans="1:14" s="347" customFormat="1" x14ac:dyDescent="0.25">
      <c r="A9846" s="369"/>
      <c r="E9846" s="396"/>
      <c r="F9846" s="396"/>
      <c r="G9846" s="396"/>
      <c r="K9846" s="370"/>
      <c r="N9846" s="370"/>
    </row>
    <row r="9847" spans="1:14" s="347" customFormat="1" x14ac:dyDescent="0.25">
      <c r="A9847" s="369"/>
      <c r="E9847" s="396"/>
      <c r="F9847" s="396"/>
      <c r="G9847" s="396"/>
      <c r="K9847" s="370"/>
      <c r="N9847" s="370"/>
    </row>
    <row r="9848" spans="1:14" s="347" customFormat="1" x14ac:dyDescent="0.25">
      <c r="A9848" s="369"/>
      <c r="E9848" s="396"/>
      <c r="F9848" s="396"/>
      <c r="G9848" s="396"/>
      <c r="K9848" s="370"/>
      <c r="N9848" s="370"/>
    </row>
    <row r="9849" spans="1:14" s="347" customFormat="1" x14ac:dyDescent="0.25">
      <c r="A9849" s="369"/>
      <c r="E9849" s="396"/>
      <c r="F9849" s="396"/>
      <c r="G9849" s="396"/>
      <c r="K9849" s="370"/>
      <c r="N9849" s="370"/>
    </row>
    <row r="9850" spans="1:14" s="347" customFormat="1" x14ac:dyDescent="0.25">
      <c r="A9850" s="369"/>
      <c r="E9850" s="396"/>
      <c r="F9850" s="396"/>
      <c r="G9850" s="396"/>
      <c r="K9850" s="370"/>
      <c r="N9850" s="370"/>
    </row>
    <row r="9851" spans="1:14" s="347" customFormat="1" x14ac:dyDescent="0.25">
      <c r="A9851" s="369"/>
      <c r="E9851" s="396"/>
      <c r="F9851" s="396"/>
      <c r="G9851" s="396"/>
      <c r="K9851" s="370"/>
      <c r="N9851" s="370"/>
    </row>
    <row r="9852" spans="1:14" s="347" customFormat="1" x14ac:dyDescent="0.25">
      <c r="A9852" s="369"/>
      <c r="E9852" s="396"/>
      <c r="F9852" s="396"/>
      <c r="G9852" s="396"/>
      <c r="K9852" s="370"/>
      <c r="N9852" s="370"/>
    </row>
    <row r="9853" spans="1:14" s="347" customFormat="1" x14ac:dyDescent="0.25">
      <c r="A9853" s="369"/>
      <c r="E9853" s="396"/>
      <c r="F9853" s="396"/>
      <c r="G9853" s="396"/>
      <c r="K9853" s="370"/>
      <c r="N9853" s="370"/>
    </row>
    <row r="9854" spans="1:14" s="347" customFormat="1" x14ac:dyDescent="0.25">
      <c r="A9854" s="369"/>
      <c r="E9854" s="396"/>
      <c r="F9854" s="396"/>
      <c r="G9854" s="396"/>
      <c r="K9854" s="370"/>
      <c r="N9854" s="370"/>
    </row>
    <row r="9855" spans="1:14" s="347" customFormat="1" x14ac:dyDescent="0.25">
      <c r="A9855" s="369"/>
      <c r="E9855" s="396"/>
      <c r="F9855" s="396"/>
      <c r="G9855" s="396"/>
      <c r="K9855" s="370"/>
      <c r="N9855" s="370"/>
    </row>
    <row r="9856" spans="1:14" s="347" customFormat="1" x14ac:dyDescent="0.25">
      <c r="A9856" s="369"/>
      <c r="E9856" s="396"/>
      <c r="F9856" s="396"/>
      <c r="G9856" s="396"/>
      <c r="K9856" s="370"/>
      <c r="N9856" s="370"/>
    </row>
    <row r="9857" spans="1:14" s="347" customFormat="1" x14ac:dyDescent="0.25">
      <c r="A9857" s="369"/>
      <c r="E9857" s="396"/>
      <c r="F9857" s="396"/>
      <c r="G9857" s="396"/>
      <c r="K9857" s="370"/>
      <c r="N9857" s="370"/>
    </row>
    <row r="9858" spans="1:14" s="347" customFormat="1" x14ac:dyDescent="0.25">
      <c r="A9858" s="369"/>
      <c r="E9858" s="396"/>
      <c r="F9858" s="396"/>
      <c r="G9858" s="396"/>
      <c r="K9858" s="370"/>
      <c r="N9858" s="370"/>
    </row>
    <row r="9859" spans="1:14" s="347" customFormat="1" x14ac:dyDescent="0.25">
      <c r="A9859" s="369"/>
      <c r="E9859" s="396"/>
      <c r="F9859" s="396"/>
      <c r="G9859" s="396"/>
      <c r="K9859" s="370"/>
      <c r="N9859" s="370"/>
    </row>
    <row r="9860" spans="1:14" s="347" customFormat="1" x14ac:dyDescent="0.25">
      <c r="A9860" s="369"/>
      <c r="E9860" s="396"/>
      <c r="F9860" s="396"/>
      <c r="G9860" s="396"/>
      <c r="K9860" s="370"/>
      <c r="N9860" s="370"/>
    </row>
    <row r="9861" spans="1:14" s="347" customFormat="1" x14ac:dyDescent="0.25">
      <c r="A9861" s="369"/>
      <c r="E9861" s="396"/>
      <c r="F9861" s="396"/>
      <c r="G9861" s="396"/>
      <c r="K9861" s="370"/>
      <c r="N9861" s="370"/>
    </row>
    <row r="9862" spans="1:14" s="347" customFormat="1" x14ac:dyDescent="0.25">
      <c r="A9862" s="369"/>
      <c r="E9862" s="396"/>
      <c r="F9862" s="396"/>
      <c r="G9862" s="396"/>
      <c r="K9862" s="370"/>
      <c r="N9862" s="370"/>
    </row>
    <row r="9863" spans="1:14" s="347" customFormat="1" x14ac:dyDescent="0.25">
      <c r="A9863" s="369"/>
      <c r="E9863" s="396"/>
      <c r="F9863" s="396"/>
      <c r="G9863" s="396"/>
      <c r="K9863" s="370"/>
      <c r="N9863" s="370"/>
    </row>
    <row r="9864" spans="1:14" s="347" customFormat="1" x14ac:dyDescent="0.25">
      <c r="A9864" s="369"/>
      <c r="E9864" s="396"/>
      <c r="F9864" s="396"/>
      <c r="G9864" s="396"/>
      <c r="K9864" s="370"/>
      <c r="N9864" s="370"/>
    </row>
    <row r="9865" spans="1:14" s="347" customFormat="1" x14ac:dyDescent="0.25">
      <c r="A9865" s="369"/>
      <c r="E9865" s="396"/>
      <c r="F9865" s="396"/>
      <c r="G9865" s="396"/>
      <c r="K9865" s="370"/>
      <c r="N9865" s="370"/>
    </row>
    <row r="9866" spans="1:14" s="347" customFormat="1" x14ac:dyDescent="0.25">
      <c r="A9866" s="369"/>
      <c r="E9866" s="396"/>
      <c r="F9866" s="396"/>
      <c r="G9866" s="396"/>
      <c r="K9866" s="370"/>
      <c r="N9866" s="370"/>
    </row>
    <row r="9867" spans="1:14" s="347" customFormat="1" x14ac:dyDescent="0.25">
      <c r="A9867" s="369"/>
      <c r="E9867" s="396"/>
      <c r="F9867" s="396"/>
      <c r="G9867" s="396"/>
      <c r="K9867" s="370"/>
      <c r="N9867" s="370"/>
    </row>
    <row r="9868" spans="1:14" s="347" customFormat="1" x14ac:dyDescent="0.25">
      <c r="A9868" s="369"/>
      <c r="E9868" s="396"/>
      <c r="F9868" s="396"/>
      <c r="G9868" s="396"/>
      <c r="K9868" s="370"/>
      <c r="N9868" s="370"/>
    </row>
    <row r="9869" spans="1:14" s="347" customFormat="1" x14ac:dyDescent="0.25">
      <c r="A9869" s="369"/>
      <c r="E9869" s="396"/>
      <c r="F9869" s="396"/>
      <c r="G9869" s="396"/>
      <c r="K9869" s="370"/>
      <c r="N9869" s="370"/>
    </row>
    <row r="9870" spans="1:14" s="347" customFormat="1" x14ac:dyDescent="0.25">
      <c r="A9870" s="369"/>
      <c r="E9870" s="396"/>
      <c r="F9870" s="396"/>
      <c r="G9870" s="396"/>
      <c r="K9870" s="370"/>
      <c r="N9870" s="370"/>
    </row>
    <row r="9871" spans="1:14" s="347" customFormat="1" x14ac:dyDescent="0.25">
      <c r="A9871" s="369"/>
      <c r="E9871" s="396"/>
      <c r="F9871" s="396"/>
      <c r="G9871" s="396"/>
      <c r="K9871" s="370"/>
      <c r="N9871" s="370"/>
    </row>
    <row r="9872" spans="1:14" s="347" customFormat="1" x14ac:dyDescent="0.25">
      <c r="A9872" s="369"/>
      <c r="E9872" s="396"/>
      <c r="F9872" s="396"/>
      <c r="G9872" s="396"/>
      <c r="K9872" s="370"/>
      <c r="N9872" s="370"/>
    </row>
    <row r="9873" spans="1:14" s="347" customFormat="1" x14ac:dyDescent="0.25">
      <c r="A9873" s="369"/>
      <c r="E9873" s="396"/>
      <c r="F9873" s="396"/>
      <c r="G9873" s="396"/>
      <c r="K9873" s="370"/>
      <c r="N9873" s="370"/>
    </row>
    <row r="9874" spans="1:14" s="347" customFormat="1" x14ac:dyDescent="0.25">
      <c r="A9874" s="369"/>
      <c r="E9874" s="396"/>
      <c r="F9874" s="396"/>
      <c r="G9874" s="396"/>
      <c r="K9874" s="370"/>
      <c r="N9874" s="370"/>
    </row>
    <row r="9875" spans="1:14" s="347" customFormat="1" x14ac:dyDescent="0.25">
      <c r="A9875" s="369"/>
      <c r="E9875" s="396"/>
      <c r="F9875" s="396"/>
      <c r="G9875" s="396"/>
      <c r="K9875" s="370"/>
      <c r="N9875" s="370"/>
    </row>
    <row r="9876" spans="1:14" s="347" customFormat="1" x14ac:dyDescent="0.25">
      <c r="A9876" s="369"/>
      <c r="E9876" s="396"/>
      <c r="F9876" s="396"/>
      <c r="G9876" s="396"/>
      <c r="K9876" s="370"/>
      <c r="N9876" s="370"/>
    </row>
    <row r="9877" spans="1:14" s="347" customFormat="1" x14ac:dyDescent="0.25">
      <c r="A9877" s="369"/>
      <c r="E9877" s="396"/>
      <c r="F9877" s="396"/>
      <c r="G9877" s="396"/>
      <c r="K9877" s="370"/>
      <c r="N9877" s="370"/>
    </row>
    <row r="9878" spans="1:14" s="347" customFormat="1" x14ac:dyDescent="0.25">
      <c r="A9878" s="369"/>
      <c r="E9878" s="396"/>
      <c r="F9878" s="396"/>
      <c r="G9878" s="396"/>
      <c r="K9878" s="370"/>
      <c r="N9878" s="370"/>
    </row>
    <row r="9879" spans="1:14" s="347" customFormat="1" x14ac:dyDescent="0.25">
      <c r="A9879" s="369"/>
      <c r="E9879" s="396"/>
      <c r="F9879" s="396"/>
      <c r="G9879" s="396"/>
      <c r="K9879" s="370"/>
      <c r="N9879" s="370"/>
    </row>
    <row r="9880" spans="1:14" s="347" customFormat="1" x14ac:dyDescent="0.25">
      <c r="A9880" s="369"/>
      <c r="E9880" s="396"/>
      <c r="F9880" s="396"/>
      <c r="G9880" s="396"/>
      <c r="K9880" s="370"/>
      <c r="N9880" s="370"/>
    </row>
    <row r="9881" spans="1:14" s="347" customFormat="1" x14ac:dyDescent="0.25">
      <c r="A9881" s="369"/>
      <c r="E9881" s="396"/>
      <c r="F9881" s="396"/>
      <c r="G9881" s="396"/>
      <c r="K9881" s="370"/>
      <c r="N9881" s="370"/>
    </row>
    <row r="9882" spans="1:14" s="347" customFormat="1" x14ac:dyDescent="0.25">
      <c r="A9882" s="369"/>
      <c r="E9882" s="396"/>
      <c r="F9882" s="396"/>
      <c r="G9882" s="396"/>
      <c r="K9882" s="370"/>
      <c r="N9882" s="370"/>
    </row>
    <row r="9883" spans="1:14" s="347" customFormat="1" x14ac:dyDescent="0.25">
      <c r="A9883" s="369"/>
      <c r="E9883" s="396"/>
      <c r="F9883" s="396"/>
      <c r="G9883" s="396"/>
      <c r="K9883" s="370"/>
      <c r="N9883" s="370"/>
    </row>
    <row r="9884" spans="1:14" s="347" customFormat="1" x14ac:dyDescent="0.25">
      <c r="A9884" s="369"/>
      <c r="E9884" s="396"/>
      <c r="F9884" s="396"/>
      <c r="G9884" s="396"/>
      <c r="K9884" s="370"/>
      <c r="N9884" s="370"/>
    </row>
    <row r="9885" spans="1:14" s="347" customFormat="1" x14ac:dyDescent="0.25">
      <c r="A9885" s="369"/>
      <c r="E9885" s="396"/>
      <c r="F9885" s="396"/>
      <c r="G9885" s="396"/>
      <c r="K9885" s="370"/>
      <c r="N9885" s="370"/>
    </row>
    <row r="9886" spans="1:14" s="347" customFormat="1" x14ac:dyDescent="0.25">
      <c r="A9886" s="369"/>
      <c r="E9886" s="396"/>
      <c r="F9886" s="396"/>
      <c r="G9886" s="396"/>
      <c r="K9886" s="370"/>
      <c r="N9886" s="370"/>
    </row>
    <row r="9887" spans="1:14" s="347" customFormat="1" x14ac:dyDescent="0.25">
      <c r="A9887" s="369"/>
      <c r="E9887" s="396"/>
      <c r="F9887" s="396"/>
      <c r="G9887" s="396"/>
      <c r="K9887" s="370"/>
      <c r="N9887" s="370"/>
    </row>
    <row r="9888" spans="1:14" s="347" customFormat="1" x14ac:dyDescent="0.25">
      <c r="A9888" s="369"/>
      <c r="E9888" s="396"/>
      <c r="F9888" s="396"/>
      <c r="G9888" s="396"/>
      <c r="K9888" s="370"/>
      <c r="N9888" s="370"/>
    </row>
    <row r="9889" spans="1:14" s="347" customFormat="1" x14ac:dyDescent="0.25">
      <c r="A9889" s="369"/>
      <c r="E9889" s="396"/>
      <c r="F9889" s="396"/>
      <c r="G9889" s="396"/>
      <c r="K9889" s="370"/>
      <c r="N9889" s="370"/>
    </row>
    <row r="9890" spans="1:14" s="347" customFormat="1" x14ac:dyDescent="0.25">
      <c r="A9890" s="369"/>
      <c r="E9890" s="396"/>
      <c r="F9890" s="396"/>
      <c r="G9890" s="396"/>
      <c r="K9890" s="370"/>
      <c r="N9890" s="370"/>
    </row>
    <row r="9891" spans="1:14" s="347" customFormat="1" x14ac:dyDescent="0.25">
      <c r="A9891" s="369"/>
      <c r="E9891" s="396"/>
      <c r="F9891" s="396"/>
      <c r="G9891" s="396"/>
      <c r="K9891" s="370"/>
      <c r="N9891" s="370"/>
    </row>
    <row r="9892" spans="1:14" s="347" customFormat="1" x14ac:dyDescent="0.25">
      <c r="A9892" s="369"/>
      <c r="E9892" s="396"/>
      <c r="F9892" s="396"/>
      <c r="G9892" s="396"/>
      <c r="K9892" s="370"/>
      <c r="N9892" s="370"/>
    </row>
    <row r="9893" spans="1:14" s="347" customFormat="1" x14ac:dyDescent="0.25">
      <c r="A9893" s="369"/>
      <c r="E9893" s="396"/>
      <c r="F9893" s="396"/>
      <c r="G9893" s="396"/>
      <c r="K9893" s="370"/>
      <c r="N9893" s="370"/>
    </row>
    <row r="9894" spans="1:14" s="347" customFormat="1" x14ac:dyDescent="0.25">
      <c r="A9894" s="369"/>
      <c r="E9894" s="396"/>
      <c r="F9894" s="396"/>
      <c r="G9894" s="396"/>
      <c r="K9894" s="370"/>
      <c r="N9894" s="370"/>
    </row>
    <row r="9895" spans="1:14" s="347" customFormat="1" x14ac:dyDescent="0.25">
      <c r="A9895" s="369"/>
      <c r="E9895" s="396"/>
      <c r="F9895" s="396"/>
      <c r="G9895" s="396"/>
      <c r="K9895" s="370"/>
      <c r="N9895" s="370"/>
    </row>
    <row r="9896" spans="1:14" s="347" customFormat="1" x14ac:dyDescent="0.25">
      <c r="A9896" s="369"/>
      <c r="E9896" s="396"/>
      <c r="F9896" s="396"/>
      <c r="G9896" s="396"/>
      <c r="K9896" s="370"/>
      <c r="N9896" s="370"/>
    </row>
    <row r="9897" spans="1:14" s="347" customFormat="1" x14ac:dyDescent="0.25">
      <c r="A9897" s="369"/>
      <c r="E9897" s="396"/>
      <c r="F9897" s="396"/>
      <c r="G9897" s="396"/>
      <c r="K9897" s="370"/>
      <c r="N9897" s="370"/>
    </row>
    <row r="9898" spans="1:14" s="347" customFormat="1" x14ac:dyDescent="0.25">
      <c r="A9898" s="369"/>
      <c r="E9898" s="396"/>
      <c r="F9898" s="396"/>
      <c r="G9898" s="396"/>
      <c r="K9898" s="370"/>
      <c r="N9898" s="370"/>
    </row>
    <row r="9899" spans="1:14" s="347" customFormat="1" x14ac:dyDescent="0.25">
      <c r="A9899" s="369"/>
      <c r="E9899" s="396"/>
      <c r="F9899" s="396"/>
      <c r="G9899" s="396"/>
      <c r="K9899" s="370"/>
      <c r="N9899" s="370"/>
    </row>
    <row r="9900" spans="1:14" s="347" customFormat="1" x14ac:dyDescent="0.25">
      <c r="A9900" s="369"/>
      <c r="E9900" s="396"/>
      <c r="F9900" s="396"/>
      <c r="G9900" s="396"/>
      <c r="K9900" s="370"/>
      <c r="N9900" s="370"/>
    </row>
    <row r="9901" spans="1:14" s="347" customFormat="1" x14ac:dyDescent="0.25">
      <c r="A9901" s="369"/>
      <c r="E9901" s="396"/>
      <c r="F9901" s="396"/>
      <c r="G9901" s="396"/>
      <c r="K9901" s="370"/>
      <c r="N9901" s="370"/>
    </row>
    <row r="9902" spans="1:14" s="347" customFormat="1" x14ac:dyDescent="0.25">
      <c r="A9902" s="369"/>
      <c r="E9902" s="396"/>
      <c r="F9902" s="396"/>
      <c r="G9902" s="396"/>
      <c r="K9902" s="370"/>
      <c r="N9902" s="370"/>
    </row>
    <row r="9903" spans="1:14" s="347" customFormat="1" x14ac:dyDescent="0.25">
      <c r="A9903" s="369"/>
      <c r="E9903" s="396"/>
      <c r="F9903" s="396"/>
      <c r="G9903" s="396"/>
      <c r="K9903" s="370"/>
      <c r="N9903" s="370"/>
    </row>
    <row r="9904" spans="1:14" s="347" customFormat="1" x14ac:dyDescent="0.25">
      <c r="A9904" s="369"/>
      <c r="E9904" s="396"/>
      <c r="F9904" s="396"/>
      <c r="G9904" s="396"/>
      <c r="K9904" s="370"/>
      <c r="N9904" s="370"/>
    </row>
    <row r="9905" spans="1:14" s="347" customFormat="1" x14ac:dyDescent="0.25">
      <c r="A9905" s="369"/>
      <c r="E9905" s="396"/>
      <c r="F9905" s="396"/>
      <c r="G9905" s="396"/>
      <c r="K9905" s="370"/>
      <c r="N9905" s="370"/>
    </row>
    <row r="9906" spans="1:14" s="347" customFormat="1" x14ac:dyDescent="0.25">
      <c r="A9906" s="369"/>
      <c r="E9906" s="396"/>
      <c r="F9906" s="396"/>
      <c r="G9906" s="396"/>
      <c r="K9906" s="370"/>
      <c r="N9906" s="370"/>
    </row>
    <row r="9907" spans="1:14" s="347" customFormat="1" x14ac:dyDescent="0.25">
      <c r="A9907" s="369"/>
      <c r="E9907" s="396"/>
      <c r="F9907" s="396"/>
      <c r="G9907" s="396"/>
      <c r="K9907" s="370"/>
      <c r="N9907" s="370"/>
    </row>
    <row r="9908" spans="1:14" s="347" customFormat="1" x14ac:dyDescent="0.25">
      <c r="A9908" s="369"/>
      <c r="E9908" s="396"/>
      <c r="F9908" s="396"/>
      <c r="G9908" s="396"/>
      <c r="K9908" s="370"/>
      <c r="N9908" s="370"/>
    </row>
    <row r="9909" spans="1:14" s="347" customFormat="1" x14ac:dyDescent="0.25">
      <c r="A9909" s="369"/>
      <c r="E9909" s="396"/>
      <c r="F9909" s="396"/>
      <c r="G9909" s="396"/>
      <c r="K9909" s="370"/>
      <c r="N9909" s="370"/>
    </row>
    <row r="9910" spans="1:14" s="347" customFormat="1" x14ac:dyDescent="0.25">
      <c r="A9910" s="369"/>
      <c r="E9910" s="396"/>
      <c r="F9910" s="396"/>
      <c r="G9910" s="396"/>
      <c r="K9910" s="370"/>
      <c r="N9910" s="370"/>
    </row>
    <row r="9911" spans="1:14" s="347" customFormat="1" x14ac:dyDescent="0.25">
      <c r="A9911" s="369"/>
      <c r="E9911" s="396"/>
      <c r="F9911" s="396"/>
      <c r="G9911" s="396"/>
      <c r="K9911" s="370"/>
      <c r="N9911" s="370"/>
    </row>
    <row r="9912" spans="1:14" s="347" customFormat="1" x14ac:dyDescent="0.25">
      <c r="A9912" s="369"/>
      <c r="E9912" s="396"/>
      <c r="F9912" s="396"/>
      <c r="G9912" s="396"/>
      <c r="K9912" s="370"/>
      <c r="N9912" s="370"/>
    </row>
    <row r="9913" spans="1:14" s="347" customFormat="1" x14ac:dyDescent="0.25">
      <c r="A9913" s="369"/>
      <c r="E9913" s="396"/>
      <c r="F9913" s="396"/>
      <c r="G9913" s="396"/>
      <c r="K9913" s="370"/>
      <c r="N9913" s="370"/>
    </row>
    <row r="9914" spans="1:14" s="347" customFormat="1" x14ac:dyDescent="0.25">
      <c r="A9914" s="369"/>
      <c r="E9914" s="396"/>
      <c r="F9914" s="396"/>
      <c r="G9914" s="396"/>
      <c r="K9914" s="370"/>
      <c r="N9914" s="370"/>
    </row>
    <row r="9915" spans="1:14" s="347" customFormat="1" x14ac:dyDescent="0.25">
      <c r="A9915" s="369"/>
      <c r="E9915" s="396"/>
      <c r="F9915" s="396"/>
      <c r="G9915" s="396"/>
      <c r="K9915" s="370"/>
      <c r="N9915" s="370"/>
    </row>
    <row r="9916" spans="1:14" s="347" customFormat="1" x14ac:dyDescent="0.25">
      <c r="A9916" s="369"/>
      <c r="E9916" s="396"/>
      <c r="F9916" s="396"/>
      <c r="G9916" s="396"/>
      <c r="K9916" s="370"/>
      <c r="N9916" s="370"/>
    </row>
    <row r="9917" spans="1:14" s="347" customFormat="1" x14ac:dyDescent="0.25">
      <c r="A9917" s="369"/>
      <c r="E9917" s="396"/>
      <c r="F9917" s="396"/>
      <c r="G9917" s="396"/>
      <c r="K9917" s="370"/>
      <c r="N9917" s="370"/>
    </row>
    <row r="9918" spans="1:14" s="347" customFormat="1" x14ac:dyDescent="0.25">
      <c r="A9918" s="369"/>
      <c r="E9918" s="396"/>
      <c r="F9918" s="396"/>
      <c r="G9918" s="396"/>
      <c r="K9918" s="370"/>
      <c r="N9918" s="370"/>
    </row>
    <row r="9919" spans="1:14" s="347" customFormat="1" x14ac:dyDescent="0.25">
      <c r="A9919" s="369"/>
      <c r="E9919" s="396"/>
      <c r="F9919" s="396"/>
      <c r="G9919" s="396"/>
      <c r="K9919" s="370"/>
      <c r="N9919" s="370"/>
    </row>
    <row r="9920" spans="1:14" s="347" customFormat="1" x14ac:dyDescent="0.25">
      <c r="A9920" s="369"/>
      <c r="E9920" s="396"/>
      <c r="F9920" s="396"/>
      <c r="G9920" s="396"/>
      <c r="K9920" s="370"/>
      <c r="N9920" s="370"/>
    </row>
    <row r="9921" spans="1:14" s="347" customFormat="1" x14ac:dyDescent="0.25">
      <c r="A9921" s="369"/>
      <c r="E9921" s="396"/>
      <c r="F9921" s="396"/>
      <c r="G9921" s="396"/>
      <c r="K9921" s="370"/>
      <c r="N9921" s="370"/>
    </row>
    <row r="9922" spans="1:14" s="347" customFormat="1" x14ac:dyDescent="0.25">
      <c r="A9922" s="369"/>
      <c r="E9922" s="396"/>
      <c r="F9922" s="396"/>
      <c r="G9922" s="396"/>
      <c r="K9922" s="370"/>
      <c r="N9922" s="370"/>
    </row>
    <row r="9923" spans="1:14" s="347" customFormat="1" x14ac:dyDescent="0.25">
      <c r="A9923" s="369"/>
      <c r="E9923" s="396"/>
      <c r="F9923" s="396"/>
      <c r="G9923" s="396"/>
      <c r="K9923" s="370"/>
      <c r="N9923" s="370"/>
    </row>
    <row r="9924" spans="1:14" s="347" customFormat="1" x14ac:dyDescent="0.25">
      <c r="A9924" s="369"/>
      <c r="E9924" s="396"/>
      <c r="F9924" s="396"/>
      <c r="G9924" s="396"/>
      <c r="K9924" s="370"/>
      <c r="N9924" s="370"/>
    </row>
    <row r="9925" spans="1:14" s="347" customFormat="1" x14ac:dyDescent="0.25">
      <c r="A9925" s="369"/>
      <c r="E9925" s="396"/>
      <c r="F9925" s="396"/>
      <c r="G9925" s="396"/>
      <c r="K9925" s="370"/>
      <c r="N9925" s="370"/>
    </row>
    <row r="9926" spans="1:14" s="347" customFormat="1" x14ac:dyDescent="0.25">
      <c r="A9926" s="369"/>
      <c r="E9926" s="396"/>
      <c r="F9926" s="396"/>
      <c r="G9926" s="396"/>
      <c r="K9926" s="370"/>
      <c r="N9926" s="370"/>
    </row>
    <row r="9927" spans="1:14" s="347" customFormat="1" x14ac:dyDescent="0.25">
      <c r="A9927" s="369"/>
      <c r="E9927" s="396"/>
      <c r="F9927" s="396"/>
      <c r="G9927" s="396"/>
      <c r="K9927" s="370"/>
      <c r="N9927" s="370"/>
    </row>
    <row r="9928" spans="1:14" s="347" customFormat="1" x14ac:dyDescent="0.25">
      <c r="A9928" s="369"/>
      <c r="E9928" s="396"/>
      <c r="F9928" s="396"/>
      <c r="G9928" s="396"/>
      <c r="K9928" s="370"/>
      <c r="N9928" s="370"/>
    </row>
    <row r="9929" spans="1:14" s="347" customFormat="1" x14ac:dyDescent="0.25">
      <c r="A9929" s="369"/>
      <c r="E9929" s="396"/>
      <c r="F9929" s="396"/>
      <c r="G9929" s="396"/>
      <c r="K9929" s="370"/>
      <c r="N9929" s="370"/>
    </row>
    <row r="9930" spans="1:14" s="347" customFormat="1" x14ac:dyDescent="0.25">
      <c r="A9930" s="369"/>
      <c r="E9930" s="396"/>
      <c r="F9930" s="396"/>
      <c r="G9930" s="396"/>
      <c r="K9930" s="370"/>
      <c r="N9930" s="370"/>
    </row>
    <row r="9931" spans="1:14" s="347" customFormat="1" x14ac:dyDescent="0.25">
      <c r="A9931" s="369"/>
      <c r="E9931" s="396"/>
      <c r="F9931" s="396"/>
      <c r="G9931" s="396"/>
      <c r="K9931" s="370"/>
      <c r="N9931" s="370"/>
    </row>
    <row r="9932" spans="1:14" s="347" customFormat="1" x14ac:dyDescent="0.25">
      <c r="A9932" s="369"/>
      <c r="E9932" s="396"/>
      <c r="F9932" s="396"/>
      <c r="G9932" s="396"/>
      <c r="K9932" s="370"/>
      <c r="N9932" s="370"/>
    </row>
    <row r="9933" spans="1:14" s="347" customFormat="1" x14ac:dyDescent="0.25">
      <c r="A9933" s="369"/>
      <c r="E9933" s="396"/>
      <c r="F9933" s="396"/>
      <c r="G9933" s="396"/>
      <c r="K9933" s="370"/>
      <c r="N9933" s="370"/>
    </row>
    <row r="9934" spans="1:14" s="347" customFormat="1" x14ac:dyDescent="0.25">
      <c r="A9934" s="369"/>
      <c r="E9934" s="396"/>
      <c r="F9934" s="396"/>
      <c r="G9934" s="396"/>
      <c r="K9934" s="370"/>
      <c r="N9934" s="370"/>
    </row>
    <row r="9935" spans="1:14" s="347" customFormat="1" x14ac:dyDescent="0.25">
      <c r="A9935" s="369"/>
      <c r="E9935" s="396"/>
      <c r="F9935" s="396"/>
      <c r="G9935" s="396"/>
      <c r="K9935" s="370"/>
      <c r="N9935" s="370"/>
    </row>
    <row r="9936" spans="1:14" s="347" customFormat="1" x14ac:dyDescent="0.25">
      <c r="A9936" s="369"/>
      <c r="E9936" s="396"/>
      <c r="F9936" s="396"/>
      <c r="G9936" s="396"/>
      <c r="K9936" s="370"/>
      <c r="N9936" s="370"/>
    </row>
    <row r="9937" spans="1:14" s="347" customFormat="1" x14ac:dyDescent="0.25">
      <c r="A9937" s="369"/>
      <c r="E9937" s="396"/>
      <c r="F9937" s="396"/>
      <c r="G9937" s="396"/>
      <c r="K9937" s="370"/>
      <c r="N9937" s="370"/>
    </row>
    <row r="9938" spans="1:14" s="347" customFormat="1" x14ac:dyDescent="0.25">
      <c r="A9938" s="369"/>
      <c r="E9938" s="396"/>
      <c r="F9938" s="396"/>
      <c r="G9938" s="396"/>
      <c r="K9938" s="370"/>
      <c r="N9938" s="370"/>
    </row>
    <row r="9939" spans="1:14" s="347" customFormat="1" x14ac:dyDescent="0.25">
      <c r="A9939" s="369"/>
      <c r="E9939" s="396"/>
      <c r="F9939" s="396"/>
      <c r="G9939" s="396"/>
      <c r="K9939" s="370"/>
      <c r="N9939" s="370"/>
    </row>
    <row r="9940" spans="1:14" s="347" customFormat="1" x14ac:dyDescent="0.25">
      <c r="A9940" s="369"/>
      <c r="E9940" s="396"/>
      <c r="F9940" s="396"/>
      <c r="G9940" s="396"/>
      <c r="K9940" s="370"/>
      <c r="N9940" s="370"/>
    </row>
    <row r="9941" spans="1:14" s="347" customFormat="1" x14ac:dyDescent="0.25">
      <c r="A9941" s="369"/>
      <c r="E9941" s="396"/>
      <c r="F9941" s="396"/>
      <c r="G9941" s="396"/>
      <c r="K9941" s="370"/>
      <c r="N9941" s="370"/>
    </row>
    <row r="9942" spans="1:14" s="347" customFormat="1" x14ac:dyDescent="0.25">
      <c r="A9942" s="369"/>
      <c r="E9942" s="396"/>
      <c r="F9942" s="396"/>
      <c r="G9942" s="396"/>
      <c r="K9942" s="370"/>
      <c r="N9942" s="370"/>
    </row>
    <row r="9943" spans="1:14" s="347" customFormat="1" x14ac:dyDescent="0.25">
      <c r="A9943" s="369"/>
      <c r="E9943" s="396"/>
      <c r="F9943" s="396"/>
      <c r="G9943" s="396"/>
      <c r="K9943" s="370"/>
      <c r="N9943" s="370"/>
    </row>
    <row r="9944" spans="1:14" s="347" customFormat="1" x14ac:dyDescent="0.25">
      <c r="A9944" s="369"/>
      <c r="E9944" s="396"/>
      <c r="F9944" s="396"/>
      <c r="G9944" s="396"/>
      <c r="K9944" s="370"/>
      <c r="N9944" s="370"/>
    </row>
    <row r="9945" spans="1:14" s="347" customFormat="1" x14ac:dyDescent="0.25">
      <c r="A9945" s="369"/>
      <c r="E9945" s="396"/>
      <c r="F9945" s="396"/>
      <c r="G9945" s="396"/>
      <c r="K9945" s="370"/>
      <c r="N9945" s="370"/>
    </row>
    <row r="9946" spans="1:14" s="347" customFormat="1" x14ac:dyDescent="0.25">
      <c r="A9946" s="369"/>
      <c r="E9946" s="396"/>
      <c r="F9946" s="396"/>
      <c r="G9946" s="396"/>
      <c r="K9946" s="370"/>
      <c r="N9946" s="370"/>
    </row>
    <row r="9947" spans="1:14" s="347" customFormat="1" x14ac:dyDescent="0.25">
      <c r="A9947" s="369"/>
      <c r="E9947" s="396"/>
      <c r="F9947" s="396"/>
      <c r="G9947" s="396"/>
      <c r="K9947" s="370"/>
      <c r="N9947" s="370"/>
    </row>
    <row r="9948" spans="1:14" s="347" customFormat="1" x14ac:dyDescent="0.25">
      <c r="A9948" s="369"/>
      <c r="E9948" s="396"/>
      <c r="F9948" s="396"/>
      <c r="G9948" s="396"/>
      <c r="K9948" s="370"/>
      <c r="N9948" s="370"/>
    </row>
    <row r="9949" spans="1:14" s="347" customFormat="1" x14ac:dyDescent="0.25">
      <c r="A9949" s="369"/>
      <c r="E9949" s="396"/>
      <c r="F9949" s="396"/>
      <c r="G9949" s="396"/>
      <c r="K9949" s="370"/>
      <c r="N9949" s="370"/>
    </row>
    <row r="9950" spans="1:14" s="347" customFormat="1" x14ac:dyDescent="0.25">
      <c r="A9950" s="369"/>
      <c r="E9950" s="396"/>
      <c r="F9950" s="396"/>
      <c r="G9950" s="396"/>
      <c r="K9950" s="370"/>
      <c r="N9950" s="370"/>
    </row>
    <row r="9951" spans="1:14" s="347" customFormat="1" x14ac:dyDescent="0.25">
      <c r="A9951" s="369"/>
      <c r="E9951" s="396"/>
      <c r="F9951" s="396"/>
      <c r="G9951" s="396"/>
      <c r="K9951" s="370"/>
      <c r="N9951" s="370"/>
    </row>
    <row r="9952" spans="1:14" s="347" customFormat="1" x14ac:dyDescent="0.25">
      <c r="A9952" s="369"/>
      <c r="E9952" s="396"/>
      <c r="F9952" s="396"/>
      <c r="G9952" s="396"/>
      <c r="K9952" s="370"/>
      <c r="N9952" s="370"/>
    </row>
    <row r="9953" spans="1:14" s="347" customFormat="1" x14ac:dyDescent="0.25">
      <c r="A9953" s="369"/>
      <c r="E9953" s="396"/>
      <c r="F9953" s="396"/>
      <c r="G9953" s="396"/>
      <c r="K9953" s="370"/>
      <c r="N9953" s="370"/>
    </row>
    <row r="9954" spans="1:14" s="347" customFormat="1" x14ac:dyDescent="0.25">
      <c r="A9954" s="369"/>
      <c r="E9954" s="396"/>
      <c r="F9954" s="396"/>
      <c r="G9954" s="396"/>
      <c r="K9954" s="370"/>
      <c r="N9954" s="370"/>
    </row>
    <row r="9955" spans="1:14" s="347" customFormat="1" x14ac:dyDescent="0.25">
      <c r="A9955" s="369"/>
      <c r="E9955" s="396"/>
      <c r="F9955" s="396"/>
      <c r="G9955" s="396"/>
      <c r="K9955" s="370"/>
      <c r="N9955" s="370"/>
    </row>
    <row r="9956" spans="1:14" s="347" customFormat="1" x14ac:dyDescent="0.25">
      <c r="A9956" s="369"/>
      <c r="E9956" s="396"/>
      <c r="F9956" s="396"/>
      <c r="G9956" s="396"/>
      <c r="K9956" s="370"/>
      <c r="N9956" s="370"/>
    </row>
    <row r="9957" spans="1:14" s="347" customFormat="1" x14ac:dyDescent="0.25">
      <c r="A9957" s="369"/>
      <c r="E9957" s="396"/>
      <c r="F9957" s="396"/>
      <c r="G9957" s="396"/>
      <c r="K9957" s="370"/>
      <c r="N9957" s="370"/>
    </row>
    <row r="9958" spans="1:14" s="347" customFormat="1" x14ac:dyDescent="0.25">
      <c r="A9958" s="369"/>
      <c r="E9958" s="396"/>
      <c r="F9958" s="396"/>
      <c r="G9958" s="396"/>
      <c r="K9958" s="370"/>
      <c r="N9958" s="370"/>
    </row>
    <row r="9959" spans="1:14" s="347" customFormat="1" x14ac:dyDescent="0.25">
      <c r="A9959" s="369"/>
      <c r="E9959" s="396"/>
      <c r="F9959" s="396"/>
      <c r="G9959" s="396"/>
      <c r="K9959" s="370"/>
      <c r="N9959" s="370"/>
    </row>
    <row r="9960" spans="1:14" s="347" customFormat="1" x14ac:dyDescent="0.25">
      <c r="A9960" s="369"/>
      <c r="E9960" s="396"/>
      <c r="F9960" s="396"/>
      <c r="G9960" s="396"/>
      <c r="K9960" s="370"/>
      <c r="N9960" s="370"/>
    </row>
    <row r="9961" spans="1:14" s="347" customFormat="1" x14ac:dyDescent="0.25">
      <c r="A9961" s="369"/>
      <c r="E9961" s="396"/>
      <c r="F9961" s="396"/>
      <c r="G9961" s="396"/>
      <c r="K9961" s="370"/>
      <c r="N9961" s="370"/>
    </row>
    <row r="9962" spans="1:14" s="347" customFormat="1" x14ac:dyDescent="0.25">
      <c r="A9962" s="369"/>
      <c r="E9962" s="396"/>
      <c r="F9962" s="396"/>
      <c r="G9962" s="396"/>
      <c r="K9962" s="370"/>
      <c r="N9962" s="370"/>
    </row>
    <row r="9963" spans="1:14" s="347" customFormat="1" x14ac:dyDescent="0.25">
      <c r="A9963" s="369"/>
      <c r="E9963" s="396"/>
      <c r="F9963" s="396"/>
      <c r="G9963" s="396"/>
      <c r="K9963" s="370"/>
      <c r="N9963" s="370"/>
    </row>
    <row r="9964" spans="1:14" s="347" customFormat="1" x14ac:dyDescent="0.25">
      <c r="A9964" s="369"/>
      <c r="E9964" s="396"/>
      <c r="F9964" s="396"/>
      <c r="G9964" s="396"/>
      <c r="K9964" s="370"/>
      <c r="N9964" s="370"/>
    </row>
    <row r="9965" spans="1:14" s="347" customFormat="1" x14ac:dyDescent="0.25">
      <c r="A9965" s="369"/>
      <c r="E9965" s="396"/>
      <c r="F9965" s="396"/>
      <c r="G9965" s="396"/>
      <c r="K9965" s="370"/>
      <c r="N9965" s="370"/>
    </row>
    <row r="9966" spans="1:14" s="347" customFormat="1" x14ac:dyDescent="0.25">
      <c r="A9966" s="369"/>
      <c r="E9966" s="396"/>
      <c r="F9966" s="396"/>
      <c r="G9966" s="396"/>
      <c r="K9966" s="370"/>
      <c r="N9966" s="370"/>
    </row>
    <row r="9967" spans="1:14" s="347" customFormat="1" x14ac:dyDescent="0.25">
      <c r="A9967" s="369"/>
      <c r="E9967" s="396"/>
      <c r="F9967" s="396"/>
      <c r="G9967" s="396"/>
      <c r="K9967" s="370"/>
      <c r="N9967" s="370"/>
    </row>
    <row r="9968" spans="1:14" s="347" customFormat="1" x14ac:dyDescent="0.25">
      <c r="A9968" s="369"/>
      <c r="E9968" s="396"/>
      <c r="F9968" s="396"/>
      <c r="G9968" s="396"/>
      <c r="K9968" s="370"/>
      <c r="N9968" s="370"/>
    </row>
    <row r="9969" spans="1:14" s="347" customFormat="1" x14ac:dyDescent="0.25">
      <c r="A9969" s="369"/>
      <c r="E9969" s="396"/>
      <c r="F9969" s="396"/>
      <c r="G9969" s="396"/>
      <c r="K9969" s="370"/>
      <c r="N9969" s="370"/>
    </row>
    <row r="9970" spans="1:14" s="347" customFormat="1" x14ac:dyDescent="0.25">
      <c r="A9970" s="369"/>
      <c r="E9970" s="396"/>
      <c r="F9970" s="396"/>
      <c r="G9970" s="396"/>
      <c r="K9970" s="370"/>
      <c r="N9970" s="370"/>
    </row>
    <row r="9971" spans="1:14" s="347" customFormat="1" x14ac:dyDescent="0.25">
      <c r="A9971" s="369"/>
      <c r="E9971" s="396"/>
      <c r="F9971" s="396"/>
      <c r="G9971" s="396"/>
      <c r="K9971" s="370"/>
      <c r="N9971" s="370"/>
    </row>
    <row r="9972" spans="1:14" s="347" customFormat="1" x14ac:dyDescent="0.25">
      <c r="A9972" s="369"/>
      <c r="E9972" s="396"/>
      <c r="F9972" s="396"/>
      <c r="G9972" s="396"/>
      <c r="K9972" s="370"/>
      <c r="N9972" s="370"/>
    </row>
    <row r="9973" spans="1:14" s="347" customFormat="1" x14ac:dyDescent="0.25">
      <c r="A9973" s="369"/>
      <c r="E9973" s="396"/>
      <c r="F9973" s="396"/>
      <c r="G9973" s="396"/>
      <c r="K9973" s="370"/>
      <c r="N9973" s="370"/>
    </row>
    <row r="9974" spans="1:14" s="347" customFormat="1" x14ac:dyDescent="0.25">
      <c r="A9974" s="369"/>
      <c r="E9974" s="396"/>
      <c r="F9974" s="396"/>
      <c r="G9974" s="396"/>
      <c r="K9974" s="370"/>
      <c r="N9974" s="370"/>
    </row>
    <row r="9975" spans="1:14" s="347" customFormat="1" x14ac:dyDescent="0.25">
      <c r="A9975" s="369"/>
      <c r="E9975" s="396"/>
      <c r="F9975" s="396"/>
      <c r="G9975" s="396"/>
      <c r="K9975" s="370"/>
      <c r="N9975" s="370"/>
    </row>
    <row r="9976" spans="1:14" s="347" customFormat="1" x14ac:dyDescent="0.25">
      <c r="A9976" s="369"/>
      <c r="E9976" s="396"/>
      <c r="F9976" s="396"/>
      <c r="G9976" s="396"/>
      <c r="K9976" s="370"/>
      <c r="N9976" s="370"/>
    </row>
    <row r="9977" spans="1:14" s="347" customFormat="1" x14ac:dyDescent="0.25">
      <c r="A9977" s="369"/>
      <c r="E9977" s="396"/>
      <c r="F9977" s="396"/>
      <c r="G9977" s="396"/>
      <c r="K9977" s="370"/>
      <c r="N9977" s="370"/>
    </row>
    <row r="9978" spans="1:14" s="347" customFormat="1" x14ac:dyDescent="0.25">
      <c r="A9978" s="369"/>
      <c r="E9978" s="396"/>
      <c r="F9978" s="396"/>
      <c r="G9978" s="396"/>
      <c r="K9978" s="370"/>
      <c r="N9978" s="370"/>
    </row>
    <row r="9979" spans="1:14" s="347" customFormat="1" x14ac:dyDescent="0.25">
      <c r="A9979" s="369"/>
      <c r="E9979" s="396"/>
      <c r="F9979" s="396"/>
      <c r="G9979" s="396"/>
      <c r="K9979" s="370"/>
      <c r="N9979" s="370"/>
    </row>
    <row r="9980" spans="1:14" s="347" customFormat="1" x14ac:dyDescent="0.25">
      <c r="A9980" s="369"/>
      <c r="E9980" s="396"/>
      <c r="F9980" s="396"/>
      <c r="G9980" s="396"/>
      <c r="K9980" s="370"/>
      <c r="N9980" s="370"/>
    </row>
    <row r="9981" spans="1:14" s="347" customFormat="1" x14ac:dyDescent="0.25">
      <c r="A9981" s="369"/>
      <c r="E9981" s="396"/>
      <c r="F9981" s="396"/>
      <c r="G9981" s="396"/>
      <c r="K9981" s="370"/>
      <c r="N9981" s="370"/>
    </row>
    <row r="9982" spans="1:14" s="347" customFormat="1" x14ac:dyDescent="0.25">
      <c r="A9982" s="369"/>
      <c r="E9982" s="396"/>
      <c r="F9982" s="396"/>
      <c r="G9982" s="396"/>
      <c r="K9982" s="370"/>
      <c r="N9982" s="370"/>
    </row>
    <row r="9983" spans="1:14" s="347" customFormat="1" x14ac:dyDescent="0.25">
      <c r="A9983" s="369"/>
      <c r="E9983" s="396"/>
      <c r="F9983" s="396"/>
      <c r="G9983" s="396"/>
      <c r="K9983" s="370"/>
      <c r="N9983" s="370"/>
    </row>
    <row r="9984" spans="1:14" s="347" customFormat="1" x14ac:dyDescent="0.25">
      <c r="A9984" s="369"/>
      <c r="E9984" s="396"/>
      <c r="F9984" s="396"/>
      <c r="G9984" s="396"/>
      <c r="K9984" s="370"/>
      <c r="N9984" s="370"/>
    </row>
    <row r="9985" spans="1:14" s="347" customFormat="1" x14ac:dyDescent="0.25">
      <c r="A9985" s="369"/>
      <c r="E9985" s="396"/>
      <c r="F9985" s="396"/>
      <c r="G9985" s="396"/>
      <c r="K9985" s="370"/>
      <c r="N9985" s="370"/>
    </row>
    <row r="9986" spans="1:14" s="347" customFormat="1" x14ac:dyDescent="0.25">
      <c r="A9986" s="369"/>
      <c r="E9986" s="396"/>
      <c r="F9986" s="396"/>
      <c r="G9986" s="396"/>
      <c r="K9986" s="370"/>
      <c r="N9986" s="370"/>
    </row>
    <row r="9987" spans="1:14" s="347" customFormat="1" x14ac:dyDescent="0.25">
      <c r="A9987" s="369"/>
      <c r="E9987" s="396"/>
      <c r="F9987" s="396"/>
      <c r="G9987" s="396"/>
      <c r="K9987" s="370"/>
      <c r="N9987" s="370"/>
    </row>
    <row r="9988" spans="1:14" s="347" customFormat="1" x14ac:dyDescent="0.25">
      <c r="A9988" s="369"/>
      <c r="E9988" s="396"/>
      <c r="F9988" s="396"/>
      <c r="G9988" s="396"/>
      <c r="K9988" s="370"/>
      <c r="N9988" s="370"/>
    </row>
    <row r="9989" spans="1:14" s="347" customFormat="1" x14ac:dyDescent="0.25">
      <c r="A9989" s="369"/>
      <c r="E9989" s="396"/>
      <c r="F9989" s="396"/>
      <c r="G9989" s="396"/>
      <c r="K9989" s="370"/>
      <c r="N9989" s="370"/>
    </row>
    <row r="9990" spans="1:14" s="347" customFormat="1" x14ac:dyDescent="0.25">
      <c r="A9990" s="369"/>
      <c r="E9990" s="396"/>
      <c r="F9990" s="396"/>
      <c r="G9990" s="396"/>
      <c r="K9990" s="370"/>
      <c r="N9990" s="370"/>
    </row>
    <row r="9991" spans="1:14" s="347" customFormat="1" x14ac:dyDescent="0.25">
      <c r="A9991" s="369"/>
      <c r="E9991" s="396"/>
      <c r="F9991" s="396"/>
      <c r="G9991" s="396"/>
      <c r="K9991" s="370"/>
      <c r="N9991" s="370"/>
    </row>
    <row r="9992" spans="1:14" s="347" customFormat="1" x14ac:dyDescent="0.25">
      <c r="A9992" s="369"/>
      <c r="E9992" s="396"/>
      <c r="F9992" s="396"/>
      <c r="G9992" s="396"/>
      <c r="K9992" s="370"/>
      <c r="N9992" s="370"/>
    </row>
    <row r="9993" spans="1:14" s="347" customFormat="1" x14ac:dyDescent="0.25">
      <c r="A9993" s="369"/>
      <c r="E9993" s="396"/>
      <c r="F9993" s="396"/>
      <c r="G9993" s="396"/>
      <c r="K9993" s="370"/>
      <c r="N9993" s="370"/>
    </row>
    <row r="9994" spans="1:14" s="347" customFormat="1" x14ac:dyDescent="0.25">
      <c r="A9994" s="369"/>
      <c r="E9994" s="396"/>
      <c r="F9994" s="396"/>
      <c r="G9994" s="396"/>
      <c r="K9994" s="370"/>
      <c r="N9994" s="370"/>
    </row>
    <row r="9995" spans="1:14" s="347" customFormat="1" x14ac:dyDescent="0.25">
      <c r="A9995" s="369"/>
      <c r="E9995" s="396"/>
      <c r="F9995" s="396"/>
      <c r="G9995" s="396"/>
      <c r="K9995" s="370"/>
      <c r="N9995" s="370"/>
    </row>
    <row r="9996" spans="1:14" s="347" customFormat="1" x14ac:dyDescent="0.25">
      <c r="A9996" s="369"/>
      <c r="E9996" s="396"/>
      <c r="F9996" s="396"/>
      <c r="G9996" s="396"/>
      <c r="K9996" s="370"/>
      <c r="N9996" s="370"/>
    </row>
    <row r="9997" spans="1:14" s="347" customFormat="1" x14ac:dyDescent="0.25">
      <c r="A9997" s="369"/>
      <c r="E9997" s="396"/>
      <c r="F9997" s="396"/>
      <c r="G9997" s="396"/>
      <c r="K9997" s="370"/>
      <c r="N9997" s="370"/>
    </row>
    <row r="9998" spans="1:14" s="347" customFormat="1" x14ac:dyDescent="0.25">
      <c r="A9998" s="369"/>
      <c r="E9998" s="396"/>
      <c r="F9998" s="396"/>
      <c r="G9998" s="396"/>
      <c r="K9998" s="370"/>
      <c r="N9998" s="370"/>
    </row>
    <row r="9999" spans="1:14" s="347" customFormat="1" x14ac:dyDescent="0.25">
      <c r="A9999" s="369"/>
      <c r="E9999" s="396"/>
      <c r="F9999" s="396"/>
      <c r="G9999" s="396"/>
      <c r="K9999" s="370"/>
      <c r="N9999" s="370"/>
    </row>
    <row r="10000" spans="1:14" s="347" customFormat="1" x14ac:dyDescent="0.25">
      <c r="A10000" s="369"/>
      <c r="E10000" s="396"/>
      <c r="F10000" s="396"/>
      <c r="G10000" s="396"/>
      <c r="K10000" s="370"/>
      <c r="N10000" s="370"/>
    </row>
    <row r="10001" spans="1:14" s="347" customFormat="1" x14ac:dyDescent="0.25">
      <c r="A10001" s="369"/>
      <c r="E10001" s="396"/>
      <c r="F10001" s="396"/>
      <c r="G10001" s="396"/>
      <c r="K10001" s="370"/>
      <c r="N10001" s="370"/>
    </row>
    <row r="10002" spans="1:14" s="347" customFormat="1" x14ac:dyDescent="0.25">
      <c r="A10002" s="369"/>
      <c r="E10002" s="396"/>
      <c r="F10002" s="396"/>
      <c r="G10002" s="396"/>
      <c r="K10002" s="370"/>
      <c r="N10002" s="370"/>
    </row>
    <row r="10003" spans="1:14" s="347" customFormat="1" x14ac:dyDescent="0.25">
      <c r="A10003" s="369"/>
      <c r="E10003" s="396"/>
      <c r="F10003" s="396"/>
      <c r="G10003" s="396"/>
      <c r="K10003" s="370"/>
      <c r="N10003" s="370"/>
    </row>
    <row r="10004" spans="1:14" s="347" customFormat="1" x14ac:dyDescent="0.25">
      <c r="A10004" s="369"/>
      <c r="E10004" s="396"/>
      <c r="F10004" s="396"/>
      <c r="G10004" s="396"/>
      <c r="K10004" s="370"/>
      <c r="N10004" s="370"/>
    </row>
    <row r="10005" spans="1:14" s="347" customFormat="1" x14ac:dyDescent="0.25">
      <c r="A10005" s="369"/>
      <c r="E10005" s="396"/>
      <c r="F10005" s="396"/>
      <c r="G10005" s="396"/>
      <c r="K10005" s="370"/>
      <c r="N10005" s="370"/>
    </row>
    <row r="10006" spans="1:14" s="347" customFormat="1" x14ac:dyDescent="0.25">
      <c r="A10006" s="369"/>
      <c r="E10006" s="396"/>
      <c r="F10006" s="396"/>
      <c r="G10006" s="396"/>
      <c r="K10006" s="370"/>
      <c r="N10006" s="370"/>
    </row>
    <row r="10007" spans="1:14" s="347" customFormat="1" x14ac:dyDescent="0.25">
      <c r="A10007" s="369"/>
      <c r="E10007" s="396"/>
      <c r="F10007" s="396"/>
      <c r="G10007" s="396"/>
      <c r="K10007" s="370"/>
      <c r="N10007" s="370"/>
    </row>
    <row r="10008" spans="1:14" s="347" customFormat="1" x14ac:dyDescent="0.25">
      <c r="A10008" s="369"/>
      <c r="E10008" s="396"/>
      <c r="F10008" s="396"/>
      <c r="G10008" s="396"/>
      <c r="K10008" s="370"/>
      <c r="N10008" s="370"/>
    </row>
    <row r="10009" spans="1:14" s="347" customFormat="1" x14ac:dyDescent="0.25">
      <c r="A10009" s="369"/>
      <c r="E10009" s="396"/>
      <c r="F10009" s="396"/>
      <c r="G10009" s="396"/>
      <c r="K10009" s="370"/>
      <c r="N10009" s="370"/>
    </row>
    <row r="10010" spans="1:14" s="347" customFormat="1" x14ac:dyDescent="0.25">
      <c r="A10010" s="369"/>
      <c r="E10010" s="396"/>
      <c r="F10010" s="396"/>
      <c r="G10010" s="396"/>
      <c r="K10010" s="370"/>
      <c r="N10010" s="370"/>
    </row>
    <row r="10011" spans="1:14" s="347" customFormat="1" x14ac:dyDescent="0.25">
      <c r="A10011" s="369"/>
      <c r="E10011" s="396"/>
      <c r="F10011" s="396"/>
      <c r="G10011" s="396"/>
      <c r="K10011" s="370"/>
      <c r="N10011" s="370"/>
    </row>
    <row r="10012" spans="1:14" s="347" customFormat="1" x14ac:dyDescent="0.25">
      <c r="A10012" s="369"/>
      <c r="E10012" s="396"/>
      <c r="F10012" s="396"/>
      <c r="G10012" s="396"/>
      <c r="K10012" s="370"/>
      <c r="N10012" s="370"/>
    </row>
    <row r="10013" spans="1:14" s="347" customFormat="1" x14ac:dyDescent="0.25">
      <c r="A10013" s="369"/>
      <c r="E10013" s="396"/>
      <c r="F10013" s="396"/>
      <c r="G10013" s="396"/>
      <c r="K10013" s="370"/>
      <c r="N10013" s="370"/>
    </row>
    <row r="10014" spans="1:14" s="347" customFormat="1" x14ac:dyDescent="0.25">
      <c r="A10014" s="369"/>
      <c r="E10014" s="396"/>
      <c r="F10014" s="396"/>
      <c r="G10014" s="396"/>
      <c r="K10014" s="370"/>
      <c r="N10014" s="370"/>
    </row>
    <row r="10015" spans="1:14" s="347" customFormat="1" x14ac:dyDescent="0.25">
      <c r="A10015" s="369"/>
      <c r="E10015" s="396"/>
      <c r="F10015" s="396"/>
      <c r="G10015" s="396"/>
      <c r="K10015" s="370"/>
      <c r="N10015" s="370"/>
    </row>
    <row r="10016" spans="1:14" s="347" customFormat="1" x14ac:dyDescent="0.25">
      <c r="A10016" s="369"/>
      <c r="E10016" s="396"/>
      <c r="F10016" s="396"/>
      <c r="G10016" s="396"/>
      <c r="K10016" s="370"/>
      <c r="N10016" s="370"/>
    </row>
    <row r="10017" spans="1:14" s="347" customFormat="1" x14ac:dyDescent="0.25">
      <c r="A10017" s="369"/>
      <c r="E10017" s="396"/>
      <c r="F10017" s="396"/>
      <c r="G10017" s="396"/>
      <c r="K10017" s="370"/>
      <c r="N10017" s="370"/>
    </row>
    <row r="10018" spans="1:14" s="347" customFormat="1" x14ac:dyDescent="0.25">
      <c r="A10018" s="369"/>
      <c r="E10018" s="396"/>
      <c r="F10018" s="396"/>
      <c r="G10018" s="396"/>
      <c r="K10018" s="370"/>
      <c r="N10018" s="370"/>
    </row>
    <row r="10019" spans="1:14" s="347" customFormat="1" x14ac:dyDescent="0.25">
      <c r="A10019" s="369"/>
      <c r="E10019" s="396"/>
      <c r="F10019" s="396"/>
      <c r="G10019" s="396"/>
      <c r="K10019" s="370"/>
      <c r="N10019" s="370"/>
    </row>
    <row r="10020" spans="1:14" s="347" customFormat="1" x14ac:dyDescent="0.25">
      <c r="A10020" s="369"/>
      <c r="E10020" s="396"/>
      <c r="F10020" s="396"/>
      <c r="G10020" s="396"/>
      <c r="K10020" s="370"/>
      <c r="N10020" s="370"/>
    </row>
    <row r="10021" spans="1:14" s="347" customFormat="1" x14ac:dyDescent="0.25">
      <c r="A10021" s="369"/>
      <c r="E10021" s="396"/>
      <c r="F10021" s="396"/>
      <c r="G10021" s="396"/>
      <c r="K10021" s="370"/>
      <c r="N10021" s="370"/>
    </row>
    <row r="10022" spans="1:14" s="347" customFormat="1" x14ac:dyDescent="0.25">
      <c r="A10022" s="369"/>
      <c r="E10022" s="396"/>
      <c r="F10022" s="396"/>
      <c r="G10022" s="396"/>
      <c r="K10022" s="370"/>
      <c r="N10022" s="370"/>
    </row>
    <row r="10023" spans="1:14" s="347" customFormat="1" x14ac:dyDescent="0.25">
      <c r="A10023" s="369"/>
      <c r="E10023" s="396"/>
      <c r="F10023" s="396"/>
      <c r="G10023" s="396"/>
      <c r="K10023" s="370"/>
      <c r="N10023" s="370"/>
    </row>
    <row r="10024" spans="1:14" s="347" customFormat="1" x14ac:dyDescent="0.25">
      <c r="A10024" s="369"/>
      <c r="E10024" s="396"/>
      <c r="F10024" s="396"/>
      <c r="G10024" s="396"/>
      <c r="K10024" s="370"/>
      <c r="N10024" s="370"/>
    </row>
    <row r="10025" spans="1:14" s="347" customFormat="1" x14ac:dyDescent="0.25">
      <c r="A10025" s="369"/>
      <c r="E10025" s="396"/>
      <c r="F10025" s="396"/>
      <c r="G10025" s="396"/>
      <c r="K10025" s="370"/>
      <c r="N10025" s="370"/>
    </row>
    <row r="10026" spans="1:14" s="347" customFormat="1" x14ac:dyDescent="0.25">
      <c r="A10026" s="369"/>
      <c r="E10026" s="396"/>
      <c r="F10026" s="396"/>
      <c r="G10026" s="396"/>
      <c r="K10026" s="370"/>
      <c r="N10026" s="370"/>
    </row>
    <row r="10027" spans="1:14" s="347" customFormat="1" x14ac:dyDescent="0.25">
      <c r="A10027" s="369"/>
      <c r="E10027" s="396"/>
      <c r="F10027" s="396"/>
      <c r="G10027" s="396"/>
      <c r="K10027" s="370"/>
      <c r="N10027" s="370"/>
    </row>
    <row r="10028" spans="1:14" s="347" customFormat="1" x14ac:dyDescent="0.25">
      <c r="A10028" s="369"/>
      <c r="E10028" s="396"/>
      <c r="F10028" s="396"/>
      <c r="G10028" s="396"/>
      <c r="K10028" s="370"/>
      <c r="N10028" s="370"/>
    </row>
    <row r="10029" spans="1:14" s="347" customFormat="1" x14ac:dyDescent="0.25">
      <c r="A10029" s="369"/>
      <c r="E10029" s="396"/>
      <c r="F10029" s="396"/>
      <c r="G10029" s="396"/>
      <c r="K10029" s="370"/>
      <c r="N10029" s="370"/>
    </row>
    <row r="10030" spans="1:14" s="347" customFormat="1" x14ac:dyDescent="0.25">
      <c r="A10030" s="369"/>
      <c r="E10030" s="396"/>
      <c r="F10030" s="396"/>
      <c r="G10030" s="396"/>
      <c r="K10030" s="370"/>
      <c r="N10030" s="370"/>
    </row>
    <row r="10031" spans="1:14" s="347" customFormat="1" x14ac:dyDescent="0.25">
      <c r="A10031" s="369"/>
      <c r="E10031" s="396"/>
      <c r="F10031" s="396"/>
      <c r="G10031" s="396"/>
      <c r="K10031" s="370"/>
      <c r="N10031" s="370"/>
    </row>
    <row r="10032" spans="1:14" s="347" customFormat="1" x14ac:dyDescent="0.25">
      <c r="A10032" s="369"/>
      <c r="E10032" s="396"/>
      <c r="F10032" s="396"/>
      <c r="G10032" s="396"/>
      <c r="K10032" s="370"/>
      <c r="N10032" s="370"/>
    </row>
    <row r="10033" spans="1:14" s="347" customFormat="1" x14ac:dyDescent="0.25">
      <c r="A10033" s="369"/>
      <c r="E10033" s="396"/>
      <c r="F10033" s="396"/>
      <c r="G10033" s="396"/>
      <c r="K10033" s="370"/>
      <c r="N10033" s="370"/>
    </row>
    <row r="10034" spans="1:14" s="347" customFormat="1" x14ac:dyDescent="0.25">
      <c r="A10034" s="369"/>
      <c r="E10034" s="396"/>
      <c r="F10034" s="396"/>
      <c r="G10034" s="396"/>
      <c r="K10034" s="370"/>
      <c r="N10034" s="370"/>
    </row>
    <row r="10035" spans="1:14" s="347" customFormat="1" x14ac:dyDescent="0.25">
      <c r="A10035" s="369"/>
      <c r="E10035" s="396"/>
      <c r="F10035" s="396"/>
      <c r="G10035" s="396"/>
      <c r="K10035" s="370"/>
      <c r="N10035" s="370"/>
    </row>
    <row r="10036" spans="1:14" s="347" customFormat="1" x14ac:dyDescent="0.25">
      <c r="A10036" s="369"/>
      <c r="E10036" s="396"/>
      <c r="F10036" s="396"/>
      <c r="G10036" s="396"/>
      <c r="K10036" s="370"/>
      <c r="N10036" s="370"/>
    </row>
    <row r="10037" spans="1:14" s="347" customFormat="1" x14ac:dyDescent="0.25">
      <c r="A10037" s="369"/>
      <c r="E10037" s="396"/>
      <c r="F10037" s="396"/>
      <c r="G10037" s="396"/>
      <c r="K10037" s="370"/>
      <c r="N10037" s="370"/>
    </row>
    <row r="10038" spans="1:14" s="347" customFormat="1" x14ac:dyDescent="0.25">
      <c r="A10038" s="369"/>
      <c r="E10038" s="396"/>
      <c r="F10038" s="396"/>
      <c r="G10038" s="396"/>
      <c r="K10038" s="370"/>
      <c r="N10038" s="370"/>
    </row>
    <row r="10039" spans="1:14" s="347" customFormat="1" x14ac:dyDescent="0.25">
      <c r="A10039" s="369"/>
      <c r="E10039" s="396"/>
      <c r="F10039" s="396"/>
      <c r="G10039" s="396"/>
      <c r="K10039" s="370"/>
      <c r="N10039" s="370"/>
    </row>
    <row r="10040" spans="1:14" s="347" customFormat="1" x14ac:dyDescent="0.25">
      <c r="A10040" s="369"/>
      <c r="E10040" s="396"/>
      <c r="F10040" s="396"/>
      <c r="G10040" s="396"/>
      <c r="K10040" s="370"/>
      <c r="N10040" s="370"/>
    </row>
    <row r="10041" spans="1:14" s="347" customFormat="1" x14ac:dyDescent="0.25">
      <c r="A10041" s="369"/>
      <c r="E10041" s="396"/>
      <c r="F10041" s="396"/>
      <c r="G10041" s="396"/>
      <c r="K10041" s="370"/>
      <c r="N10041" s="370"/>
    </row>
    <row r="10042" spans="1:14" s="347" customFormat="1" x14ac:dyDescent="0.25">
      <c r="A10042" s="369"/>
      <c r="E10042" s="396"/>
      <c r="F10042" s="396"/>
      <c r="G10042" s="396"/>
      <c r="K10042" s="370"/>
      <c r="N10042" s="370"/>
    </row>
    <row r="10043" spans="1:14" s="347" customFormat="1" x14ac:dyDescent="0.25">
      <c r="A10043" s="369"/>
      <c r="E10043" s="396"/>
      <c r="F10043" s="396"/>
      <c r="G10043" s="396"/>
      <c r="K10043" s="370"/>
      <c r="N10043" s="370"/>
    </row>
    <row r="10044" spans="1:14" s="347" customFormat="1" x14ac:dyDescent="0.25">
      <c r="A10044" s="369"/>
      <c r="E10044" s="396"/>
      <c r="F10044" s="396"/>
      <c r="G10044" s="396"/>
      <c r="K10044" s="370"/>
      <c r="N10044" s="370"/>
    </row>
    <row r="10045" spans="1:14" s="347" customFormat="1" x14ac:dyDescent="0.25">
      <c r="A10045" s="369"/>
      <c r="E10045" s="396"/>
      <c r="F10045" s="396"/>
      <c r="G10045" s="396"/>
      <c r="K10045" s="370"/>
      <c r="N10045" s="370"/>
    </row>
    <row r="10046" spans="1:14" s="347" customFormat="1" x14ac:dyDescent="0.25">
      <c r="A10046" s="369"/>
      <c r="E10046" s="396"/>
      <c r="F10046" s="396"/>
      <c r="G10046" s="396"/>
      <c r="K10046" s="370"/>
      <c r="N10046" s="370"/>
    </row>
    <row r="10047" spans="1:14" s="347" customFormat="1" x14ac:dyDescent="0.25">
      <c r="A10047" s="369"/>
      <c r="E10047" s="396"/>
      <c r="F10047" s="396"/>
      <c r="G10047" s="396"/>
      <c r="K10047" s="370"/>
      <c r="N10047" s="370"/>
    </row>
    <row r="10048" spans="1:14" s="347" customFormat="1" x14ac:dyDescent="0.25">
      <c r="A10048" s="369"/>
      <c r="E10048" s="396"/>
      <c r="F10048" s="396"/>
      <c r="G10048" s="396"/>
      <c r="K10048" s="370"/>
      <c r="N10048" s="370"/>
    </row>
    <row r="10049" spans="1:14" s="347" customFormat="1" x14ac:dyDescent="0.25">
      <c r="A10049" s="369"/>
      <c r="E10049" s="396"/>
      <c r="F10049" s="396"/>
      <c r="G10049" s="396"/>
      <c r="K10049" s="370"/>
      <c r="N10049" s="370"/>
    </row>
    <row r="10050" spans="1:14" s="347" customFormat="1" x14ac:dyDescent="0.25">
      <c r="A10050" s="369"/>
      <c r="E10050" s="396"/>
      <c r="F10050" s="396"/>
      <c r="G10050" s="396"/>
      <c r="K10050" s="370"/>
      <c r="N10050" s="370"/>
    </row>
    <row r="10051" spans="1:14" s="347" customFormat="1" x14ac:dyDescent="0.25">
      <c r="A10051" s="369"/>
      <c r="E10051" s="396"/>
      <c r="F10051" s="396"/>
      <c r="G10051" s="396"/>
      <c r="K10051" s="370"/>
      <c r="N10051" s="370"/>
    </row>
    <row r="10052" spans="1:14" s="347" customFormat="1" x14ac:dyDescent="0.25">
      <c r="A10052" s="369"/>
      <c r="E10052" s="396"/>
      <c r="F10052" s="396"/>
      <c r="G10052" s="396"/>
      <c r="K10052" s="370"/>
      <c r="N10052" s="370"/>
    </row>
    <row r="10053" spans="1:14" s="347" customFormat="1" x14ac:dyDescent="0.25">
      <c r="A10053" s="369"/>
      <c r="E10053" s="396"/>
      <c r="F10053" s="396"/>
      <c r="G10053" s="396"/>
      <c r="K10053" s="370"/>
      <c r="N10053" s="370"/>
    </row>
    <row r="10054" spans="1:14" s="347" customFormat="1" x14ac:dyDescent="0.25">
      <c r="A10054" s="369"/>
      <c r="E10054" s="396"/>
      <c r="F10054" s="396"/>
      <c r="G10054" s="396"/>
      <c r="K10054" s="370"/>
      <c r="N10054" s="370"/>
    </row>
    <row r="10055" spans="1:14" s="347" customFormat="1" x14ac:dyDescent="0.25">
      <c r="A10055" s="369"/>
      <c r="E10055" s="396"/>
      <c r="F10055" s="396"/>
      <c r="G10055" s="396"/>
      <c r="K10055" s="370"/>
      <c r="N10055" s="370"/>
    </row>
    <row r="10056" spans="1:14" s="347" customFormat="1" x14ac:dyDescent="0.25">
      <c r="A10056" s="369"/>
      <c r="E10056" s="396"/>
      <c r="F10056" s="396"/>
      <c r="G10056" s="396"/>
      <c r="K10056" s="370"/>
      <c r="N10056" s="370"/>
    </row>
    <row r="10057" spans="1:14" s="347" customFormat="1" x14ac:dyDescent="0.25">
      <c r="A10057" s="369"/>
      <c r="E10057" s="396"/>
      <c r="F10057" s="396"/>
      <c r="G10057" s="396"/>
      <c r="K10057" s="370"/>
      <c r="N10057" s="370"/>
    </row>
    <row r="10058" spans="1:14" s="347" customFormat="1" x14ac:dyDescent="0.25">
      <c r="A10058" s="369"/>
      <c r="E10058" s="396"/>
      <c r="F10058" s="396"/>
      <c r="G10058" s="396"/>
      <c r="K10058" s="370"/>
      <c r="N10058" s="370"/>
    </row>
    <row r="10059" spans="1:14" s="347" customFormat="1" x14ac:dyDescent="0.25">
      <c r="A10059" s="369"/>
      <c r="E10059" s="396"/>
      <c r="F10059" s="396"/>
      <c r="G10059" s="396"/>
      <c r="K10059" s="370"/>
      <c r="N10059" s="370"/>
    </row>
    <row r="10060" spans="1:14" s="347" customFormat="1" x14ac:dyDescent="0.25">
      <c r="A10060" s="369"/>
      <c r="E10060" s="396"/>
      <c r="F10060" s="396"/>
      <c r="G10060" s="396"/>
      <c r="K10060" s="370"/>
      <c r="N10060" s="370"/>
    </row>
    <row r="10061" spans="1:14" s="347" customFormat="1" x14ac:dyDescent="0.25">
      <c r="A10061" s="369"/>
      <c r="E10061" s="396"/>
      <c r="F10061" s="396"/>
      <c r="G10061" s="396"/>
      <c r="K10061" s="370"/>
      <c r="N10061" s="370"/>
    </row>
    <row r="10062" spans="1:14" s="347" customFormat="1" x14ac:dyDescent="0.25">
      <c r="A10062" s="369"/>
      <c r="E10062" s="396"/>
      <c r="F10062" s="396"/>
      <c r="G10062" s="396"/>
      <c r="K10062" s="370"/>
      <c r="N10062" s="370"/>
    </row>
    <row r="10063" spans="1:14" s="347" customFormat="1" x14ac:dyDescent="0.25">
      <c r="A10063" s="369"/>
      <c r="E10063" s="396"/>
      <c r="F10063" s="396"/>
      <c r="G10063" s="396"/>
      <c r="K10063" s="370"/>
      <c r="N10063" s="370"/>
    </row>
    <row r="10064" spans="1:14" s="347" customFormat="1" x14ac:dyDescent="0.25">
      <c r="A10064" s="369"/>
      <c r="E10064" s="396"/>
      <c r="F10064" s="396"/>
      <c r="G10064" s="396"/>
      <c r="K10064" s="370"/>
      <c r="N10064" s="370"/>
    </row>
    <row r="10065" spans="1:14" s="347" customFormat="1" x14ac:dyDescent="0.25">
      <c r="A10065" s="369"/>
      <c r="E10065" s="396"/>
      <c r="F10065" s="396"/>
      <c r="G10065" s="396"/>
      <c r="K10065" s="370"/>
      <c r="N10065" s="370"/>
    </row>
    <row r="10066" spans="1:14" s="347" customFormat="1" x14ac:dyDescent="0.25">
      <c r="A10066" s="369"/>
      <c r="E10066" s="396"/>
      <c r="F10066" s="396"/>
      <c r="G10066" s="396"/>
      <c r="K10066" s="370"/>
      <c r="N10066" s="370"/>
    </row>
    <row r="10067" spans="1:14" s="347" customFormat="1" x14ac:dyDescent="0.25">
      <c r="A10067" s="369"/>
      <c r="E10067" s="396"/>
      <c r="F10067" s="396"/>
      <c r="G10067" s="396"/>
      <c r="K10067" s="370"/>
      <c r="N10067" s="370"/>
    </row>
    <row r="10068" spans="1:14" s="347" customFormat="1" x14ac:dyDescent="0.25">
      <c r="A10068" s="369"/>
      <c r="E10068" s="396"/>
      <c r="F10068" s="396"/>
      <c r="G10068" s="396"/>
      <c r="K10068" s="370"/>
      <c r="N10068" s="370"/>
    </row>
    <row r="10069" spans="1:14" s="347" customFormat="1" x14ac:dyDescent="0.25">
      <c r="A10069" s="369"/>
      <c r="E10069" s="396"/>
      <c r="F10069" s="396"/>
      <c r="G10069" s="396"/>
      <c r="K10069" s="370"/>
      <c r="N10069" s="370"/>
    </row>
    <row r="10070" spans="1:14" s="347" customFormat="1" x14ac:dyDescent="0.25">
      <c r="A10070" s="369"/>
      <c r="E10070" s="396"/>
      <c r="F10070" s="396"/>
      <c r="G10070" s="396"/>
      <c r="K10070" s="370"/>
      <c r="N10070" s="370"/>
    </row>
    <row r="10071" spans="1:14" s="347" customFormat="1" x14ac:dyDescent="0.25">
      <c r="A10071" s="369"/>
      <c r="E10071" s="396"/>
      <c r="F10071" s="396"/>
      <c r="G10071" s="396"/>
      <c r="K10071" s="370"/>
      <c r="N10071" s="370"/>
    </row>
    <row r="10072" spans="1:14" s="347" customFormat="1" x14ac:dyDescent="0.25">
      <c r="A10072" s="369"/>
      <c r="E10072" s="396"/>
      <c r="F10072" s="396"/>
      <c r="G10072" s="396"/>
      <c r="K10072" s="370"/>
      <c r="N10072" s="370"/>
    </row>
    <row r="10073" spans="1:14" s="347" customFormat="1" x14ac:dyDescent="0.25">
      <c r="A10073" s="369"/>
      <c r="E10073" s="396"/>
      <c r="F10073" s="396"/>
      <c r="G10073" s="396"/>
      <c r="K10073" s="370"/>
      <c r="N10073" s="370"/>
    </row>
    <row r="10074" spans="1:14" s="347" customFormat="1" x14ac:dyDescent="0.25">
      <c r="A10074" s="369"/>
      <c r="E10074" s="396"/>
      <c r="F10074" s="396"/>
      <c r="G10074" s="396"/>
      <c r="K10074" s="370"/>
      <c r="N10074" s="370"/>
    </row>
    <row r="10075" spans="1:14" s="347" customFormat="1" x14ac:dyDescent="0.25">
      <c r="A10075" s="369"/>
      <c r="E10075" s="396"/>
      <c r="F10075" s="396"/>
      <c r="G10075" s="396"/>
      <c r="K10075" s="370"/>
      <c r="N10075" s="370"/>
    </row>
    <row r="10076" spans="1:14" s="347" customFormat="1" x14ac:dyDescent="0.25">
      <c r="A10076" s="369"/>
      <c r="E10076" s="396"/>
      <c r="F10076" s="396"/>
      <c r="G10076" s="396"/>
      <c r="K10076" s="370"/>
      <c r="N10076" s="370"/>
    </row>
    <row r="10077" spans="1:14" s="347" customFormat="1" x14ac:dyDescent="0.25">
      <c r="A10077" s="369"/>
      <c r="E10077" s="396"/>
      <c r="F10077" s="396"/>
      <c r="G10077" s="396"/>
      <c r="K10077" s="370"/>
      <c r="N10077" s="370"/>
    </row>
    <row r="10078" spans="1:14" s="347" customFormat="1" x14ac:dyDescent="0.25">
      <c r="A10078" s="369"/>
      <c r="E10078" s="396"/>
      <c r="F10078" s="396"/>
      <c r="G10078" s="396"/>
      <c r="K10078" s="370"/>
      <c r="N10078" s="370"/>
    </row>
    <row r="10079" spans="1:14" s="347" customFormat="1" x14ac:dyDescent="0.25">
      <c r="A10079" s="369"/>
      <c r="E10079" s="396"/>
      <c r="F10079" s="396"/>
      <c r="G10079" s="396"/>
      <c r="K10079" s="370"/>
      <c r="N10079" s="370"/>
    </row>
    <row r="10080" spans="1:14" s="347" customFormat="1" x14ac:dyDescent="0.25">
      <c r="A10080" s="369"/>
      <c r="E10080" s="396"/>
      <c r="F10080" s="396"/>
      <c r="G10080" s="396"/>
      <c r="K10080" s="370"/>
      <c r="N10080" s="370"/>
    </row>
    <row r="10081" spans="1:14" s="347" customFormat="1" x14ac:dyDescent="0.25">
      <c r="A10081" s="369"/>
      <c r="E10081" s="396"/>
      <c r="F10081" s="396"/>
      <c r="G10081" s="396"/>
      <c r="K10081" s="370"/>
      <c r="N10081" s="370"/>
    </row>
    <row r="10082" spans="1:14" s="347" customFormat="1" x14ac:dyDescent="0.25">
      <c r="A10082" s="369"/>
      <c r="E10082" s="396"/>
      <c r="F10082" s="396"/>
      <c r="G10082" s="396"/>
      <c r="K10082" s="370"/>
      <c r="N10082" s="370"/>
    </row>
    <row r="10083" spans="1:14" s="347" customFormat="1" x14ac:dyDescent="0.25">
      <c r="A10083" s="369"/>
      <c r="E10083" s="396"/>
      <c r="F10083" s="396"/>
      <c r="G10083" s="396"/>
      <c r="K10083" s="370"/>
      <c r="N10083" s="370"/>
    </row>
    <row r="10084" spans="1:14" s="347" customFormat="1" x14ac:dyDescent="0.25">
      <c r="A10084" s="369"/>
      <c r="E10084" s="396"/>
      <c r="F10084" s="396"/>
      <c r="G10084" s="396"/>
      <c r="K10084" s="370"/>
      <c r="N10084" s="370"/>
    </row>
    <row r="10085" spans="1:14" s="347" customFormat="1" x14ac:dyDescent="0.25">
      <c r="A10085" s="369"/>
      <c r="E10085" s="396"/>
      <c r="F10085" s="396"/>
      <c r="G10085" s="396"/>
      <c r="K10085" s="370"/>
      <c r="N10085" s="370"/>
    </row>
    <row r="10086" spans="1:14" s="347" customFormat="1" x14ac:dyDescent="0.25">
      <c r="A10086" s="369"/>
      <c r="E10086" s="396"/>
      <c r="F10086" s="396"/>
      <c r="G10086" s="396"/>
      <c r="K10086" s="370"/>
      <c r="N10086" s="370"/>
    </row>
    <row r="10087" spans="1:14" s="347" customFormat="1" x14ac:dyDescent="0.25">
      <c r="A10087" s="369"/>
      <c r="E10087" s="396"/>
      <c r="F10087" s="396"/>
      <c r="G10087" s="396"/>
      <c r="K10087" s="370"/>
      <c r="N10087" s="370"/>
    </row>
    <row r="10088" spans="1:14" s="347" customFormat="1" x14ac:dyDescent="0.25">
      <c r="A10088" s="369"/>
      <c r="E10088" s="396"/>
      <c r="F10088" s="396"/>
      <c r="G10088" s="396"/>
      <c r="K10088" s="370"/>
      <c r="N10088" s="370"/>
    </row>
    <row r="10089" spans="1:14" s="347" customFormat="1" x14ac:dyDescent="0.25">
      <c r="A10089" s="369"/>
      <c r="E10089" s="396"/>
      <c r="F10089" s="396"/>
      <c r="G10089" s="396"/>
      <c r="K10089" s="370"/>
      <c r="N10089" s="370"/>
    </row>
    <row r="10090" spans="1:14" s="347" customFormat="1" x14ac:dyDescent="0.25">
      <c r="A10090" s="369"/>
      <c r="E10090" s="396"/>
      <c r="F10090" s="396"/>
      <c r="G10090" s="396"/>
      <c r="K10090" s="370"/>
      <c r="N10090" s="370"/>
    </row>
    <row r="10091" spans="1:14" s="347" customFormat="1" x14ac:dyDescent="0.25">
      <c r="A10091" s="369"/>
      <c r="E10091" s="396"/>
      <c r="F10091" s="396"/>
      <c r="G10091" s="396"/>
      <c r="K10091" s="370"/>
      <c r="N10091" s="370"/>
    </row>
    <row r="10092" spans="1:14" s="347" customFormat="1" x14ac:dyDescent="0.25">
      <c r="A10092" s="369"/>
      <c r="E10092" s="396"/>
      <c r="F10092" s="396"/>
      <c r="G10092" s="396"/>
      <c r="K10092" s="370"/>
      <c r="N10092" s="370"/>
    </row>
    <row r="10093" spans="1:14" s="347" customFormat="1" x14ac:dyDescent="0.25">
      <c r="A10093" s="369"/>
      <c r="E10093" s="396"/>
      <c r="F10093" s="396"/>
      <c r="G10093" s="396"/>
      <c r="K10093" s="370"/>
      <c r="N10093" s="370"/>
    </row>
    <row r="10094" spans="1:14" s="347" customFormat="1" x14ac:dyDescent="0.25">
      <c r="A10094" s="369"/>
      <c r="E10094" s="396"/>
      <c r="F10094" s="396"/>
      <c r="G10094" s="396"/>
      <c r="K10094" s="370"/>
      <c r="N10094" s="370"/>
    </row>
    <row r="10095" spans="1:14" s="347" customFormat="1" x14ac:dyDescent="0.25">
      <c r="A10095" s="369"/>
      <c r="E10095" s="396"/>
      <c r="F10095" s="396"/>
      <c r="G10095" s="396"/>
      <c r="K10095" s="370"/>
      <c r="N10095" s="370"/>
    </row>
    <row r="10096" spans="1:14" s="347" customFormat="1" x14ac:dyDescent="0.25">
      <c r="A10096" s="369"/>
      <c r="E10096" s="396"/>
      <c r="F10096" s="396"/>
      <c r="G10096" s="396"/>
      <c r="K10096" s="370"/>
      <c r="N10096" s="370"/>
    </row>
    <row r="10097" spans="1:14" s="347" customFormat="1" x14ac:dyDescent="0.25">
      <c r="A10097" s="369"/>
      <c r="E10097" s="396"/>
      <c r="F10097" s="396"/>
      <c r="G10097" s="396"/>
      <c r="K10097" s="370"/>
      <c r="N10097" s="370"/>
    </row>
    <row r="10098" spans="1:14" s="347" customFormat="1" x14ac:dyDescent="0.25">
      <c r="A10098" s="369"/>
      <c r="E10098" s="396"/>
      <c r="F10098" s="396"/>
      <c r="G10098" s="396"/>
      <c r="K10098" s="370"/>
      <c r="N10098" s="370"/>
    </row>
    <row r="10099" spans="1:14" s="347" customFormat="1" x14ac:dyDescent="0.25">
      <c r="A10099" s="369"/>
      <c r="E10099" s="396"/>
      <c r="F10099" s="396"/>
      <c r="G10099" s="396"/>
      <c r="K10099" s="370"/>
      <c r="N10099" s="370"/>
    </row>
    <row r="10100" spans="1:14" s="347" customFormat="1" x14ac:dyDescent="0.25">
      <c r="A10100" s="369"/>
      <c r="E10100" s="396"/>
      <c r="F10100" s="396"/>
      <c r="G10100" s="396"/>
      <c r="K10100" s="370"/>
      <c r="N10100" s="370"/>
    </row>
    <row r="10101" spans="1:14" s="347" customFormat="1" x14ac:dyDescent="0.25">
      <c r="A10101" s="369"/>
      <c r="E10101" s="396"/>
      <c r="F10101" s="396"/>
      <c r="G10101" s="396"/>
      <c r="K10101" s="370"/>
      <c r="N10101" s="370"/>
    </row>
    <row r="10102" spans="1:14" s="347" customFormat="1" x14ac:dyDescent="0.25">
      <c r="A10102" s="369"/>
      <c r="E10102" s="396"/>
      <c r="F10102" s="396"/>
      <c r="G10102" s="396"/>
      <c r="K10102" s="370"/>
      <c r="N10102" s="370"/>
    </row>
    <row r="10103" spans="1:14" s="347" customFormat="1" x14ac:dyDescent="0.25">
      <c r="A10103" s="369"/>
      <c r="E10103" s="396"/>
      <c r="F10103" s="396"/>
      <c r="G10103" s="396"/>
      <c r="K10103" s="370"/>
      <c r="N10103" s="370"/>
    </row>
    <row r="10104" spans="1:14" s="347" customFormat="1" x14ac:dyDescent="0.25">
      <c r="A10104" s="369"/>
      <c r="E10104" s="396"/>
      <c r="F10104" s="396"/>
      <c r="G10104" s="396"/>
      <c r="K10104" s="370"/>
      <c r="N10104" s="370"/>
    </row>
    <row r="10105" spans="1:14" s="347" customFormat="1" x14ac:dyDescent="0.25">
      <c r="A10105" s="369"/>
      <c r="E10105" s="396"/>
      <c r="F10105" s="396"/>
      <c r="G10105" s="396"/>
      <c r="K10105" s="370"/>
      <c r="N10105" s="370"/>
    </row>
    <row r="10106" spans="1:14" s="347" customFormat="1" x14ac:dyDescent="0.25">
      <c r="A10106" s="369"/>
      <c r="E10106" s="396"/>
      <c r="F10106" s="396"/>
      <c r="G10106" s="396"/>
      <c r="K10106" s="370"/>
      <c r="N10106" s="370"/>
    </row>
    <row r="10107" spans="1:14" s="347" customFormat="1" x14ac:dyDescent="0.25">
      <c r="A10107" s="369"/>
      <c r="E10107" s="396"/>
      <c r="F10107" s="396"/>
      <c r="G10107" s="396"/>
      <c r="K10107" s="370"/>
      <c r="N10107" s="370"/>
    </row>
    <row r="10108" spans="1:14" s="347" customFormat="1" x14ac:dyDescent="0.25">
      <c r="A10108" s="369"/>
      <c r="E10108" s="396"/>
      <c r="F10108" s="396"/>
      <c r="G10108" s="396"/>
      <c r="K10108" s="370"/>
      <c r="N10108" s="370"/>
    </row>
    <row r="10109" spans="1:14" s="347" customFormat="1" x14ac:dyDescent="0.25">
      <c r="A10109" s="369"/>
      <c r="E10109" s="396"/>
      <c r="F10109" s="396"/>
      <c r="G10109" s="396"/>
      <c r="K10109" s="370"/>
      <c r="N10109" s="370"/>
    </row>
    <row r="10110" spans="1:14" s="347" customFormat="1" x14ac:dyDescent="0.25">
      <c r="A10110" s="369"/>
      <c r="E10110" s="396"/>
      <c r="F10110" s="396"/>
      <c r="G10110" s="396"/>
      <c r="K10110" s="370"/>
      <c r="N10110" s="370"/>
    </row>
    <row r="10111" spans="1:14" s="347" customFormat="1" x14ac:dyDescent="0.25">
      <c r="A10111" s="369"/>
      <c r="E10111" s="396"/>
      <c r="F10111" s="396"/>
      <c r="G10111" s="396"/>
      <c r="K10111" s="370"/>
      <c r="N10111" s="370"/>
    </row>
    <row r="10112" spans="1:14" s="347" customFormat="1" x14ac:dyDescent="0.25">
      <c r="A10112" s="369"/>
      <c r="E10112" s="396"/>
      <c r="F10112" s="396"/>
      <c r="G10112" s="396"/>
      <c r="K10112" s="370"/>
      <c r="N10112" s="370"/>
    </row>
    <row r="10113" spans="1:14" s="347" customFormat="1" x14ac:dyDescent="0.25">
      <c r="A10113" s="369"/>
      <c r="E10113" s="396"/>
      <c r="F10113" s="396"/>
      <c r="G10113" s="396"/>
      <c r="K10113" s="370"/>
      <c r="N10113" s="370"/>
    </row>
    <row r="10114" spans="1:14" s="347" customFormat="1" x14ac:dyDescent="0.25">
      <c r="A10114" s="369"/>
      <c r="E10114" s="396"/>
      <c r="F10114" s="396"/>
      <c r="G10114" s="396"/>
      <c r="K10114" s="370"/>
      <c r="N10114" s="370"/>
    </row>
    <row r="10115" spans="1:14" s="347" customFormat="1" x14ac:dyDescent="0.25">
      <c r="A10115" s="369"/>
      <c r="E10115" s="396"/>
      <c r="F10115" s="396"/>
      <c r="G10115" s="396"/>
      <c r="K10115" s="370"/>
      <c r="N10115" s="370"/>
    </row>
    <row r="10116" spans="1:14" s="347" customFormat="1" x14ac:dyDescent="0.25">
      <c r="A10116" s="369"/>
      <c r="E10116" s="396"/>
      <c r="F10116" s="396"/>
      <c r="G10116" s="396"/>
      <c r="K10116" s="370"/>
      <c r="N10116" s="370"/>
    </row>
    <row r="10117" spans="1:14" s="347" customFormat="1" x14ac:dyDescent="0.25">
      <c r="A10117" s="369"/>
      <c r="E10117" s="396"/>
      <c r="F10117" s="396"/>
      <c r="G10117" s="396"/>
      <c r="K10117" s="370"/>
      <c r="N10117" s="370"/>
    </row>
    <row r="10118" spans="1:14" s="347" customFormat="1" x14ac:dyDescent="0.25">
      <c r="A10118" s="369"/>
      <c r="E10118" s="396"/>
      <c r="F10118" s="396"/>
      <c r="G10118" s="396"/>
      <c r="K10118" s="370"/>
      <c r="N10118" s="370"/>
    </row>
    <row r="10119" spans="1:14" s="347" customFormat="1" x14ac:dyDescent="0.25">
      <c r="A10119" s="369"/>
      <c r="E10119" s="396"/>
      <c r="F10119" s="396"/>
      <c r="G10119" s="396"/>
      <c r="K10119" s="370"/>
      <c r="N10119" s="370"/>
    </row>
    <row r="10120" spans="1:14" s="347" customFormat="1" x14ac:dyDescent="0.25">
      <c r="A10120" s="369"/>
      <c r="E10120" s="396"/>
      <c r="F10120" s="396"/>
      <c r="G10120" s="396"/>
      <c r="K10120" s="370"/>
      <c r="N10120" s="370"/>
    </row>
    <row r="10121" spans="1:14" s="347" customFormat="1" x14ac:dyDescent="0.25">
      <c r="A10121" s="369"/>
      <c r="E10121" s="396"/>
      <c r="F10121" s="396"/>
      <c r="G10121" s="396"/>
      <c r="K10121" s="370"/>
      <c r="N10121" s="370"/>
    </row>
    <row r="10122" spans="1:14" s="347" customFormat="1" x14ac:dyDescent="0.25">
      <c r="A10122" s="369"/>
      <c r="E10122" s="396"/>
      <c r="F10122" s="396"/>
      <c r="G10122" s="396"/>
      <c r="K10122" s="370"/>
      <c r="N10122" s="370"/>
    </row>
    <row r="10123" spans="1:14" s="347" customFormat="1" x14ac:dyDescent="0.25">
      <c r="A10123" s="369"/>
      <c r="E10123" s="396"/>
      <c r="F10123" s="396"/>
      <c r="G10123" s="396"/>
      <c r="K10123" s="370"/>
      <c r="N10123" s="370"/>
    </row>
    <row r="10124" spans="1:14" s="347" customFormat="1" x14ac:dyDescent="0.25">
      <c r="A10124" s="369"/>
      <c r="E10124" s="396"/>
      <c r="F10124" s="396"/>
      <c r="G10124" s="396"/>
      <c r="K10124" s="370"/>
      <c r="N10124" s="370"/>
    </row>
    <row r="10125" spans="1:14" s="347" customFormat="1" x14ac:dyDescent="0.25">
      <c r="A10125" s="369"/>
      <c r="E10125" s="396"/>
      <c r="F10125" s="396"/>
      <c r="G10125" s="396"/>
      <c r="K10125" s="370"/>
      <c r="N10125" s="370"/>
    </row>
    <row r="10126" spans="1:14" s="347" customFormat="1" x14ac:dyDescent="0.25">
      <c r="A10126" s="369"/>
      <c r="E10126" s="396"/>
      <c r="F10126" s="396"/>
      <c r="G10126" s="396"/>
      <c r="K10126" s="370"/>
      <c r="N10126" s="370"/>
    </row>
    <row r="10127" spans="1:14" s="347" customFormat="1" x14ac:dyDescent="0.25">
      <c r="A10127" s="369"/>
      <c r="E10127" s="396"/>
      <c r="F10127" s="396"/>
      <c r="G10127" s="396"/>
      <c r="K10127" s="370"/>
      <c r="N10127" s="370"/>
    </row>
    <row r="10128" spans="1:14" s="347" customFormat="1" x14ac:dyDescent="0.25">
      <c r="A10128" s="369"/>
      <c r="E10128" s="396"/>
      <c r="F10128" s="396"/>
      <c r="G10128" s="396"/>
      <c r="K10128" s="370"/>
      <c r="N10128" s="370"/>
    </row>
    <row r="10129" spans="1:14" s="347" customFormat="1" x14ac:dyDescent="0.25">
      <c r="A10129" s="369"/>
      <c r="E10129" s="396"/>
      <c r="F10129" s="396"/>
      <c r="G10129" s="396"/>
      <c r="K10129" s="370"/>
      <c r="N10129" s="370"/>
    </row>
    <row r="10130" spans="1:14" s="347" customFormat="1" x14ac:dyDescent="0.25">
      <c r="A10130" s="369"/>
      <c r="E10130" s="396"/>
      <c r="F10130" s="396"/>
      <c r="G10130" s="396"/>
      <c r="K10130" s="370"/>
      <c r="N10130" s="370"/>
    </row>
    <row r="10131" spans="1:14" s="347" customFormat="1" x14ac:dyDescent="0.25">
      <c r="A10131" s="369"/>
      <c r="E10131" s="396"/>
      <c r="F10131" s="396"/>
      <c r="G10131" s="396"/>
      <c r="K10131" s="370"/>
      <c r="N10131" s="370"/>
    </row>
    <row r="10132" spans="1:14" s="347" customFormat="1" x14ac:dyDescent="0.25">
      <c r="A10132" s="369"/>
      <c r="E10132" s="396"/>
      <c r="F10132" s="396"/>
      <c r="G10132" s="396"/>
      <c r="K10132" s="370"/>
      <c r="N10132" s="370"/>
    </row>
    <row r="10133" spans="1:14" s="347" customFormat="1" x14ac:dyDescent="0.25">
      <c r="A10133" s="369"/>
      <c r="E10133" s="396"/>
      <c r="F10133" s="396"/>
      <c r="G10133" s="396"/>
      <c r="K10133" s="370"/>
      <c r="N10133" s="370"/>
    </row>
    <row r="10134" spans="1:14" s="347" customFormat="1" x14ac:dyDescent="0.25">
      <c r="A10134" s="369"/>
      <c r="E10134" s="396"/>
      <c r="F10134" s="396"/>
      <c r="G10134" s="396"/>
      <c r="K10134" s="370"/>
      <c r="N10134" s="370"/>
    </row>
    <row r="10135" spans="1:14" s="347" customFormat="1" x14ac:dyDescent="0.25">
      <c r="A10135" s="369"/>
      <c r="E10135" s="396"/>
      <c r="F10135" s="396"/>
      <c r="G10135" s="396"/>
      <c r="K10135" s="370"/>
      <c r="N10135" s="370"/>
    </row>
    <row r="10136" spans="1:14" s="347" customFormat="1" x14ac:dyDescent="0.25">
      <c r="A10136" s="369"/>
      <c r="E10136" s="396"/>
      <c r="F10136" s="396"/>
      <c r="G10136" s="396"/>
      <c r="K10136" s="370"/>
      <c r="N10136" s="370"/>
    </row>
    <row r="10137" spans="1:14" s="347" customFormat="1" x14ac:dyDescent="0.25">
      <c r="A10137" s="369"/>
      <c r="E10137" s="396"/>
      <c r="F10137" s="396"/>
      <c r="G10137" s="396"/>
      <c r="K10137" s="370"/>
      <c r="N10137" s="370"/>
    </row>
    <row r="10138" spans="1:14" s="347" customFormat="1" x14ac:dyDescent="0.25">
      <c r="A10138" s="369"/>
      <c r="E10138" s="396"/>
      <c r="F10138" s="396"/>
      <c r="G10138" s="396"/>
      <c r="K10138" s="370"/>
      <c r="N10138" s="370"/>
    </row>
    <row r="10139" spans="1:14" s="347" customFormat="1" x14ac:dyDescent="0.25">
      <c r="A10139" s="369"/>
      <c r="E10139" s="396"/>
      <c r="F10139" s="396"/>
      <c r="G10139" s="396"/>
      <c r="K10139" s="370"/>
      <c r="N10139" s="370"/>
    </row>
    <row r="10140" spans="1:14" s="347" customFormat="1" x14ac:dyDescent="0.25">
      <c r="A10140" s="369"/>
      <c r="E10140" s="396"/>
      <c r="F10140" s="396"/>
      <c r="G10140" s="396"/>
      <c r="K10140" s="370"/>
      <c r="N10140" s="370"/>
    </row>
    <row r="10141" spans="1:14" s="347" customFormat="1" x14ac:dyDescent="0.25">
      <c r="A10141" s="369"/>
      <c r="E10141" s="396"/>
      <c r="F10141" s="396"/>
      <c r="G10141" s="396"/>
      <c r="K10141" s="370"/>
      <c r="N10141" s="370"/>
    </row>
    <row r="10142" spans="1:14" s="347" customFormat="1" x14ac:dyDescent="0.25">
      <c r="A10142" s="369"/>
      <c r="E10142" s="396"/>
      <c r="F10142" s="396"/>
      <c r="G10142" s="396"/>
      <c r="K10142" s="370"/>
      <c r="N10142" s="370"/>
    </row>
    <row r="10143" spans="1:14" s="347" customFormat="1" x14ac:dyDescent="0.25">
      <c r="A10143" s="369"/>
      <c r="E10143" s="396"/>
      <c r="F10143" s="396"/>
      <c r="G10143" s="396"/>
      <c r="K10143" s="370"/>
      <c r="N10143" s="370"/>
    </row>
    <row r="10144" spans="1:14" s="347" customFormat="1" x14ac:dyDescent="0.25">
      <c r="A10144" s="369"/>
      <c r="E10144" s="396"/>
      <c r="F10144" s="396"/>
      <c r="G10144" s="396"/>
      <c r="K10144" s="370"/>
      <c r="N10144" s="370"/>
    </row>
    <row r="10145" spans="1:14" s="347" customFormat="1" x14ac:dyDescent="0.25">
      <c r="A10145" s="369"/>
      <c r="E10145" s="396"/>
      <c r="F10145" s="396"/>
      <c r="G10145" s="396"/>
      <c r="K10145" s="370"/>
      <c r="N10145" s="370"/>
    </row>
    <row r="10146" spans="1:14" s="347" customFormat="1" x14ac:dyDescent="0.25">
      <c r="A10146" s="369"/>
      <c r="E10146" s="396"/>
      <c r="F10146" s="396"/>
      <c r="G10146" s="396"/>
      <c r="K10146" s="370"/>
      <c r="N10146" s="370"/>
    </row>
    <row r="10147" spans="1:14" s="347" customFormat="1" x14ac:dyDescent="0.25">
      <c r="A10147" s="369"/>
      <c r="E10147" s="396"/>
      <c r="F10147" s="396"/>
      <c r="G10147" s="396"/>
      <c r="K10147" s="370"/>
      <c r="N10147" s="370"/>
    </row>
    <row r="10148" spans="1:14" s="347" customFormat="1" x14ac:dyDescent="0.25">
      <c r="A10148" s="369"/>
      <c r="E10148" s="396"/>
      <c r="F10148" s="396"/>
      <c r="G10148" s="396"/>
      <c r="K10148" s="370"/>
      <c r="N10148" s="370"/>
    </row>
    <row r="10149" spans="1:14" s="347" customFormat="1" x14ac:dyDescent="0.25">
      <c r="A10149" s="369"/>
      <c r="E10149" s="396"/>
      <c r="F10149" s="396"/>
      <c r="G10149" s="396"/>
      <c r="K10149" s="370"/>
      <c r="N10149" s="370"/>
    </row>
    <row r="10150" spans="1:14" s="347" customFormat="1" x14ac:dyDescent="0.25">
      <c r="A10150" s="369"/>
      <c r="E10150" s="396"/>
      <c r="F10150" s="396"/>
      <c r="G10150" s="396"/>
      <c r="K10150" s="370"/>
      <c r="N10150" s="370"/>
    </row>
    <row r="10151" spans="1:14" s="347" customFormat="1" x14ac:dyDescent="0.25">
      <c r="A10151" s="369"/>
      <c r="E10151" s="396"/>
      <c r="F10151" s="396"/>
      <c r="G10151" s="396"/>
      <c r="K10151" s="370"/>
      <c r="N10151" s="370"/>
    </row>
    <row r="10152" spans="1:14" s="347" customFormat="1" x14ac:dyDescent="0.25">
      <c r="A10152" s="369"/>
      <c r="E10152" s="396"/>
      <c r="F10152" s="396"/>
      <c r="G10152" s="396"/>
      <c r="K10152" s="370"/>
      <c r="N10152" s="370"/>
    </row>
    <row r="10153" spans="1:14" s="347" customFormat="1" x14ac:dyDescent="0.25">
      <c r="A10153" s="369"/>
      <c r="E10153" s="396"/>
      <c r="F10153" s="396"/>
      <c r="G10153" s="396"/>
      <c r="K10153" s="370"/>
      <c r="N10153" s="370"/>
    </row>
    <row r="10154" spans="1:14" s="347" customFormat="1" x14ac:dyDescent="0.25">
      <c r="A10154" s="369"/>
      <c r="E10154" s="396"/>
      <c r="F10154" s="396"/>
      <c r="G10154" s="396"/>
      <c r="K10154" s="370"/>
      <c r="N10154" s="370"/>
    </row>
    <row r="10155" spans="1:14" s="347" customFormat="1" x14ac:dyDescent="0.25">
      <c r="A10155" s="369"/>
      <c r="E10155" s="396"/>
      <c r="F10155" s="396"/>
      <c r="G10155" s="396"/>
      <c r="K10155" s="370"/>
      <c r="N10155" s="370"/>
    </row>
    <row r="10156" spans="1:14" s="347" customFormat="1" x14ac:dyDescent="0.25">
      <c r="A10156" s="369"/>
      <c r="E10156" s="396"/>
      <c r="F10156" s="396"/>
      <c r="G10156" s="396"/>
      <c r="K10156" s="370"/>
      <c r="N10156" s="370"/>
    </row>
    <row r="10157" spans="1:14" s="347" customFormat="1" x14ac:dyDescent="0.25">
      <c r="A10157" s="369"/>
      <c r="E10157" s="396"/>
      <c r="F10157" s="396"/>
      <c r="G10157" s="396"/>
      <c r="K10157" s="370"/>
      <c r="N10157" s="370"/>
    </row>
    <row r="10158" spans="1:14" s="347" customFormat="1" x14ac:dyDescent="0.25">
      <c r="A10158" s="369"/>
      <c r="E10158" s="396"/>
      <c r="F10158" s="396"/>
      <c r="G10158" s="396"/>
      <c r="K10158" s="370"/>
      <c r="N10158" s="370"/>
    </row>
    <row r="10159" spans="1:14" s="347" customFormat="1" x14ac:dyDescent="0.25">
      <c r="A10159" s="369"/>
      <c r="E10159" s="396"/>
      <c r="F10159" s="396"/>
      <c r="G10159" s="396"/>
      <c r="K10159" s="370"/>
      <c r="N10159" s="370"/>
    </row>
    <row r="10160" spans="1:14" s="347" customFormat="1" x14ac:dyDescent="0.25">
      <c r="A10160" s="369"/>
      <c r="E10160" s="396"/>
      <c r="F10160" s="396"/>
      <c r="G10160" s="396"/>
      <c r="K10160" s="370"/>
      <c r="N10160" s="370"/>
    </row>
    <row r="10161" spans="1:14" s="347" customFormat="1" x14ac:dyDescent="0.25">
      <c r="A10161" s="369"/>
      <c r="E10161" s="396"/>
      <c r="F10161" s="396"/>
      <c r="G10161" s="396"/>
      <c r="K10161" s="370"/>
      <c r="N10161" s="370"/>
    </row>
    <row r="10162" spans="1:14" s="347" customFormat="1" x14ac:dyDescent="0.25">
      <c r="A10162" s="369"/>
      <c r="E10162" s="396"/>
      <c r="F10162" s="396"/>
      <c r="G10162" s="396"/>
      <c r="K10162" s="370"/>
      <c r="N10162" s="370"/>
    </row>
    <row r="10163" spans="1:14" s="347" customFormat="1" x14ac:dyDescent="0.25">
      <c r="A10163" s="369"/>
      <c r="E10163" s="396"/>
      <c r="F10163" s="396"/>
      <c r="G10163" s="396"/>
      <c r="K10163" s="370"/>
      <c r="N10163" s="370"/>
    </row>
    <row r="10164" spans="1:14" s="347" customFormat="1" x14ac:dyDescent="0.25">
      <c r="A10164" s="369"/>
      <c r="E10164" s="396"/>
      <c r="F10164" s="396"/>
      <c r="G10164" s="396"/>
      <c r="K10164" s="370"/>
      <c r="N10164" s="370"/>
    </row>
    <row r="10165" spans="1:14" s="347" customFormat="1" x14ac:dyDescent="0.25">
      <c r="A10165" s="369"/>
      <c r="E10165" s="396"/>
      <c r="F10165" s="396"/>
      <c r="G10165" s="396"/>
      <c r="K10165" s="370"/>
      <c r="N10165" s="370"/>
    </row>
    <row r="10166" spans="1:14" s="347" customFormat="1" x14ac:dyDescent="0.25">
      <c r="A10166" s="369"/>
      <c r="E10166" s="396"/>
      <c r="F10166" s="396"/>
      <c r="G10166" s="396"/>
      <c r="K10166" s="370"/>
      <c r="N10166" s="370"/>
    </row>
    <row r="10167" spans="1:14" s="347" customFormat="1" x14ac:dyDescent="0.25">
      <c r="A10167" s="369"/>
      <c r="E10167" s="396"/>
      <c r="F10167" s="396"/>
      <c r="G10167" s="396"/>
      <c r="K10167" s="370"/>
      <c r="N10167" s="370"/>
    </row>
    <row r="10168" spans="1:14" s="347" customFormat="1" x14ac:dyDescent="0.25">
      <c r="A10168" s="369"/>
      <c r="E10168" s="396"/>
      <c r="F10168" s="396"/>
      <c r="G10168" s="396"/>
      <c r="K10168" s="370"/>
      <c r="N10168" s="370"/>
    </row>
    <row r="10169" spans="1:14" s="347" customFormat="1" x14ac:dyDescent="0.25">
      <c r="A10169" s="369"/>
      <c r="E10169" s="396"/>
      <c r="F10169" s="396"/>
      <c r="G10169" s="396"/>
      <c r="K10169" s="370"/>
      <c r="N10169" s="370"/>
    </row>
    <row r="10170" spans="1:14" s="347" customFormat="1" x14ac:dyDescent="0.25">
      <c r="A10170" s="369"/>
      <c r="E10170" s="396"/>
      <c r="F10170" s="396"/>
      <c r="G10170" s="396"/>
      <c r="K10170" s="370"/>
      <c r="N10170" s="370"/>
    </row>
    <row r="10171" spans="1:14" s="347" customFormat="1" x14ac:dyDescent="0.25">
      <c r="A10171" s="369"/>
      <c r="E10171" s="396"/>
      <c r="F10171" s="396"/>
      <c r="G10171" s="396"/>
      <c r="K10171" s="370"/>
      <c r="N10171" s="370"/>
    </row>
    <row r="10172" spans="1:14" s="347" customFormat="1" x14ac:dyDescent="0.25">
      <c r="A10172" s="369"/>
      <c r="E10172" s="396"/>
      <c r="F10172" s="396"/>
      <c r="G10172" s="396"/>
      <c r="K10172" s="370"/>
      <c r="N10172" s="370"/>
    </row>
    <row r="10173" spans="1:14" s="347" customFormat="1" x14ac:dyDescent="0.25">
      <c r="A10173" s="369"/>
      <c r="E10173" s="396"/>
      <c r="F10173" s="396"/>
      <c r="G10173" s="396"/>
      <c r="K10173" s="370"/>
      <c r="N10173" s="370"/>
    </row>
    <row r="10174" spans="1:14" s="347" customFormat="1" x14ac:dyDescent="0.25">
      <c r="A10174" s="369"/>
      <c r="E10174" s="396"/>
      <c r="F10174" s="396"/>
      <c r="G10174" s="396"/>
      <c r="K10174" s="370"/>
      <c r="N10174" s="370"/>
    </row>
    <row r="10175" spans="1:14" s="347" customFormat="1" x14ac:dyDescent="0.25">
      <c r="A10175" s="369"/>
      <c r="E10175" s="396"/>
      <c r="F10175" s="396"/>
      <c r="G10175" s="396"/>
      <c r="K10175" s="370"/>
      <c r="N10175" s="370"/>
    </row>
    <row r="10176" spans="1:14" s="347" customFormat="1" x14ac:dyDescent="0.25">
      <c r="A10176" s="369"/>
      <c r="E10176" s="396"/>
      <c r="F10176" s="396"/>
      <c r="G10176" s="396"/>
      <c r="K10176" s="370"/>
      <c r="N10176" s="370"/>
    </row>
    <row r="10177" spans="1:14" s="347" customFormat="1" x14ac:dyDescent="0.25">
      <c r="A10177" s="369"/>
      <c r="E10177" s="396"/>
      <c r="F10177" s="396"/>
      <c r="G10177" s="396"/>
      <c r="K10177" s="370"/>
      <c r="N10177" s="370"/>
    </row>
    <row r="10178" spans="1:14" s="347" customFormat="1" x14ac:dyDescent="0.25">
      <c r="A10178" s="369"/>
      <c r="E10178" s="396"/>
      <c r="F10178" s="396"/>
      <c r="G10178" s="396"/>
      <c r="K10178" s="370"/>
      <c r="N10178" s="370"/>
    </row>
    <row r="10179" spans="1:14" s="347" customFormat="1" x14ac:dyDescent="0.25">
      <c r="A10179" s="369"/>
      <c r="E10179" s="396"/>
      <c r="F10179" s="396"/>
      <c r="G10179" s="396"/>
      <c r="K10179" s="370"/>
      <c r="N10179" s="370"/>
    </row>
    <row r="10180" spans="1:14" s="347" customFormat="1" x14ac:dyDescent="0.25">
      <c r="A10180" s="369"/>
      <c r="E10180" s="396"/>
      <c r="F10180" s="396"/>
      <c r="G10180" s="396"/>
      <c r="K10180" s="370"/>
      <c r="N10180" s="370"/>
    </row>
    <row r="10181" spans="1:14" s="347" customFormat="1" x14ac:dyDescent="0.25">
      <c r="A10181" s="369"/>
      <c r="E10181" s="396"/>
      <c r="F10181" s="396"/>
      <c r="G10181" s="396"/>
      <c r="K10181" s="370"/>
      <c r="N10181" s="370"/>
    </row>
    <row r="10182" spans="1:14" s="347" customFormat="1" x14ac:dyDescent="0.25">
      <c r="A10182" s="369"/>
      <c r="E10182" s="396"/>
      <c r="F10182" s="396"/>
      <c r="G10182" s="396"/>
      <c r="K10182" s="370"/>
      <c r="N10182" s="370"/>
    </row>
    <row r="10183" spans="1:14" s="347" customFormat="1" x14ac:dyDescent="0.25">
      <c r="A10183" s="369"/>
      <c r="E10183" s="396"/>
      <c r="F10183" s="396"/>
      <c r="G10183" s="396"/>
      <c r="K10183" s="370"/>
      <c r="N10183" s="370"/>
    </row>
    <row r="10184" spans="1:14" s="347" customFormat="1" x14ac:dyDescent="0.25">
      <c r="A10184" s="369"/>
      <c r="E10184" s="396"/>
      <c r="F10184" s="396"/>
      <c r="G10184" s="396"/>
      <c r="K10184" s="370"/>
      <c r="N10184" s="370"/>
    </row>
    <row r="10185" spans="1:14" s="347" customFormat="1" x14ac:dyDescent="0.25">
      <c r="A10185" s="369"/>
      <c r="E10185" s="396"/>
      <c r="F10185" s="396"/>
      <c r="G10185" s="396"/>
      <c r="K10185" s="370"/>
      <c r="N10185" s="370"/>
    </row>
    <row r="10186" spans="1:14" s="347" customFormat="1" x14ac:dyDescent="0.25">
      <c r="A10186" s="369"/>
      <c r="E10186" s="396"/>
      <c r="F10186" s="396"/>
      <c r="G10186" s="396"/>
      <c r="K10186" s="370"/>
      <c r="N10186" s="370"/>
    </row>
    <row r="10187" spans="1:14" s="347" customFormat="1" x14ac:dyDescent="0.25">
      <c r="A10187" s="369"/>
      <c r="E10187" s="396"/>
      <c r="F10187" s="396"/>
      <c r="G10187" s="396"/>
      <c r="K10187" s="370"/>
      <c r="N10187" s="370"/>
    </row>
    <row r="10188" spans="1:14" s="347" customFormat="1" x14ac:dyDescent="0.25">
      <c r="A10188" s="369"/>
      <c r="E10188" s="396"/>
      <c r="F10188" s="396"/>
      <c r="G10188" s="396"/>
      <c r="K10188" s="370"/>
      <c r="N10188" s="370"/>
    </row>
    <row r="10189" spans="1:14" s="347" customFormat="1" x14ac:dyDescent="0.25">
      <c r="A10189" s="369"/>
      <c r="E10189" s="396"/>
      <c r="F10189" s="396"/>
      <c r="G10189" s="396"/>
      <c r="K10189" s="370"/>
      <c r="N10189" s="370"/>
    </row>
    <row r="10190" spans="1:14" s="347" customFormat="1" x14ac:dyDescent="0.25">
      <c r="A10190" s="369"/>
      <c r="E10190" s="396"/>
      <c r="F10190" s="396"/>
      <c r="G10190" s="396"/>
      <c r="K10190" s="370"/>
      <c r="N10190" s="370"/>
    </row>
    <row r="10191" spans="1:14" s="347" customFormat="1" x14ac:dyDescent="0.25">
      <c r="A10191" s="369"/>
      <c r="E10191" s="396"/>
      <c r="F10191" s="396"/>
      <c r="G10191" s="396"/>
      <c r="K10191" s="370"/>
      <c r="N10191" s="370"/>
    </row>
    <row r="10192" spans="1:14" s="347" customFormat="1" x14ac:dyDescent="0.25">
      <c r="A10192" s="369"/>
      <c r="E10192" s="396"/>
      <c r="F10192" s="396"/>
      <c r="G10192" s="396"/>
      <c r="K10192" s="370"/>
      <c r="N10192" s="370"/>
    </row>
    <row r="10193" spans="1:14" s="347" customFormat="1" x14ac:dyDescent="0.25">
      <c r="A10193" s="369"/>
      <c r="E10193" s="396"/>
      <c r="F10193" s="396"/>
      <c r="G10193" s="396"/>
      <c r="K10193" s="370"/>
      <c r="N10193" s="370"/>
    </row>
    <row r="10194" spans="1:14" s="347" customFormat="1" x14ac:dyDescent="0.25">
      <c r="A10194" s="369"/>
      <c r="E10194" s="396"/>
      <c r="F10194" s="396"/>
      <c r="G10194" s="396"/>
      <c r="K10194" s="370"/>
      <c r="N10194" s="370"/>
    </row>
    <row r="10195" spans="1:14" s="347" customFormat="1" x14ac:dyDescent="0.25">
      <c r="A10195" s="369"/>
      <c r="E10195" s="396"/>
      <c r="F10195" s="396"/>
      <c r="G10195" s="396"/>
      <c r="K10195" s="370"/>
      <c r="N10195" s="370"/>
    </row>
    <row r="10196" spans="1:14" s="347" customFormat="1" x14ac:dyDescent="0.25">
      <c r="A10196" s="369"/>
      <c r="E10196" s="396"/>
      <c r="F10196" s="396"/>
      <c r="G10196" s="396"/>
      <c r="K10196" s="370"/>
      <c r="N10196" s="370"/>
    </row>
    <row r="10197" spans="1:14" s="347" customFormat="1" x14ac:dyDescent="0.25">
      <c r="A10197" s="369"/>
      <c r="E10197" s="396"/>
      <c r="F10197" s="396"/>
      <c r="G10197" s="396"/>
      <c r="K10197" s="370"/>
      <c r="N10197" s="370"/>
    </row>
    <row r="10198" spans="1:14" s="347" customFormat="1" x14ac:dyDescent="0.25">
      <c r="A10198" s="369"/>
      <c r="E10198" s="396"/>
      <c r="F10198" s="396"/>
      <c r="G10198" s="396"/>
      <c r="K10198" s="370"/>
      <c r="N10198" s="370"/>
    </row>
    <row r="10199" spans="1:14" s="347" customFormat="1" x14ac:dyDescent="0.25">
      <c r="A10199" s="369"/>
      <c r="E10199" s="396"/>
      <c r="F10199" s="396"/>
      <c r="G10199" s="396"/>
      <c r="K10199" s="370"/>
      <c r="N10199" s="370"/>
    </row>
    <row r="10200" spans="1:14" s="347" customFormat="1" x14ac:dyDescent="0.25">
      <c r="A10200" s="369"/>
      <c r="E10200" s="396"/>
      <c r="F10200" s="396"/>
      <c r="G10200" s="396"/>
      <c r="K10200" s="370"/>
      <c r="N10200" s="370"/>
    </row>
    <row r="10201" spans="1:14" s="347" customFormat="1" x14ac:dyDescent="0.25">
      <c r="A10201" s="369"/>
      <c r="E10201" s="396"/>
      <c r="F10201" s="396"/>
      <c r="G10201" s="396"/>
      <c r="K10201" s="370"/>
      <c r="N10201" s="370"/>
    </row>
    <row r="10202" spans="1:14" s="347" customFormat="1" x14ac:dyDescent="0.25">
      <c r="A10202" s="369"/>
      <c r="E10202" s="396"/>
      <c r="F10202" s="396"/>
      <c r="G10202" s="396"/>
      <c r="K10202" s="370"/>
      <c r="N10202" s="370"/>
    </row>
    <row r="10203" spans="1:14" s="347" customFormat="1" x14ac:dyDescent="0.25">
      <c r="A10203" s="369"/>
      <c r="E10203" s="396"/>
      <c r="F10203" s="396"/>
      <c r="G10203" s="396"/>
      <c r="K10203" s="370"/>
      <c r="N10203" s="370"/>
    </row>
    <row r="10204" spans="1:14" s="347" customFormat="1" x14ac:dyDescent="0.25">
      <c r="A10204" s="369"/>
      <c r="E10204" s="396"/>
      <c r="F10204" s="396"/>
      <c r="G10204" s="396"/>
      <c r="K10204" s="370"/>
      <c r="N10204" s="370"/>
    </row>
    <row r="10205" spans="1:14" s="347" customFormat="1" x14ac:dyDescent="0.25">
      <c r="A10205" s="369"/>
      <c r="E10205" s="396"/>
      <c r="F10205" s="396"/>
      <c r="G10205" s="396"/>
      <c r="K10205" s="370"/>
      <c r="N10205" s="370"/>
    </row>
    <row r="10206" spans="1:14" s="347" customFormat="1" x14ac:dyDescent="0.25">
      <c r="A10206" s="369"/>
      <c r="E10206" s="396"/>
      <c r="F10206" s="396"/>
      <c r="G10206" s="396"/>
      <c r="K10206" s="370"/>
      <c r="N10206" s="370"/>
    </row>
    <row r="10207" spans="1:14" s="347" customFormat="1" x14ac:dyDescent="0.25">
      <c r="A10207" s="369"/>
      <c r="E10207" s="396"/>
      <c r="F10207" s="396"/>
      <c r="G10207" s="396"/>
      <c r="K10207" s="370"/>
      <c r="N10207" s="370"/>
    </row>
    <row r="10208" spans="1:14" s="347" customFormat="1" x14ac:dyDescent="0.25">
      <c r="A10208" s="369"/>
      <c r="E10208" s="396"/>
      <c r="F10208" s="396"/>
      <c r="G10208" s="396"/>
      <c r="K10208" s="370"/>
      <c r="N10208" s="370"/>
    </row>
    <row r="10209" spans="1:14" s="347" customFormat="1" x14ac:dyDescent="0.25">
      <c r="A10209" s="369"/>
      <c r="E10209" s="396"/>
      <c r="F10209" s="396"/>
      <c r="G10209" s="396"/>
      <c r="K10209" s="370"/>
      <c r="N10209" s="370"/>
    </row>
    <row r="10210" spans="1:14" s="347" customFormat="1" x14ac:dyDescent="0.25">
      <c r="A10210" s="369"/>
      <c r="E10210" s="396"/>
      <c r="F10210" s="396"/>
      <c r="G10210" s="396"/>
      <c r="K10210" s="370"/>
      <c r="N10210" s="370"/>
    </row>
    <row r="10211" spans="1:14" s="347" customFormat="1" x14ac:dyDescent="0.25">
      <c r="A10211" s="369"/>
      <c r="E10211" s="396"/>
      <c r="F10211" s="396"/>
      <c r="G10211" s="396"/>
      <c r="K10211" s="370"/>
      <c r="N10211" s="370"/>
    </row>
    <row r="10212" spans="1:14" s="347" customFormat="1" x14ac:dyDescent="0.25">
      <c r="A10212" s="369"/>
      <c r="E10212" s="396"/>
      <c r="F10212" s="396"/>
      <c r="G10212" s="396"/>
      <c r="K10212" s="370"/>
      <c r="N10212" s="370"/>
    </row>
    <row r="10213" spans="1:14" s="347" customFormat="1" x14ac:dyDescent="0.25">
      <c r="A10213" s="369"/>
      <c r="E10213" s="396"/>
      <c r="F10213" s="396"/>
      <c r="G10213" s="396"/>
      <c r="K10213" s="370"/>
      <c r="N10213" s="370"/>
    </row>
    <row r="10214" spans="1:14" s="347" customFormat="1" x14ac:dyDescent="0.25">
      <c r="A10214" s="369"/>
      <c r="E10214" s="396"/>
      <c r="F10214" s="396"/>
      <c r="G10214" s="396"/>
      <c r="K10214" s="370"/>
      <c r="N10214" s="370"/>
    </row>
    <row r="10215" spans="1:14" s="347" customFormat="1" x14ac:dyDescent="0.25">
      <c r="A10215" s="369"/>
      <c r="E10215" s="396"/>
      <c r="F10215" s="396"/>
      <c r="G10215" s="396"/>
      <c r="K10215" s="370"/>
      <c r="N10215" s="370"/>
    </row>
    <row r="10216" spans="1:14" s="347" customFormat="1" x14ac:dyDescent="0.25">
      <c r="A10216" s="369"/>
      <c r="E10216" s="396"/>
      <c r="F10216" s="396"/>
      <c r="G10216" s="396"/>
      <c r="K10216" s="370"/>
      <c r="N10216" s="370"/>
    </row>
    <row r="10217" spans="1:14" s="347" customFormat="1" x14ac:dyDescent="0.25">
      <c r="A10217" s="369"/>
      <c r="E10217" s="396"/>
      <c r="F10217" s="396"/>
      <c r="G10217" s="396"/>
      <c r="K10217" s="370"/>
      <c r="N10217" s="370"/>
    </row>
    <row r="10218" spans="1:14" s="347" customFormat="1" x14ac:dyDescent="0.25">
      <c r="A10218" s="369"/>
      <c r="E10218" s="396"/>
      <c r="F10218" s="396"/>
      <c r="G10218" s="396"/>
      <c r="K10218" s="370"/>
      <c r="N10218" s="370"/>
    </row>
    <row r="10219" spans="1:14" s="347" customFormat="1" x14ac:dyDescent="0.25">
      <c r="A10219" s="369"/>
      <c r="E10219" s="396"/>
      <c r="F10219" s="396"/>
      <c r="G10219" s="396"/>
      <c r="K10219" s="370"/>
      <c r="N10219" s="370"/>
    </row>
    <row r="10220" spans="1:14" s="347" customFormat="1" x14ac:dyDescent="0.25">
      <c r="A10220" s="369"/>
      <c r="E10220" s="396"/>
      <c r="F10220" s="396"/>
      <c r="G10220" s="396"/>
      <c r="K10220" s="370"/>
      <c r="N10220" s="370"/>
    </row>
    <row r="10221" spans="1:14" s="347" customFormat="1" x14ac:dyDescent="0.25">
      <c r="A10221" s="369"/>
      <c r="E10221" s="396"/>
      <c r="F10221" s="396"/>
      <c r="G10221" s="396"/>
      <c r="K10221" s="370"/>
      <c r="N10221" s="370"/>
    </row>
    <row r="10222" spans="1:14" s="347" customFormat="1" x14ac:dyDescent="0.25">
      <c r="A10222" s="369"/>
      <c r="E10222" s="396"/>
      <c r="F10222" s="396"/>
      <c r="G10222" s="396"/>
      <c r="K10222" s="370"/>
      <c r="N10222" s="370"/>
    </row>
    <row r="10223" spans="1:14" s="347" customFormat="1" x14ac:dyDescent="0.25">
      <c r="A10223" s="369"/>
      <c r="E10223" s="396"/>
      <c r="F10223" s="396"/>
      <c r="G10223" s="396"/>
      <c r="K10223" s="370"/>
      <c r="N10223" s="370"/>
    </row>
    <row r="10224" spans="1:14" s="347" customFormat="1" x14ac:dyDescent="0.25">
      <c r="A10224" s="369"/>
      <c r="E10224" s="396"/>
      <c r="F10224" s="396"/>
      <c r="G10224" s="396"/>
      <c r="K10224" s="370"/>
      <c r="N10224" s="370"/>
    </row>
    <row r="10225" spans="1:14" s="347" customFormat="1" x14ac:dyDescent="0.25">
      <c r="A10225" s="369"/>
      <c r="E10225" s="396"/>
      <c r="F10225" s="396"/>
      <c r="G10225" s="396"/>
      <c r="K10225" s="370"/>
      <c r="N10225" s="370"/>
    </row>
    <row r="10226" spans="1:14" s="347" customFormat="1" x14ac:dyDescent="0.25">
      <c r="A10226" s="369"/>
      <c r="E10226" s="396"/>
      <c r="F10226" s="396"/>
      <c r="G10226" s="396"/>
      <c r="K10226" s="370"/>
      <c r="N10226" s="370"/>
    </row>
    <row r="10227" spans="1:14" s="347" customFormat="1" x14ac:dyDescent="0.25">
      <c r="A10227" s="369"/>
      <c r="E10227" s="396"/>
      <c r="F10227" s="396"/>
      <c r="G10227" s="396"/>
      <c r="K10227" s="370"/>
      <c r="N10227" s="370"/>
    </row>
    <row r="10228" spans="1:14" s="347" customFormat="1" x14ac:dyDescent="0.25">
      <c r="A10228" s="369"/>
      <c r="E10228" s="396"/>
      <c r="F10228" s="396"/>
      <c r="G10228" s="396"/>
      <c r="K10228" s="370"/>
      <c r="N10228" s="370"/>
    </row>
    <row r="10229" spans="1:14" s="347" customFormat="1" x14ac:dyDescent="0.25">
      <c r="A10229" s="369"/>
      <c r="E10229" s="396"/>
      <c r="F10229" s="396"/>
      <c r="G10229" s="396"/>
      <c r="K10229" s="370"/>
      <c r="N10229" s="370"/>
    </row>
    <row r="10230" spans="1:14" s="347" customFormat="1" x14ac:dyDescent="0.25">
      <c r="A10230" s="369"/>
      <c r="E10230" s="396"/>
      <c r="F10230" s="396"/>
      <c r="G10230" s="396"/>
      <c r="K10230" s="370"/>
      <c r="N10230" s="370"/>
    </row>
    <row r="10231" spans="1:14" s="347" customFormat="1" x14ac:dyDescent="0.25">
      <c r="A10231" s="369"/>
      <c r="E10231" s="396"/>
      <c r="F10231" s="396"/>
      <c r="G10231" s="396"/>
      <c r="K10231" s="370"/>
      <c r="N10231" s="370"/>
    </row>
    <row r="10232" spans="1:14" s="347" customFormat="1" x14ac:dyDescent="0.25">
      <c r="A10232" s="369"/>
      <c r="E10232" s="396"/>
      <c r="F10232" s="396"/>
      <c r="G10232" s="396"/>
      <c r="K10232" s="370"/>
      <c r="N10232" s="370"/>
    </row>
    <row r="10233" spans="1:14" s="347" customFormat="1" x14ac:dyDescent="0.25">
      <c r="A10233" s="369"/>
      <c r="E10233" s="396"/>
      <c r="F10233" s="396"/>
      <c r="G10233" s="396"/>
      <c r="K10233" s="370"/>
      <c r="N10233" s="370"/>
    </row>
    <row r="10234" spans="1:14" s="347" customFormat="1" x14ac:dyDescent="0.25">
      <c r="A10234" s="369"/>
      <c r="E10234" s="396"/>
      <c r="F10234" s="396"/>
      <c r="G10234" s="396"/>
      <c r="K10234" s="370"/>
      <c r="N10234" s="370"/>
    </row>
    <row r="10235" spans="1:14" s="347" customFormat="1" x14ac:dyDescent="0.25">
      <c r="A10235" s="369"/>
      <c r="E10235" s="396"/>
      <c r="F10235" s="396"/>
      <c r="G10235" s="396"/>
      <c r="K10235" s="370"/>
      <c r="N10235" s="370"/>
    </row>
    <row r="10236" spans="1:14" s="347" customFormat="1" x14ac:dyDescent="0.25">
      <c r="A10236" s="369"/>
      <c r="E10236" s="396"/>
      <c r="F10236" s="396"/>
      <c r="G10236" s="396"/>
      <c r="K10236" s="370"/>
      <c r="N10236" s="370"/>
    </row>
    <row r="10237" spans="1:14" s="347" customFormat="1" x14ac:dyDescent="0.25">
      <c r="A10237" s="369"/>
      <c r="E10237" s="396"/>
      <c r="F10237" s="396"/>
      <c r="G10237" s="396"/>
      <c r="K10237" s="370"/>
      <c r="N10237" s="370"/>
    </row>
    <row r="10238" spans="1:14" s="347" customFormat="1" x14ac:dyDescent="0.25">
      <c r="A10238" s="369"/>
      <c r="E10238" s="396"/>
      <c r="F10238" s="396"/>
      <c r="G10238" s="396"/>
      <c r="K10238" s="370"/>
      <c r="N10238" s="370"/>
    </row>
    <row r="10239" spans="1:14" s="347" customFormat="1" x14ac:dyDescent="0.25">
      <c r="A10239" s="369"/>
      <c r="E10239" s="396"/>
      <c r="F10239" s="396"/>
      <c r="G10239" s="396"/>
      <c r="K10239" s="370"/>
      <c r="N10239" s="370"/>
    </row>
    <row r="10240" spans="1:14" s="347" customFormat="1" x14ac:dyDescent="0.25">
      <c r="A10240" s="369"/>
      <c r="E10240" s="396"/>
      <c r="F10240" s="396"/>
      <c r="G10240" s="396"/>
      <c r="K10240" s="370"/>
      <c r="N10240" s="370"/>
    </row>
    <row r="10241" spans="1:14" s="347" customFormat="1" x14ac:dyDescent="0.25">
      <c r="A10241" s="369"/>
      <c r="E10241" s="396"/>
      <c r="F10241" s="396"/>
      <c r="G10241" s="396"/>
      <c r="K10241" s="370"/>
      <c r="N10241" s="370"/>
    </row>
    <row r="10242" spans="1:14" s="347" customFormat="1" x14ac:dyDescent="0.25">
      <c r="A10242" s="369"/>
      <c r="E10242" s="396"/>
      <c r="F10242" s="396"/>
      <c r="G10242" s="396"/>
      <c r="K10242" s="370"/>
      <c r="N10242" s="370"/>
    </row>
    <row r="10243" spans="1:14" s="347" customFormat="1" x14ac:dyDescent="0.25">
      <c r="A10243" s="369"/>
      <c r="E10243" s="396"/>
      <c r="F10243" s="396"/>
      <c r="G10243" s="396"/>
      <c r="K10243" s="370"/>
      <c r="N10243" s="370"/>
    </row>
    <row r="10244" spans="1:14" s="347" customFormat="1" x14ac:dyDescent="0.25">
      <c r="A10244" s="369"/>
      <c r="E10244" s="396"/>
      <c r="F10244" s="396"/>
      <c r="G10244" s="396"/>
      <c r="K10244" s="370"/>
      <c r="N10244" s="370"/>
    </row>
    <row r="10245" spans="1:14" s="347" customFormat="1" x14ac:dyDescent="0.25">
      <c r="A10245" s="369"/>
      <c r="E10245" s="396"/>
      <c r="F10245" s="396"/>
      <c r="G10245" s="396"/>
      <c r="K10245" s="370"/>
      <c r="N10245" s="370"/>
    </row>
    <row r="10246" spans="1:14" s="347" customFormat="1" x14ac:dyDescent="0.25">
      <c r="A10246" s="369"/>
      <c r="E10246" s="396"/>
      <c r="F10246" s="396"/>
      <c r="G10246" s="396"/>
      <c r="K10246" s="370"/>
      <c r="N10246" s="370"/>
    </row>
    <row r="10247" spans="1:14" s="347" customFormat="1" x14ac:dyDescent="0.25">
      <c r="A10247" s="369"/>
      <c r="E10247" s="396"/>
      <c r="F10247" s="396"/>
      <c r="G10247" s="396"/>
      <c r="K10247" s="370"/>
      <c r="N10247" s="370"/>
    </row>
    <row r="10248" spans="1:14" s="347" customFormat="1" x14ac:dyDescent="0.25">
      <c r="A10248" s="369"/>
      <c r="E10248" s="396"/>
      <c r="F10248" s="396"/>
      <c r="G10248" s="396"/>
      <c r="K10248" s="370"/>
      <c r="N10248" s="370"/>
    </row>
    <row r="10249" spans="1:14" s="347" customFormat="1" x14ac:dyDescent="0.25">
      <c r="A10249" s="369"/>
      <c r="E10249" s="396"/>
      <c r="F10249" s="396"/>
      <c r="G10249" s="396"/>
      <c r="K10249" s="370"/>
      <c r="N10249" s="370"/>
    </row>
    <row r="10250" spans="1:14" s="347" customFormat="1" x14ac:dyDescent="0.25">
      <c r="A10250" s="369"/>
      <c r="E10250" s="396"/>
      <c r="F10250" s="396"/>
      <c r="G10250" s="396"/>
      <c r="K10250" s="370"/>
      <c r="N10250" s="370"/>
    </row>
    <row r="10251" spans="1:14" s="347" customFormat="1" x14ac:dyDescent="0.25">
      <c r="A10251" s="369"/>
      <c r="E10251" s="396"/>
      <c r="F10251" s="396"/>
      <c r="G10251" s="396"/>
      <c r="K10251" s="370"/>
      <c r="N10251" s="370"/>
    </row>
    <row r="10252" spans="1:14" s="347" customFormat="1" x14ac:dyDescent="0.25">
      <c r="A10252" s="369"/>
      <c r="E10252" s="396"/>
      <c r="F10252" s="396"/>
      <c r="G10252" s="396"/>
      <c r="K10252" s="370"/>
      <c r="N10252" s="370"/>
    </row>
    <row r="10253" spans="1:14" s="347" customFormat="1" x14ac:dyDescent="0.25">
      <c r="A10253" s="369"/>
      <c r="E10253" s="396"/>
      <c r="F10253" s="396"/>
      <c r="G10253" s="396"/>
      <c r="K10253" s="370"/>
      <c r="N10253" s="370"/>
    </row>
    <row r="10254" spans="1:14" s="347" customFormat="1" x14ac:dyDescent="0.25">
      <c r="A10254" s="369"/>
      <c r="E10254" s="396"/>
      <c r="F10254" s="396"/>
      <c r="G10254" s="396"/>
      <c r="K10254" s="370"/>
      <c r="N10254" s="370"/>
    </row>
    <row r="10255" spans="1:14" s="347" customFormat="1" x14ac:dyDescent="0.25">
      <c r="A10255" s="369"/>
      <c r="E10255" s="396"/>
      <c r="F10255" s="396"/>
      <c r="G10255" s="396"/>
      <c r="K10255" s="370"/>
      <c r="N10255" s="370"/>
    </row>
    <row r="10256" spans="1:14" s="347" customFormat="1" x14ac:dyDescent="0.25">
      <c r="A10256" s="369"/>
      <c r="E10256" s="396"/>
      <c r="F10256" s="396"/>
      <c r="G10256" s="396"/>
      <c r="K10256" s="370"/>
      <c r="N10256" s="370"/>
    </row>
    <row r="10257" spans="1:14" s="347" customFormat="1" x14ac:dyDescent="0.25">
      <c r="A10257" s="369"/>
      <c r="E10257" s="396"/>
      <c r="F10257" s="396"/>
      <c r="G10257" s="396"/>
      <c r="K10257" s="370"/>
      <c r="N10257" s="370"/>
    </row>
    <row r="10258" spans="1:14" s="347" customFormat="1" x14ac:dyDescent="0.25">
      <c r="A10258" s="369"/>
      <c r="E10258" s="396"/>
      <c r="F10258" s="396"/>
      <c r="G10258" s="396"/>
      <c r="K10258" s="370"/>
      <c r="N10258" s="370"/>
    </row>
    <row r="10259" spans="1:14" s="347" customFormat="1" x14ac:dyDescent="0.25">
      <c r="A10259" s="369"/>
      <c r="E10259" s="396"/>
      <c r="F10259" s="396"/>
      <c r="G10259" s="396"/>
      <c r="K10259" s="370"/>
      <c r="N10259" s="370"/>
    </row>
    <row r="10260" spans="1:14" s="347" customFormat="1" x14ac:dyDescent="0.25">
      <c r="A10260" s="369"/>
      <c r="E10260" s="396"/>
      <c r="F10260" s="396"/>
      <c r="G10260" s="396"/>
      <c r="K10260" s="370"/>
      <c r="N10260" s="370"/>
    </row>
    <row r="10261" spans="1:14" s="347" customFormat="1" x14ac:dyDescent="0.25">
      <c r="A10261" s="369"/>
      <c r="E10261" s="396"/>
      <c r="F10261" s="396"/>
      <c r="G10261" s="396"/>
      <c r="K10261" s="370"/>
      <c r="N10261" s="370"/>
    </row>
    <row r="10262" spans="1:14" s="347" customFormat="1" x14ac:dyDescent="0.25">
      <c r="A10262" s="369"/>
      <c r="E10262" s="396"/>
      <c r="F10262" s="396"/>
      <c r="G10262" s="396"/>
      <c r="K10262" s="370"/>
      <c r="N10262" s="370"/>
    </row>
    <row r="10263" spans="1:14" s="347" customFormat="1" x14ac:dyDescent="0.25">
      <c r="A10263" s="369"/>
      <c r="E10263" s="396"/>
      <c r="F10263" s="396"/>
      <c r="G10263" s="396"/>
      <c r="K10263" s="370"/>
      <c r="N10263" s="370"/>
    </row>
    <row r="10264" spans="1:14" s="347" customFormat="1" x14ac:dyDescent="0.25">
      <c r="A10264" s="369"/>
      <c r="E10264" s="396"/>
      <c r="F10264" s="396"/>
      <c r="G10264" s="396"/>
      <c r="K10264" s="370"/>
      <c r="N10264" s="370"/>
    </row>
    <row r="10265" spans="1:14" s="347" customFormat="1" x14ac:dyDescent="0.25">
      <c r="A10265" s="369"/>
      <c r="E10265" s="396"/>
      <c r="F10265" s="396"/>
      <c r="G10265" s="396"/>
      <c r="K10265" s="370"/>
      <c r="N10265" s="370"/>
    </row>
    <row r="10266" spans="1:14" s="347" customFormat="1" x14ac:dyDescent="0.25">
      <c r="A10266" s="369"/>
      <c r="E10266" s="396"/>
      <c r="F10266" s="396"/>
      <c r="G10266" s="396"/>
      <c r="K10266" s="370"/>
      <c r="N10266" s="370"/>
    </row>
    <row r="10267" spans="1:14" s="347" customFormat="1" x14ac:dyDescent="0.25">
      <c r="A10267" s="369"/>
      <c r="E10267" s="396"/>
      <c r="F10267" s="396"/>
      <c r="G10267" s="396"/>
      <c r="K10267" s="370"/>
      <c r="N10267" s="370"/>
    </row>
    <row r="10268" spans="1:14" s="347" customFormat="1" x14ac:dyDescent="0.25">
      <c r="A10268" s="369"/>
      <c r="E10268" s="396"/>
      <c r="F10268" s="396"/>
      <c r="G10268" s="396"/>
      <c r="K10268" s="370"/>
      <c r="N10268" s="370"/>
    </row>
    <row r="10269" spans="1:14" s="347" customFormat="1" x14ac:dyDescent="0.25">
      <c r="A10269" s="369"/>
      <c r="E10269" s="396"/>
      <c r="F10269" s="396"/>
      <c r="G10269" s="396"/>
      <c r="K10269" s="370"/>
      <c r="N10269" s="370"/>
    </row>
    <row r="10270" spans="1:14" s="347" customFormat="1" x14ac:dyDescent="0.25">
      <c r="A10270" s="369"/>
      <c r="E10270" s="396"/>
      <c r="F10270" s="396"/>
      <c r="G10270" s="396"/>
      <c r="K10270" s="370"/>
      <c r="N10270" s="370"/>
    </row>
    <row r="10271" spans="1:14" s="347" customFormat="1" x14ac:dyDescent="0.25">
      <c r="A10271" s="369"/>
      <c r="E10271" s="396"/>
      <c r="F10271" s="396"/>
      <c r="G10271" s="396"/>
      <c r="K10271" s="370"/>
      <c r="N10271" s="370"/>
    </row>
    <row r="10272" spans="1:14" s="347" customFormat="1" x14ac:dyDescent="0.25">
      <c r="A10272" s="369"/>
      <c r="E10272" s="396"/>
      <c r="F10272" s="396"/>
      <c r="G10272" s="396"/>
      <c r="K10272" s="370"/>
      <c r="N10272" s="370"/>
    </row>
    <row r="10273" spans="1:14" s="347" customFormat="1" x14ac:dyDescent="0.25">
      <c r="A10273" s="369"/>
      <c r="E10273" s="396"/>
      <c r="F10273" s="396"/>
      <c r="G10273" s="396"/>
      <c r="K10273" s="370"/>
      <c r="N10273" s="370"/>
    </row>
    <row r="10274" spans="1:14" s="347" customFormat="1" x14ac:dyDescent="0.25">
      <c r="A10274" s="369"/>
      <c r="E10274" s="396"/>
      <c r="F10274" s="396"/>
      <c r="G10274" s="396"/>
      <c r="K10274" s="370"/>
      <c r="N10274" s="370"/>
    </row>
    <row r="10275" spans="1:14" s="347" customFormat="1" x14ac:dyDescent="0.25">
      <c r="A10275" s="369"/>
      <c r="E10275" s="396"/>
      <c r="F10275" s="396"/>
      <c r="G10275" s="396"/>
      <c r="K10275" s="370"/>
      <c r="N10275" s="370"/>
    </row>
    <row r="10276" spans="1:14" s="347" customFormat="1" x14ac:dyDescent="0.25">
      <c r="A10276" s="369"/>
      <c r="E10276" s="396"/>
      <c r="F10276" s="396"/>
      <c r="G10276" s="396"/>
      <c r="K10276" s="370"/>
      <c r="N10276" s="370"/>
    </row>
    <row r="10277" spans="1:14" s="347" customFormat="1" x14ac:dyDescent="0.25">
      <c r="A10277" s="369"/>
      <c r="E10277" s="396"/>
      <c r="F10277" s="396"/>
      <c r="G10277" s="396"/>
      <c r="K10277" s="370"/>
      <c r="N10277" s="370"/>
    </row>
    <row r="10278" spans="1:14" s="347" customFormat="1" x14ac:dyDescent="0.25">
      <c r="A10278" s="369"/>
      <c r="E10278" s="396"/>
      <c r="F10278" s="396"/>
      <c r="G10278" s="396"/>
      <c r="K10278" s="370"/>
      <c r="N10278" s="370"/>
    </row>
    <row r="10279" spans="1:14" s="347" customFormat="1" x14ac:dyDescent="0.25">
      <c r="A10279" s="369"/>
      <c r="E10279" s="396"/>
      <c r="F10279" s="396"/>
      <c r="G10279" s="396"/>
      <c r="K10279" s="370"/>
      <c r="N10279" s="370"/>
    </row>
    <row r="10280" spans="1:14" s="347" customFormat="1" x14ac:dyDescent="0.25">
      <c r="A10280" s="369"/>
      <c r="E10280" s="396"/>
      <c r="F10280" s="396"/>
      <c r="G10280" s="396"/>
      <c r="K10280" s="370"/>
      <c r="N10280" s="370"/>
    </row>
    <row r="10281" spans="1:14" s="347" customFormat="1" x14ac:dyDescent="0.25">
      <c r="A10281" s="369"/>
      <c r="E10281" s="396"/>
      <c r="F10281" s="396"/>
      <c r="G10281" s="396"/>
      <c r="K10281" s="370"/>
      <c r="N10281" s="370"/>
    </row>
    <row r="10282" spans="1:14" s="347" customFormat="1" x14ac:dyDescent="0.25">
      <c r="A10282" s="369"/>
      <c r="E10282" s="396"/>
      <c r="F10282" s="396"/>
      <c r="G10282" s="396"/>
      <c r="K10282" s="370"/>
      <c r="N10282" s="370"/>
    </row>
    <row r="10283" spans="1:14" s="347" customFormat="1" x14ac:dyDescent="0.25">
      <c r="A10283" s="369"/>
      <c r="E10283" s="396"/>
      <c r="F10283" s="396"/>
      <c r="G10283" s="396"/>
      <c r="K10283" s="370"/>
      <c r="N10283" s="370"/>
    </row>
    <row r="10284" spans="1:14" s="347" customFormat="1" x14ac:dyDescent="0.25">
      <c r="A10284" s="369"/>
      <c r="E10284" s="396"/>
      <c r="F10284" s="396"/>
      <c r="G10284" s="396"/>
      <c r="K10284" s="370"/>
      <c r="N10284" s="370"/>
    </row>
    <row r="10285" spans="1:14" s="347" customFormat="1" x14ac:dyDescent="0.25">
      <c r="A10285" s="369"/>
      <c r="E10285" s="396"/>
      <c r="F10285" s="396"/>
      <c r="G10285" s="396"/>
      <c r="K10285" s="370"/>
      <c r="N10285" s="370"/>
    </row>
    <row r="10286" spans="1:14" s="347" customFormat="1" x14ac:dyDescent="0.25">
      <c r="A10286" s="369"/>
      <c r="E10286" s="396"/>
      <c r="F10286" s="396"/>
      <c r="G10286" s="396"/>
      <c r="K10286" s="370"/>
      <c r="N10286" s="370"/>
    </row>
    <row r="10287" spans="1:14" s="347" customFormat="1" x14ac:dyDescent="0.25">
      <c r="A10287" s="369"/>
      <c r="E10287" s="396"/>
      <c r="F10287" s="396"/>
      <c r="G10287" s="396"/>
      <c r="K10287" s="370"/>
      <c r="N10287" s="370"/>
    </row>
    <row r="10288" spans="1:14" s="347" customFormat="1" x14ac:dyDescent="0.25">
      <c r="A10288" s="369"/>
      <c r="E10288" s="396"/>
      <c r="F10288" s="396"/>
      <c r="G10288" s="396"/>
      <c r="K10288" s="370"/>
      <c r="N10288" s="370"/>
    </row>
    <row r="10289" spans="1:14" s="347" customFormat="1" x14ac:dyDescent="0.25">
      <c r="A10289" s="369"/>
      <c r="E10289" s="396"/>
      <c r="F10289" s="396"/>
      <c r="G10289" s="396"/>
      <c r="K10289" s="370"/>
      <c r="N10289" s="370"/>
    </row>
    <row r="10290" spans="1:14" s="347" customFormat="1" x14ac:dyDescent="0.25">
      <c r="A10290" s="369"/>
      <c r="E10290" s="396"/>
      <c r="F10290" s="396"/>
      <c r="G10290" s="396"/>
      <c r="K10290" s="370"/>
      <c r="N10290" s="370"/>
    </row>
    <row r="10291" spans="1:14" s="347" customFormat="1" x14ac:dyDescent="0.25">
      <c r="A10291" s="369"/>
      <c r="E10291" s="396"/>
      <c r="F10291" s="396"/>
      <c r="G10291" s="396"/>
      <c r="K10291" s="370"/>
      <c r="N10291" s="370"/>
    </row>
    <row r="10292" spans="1:14" s="347" customFormat="1" x14ac:dyDescent="0.25">
      <c r="A10292" s="369"/>
      <c r="E10292" s="396"/>
      <c r="F10292" s="396"/>
      <c r="G10292" s="396"/>
      <c r="K10292" s="370"/>
      <c r="N10292" s="370"/>
    </row>
    <row r="10293" spans="1:14" s="347" customFormat="1" x14ac:dyDescent="0.25">
      <c r="A10293" s="369"/>
      <c r="E10293" s="396"/>
      <c r="F10293" s="396"/>
      <c r="G10293" s="396"/>
      <c r="K10293" s="370"/>
      <c r="N10293" s="370"/>
    </row>
    <row r="10294" spans="1:14" s="347" customFormat="1" x14ac:dyDescent="0.25">
      <c r="A10294" s="369"/>
      <c r="E10294" s="396"/>
      <c r="F10294" s="396"/>
      <c r="G10294" s="396"/>
      <c r="K10294" s="370"/>
      <c r="N10294" s="370"/>
    </row>
    <row r="10295" spans="1:14" s="347" customFormat="1" x14ac:dyDescent="0.25">
      <c r="A10295" s="369"/>
      <c r="E10295" s="396"/>
      <c r="F10295" s="396"/>
      <c r="G10295" s="396"/>
      <c r="K10295" s="370"/>
      <c r="N10295" s="370"/>
    </row>
    <row r="10296" spans="1:14" s="347" customFormat="1" x14ac:dyDescent="0.25">
      <c r="A10296" s="369"/>
      <c r="E10296" s="396"/>
      <c r="F10296" s="396"/>
      <c r="G10296" s="396"/>
      <c r="K10296" s="370"/>
      <c r="N10296" s="370"/>
    </row>
    <row r="10297" spans="1:14" s="347" customFormat="1" x14ac:dyDescent="0.25">
      <c r="A10297" s="369"/>
      <c r="E10297" s="396"/>
      <c r="F10297" s="396"/>
      <c r="G10297" s="396"/>
      <c r="K10297" s="370"/>
      <c r="N10297" s="370"/>
    </row>
    <row r="10298" spans="1:14" s="347" customFormat="1" x14ac:dyDescent="0.25">
      <c r="A10298" s="369"/>
      <c r="E10298" s="396"/>
      <c r="F10298" s="396"/>
      <c r="G10298" s="396"/>
      <c r="K10298" s="370"/>
      <c r="N10298" s="370"/>
    </row>
    <row r="10299" spans="1:14" s="347" customFormat="1" x14ac:dyDescent="0.25">
      <c r="A10299" s="369"/>
      <c r="E10299" s="396"/>
      <c r="F10299" s="396"/>
      <c r="G10299" s="396"/>
      <c r="K10299" s="370"/>
      <c r="N10299" s="370"/>
    </row>
    <row r="10300" spans="1:14" s="347" customFormat="1" x14ac:dyDescent="0.25">
      <c r="A10300" s="369"/>
      <c r="E10300" s="396"/>
      <c r="F10300" s="396"/>
      <c r="G10300" s="396"/>
      <c r="K10300" s="370"/>
      <c r="N10300" s="370"/>
    </row>
    <row r="10301" spans="1:14" s="347" customFormat="1" x14ac:dyDescent="0.25">
      <c r="A10301" s="369"/>
      <c r="E10301" s="396"/>
      <c r="F10301" s="396"/>
      <c r="G10301" s="396"/>
      <c r="K10301" s="370"/>
      <c r="N10301" s="370"/>
    </row>
    <row r="10302" spans="1:14" s="347" customFormat="1" x14ac:dyDescent="0.25">
      <c r="A10302" s="369"/>
      <c r="E10302" s="396"/>
      <c r="F10302" s="396"/>
      <c r="G10302" s="396"/>
      <c r="K10302" s="370"/>
      <c r="N10302" s="370"/>
    </row>
    <row r="10303" spans="1:14" s="347" customFormat="1" x14ac:dyDescent="0.25">
      <c r="A10303" s="369"/>
      <c r="E10303" s="396"/>
      <c r="F10303" s="396"/>
      <c r="G10303" s="396"/>
      <c r="K10303" s="370"/>
      <c r="N10303" s="370"/>
    </row>
    <row r="10304" spans="1:14" s="347" customFormat="1" x14ac:dyDescent="0.25">
      <c r="A10304" s="369"/>
      <c r="E10304" s="396"/>
      <c r="F10304" s="396"/>
      <c r="G10304" s="396"/>
      <c r="K10304" s="370"/>
      <c r="N10304" s="370"/>
    </row>
    <row r="10305" spans="1:14" s="347" customFormat="1" x14ac:dyDescent="0.25">
      <c r="A10305" s="369"/>
      <c r="E10305" s="396"/>
      <c r="F10305" s="396"/>
      <c r="G10305" s="396"/>
      <c r="K10305" s="370"/>
      <c r="N10305" s="370"/>
    </row>
    <row r="10306" spans="1:14" s="347" customFormat="1" x14ac:dyDescent="0.25">
      <c r="A10306" s="369"/>
      <c r="E10306" s="396"/>
      <c r="F10306" s="396"/>
      <c r="G10306" s="396"/>
      <c r="K10306" s="370"/>
      <c r="N10306" s="370"/>
    </row>
    <row r="10307" spans="1:14" s="347" customFormat="1" x14ac:dyDescent="0.25">
      <c r="A10307" s="369"/>
      <c r="E10307" s="396"/>
      <c r="F10307" s="396"/>
      <c r="G10307" s="396"/>
      <c r="K10307" s="370"/>
      <c r="N10307" s="370"/>
    </row>
    <row r="10308" spans="1:14" s="347" customFormat="1" x14ac:dyDescent="0.25">
      <c r="A10308" s="369"/>
      <c r="E10308" s="396"/>
      <c r="F10308" s="396"/>
      <c r="G10308" s="396"/>
      <c r="K10308" s="370"/>
      <c r="N10308" s="370"/>
    </row>
    <row r="10309" spans="1:14" s="347" customFormat="1" x14ac:dyDescent="0.25">
      <c r="A10309" s="369"/>
      <c r="E10309" s="396"/>
      <c r="F10309" s="396"/>
      <c r="G10309" s="396"/>
      <c r="K10309" s="370"/>
      <c r="N10309" s="370"/>
    </row>
    <row r="10310" spans="1:14" s="347" customFormat="1" x14ac:dyDescent="0.25">
      <c r="A10310" s="369"/>
      <c r="E10310" s="396"/>
      <c r="F10310" s="396"/>
      <c r="G10310" s="396"/>
      <c r="K10310" s="370"/>
      <c r="N10310" s="370"/>
    </row>
    <row r="10311" spans="1:14" s="347" customFormat="1" x14ac:dyDescent="0.25">
      <c r="A10311" s="369"/>
      <c r="E10311" s="396"/>
      <c r="F10311" s="396"/>
      <c r="G10311" s="396"/>
      <c r="K10311" s="370"/>
      <c r="N10311" s="370"/>
    </row>
    <row r="10312" spans="1:14" s="347" customFormat="1" x14ac:dyDescent="0.25">
      <c r="A10312" s="369"/>
      <c r="E10312" s="396"/>
      <c r="F10312" s="396"/>
      <c r="G10312" s="396"/>
      <c r="K10312" s="370"/>
      <c r="N10312" s="370"/>
    </row>
    <row r="10313" spans="1:14" s="347" customFormat="1" x14ac:dyDescent="0.25">
      <c r="A10313" s="369"/>
      <c r="E10313" s="396"/>
      <c r="F10313" s="396"/>
      <c r="G10313" s="396"/>
      <c r="K10313" s="370"/>
      <c r="N10313" s="370"/>
    </row>
    <row r="10314" spans="1:14" s="347" customFormat="1" x14ac:dyDescent="0.25">
      <c r="A10314" s="369"/>
      <c r="E10314" s="396"/>
      <c r="F10314" s="396"/>
      <c r="G10314" s="396"/>
      <c r="K10314" s="370"/>
      <c r="N10314" s="370"/>
    </row>
    <row r="10315" spans="1:14" s="347" customFormat="1" x14ac:dyDescent="0.25">
      <c r="A10315" s="369"/>
      <c r="E10315" s="396"/>
      <c r="F10315" s="396"/>
      <c r="G10315" s="396"/>
      <c r="K10315" s="370"/>
      <c r="N10315" s="370"/>
    </row>
    <row r="10316" spans="1:14" s="347" customFormat="1" x14ac:dyDescent="0.25">
      <c r="A10316" s="369"/>
      <c r="E10316" s="396"/>
      <c r="F10316" s="396"/>
      <c r="G10316" s="396"/>
      <c r="K10316" s="370"/>
      <c r="N10316" s="370"/>
    </row>
    <row r="10317" spans="1:14" s="347" customFormat="1" x14ac:dyDescent="0.25">
      <c r="A10317" s="369"/>
      <c r="E10317" s="396"/>
      <c r="F10317" s="396"/>
      <c r="G10317" s="396"/>
      <c r="K10317" s="370"/>
      <c r="N10317" s="370"/>
    </row>
    <row r="10318" spans="1:14" s="347" customFormat="1" x14ac:dyDescent="0.25">
      <c r="A10318" s="369"/>
      <c r="E10318" s="396"/>
      <c r="F10318" s="396"/>
      <c r="G10318" s="396"/>
      <c r="K10318" s="370"/>
      <c r="N10318" s="370"/>
    </row>
    <row r="10319" spans="1:14" s="347" customFormat="1" x14ac:dyDescent="0.25">
      <c r="A10319" s="369"/>
      <c r="E10319" s="396"/>
      <c r="F10319" s="396"/>
      <c r="G10319" s="396"/>
      <c r="K10319" s="370"/>
      <c r="N10319" s="370"/>
    </row>
    <row r="10320" spans="1:14" s="347" customFormat="1" x14ac:dyDescent="0.25">
      <c r="A10320" s="369"/>
      <c r="E10320" s="396"/>
      <c r="F10320" s="396"/>
      <c r="G10320" s="396"/>
      <c r="K10320" s="370"/>
      <c r="N10320" s="370"/>
    </row>
    <row r="10321" spans="1:14" s="347" customFormat="1" x14ac:dyDescent="0.25">
      <c r="A10321" s="369"/>
      <c r="E10321" s="396"/>
      <c r="F10321" s="396"/>
      <c r="G10321" s="396"/>
      <c r="K10321" s="370"/>
      <c r="N10321" s="370"/>
    </row>
    <row r="10322" spans="1:14" s="347" customFormat="1" x14ac:dyDescent="0.25">
      <c r="A10322" s="369"/>
      <c r="E10322" s="396"/>
      <c r="F10322" s="396"/>
      <c r="G10322" s="396"/>
      <c r="K10322" s="370"/>
      <c r="N10322" s="370"/>
    </row>
    <row r="10323" spans="1:14" s="347" customFormat="1" x14ac:dyDescent="0.25">
      <c r="A10323" s="369"/>
      <c r="E10323" s="396"/>
      <c r="F10323" s="396"/>
      <c r="G10323" s="396"/>
      <c r="K10323" s="370"/>
      <c r="N10323" s="370"/>
    </row>
    <row r="10324" spans="1:14" s="347" customFormat="1" x14ac:dyDescent="0.25">
      <c r="A10324" s="369"/>
      <c r="E10324" s="396"/>
      <c r="F10324" s="396"/>
      <c r="G10324" s="396"/>
      <c r="K10324" s="370"/>
      <c r="N10324" s="370"/>
    </row>
    <row r="10325" spans="1:14" s="347" customFormat="1" x14ac:dyDescent="0.25">
      <c r="A10325" s="369"/>
      <c r="E10325" s="396"/>
      <c r="F10325" s="396"/>
      <c r="G10325" s="396"/>
      <c r="K10325" s="370"/>
      <c r="N10325" s="370"/>
    </row>
    <row r="10326" spans="1:14" s="347" customFormat="1" x14ac:dyDescent="0.25">
      <c r="A10326" s="369"/>
      <c r="E10326" s="396"/>
      <c r="F10326" s="396"/>
      <c r="G10326" s="396"/>
      <c r="K10326" s="370"/>
      <c r="N10326" s="370"/>
    </row>
    <row r="10327" spans="1:14" s="347" customFormat="1" x14ac:dyDescent="0.25">
      <c r="A10327" s="369"/>
      <c r="E10327" s="396"/>
      <c r="F10327" s="396"/>
      <c r="G10327" s="396"/>
      <c r="K10327" s="370"/>
      <c r="N10327" s="370"/>
    </row>
    <row r="10328" spans="1:14" s="347" customFormat="1" x14ac:dyDescent="0.25">
      <c r="A10328" s="369"/>
      <c r="E10328" s="396"/>
      <c r="F10328" s="396"/>
      <c r="G10328" s="396"/>
      <c r="K10328" s="370"/>
      <c r="N10328" s="370"/>
    </row>
    <row r="10329" spans="1:14" s="347" customFormat="1" x14ac:dyDescent="0.25">
      <c r="A10329" s="369"/>
      <c r="E10329" s="396"/>
      <c r="F10329" s="396"/>
      <c r="G10329" s="396"/>
      <c r="K10329" s="370"/>
      <c r="N10329" s="370"/>
    </row>
    <row r="10330" spans="1:14" s="347" customFormat="1" x14ac:dyDescent="0.25">
      <c r="A10330" s="369"/>
      <c r="E10330" s="396"/>
      <c r="F10330" s="396"/>
      <c r="G10330" s="396"/>
      <c r="K10330" s="370"/>
      <c r="N10330" s="370"/>
    </row>
    <row r="10331" spans="1:14" s="347" customFormat="1" x14ac:dyDescent="0.25">
      <c r="A10331" s="369"/>
      <c r="E10331" s="396"/>
      <c r="F10331" s="396"/>
      <c r="G10331" s="396"/>
      <c r="K10331" s="370"/>
      <c r="N10331" s="370"/>
    </row>
    <row r="10332" spans="1:14" s="347" customFormat="1" x14ac:dyDescent="0.25">
      <c r="A10332" s="369"/>
      <c r="E10332" s="396"/>
      <c r="F10332" s="396"/>
      <c r="G10332" s="396"/>
      <c r="K10332" s="370"/>
      <c r="N10332" s="370"/>
    </row>
    <row r="10333" spans="1:14" s="347" customFormat="1" x14ac:dyDescent="0.25">
      <c r="A10333" s="369"/>
      <c r="E10333" s="396"/>
      <c r="F10333" s="396"/>
      <c r="G10333" s="396"/>
      <c r="K10333" s="370"/>
      <c r="N10333" s="370"/>
    </row>
    <row r="10334" spans="1:14" s="347" customFormat="1" x14ac:dyDescent="0.25">
      <c r="A10334" s="369"/>
      <c r="E10334" s="396"/>
      <c r="F10334" s="396"/>
      <c r="G10334" s="396"/>
      <c r="K10334" s="370"/>
      <c r="N10334" s="370"/>
    </row>
    <row r="10335" spans="1:14" s="347" customFormat="1" x14ac:dyDescent="0.25">
      <c r="A10335" s="369"/>
      <c r="E10335" s="396"/>
      <c r="F10335" s="396"/>
      <c r="G10335" s="396"/>
      <c r="K10335" s="370"/>
      <c r="N10335" s="370"/>
    </row>
    <row r="10336" spans="1:14" s="347" customFormat="1" x14ac:dyDescent="0.25">
      <c r="A10336" s="369"/>
      <c r="E10336" s="396"/>
      <c r="F10336" s="396"/>
      <c r="G10336" s="396"/>
      <c r="K10336" s="370"/>
      <c r="N10336" s="370"/>
    </row>
    <row r="10337" spans="1:14" s="347" customFormat="1" x14ac:dyDescent="0.25">
      <c r="A10337" s="369"/>
      <c r="E10337" s="396"/>
      <c r="F10337" s="396"/>
      <c r="G10337" s="396"/>
      <c r="K10337" s="370"/>
      <c r="N10337" s="370"/>
    </row>
    <row r="10338" spans="1:14" s="347" customFormat="1" x14ac:dyDescent="0.25">
      <c r="A10338" s="369"/>
      <c r="E10338" s="396"/>
      <c r="F10338" s="396"/>
      <c r="G10338" s="396"/>
      <c r="K10338" s="370"/>
      <c r="N10338" s="370"/>
    </row>
    <row r="10339" spans="1:14" s="347" customFormat="1" x14ac:dyDescent="0.25">
      <c r="A10339" s="369"/>
      <c r="E10339" s="396"/>
      <c r="F10339" s="396"/>
      <c r="G10339" s="396"/>
      <c r="K10339" s="370"/>
      <c r="N10339" s="370"/>
    </row>
    <row r="10340" spans="1:14" s="347" customFormat="1" x14ac:dyDescent="0.25">
      <c r="A10340" s="369"/>
      <c r="E10340" s="396"/>
      <c r="F10340" s="396"/>
      <c r="G10340" s="396"/>
      <c r="K10340" s="370"/>
      <c r="N10340" s="370"/>
    </row>
    <row r="10341" spans="1:14" s="347" customFormat="1" x14ac:dyDescent="0.25">
      <c r="A10341" s="369"/>
      <c r="E10341" s="396"/>
      <c r="F10341" s="396"/>
      <c r="G10341" s="396"/>
      <c r="K10341" s="370"/>
      <c r="N10341" s="370"/>
    </row>
    <row r="10342" spans="1:14" s="347" customFormat="1" x14ac:dyDescent="0.25">
      <c r="A10342" s="369"/>
      <c r="E10342" s="396"/>
      <c r="F10342" s="396"/>
      <c r="G10342" s="396"/>
      <c r="K10342" s="370"/>
      <c r="N10342" s="370"/>
    </row>
    <row r="10343" spans="1:14" s="347" customFormat="1" x14ac:dyDescent="0.25">
      <c r="A10343" s="369"/>
      <c r="E10343" s="396"/>
      <c r="F10343" s="396"/>
      <c r="G10343" s="396"/>
      <c r="K10343" s="370"/>
      <c r="N10343" s="370"/>
    </row>
    <row r="10344" spans="1:14" s="347" customFormat="1" x14ac:dyDescent="0.25">
      <c r="A10344" s="369"/>
      <c r="E10344" s="396"/>
      <c r="F10344" s="396"/>
      <c r="G10344" s="396"/>
      <c r="K10344" s="370"/>
      <c r="N10344" s="370"/>
    </row>
    <row r="10345" spans="1:14" s="347" customFormat="1" x14ac:dyDescent="0.25">
      <c r="A10345" s="369"/>
      <c r="E10345" s="396"/>
      <c r="F10345" s="396"/>
      <c r="G10345" s="396"/>
      <c r="K10345" s="370"/>
      <c r="N10345" s="370"/>
    </row>
    <row r="10346" spans="1:14" s="347" customFormat="1" x14ac:dyDescent="0.25">
      <c r="A10346" s="369"/>
      <c r="E10346" s="396"/>
      <c r="F10346" s="396"/>
      <c r="G10346" s="396"/>
      <c r="K10346" s="370"/>
      <c r="N10346" s="370"/>
    </row>
    <row r="10347" spans="1:14" s="347" customFormat="1" x14ac:dyDescent="0.25">
      <c r="A10347" s="369"/>
      <c r="E10347" s="396"/>
      <c r="F10347" s="396"/>
      <c r="G10347" s="396"/>
      <c r="K10347" s="370"/>
      <c r="N10347" s="370"/>
    </row>
    <row r="10348" spans="1:14" s="347" customFormat="1" x14ac:dyDescent="0.25">
      <c r="A10348" s="369"/>
      <c r="E10348" s="396"/>
      <c r="F10348" s="396"/>
      <c r="G10348" s="396"/>
      <c r="K10348" s="370"/>
      <c r="N10348" s="370"/>
    </row>
    <row r="10349" spans="1:14" s="347" customFormat="1" x14ac:dyDescent="0.25">
      <c r="A10349" s="369"/>
      <c r="E10349" s="396"/>
      <c r="F10349" s="396"/>
      <c r="G10349" s="396"/>
      <c r="K10349" s="370"/>
      <c r="N10349" s="370"/>
    </row>
    <row r="10350" spans="1:14" s="347" customFormat="1" x14ac:dyDescent="0.25">
      <c r="A10350" s="369"/>
      <c r="E10350" s="396"/>
      <c r="F10350" s="396"/>
      <c r="G10350" s="396"/>
      <c r="K10350" s="370"/>
      <c r="N10350" s="370"/>
    </row>
    <row r="10351" spans="1:14" s="347" customFormat="1" x14ac:dyDescent="0.25">
      <c r="A10351" s="369"/>
      <c r="E10351" s="396"/>
      <c r="F10351" s="396"/>
      <c r="G10351" s="396"/>
      <c r="K10351" s="370"/>
      <c r="N10351" s="370"/>
    </row>
    <row r="10352" spans="1:14" s="347" customFormat="1" x14ac:dyDescent="0.25">
      <c r="A10352" s="369"/>
      <c r="E10352" s="396"/>
      <c r="F10352" s="396"/>
      <c r="G10352" s="396"/>
      <c r="K10352" s="370"/>
      <c r="N10352" s="370"/>
    </row>
    <row r="10353" spans="1:14" s="347" customFormat="1" x14ac:dyDescent="0.25">
      <c r="A10353" s="369"/>
      <c r="E10353" s="396"/>
      <c r="F10353" s="396"/>
      <c r="G10353" s="396"/>
      <c r="K10353" s="370"/>
      <c r="N10353" s="370"/>
    </row>
    <row r="10354" spans="1:14" s="347" customFormat="1" x14ac:dyDescent="0.25">
      <c r="A10354" s="369"/>
      <c r="E10354" s="396"/>
      <c r="F10354" s="396"/>
      <c r="G10354" s="396"/>
      <c r="K10354" s="370"/>
      <c r="N10354" s="370"/>
    </row>
    <row r="10355" spans="1:14" s="347" customFormat="1" x14ac:dyDescent="0.25">
      <c r="A10355" s="369"/>
      <c r="E10355" s="396"/>
      <c r="F10355" s="396"/>
      <c r="G10355" s="396"/>
      <c r="K10355" s="370"/>
      <c r="N10355" s="370"/>
    </row>
    <row r="10356" spans="1:14" s="347" customFormat="1" x14ac:dyDescent="0.25">
      <c r="A10356" s="369"/>
      <c r="E10356" s="396"/>
      <c r="F10356" s="396"/>
      <c r="G10356" s="396"/>
      <c r="K10356" s="370"/>
      <c r="N10356" s="370"/>
    </row>
    <row r="10357" spans="1:14" s="347" customFormat="1" x14ac:dyDescent="0.25">
      <c r="A10357" s="369"/>
      <c r="E10357" s="396"/>
      <c r="F10357" s="396"/>
      <c r="G10357" s="396"/>
      <c r="K10357" s="370"/>
      <c r="N10357" s="370"/>
    </row>
    <row r="10358" spans="1:14" s="347" customFormat="1" x14ac:dyDescent="0.25">
      <c r="A10358" s="369"/>
      <c r="E10358" s="396"/>
      <c r="F10358" s="396"/>
      <c r="G10358" s="396"/>
      <c r="K10358" s="370"/>
      <c r="N10358" s="370"/>
    </row>
    <row r="10359" spans="1:14" s="347" customFormat="1" x14ac:dyDescent="0.25">
      <c r="A10359" s="369"/>
      <c r="E10359" s="396"/>
      <c r="F10359" s="396"/>
      <c r="G10359" s="396"/>
      <c r="K10359" s="370"/>
      <c r="N10359" s="370"/>
    </row>
    <row r="10360" spans="1:14" s="347" customFormat="1" x14ac:dyDescent="0.25">
      <c r="A10360" s="369"/>
      <c r="E10360" s="396"/>
      <c r="F10360" s="396"/>
      <c r="G10360" s="396"/>
      <c r="K10360" s="370"/>
      <c r="N10360" s="370"/>
    </row>
    <row r="10361" spans="1:14" s="347" customFormat="1" x14ac:dyDescent="0.25">
      <c r="A10361" s="369"/>
      <c r="E10361" s="396"/>
      <c r="F10361" s="396"/>
      <c r="G10361" s="396"/>
      <c r="K10361" s="370"/>
      <c r="N10361" s="370"/>
    </row>
    <row r="10362" spans="1:14" s="347" customFormat="1" x14ac:dyDescent="0.25">
      <c r="A10362" s="369"/>
      <c r="E10362" s="396"/>
      <c r="F10362" s="396"/>
      <c r="G10362" s="396"/>
      <c r="K10362" s="370"/>
      <c r="N10362" s="370"/>
    </row>
    <row r="10363" spans="1:14" s="347" customFormat="1" x14ac:dyDescent="0.25">
      <c r="A10363" s="369"/>
      <c r="E10363" s="396"/>
      <c r="F10363" s="396"/>
      <c r="G10363" s="396"/>
      <c r="K10363" s="370"/>
      <c r="N10363" s="370"/>
    </row>
    <row r="10364" spans="1:14" s="347" customFormat="1" x14ac:dyDescent="0.25">
      <c r="A10364" s="369"/>
      <c r="E10364" s="396"/>
      <c r="F10364" s="396"/>
      <c r="G10364" s="396"/>
      <c r="K10364" s="370"/>
      <c r="N10364" s="370"/>
    </row>
    <row r="10365" spans="1:14" s="347" customFormat="1" x14ac:dyDescent="0.25">
      <c r="A10365" s="369"/>
      <c r="E10365" s="396"/>
      <c r="F10365" s="396"/>
      <c r="G10365" s="396"/>
      <c r="K10365" s="370"/>
      <c r="N10365" s="370"/>
    </row>
    <row r="10366" spans="1:14" s="347" customFormat="1" x14ac:dyDescent="0.25">
      <c r="A10366" s="369"/>
      <c r="E10366" s="396"/>
      <c r="F10366" s="396"/>
      <c r="G10366" s="396"/>
      <c r="K10366" s="370"/>
      <c r="N10366" s="370"/>
    </row>
    <row r="10367" spans="1:14" s="347" customFormat="1" x14ac:dyDescent="0.25">
      <c r="A10367" s="369"/>
      <c r="E10367" s="396"/>
      <c r="F10367" s="396"/>
      <c r="G10367" s="396"/>
      <c r="K10367" s="370"/>
      <c r="N10367" s="370"/>
    </row>
    <row r="10368" spans="1:14" s="347" customFormat="1" x14ac:dyDescent="0.25">
      <c r="A10368" s="369"/>
      <c r="E10368" s="396"/>
      <c r="F10368" s="396"/>
      <c r="G10368" s="396"/>
      <c r="K10368" s="370"/>
      <c r="N10368" s="370"/>
    </row>
    <row r="10369" spans="1:14" s="347" customFormat="1" x14ac:dyDescent="0.25">
      <c r="A10369" s="369"/>
      <c r="E10369" s="396"/>
      <c r="F10369" s="396"/>
      <c r="G10369" s="396"/>
      <c r="K10369" s="370"/>
      <c r="N10369" s="370"/>
    </row>
    <row r="10370" spans="1:14" s="347" customFormat="1" x14ac:dyDescent="0.25">
      <c r="A10370" s="369"/>
      <c r="E10370" s="396"/>
      <c r="F10370" s="396"/>
      <c r="G10370" s="396"/>
      <c r="K10370" s="370"/>
      <c r="N10370" s="370"/>
    </row>
    <row r="10371" spans="1:14" s="347" customFormat="1" x14ac:dyDescent="0.25">
      <c r="A10371" s="369"/>
      <c r="E10371" s="396"/>
      <c r="F10371" s="396"/>
      <c r="G10371" s="396"/>
      <c r="K10371" s="370"/>
      <c r="N10371" s="370"/>
    </row>
    <row r="10372" spans="1:14" s="347" customFormat="1" x14ac:dyDescent="0.25">
      <c r="A10372" s="369"/>
      <c r="E10372" s="396"/>
      <c r="F10372" s="396"/>
      <c r="G10372" s="396"/>
      <c r="K10372" s="370"/>
      <c r="N10372" s="370"/>
    </row>
    <row r="10373" spans="1:14" s="347" customFormat="1" x14ac:dyDescent="0.25">
      <c r="A10373" s="369"/>
      <c r="E10373" s="396"/>
      <c r="F10373" s="396"/>
      <c r="G10373" s="396"/>
      <c r="K10373" s="370"/>
      <c r="N10373" s="370"/>
    </row>
    <row r="10374" spans="1:14" s="347" customFormat="1" x14ac:dyDescent="0.25">
      <c r="A10374" s="369"/>
      <c r="E10374" s="396"/>
      <c r="F10374" s="396"/>
      <c r="G10374" s="396"/>
      <c r="K10374" s="370"/>
      <c r="N10374" s="370"/>
    </row>
    <row r="10375" spans="1:14" s="347" customFormat="1" x14ac:dyDescent="0.25">
      <c r="A10375" s="369"/>
      <c r="E10375" s="396"/>
      <c r="F10375" s="396"/>
      <c r="G10375" s="396"/>
      <c r="K10375" s="370"/>
      <c r="N10375" s="370"/>
    </row>
    <row r="10376" spans="1:14" s="347" customFormat="1" x14ac:dyDescent="0.25">
      <c r="A10376" s="369"/>
      <c r="E10376" s="396"/>
      <c r="F10376" s="396"/>
      <c r="G10376" s="396"/>
      <c r="K10376" s="370"/>
      <c r="N10376" s="370"/>
    </row>
    <row r="10377" spans="1:14" s="347" customFormat="1" x14ac:dyDescent="0.25">
      <c r="A10377" s="369"/>
      <c r="E10377" s="396"/>
      <c r="F10377" s="396"/>
      <c r="G10377" s="396"/>
      <c r="K10377" s="370"/>
      <c r="N10377" s="370"/>
    </row>
    <row r="10378" spans="1:14" s="347" customFormat="1" x14ac:dyDescent="0.25">
      <c r="A10378" s="369"/>
      <c r="E10378" s="396"/>
      <c r="F10378" s="396"/>
      <c r="G10378" s="396"/>
      <c r="K10378" s="370"/>
      <c r="N10378" s="370"/>
    </row>
    <row r="10379" spans="1:14" s="347" customFormat="1" x14ac:dyDescent="0.25">
      <c r="A10379" s="369"/>
      <c r="E10379" s="396"/>
      <c r="F10379" s="396"/>
      <c r="G10379" s="396"/>
      <c r="K10379" s="370"/>
      <c r="N10379" s="370"/>
    </row>
    <row r="10380" spans="1:14" s="347" customFormat="1" x14ac:dyDescent="0.25">
      <c r="A10380" s="369"/>
      <c r="E10380" s="396"/>
      <c r="F10380" s="396"/>
      <c r="G10380" s="396"/>
      <c r="K10380" s="370"/>
      <c r="N10380" s="370"/>
    </row>
    <row r="10381" spans="1:14" s="347" customFormat="1" x14ac:dyDescent="0.25">
      <c r="A10381" s="369"/>
      <c r="E10381" s="396"/>
      <c r="F10381" s="396"/>
      <c r="G10381" s="396"/>
      <c r="K10381" s="370"/>
      <c r="N10381" s="370"/>
    </row>
    <row r="10382" spans="1:14" s="347" customFormat="1" x14ac:dyDescent="0.25">
      <c r="A10382" s="369"/>
      <c r="E10382" s="396"/>
      <c r="F10382" s="396"/>
      <c r="G10382" s="396"/>
      <c r="K10382" s="370"/>
      <c r="N10382" s="370"/>
    </row>
    <row r="10383" spans="1:14" s="347" customFormat="1" x14ac:dyDescent="0.25">
      <c r="A10383" s="369"/>
      <c r="E10383" s="396"/>
      <c r="F10383" s="396"/>
      <c r="G10383" s="396"/>
      <c r="K10383" s="370"/>
      <c r="N10383" s="370"/>
    </row>
    <row r="10384" spans="1:14" s="347" customFormat="1" x14ac:dyDescent="0.25">
      <c r="A10384" s="369"/>
      <c r="E10384" s="396"/>
      <c r="F10384" s="396"/>
      <c r="G10384" s="396"/>
      <c r="K10384" s="370"/>
      <c r="N10384" s="370"/>
    </row>
    <row r="10385" spans="1:14" s="347" customFormat="1" x14ac:dyDescent="0.25">
      <c r="A10385" s="369"/>
      <c r="E10385" s="396"/>
      <c r="F10385" s="396"/>
      <c r="G10385" s="396"/>
      <c r="K10385" s="370"/>
      <c r="N10385" s="370"/>
    </row>
    <row r="10386" spans="1:14" s="347" customFormat="1" x14ac:dyDescent="0.25">
      <c r="A10386" s="369"/>
      <c r="E10386" s="396"/>
      <c r="F10386" s="396"/>
      <c r="G10386" s="396"/>
      <c r="K10386" s="370"/>
      <c r="N10386" s="370"/>
    </row>
    <row r="10387" spans="1:14" s="347" customFormat="1" x14ac:dyDescent="0.25">
      <c r="A10387" s="369"/>
      <c r="E10387" s="396"/>
      <c r="F10387" s="396"/>
      <c r="G10387" s="396"/>
      <c r="K10387" s="370"/>
      <c r="N10387" s="370"/>
    </row>
    <row r="10388" spans="1:14" s="347" customFormat="1" x14ac:dyDescent="0.25">
      <c r="A10388" s="369"/>
      <c r="E10388" s="396"/>
      <c r="F10388" s="396"/>
      <c r="G10388" s="396"/>
      <c r="K10388" s="370"/>
      <c r="N10388" s="370"/>
    </row>
    <row r="10389" spans="1:14" s="347" customFormat="1" x14ac:dyDescent="0.25">
      <c r="A10389" s="369"/>
      <c r="E10389" s="396"/>
      <c r="F10389" s="396"/>
      <c r="G10389" s="396"/>
      <c r="K10389" s="370"/>
      <c r="N10389" s="370"/>
    </row>
    <row r="10390" spans="1:14" s="347" customFormat="1" x14ac:dyDescent="0.25">
      <c r="A10390" s="369"/>
      <c r="E10390" s="396"/>
      <c r="F10390" s="396"/>
      <c r="G10390" s="396"/>
      <c r="K10390" s="370"/>
      <c r="N10390" s="370"/>
    </row>
    <row r="10391" spans="1:14" s="347" customFormat="1" x14ac:dyDescent="0.25">
      <c r="A10391" s="369"/>
      <c r="E10391" s="396"/>
      <c r="F10391" s="396"/>
      <c r="G10391" s="396"/>
      <c r="K10391" s="370"/>
      <c r="N10391" s="370"/>
    </row>
    <row r="10392" spans="1:14" s="347" customFormat="1" x14ac:dyDescent="0.25">
      <c r="A10392" s="369"/>
      <c r="E10392" s="396"/>
      <c r="F10392" s="396"/>
      <c r="G10392" s="396"/>
      <c r="K10392" s="370"/>
      <c r="N10392" s="370"/>
    </row>
    <row r="10393" spans="1:14" s="347" customFormat="1" x14ac:dyDescent="0.25">
      <c r="A10393" s="369"/>
      <c r="E10393" s="396"/>
      <c r="F10393" s="396"/>
      <c r="G10393" s="396"/>
      <c r="K10393" s="370"/>
      <c r="N10393" s="370"/>
    </row>
    <row r="10394" spans="1:14" s="347" customFormat="1" x14ac:dyDescent="0.25">
      <c r="A10394" s="369"/>
      <c r="E10394" s="396"/>
      <c r="F10394" s="396"/>
      <c r="G10394" s="396"/>
      <c r="K10394" s="370"/>
      <c r="N10394" s="370"/>
    </row>
    <row r="10395" spans="1:14" s="347" customFormat="1" x14ac:dyDescent="0.25">
      <c r="A10395" s="369"/>
      <c r="E10395" s="396"/>
      <c r="F10395" s="396"/>
      <c r="G10395" s="396"/>
      <c r="K10395" s="370"/>
      <c r="N10395" s="370"/>
    </row>
    <row r="10396" spans="1:14" s="347" customFormat="1" x14ac:dyDescent="0.25">
      <c r="A10396" s="369"/>
      <c r="E10396" s="396"/>
      <c r="F10396" s="396"/>
      <c r="G10396" s="396"/>
      <c r="K10396" s="370"/>
      <c r="N10396" s="370"/>
    </row>
    <row r="10397" spans="1:14" s="347" customFormat="1" x14ac:dyDescent="0.25">
      <c r="A10397" s="369"/>
      <c r="E10397" s="396"/>
      <c r="F10397" s="396"/>
      <c r="G10397" s="396"/>
      <c r="K10397" s="370"/>
      <c r="N10397" s="370"/>
    </row>
    <row r="10398" spans="1:14" s="347" customFormat="1" x14ac:dyDescent="0.25">
      <c r="A10398" s="369"/>
      <c r="E10398" s="396"/>
      <c r="F10398" s="396"/>
      <c r="G10398" s="396"/>
      <c r="K10398" s="370"/>
      <c r="N10398" s="370"/>
    </row>
    <row r="10399" spans="1:14" s="347" customFormat="1" x14ac:dyDescent="0.25">
      <c r="A10399" s="369"/>
      <c r="E10399" s="396"/>
      <c r="F10399" s="396"/>
      <c r="G10399" s="396"/>
      <c r="K10399" s="370"/>
      <c r="N10399" s="370"/>
    </row>
    <row r="10400" spans="1:14" s="347" customFormat="1" x14ac:dyDescent="0.25">
      <c r="A10400" s="369"/>
      <c r="E10400" s="396"/>
      <c r="F10400" s="396"/>
      <c r="G10400" s="396"/>
      <c r="K10400" s="370"/>
      <c r="N10400" s="370"/>
    </row>
    <row r="10401" spans="1:14" s="347" customFormat="1" x14ac:dyDescent="0.25">
      <c r="A10401" s="369"/>
      <c r="E10401" s="396"/>
      <c r="F10401" s="396"/>
      <c r="G10401" s="396"/>
      <c r="K10401" s="370"/>
      <c r="N10401" s="370"/>
    </row>
    <row r="10402" spans="1:14" s="347" customFormat="1" x14ac:dyDescent="0.25">
      <c r="A10402" s="369"/>
      <c r="E10402" s="396"/>
      <c r="F10402" s="396"/>
      <c r="G10402" s="396"/>
      <c r="K10402" s="370"/>
      <c r="N10402" s="370"/>
    </row>
    <row r="10403" spans="1:14" s="347" customFormat="1" x14ac:dyDescent="0.25">
      <c r="A10403" s="369"/>
      <c r="E10403" s="396"/>
      <c r="F10403" s="396"/>
      <c r="G10403" s="396"/>
      <c r="K10403" s="370"/>
      <c r="N10403" s="370"/>
    </row>
    <row r="10404" spans="1:14" s="347" customFormat="1" x14ac:dyDescent="0.25">
      <c r="A10404" s="369"/>
      <c r="E10404" s="396"/>
      <c r="F10404" s="396"/>
      <c r="G10404" s="396"/>
      <c r="K10404" s="370"/>
      <c r="N10404" s="370"/>
    </row>
    <row r="10405" spans="1:14" s="347" customFormat="1" x14ac:dyDescent="0.25">
      <c r="A10405" s="369"/>
      <c r="E10405" s="396"/>
      <c r="F10405" s="396"/>
      <c r="G10405" s="396"/>
      <c r="K10405" s="370"/>
      <c r="N10405" s="370"/>
    </row>
    <row r="10406" spans="1:14" s="347" customFormat="1" x14ac:dyDescent="0.25">
      <c r="A10406" s="369"/>
      <c r="E10406" s="396"/>
      <c r="F10406" s="396"/>
      <c r="G10406" s="396"/>
      <c r="K10406" s="370"/>
      <c r="N10406" s="370"/>
    </row>
    <row r="10407" spans="1:14" s="347" customFormat="1" x14ac:dyDescent="0.25">
      <c r="A10407" s="369"/>
      <c r="E10407" s="396"/>
      <c r="F10407" s="396"/>
      <c r="G10407" s="396"/>
      <c r="K10407" s="370"/>
      <c r="N10407" s="370"/>
    </row>
    <row r="10408" spans="1:14" s="347" customFormat="1" x14ac:dyDescent="0.25">
      <c r="A10408" s="369"/>
      <c r="E10408" s="396"/>
      <c r="F10408" s="396"/>
      <c r="G10408" s="396"/>
      <c r="K10408" s="370"/>
      <c r="N10408" s="370"/>
    </row>
    <row r="10409" spans="1:14" s="347" customFormat="1" x14ac:dyDescent="0.25">
      <c r="A10409" s="369"/>
      <c r="E10409" s="396"/>
      <c r="F10409" s="396"/>
      <c r="G10409" s="396"/>
      <c r="K10409" s="370"/>
      <c r="N10409" s="370"/>
    </row>
    <row r="10410" spans="1:14" s="347" customFormat="1" x14ac:dyDescent="0.25">
      <c r="A10410" s="369"/>
      <c r="E10410" s="396"/>
      <c r="F10410" s="396"/>
      <c r="G10410" s="396"/>
      <c r="K10410" s="370"/>
      <c r="N10410" s="370"/>
    </row>
    <row r="10411" spans="1:14" s="347" customFormat="1" x14ac:dyDescent="0.25">
      <c r="A10411" s="369"/>
      <c r="E10411" s="396"/>
      <c r="F10411" s="396"/>
      <c r="G10411" s="396"/>
      <c r="K10411" s="370"/>
      <c r="N10411" s="370"/>
    </row>
    <row r="10412" spans="1:14" s="347" customFormat="1" x14ac:dyDescent="0.25">
      <c r="A10412" s="369"/>
      <c r="E10412" s="396"/>
      <c r="F10412" s="396"/>
      <c r="G10412" s="396"/>
      <c r="K10412" s="370"/>
      <c r="N10412" s="370"/>
    </row>
    <row r="10413" spans="1:14" s="347" customFormat="1" x14ac:dyDescent="0.25">
      <c r="A10413" s="369"/>
      <c r="E10413" s="396"/>
      <c r="F10413" s="396"/>
      <c r="G10413" s="396"/>
      <c r="K10413" s="370"/>
      <c r="N10413" s="370"/>
    </row>
    <row r="10414" spans="1:14" s="347" customFormat="1" x14ac:dyDescent="0.25">
      <c r="A10414" s="369"/>
      <c r="E10414" s="396"/>
      <c r="F10414" s="396"/>
      <c r="G10414" s="396"/>
      <c r="K10414" s="370"/>
      <c r="N10414" s="370"/>
    </row>
    <row r="10415" spans="1:14" s="347" customFormat="1" x14ac:dyDescent="0.25">
      <c r="A10415" s="369"/>
      <c r="E10415" s="396"/>
      <c r="F10415" s="396"/>
      <c r="G10415" s="396"/>
      <c r="K10415" s="370"/>
      <c r="N10415" s="370"/>
    </row>
    <row r="10416" spans="1:14" s="347" customFormat="1" x14ac:dyDescent="0.25">
      <c r="A10416" s="369"/>
      <c r="E10416" s="396"/>
      <c r="F10416" s="396"/>
      <c r="G10416" s="396"/>
      <c r="K10416" s="370"/>
      <c r="N10416" s="370"/>
    </row>
    <row r="10417" spans="1:14" s="347" customFormat="1" x14ac:dyDescent="0.25">
      <c r="A10417" s="369"/>
      <c r="E10417" s="396"/>
      <c r="F10417" s="396"/>
      <c r="G10417" s="396"/>
      <c r="K10417" s="370"/>
      <c r="N10417" s="370"/>
    </row>
    <row r="10418" spans="1:14" s="347" customFormat="1" x14ac:dyDescent="0.25">
      <c r="A10418" s="369"/>
      <c r="E10418" s="396"/>
      <c r="F10418" s="396"/>
      <c r="G10418" s="396"/>
      <c r="K10418" s="370"/>
      <c r="N10418" s="370"/>
    </row>
    <row r="10419" spans="1:14" s="347" customFormat="1" x14ac:dyDescent="0.25">
      <c r="A10419" s="369"/>
      <c r="E10419" s="396"/>
      <c r="F10419" s="396"/>
      <c r="G10419" s="396"/>
      <c r="K10419" s="370"/>
      <c r="N10419" s="370"/>
    </row>
    <row r="10420" spans="1:14" s="347" customFormat="1" x14ac:dyDescent="0.25">
      <c r="A10420" s="369"/>
      <c r="E10420" s="396"/>
      <c r="F10420" s="396"/>
      <c r="G10420" s="396"/>
      <c r="K10420" s="370"/>
      <c r="N10420" s="370"/>
    </row>
    <row r="10421" spans="1:14" s="347" customFormat="1" x14ac:dyDescent="0.25">
      <c r="A10421" s="369"/>
      <c r="E10421" s="396"/>
      <c r="F10421" s="396"/>
      <c r="G10421" s="396"/>
      <c r="K10421" s="370"/>
      <c r="N10421" s="370"/>
    </row>
    <row r="10422" spans="1:14" s="347" customFormat="1" x14ac:dyDescent="0.25">
      <c r="A10422" s="369"/>
      <c r="E10422" s="396"/>
      <c r="F10422" s="396"/>
      <c r="G10422" s="396"/>
      <c r="K10422" s="370"/>
      <c r="N10422" s="370"/>
    </row>
    <row r="10423" spans="1:14" s="347" customFormat="1" x14ac:dyDescent="0.25">
      <c r="A10423" s="369"/>
      <c r="E10423" s="396"/>
      <c r="F10423" s="396"/>
      <c r="G10423" s="396"/>
      <c r="K10423" s="370"/>
      <c r="N10423" s="370"/>
    </row>
    <row r="10424" spans="1:14" s="347" customFormat="1" x14ac:dyDescent="0.25">
      <c r="A10424" s="369"/>
      <c r="E10424" s="396"/>
      <c r="F10424" s="396"/>
      <c r="G10424" s="396"/>
      <c r="K10424" s="370"/>
      <c r="N10424" s="370"/>
    </row>
    <row r="10425" spans="1:14" s="347" customFormat="1" x14ac:dyDescent="0.25">
      <c r="A10425" s="369"/>
      <c r="E10425" s="396"/>
      <c r="F10425" s="396"/>
      <c r="G10425" s="396"/>
      <c r="K10425" s="370"/>
      <c r="N10425" s="370"/>
    </row>
    <row r="10426" spans="1:14" s="347" customFormat="1" x14ac:dyDescent="0.25">
      <c r="A10426" s="369"/>
      <c r="E10426" s="396"/>
      <c r="F10426" s="396"/>
      <c r="G10426" s="396"/>
      <c r="K10426" s="370"/>
      <c r="N10426" s="370"/>
    </row>
    <row r="10427" spans="1:14" s="347" customFormat="1" x14ac:dyDescent="0.25">
      <c r="A10427" s="369"/>
      <c r="E10427" s="396"/>
      <c r="F10427" s="396"/>
      <c r="G10427" s="396"/>
      <c r="K10427" s="370"/>
      <c r="N10427" s="370"/>
    </row>
    <row r="10428" spans="1:14" s="347" customFormat="1" x14ac:dyDescent="0.25">
      <c r="A10428" s="369"/>
      <c r="E10428" s="396"/>
      <c r="F10428" s="396"/>
      <c r="G10428" s="396"/>
      <c r="K10428" s="370"/>
      <c r="N10428" s="370"/>
    </row>
    <row r="10429" spans="1:14" s="347" customFormat="1" x14ac:dyDescent="0.25">
      <c r="A10429" s="369"/>
      <c r="E10429" s="396"/>
      <c r="F10429" s="396"/>
      <c r="G10429" s="396"/>
      <c r="K10429" s="370"/>
      <c r="N10429" s="370"/>
    </row>
    <row r="10430" spans="1:14" s="347" customFormat="1" x14ac:dyDescent="0.25">
      <c r="A10430" s="369"/>
      <c r="E10430" s="396"/>
      <c r="F10430" s="396"/>
      <c r="G10430" s="396"/>
      <c r="K10430" s="370"/>
      <c r="N10430" s="370"/>
    </row>
    <row r="10431" spans="1:14" s="347" customFormat="1" x14ac:dyDescent="0.25">
      <c r="A10431" s="369"/>
      <c r="E10431" s="396"/>
      <c r="F10431" s="396"/>
      <c r="G10431" s="396"/>
      <c r="K10431" s="370"/>
      <c r="N10431" s="370"/>
    </row>
    <row r="10432" spans="1:14" s="347" customFormat="1" x14ac:dyDescent="0.25">
      <c r="A10432" s="369"/>
      <c r="E10432" s="396"/>
      <c r="F10432" s="396"/>
      <c r="G10432" s="396"/>
      <c r="K10432" s="370"/>
      <c r="N10432" s="370"/>
    </row>
    <row r="10433" spans="1:14" s="347" customFormat="1" x14ac:dyDescent="0.25">
      <c r="A10433" s="369"/>
      <c r="E10433" s="396"/>
      <c r="F10433" s="396"/>
      <c r="G10433" s="396"/>
      <c r="K10433" s="370"/>
      <c r="N10433" s="370"/>
    </row>
    <row r="10434" spans="1:14" s="347" customFormat="1" x14ac:dyDescent="0.25">
      <c r="A10434" s="369"/>
      <c r="E10434" s="396"/>
      <c r="F10434" s="396"/>
      <c r="G10434" s="396"/>
      <c r="K10434" s="370"/>
      <c r="N10434" s="370"/>
    </row>
    <row r="10435" spans="1:14" s="347" customFormat="1" x14ac:dyDescent="0.25">
      <c r="A10435" s="369"/>
      <c r="E10435" s="396"/>
      <c r="F10435" s="396"/>
      <c r="G10435" s="396"/>
      <c r="K10435" s="370"/>
      <c r="N10435" s="370"/>
    </row>
    <row r="10436" spans="1:14" s="347" customFormat="1" x14ac:dyDescent="0.25">
      <c r="A10436" s="369"/>
      <c r="E10436" s="396"/>
      <c r="F10436" s="396"/>
      <c r="G10436" s="396"/>
      <c r="K10436" s="370"/>
      <c r="N10436" s="370"/>
    </row>
    <row r="10437" spans="1:14" s="347" customFormat="1" x14ac:dyDescent="0.25">
      <c r="A10437" s="369"/>
      <c r="E10437" s="396"/>
      <c r="F10437" s="396"/>
      <c r="G10437" s="396"/>
      <c r="K10437" s="370"/>
      <c r="N10437" s="370"/>
    </row>
    <row r="10438" spans="1:14" s="347" customFormat="1" x14ac:dyDescent="0.25">
      <c r="A10438" s="369"/>
      <c r="E10438" s="396"/>
      <c r="F10438" s="396"/>
      <c r="G10438" s="396"/>
      <c r="K10438" s="370"/>
      <c r="N10438" s="370"/>
    </row>
    <row r="10439" spans="1:14" s="347" customFormat="1" x14ac:dyDescent="0.25">
      <c r="A10439" s="369"/>
      <c r="E10439" s="396"/>
      <c r="F10439" s="396"/>
      <c r="G10439" s="396"/>
      <c r="K10439" s="370"/>
      <c r="N10439" s="370"/>
    </row>
    <row r="10440" spans="1:14" s="347" customFormat="1" x14ac:dyDescent="0.25">
      <c r="A10440" s="369"/>
      <c r="E10440" s="396"/>
      <c r="F10440" s="396"/>
      <c r="G10440" s="396"/>
      <c r="K10440" s="370"/>
      <c r="N10440" s="370"/>
    </row>
    <row r="10441" spans="1:14" s="347" customFormat="1" x14ac:dyDescent="0.25">
      <c r="A10441" s="369"/>
      <c r="E10441" s="396"/>
      <c r="F10441" s="396"/>
      <c r="G10441" s="396"/>
      <c r="K10441" s="370"/>
      <c r="N10441" s="370"/>
    </row>
    <row r="10442" spans="1:14" s="347" customFormat="1" x14ac:dyDescent="0.25">
      <c r="A10442" s="369"/>
      <c r="E10442" s="396"/>
      <c r="F10442" s="396"/>
      <c r="G10442" s="396"/>
      <c r="K10442" s="370"/>
      <c r="N10442" s="370"/>
    </row>
    <row r="10443" spans="1:14" s="347" customFormat="1" x14ac:dyDescent="0.25">
      <c r="A10443" s="369"/>
      <c r="E10443" s="396"/>
      <c r="F10443" s="396"/>
      <c r="G10443" s="396"/>
      <c r="K10443" s="370"/>
      <c r="N10443" s="370"/>
    </row>
    <row r="10444" spans="1:14" s="347" customFormat="1" x14ac:dyDescent="0.25">
      <c r="A10444" s="369"/>
      <c r="E10444" s="396"/>
      <c r="F10444" s="396"/>
      <c r="G10444" s="396"/>
      <c r="K10444" s="370"/>
      <c r="N10444" s="370"/>
    </row>
    <row r="10445" spans="1:14" s="347" customFormat="1" x14ac:dyDescent="0.25">
      <c r="A10445" s="369"/>
      <c r="E10445" s="396"/>
      <c r="F10445" s="396"/>
      <c r="G10445" s="396"/>
      <c r="K10445" s="370"/>
      <c r="N10445" s="370"/>
    </row>
    <row r="10446" spans="1:14" s="347" customFormat="1" x14ac:dyDescent="0.25">
      <c r="A10446" s="369"/>
      <c r="E10446" s="396"/>
      <c r="F10446" s="396"/>
      <c r="G10446" s="396"/>
      <c r="K10446" s="370"/>
      <c r="N10446" s="370"/>
    </row>
    <row r="10447" spans="1:14" s="347" customFormat="1" x14ac:dyDescent="0.25">
      <c r="A10447" s="369"/>
      <c r="E10447" s="396"/>
      <c r="F10447" s="396"/>
      <c r="G10447" s="396"/>
      <c r="K10447" s="370"/>
      <c r="N10447" s="370"/>
    </row>
    <row r="10448" spans="1:14" s="347" customFormat="1" x14ac:dyDescent="0.25">
      <c r="A10448" s="369"/>
      <c r="E10448" s="396"/>
      <c r="F10448" s="396"/>
      <c r="G10448" s="396"/>
      <c r="K10448" s="370"/>
      <c r="N10448" s="370"/>
    </row>
    <row r="10449" spans="1:14" s="347" customFormat="1" x14ac:dyDescent="0.25">
      <c r="A10449" s="369"/>
      <c r="E10449" s="396"/>
      <c r="F10449" s="396"/>
      <c r="G10449" s="396"/>
      <c r="K10449" s="370"/>
      <c r="N10449" s="370"/>
    </row>
    <row r="10450" spans="1:14" s="347" customFormat="1" x14ac:dyDescent="0.25">
      <c r="A10450" s="369"/>
      <c r="E10450" s="396"/>
      <c r="F10450" s="396"/>
      <c r="G10450" s="396"/>
      <c r="K10450" s="370"/>
      <c r="N10450" s="370"/>
    </row>
    <row r="10451" spans="1:14" s="347" customFormat="1" x14ac:dyDescent="0.25">
      <c r="A10451" s="369"/>
      <c r="E10451" s="396"/>
      <c r="F10451" s="396"/>
      <c r="G10451" s="396"/>
      <c r="K10451" s="370"/>
      <c r="N10451" s="370"/>
    </row>
    <row r="10452" spans="1:14" s="347" customFormat="1" x14ac:dyDescent="0.25">
      <c r="A10452" s="369"/>
      <c r="E10452" s="396"/>
      <c r="F10452" s="396"/>
      <c r="G10452" s="396"/>
      <c r="K10452" s="370"/>
      <c r="N10452" s="370"/>
    </row>
    <row r="10453" spans="1:14" s="347" customFormat="1" x14ac:dyDescent="0.25">
      <c r="A10453" s="369"/>
      <c r="E10453" s="396"/>
      <c r="F10453" s="396"/>
      <c r="G10453" s="396"/>
      <c r="K10453" s="370"/>
      <c r="N10453" s="370"/>
    </row>
    <row r="10454" spans="1:14" s="347" customFormat="1" x14ac:dyDescent="0.25">
      <c r="A10454" s="369"/>
      <c r="E10454" s="396"/>
      <c r="F10454" s="396"/>
      <c r="G10454" s="396"/>
      <c r="K10454" s="370"/>
      <c r="N10454" s="370"/>
    </row>
    <row r="10455" spans="1:14" s="347" customFormat="1" x14ac:dyDescent="0.25">
      <c r="A10455" s="369"/>
      <c r="E10455" s="396"/>
      <c r="F10455" s="396"/>
      <c r="G10455" s="396"/>
      <c r="K10455" s="370"/>
      <c r="N10455" s="370"/>
    </row>
    <row r="10456" spans="1:14" s="347" customFormat="1" x14ac:dyDescent="0.25">
      <c r="A10456" s="369"/>
      <c r="E10456" s="396"/>
      <c r="F10456" s="396"/>
      <c r="G10456" s="396"/>
      <c r="K10456" s="370"/>
      <c r="N10456" s="370"/>
    </row>
    <row r="10457" spans="1:14" s="347" customFormat="1" x14ac:dyDescent="0.25">
      <c r="A10457" s="369"/>
      <c r="E10457" s="396"/>
      <c r="F10457" s="396"/>
      <c r="G10457" s="396"/>
      <c r="K10457" s="370"/>
      <c r="N10457" s="370"/>
    </row>
    <row r="10458" spans="1:14" s="347" customFormat="1" x14ac:dyDescent="0.25">
      <c r="A10458" s="369"/>
      <c r="E10458" s="396"/>
      <c r="F10458" s="396"/>
      <c r="G10458" s="396"/>
      <c r="K10458" s="370"/>
      <c r="N10458" s="370"/>
    </row>
    <row r="10459" spans="1:14" s="347" customFormat="1" x14ac:dyDescent="0.25">
      <c r="A10459" s="369"/>
      <c r="E10459" s="396"/>
      <c r="F10459" s="396"/>
      <c r="G10459" s="396"/>
      <c r="K10459" s="370"/>
      <c r="N10459" s="370"/>
    </row>
    <row r="10460" spans="1:14" s="347" customFormat="1" x14ac:dyDescent="0.25">
      <c r="A10460" s="369"/>
      <c r="E10460" s="396"/>
      <c r="F10460" s="396"/>
      <c r="G10460" s="396"/>
      <c r="K10460" s="370"/>
      <c r="N10460" s="370"/>
    </row>
    <row r="10461" spans="1:14" s="347" customFormat="1" x14ac:dyDescent="0.25">
      <c r="A10461" s="369"/>
      <c r="E10461" s="396"/>
      <c r="F10461" s="396"/>
      <c r="G10461" s="396"/>
      <c r="K10461" s="370"/>
      <c r="N10461" s="370"/>
    </row>
    <row r="10462" spans="1:14" s="347" customFormat="1" x14ac:dyDescent="0.25">
      <c r="A10462" s="369"/>
      <c r="E10462" s="396"/>
      <c r="F10462" s="396"/>
      <c r="G10462" s="396"/>
      <c r="K10462" s="370"/>
      <c r="N10462" s="370"/>
    </row>
    <row r="10463" spans="1:14" s="347" customFormat="1" x14ac:dyDescent="0.25">
      <c r="A10463" s="369"/>
      <c r="E10463" s="396"/>
      <c r="F10463" s="396"/>
      <c r="G10463" s="396"/>
      <c r="K10463" s="370"/>
      <c r="N10463" s="370"/>
    </row>
    <row r="10464" spans="1:14" s="347" customFormat="1" x14ac:dyDescent="0.25">
      <c r="A10464" s="369"/>
      <c r="E10464" s="396"/>
      <c r="F10464" s="396"/>
      <c r="G10464" s="396"/>
      <c r="K10464" s="370"/>
      <c r="N10464" s="370"/>
    </row>
    <row r="10465" spans="1:14" s="347" customFormat="1" x14ac:dyDescent="0.25">
      <c r="A10465" s="369"/>
      <c r="E10465" s="396"/>
      <c r="F10465" s="396"/>
      <c r="G10465" s="396"/>
      <c r="K10465" s="370"/>
      <c r="N10465" s="370"/>
    </row>
    <row r="10466" spans="1:14" s="347" customFormat="1" x14ac:dyDescent="0.25">
      <c r="A10466" s="369"/>
      <c r="E10466" s="396"/>
      <c r="F10466" s="396"/>
      <c r="G10466" s="396"/>
      <c r="K10466" s="370"/>
      <c r="N10466" s="370"/>
    </row>
    <row r="10467" spans="1:14" s="347" customFormat="1" x14ac:dyDescent="0.25">
      <c r="A10467" s="369"/>
      <c r="E10467" s="396"/>
      <c r="F10467" s="396"/>
      <c r="G10467" s="396"/>
      <c r="K10467" s="370"/>
      <c r="N10467" s="370"/>
    </row>
    <row r="10468" spans="1:14" s="347" customFormat="1" x14ac:dyDescent="0.25">
      <c r="A10468" s="369"/>
      <c r="E10468" s="396"/>
      <c r="F10468" s="396"/>
      <c r="G10468" s="396"/>
      <c r="K10468" s="370"/>
      <c r="N10468" s="370"/>
    </row>
    <row r="10469" spans="1:14" s="347" customFormat="1" x14ac:dyDescent="0.25">
      <c r="A10469" s="369"/>
      <c r="E10469" s="396"/>
      <c r="F10469" s="396"/>
      <c r="G10469" s="396"/>
      <c r="K10469" s="370"/>
      <c r="N10469" s="370"/>
    </row>
    <row r="10470" spans="1:14" s="347" customFormat="1" x14ac:dyDescent="0.25">
      <c r="A10470" s="369"/>
      <c r="E10470" s="396"/>
      <c r="F10470" s="396"/>
      <c r="G10470" s="396"/>
      <c r="K10470" s="370"/>
      <c r="N10470" s="370"/>
    </row>
    <row r="10471" spans="1:14" s="347" customFormat="1" x14ac:dyDescent="0.25">
      <c r="A10471" s="369"/>
      <c r="E10471" s="396"/>
      <c r="F10471" s="396"/>
      <c r="G10471" s="396"/>
      <c r="K10471" s="370"/>
      <c r="N10471" s="370"/>
    </row>
    <row r="10472" spans="1:14" s="347" customFormat="1" x14ac:dyDescent="0.25">
      <c r="A10472" s="369"/>
      <c r="E10472" s="396"/>
      <c r="F10472" s="396"/>
      <c r="G10472" s="396"/>
      <c r="K10472" s="370"/>
      <c r="N10472" s="370"/>
    </row>
    <row r="10473" spans="1:14" s="347" customFormat="1" x14ac:dyDescent="0.25">
      <c r="A10473" s="369"/>
      <c r="E10473" s="396"/>
      <c r="F10473" s="396"/>
      <c r="G10473" s="396"/>
      <c r="K10473" s="370"/>
      <c r="N10473" s="370"/>
    </row>
    <row r="10474" spans="1:14" s="347" customFormat="1" x14ac:dyDescent="0.25">
      <c r="A10474" s="369"/>
      <c r="E10474" s="396"/>
      <c r="F10474" s="396"/>
      <c r="G10474" s="396"/>
      <c r="K10474" s="370"/>
      <c r="N10474" s="370"/>
    </row>
    <row r="10475" spans="1:14" s="347" customFormat="1" x14ac:dyDescent="0.25">
      <c r="A10475" s="369"/>
      <c r="E10475" s="396"/>
      <c r="F10475" s="396"/>
      <c r="G10475" s="396"/>
      <c r="K10475" s="370"/>
      <c r="N10475" s="370"/>
    </row>
    <row r="10476" spans="1:14" s="347" customFormat="1" x14ac:dyDescent="0.25">
      <c r="A10476" s="369"/>
      <c r="E10476" s="396"/>
      <c r="F10476" s="396"/>
      <c r="G10476" s="396"/>
      <c r="K10476" s="370"/>
      <c r="N10476" s="370"/>
    </row>
    <row r="10477" spans="1:14" s="347" customFormat="1" x14ac:dyDescent="0.25">
      <c r="A10477" s="369"/>
      <c r="E10477" s="396"/>
      <c r="F10477" s="396"/>
      <c r="G10477" s="396"/>
      <c r="K10477" s="370"/>
      <c r="N10477" s="370"/>
    </row>
    <row r="10478" spans="1:14" s="347" customFormat="1" x14ac:dyDescent="0.25">
      <c r="A10478" s="369"/>
      <c r="E10478" s="396"/>
      <c r="F10478" s="396"/>
      <c r="G10478" s="396"/>
      <c r="K10478" s="370"/>
      <c r="N10478" s="370"/>
    </row>
    <row r="10479" spans="1:14" s="347" customFormat="1" x14ac:dyDescent="0.25">
      <c r="A10479" s="369"/>
      <c r="E10479" s="396"/>
      <c r="F10479" s="396"/>
      <c r="G10479" s="396"/>
      <c r="K10479" s="370"/>
      <c r="N10479" s="370"/>
    </row>
    <row r="10480" spans="1:14" s="347" customFormat="1" x14ac:dyDescent="0.25">
      <c r="A10480" s="369"/>
      <c r="E10480" s="396"/>
      <c r="F10480" s="396"/>
      <c r="G10480" s="396"/>
      <c r="K10480" s="370"/>
      <c r="N10480" s="370"/>
    </row>
    <row r="10481" spans="1:14" s="347" customFormat="1" x14ac:dyDescent="0.25">
      <c r="A10481" s="369"/>
      <c r="E10481" s="396"/>
      <c r="F10481" s="396"/>
      <c r="G10481" s="396"/>
      <c r="K10481" s="370"/>
      <c r="N10481" s="370"/>
    </row>
    <row r="10482" spans="1:14" s="347" customFormat="1" x14ac:dyDescent="0.25">
      <c r="A10482" s="369"/>
      <c r="E10482" s="396"/>
      <c r="F10482" s="396"/>
      <c r="G10482" s="396"/>
      <c r="K10482" s="370"/>
      <c r="N10482" s="370"/>
    </row>
    <row r="10483" spans="1:14" s="347" customFormat="1" x14ac:dyDescent="0.25">
      <c r="A10483" s="369"/>
      <c r="E10483" s="396"/>
      <c r="F10483" s="396"/>
      <c r="G10483" s="396"/>
      <c r="K10483" s="370"/>
      <c r="N10483" s="370"/>
    </row>
    <row r="10484" spans="1:14" s="347" customFormat="1" x14ac:dyDescent="0.25">
      <c r="A10484" s="369"/>
      <c r="E10484" s="396"/>
      <c r="F10484" s="396"/>
      <c r="G10484" s="396"/>
      <c r="K10484" s="370"/>
      <c r="N10484" s="370"/>
    </row>
    <row r="10485" spans="1:14" s="347" customFormat="1" x14ac:dyDescent="0.25">
      <c r="A10485" s="369"/>
      <c r="E10485" s="396"/>
      <c r="F10485" s="396"/>
      <c r="G10485" s="396"/>
      <c r="K10485" s="370"/>
      <c r="N10485" s="370"/>
    </row>
    <row r="10486" spans="1:14" s="347" customFormat="1" x14ac:dyDescent="0.25">
      <c r="A10486" s="369"/>
      <c r="E10486" s="396"/>
      <c r="F10486" s="396"/>
      <c r="G10486" s="396"/>
      <c r="K10486" s="370"/>
      <c r="N10486" s="370"/>
    </row>
    <row r="10487" spans="1:14" s="347" customFormat="1" x14ac:dyDescent="0.25">
      <c r="A10487" s="369"/>
      <c r="E10487" s="396"/>
      <c r="F10487" s="396"/>
      <c r="G10487" s="396"/>
      <c r="K10487" s="370"/>
      <c r="N10487" s="370"/>
    </row>
    <row r="10488" spans="1:14" s="347" customFormat="1" x14ac:dyDescent="0.25">
      <c r="A10488" s="369"/>
      <c r="E10488" s="396"/>
      <c r="F10488" s="396"/>
      <c r="G10488" s="396"/>
      <c r="K10488" s="370"/>
      <c r="N10488" s="370"/>
    </row>
    <row r="10489" spans="1:14" s="347" customFormat="1" x14ac:dyDescent="0.25">
      <c r="A10489" s="369"/>
      <c r="E10489" s="396"/>
      <c r="F10489" s="396"/>
      <c r="G10489" s="396"/>
      <c r="K10489" s="370"/>
      <c r="N10489" s="370"/>
    </row>
    <row r="10490" spans="1:14" s="347" customFormat="1" x14ac:dyDescent="0.25">
      <c r="A10490" s="369"/>
      <c r="E10490" s="396"/>
      <c r="F10490" s="396"/>
      <c r="G10490" s="396"/>
      <c r="K10490" s="370"/>
      <c r="N10490" s="370"/>
    </row>
    <row r="10491" spans="1:14" s="347" customFormat="1" x14ac:dyDescent="0.25">
      <c r="A10491" s="369"/>
      <c r="E10491" s="396"/>
      <c r="F10491" s="396"/>
      <c r="G10491" s="396"/>
      <c r="K10491" s="370"/>
      <c r="N10491" s="370"/>
    </row>
    <row r="10492" spans="1:14" s="347" customFormat="1" x14ac:dyDescent="0.25">
      <c r="A10492" s="369"/>
      <c r="E10492" s="396"/>
      <c r="F10492" s="396"/>
      <c r="G10492" s="396"/>
      <c r="K10492" s="370"/>
      <c r="N10492" s="370"/>
    </row>
    <row r="10493" spans="1:14" s="347" customFormat="1" x14ac:dyDescent="0.25">
      <c r="A10493" s="369"/>
      <c r="E10493" s="396"/>
      <c r="F10493" s="396"/>
      <c r="G10493" s="396"/>
      <c r="K10493" s="370"/>
      <c r="N10493" s="370"/>
    </row>
    <row r="10494" spans="1:14" s="347" customFormat="1" x14ac:dyDescent="0.25">
      <c r="A10494" s="369"/>
      <c r="E10494" s="396"/>
      <c r="F10494" s="396"/>
      <c r="G10494" s="396"/>
      <c r="K10494" s="370"/>
      <c r="N10494" s="370"/>
    </row>
    <row r="10495" spans="1:14" s="347" customFormat="1" x14ac:dyDescent="0.25">
      <c r="A10495" s="369"/>
      <c r="E10495" s="396"/>
      <c r="F10495" s="396"/>
      <c r="G10495" s="396"/>
      <c r="K10495" s="370"/>
      <c r="N10495" s="370"/>
    </row>
    <row r="10496" spans="1:14" s="347" customFormat="1" x14ac:dyDescent="0.25">
      <c r="A10496" s="369"/>
      <c r="E10496" s="396"/>
      <c r="F10496" s="396"/>
      <c r="G10496" s="396"/>
      <c r="K10496" s="370"/>
      <c r="N10496" s="370"/>
    </row>
    <row r="10497" spans="1:14" s="347" customFormat="1" x14ac:dyDescent="0.25">
      <c r="A10497" s="369"/>
      <c r="E10497" s="396"/>
      <c r="F10497" s="396"/>
      <c r="G10497" s="396"/>
      <c r="K10497" s="370"/>
      <c r="N10497" s="370"/>
    </row>
    <row r="10498" spans="1:14" s="347" customFormat="1" x14ac:dyDescent="0.25">
      <c r="A10498" s="369"/>
      <c r="E10498" s="396"/>
      <c r="F10498" s="396"/>
      <c r="G10498" s="396"/>
      <c r="K10498" s="370"/>
      <c r="N10498" s="370"/>
    </row>
    <row r="10499" spans="1:14" s="347" customFormat="1" x14ac:dyDescent="0.25">
      <c r="A10499" s="369"/>
      <c r="E10499" s="396"/>
      <c r="F10499" s="396"/>
      <c r="G10499" s="396"/>
      <c r="K10499" s="370"/>
      <c r="N10499" s="370"/>
    </row>
    <row r="10500" spans="1:14" s="347" customFormat="1" x14ac:dyDescent="0.25">
      <c r="A10500" s="369"/>
      <c r="E10500" s="396"/>
      <c r="F10500" s="396"/>
      <c r="G10500" s="396"/>
      <c r="K10500" s="370"/>
      <c r="N10500" s="370"/>
    </row>
    <row r="10501" spans="1:14" s="347" customFormat="1" x14ac:dyDescent="0.25">
      <c r="A10501" s="369"/>
      <c r="E10501" s="396"/>
      <c r="F10501" s="396"/>
      <c r="G10501" s="396"/>
      <c r="K10501" s="370"/>
      <c r="N10501" s="370"/>
    </row>
    <row r="10502" spans="1:14" s="347" customFormat="1" x14ac:dyDescent="0.25">
      <c r="A10502" s="369"/>
      <c r="E10502" s="396"/>
      <c r="F10502" s="396"/>
      <c r="G10502" s="396"/>
      <c r="K10502" s="370"/>
      <c r="N10502" s="370"/>
    </row>
    <row r="10503" spans="1:14" s="347" customFormat="1" x14ac:dyDescent="0.25">
      <c r="A10503" s="369"/>
      <c r="E10503" s="396"/>
      <c r="F10503" s="396"/>
      <c r="G10503" s="396"/>
      <c r="K10503" s="370"/>
      <c r="N10503" s="370"/>
    </row>
    <row r="10504" spans="1:14" s="347" customFormat="1" x14ac:dyDescent="0.25">
      <c r="A10504" s="369"/>
      <c r="E10504" s="396"/>
      <c r="F10504" s="396"/>
      <c r="G10504" s="396"/>
      <c r="K10504" s="370"/>
      <c r="N10504" s="370"/>
    </row>
    <row r="10505" spans="1:14" s="347" customFormat="1" x14ac:dyDescent="0.25">
      <c r="A10505" s="369"/>
      <c r="E10505" s="396"/>
      <c r="F10505" s="396"/>
      <c r="G10505" s="396"/>
      <c r="K10505" s="370"/>
      <c r="N10505" s="370"/>
    </row>
    <row r="10506" spans="1:14" s="347" customFormat="1" x14ac:dyDescent="0.25">
      <c r="A10506" s="369"/>
      <c r="E10506" s="396"/>
      <c r="F10506" s="396"/>
      <c r="G10506" s="396"/>
      <c r="K10506" s="370"/>
      <c r="N10506" s="370"/>
    </row>
    <row r="10507" spans="1:14" s="347" customFormat="1" x14ac:dyDescent="0.25">
      <c r="A10507" s="369"/>
      <c r="E10507" s="396"/>
      <c r="F10507" s="396"/>
      <c r="G10507" s="396"/>
      <c r="K10507" s="370"/>
      <c r="N10507" s="370"/>
    </row>
    <row r="10508" spans="1:14" s="347" customFormat="1" x14ac:dyDescent="0.25">
      <c r="A10508" s="369"/>
      <c r="E10508" s="396"/>
      <c r="F10508" s="396"/>
      <c r="G10508" s="396"/>
      <c r="K10508" s="370"/>
      <c r="N10508" s="370"/>
    </row>
    <row r="10509" spans="1:14" s="347" customFormat="1" x14ac:dyDescent="0.25">
      <c r="A10509" s="369"/>
      <c r="E10509" s="396"/>
      <c r="F10509" s="396"/>
      <c r="G10509" s="396"/>
      <c r="K10509" s="370"/>
      <c r="N10509" s="370"/>
    </row>
    <row r="10510" spans="1:14" s="347" customFormat="1" x14ac:dyDescent="0.25">
      <c r="A10510" s="369"/>
      <c r="E10510" s="396"/>
      <c r="F10510" s="396"/>
      <c r="G10510" s="396"/>
      <c r="K10510" s="370"/>
      <c r="N10510" s="370"/>
    </row>
    <row r="10511" spans="1:14" s="347" customFormat="1" x14ac:dyDescent="0.25">
      <c r="A10511" s="369"/>
      <c r="E10511" s="396"/>
      <c r="F10511" s="396"/>
      <c r="G10511" s="396"/>
      <c r="K10511" s="370"/>
      <c r="N10511" s="370"/>
    </row>
    <row r="10512" spans="1:14" s="347" customFormat="1" x14ac:dyDescent="0.25">
      <c r="A10512" s="369"/>
      <c r="E10512" s="396"/>
      <c r="F10512" s="396"/>
      <c r="G10512" s="396"/>
      <c r="K10512" s="370"/>
      <c r="N10512" s="370"/>
    </row>
    <row r="10513" spans="1:14" s="347" customFormat="1" x14ac:dyDescent="0.25">
      <c r="A10513" s="369"/>
      <c r="E10513" s="396"/>
      <c r="F10513" s="396"/>
      <c r="G10513" s="396"/>
      <c r="K10513" s="370"/>
      <c r="N10513" s="370"/>
    </row>
    <row r="10514" spans="1:14" s="347" customFormat="1" x14ac:dyDescent="0.25">
      <c r="A10514" s="369"/>
      <c r="E10514" s="396"/>
      <c r="F10514" s="396"/>
      <c r="G10514" s="396"/>
      <c r="K10514" s="370"/>
      <c r="N10514" s="370"/>
    </row>
    <row r="10515" spans="1:14" s="347" customFormat="1" x14ac:dyDescent="0.25">
      <c r="A10515" s="369"/>
      <c r="E10515" s="396"/>
      <c r="F10515" s="396"/>
      <c r="G10515" s="396"/>
      <c r="K10515" s="370"/>
      <c r="N10515" s="370"/>
    </row>
    <row r="10516" spans="1:14" s="347" customFormat="1" x14ac:dyDescent="0.25">
      <c r="A10516" s="369"/>
      <c r="E10516" s="396"/>
      <c r="F10516" s="396"/>
      <c r="G10516" s="396"/>
      <c r="K10516" s="370"/>
      <c r="N10516" s="370"/>
    </row>
    <row r="10517" spans="1:14" s="347" customFormat="1" x14ac:dyDescent="0.25">
      <c r="A10517" s="369"/>
      <c r="E10517" s="396"/>
      <c r="F10517" s="396"/>
      <c r="G10517" s="396"/>
      <c r="K10517" s="370"/>
      <c r="N10517" s="370"/>
    </row>
    <row r="10518" spans="1:14" s="347" customFormat="1" x14ac:dyDescent="0.25">
      <c r="A10518" s="369"/>
      <c r="E10518" s="396"/>
      <c r="F10518" s="396"/>
      <c r="G10518" s="396"/>
      <c r="K10518" s="370"/>
      <c r="N10518" s="370"/>
    </row>
    <row r="10519" spans="1:14" s="347" customFormat="1" x14ac:dyDescent="0.25">
      <c r="A10519" s="369"/>
      <c r="E10519" s="396"/>
      <c r="F10519" s="396"/>
      <c r="G10519" s="396"/>
      <c r="K10519" s="370"/>
      <c r="N10519" s="370"/>
    </row>
    <row r="10520" spans="1:14" s="347" customFormat="1" x14ac:dyDescent="0.25">
      <c r="A10520" s="369"/>
      <c r="E10520" s="396"/>
      <c r="F10520" s="396"/>
      <c r="G10520" s="396"/>
      <c r="K10520" s="370"/>
      <c r="N10520" s="370"/>
    </row>
    <row r="10521" spans="1:14" s="347" customFormat="1" x14ac:dyDescent="0.25">
      <c r="A10521" s="369"/>
      <c r="E10521" s="396"/>
      <c r="F10521" s="396"/>
      <c r="G10521" s="396"/>
      <c r="K10521" s="370"/>
      <c r="N10521" s="370"/>
    </row>
    <row r="10522" spans="1:14" s="347" customFormat="1" x14ac:dyDescent="0.25">
      <c r="A10522" s="369"/>
      <c r="E10522" s="396"/>
      <c r="F10522" s="396"/>
      <c r="G10522" s="396"/>
      <c r="K10522" s="370"/>
      <c r="N10522" s="370"/>
    </row>
    <row r="10523" spans="1:14" s="347" customFormat="1" x14ac:dyDescent="0.25">
      <c r="A10523" s="369"/>
      <c r="E10523" s="396"/>
      <c r="F10523" s="396"/>
      <c r="G10523" s="396"/>
      <c r="K10523" s="370"/>
      <c r="N10523" s="370"/>
    </row>
    <row r="10524" spans="1:14" s="347" customFormat="1" x14ac:dyDescent="0.25">
      <c r="A10524" s="369"/>
      <c r="E10524" s="396"/>
      <c r="F10524" s="396"/>
      <c r="G10524" s="396"/>
      <c r="K10524" s="370"/>
      <c r="N10524" s="370"/>
    </row>
    <row r="10525" spans="1:14" s="347" customFormat="1" x14ac:dyDescent="0.25">
      <c r="A10525" s="369"/>
      <c r="E10525" s="396"/>
      <c r="F10525" s="396"/>
      <c r="G10525" s="396"/>
      <c r="K10525" s="370"/>
      <c r="N10525" s="370"/>
    </row>
    <row r="10526" spans="1:14" s="347" customFormat="1" x14ac:dyDescent="0.25">
      <c r="A10526" s="369"/>
      <c r="E10526" s="396"/>
      <c r="F10526" s="396"/>
      <c r="G10526" s="396"/>
      <c r="K10526" s="370"/>
      <c r="N10526" s="370"/>
    </row>
    <row r="10527" spans="1:14" s="347" customFormat="1" x14ac:dyDescent="0.25">
      <c r="A10527" s="369"/>
      <c r="E10527" s="396"/>
      <c r="F10527" s="396"/>
      <c r="G10527" s="396"/>
      <c r="K10527" s="370"/>
      <c r="N10527" s="370"/>
    </row>
    <row r="10528" spans="1:14" s="347" customFormat="1" x14ac:dyDescent="0.25">
      <c r="A10528" s="369"/>
      <c r="E10528" s="396"/>
      <c r="F10528" s="396"/>
      <c r="G10528" s="396"/>
      <c r="K10528" s="370"/>
      <c r="N10528" s="370"/>
    </row>
    <row r="10529" spans="1:14" s="347" customFormat="1" x14ac:dyDescent="0.25">
      <c r="A10529" s="369"/>
      <c r="E10529" s="396"/>
      <c r="F10529" s="396"/>
      <c r="G10529" s="396"/>
      <c r="K10529" s="370"/>
      <c r="N10529" s="370"/>
    </row>
    <row r="10530" spans="1:14" s="347" customFormat="1" x14ac:dyDescent="0.25">
      <c r="A10530" s="369"/>
      <c r="E10530" s="396"/>
      <c r="F10530" s="396"/>
      <c r="G10530" s="396"/>
      <c r="K10530" s="370"/>
      <c r="N10530" s="370"/>
    </row>
    <row r="10531" spans="1:14" s="347" customFormat="1" x14ac:dyDescent="0.25">
      <c r="A10531" s="369"/>
      <c r="E10531" s="396"/>
      <c r="F10531" s="396"/>
      <c r="G10531" s="396"/>
      <c r="K10531" s="370"/>
      <c r="N10531" s="370"/>
    </row>
    <row r="10532" spans="1:14" s="347" customFormat="1" x14ac:dyDescent="0.25">
      <c r="A10532" s="369"/>
      <c r="E10532" s="396"/>
      <c r="F10532" s="396"/>
      <c r="G10532" s="396"/>
      <c r="K10532" s="370"/>
      <c r="N10532" s="370"/>
    </row>
    <row r="10533" spans="1:14" s="347" customFormat="1" x14ac:dyDescent="0.25">
      <c r="A10533" s="369"/>
      <c r="E10533" s="396"/>
      <c r="F10533" s="396"/>
      <c r="G10533" s="396"/>
      <c r="K10533" s="370"/>
      <c r="N10533" s="370"/>
    </row>
    <row r="10534" spans="1:14" s="347" customFormat="1" x14ac:dyDescent="0.25">
      <c r="A10534" s="369"/>
      <c r="E10534" s="396"/>
      <c r="F10534" s="396"/>
      <c r="G10534" s="396"/>
      <c r="K10534" s="370"/>
      <c r="N10534" s="370"/>
    </row>
    <row r="10535" spans="1:14" s="347" customFormat="1" x14ac:dyDescent="0.25">
      <c r="A10535" s="369"/>
      <c r="E10535" s="396"/>
      <c r="F10535" s="396"/>
      <c r="G10535" s="396"/>
      <c r="K10535" s="370"/>
      <c r="N10535" s="370"/>
    </row>
    <row r="10536" spans="1:14" s="347" customFormat="1" x14ac:dyDescent="0.25">
      <c r="A10536" s="369"/>
      <c r="E10536" s="396"/>
      <c r="F10536" s="396"/>
      <c r="G10536" s="396"/>
      <c r="K10536" s="370"/>
      <c r="N10536" s="370"/>
    </row>
    <row r="10537" spans="1:14" s="347" customFormat="1" x14ac:dyDescent="0.25">
      <c r="A10537" s="369"/>
      <c r="E10537" s="396"/>
      <c r="F10537" s="396"/>
      <c r="G10537" s="396"/>
      <c r="K10537" s="370"/>
      <c r="N10537" s="370"/>
    </row>
    <row r="10538" spans="1:14" s="347" customFormat="1" x14ac:dyDescent="0.25">
      <c r="A10538" s="369"/>
      <c r="E10538" s="396"/>
      <c r="F10538" s="396"/>
      <c r="G10538" s="396"/>
      <c r="K10538" s="370"/>
      <c r="N10538" s="370"/>
    </row>
    <row r="10539" spans="1:14" s="347" customFormat="1" x14ac:dyDescent="0.25">
      <c r="A10539" s="369"/>
      <c r="E10539" s="396"/>
      <c r="F10539" s="396"/>
      <c r="G10539" s="396"/>
      <c r="K10539" s="370"/>
      <c r="N10539" s="370"/>
    </row>
    <row r="10540" spans="1:14" s="347" customFormat="1" x14ac:dyDescent="0.25">
      <c r="A10540" s="369"/>
      <c r="E10540" s="396"/>
      <c r="F10540" s="396"/>
      <c r="G10540" s="396"/>
      <c r="K10540" s="370"/>
      <c r="N10540" s="370"/>
    </row>
    <row r="10541" spans="1:14" s="347" customFormat="1" x14ac:dyDescent="0.25">
      <c r="A10541" s="369"/>
      <c r="E10541" s="396"/>
      <c r="F10541" s="396"/>
      <c r="G10541" s="396"/>
      <c r="K10541" s="370"/>
      <c r="N10541" s="370"/>
    </row>
    <row r="10542" spans="1:14" s="347" customFormat="1" x14ac:dyDescent="0.25">
      <c r="A10542" s="369"/>
      <c r="E10542" s="396"/>
      <c r="F10542" s="396"/>
      <c r="G10542" s="396"/>
      <c r="K10542" s="370"/>
      <c r="N10542" s="370"/>
    </row>
    <row r="10543" spans="1:14" s="347" customFormat="1" x14ac:dyDescent="0.25">
      <c r="A10543" s="369"/>
      <c r="E10543" s="396"/>
      <c r="F10543" s="396"/>
      <c r="G10543" s="396"/>
      <c r="K10543" s="370"/>
      <c r="N10543" s="370"/>
    </row>
    <row r="10544" spans="1:14" s="347" customFormat="1" x14ac:dyDescent="0.25">
      <c r="A10544" s="369"/>
      <c r="E10544" s="396"/>
      <c r="F10544" s="396"/>
      <c r="G10544" s="396"/>
      <c r="K10544" s="370"/>
      <c r="N10544" s="370"/>
    </row>
    <row r="10545" spans="1:14" s="347" customFormat="1" x14ac:dyDescent="0.25">
      <c r="A10545" s="369"/>
      <c r="E10545" s="396"/>
      <c r="F10545" s="396"/>
      <c r="G10545" s="396"/>
      <c r="K10545" s="370"/>
      <c r="N10545" s="370"/>
    </row>
    <row r="10546" spans="1:14" s="347" customFormat="1" x14ac:dyDescent="0.25">
      <c r="A10546" s="369"/>
      <c r="E10546" s="396"/>
      <c r="F10546" s="396"/>
      <c r="G10546" s="396"/>
      <c r="K10546" s="370"/>
      <c r="N10546" s="370"/>
    </row>
    <row r="10547" spans="1:14" s="347" customFormat="1" x14ac:dyDescent="0.25">
      <c r="A10547" s="369"/>
      <c r="E10547" s="396"/>
      <c r="F10547" s="396"/>
      <c r="G10547" s="396"/>
      <c r="K10547" s="370"/>
      <c r="N10547" s="370"/>
    </row>
    <row r="10548" spans="1:14" s="347" customFormat="1" x14ac:dyDescent="0.25">
      <c r="A10548" s="369"/>
      <c r="E10548" s="396"/>
      <c r="F10548" s="396"/>
      <c r="G10548" s="396"/>
      <c r="K10548" s="370"/>
      <c r="N10548" s="370"/>
    </row>
    <row r="10549" spans="1:14" s="347" customFormat="1" x14ac:dyDescent="0.25">
      <c r="A10549" s="369"/>
      <c r="E10549" s="396"/>
      <c r="F10549" s="396"/>
      <c r="G10549" s="396"/>
      <c r="K10549" s="370"/>
      <c r="N10549" s="370"/>
    </row>
    <row r="10550" spans="1:14" s="347" customFormat="1" x14ac:dyDescent="0.25">
      <c r="A10550" s="369"/>
      <c r="E10550" s="396"/>
      <c r="F10550" s="396"/>
      <c r="G10550" s="396"/>
      <c r="K10550" s="370"/>
      <c r="N10550" s="370"/>
    </row>
    <row r="10551" spans="1:14" s="347" customFormat="1" x14ac:dyDescent="0.25">
      <c r="A10551" s="369"/>
      <c r="E10551" s="396"/>
      <c r="F10551" s="396"/>
      <c r="G10551" s="396"/>
      <c r="K10551" s="370"/>
      <c r="N10551" s="370"/>
    </row>
    <row r="10552" spans="1:14" s="347" customFormat="1" x14ac:dyDescent="0.25">
      <c r="A10552" s="369"/>
      <c r="E10552" s="396"/>
      <c r="F10552" s="396"/>
      <c r="G10552" s="396"/>
      <c r="K10552" s="370"/>
      <c r="N10552" s="370"/>
    </row>
    <row r="10553" spans="1:14" s="347" customFormat="1" x14ac:dyDescent="0.25">
      <c r="A10553" s="369"/>
      <c r="E10553" s="396"/>
      <c r="F10553" s="396"/>
      <c r="G10553" s="396"/>
      <c r="K10553" s="370"/>
      <c r="N10553" s="370"/>
    </row>
    <row r="10554" spans="1:14" s="347" customFormat="1" x14ac:dyDescent="0.25">
      <c r="A10554" s="369"/>
      <c r="E10554" s="396"/>
      <c r="F10554" s="396"/>
      <c r="G10554" s="396"/>
      <c r="K10554" s="370"/>
      <c r="N10554" s="370"/>
    </row>
    <row r="10555" spans="1:14" s="347" customFormat="1" x14ac:dyDescent="0.25">
      <c r="A10555" s="369"/>
      <c r="E10555" s="396"/>
      <c r="F10555" s="396"/>
      <c r="G10555" s="396"/>
      <c r="K10555" s="370"/>
      <c r="N10555" s="370"/>
    </row>
    <row r="10556" spans="1:14" s="347" customFormat="1" x14ac:dyDescent="0.25">
      <c r="A10556" s="369"/>
      <c r="E10556" s="396"/>
      <c r="F10556" s="396"/>
      <c r="G10556" s="396"/>
      <c r="K10556" s="370"/>
      <c r="N10556" s="370"/>
    </row>
    <row r="10557" spans="1:14" s="347" customFormat="1" x14ac:dyDescent="0.25">
      <c r="A10557" s="369"/>
      <c r="E10557" s="396"/>
      <c r="F10557" s="396"/>
      <c r="G10557" s="396"/>
      <c r="K10557" s="370"/>
      <c r="N10557" s="370"/>
    </row>
    <row r="10558" spans="1:14" s="347" customFormat="1" x14ac:dyDescent="0.25">
      <c r="A10558" s="369"/>
      <c r="E10558" s="396"/>
      <c r="F10558" s="396"/>
      <c r="G10558" s="396"/>
      <c r="K10558" s="370"/>
      <c r="N10558" s="370"/>
    </row>
    <row r="10559" spans="1:14" s="347" customFormat="1" x14ac:dyDescent="0.25">
      <c r="A10559" s="369"/>
      <c r="E10559" s="396"/>
      <c r="F10559" s="396"/>
      <c r="G10559" s="396"/>
      <c r="K10559" s="370"/>
      <c r="N10559" s="370"/>
    </row>
    <row r="10560" spans="1:14" s="347" customFormat="1" x14ac:dyDescent="0.25">
      <c r="A10560" s="369"/>
      <c r="E10560" s="396"/>
      <c r="F10560" s="396"/>
      <c r="G10560" s="396"/>
      <c r="K10560" s="370"/>
      <c r="N10560" s="370"/>
    </row>
    <row r="10561" spans="1:14" s="347" customFormat="1" x14ac:dyDescent="0.25">
      <c r="A10561" s="369"/>
      <c r="E10561" s="396"/>
      <c r="F10561" s="396"/>
      <c r="G10561" s="396"/>
      <c r="K10561" s="370"/>
      <c r="N10561" s="370"/>
    </row>
    <row r="10562" spans="1:14" s="347" customFormat="1" x14ac:dyDescent="0.25">
      <c r="A10562" s="369"/>
      <c r="E10562" s="396"/>
      <c r="F10562" s="396"/>
      <c r="G10562" s="396"/>
      <c r="K10562" s="370"/>
      <c r="N10562" s="370"/>
    </row>
    <row r="10563" spans="1:14" s="347" customFormat="1" x14ac:dyDescent="0.25">
      <c r="A10563" s="369"/>
      <c r="E10563" s="396"/>
      <c r="F10563" s="396"/>
      <c r="G10563" s="396"/>
      <c r="K10563" s="370"/>
      <c r="N10563" s="370"/>
    </row>
    <row r="10564" spans="1:14" s="347" customFormat="1" x14ac:dyDescent="0.25">
      <c r="A10564" s="369"/>
      <c r="E10564" s="396"/>
      <c r="F10564" s="396"/>
      <c r="G10564" s="396"/>
      <c r="K10564" s="370"/>
      <c r="N10564" s="370"/>
    </row>
    <row r="10565" spans="1:14" s="347" customFormat="1" x14ac:dyDescent="0.25">
      <c r="A10565" s="369"/>
      <c r="E10565" s="396"/>
      <c r="F10565" s="396"/>
      <c r="G10565" s="396"/>
      <c r="K10565" s="370"/>
      <c r="N10565" s="370"/>
    </row>
    <row r="10566" spans="1:14" s="347" customFormat="1" x14ac:dyDescent="0.25">
      <c r="A10566" s="369"/>
      <c r="E10566" s="396"/>
      <c r="F10566" s="396"/>
      <c r="G10566" s="396"/>
      <c r="K10566" s="370"/>
      <c r="N10566" s="370"/>
    </row>
    <row r="10567" spans="1:14" s="347" customFormat="1" x14ac:dyDescent="0.25">
      <c r="A10567" s="369"/>
      <c r="E10567" s="396"/>
      <c r="F10567" s="396"/>
      <c r="G10567" s="396"/>
      <c r="K10567" s="370"/>
      <c r="N10567" s="370"/>
    </row>
    <row r="10568" spans="1:14" s="347" customFormat="1" x14ac:dyDescent="0.25">
      <c r="A10568" s="369"/>
      <c r="E10568" s="396"/>
      <c r="F10568" s="396"/>
      <c r="G10568" s="396"/>
      <c r="K10568" s="370"/>
      <c r="N10568" s="370"/>
    </row>
    <row r="10569" spans="1:14" s="347" customFormat="1" x14ac:dyDescent="0.25">
      <c r="A10569" s="369"/>
      <c r="E10569" s="396"/>
      <c r="F10569" s="396"/>
      <c r="G10569" s="396"/>
      <c r="K10569" s="370"/>
      <c r="N10569" s="370"/>
    </row>
    <row r="10570" spans="1:14" s="347" customFormat="1" x14ac:dyDescent="0.25">
      <c r="A10570" s="369"/>
      <c r="E10570" s="396"/>
      <c r="F10570" s="396"/>
      <c r="G10570" s="396"/>
      <c r="K10570" s="370"/>
      <c r="N10570" s="370"/>
    </row>
    <row r="10571" spans="1:14" s="347" customFormat="1" x14ac:dyDescent="0.25">
      <c r="A10571" s="369"/>
      <c r="E10571" s="396"/>
      <c r="F10571" s="396"/>
      <c r="G10571" s="396"/>
      <c r="K10571" s="370"/>
      <c r="N10571" s="370"/>
    </row>
    <row r="10572" spans="1:14" s="347" customFormat="1" x14ac:dyDescent="0.25">
      <c r="A10572" s="369"/>
      <c r="E10572" s="396"/>
      <c r="F10572" s="396"/>
      <c r="G10572" s="396"/>
      <c r="K10572" s="370"/>
      <c r="N10572" s="370"/>
    </row>
    <row r="10573" spans="1:14" s="347" customFormat="1" x14ac:dyDescent="0.25">
      <c r="A10573" s="369"/>
      <c r="E10573" s="396"/>
      <c r="F10573" s="396"/>
      <c r="G10573" s="396"/>
      <c r="K10573" s="370"/>
      <c r="N10573" s="370"/>
    </row>
    <row r="10574" spans="1:14" s="347" customFormat="1" x14ac:dyDescent="0.25">
      <c r="A10574" s="369"/>
      <c r="E10574" s="396"/>
      <c r="F10574" s="396"/>
      <c r="G10574" s="396"/>
      <c r="K10574" s="370"/>
      <c r="N10574" s="370"/>
    </row>
    <row r="10575" spans="1:14" s="347" customFormat="1" x14ac:dyDescent="0.25">
      <c r="A10575" s="369"/>
      <c r="E10575" s="396"/>
      <c r="F10575" s="396"/>
      <c r="G10575" s="396"/>
      <c r="K10575" s="370"/>
      <c r="N10575" s="370"/>
    </row>
    <row r="10576" spans="1:14" s="347" customFormat="1" x14ac:dyDescent="0.25">
      <c r="A10576" s="369"/>
      <c r="E10576" s="396"/>
      <c r="F10576" s="396"/>
      <c r="G10576" s="396"/>
      <c r="K10576" s="370"/>
      <c r="N10576" s="370"/>
    </row>
    <row r="10577" spans="1:14" s="347" customFormat="1" x14ac:dyDescent="0.25">
      <c r="A10577" s="369"/>
      <c r="E10577" s="396"/>
      <c r="F10577" s="396"/>
      <c r="G10577" s="396"/>
      <c r="K10577" s="370"/>
      <c r="N10577" s="370"/>
    </row>
    <row r="10578" spans="1:14" s="347" customFormat="1" x14ac:dyDescent="0.25">
      <c r="A10578" s="369"/>
      <c r="E10578" s="396"/>
      <c r="F10578" s="396"/>
      <c r="G10578" s="396"/>
      <c r="K10578" s="370"/>
      <c r="N10578" s="370"/>
    </row>
    <row r="10579" spans="1:14" s="347" customFormat="1" x14ac:dyDescent="0.25">
      <c r="A10579" s="369"/>
      <c r="E10579" s="396"/>
      <c r="F10579" s="396"/>
      <c r="G10579" s="396"/>
      <c r="K10579" s="370"/>
      <c r="N10579" s="370"/>
    </row>
    <row r="10580" spans="1:14" s="347" customFormat="1" x14ac:dyDescent="0.25">
      <c r="A10580" s="369"/>
      <c r="E10580" s="396"/>
      <c r="F10580" s="396"/>
      <c r="G10580" s="396"/>
      <c r="K10580" s="370"/>
      <c r="N10580" s="370"/>
    </row>
    <row r="10581" spans="1:14" s="347" customFormat="1" x14ac:dyDescent="0.25">
      <c r="A10581" s="369"/>
      <c r="E10581" s="396"/>
      <c r="F10581" s="396"/>
      <c r="G10581" s="396"/>
      <c r="K10581" s="370"/>
      <c r="N10581" s="370"/>
    </row>
    <row r="10582" spans="1:14" s="347" customFormat="1" x14ac:dyDescent="0.25">
      <c r="A10582" s="369"/>
      <c r="E10582" s="396"/>
      <c r="F10582" s="396"/>
      <c r="G10582" s="396"/>
      <c r="K10582" s="370"/>
      <c r="N10582" s="370"/>
    </row>
    <row r="10583" spans="1:14" s="347" customFormat="1" x14ac:dyDescent="0.25">
      <c r="A10583" s="369"/>
      <c r="E10583" s="396"/>
      <c r="F10583" s="396"/>
      <c r="G10583" s="396"/>
      <c r="K10583" s="370"/>
      <c r="N10583" s="370"/>
    </row>
    <row r="10584" spans="1:14" s="347" customFormat="1" x14ac:dyDescent="0.25">
      <c r="A10584" s="369"/>
      <c r="E10584" s="396"/>
      <c r="F10584" s="396"/>
      <c r="G10584" s="396"/>
      <c r="K10584" s="370"/>
      <c r="N10584" s="370"/>
    </row>
    <row r="10585" spans="1:14" s="347" customFormat="1" x14ac:dyDescent="0.25">
      <c r="A10585" s="369"/>
      <c r="E10585" s="396"/>
      <c r="F10585" s="396"/>
      <c r="G10585" s="396"/>
      <c r="K10585" s="370"/>
      <c r="N10585" s="370"/>
    </row>
    <row r="10586" spans="1:14" s="347" customFormat="1" x14ac:dyDescent="0.25">
      <c r="A10586" s="369"/>
      <c r="E10586" s="396"/>
      <c r="F10586" s="396"/>
      <c r="G10586" s="396"/>
      <c r="K10586" s="370"/>
      <c r="N10586" s="370"/>
    </row>
    <row r="10587" spans="1:14" s="347" customFormat="1" x14ac:dyDescent="0.25">
      <c r="A10587" s="369"/>
      <c r="E10587" s="396"/>
      <c r="F10587" s="396"/>
      <c r="G10587" s="396"/>
      <c r="K10587" s="370"/>
      <c r="N10587" s="370"/>
    </row>
    <row r="10588" spans="1:14" s="347" customFormat="1" x14ac:dyDescent="0.25">
      <c r="A10588" s="369"/>
      <c r="E10588" s="396"/>
      <c r="F10588" s="396"/>
      <c r="G10588" s="396"/>
      <c r="K10588" s="370"/>
      <c r="N10588" s="370"/>
    </row>
    <row r="10589" spans="1:14" s="347" customFormat="1" x14ac:dyDescent="0.25">
      <c r="A10589" s="369"/>
      <c r="E10589" s="396"/>
      <c r="F10589" s="396"/>
      <c r="G10589" s="396"/>
      <c r="K10589" s="370"/>
      <c r="N10589" s="370"/>
    </row>
    <row r="10590" spans="1:14" s="347" customFormat="1" x14ac:dyDescent="0.25">
      <c r="A10590" s="369"/>
      <c r="E10590" s="396"/>
      <c r="F10590" s="396"/>
      <c r="G10590" s="396"/>
      <c r="K10590" s="370"/>
      <c r="N10590" s="370"/>
    </row>
    <row r="10591" spans="1:14" s="347" customFormat="1" x14ac:dyDescent="0.25">
      <c r="A10591" s="369"/>
      <c r="E10591" s="396"/>
      <c r="F10591" s="396"/>
      <c r="G10591" s="396"/>
      <c r="K10591" s="370"/>
      <c r="N10591" s="370"/>
    </row>
    <row r="10592" spans="1:14" s="347" customFormat="1" x14ac:dyDescent="0.25">
      <c r="A10592" s="369"/>
      <c r="E10592" s="396"/>
      <c r="F10592" s="396"/>
      <c r="G10592" s="396"/>
      <c r="K10592" s="370"/>
      <c r="N10592" s="370"/>
    </row>
    <row r="10593" spans="1:14" s="347" customFormat="1" x14ac:dyDescent="0.25">
      <c r="A10593" s="369"/>
      <c r="E10593" s="396"/>
      <c r="F10593" s="396"/>
      <c r="G10593" s="396"/>
      <c r="K10593" s="370"/>
      <c r="N10593" s="370"/>
    </row>
    <row r="10594" spans="1:14" s="347" customFormat="1" x14ac:dyDescent="0.25">
      <c r="A10594" s="369"/>
      <c r="E10594" s="396"/>
      <c r="F10594" s="396"/>
      <c r="G10594" s="396"/>
      <c r="K10594" s="370"/>
      <c r="N10594" s="370"/>
    </row>
    <row r="10595" spans="1:14" s="347" customFormat="1" x14ac:dyDescent="0.25">
      <c r="A10595" s="369"/>
      <c r="E10595" s="396"/>
      <c r="F10595" s="396"/>
      <c r="G10595" s="396"/>
      <c r="K10595" s="370"/>
      <c r="N10595" s="370"/>
    </row>
    <row r="10596" spans="1:14" s="347" customFormat="1" x14ac:dyDescent="0.25">
      <c r="A10596" s="369"/>
      <c r="E10596" s="396"/>
      <c r="F10596" s="396"/>
      <c r="G10596" s="396"/>
      <c r="K10596" s="370"/>
      <c r="N10596" s="370"/>
    </row>
    <row r="10597" spans="1:14" s="347" customFormat="1" x14ac:dyDescent="0.25">
      <c r="A10597" s="369"/>
      <c r="E10597" s="396"/>
      <c r="F10597" s="396"/>
      <c r="G10597" s="396"/>
      <c r="K10597" s="370"/>
      <c r="N10597" s="370"/>
    </row>
    <row r="10598" spans="1:14" s="347" customFormat="1" x14ac:dyDescent="0.25">
      <c r="A10598" s="369"/>
      <c r="E10598" s="396"/>
      <c r="F10598" s="396"/>
      <c r="G10598" s="396"/>
      <c r="K10598" s="370"/>
      <c r="N10598" s="370"/>
    </row>
    <row r="10599" spans="1:14" s="347" customFormat="1" x14ac:dyDescent="0.25">
      <c r="A10599" s="369"/>
      <c r="E10599" s="396"/>
      <c r="F10599" s="396"/>
      <c r="G10599" s="396"/>
      <c r="K10599" s="370"/>
      <c r="N10599" s="370"/>
    </row>
    <row r="10600" spans="1:14" s="347" customFormat="1" x14ac:dyDescent="0.25">
      <c r="A10600" s="369"/>
      <c r="E10600" s="396"/>
      <c r="F10600" s="396"/>
      <c r="G10600" s="396"/>
      <c r="K10600" s="370"/>
      <c r="N10600" s="370"/>
    </row>
    <row r="10601" spans="1:14" s="347" customFormat="1" x14ac:dyDescent="0.25">
      <c r="A10601" s="369"/>
      <c r="E10601" s="396"/>
      <c r="F10601" s="396"/>
      <c r="G10601" s="396"/>
      <c r="K10601" s="370"/>
      <c r="N10601" s="370"/>
    </row>
    <row r="10602" spans="1:14" s="347" customFormat="1" x14ac:dyDescent="0.25">
      <c r="A10602" s="369"/>
      <c r="E10602" s="396"/>
      <c r="F10602" s="396"/>
      <c r="G10602" s="396"/>
      <c r="K10602" s="370"/>
      <c r="N10602" s="370"/>
    </row>
    <row r="10603" spans="1:14" s="347" customFormat="1" x14ac:dyDescent="0.25">
      <c r="A10603" s="369"/>
      <c r="E10603" s="396"/>
      <c r="F10603" s="396"/>
      <c r="G10603" s="396"/>
      <c r="K10603" s="370"/>
      <c r="N10603" s="370"/>
    </row>
    <row r="10604" spans="1:14" s="347" customFormat="1" x14ac:dyDescent="0.25">
      <c r="A10604" s="369"/>
      <c r="E10604" s="396"/>
      <c r="F10604" s="396"/>
      <c r="G10604" s="396"/>
      <c r="K10604" s="370"/>
      <c r="N10604" s="370"/>
    </row>
    <row r="10605" spans="1:14" s="347" customFormat="1" x14ac:dyDescent="0.25">
      <c r="A10605" s="369"/>
      <c r="E10605" s="396"/>
      <c r="F10605" s="396"/>
      <c r="G10605" s="396"/>
      <c r="K10605" s="370"/>
      <c r="N10605" s="370"/>
    </row>
    <row r="10606" spans="1:14" s="347" customFormat="1" x14ac:dyDescent="0.25">
      <c r="A10606" s="369"/>
      <c r="E10606" s="396"/>
      <c r="F10606" s="396"/>
      <c r="G10606" s="396"/>
      <c r="K10606" s="370"/>
      <c r="N10606" s="370"/>
    </row>
    <row r="10607" spans="1:14" s="347" customFormat="1" x14ac:dyDescent="0.25">
      <c r="A10607" s="369"/>
      <c r="E10607" s="396"/>
      <c r="F10607" s="396"/>
      <c r="G10607" s="396"/>
      <c r="K10607" s="370"/>
      <c r="N10607" s="370"/>
    </row>
    <row r="10608" spans="1:14" s="347" customFormat="1" x14ac:dyDescent="0.25">
      <c r="A10608" s="369"/>
      <c r="E10608" s="396"/>
      <c r="F10608" s="396"/>
      <c r="G10608" s="396"/>
      <c r="K10608" s="370"/>
      <c r="N10608" s="370"/>
    </row>
    <row r="10609" spans="1:14" s="347" customFormat="1" x14ac:dyDescent="0.25">
      <c r="A10609" s="369"/>
      <c r="E10609" s="396"/>
      <c r="F10609" s="396"/>
      <c r="G10609" s="396"/>
      <c r="K10609" s="370"/>
      <c r="N10609" s="370"/>
    </row>
    <row r="10610" spans="1:14" s="347" customFormat="1" x14ac:dyDescent="0.25">
      <c r="A10610" s="369"/>
      <c r="E10610" s="396"/>
      <c r="F10610" s="396"/>
      <c r="G10610" s="396"/>
      <c r="K10610" s="370"/>
      <c r="N10610" s="370"/>
    </row>
    <row r="10611" spans="1:14" s="347" customFormat="1" x14ac:dyDescent="0.25">
      <c r="A10611" s="369"/>
      <c r="E10611" s="396"/>
      <c r="F10611" s="396"/>
      <c r="G10611" s="396"/>
      <c r="K10611" s="370"/>
      <c r="N10611" s="370"/>
    </row>
    <row r="10612" spans="1:14" s="347" customFormat="1" x14ac:dyDescent="0.25">
      <c r="A10612" s="369"/>
      <c r="E10612" s="396"/>
      <c r="F10612" s="396"/>
      <c r="G10612" s="396"/>
      <c r="K10612" s="370"/>
      <c r="N10612" s="370"/>
    </row>
    <row r="10613" spans="1:14" s="347" customFormat="1" x14ac:dyDescent="0.25">
      <c r="A10613" s="369"/>
      <c r="E10613" s="396"/>
      <c r="F10613" s="396"/>
      <c r="G10613" s="396"/>
      <c r="K10613" s="370"/>
      <c r="N10613" s="370"/>
    </row>
    <row r="10614" spans="1:14" s="347" customFormat="1" x14ac:dyDescent="0.25">
      <c r="A10614" s="369"/>
      <c r="E10614" s="396"/>
      <c r="F10614" s="396"/>
      <c r="G10614" s="396"/>
      <c r="K10614" s="370"/>
      <c r="N10614" s="370"/>
    </row>
    <row r="10615" spans="1:14" s="347" customFormat="1" x14ac:dyDescent="0.25">
      <c r="A10615" s="369"/>
      <c r="E10615" s="396"/>
      <c r="F10615" s="396"/>
      <c r="G10615" s="396"/>
      <c r="K10615" s="370"/>
      <c r="N10615" s="370"/>
    </row>
    <row r="10616" spans="1:14" s="347" customFormat="1" x14ac:dyDescent="0.25">
      <c r="A10616" s="369"/>
      <c r="E10616" s="396"/>
      <c r="F10616" s="396"/>
      <c r="G10616" s="396"/>
      <c r="K10616" s="370"/>
      <c r="N10616" s="370"/>
    </row>
    <row r="10617" spans="1:14" s="347" customFormat="1" x14ac:dyDescent="0.25">
      <c r="A10617" s="369"/>
      <c r="E10617" s="396"/>
      <c r="F10617" s="396"/>
      <c r="G10617" s="396"/>
      <c r="K10617" s="370"/>
      <c r="N10617" s="370"/>
    </row>
    <row r="10618" spans="1:14" s="347" customFormat="1" x14ac:dyDescent="0.25">
      <c r="A10618" s="369"/>
      <c r="E10618" s="396"/>
      <c r="F10618" s="396"/>
      <c r="G10618" s="396"/>
      <c r="K10618" s="370"/>
      <c r="N10618" s="370"/>
    </row>
    <row r="10619" spans="1:14" s="347" customFormat="1" x14ac:dyDescent="0.25">
      <c r="A10619" s="369"/>
      <c r="E10619" s="396"/>
      <c r="F10619" s="396"/>
      <c r="G10619" s="396"/>
      <c r="K10619" s="370"/>
      <c r="N10619" s="370"/>
    </row>
    <row r="10620" spans="1:14" s="347" customFormat="1" x14ac:dyDescent="0.25">
      <c r="A10620" s="369"/>
      <c r="E10620" s="396"/>
      <c r="F10620" s="396"/>
      <c r="G10620" s="396"/>
      <c r="K10620" s="370"/>
      <c r="N10620" s="370"/>
    </row>
    <row r="10621" spans="1:14" s="347" customFormat="1" x14ac:dyDescent="0.25">
      <c r="A10621" s="369"/>
      <c r="E10621" s="396"/>
      <c r="F10621" s="396"/>
      <c r="G10621" s="396"/>
      <c r="K10621" s="370"/>
      <c r="N10621" s="370"/>
    </row>
    <row r="10622" spans="1:14" s="347" customFormat="1" x14ac:dyDescent="0.25">
      <c r="A10622" s="369"/>
      <c r="E10622" s="396"/>
      <c r="F10622" s="396"/>
      <c r="G10622" s="396"/>
      <c r="K10622" s="370"/>
      <c r="N10622" s="370"/>
    </row>
    <row r="10623" spans="1:14" s="347" customFormat="1" x14ac:dyDescent="0.25">
      <c r="A10623" s="369"/>
      <c r="E10623" s="396"/>
      <c r="F10623" s="396"/>
      <c r="G10623" s="396"/>
      <c r="K10623" s="370"/>
      <c r="N10623" s="370"/>
    </row>
    <row r="10624" spans="1:14" s="347" customFormat="1" x14ac:dyDescent="0.25">
      <c r="A10624" s="369"/>
      <c r="E10624" s="396"/>
      <c r="F10624" s="396"/>
      <c r="G10624" s="396"/>
      <c r="K10624" s="370"/>
      <c r="N10624" s="370"/>
    </row>
    <row r="10625" spans="1:14" s="347" customFormat="1" x14ac:dyDescent="0.25">
      <c r="A10625" s="369"/>
      <c r="E10625" s="396"/>
      <c r="F10625" s="396"/>
      <c r="G10625" s="396"/>
      <c r="K10625" s="370"/>
      <c r="N10625" s="370"/>
    </row>
    <row r="10626" spans="1:14" s="347" customFormat="1" x14ac:dyDescent="0.25">
      <c r="A10626" s="369"/>
      <c r="E10626" s="396"/>
      <c r="F10626" s="396"/>
      <c r="G10626" s="396"/>
      <c r="K10626" s="370"/>
      <c r="N10626" s="370"/>
    </row>
    <row r="10627" spans="1:14" s="347" customFormat="1" x14ac:dyDescent="0.25">
      <c r="A10627" s="369"/>
      <c r="E10627" s="396"/>
      <c r="F10627" s="396"/>
      <c r="G10627" s="396"/>
      <c r="K10627" s="370"/>
      <c r="N10627" s="370"/>
    </row>
    <row r="10628" spans="1:14" s="347" customFormat="1" x14ac:dyDescent="0.25">
      <c r="A10628" s="369"/>
      <c r="E10628" s="396"/>
      <c r="F10628" s="396"/>
      <c r="G10628" s="396"/>
      <c r="K10628" s="370"/>
      <c r="N10628" s="370"/>
    </row>
    <row r="10629" spans="1:14" s="347" customFormat="1" x14ac:dyDescent="0.25">
      <c r="A10629" s="369"/>
      <c r="E10629" s="396"/>
      <c r="F10629" s="396"/>
      <c r="G10629" s="396"/>
      <c r="K10629" s="370"/>
      <c r="N10629" s="370"/>
    </row>
    <row r="10630" spans="1:14" s="347" customFormat="1" x14ac:dyDescent="0.25">
      <c r="A10630" s="369"/>
      <c r="E10630" s="396"/>
      <c r="F10630" s="396"/>
      <c r="G10630" s="396"/>
      <c r="K10630" s="370"/>
      <c r="N10630" s="370"/>
    </row>
    <row r="10631" spans="1:14" s="347" customFormat="1" x14ac:dyDescent="0.25">
      <c r="A10631" s="369"/>
      <c r="E10631" s="396"/>
      <c r="F10631" s="396"/>
      <c r="G10631" s="396"/>
      <c r="K10631" s="370"/>
      <c r="N10631" s="370"/>
    </row>
    <row r="10632" spans="1:14" s="347" customFormat="1" x14ac:dyDescent="0.25">
      <c r="A10632" s="369"/>
      <c r="E10632" s="396"/>
      <c r="F10632" s="396"/>
      <c r="G10632" s="396"/>
      <c r="K10632" s="370"/>
      <c r="N10632" s="370"/>
    </row>
    <row r="10633" spans="1:14" s="347" customFormat="1" x14ac:dyDescent="0.25">
      <c r="A10633" s="369"/>
      <c r="E10633" s="396"/>
      <c r="F10633" s="396"/>
      <c r="G10633" s="396"/>
      <c r="K10633" s="370"/>
      <c r="N10633" s="370"/>
    </row>
    <row r="10634" spans="1:14" s="347" customFormat="1" x14ac:dyDescent="0.25">
      <c r="A10634" s="369"/>
      <c r="E10634" s="396"/>
      <c r="F10634" s="396"/>
      <c r="G10634" s="396"/>
      <c r="K10634" s="370"/>
      <c r="N10634" s="370"/>
    </row>
    <row r="10635" spans="1:14" s="347" customFormat="1" x14ac:dyDescent="0.25">
      <c r="A10635" s="369"/>
      <c r="E10635" s="396"/>
      <c r="F10635" s="396"/>
      <c r="G10635" s="396"/>
      <c r="K10635" s="370"/>
      <c r="N10635" s="370"/>
    </row>
    <row r="10636" spans="1:14" s="347" customFormat="1" x14ac:dyDescent="0.25">
      <c r="A10636" s="369"/>
      <c r="E10636" s="396"/>
      <c r="F10636" s="396"/>
      <c r="G10636" s="396"/>
      <c r="K10636" s="370"/>
      <c r="N10636" s="370"/>
    </row>
    <row r="10637" spans="1:14" s="347" customFormat="1" x14ac:dyDescent="0.25">
      <c r="A10637" s="369"/>
      <c r="E10637" s="396"/>
      <c r="F10637" s="396"/>
      <c r="G10637" s="396"/>
      <c r="K10637" s="370"/>
      <c r="N10637" s="370"/>
    </row>
    <row r="10638" spans="1:14" s="347" customFormat="1" x14ac:dyDescent="0.25">
      <c r="A10638" s="369"/>
      <c r="E10638" s="396"/>
      <c r="F10638" s="396"/>
      <c r="G10638" s="396"/>
      <c r="K10638" s="370"/>
      <c r="N10638" s="370"/>
    </row>
    <row r="10639" spans="1:14" s="347" customFormat="1" x14ac:dyDescent="0.25">
      <c r="A10639" s="369"/>
      <c r="E10639" s="396"/>
      <c r="F10639" s="396"/>
      <c r="G10639" s="396"/>
      <c r="K10639" s="370"/>
      <c r="N10639" s="370"/>
    </row>
    <row r="10640" spans="1:14" s="347" customFormat="1" x14ac:dyDescent="0.25">
      <c r="A10640" s="369"/>
      <c r="E10640" s="396"/>
      <c r="F10640" s="396"/>
      <c r="G10640" s="396"/>
      <c r="K10640" s="370"/>
      <c r="N10640" s="370"/>
    </row>
    <row r="10641" spans="1:14" s="347" customFormat="1" x14ac:dyDescent="0.25">
      <c r="A10641" s="369"/>
      <c r="E10641" s="396"/>
      <c r="F10641" s="396"/>
      <c r="G10641" s="396"/>
      <c r="K10641" s="370"/>
      <c r="N10641" s="370"/>
    </row>
    <row r="10642" spans="1:14" s="347" customFormat="1" x14ac:dyDescent="0.25">
      <c r="A10642" s="369"/>
      <c r="E10642" s="396"/>
      <c r="F10642" s="396"/>
      <c r="G10642" s="396"/>
      <c r="K10642" s="370"/>
      <c r="N10642" s="370"/>
    </row>
    <row r="10643" spans="1:14" s="347" customFormat="1" x14ac:dyDescent="0.25">
      <c r="A10643" s="369"/>
      <c r="E10643" s="396"/>
      <c r="F10643" s="396"/>
      <c r="G10643" s="396"/>
      <c r="K10643" s="370"/>
      <c r="N10643" s="370"/>
    </row>
    <row r="10644" spans="1:14" s="347" customFormat="1" x14ac:dyDescent="0.25">
      <c r="A10644" s="369"/>
      <c r="E10644" s="396"/>
      <c r="F10644" s="396"/>
      <c r="G10644" s="396"/>
      <c r="K10644" s="370"/>
      <c r="N10644" s="370"/>
    </row>
    <row r="10645" spans="1:14" s="347" customFormat="1" x14ac:dyDescent="0.25">
      <c r="A10645" s="369"/>
      <c r="E10645" s="396"/>
      <c r="F10645" s="396"/>
      <c r="G10645" s="396"/>
      <c r="K10645" s="370"/>
      <c r="N10645" s="370"/>
    </row>
    <row r="10646" spans="1:14" s="347" customFormat="1" x14ac:dyDescent="0.25">
      <c r="A10646" s="369"/>
      <c r="E10646" s="396"/>
      <c r="F10646" s="396"/>
      <c r="G10646" s="396"/>
      <c r="K10646" s="370"/>
      <c r="N10646" s="370"/>
    </row>
    <row r="10647" spans="1:14" s="347" customFormat="1" x14ac:dyDescent="0.25">
      <c r="A10647" s="369"/>
      <c r="E10647" s="396"/>
      <c r="F10647" s="396"/>
      <c r="G10647" s="396"/>
      <c r="K10647" s="370"/>
      <c r="N10647" s="370"/>
    </row>
    <row r="10648" spans="1:14" s="347" customFormat="1" x14ac:dyDescent="0.25">
      <c r="A10648" s="369"/>
      <c r="E10648" s="396"/>
      <c r="F10648" s="396"/>
      <c r="G10648" s="396"/>
      <c r="K10648" s="370"/>
      <c r="N10648" s="370"/>
    </row>
    <row r="10649" spans="1:14" s="347" customFormat="1" x14ac:dyDescent="0.25">
      <c r="A10649" s="369"/>
      <c r="E10649" s="396"/>
      <c r="F10649" s="396"/>
      <c r="G10649" s="396"/>
      <c r="K10649" s="370"/>
      <c r="N10649" s="370"/>
    </row>
    <row r="10650" spans="1:14" s="347" customFormat="1" x14ac:dyDescent="0.25">
      <c r="A10650" s="369"/>
      <c r="E10650" s="396"/>
      <c r="F10650" s="396"/>
      <c r="G10650" s="396"/>
      <c r="K10650" s="370"/>
      <c r="N10650" s="370"/>
    </row>
    <row r="10651" spans="1:14" s="347" customFormat="1" x14ac:dyDescent="0.25">
      <c r="A10651" s="369"/>
      <c r="E10651" s="396"/>
      <c r="F10651" s="396"/>
      <c r="G10651" s="396"/>
      <c r="K10651" s="370"/>
      <c r="N10651" s="370"/>
    </row>
    <row r="10652" spans="1:14" s="347" customFormat="1" x14ac:dyDescent="0.25">
      <c r="A10652" s="369"/>
      <c r="E10652" s="396"/>
      <c r="F10652" s="396"/>
      <c r="G10652" s="396"/>
      <c r="K10652" s="370"/>
      <c r="N10652" s="370"/>
    </row>
    <row r="10653" spans="1:14" s="347" customFormat="1" x14ac:dyDescent="0.25">
      <c r="A10653" s="369"/>
      <c r="E10653" s="396"/>
      <c r="F10653" s="396"/>
      <c r="G10653" s="396"/>
      <c r="K10653" s="370"/>
      <c r="N10653" s="370"/>
    </row>
    <row r="10654" spans="1:14" s="347" customFormat="1" x14ac:dyDescent="0.25">
      <c r="A10654" s="369"/>
      <c r="E10654" s="396"/>
      <c r="F10654" s="396"/>
      <c r="G10654" s="396"/>
      <c r="K10654" s="370"/>
      <c r="N10654" s="370"/>
    </row>
    <row r="10655" spans="1:14" s="347" customFormat="1" x14ac:dyDescent="0.25">
      <c r="A10655" s="369"/>
      <c r="E10655" s="396"/>
      <c r="F10655" s="396"/>
      <c r="G10655" s="396"/>
      <c r="K10655" s="370"/>
      <c r="N10655" s="370"/>
    </row>
    <row r="10656" spans="1:14" s="347" customFormat="1" x14ac:dyDescent="0.25">
      <c r="A10656" s="369"/>
      <c r="E10656" s="396"/>
      <c r="F10656" s="396"/>
      <c r="G10656" s="396"/>
      <c r="K10656" s="370"/>
      <c r="N10656" s="370"/>
    </row>
    <row r="10657" spans="1:14" s="347" customFormat="1" x14ac:dyDescent="0.25">
      <c r="A10657" s="369"/>
      <c r="E10657" s="396"/>
      <c r="F10657" s="396"/>
      <c r="G10657" s="396"/>
      <c r="K10657" s="370"/>
      <c r="N10657" s="370"/>
    </row>
    <row r="10658" spans="1:14" s="347" customFormat="1" x14ac:dyDescent="0.25">
      <c r="A10658" s="369"/>
      <c r="E10658" s="396"/>
      <c r="F10658" s="396"/>
      <c r="G10658" s="396"/>
      <c r="K10658" s="370"/>
      <c r="N10658" s="370"/>
    </row>
    <row r="10659" spans="1:14" s="347" customFormat="1" x14ac:dyDescent="0.25">
      <c r="A10659" s="369"/>
      <c r="E10659" s="396"/>
      <c r="F10659" s="396"/>
      <c r="G10659" s="396"/>
      <c r="K10659" s="370"/>
      <c r="N10659" s="370"/>
    </row>
    <row r="10660" spans="1:14" s="347" customFormat="1" x14ac:dyDescent="0.25">
      <c r="A10660" s="369"/>
      <c r="E10660" s="396"/>
      <c r="F10660" s="396"/>
      <c r="G10660" s="396"/>
      <c r="K10660" s="370"/>
      <c r="N10660" s="370"/>
    </row>
    <row r="10661" spans="1:14" s="347" customFormat="1" x14ac:dyDescent="0.25">
      <c r="A10661" s="369"/>
      <c r="E10661" s="396"/>
      <c r="F10661" s="396"/>
      <c r="G10661" s="396"/>
      <c r="K10661" s="370"/>
      <c r="N10661" s="370"/>
    </row>
    <row r="10662" spans="1:14" s="347" customFormat="1" x14ac:dyDescent="0.25">
      <c r="A10662" s="369"/>
      <c r="E10662" s="396"/>
      <c r="F10662" s="396"/>
      <c r="G10662" s="396"/>
      <c r="K10662" s="370"/>
      <c r="N10662" s="370"/>
    </row>
    <row r="10663" spans="1:14" s="347" customFormat="1" x14ac:dyDescent="0.25">
      <c r="A10663" s="369"/>
      <c r="E10663" s="396"/>
      <c r="F10663" s="396"/>
      <c r="G10663" s="396"/>
      <c r="K10663" s="370"/>
      <c r="N10663" s="370"/>
    </row>
    <row r="10664" spans="1:14" s="347" customFormat="1" x14ac:dyDescent="0.25">
      <c r="A10664" s="369"/>
      <c r="E10664" s="396"/>
      <c r="F10664" s="396"/>
      <c r="G10664" s="396"/>
      <c r="K10664" s="370"/>
      <c r="N10664" s="370"/>
    </row>
    <row r="10665" spans="1:14" s="347" customFormat="1" x14ac:dyDescent="0.25">
      <c r="A10665" s="369"/>
      <c r="E10665" s="396"/>
      <c r="F10665" s="396"/>
      <c r="G10665" s="396"/>
      <c r="K10665" s="370"/>
      <c r="N10665" s="370"/>
    </row>
    <row r="10666" spans="1:14" s="347" customFormat="1" x14ac:dyDescent="0.25">
      <c r="A10666" s="369"/>
      <c r="E10666" s="396"/>
      <c r="F10666" s="396"/>
      <c r="G10666" s="396"/>
      <c r="K10666" s="370"/>
      <c r="N10666" s="370"/>
    </row>
    <row r="10667" spans="1:14" s="347" customFormat="1" x14ac:dyDescent="0.25">
      <c r="A10667" s="369"/>
      <c r="E10667" s="396"/>
      <c r="F10667" s="396"/>
      <c r="G10667" s="396"/>
      <c r="K10667" s="370"/>
      <c r="N10667" s="370"/>
    </row>
    <row r="10668" spans="1:14" s="347" customFormat="1" x14ac:dyDescent="0.25">
      <c r="A10668" s="369"/>
      <c r="E10668" s="396"/>
      <c r="F10668" s="396"/>
      <c r="G10668" s="396"/>
      <c r="K10668" s="370"/>
      <c r="N10668" s="370"/>
    </row>
    <row r="10669" spans="1:14" s="347" customFormat="1" x14ac:dyDescent="0.25">
      <c r="A10669" s="369"/>
      <c r="E10669" s="396"/>
      <c r="F10669" s="396"/>
      <c r="G10669" s="396"/>
      <c r="K10669" s="370"/>
      <c r="N10669" s="370"/>
    </row>
    <row r="10670" spans="1:14" s="347" customFormat="1" x14ac:dyDescent="0.25">
      <c r="A10670" s="369"/>
      <c r="E10670" s="396"/>
      <c r="F10670" s="396"/>
      <c r="G10670" s="396"/>
      <c r="K10670" s="370"/>
      <c r="N10670" s="370"/>
    </row>
    <row r="10671" spans="1:14" s="347" customFormat="1" x14ac:dyDescent="0.25">
      <c r="A10671" s="369"/>
      <c r="E10671" s="396"/>
      <c r="F10671" s="396"/>
      <c r="G10671" s="396"/>
      <c r="K10671" s="370"/>
      <c r="N10671" s="370"/>
    </row>
    <row r="10672" spans="1:14" s="347" customFormat="1" x14ac:dyDescent="0.25">
      <c r="A10672" s="369"/>
      <c r="E10672" s="396"/>
      <c r="F10672" s="396"/>
      <c r="G10672" s="396"/>
      <c r="K10672" s="370"/>
      <c r="N10672" s="370"/>
    </row>
    <row r="10673" spans="1:14" s="347" customFormat="1" x14ac:dyDescent="0.25">
      <c r="A10673" s="369"/>
      <c r="E10673" s="396"/>
      <c r="F10673" s="396"/>
      <c r="G10673" s="396"/>
      <c r="K10673" s="370"/>
      <c r="N10673" s="370"/>
    </row>
    <row r="10674" spans="1:14" s="347" customFormat="1" x14ac:dyDescent="0.25">
      <c r="A10674" s="369"/>
      <c r="E10674" s="396"/>
      <c r="F10674" s="396"/>
      <c r="G10674" s="396"/>
      <c r="K10674" s="370"/>
      <c r="N10674" s="370"/>
    </row>
    <row r="10675" spans="1:14" s="347" customFormat="1" x14ac:dyDescent="0.25">
      <c r="A10675" s="369"/>
      <c r="E10675" s="396"/>
      <c r="F10675" s="396"/>
      <c r="G10675" s="396"/>
      <c r="K10675" s="370"/>
      <c r="N10675" s="370"/>
    </row>
    <row r="10676" spans="1:14" s="347" customFormat="1" x14ac:dyDescent="0.25">
      <c r="A10676" s="369"/>
      <c r="E10676" s="396"/>
      <c r="F10676" s="396"/>
      <c r="G10676" s="396"/>
      <c r="K10676" s="370"/>
      <c r="N10676" s="370"/>
    </row>
    <row r="10677" spans="1:14" s="347" customFormat="1" x14ac:dyDescent="0.25">
      <c r="A10677" s="369"/>
      <c r="E10677" s="396"/>
      <c r="F10677" s="396"/>
      <c r="G10677" s="396"/>
      <c r="K10677" s="370"/>
      <c r="N10677" s="370"/>
    </row>
    <row r="10678" spans="1:14" s="347" customFormat="1" x14ac:dyDescent="0.25">
      <c r="A10678" s="369"/>
      <c r="E10678" s="396"/>
      <c r="F10678" s="396"/>
      <c r="G10678" s="396"/>
      <c r="K10678" s="370"/>
      <c r="N10678" s="370"/>
    </row>
    <row r="10679" spans="1:14" s="347" customFormat="1" x14ac:dyDescent="0.25">
      <c r="A10679" s="369"/>
      <c r="E10679" s="396"/>
      <c r="F10679" s="396"/>
      <c r="G10679" s="396"/>
      <c r="K10679" s="370"/>
      <c r="N10679" s="370"/>
    </row>
    <row r="10680" spans="1:14" s="347" customFormat="1" x14ac:dyDescent="0.25">
      <c r="A10680" s="369"/>
      <c r="E10680" s="396"/>
      <c r="F10680" s="396"/>
      <c r="G10680" s="396"/>
      <c r="K10680" s="370"/>
      <c r="N10680" s="370"/>
    </row>
    <row r="10681" spans="1:14" s="347" customFormat="1" x14ac:dyDescent="0.25">
      <c r="A10681" s="369"/>
      <c r="E10681" s="396"/>
      <c r="F10681" s="396"/>
      <c r="G10681" s="396"/>
      <c r="K10681" s="370"/>
      <c r="N10681" s="370"/>
    </row>
    <row r="10682" spans="1:14" s="347" customFormat="1" x14ac:dyDescent="0.25">
      <c r="A10682" s="369"/>
      <c r="E10682" s="396"/>
      <c r="F10682" s="396"/>
      <c r="G10682" s="396"/>
      <c r="K10682" s="370"/>
      <c r="N10682" s="370"/>
    </row>
    <row r="10683" spans="1:14" s="347" customFormat="1" x14ac:dyDescent="0.25">
      <c r="A10683" s="369"/>
      <c r="E10683" s="396"/>
      <c r="F10683" s="396"/>
      <c r="G10683" s="396"/>
      <c r="K10683" s="370"/>
      <c r="N10683" s="370"/>
    </row>
    <row r="10684" spans="1:14" s="347" customFormat="1" x14ac:dyDescent="0.25">
      <c r="A10684" s="369"/>
      <c r="E10684" s="396"/>
      <c r="F10684" s="396"/>
      <c r="G10684" s="396"/>
      <c r="K10684" s="370"/>
      <c r="N10684" s="370"/>
    </row>
    <row r="10685" spans="1:14" s="347" customFormat="1" x14ac:dyDescent="0.25">
      <c r="A10685" s="369"/>
      <c r="E10685" s="396"/>
      <c r="F10685" s="396"/>
      <c r="G10685" s="396"/>
      <c r="K10685" s="370"/>
      <c r="N10685" s="370"/>
    </row>
    <row r="10686" spans="1:14" s="347" customFormat="1" x14ac:dyDescent="0.25">
      <c r="A10686" s="369"/>
      <c r="E10686" s="396"/>
      <c r="F10686" s="396"/>
      <c r="G10686" s="396"/>
      <c r="K10686" s="370"/>
      <c r="N10686" s="370"/>
    </row>
    <row r="10687" spans="1:14" s="347" customFormat="1" x14ac:dyDescent="0.25">
      <c r="A10687" s="369"/>
      <c r="E10687" s="396"/>
      <c r="F10687" s="396"/>
      <c r="G10687" s="396"/>
      <c r="K10687" s="370"/>
      <c r="N10687" s="370"/>
    </row>
    <row r="10688" spans="1:14" s="347" customFormat="1" x14ac:dyDescent="0.25">
      <c r="A10688" s="369"/>
      <c r="E10688" s="396"/>
      <c r="F10688" s="396"/>
      <c r="G10688" s="396"/>
      <c r="K10688" s="370"/>
      <c r="N10688" s="370"/>
    </row>
    <row r="10689" spans="1:14" s="347" customFormat="1" x14ac:dyDescent="0.25">
      <c r="A10689" s="369"/>
      <c r="E10689" s="396"/>
      <c r="F10689" s="396"/>
      <c r="G10689" s="396"/>
      <c r="K10689" s="370"/>
      <c r="N10689" s="370"/>
    </row>
    <row r="10690" spans="1:14" s="347" customFormat="1" x14ac:dyDescent="0.25">
      <c r="A10690" s="369"/>
      <c r="E10690" s="396"/>
      <c r="F10690" s="396"/>
      <c r="G10690" s="396"/>
      <c r="K10690" s="370"/>
      <c r="N10690" s="370"/>
    </row>
    <row r="10691" spans="1:14" s="347" customFormat="1" x14ac:dyDescent="0.25">
      <c r="A10691" s="369"/>
      <c r="E10691" s="396"/>
      <c r="F10691" s="396"/>
      <c r="G10691" s="396"/>
      <c r="K10691" s="370"/>
      <c r="N10691" s="370"/>
    </row>
    <row r="10692" spans="1:14" s="347" customFormat="1" x14ac:dyDescent="0.25">
      <c r="A10692" s="369"/>
      <c r="E10692" s="396"/>
      <c r="F10692" s="396"/>
      <c r="G10692" s="396"/>
      <c r="K10692" s="370"/>
      <c r="N10692" s="370"/>
    </row>
    <row r="10693" spans="1:14" s="347" customFormat="1" x14ac:dyDescent="0.25">
      <c r="A10693" s="369"/>
      <c r="E10693" s="396"/>
      <c r="F10693" s="396"/>
      <c r="G10693" s="396"/>
      <c r="K10693" s="370"/>
      <c r="N10693" s="370"/>
    </row>
    <row r="10694" spans="1:14" s="347" customFormat="1" x14ac:dyDescent="0.25">
      <c r="A10694" s="369"/>
      <c r="E10694" s="396"/>
      <c r="F10694" s="396"/>
      <c r="G10694" s="396"/>
      <c r="K10694" s="370"/>
      <c r="N10694" s="370"/>
    </row>
    <row r="10695" spans="1:14" s="347" customFormat="1" x14ac:dyDescent="0.25">
      <c r="A10695" s="369"/>
      <c r="E10695" s="396"/>
      <c r="F10695" s="396"/>
      <c r="G10695" s="396"/>
      <c r="K10695" s="370"/>
      <c r="N10695" s="370"/>
    </row>
    <row r="10696" spans="1:14" s="347" customFormat="1" x14ac:dyDescent="0.25">
      <c r="A10696" s="369"/>
      <c r="E10696" s="396"/>
      <c r="F10696" s="396"/>
      <c r="G10696" s="396"/>
      <c r="K10696" s="370"/>
      <c r="N10696" s="370"/>
    </row>
    <row r="10697" spans="1:14" s="347" customFormat="1" x14ac:dyDescent="0.25">
      <c r="A10697" s="369"/>
      <c r="E10697" s="396"/>
      <c r="F10697" s="396"/>
      <c r="G10697" s="396"/>
      <c r="K10697" s="370"/>
      <c r="N10697" s="370"/>
    </row>
    <row r="10698" spans="1:14" s="347" customFormat="1" x14ac:dyDescent="0.25">
      <c r="A10698" s="369"/>
      <c r="E10698" s="396"/>
      <c r="F10698" s="396"/>
      <c r="G10698" s="396"/>
      <c r="K10698" s="370"/>
      <c r="N10698" s="370"/>
    </row>
    <row r="10699" spans="1:14" s="347" customFormat="1" x14ac:dyDescent="0.25">
      <c r="A10699" s="369"/>
      <c r="E10699" s="396"/>
      <c r="F10699" s="396"/>
      <c r="G10699" s="396"/>
      <c r="K10699" s="370"/>
      <c r="N10699" s="370"/>
    </row>
    <row r="10700" spans="1:14" s="347" customFormat="1" x14ac:dyDescent="0.25">
      <c r="A10700" s="369"/>
      <c r="E10700" s="396"/>
      <c r="F10700" s="396"/>
      <c r="G10700" s="396"/>
      <c r="K10700" s="370"/>
      <c r="N10700" s="370"/>
    </row>
    <row r="10701" spans="1:14" s="347" customFormat="1" x14ac:dyDescent="0.25">
      <c r="A10701" s="369"/>
      <c r="E10701" s="396"/>
      <c r="F10701" s="396"/>
      <c r="G10701" s="396"/>
      <c r="K10701" s="370"/>
      <c r="N10701" s="370"/>
    </row>
    <row r="10702" spans="1:14" s="347" customFormat="1" x14ac:dyDescent="0.25">
      <c r="A10702" s="369"/>
      <c r="E10702" s="396"/>
      <c r="F10702" s="396"/>
      <c r="G10702" s="396"/>
      <c r="K10702" s="370"/>
      <c r="N10702" s="370"/>
    </row>
    <row r="10703" spans="1:14" s="347" customFormat="1" x14ac:dyDescent="0.25">
      <c r="A10703" s="369"/>
      <c r="E10703" s="396"/>
      <c r="F10703" s="396"/>
      <c r="G10703" s="396"/>
      <c r="K10703" s="370"/>
      <c r="N10703" s="370"/>
    </row>
    <row r="10704" spans="1:14" s="347" customFormat="1" x14ac:dyDescent="0.25">
      <c r="A10704" s="369"/>
      <c r="E10704" s="396"/>
      <c r="F10704" s="396"/>
      <c r="G10704" s="396"/>
      <c r="K10704" s="370"/>
      <c r="N10704" s="370"/>
    </row>
    <row r="10705" spans="1:14" s="347" customFormat="1" x14ac:dyDescent="0.25">
      <c r="A10705" s="369"/>
      <c r="E10705" s="396"/>
      <c r="F10705" s="396"/>
      <c r="G10705" s="396"/>
      <c r="K10705" s="370"/>
      <c r="N10705" s="370"/>
    </row>
    <row r="10706" spans="1:14" s="347" customFormat="1" x14ac:dyDescent="0.25">
      <c r="A10706" s="369"/>
      <c r="E10706" s="396"/>
      <c r="F10706" s="396"/>
      <c r="G10706" s="396"/>
      <c r="K10706" s="370"/>
      <c r="N10706" s="370"/>
    </row>
    <row r="10707" spans="1:14" s="347" customFormat="1" x14ac:dyDescent="0.25">
      <c r="A10707" s="369"/>
      <c r="E10707" s="396"/>
      <c r="F10707" s="396"/>
      <c r="G10707" s="396"/>
      <c r="K10707" s="370"/>
      <c r="N10707" s="370"/>
    </row>
    <row r="10708" spans="1:14" s="347" customFormat="1" x14ac:dyDescent="0.25">
      <c r="A10708" s="369"/>
      <c r="E10708" s="396"/>
      <c r="F10708" s="396"/>
      <c r="G10708" s="396"/>
      <c r="K10708" s="370"/>
      <c r="N10708" s="370"/>
    </row>
    <row r="10709" spans="1:14" s="347" customFormat="1" x14ac:dyDescent="0.25">
      <c r="A10709" s="369"/>
      <c r="E10709" s="396"/>
      <c r="F10709" s="396"/>
      <c r="G10709" s="396"/>
      <c r="K10709" s="370"/>
      <c r="N10709" s="370"/>
    </row>
    <row r="10710" spans="1:14" s="347" customFormat="1" x14ac:dyDescent="0.25">
      <c r="A10710" s="369"/>
      <c r="E10710" s="396"/>
      <c r="F10710" s="396"/>
      <c r="G10710" s="396"/>
      <c r="K10710" s="370"/>
      <c r="N10710" s="370"/>
    </row>
    <row r="10711" spans="1:14" s="347" customFormat="1" x14ac:dyDescent="0.25">
      <c r="A10711" s="369"/>
      <c r="E10711" s="396"/>
      <c r="F10711" s="396"/>
      <c r="G10711" s="396"/>
      <c r="K10711" s="370"/>
      <c r="N10711" s="370"/>
    </row>
    <row r="10712" spans="1:14" s="347" customFormat="1" x14ac:dyDescent="0.25">
      <c r="A10712" s="369"/>
      <c r="E10712" s="396"/>
      <c r="F10712" s="396"/>
      <c r="G10712" s="396"/>
      <c r="K10712" s="370"/>
      <c r="N10712" s="370"/>
    </row>
    <row r="10713" spans="1:14" s="347" customFormat="1" x14ac:dyDescent="0.25">
      <c r="A10713" s="369"/>
      <c r="E10713" s="396"/>
      <c r="F10713" s="396"/>
      <c r="G10713" s="396"/>
      <c r="K10713" s="370"/>
      <c r="N10713" s="370"/>
    </row>
    <row r="10714" spans="1:14" s="347" customFormat="1" x14ac:dyDescent="0.25">
      <c r="A10714" s="369"/>
      <c r="E10714" s="396"/>
      <c r="F10714" s="396"/>
      <c r="G10714" s="396"/>
      <c r="K10714" s="370"/>
      <c r="N10714" s="370"/>
    </row>
    <row r="10715" spans="1:14" s="347" customFormat="1" x14ac:dyDescent="0.25">
      <c r="A10715" s="369"/>
      <c r="E10715" s="396"/>
      <c r="F10715" s="396"/>
      <c r="G10715" s="396"/>
      <c r="K10715" s="370"/>
      <c r="N10715" s="370"/>
    </row>
    <row r="10716" spans="1:14" s="347" customFormat="1" x14ac:dyDescent="0.25">
      <c r="A10716" s="369"/>
      <c r="E10716" s="396"/>
      <c r="F10716" s="396"/>
      <c r="G10716" s="396"/>
      <c r="K10716" s="370"/>
      <c r="N10716" s="370"/>
    </row>
    <row r="10717" spans="1:14" s="347" customFormat="1" x14ac:dyDescent="0.25">
      <c r="A10717" s="369"/>
      <c r="E10717" s="396"/>
      <c r="F10717" s="396"/>
      <c r="G10717" s="396"/>
      <c r="K10717" s="370"/>
      <c r="N10717" s="370"/>
    </row>
    <row r="10718" spans="1:14" s="347" customFormat="1" x14ac:dyDescent="0.25">
      <c r="A10718" s="369"/>
      <c r="E10718" s="396"/>
      <c r="F10718" s="396"/>
      <c r="G10718" s="396"/>
      <c r="K10718" s="370"/>
      <c r="N10718" s="370"/>
    </row>
    <row r="10719" spans="1:14" s="347" customFormat="1" x14ac:dyDescent="0.25">
      <c r="A10719" s="369"/>
      <c r="E10719" s="396"/>
      <c r="F10719" s="396"/>
      <c r="G10719" s="396"/>
      <c r="K10719" s="370"/>
      <c r="N10719" s="370"/>
    </row>
    <row r="10720" spans="1:14" s="347" customFormat="1" x14ac:dyDescent="0.25">
      <c r="A10720" s="369"/>
      <c r="E10720" s="396"/>
      <c r="F10720" s="396"/>
      <c r="G10720" s="396"/>
      <c r="K10720" s="370"/>
      <c r="N10720" s="370"/>
    </row>
    <row r="10721" spans="1:14" s="347" customFormat="1" x14ac:dyDescent="0.25">
      <c r="A10721" s="369"/>
      <c r="E10721" s="396"/>
      <c r="F10721" s="396"/>
      <c r="G10721" s="396"/>
      <c r="K10721" s="370"/>
      <c r="N10721" s="370"/>
    </row>
    <row r="10722" spans="1:14" s="347" customFormat="1" x14ac:dyDescent="0.25">
      <c r="A10722" s="369"/>
      <c r="E10722" s="396"/>
      <c r="F10722" s="396"/>
      <c r="G10722" s="396"/>
      <c r="K10722" s="370"/>
      <c r="N10722" s="370"/>
    </row>
    <row r="10723" spans="1:14" s="347" customFormat="1" x14ac:dyDescent="0.25">
      <c r="A10723" s="369"/>
      <c r="E10723" s="396"/>
      <c r="F10723" s="396"/>
      <c r="G10723" s="396"/>
      <c r="K10723" s="370"/>
      <c r="N10723" s="370"/>
    </row>
    <row r="10724" spans="1:14" s="347" customFormat="1" x14ac:dyDescent="0.25">
      <c r="A10724" s="369"/>
      <c r="E10724" s="396"/>
      <c r="F10724" s="396"/>
      <c r="G10724" s="396"/>
      <c r="K10724" s="370"/>
      <c r="N10724" s="370"/>
    </row>
    <row r="10725" spans="1:14" s="347" customFormat="1" x14ac:dyDescent="0.25">
      <c r="A10725" s="369"/>
      <c r="E10725" s="396"/>
      <c r="F10725" s="396"/>
      <c r="G10725" s="396"/>
      <c r="K10725" s="370"/>
      <c r="N10725" s="370"/>
    </row>
    <row r="10726" spans="1:14" s="347" customFormat="1" x14ac:dyDescent="0.25">
      <c r="A10726" s="369"/>
      <c r="E10726" s="396"/>
      <c r="F10726" s="396"/>
      <c r="G10726" s="396"/>
      <c r="K10726" s="370"/>
      <c r="N10726" s="370"/>
    </row>
    <row r="10727" spans="1:14" s="347" customFormat="1" x14ac:dyDescent="0.25">
      <c r="A10727" s="369"/>
      <c r="E10727" s="396"/>
      <c r="F10727" s="396"/>
      <c r="G10727" s="396"/>
      <c r="K10727" s="370"/>
      <c r="N10727" s="370"/>
    </row>
    <row r="10728" spans="1:14" s="347" customFormat="1" x14ac:dyDescent="0.25">
      <c r="A10728" s="369"/>
      <c r="E10728" s="396"/>
      <c r="F10728" s="396"/>
      <c r="G10728" s="396"/>
      <c r="K10728" s="370"/>
      <c r="N10728" s="370"/>
    </row>
    <row r="10729" spans="1:14" s="347" customFormat="1" x14ac:dyDescent="0.25">
      <c r="A10729" s="369"/>
      <c r="E10729" s="396"/>
      <c r="F10729" s="396"/>
      <c r="G10729" s="396"/>
      <c r="K10729" s="370"/>
      <c r="N10729" s="370"/>
    </row>
    <row r="10730" spans="1:14" s="347" customFormat="1" x14ac:dyDescent="0.25">
      <c r="A10730" s="369"/>
      <c r="E10730" s="396"/>
      <c r="F10730" s="396"/>
      <c r="G10730" s="396"/>
      <c r="K10730" s="370"/>
      <c r="N10730" s="370"/>
    </row>
    <row r="10731" spans="1:14" s="347" customFormat="1" x14ac:dyDescent="0.25">
      <c r="A10731" s="369"/>
      <c r="E10731" s="396"/>
      <c r="F10731" s="396"/>
      <c r="G10731" s="396"/>
      <c r="K10731" s="370"/>
      <c r="N10731" s="370"/>
    </row>
    <row r="10732" spans="1:14" s="347" customFormat="1" x14ac:dyDescent="0.25">
      <c r="A10732" s="369"/>
      <c r="E10732" s="396"/>
      <c r="F10732" s="396"/>
      <c r="G10732" s="396"/>
      <c r="K10732" s="370"/>
      <c r="N10732" s="370"/>
    </row>
    <row r="10733" spans="1:14" s="347" customFormat="1" x14ac:dyDescent="0.25">
      <c r="A10733" s="369"/>
      <c r="E10733" s="396"/>
      <c r="F10733" s="396"/>
      <c r="G10733" s="396"/>
      <c r="K10733" s="370"/>
      <c r="N10733" s="370"/>
    </row>
    <row r="10734" spans="1:14" s="347" customFormat="1" x14ac:dyDescent="0.25">
      <c r="A10734" s="369"/>
      <c r="E10734" s="396"/>
      <c r="F10734" s="396"/>
      <c r="G10734" s="396"/>
      <c r="K10734" s="370"/>
      <c r="N10734" s="370"/>
    </row>
    <row r="10735" spans="1:14" s="347" customFormat="1" x14ac:dyDescent="0.25">
      <c r="A10735" s="369"/>
      <c r="E10735" s="396"/>
      <c r="F10735" s="396"/>
      <c r="G10735" s="396"/>
      <c r="K10735" s="370"/>
      <c r="N10735" s="370"/>
    </row>
    <row r="10736" spans="1:14" x14ac:dyDescent="0.25">
      <c r="A10736" s="369"/>
      <c r="B10736" s="347"/>
      <c r="C10736" s="347"/>
      <c r="D10736" s="347"/>
      <c r="E10736" s="396"/>
      <c r="F10736" s="396"/>
      <c r="G10736" s="396"/>
      <c r="H10736" s="347"/>
      <c r="I10736" s="347"/>
    </row>
    <row r="10737" spans="1:9" x14ac:dyDescent="0.25">
      <c r="A10737" s="369"/>
      <c r="B10737" s="347"/>
      <c r="C10737" s="347"/>
      <c r="D10737" s="347"/>
      <c r="E10737" s="396"/>
      <c r="F10737" s="396"/>
      <c r="G10737" s="396"/>
      <c r="H10737" s="347"/>
      <c r="I10737" s="347"/>
    </row>
    <row r="10738" spans="1:9" x14ac:dyDescent="0.25">
      <c r="A10738" s="369"/>
      <c r="B10738" s="347"/>
      <c r="C10738" s="347"/>
      <c r="D10738" s="347"/>
      <c r="E10738" s="396"/>
      <c r="F10738" s="396"/>
      <c r="G10738" s="396"/>
      <c r="H10738" s="347"/>
      <c r="I10738" s="347"/>
    </row>
    <row r="10739" spans="1:9" x14ac:dyDescent="0.25">
      <c r="A10739" s="369"/>
      <c r="B10739" s="347"/>
      <c r="C10739" s="347"/>
      <c r="D10739" s="347"/>
      <c r="E10739" s="396"/>
      <c r="F10739" s="396"/>
      <c r="G10739" s="396"/>
      <c r="H10739" s="347"/>
      <c r="I10739" s="347"/>
    </row>
    <row r="10740" spans="1:9" x14ac:dyDescent="0.25">
      <c r="A10740" s="369"/>
      <c r="B10740" s="347"/>
      <c r="C10740" s="347"/>
      <c r="D10740" s="347"/>
      <c r="E10740" s="396"/>
      <c r="F10740" s="396"/>
      <c r="G10740" s="396"/>
      <c r="H10740" s="347"/>
      <c r="I10740" s="347"/>
    </row>
    <row r="10741" spans="1:9" x14ac:dyDescent="0.25">
      <c r="A10741" s="369"/>
      <c r="B10741" s="347"/>
      <c r="C10741" s="347"/>
      <c r="D10741" s="347"/>
      <c r="E10741" s="396"/>
      <c r="F10741" s="396"/>
      <c r="G10741" s="396"/>
      <c r="H10741" s="347"/>
      <c r="I10741" s="347"/>
    </row>
    <row r="10742" spans="1:9" x14ac:dyDescent="0.25">
      <c r="A10742" s="369"/>
      <c r="B10742" s="347"/>
      <c r="C10742" s="347"/>
      <c r="D10742" s="347"/>
      <c r="E10742" s="396"/>
      <c r="F10742" s="396"/>
      <c r="G10742" s="396"/>
      <c r="H10742" s="347"/>
      <c r="I10742" s="347"/>
    </row>
    <row r="10743" spans="1:9" x14ac:dyDescent="0.25">
      <c r="A10743" s="369"/>
      <c r="B10743" s="347"/>
      <c r="C10743" s="347"/>
      <c r="D10743" s="347"/>
      <c r="E10743" s="396"/>
      <c r="F10743" s="396"/>
      <c r="G10743" s="396"/>
      <c r="H10743" s="347"/>
      <c r="I10743" s="347"/>
    </row>
    <row r="10744" spans="1:9" x14ac:dyDescent="0.25">
      <c r="A10744" s="369"/>
      <c r="B10744" s="347"/>
      <c r="C10744" s="347"/>
      <c r="D10744" s="347"/>
      <c r="E10744" s="396"/>
      <c r="F10744" s="396"/>
      <c r="G10744" s="396"/>
      <c r="H10744" s="347"/>
      <c r="I10744" s="347"/>
    </row>
    <row r="10745" spans="1:9" x14ac:dyDescent="0.25">
      <c r="A10745" s="369"/>
      <c r="B10745" s="347"/>
      <c r="C10745" s="347"/>
      <c r="D10745" s="347"/>
      <c r="E10745" s="396"/>
      <c r="F10745" s="396"/>
      <c r="G10745" s="396"/>
      <c r="H10745" s="347"/>
      <c r="I10745" s="347"/>
    </row>
    <row r="10746" spans="1:9" x14ac:dyDescent="0.25">
      <c r="A10746" s="369"/>
      <c r="B10746" s="347"/>
      <c r="C10746" s="347"/>
      <c r="D10746" s="347"/>
      <c r="E10746" s="396"/>
      <c r="F10746" s="396"/>
      <c r="G10746" s="396"/>
      <c r="H10746" s="347"/>
      <c r="I10746" s="347"/>
    </row>
    <row r="10747" spans="1:9" x14ac:dyDescent="0.25">
      <c r="A10747" s="369"/>
      <c r="B10747" s="347"/>
      <c r="C10747" s="347"/>
      <c r="D10747" s="347"/>
      <c r="E10747" s="396"/>
      <c r="F10747" s="396"/>
      <c r="G10747" s="396"/>
      <c r="H10747" s="347"/>
      <c r="I10747" s="347"/>
    </row>
    <row r="10748" spans="1:9" x14ac:dyDescent="0.25">
      <c r="A10748" s="369"/>
      <c r="B10748" s="347"/>
      <c r="C10748" s="347"/>
      <c r="D10748" s="347"/>
      <c r="E10748" s="396"/>
      <c r="F10748" s="396"/>
      <c r="G10748" s="396"/>
      <c r="H10748" s="347"/>
      <c r="I10748" s="347"/>
    </row>
    <row r="10749" spans="1:9" x14ac:dyDescent="0.25">
      <c r="A10749" s="369"/>
      <c r="B10749" s="347"/>
      <c r="C10749" s="347"/>
      <c r="D10749" s="347"/>
      <c r="E10749" s="396"/>
      <c r="F10749" s="396"/>
      <c r="G10749" s="396"/>
      <c r="H10749" s="347"/>
      <c r="I10749" s="347"/>
    </row>
    <row r="10750" spans="1:9" x14ac:dyDescent="0.25">
      <c r="A10750" s="369"/>
      <c r="B10750" s="347"/>
      <c r="C10750" s="347"/>
      <c r="D10750" s="347"/>
      <c r="E10750" s="396"/>
      <c r="F10750" s="396"/>
      <c r="G10750" s="396"/>
      <c r="H10750" s="347"/>
      <c r="I10750" s="347"/>
    </row>
    <row r="10751" spans="1:9" x14ac:dyDescent="0.25">
      <c r="A10751" s="369"/>
      <c r="B10751" s="347"/>
      <c r="C10751" s="347"/>
      <c r="D10751" s="347"/>
      <c r="E10751" s="396"/>
      <c r="F10751" s="396"/>
      <c r="G10751" s="396"/>
      <c r="H10751" s="347"/>
      <c r="I10751" s="347"/>
    </row>
    <row r="10752" spans="1:9" x14ac:dyDescent="0.25">
      <c r="A10752" s="369"/>
      <c r="B10752" s="347"/>
      <c r="C10752" s="347"/>
      <c r="D10752" s="347"/>
      <c r="E10752" s="396"/>
      <c r="F10752" s="396"/>
      <c r="G10752" s="396"/>
      <c r="H10752" s="347"/>
      <c r="I10752" s="347"/>
    </row>
    <row r="10753" spans="1:9" x14ac:dyDescent="0.25">
      <c r="A10753" s="369"/>
      <c r="B10753" s="347"/>
      <c r="C10753" s="347"/>
      <c r="D10753" s="347"/>
      <c r="E10753" s="396"/>
      <c r="F10753" s="396"/>
      <c r="G10753" s="396"/>
      <c r="H10753" s="347"/>
      <c r="I10753" s="347"/>
    </row>
    <row r="10754" spans="1:9" x14ac:dyDescent="0.25">
      <c r="A10754" s="369"/>
      <c r="B10754" s="347"/>
      <c r="C10754" s="347"/>
      <c r="D10754" s="347"/>
      <c r="E10754" s="396"/>
      <c r="F10754" s="396"/>
      <c r="G10754" s="396"/>
      <c r="H10754" s="347"/>
      <c r="I10754" s="347"/>
    </row>
    <row r="10755" spans="1:9" x14ac:dyDescent="0.25">
      <c r="A10755" s="369"/>
      <c r="B10755" s="347"/>
      <c r="C10755" s="347"/>
      <c r="D10755" s="347"/>
      <c r="E10755" s="396"/>
      <c r="F10755" s="396"/>
      <c r="G10755" s="396"/>
      <c r="H10755" s="347"/>
      <c r="I10755" s="347"/>
    </row>
    <row r="10756" spans="1:9" x14ac:dyDescent="0.25">
      <c r="A10756" s="369"/>
      <c r="B10756" s="347"/>
      <c r="C10756" s="347"/>
      <c r="D10756" s="347"/>
      <c r="E10756" s="396"/>
      <c r="F10756" s="396"/>
      <c r="G10756" s="396"/>
      <c r="H10756" s="347"/>
      <c r="I10756" s="347"/>
    </row>
    <row r="10757" spans="1:9" x14ac:dyDescent="0.25">
      <c r="A10757" s="369"/>
      <c r="B10757" s="347"/>
      <c r="C10757" s="347"/>
      <c r="D10757" s="347"/>
      <c r="E10757" s="396"/>
      <c r="F10757" s="396"/>
      <c r="G10757" s="396"/>
      <c r="H10757" s="347"/>
      <c r="I10757" s="347"/>
    </row>
    <row r="10758" spans="1:9" x14ac:dyDescent="0.25">
      <c r="A10758" s="369"/>
      <c r="B10758" s="347"/>
      <c r="C10758" s="347"/>
      <c r="D10758" s="347"/>
      <c r="E10758" s="396"/>
      <c r="F10758" s="396"/>
      <c r="G10758" s="396"/>
      <c r="H10758" s="347"/>
      <c r="I10758" s="347"/>
    </row>
    <row r="10759" spans="1:9" x14ac:dyDescent="0.25">
      <c r="A10759" s="369"/>
      <c r="B10759" s="347"/>
      <c r="C10759" s="347"/>
      <c r="D10759" s="347"/>
      <c r="E10759" s="396"/>
      <c r="F10759" s="396"/>
      <c r="G10759" s="396"/>
      <c r="H10759" s="347"/>
      <c r="I10759" s="347"/>
    </row>
    <row r="10760" spans="1:9" x14ac:dyDescent="0.25">
      <c r="A10760" s="369"/>
      <c r="B10760" s="347"/>
      <c r="C10760" s="347"/>
      <c r="D10760" s="347"/>
      <c r="E10760" s="396"/>
      <c r="F10760" s="396"/>
      <c r="G10760" s="396"/>
      <c r="H10760" s="347"/>
      <c r="I10760" s="347"/>
    </row>
    <row r="10761" spans="1:9" x14ac:dyDescent="0.25">
      <c r="A10761" s="369"/>
      <c r="B10761" s="347"/>
      <c r="C10761" s="347"/>
      <c r="D10761" s="347"/>
      <c r="E10761" s="396"/>
      <c r="F10761" s="396"/>
      <c r="G10761" s="396"/>
      <c r="H10761" s="347"/>
      <c r="I10761" s="347"/>
    </row>
    <row r="10762" spans="1:9" x14ac:dyDescent="0.25">
      <c r="A10762" s="369"/>
      <c r="B10762" s="347"/>
      <c r="C10762" s="347"/>
      <c r="D10762" s="347"/>
      <c r="E10762" s="396"/>
      <c r="F10762" s="396"/>
      <c r="G10762" s="396"/>
      <c r="H10762" s="347"/>
      <c r="I10762" s="347"/>
    </row>
    <row r="10763" spans="1:9" x14ac:dyDescent="0.25">
      <c r="A10763" s="369"/>
      <c r="B10763" s="347"/>
      <c r="C10763" s="347"/>
      <c r="D10763" s="347"/>
      <c r="E10763" s="396"/>
      <c r="F10763" s="396"/>
      <c r="G10763" s="396"/>
      <c r="H10763" s="347"/>
      <c r="I10763" s="347"/>
    </row>
    <row r="10764" spans="1:9" x14ac:dyDescent="0.25">
      <c r="A10764" s="369"/>
      <c r="B10764" s="347"/>
      <c r="C10764" s="347"/>
      <c r="D10764" s="347"/>
      <c r="E10764" s="396"/>
      <c r="F10764" s="396"/>
      <c r="G10764" s="396"/>
      <c r="H10764" s="347"/>
      <c r="I10764" s="347"/>
    </row>
    <row r="10765" spans="1:9" x14ac:dyDescent="0.25">
      <c r="A10765" s="369"/>
      <c r="B10765" s="347"/>
      <c r="C10765" s="347"/>
      <c r="D10765" s="347"/>
      <c r="E10765" s="396"/>
      <c r="F10765" s="396"/>
      <c r="G10765" s="396"/>
      <c r="H10765" s="347"/>
      <c r="I10765" s="347"/>
    </row>
    <row r="10766" spans="1:9" x14ac:dyDescent="0.25">
      <c r="A10766" s="369"/>
      <c r="B10766" s="347"/>
      <c r="C10766" s="347"/>
      <c r="D10766" s="347"/>
      <c r="E10766" s="396"/>
      <c r="F10766" s="396"/>
      <c r="G10766" s="396"/>
      <c r="H10766" s="347"/>
      <c r="I10766" s="347"/>
    </row>
    <row r="10767" spans="1:9" x14ac:dyDescent="0.25">
      <c r="A10767" s="369"/>
      <c r="B10767" s="347"/>
      <c r="C10767" s="347"/>
      <c r="D10767" s="347"/>
      <c r="E10767" s="396"/>
      <c r="F10767" s="396"/>
      <c r="G10767" s="396"/>
      <c r="H10767" s="347"/>
      <c r="I10767" s="347"/>
    </row>
    <row r="10768" spans="1:9" x14ac:dyDescent="0.25">
      <c r="A10768" s="369"/>
      <c r="B10768" s="347"/>
      <c r="C10768" s="347"/>
      <c r="D10768" s="347"/>
      <c r="E10768" s="396"/>
      <c r="F10768" s="396"/>
      <c r="G10768" s="396"/>
      <c r="H10768" s="347"/>
      <c r="I10768" s="347"/>
    </row>
    <row r="10769" spans="1:9" x14ac:dyDescent="0.25">
      <c r="A10769" s="369"/>
      <c r="B10769" s="347"/>
      <c r="C10769" s="347"/>
      <c r="D10769" s="347"/>
      <c r="E10769" s="396"/>
      <c r="F10769" s="396"/>
      <c r="G10769" s="396"/>
      <c r="H10769" s="347"/>
      <c r="I10769" s="347"/>
    </row>
    <row r="10770" spans="1:9" x14ac:dyDescent="0.25">
      <c r="A10770" s="369"/>
      <c r="B10770" s="347"/>
      <c r="C10770" s="347"/>
      <c r="D10770" s="347"/>
      <c r="E10770" s="396"/>
      <c r="F10770" s="396"/>
      <c r="G10770" s="396"/>
      <c r="H10770" s="347"/>
      <c r="I10770" s="347"/>
    </row>
    <row r="10771" spans="1:9" x14ac:dyDescent="0.25">
      <c r="A10771" s="369"/>
      <c r="B10771" s="347"/>
      <c r="C10771" s="347"/>
      <c r="D10771" s="347"/>
      <c r="E10771" s="396"/>
      <c r="F10771" s="396"/>
      <c r="G10771" s="396"/>
      <c r="H10771" s="347"/>
      <c r="I10771" s="347"/>
    </row>
    <row r="10772" spans="1:9" x14ac:dyDescent="0.25">
      <c r="A10772" s="369"/>
      <c r="B10772" s="347"/>
      <c r="C10772" s="347"/>
      <c r="D10772" s="347"/>
      <c r="E10772" s="396"/>
      <c r="F10772" s="396"/>
      <c r="G10772" s="396"/>
      <c r="H10772" s="347"/>
      <c r="I10772" s="347"/>
    </row>
    <row r="10773" spans="1:9" x14ac:dyDescent="0.25">
      <c r="A10773" s="369"/>
      <c r="B10773" s="347"/>
      <c r="C10773" s="347"/>
      <c r="D10773" s="347"/>
      <c r="E10773" s="396"/>
      <c r="F10773" s="396"/>
      <c r="G10773" s="396"/>
      <c r="H10773" s="347"/>
      <c r="I10773" s="347"/>
    </row>
    <row r="10774" spans="1:9" x14ac:dyDescent="0.25">
      <c r="A10774" s="369"/>
      <c r="B10774" s="347"/>
      <c r="C10774" s="347"/>
      <c r="D10774" s="347"/>
      <c r="E10774" s="396"/>
      <c r="F10774" s="396"/>
      <c r="G10774" s="396"/>
      <c r="H10774" s="347"/>
      <c r="I10774" s="347"/>
    </row>
    <row r="10775" spans="1:9" x14ac:dyDescent="0.25">
      <c r="A10775" s="369"/>
      <c r="B10775" s="347"/>
      <c r="C10775" s="347"/>
      <c r="D10775" s="347"/>
      <c r="E10775" s="396"/>
      <c r="F10775" s="396"/>
      <c r="G10775" s="396"/>
      <c r="H10775" s="347"/>
      <c r="I10775" s="347"/>
    </row>
    <row r="10776" spans="1:9" x14ac:dyDescent="0.25">
      <c r="A10776" s="369"/>
      <c r="B10776" s="347"/>
      <c r="C10776" s="347"/>
      <c r="D10776" s="347"/>
      <c r="E10776" s="396"/>
      <c r="F10776" s="396"/>
      <c r="G10776" s="396"/>
      <c r="H10776" s="347"/>
      <c r="I10776" s="347"/>
    </row>
    <row r="10777" spans="1:9" x14ac:dyDescent="0.25">
      <c r="A10777" s="369"/>
      <c r="B10777" s="347"/>
      <c r="C10777" s="347"/>
      <c r="D10777" s="347"/>
      <c r="E10777" s="396"/>
      <c r="F10777" s="396"/>
      <c r="G10777" s="396"/>
      <c r="H10777" s="347"/>
      <c r="I10777" s="347"/>
    </row>
    <row r="10778" spans="1:9" x14ac:dyDescent="0.25">
      <c r="A10778" s="369"/>
      <c r="B10778" s="347"/>
      <c r="C10778" s="347"/>
      <c r="D10778" s="347"/>
      <c r="E10778" s="396"/>
      <c r="F10778" s="396"/>
      <c r="G10778" s="396"/>
      <c r="H10778" s="347"/>
      <c r="I10778" s="347"/>
    </row>
    <row r="10779" spans="1:9" x14ac:dyDescent="0.25">
      <c r="A10779" s="369"/>
      <c r="B10779" s="347"/>
      <c r="C10779" s="347"/>
      <c r="D10779" s="347"/>
      <c r="E10779" s="396"/>
      <c r="F10779" s="396"/>
      <c r="G10779" s="396"/>
      <c r="H10779" s="347"/>
      <c r="I10779" s="347"/>
    </row>
    <row r="10780" spans="1:9" x14ac:dyDescent="0.25">
      <c r="A10780" s="369"/>
      <c r="B10780" s="347"/>
      <c r="C10780" s="347"/>
      <c r="D10780" s="347"/>
      <c r="E10780" s="396"/>
      <c r="F10780" s="396"/>
      <c r="G10780" s="396"/>
      <c r="H10780" s="347"/>
      <c r="I10780" s="347"/>
    </row>
    <row r="10781" spans="1:9" x14ac:dyDescent="0.25">
      <c r="A10781" s="369"/>
      <c r="B10781" s="347"/>
      <c r="C10781" s="347"/>
      <c r="D10781" s="347"/>
      <c r="E10781" s="396"/>
      <c r="F10781" s="396"/>
      <c r="G10781" s="396"/>
      <c r="H10781" s="347"/>
      <c r="I10781" s="347"/>
    </row>
    <row r="10782" spans="1:9" x14ac:dyDescent="0.25">
      <c r="A10782" s="369"/>
      <c r="B10782" s="347"/>
      <c r="C10782" s="347"/>
      <c r="D10782" s="347"/>
      <c r="E10782" s="396"/>
      <c r="F10782" s="396"/>
      <c r="G10782" s="396"/>
      <c r="H10782" s="347"/>
      <c r="I10782" s="347"/>
    </row>
    <row r="10783" spans="1:9" x14ac:dyDescent="0.25">
      <c r="A10783" s="369"/>
      <c r="B10783" s="347"/>
      <c r="C10783" s="347"/>
      <c r="D10783" s="347"/>
      <c r="E10783" s="396"/>
      <c r="F10783" s="396"/>
      <c r="G10783" s="396"/>
      <c r="H10783" s="347"/>
      <c r="I10783" s="347"/>
    </row>
    <row r="10784" spans="1:9" x14ac:dyDescent="0.25">
      <c r="A10784" s="369"/>
      <c r="B10784" s="347"/>
      <c r="C10784" s="347"/>
      <c r="D10784" s="347"/>
      <c r="E10784" s="396"/>
      <c r="F10784" s="396"/>
      <c r="G10784" s="396"/>
      <c r="H10784" s="347"/>
      <c r="I10784" s="347"/>
    </row>
    <row r="10785" spans="1:9" x14ac:dyDescent="0.25">
      <c r="A10785" s="369"/>
      <c r="B10785" s="347"/>
      <c r="C10785" s="347"/>
      <c r="D10785" s="347"/>
      <c r="E10785" s="396"/>
      <c r="F10785" s="396"/>
      <c r="G10785" s="396"/>
      <c r="H10785" s="347"/>
      <c r="I10785" s="347"/>
    </row>
    <row r="10786" spans="1:9" x14ac:dyDescent="0.25">
      <c r="A10786" s="369"/>
      <c r="B10786" s="347"/>
      <c r="C10786" s="347"/>
      <c r="D10786" s="347"/>
      <c r="E10786" s="396"/>
      <c r="F10786" s="396"/>
      <c r="G10786" s="396"/>
      <c r="H10786" s="347"/>
      <c r="I10786" s="347"/>
    </row>
    <row r="10787" spans="1:9" x14ac:dyDescent="0.25">
      <c r="A10787" s="369"/>
      <c r="B10787" s="347"/>
      <c r="C10787" s="347"/>
      <c r="D10787" s="347"/>
      <c r="E10787" s="396"/>
      <c r="F10787" s="396"/>
      <c r="G10787" s="396"/>
      <c r="H10787" s="347"/>
      <c r="I10787" s="347"/>
    </row>
    <row r="10788" spans="1:9" x14ac:dyDescent="0.25">
      <c r="A10788" s="369"/>
      <c r="B10788" s="347"/>
      <c r="C10788" s="347"/>
      <c r="D10788" s="347"/>
      <c r="E10788" s="396"/>
      <c r="F10788" s="396"/>
      <c r="G10788" s="396"/>
      <c r="H10788" s="347"/>
      <c r="I10788" s="347"/>
    </row>
    <row r="10789" spans="1:9" x14ac:dyDescent="0.25">
      <c r="A10789" s="369"/>
      <c r="B10789" s="347"/>
      <c r="C10789" s="347"/>
      <c r="D10789" s="347"/>
      <c r="E10789" s="396"/>
      <c r="F10789" s="396"/>
      <c r="G10789" s="396"/>
      <c r="H10789" s="347"/>
      <c r="I10789" s="347"/>
    </row>
    <row r="10790" spans="1:9" x14ac:dyDescent="0.25">
      <c r="A10790" s="369"/>
      <c r="B10790" s="347"/>
      <c r="C10790" s="347"/>
      <c r="D10790" s="347"/>
      <c r="E10790" s="396"/>
      <c r="F10790" s="396"/>
      <c r="G10790" s="396"/>
      <c r="H10790" s="347"/>
      <c r="I10790" s="347"/>
    </row>
    <row r="10791" spans="1:9" x14ac:dyDescent="0.25">
      <c r="A10791" s="369"/>
      <c r="B10791" s="347"/>
      <c r="C10791" s="347"/>
      <c r="D10791" s="347"/>
      <c r="E10791" s="396"/>
      <c r="F10791" s="396"/>
      <c r="G10791" s="396"/>
      <c r="H10791" s="347"/>
      <c r="I10791" s="347"/>
    </row>
    <row r="10792" spans="1:9" x14ac:dyDescent="0.25">
      <c r="A10792" s="369"/>
      <c r="B10792" s="347"/>
      <c r="C10792" s="347"/>
      <c r="D10792" s="347"/>
      <c r="E10792" s="396"/>
      <c r="F10792" s="396"/>
      <c r="G10792" s="396"/>
      <c r="H10792" s="347"/>
      <c r="I10792" s="347"/>
    </row>
    <row r="10793" spans="1:9" x14ac:dyDescent="0.25">
      <c r="A10793" s="369"/>
      <c r="B10793" s="347"/>
      <c r="C10793" s="347"/>
      <c r="D10793" s="347"/>
      <c r="E10793" s="396"/>
      <c r="F10793" s="396"/>
      <c r="G10793" s="396"/>
      <c r="H10793" s="347"/>
      <c r="I10793" s="347"/>
    </row>
    <row r="10794" spans="1:9" x14ac:dyDescent="0.25">
      <c r="A10794" s="369"/>
      <c r="B10794" s="347"/>
      <c r="C10794" s="347"/>
      <c r="D10794" s="347"/>
      <c r="E10794" s="396"/>
      <c r="F10794" s="396"/>
      <c r="G10794" s="396"/>
      <c r="H10794" s="347"/>
      <c r="I10794" s="347"/>
    </row>
    <row r="10795" spans="1:9" x14ac:dyDescent="0.25">
      <c r="A10795" s="369"/>
      <c r="B10795" s="347"/>
      <c r="C10795" s="347"/>
      <c r="D10795" s="347"/>
      <c r="E10795" s="396"/>
      <c r="F10795" s="396"/>
      <c r="G10795" s="396"/>
      <c r="H10795" s="347"/>
      <c r="I10795" s="347"/>
    </row>
    <row r="10796" spans="1:9" x14ac:dyDescent="0.25">
      <c r="A10796" s="369"/>
      <c r="B10796" s="347"/>
      <c r="C10796" s="347"/>
      <c r="D10796" s="347"/>
      <c r="E10796" s="396"/>
      <c r="F10796" s="396"/>
      <c r="G10796" s="396"/>
      <c r="H10796" s="347"/>
      <c r="I10796" s="347"/>
    </row>
    <row r="10797" spans="1:9" x14ac:dyDescent="0.25">
      <c r="A10797" s="369"/>
      <c r="B10797" s="347"/>
      <c r="C10797" s="347"/>
      <c r="D10797" s="347"/>
      <c r="E10797" s="396"/>
      <c r="F10797" s="396"/>
      <c r="G10797" s="396"/>
      <c r="H10797" s="347"/>
      <c r="I10797" s="347"/>
    </row>
    <row r="10798" spans="1:9" x14ac:dyDescent="0.25">
      <c r="A10798" s="369"/>
      <c r="B10798" s="347"/>
      <c r="C10798" s="347"/>
      <c r="D10798" s="347"/>
      <c r="E10798" s="396"/>
      <c r="F10798" s="396"/>
      <c r="G10798" s="396"/>
      <c r="H10798" s="347"/>
      <c r="I10798" s="347"/>
    </row>
    <row r="10799" spans="1:9" x14ac:dyDescent="0.25">
      <c r="A10799" s="369"/>
      <c r="B10799" s="347"/>
      <c r="C10799" s="347"/>
      <c r="D10799" s="347"/>
      <c r="E10799" s="396"/>
      <c r="F10799" s="396"/>
      <c r="G10799" s="396"/>
      <c r="H10799" s="347"/>
      <c r="I10799" s="347"/>
    </row>
    <row r="10800" spans="1:9" x14ac:dyDescent="0.25">
      <c r="A10800" s="369"/>
      <c r="B10800" s="347"/>
      <c r="C10800" s="347"/>
      <c r="D10800" s="347"/>
      <c r="E10800" s="396"/>
      <c r="F10800" s="396"/>
      <c r="G10800" s="396"/>
      <c r="H10800" s="347"/>
      <c r="I10800" s="347"/>
    </row>
    <row r="10801" spans="1:9" x14ac:dyDescent="0.25">
      <c r="A10801" s="369"/>
      <c r="B10801" s="347"/>
      <c r="C10801" s="347"/>
      <c r="D10801" s="347"/>
      <c r="E10801" s="396"/>
      <c r="F10801" s="396"/>
      <c r="G10801" s="396"/>
      <c r="H10801" s="347"/>
      <c r="I10801" s="347"/>
    </row>
    <row r="10802" spans="1:9" x14ac:dyDescent="0.25">
      <c r="A10802" s="369"/>
      <c r="B10802" s="347"/>
      <c r="C10802" s="347"/>
      <c r="D10802" s="347"/>
      <c r="E10802" s="396"/>
      <c r="F10802" s="396"/>
      <c r="G10802" s="396"/>
      <c r="H10802" s="347"/>
      <c r="I10802" s="347"/>
    </row>
  </sheetData>
  <sheetProtection insertRows="0"/>
  <autoFilter ref="A1:N10758" xr:uid="{00000000-0009-0000-0000-000013000000}"/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14">
    <tabColor rgb="FF002060"/>
  </sheetPr>
  <dimension ref="B1:AN33"/>
  <sheetViews>
    <sheetView topLeftCell="AI1" zoomScale="90" zoomScaleNormal="90" workbookViewId="0">
      <selection activeCell="AL13" sqref="AL13"/>
    </sheetView>
  </sheetViews>
  <sheetFormatPr baseColWidth="10" defaultRowHeight="15.65" x14ac:dyDescent="0.25"/>
  <cols>
    <col min="1" max="1" width="11.3984375" customWidth="1"/>
    <col min="2" max="2" width="33.09765625" bestFit="1" customWidth="1"/>
    <col min="3" max="4" width="11.3984375" style="180" customWidth="1"/>
    <col min="5" max="5" width="27.796875" style="180" bestFit="1" customWidth="1"/>
    <col min="6" max="6" width="11.19921875" style="180" bestFit="1" customWidth="1"/>
    <col min="7" max="7" width="11.3984375" style="180" customWidth="1"/>
    <col min="8" max="8" width="22.69921875" style="180" bestFit="1" customWidth="1"/>
    <col min="9" max="10" width="11.3984375" customWidth="1"/>
    <col min="11" max="11" width="22.69921875" bestFit="1" customWidth="1"/>
    <col min="12" max="13" width="11.3984375" customWidth="1"/>
    <col min="14" max="14" width="22.69921875" bestFit="1" customWidth="1"/>
    <col min="15" max="16" width="11.3984375" customWidth="1"/>
    <col min="17" max="17" width="22.69921875" bestFit="1" customWidth="1"/>
    <col min="18" max="19" width="11.3984375" customWidth="1"/>
    <col min="20" max="20" width="22.69921875" bestFit="1" customWidth="1"/>
    <col min="21" max="22" width="11.3984375" customWidth="1"/>
    <col min="23" max="23" width="22.69921875" bestFit="1" customWidth="1"/>
    <col min="24" max="25" width="11.3984375" customWidth="1"/>
    <col min="26" max="26" width="22.69921875" bestFit="1" customWidth="1"/>
    <col min="27" max="27" width="14" customWidth="1"/>
    <col min="28" max="28" width="11.3984375" customWidth="1"/>
    <col min="29" max="29" width="22.69921875" bestFit="1" customWidth="1"/>
    <col min="30" max="31" width="11.3984375" customWidth="1"/>
    <col min="32" max="32" width="22.69921875" bestFit="1" customWidth="1"/>
    <col min="33" max="34" width="11.3984375" customWidth="1"/>
    <col min="35" max="35" width="23.796875" bestFit="1" customWidth="1"/>
    <col min="36" max="37" width="11.3984375" customWidth="1"/>
    <col min="38" max="38" width="36.3984375" customWidth="1"/>
    <col min="39" max="39" width="12.19921875" customWidth="1"/>
  </cols>
  <sheetData>
    <row r="1" spans="2:40" x14ac:dyDescent="0.25">
      <c r="F1" s="180">
        <v>1</v>
      </c>
      <c r="I1">
        <v>2</v>
      </c>
      <c r="L1">
        <v>3</v>
      </c>
      <c r="O1">
        <v>4</v>
      </c>
      <c r="R1">
        <v>5</v>
      </c>
      <c r="U1">
        <v>6</v>
      </c>
      <c r="X1">
        <v>7</v>
      </c>
      <c r="AA1">
        <v>8</v>
      </c>
      <c r="AD1">
        <v>9</v>
      </c>
      <c r="AG1">
        <v>10</v>
      </c>
      <c r="AJ1">
        <v>11</v>
      </c>
      <c r="AM1">
        <v>12</v>
      </c>
    </row>
    <row r="2" spans="2:40" ht="19.05" x14ac:dyDescent="0.35">
      <c r="B2" s="181" t="s">
        <v>263</v>
      </c>
      <c r="C2" s="182"/>
      <c r="E2" s="181" t="s">
        <v>263</v>
      </c>
      <c r="F2" s="182"/>
      <c r="H2" s="181" t="s">
        <v>263</v>
      </c>
      <c r="I2" s="182"/>
      <c r="K2" s="181" t="s">
        <v>263</v>
      </c>
      <c r="L2" s="182"/>
      <c r="N2" s="181" t="s">
        <v>263</v>
      </c>
      <c r="O2" s="182"/>
      <c r="Q2" s="181" t="s">
        <v>263</v>
      </c>
      <c r="R2" s="182"/>
      <c r="T2" s="181" t="s">
        <v>263</v>
      </c>
      <c r="U2" s="182"/>
      <c r="W2" s="181" t="s">
        <v>263</v>
      </c>
      <c r="X2" s="182"/>
      <c r="Z2" s="181" t="s">
        <v>263</v>
      </c>
      <c r="AA2" s="182"/>
      <c r="AC2" s="181" t="s">
        <v>263</v>
      </c>
      <c r="AD2" s="182"/>
      <c r="AF2" s="181" t="s">
        <v>263</v>
      </c>
      <c r="AG2" s="182"/>
      <c r="AI2" s="181" t="s">
        <v>263</v>
      </c>
      <c r="AJ2" s="182"/>
      <c r="AL2" s="181" t="s">
        <v>263</v>
      </c>
      <c r="AM2" s="182"/>
    </row>
    <row r="3" spans="2:40" x14ac:dyDescent="0.25">
      <c r="B3" s="157" t="s">
        <v>264</v>
      </c>
      <c r="C3" s="183">
        <v>12855939.773379996</v>
      </c>
      <c r="E3" s="157" t="s">
        <v>265</v>
      </c>
      <c r="F3" s="183">
        <f>SUMIFS('Diario Cali'!$E:$E,'Diario Cali'!$C:$C,115,'Diario Cali'!$B:$B,F1)</f>
        <v>2111093</v>
      </c>
      <c r="H3" s="157" t="s">
        <v>266</v>
      </c>
      <c r="I3" s="183">
        <f>SUMIFS('Diario Cali'!$E:$E,'Diario Cali'!$C:$C,115,'Diario Cali'!$B:$B,I1)+F3</f>
        <v>10236312</v>
      </c>
      <c r="K3" s="157" t="s">
        <v>267</v>
      </c>
      <c r="L3" s="183">
        <f>SUMIFS('Diario Cali'!$E:$E,'Diario Cali'!$C:$C,115,'Diario Cali'!$B:$B,L1)+I3</f>
        <v>29483585</v>
      </c>
      <c r="M3" s="180"/>
      <c r="N3" s="157" t="s">
        <v>268</v>
      </c>
      <c r="O3" s="183">
        <f>SUMIFS('Diario Cali'!$E:$E,'Diario Cali'!$C:$C,115,'Diario Cali'!$B:$B,O1)+L3</f>
        <v>20120054</v>
      </c>
      <c r="Q3" s="157" t="s">
        <v>269</v>
      </c>
      <c r="R3" s="183">
        <f>SUMIFS('Diario Cali'!$E:$E,'Diario Cali'!$C:$C,115,'Diario Cali'!$B:$B,R1)+O3</f>
        <v>24591898</v>
      </c>
      <c r="T3" s="157" t="s">
        <v>270</v>
      </c>
      <c r="U3" s="183">
        <f>SUMIFS('Diario Cali'!$E:$E,'Diario Cali'!$C:$C,115,'Diario Cali'!$B:$B,U1)+R3</f>
        <v>26127609</v>
      </c>
      <c r="W3" s="157" t="s">
        <v>271</v>
      </c>
      <c r="X3" s="183">
        <f>SUMIFS('Diario Cali'!$E:$E,'Diario Cali'!$C:$C,115,'Diario Cali'!$B:$B,X1)+U3</f>
        <v>25992283</v>
      </c>
      <c r="Z3" s="157" t="s">
        <v>272</v>
      </c>
      <c r="AA3" s="183">
        <f>SUMIFS('Diario Cali'!$E:$E,'Diario Cali'!$C:$C,115,'Diario Cali'!$B:$B,AA1)+X3</f>
        <v>22710470</v>
      </c>
      <c r="AC3" s="157" t="s">
        <v>273</v>
      </c>
      <c r="AD3" s="183">
        <f>SUMIFS('Diario Cali'!$E:$E,'Diario Cali'!$C:$C,115,'Diario Cali'!$B:$B,AD1)+AA3</f>
        <v>11619185</v>
      </c>
      <c r="AF3" s="157" t="s">
        <v>274</v>
      </c>
      <c r="AG3" s="183">
        <f>SUMIFS('Diario Cali'!$E:$E,'Diario Cali'!$C:$C,115,'Diario Cali'!$B:$B,AG1)+AD3</f>
        <v>14453330</v>
      </c>
      <c r="AI3" s="157" t="s">
        <v>275</v>
      </c>
      <c r="AJ3" s="183">
        <f>SUMIFS('Diario Cali'!$E:$E,'Diario Cali'!$C:$C,115,'Diario Cali'!$B:$B,AJ1)+AG3</f>
        <v>20492579</v>
      </c>
      <c r="AL3" s="157" t="s">
        <v>264</v>
      </c>
      <c r="AM3" s="183">
        <f>SUMIFS('Diario Cali'!$E:$E,'Diario Cali'!$C:$C,115,'Diario Cali'!$B:$B,AM1)+AJ3</f>
        <v>8800591</v>
      </c>
    </row>
    <row r="4" spans="2:40" x14ac:dyDescent="0.25">
      <c r="B4" s="157" t="s">
        <v>276</v>
      </c>
      <c r="C4" s="183">
        <v>12855633</v>
      </c>
      <c r="E4" s="157" t="s">
        <v>277</v>
      </c>
      <c r="F4" s="183">
        <v>2111093</v>
      </c>
      <c r="H4" s="157" t="s">
        <v>278</v>
      </c>
      <c r="I4" s="183">
        <v>10236311.530000001</v>
      </c>
      <c r="K4" s="157" t="s">
        <v>279</v>
      </c>
      <c r="L4" s="183">
        <v>29483584.530000001</v>
      </c>
      <c r="M4" s="180"/>
      <c r="N4" s="157" t="s">
        <v>280</v>
      </c>
      <c r="O4" s="183">
        <v>20120054</v>
      </c>
      <c r="Q4" s="157" t="s">
        <v>281</v>
      </c>
      <c r="R4" s="183">
        <v>24891898</v>
      </c>
      <c r="T4" s="157" t="s">
        <v>282</v>
      </c>
      <c r="U4" s="183">
        <v>26127609</v>
      </c>
      <c r="W4" s="157" t="s">
        <v>283</v>
      </c>
      <c r="X4" s="183">
        <v>25992282.530000001</v>
      </c>
      <c r="Z4" s="157" t="s">
        <v>284</v>
      </c>
      <c r="AA4" s="183">
        <v>22710469.530000001</v>
      </c>
      <c r="AC4" s="157" t="s">
        <v>285</v>
      </c>
      <c r="AD4" s="183">
        <v>11619184.530000001</v>
      </c>
      <c r="AF4" s="157" t="s">
        <v>286</v>
      </c>
      <c r="AG4" s="183">
        <v>14453329.530000001</v>
      </c>
      <c r="AI4" s="157" t="s">
        <v>287</v>
      </c>
      <c r="AJ4" s="183">
        <v>20492578.530000001</v>
      </c>
      <c r="AL4" s="157" t="s">
        <v>276</v>
      </c>
      <c r="AM4" s="183">
        <v>8800590.5300000012</v>
      </c>
    </row>
    <row r="5" spans="2:40" x14ac:dyDescent="0.25">
      <c r="B5" s="157" t="s">
        <v>288</v>
      </c>
      <c r="C5" s="184">
        <f>+C3-C4</f>
        <v>306.77337999641895</v>
      </c>
      <c r="E5" s="157" t="s">
        <v>288</v>
      </c>
      <c r="F5" s="184">
        <f>+F3-F4</f>
        <v>0</v>
      </c>
      <c r="H5" s="157" t="s">
        <v>288</v>
      </c>
      <c r="I5" s="184">
        <f>+I3-I4</f>
        <v>0.4699999988079071</v>
      </c>
      <c r="K5" s="157" t="s">
        <v>288</v>
      </c>
      <c r="L5" s="184">
        <f>+L3-L4</f>
        <v>0.4699999988079071</v>
      </c>
      <c r="M5" s="180"/>
      <c r="N5" s="157" t="s">
        <v>288</v>
      </c>
      <c r="O5" s="184">
        <f>+O3-O4</f>
        <v>0</v>
      </c>
      <c r="Q5" s="157" t="s">
        <v>288</v>
      </c>
      <c r="R5" s="184">
        <f>+R3-R4</f>
        <v>-300000</v>
      </c>
      <c r="T5" s="157" t="s">
        <v>288</v>
      </c>
      <c r="U5" s="184">
        <f>+U3-U4</f>
        <v>0</v>
      </c>
      <c r="W5" s="157" t="s">
        <v>288</v>
      </c>
      <c r="X5" s="184">
        <f>+X3-X4</f>
        <v>0.4699999988079071</v>
      </c>
      <c r="Z5" s="157" t="s">
        <v>288</v>
      </c>
      <c r="AA5" s="184">
        <f>+AA3-AA4</f>
        <v>0.4699999988079071</v>
      </c>
      <c r="AC5" s="157" t="s">
        <v>288</v>
      </c>
      <c r="AD5" s="184">
        <f>+AD3-AD4</f>
        <v>0.4699999988079071</v>
      </c>
      <c r="AF5" s="157" t="s">
        <v>288</v>
      </c>
      <c r="AG5" s="184">
        <f>+AG3-AG4</f>
        <v>0.4699999988079071</v>
      </c>
      <c r="AI5" s="157" t="s">
        <v>288</v>
      </c>
      <c r="AJ5" s="184">
        <f>+AJ3-AJ4</f>
        <v>0.4699999988079071</v>
      </c>
      <c r="AL5" s="157" t="s">
        <v>288</v>
      </c>
      <c r="AM5" s="184">
        <f>+AM3-AM4</f>
        <v>0.4699999988079071</v>
      </c>
      <c r="AN5" s="180"/>
    </row>
    <row r="6" spans="2:40" x14ac:dyDescent="0.25">
      <c r="B6" s="157"/>
      <c r="C6" s="183"/>
      <c r="E6" s="157"/>
      <c r="F6" s="183"/>
      <c r="H6" s="157"/>
      <c r="I6" s="183"/>
      <c r="K6" s="157"/>
      <c r="L6" s="183"/>
      <c r="N6" s="157"/>
      <c r="O6" s="183"/>
      <c r="Q6" s="157"/>
      <c r="R6" s="183"/>
      <c r="T6" s="157"/>
      <c r="U6" s="183"/>
      <c r="W6" s="157"/>
      <c r="X6" s="183"/>
      <c r="Z6" s="157"/>
      <c r="AA6" s="183"/>
      <c r="AC6" s="157"/>
      <c r="AD6" s="183"/>
      <c r="AF6" s="157"/>
      <c r="AG6" s="183"/>
      <c r="AI6" s="157"/>
      <c r="AJ6" s="183"/>
      <c r="AL6" s="157"/>
      <c r="AM6" s="183"/>
    </row>
    <row r="7" spans="2:40" x14ac:dyDescent="0.25">
      <c r="B7" s="157"/>
      <c r="C7" s="183"/>
      <c r="E7" s="157"/>
      <c r="F7" s="183"/>
      <c r="H7" s="157"/>
      <c r="I7" s="183"/>
      <c r="K7" s="157"/>
      <c r="L7" s="183"/>
      <c r="N7" s="157"/>
      <c r="O7" s="183"/>
      <c r="Q7" s="157"/>
      <c r="R7" s="183"/>
      <c r="T7" s="157"/>
      <c r="U7" s="183"/>
      <c r="W7" s="157"/>
      <c r="X7" s="183"/>
      <c r="Z7" s="157"/>
      <c r="AA7" s="183"/>
      <c r="AC7" s="157"/>
      <c r="AD7" s="183"/>
      <c r="AF7" s="157"/>
      <c r="AG7" s="183"/>
      <c r="AI7" s="157"/>
      <c r="AJ7" s="183"/>
      <c r="AL7" s="157"/>
      <c r="AM7" s="183"/>
    </row>
    <row r="8" spans="2:40" x14ac:dyDescent="0.25">
      <c r="B8" s="157" t="s">
        <v>289</v>
      </c>
      <c r="C8" s="183"/>
      <c r="E8" s="157" t="s">
        <v>289</v>
      </c>
      <c r="F8" s="183"/>
      <c r="H8" s="157" t="s">
        <v>289</v>
      </c>
      <c r="I8" s="183"/>
      <c r="K8" s="157" t="s">
        <v>289</v>
      </c>
      <c r="L8" s="183"/>
      <c r="N8" s="157" t="s">
        <v>289</v>
      </c>
      <c r="O8" s="183"/>
      <c r="Q8" s="157" t="s">
        <v>289</v>
      </c>
      <c r="R8" s="183"/>
      <c r="T8" s="157" t="s">
        <v>289</v>
      </c>
      <c r="U8" s="183"/>
      <c r="W8" s="157" t="s">
        <v>289</v>
      </c>
      <c r="X8" s="183"/>
      <c r="Z8" s="157" t="s">
        <v>289</v>
      </c>
      <c r="AA8" s="183"/>
      <c r="AC8" s="157" t="s">
        <v>289</v>
      </c>
      <c r="AD8" s="183"/>
      <c r="AF8" s="157" t="s">
        <v>289</v>
      </c>
      <c r="AG8" s="183"/>
      <c r="AI8" s="157" t="s">
        <v>289</v>
      </c>
      <c r="AJ8" s="183"/>
      <c r="AL8" s="157" t="s">
        <v>289</v>
      </c>
      <c r="AM8" s="183"/>
    </row>
    <row r="9" spans="2:40" x14ac:dyDescent="0.25">
      <c r="B9" s="188"/>
      <c r="C9" s="183"/>
      <c r="E9" s="157"/>
      <c r="F9" s="183"/>
      <c r="H9"/>
      <c r="I9" s="155"/>
      <c r="L9" s="155"/>
      <c r="O9" s="155"/>
      <c r="R9" s="155"/>
      <c r="T9" s="157"/>
      <c r="U9" s="183"/>
      <c r="W9" s="188"/>
      <c r="X9" s="183"/>
      <c r="Z9" s="188"/>
      <c r="AA9" s="183"/>
      <c r="AC9" s="188"/>
      <c r="AD9" s="183"/>
      <c r="AF9" s="157"/>
      <c r="AG9" s="183"/>
      <c r="AI9" s="157"/>
      <c r="AJ9" s="183"/>
      <c r="AL9" s="188"/>
      <c r="AM9" s="183"/>
    </row>
    <row r="10" spans="2:40" x14ac:dyDescent="0.25">
      <c r="B10" s="188"/>
      <c r="C10" s="183"/>
      <c r="E10" s="157"/>
      <c r="F10" s="183"/>
      <c r="H10"/>
      <c r="I10" s="155"/>
      <c r="L10" s="183"/>
      <c r="O10" s="155"/>
      <c r="R10" s="155"/>
      <c r="T10" s="157"/>
      <c r="U10" s="183"/>
      <c r="W10" s="260"/>
      <c r="X10" s="261"/>
      <c r="AA10" s="266"/>
      <c r="AC10" s="188"/>
      <c r="AD10" s="183"/>
      <c r="AF10" s="157"/>
      <c r="AG10" s="183"/>
      <c r="AI10" s="157"/>
      <c r="AJ10" s="183"/>
      <c r="AL10" s="188"/>
      <c r="AM10" s="183"/>
    </row>
    <row r="11" spans="2:40" x14ac:dyDescent="0.25">
      <c r="B11" s="157"/>
      <c r="C11" s="183"/>
      <c r="E11" s="157"/>
      <c r="F11" s="183"/>
      <c r="H11"/>
      <c r="I11" s="155"/>
      <c r="L11" s="183"/>
      <c r="O11" s="155"/>
      <c r="R11" s="155"/>
      <c r="T11" s="157"/>
      <c r="U11" s="183"/>
      <c r="W11" s="260"/>
      <c r="X11" s="261"/>
      <c r="Z11" s="265"/>
      <c r="AA11" s="266"/>
      <c r="AC11" s="188"/>
      <c r="AD11" s="183"/>
      <c r="AF11" s="157"/>
      <c r="AG11" s="183"/>
      <c r="AI11" s="157"/>
      <c r="AJ11" s="183"/>
      <c r="AL11" s="188"/>
      <c r="AM11" s="183"/>
    </row>
    <row r="12" spans="2:40" x14ac:dyDescent="0.25">
      <c r="B12" s="157"/>
      <c r="C12" s="183"/>
      <c r="E12" s="157"/>
      <c r="F12" s="183"/>
      <c r="H12"/>
      <c r="I12" s="155"/>
      <c r="L12" s="183"/>
      <c r="O12" s="155"/>
      <c r="R12" s="155"/>
      <c r="T12" s="157"/>
      <c r="U12" s="183"/>
      <c r="W12" s="188"/>
      <c r="X12" s="183"/>
      <c r="Z12" s="265"/>
      <c r="AA12" s="266"/>
      <c r="AC12" s="188"/>
      <c r="AD12" s="183"/>
      <c r="AF12" s="157"/>
      <c r="AG12" s="183"/>
      <c r="AI12" s="157"/>
      <c r="AJ12" s="183"/>
      <c r="AL12" s="188"/>
      <c r="AM12" s="183"/>
    </row>
    <row r="13" spans="2:40" x14ac:dyDescent="0.25">
      <c r="B13" s="157"/>
      <c r="C13" s="183"/>
      <c r="E13" s="157"/>
      <c r="F13" s="183"/>
      <c r="H13" s="188"/>
      <c r="I13" s="183"/>
      <c r="L13" s="183"/>
      <c r="O13" s="155"/>
      <c r="Q13" s="188"/>
      <c r="R13" s="183"/>
      <c r="T13" s="157"/>
      <c r="U13" s="183"/>
      <c r="W13" s="188"/>
      <c r="X13" s="183"/>
      <c r="Z13" s="265"/>
      <c r="AA13" s="266"/>
      <c r="AC13" s="188"/>
      <c r="AD13" s="183"/>
      <c r="AF13" s="157"/>
      <c r="AG13" s="183"/>
      <c r="AI13" s="157"/>
      <c r="AJ13" s="183"/>
      <c r="AL13" s="188"/>
      <c r="AM13" s="183"/>
    </row>
    <row r="14" spans="2:40" x14ac:dyDescent="0.25">
      <c r="B14" s="157"/>
      <c r="C14" s="183"/>
      <c r="E14" s="157"/>
      <c r="F14" s="183"/>
      <c r="H14" s="157"/>
      <c r="I14" s="183"/>
      <c r="K14" s="157"/>
      <c r="L14" s="183"/>
      <c r="O14" s="155"/>
      <c r="Q14" s="188"/>
      <c r="R14" s="183"/>
      <c r="T14" s="157"/>
      <c r="U14" s="183"/>
      <c r="W14" s="188"/>
      <c r="X14" s="183"/>
      <c r="Z14" s="188"/>
      <c r="AA14" s="183"/>
      <c r="AC14" s="188"/>
      <c r="AD14" s="183"/>
      <c r="AF14" s="157"/>
      <c r="AG14" s="183"/>
      <c r="AI14" s="188"/>
      <c r="AJ14" s="183"/>
      <c r="AL14" s="188"/>
      <c r="AM14" s="183"/>
    </row>
    <row r="15" spans="2:40" x14ac:dyDescent="0.25">
      <c r="B15" s="157"/>
      <c r="C15" s="183"/>
      <c r="E15" s="157"/>
      <c r="F15" s="183"/>
      <c r="H15" s="157"/>
      <c r="I15" s="183"/>
      <c r="K15" s="157"/>
      <c r="L15" s="183"/>
      <c r="N15" s="157"/>
      <c r="O15" s="183"/>
      <c r="Q15" s="157"/>
      <c r="R15" s="183"/>
      <c r="T15" s="157"/>
      <c r="U15" s="183"/>
      <c r="W15" s="157"/>
      <c r="X15" s="183"/>
      <c r="Z15" s="157"/>
      <c r="AA15" s="183"/>
      <c r="AC15" s="188"/>
      <c r="AD15" s="183"/>
      <c r="AF15" s="157"/>
      <c r="AG15" s="183"/>
      <c r="AI15" s="157"/>
      <c r="AJ15" s="183"/>
      <c r="AL15" s="157"/>
      <c r="AM15" s="183"/>
    </row>
    <row r="16" spans="2:40" x14ac:dyDescent="0.25">
      <c r="B16" s="157" t="s">
        <v>290</v>
      </c>
      <c r="C16" s="184">
        <f>SUM(C9:C15)</f>
        <v>0</v>
      </c>
      <c r="E16" s="157" t="s">
        <v>291</v>
      </c>
      <c r="F16" s="184">
        <f>SUM(F9:F14)</f>
        <v>0</v>
      </c>
      <c r="H16" s="157" t="s">
        <v>291</v>
      </c>
      <c r="I16" s="184">
        <f>SUM(I9:I14)</f>
        <v>0</v>
      </c>
      <c r="K16" s="157" t="s">
        <v>291</v>
      </c>
      <c r="L16" s="184">
        <f>SUM(L9:L15)</f>
        <v>0</v>
      </c>
      <c r="N16" s="157" t="s">
        <v>291</v>
      </c>
      <c r="O16" s="184">
        <f>SUM(O9:O14)</f>
        <v>0</v>
      </c>
      <c r="Q16" s="157" t="s">
        <v>291</v>
      </c>
      <c r="R16" s="184">
        <f>SUM(R9:R14)</f>
        <v>0</v>
      </c>
      <c r="T16" s="157" t="s">
        <v>291</v>
      </c>
      <c r="U16" s="183">
        <f>SUM(U9:U13)</f>
        <v>0</v>
      </c>
      <c r="W16" s="157" t="s">
        <v>291</v>
      </c>
      <c r="X16" s="184">
        <f>SUM(X9:X15)</f>
        <v>0</v>
      </c>
      <c r="Z16" s="157" t="s">
        <v>291</v>
      </c>
      <c r="AA16" s="184">
        <f>SUM(AA9:AA15)</f>
        <v>0</v>
      </c>
      <c r="AC16" s="157" t="s">
        <v>291</v>
      </c>
      <c r="AD16" s="184">
        <f>SUM(AD9:AD15)</f>
        <v>0</v>
      </c>
      <c r="AF16" s="157" t="s">
        <v>291</v>
      </c>
      <c r="AG16" s="183">
        <f>SUM(AG9:AG15)</f>
        <v>0</v>
      </c>
      <c r="AI16" s="157" t="s">
        <v>291</v>
      </c>
      <c r="AJ16" s="183">
        <f>SUM(AJ9:AJ15)</f>
        <v>0</v>
      </c>
      <c r="AL16" s="157" t="s">
        <v>291</v>
      </c>
      <c r="AM16" s="183">
        <f>SUM(AM9:AM15)</f>
        <v>0</v>
      </c>
    </row>
    <row r="17" spans="2:39" x14ac:dyDescent="0.25">
      <c r="B17" s="157"/>
      <c r="C17" s="183"/>
      <c r="E17" s="157"/>
      <c r="F17" s="183"/>
      <c r="H17" s="157"/>
      <c r="I17" s="183"/>
      <c r="K17" s="157"/>
      <c r="L17" s="183"/>
      <c r="N17" s="157"/>
      <c r="O17" s="183"/>
      <c r="Q17" s="157"/>
      <c r="R17" s="183"/>
      <c r="T17" s="157"/>
      <c r="U17" s="183"/>
      <c r="W17" s="157"/>
      <c r="X17" s="183"/>
      <c r="Z17" s="157"/>
      <c r="AA17" s="183"/>
      <c r="AC17" s="157"/>
      <c r="AD17" s="183"/>
      <c r="AF17" s="157"/>
      <c r="AG17" s="183"/>
      <c r="AI17" s="157"/>
      <c r="AJ17" s="183"/>
      <c r="AL17" s="157"/>
      <c r="AM17" s="183"/>
    </row>
    <row r="18" spans="2:39" x14ac:dyDescent="0.25">
      <c r="B18" s="157"/>
      <c r="C18" s="183"/>
      <c r="E18" s="157"/>
      <c r="F18" s="183"/>
      <c r="H18" s="157"/>
      <c r="I18" s="183"/>
      <c r="K18" s="157"/>
      <c r="L18" s="183"/>
      <c r="N18" s="188" t="s">
        <v>634</v>
      </c>
      <c r="O18" s="183"/>
      <c r="Q18" s="157"/>
      <c r="R18" s="183"/>
      <c r="T18" s="157"/>
      <c r="U18" s="183"/>
      <c r="W18" s="157"/>
      <c r="X18" s="183"/>
      <c r="Z18" s="157"/>
      <c r="AA18" s="183"/>
      <c r="AC18" s="157"/>
      <c r="AD18" s="183"/>
      <c r="AF18" s="157"/>
      <c r="AG18" s="183"/>
      <c r="AI18" s="157"/>
      <c r="AJ18" s="183"/>
      <c r="AL18" s="157"/>
      <c r="AM18" s="183"/>
    </row>
    <row r="19" spans="2:39" x14ac:dyDescent="0.25">
      <c r="B19" s="157"/>
      <c r="C19" s="183"/>
      <c r="E19" s="157"/>
      <c r="F19" s="183"/>
      <c r="H19" s="157"/>
      <c r="I19" s="183"/>
      <c r="K19" s="157"/>
      <c r="L19" s="183"/>
      <c r="N19" s="157"/>
      <c r="O19" s="183"/>
      <c r="Q19" s="157"/>
      <c r="R19" s="183"/>
      <c r="T19" s="157"/>
      <c r="U19" s="183"/>
      <c r="W19" s="157"/>
      <c r="X19" s="183"/>
      <c r="Z19" s="157"/>
      <c r="AA19" s="183"/>
      <c r="AC19" s="157"/>
      <c r="AD19" s="183"/>
      <c r="AF19" s="157"/>
      <c r="AG19" s="183"/>
      <c r="AI19" s="157"/>
      <c r="AJ19" s="183"/>
      <c r="AL19" s="157"/>
      <c r="AM19" s="183"/>
    </row>
    <row r="20" spans="2:39" x14ac:dyDescent="0.25">
      <c r="B20" s="157"/>
      <c r="C20" s="183"/>
      <c r="E20" s="157"/>
      <c r="F20" s="183"/>
      <c r="H20" s="157"/>
      <c r="I20" s="183"/>
      <c r="K20" s="157"/>
      <c r="L20" s="183"/>
      <c r="N20" s="157"/>
      <c r="O20" s="183"/>
      <c r="Q20" s="157"/>
      <c r="R20" s="183"/>
      <c r="T20" s="157"/>
      <c r="U20" s="183"/>
      <c r="W20" s="157"/>
      <c r="X20" s="183"/>
      <c r="Z20" s="157"/>
      <c r="AA20" s="183"/>
      <c r="AC20" s="157"/>
      <c r="AD20" s="183"/>
      <c r="AF20" s="157"/>
      <c r="AG20" s="183"/>
      <c r="AI20" s="157"/>
      <c r="AJ20" s="183"/>
      <c r="AL20" s="157"/>
      <c r="AM20" s="183"/>
    </row>
    <row r="21" spans="2:39" x14ac:dyDescent="0.25">
      <c r="B21" s="157"/>
      <c r="C21" s="183"/>
      <c r="E21" s="157"/>
      <c r="F21" s="183"/>
      <c r="H21" s="157"/>
      <c r="I21" s="183"/>
      <c r="K21" s="157"/>
      <c r="L21" s="183"/>
      <c r="N21" s="157"/>
      <c r="O21" s="183"/>
      <c r="Q21" s="157"/>
      <c r="R21" s="183"/>
      <c r="T21" s="157"/>
      <c r="U21" s="183"/>
      <c r="W21" s="157"/>
      <c r="X21" s="183"/>
      <c r="Z21" s="157"/>
      <c r="AA21" s="183"/>
      <c r="AC21" s="157"/>
      <c r="AD21" s="183"/>
      <c r="AF21" s="157"/>
      <c r="AG21" s="183"/>
      <c r="AI21" s="157"/>
      <c r="AJ21" s="183"/>
      <c r="AL21" s="157"/>
      <c r="AM21" s="183"/>
    </row>
    <row r="22" spans="2:39" x14ac:dyDescent="0.25">
      <c r="B22" s="157"/>
      <c r="C22" s="183"/>
      <c r="E22" s="157"/>
      <c r="F22" s="183"/>
      <c r="H22" s="157"/>
      <c r="I22" s="183"/>
      <c r="K22" s="157"/>
      <c r="L22" s="183"/>
      <c r="N22" s="157"/>
      <c r="O22" s="183"/>
      <c r="Q22" s="157"/>
      <c r="R22" s="183"/>
      <c r="T22" s="157"/>
      <c r="U22" s="183"/>
      <c r="W22" s="157"/>
      <c r="X22" s="183"/>
      <c r="Z22" s="157"/>
      <c r="AA22" s="183"/>
      <c r="AC22" s="157"/>
      <c r="AD22" s="183"/>
      <c r="AF22" s="157"/>
      <c r="AG22" s="183"/>
      <c r="AI22" s="157"/>
      <c r="AJ22" s="183"/>
      <c r="AL22" s="157"/>
      <c r="AM22" s="183"/>
    </row>
    <row r="23" spans="2:39" x14ac:dyDescent="0.25">
      <c r="B23" s="185" t="s">
        <v>292</v>
      </c>
      <c r="C23" s="186">
        <f>+C5+C16+C19</f>
        <v>306.77337999641895</v>
      </c>
      <c r="E23" s="185" t="s">
        <v>292</v>
      </c>
      <c r="F23" s="186">
        <f>+F5+F16+F19</f>
        <v>0</v>
      </c>
      <c r="H23" s="185" t="s">
        <v>292</v>
      </c>
      <c r="I23" s="186">
        <f>+I5+I16</f>
        <v>0.4699999988079071</v>
      </c>
      <c r="K23" s="185" t="s">
        <v>292</v>
      </c>
      <c r="L23" s="186">
        <f>+L5+L16</f>
        <v>0.4699999988079071</v>
      </c>
      <c r="M23" s="180"/>
      <c r="N23" s="185" t="s">
        <v>292</v>
      </c>
      <c r="O23" s="186">
        <f>+O5+O16+O18</f>
        <v>0</v>
      </c>
      <c r="Q23" s="185" t="s">
        <v>292</v>
      </c>
      <c r="R23" s="186">
        <f>+R5+R16</f>
        <v>-300000</v>
      </c>
      <c r="T23" s="185" t="s">
        <v>292</v>
      </c>
      <c r="U23" s="186">
        <f>+U5+U16</f>
        <v>0</v>
      </c>
      <c r="W23" s="185" t="s">
        <v>292</v>
      </c>
      <c r="X23" s="186">
        <f>+X5+X16</f>
        <v>0.4699999988079071</v>
      </c>
      <c r="Z23" s="185" t="s">
        <v>292</v>
      </c>
      <c r="AA23" s="186">
        <f>+AA5+AA16</f>
        <v>0.4699999988079071</v>
      </c>
      <c r="AC23" s="185" t="s">
        <v>292</v>
      </c>
      <c r="AD23" s="186">
        <f>+AD5+AD16</f>
        <v>0.4699999988079071</v>
      </c>
      <c r="AF23" s="185" t="s">
        <v>292</v>
      </c>
      <c r="AG23" s="186">
        <f>+AG5+AG16</f>
        <v>0.4699999988079071</v>
      </c>
      <c r="AI23" s="185" t="s">
        <v>292</v>
      </c>
      <c r="AJ23" s="186">
        <f>+AJ5+AJ16</f>
        <v>0.4699999988079071</v>
      </c>
      <c r="AL23" s="185" t="s">
        <v>292</v>
      </c>
      <c r="AM23" s="186">
        <f>+AM5+AM16</f>
        <v>0.4699999988079071</v>
      </c>
    </row>
    <row r="24" spans="2:39" x14ac:dyDescent="0.25">
      <c r="B24" s="158"/>
      <c r="C24" s="187"/>
      <c r="E24" s="158"/>
      <c r="F24" s="187"/>
      <c r="H24" s="158"/>
      <c r="I24" s="187"/>
      <c r="K24" s="158"/>
      <c r="L24" s="187"/>
      <c r="N24" s="158"/>
      <c r="O24" s="187"/>
      <c r="Q24" s="158"/>
      <c r="R24" s="187"/>
      <c r="T24" s="158"/>
      <c r="U24" s="187"/>
      <c r="W24" s="158"/>
      <c r="X24" s="187"/>
      <c r="Z24" s="158"/>
      <c r="AA24" s="187"/>
      <c r="AC24" s="158"/>
      <c r="AD24" s="187"/>
      <c r="AF24" s="158"/>
      <c r="AG24" s="187"/>
      <c r="AI24" s="158"/>
      <c r="AJ24" s="187"/>
      <c r="AL24" s="158"/>
      <c r="AM24" s="187"/>
    </row>
    <row r="25" spans="2:39" x14ac:dyDescent="0.25">
      <c r="O25" s="180"/>
      <c r="R25" s="180"/>
      <c r="X25" s="180">
        <f>+U23-X23</f>
        <v>-0.4699999988079071</v>
      </c>
      <c r="AA25" s="180">
        <f>+X23-AA23</f>
        <v>0</v>
      </c>
      <c r="AD25" s="180">
        <f>+AD23-AA23</f>
        <v>0</v>
      </c>
      <c r="AG25" s="180">
        <f>+AG23-AD23</f>
        <v>0</v>
      </c>
      <c r="AJ25" s="180">
        <f>+AJ23-AG23</f>
        <v>0</v>
      </c>
      <c r="AM25" s="180">
        <f>+AM23-AJ23</f>
        <v>0</v>
      </c>
    </row>
    <row r="26" spans="2:39" x14ac:dyDescent="0.25">
      <c r="F26" s="180">
        <f>+F23-C23</f>
        <v>-306.77337999641895</v>
      </c>
      <c r="I26" s="180"/>
    </row>
    <row r="27" spans="2:39" x14ac:dyDescent="0.25">
      <c r="I27" s="180"/>
      <c r="R27" s="183"/>
    </row>
    <row r="28" spans="2:39" x14ac:dyDescent="0.25">
      <c r="R28" s="183"/>
      <c r="U28" s="180"/>
    </row>
    <row r="30" spans="2:39" x14ac:dyDescent="0.25">
      <c r="AG30" s="180"/>
    </row>
    <row r="31" spans="2:39" x14ac:dyDescent="0.25">
      <c r="AG31" s="180"/>
    </row>
    <row r="32" spans="2:39" x14ac:dyDescent="0.25">
      <c r="AG32" s="180"/>
    </row>
    <row r="33" spans="39:39" x14ac:dyDescent="0.25">
      <c r="AM33" s="180">
        <f>SUM(AM23:AM32)</f>
        <v>0.4699999988079071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6">
    <tabColor rgb="FF002060"/>
  </sheetPr>
  <dimension ref="B1:AN34"/>
  <sheetViews>
    <sheetView topLeftCell="AK1" zoomScale="90" zoomScaleNormal="90" workbookViewId="0">
      <selection activeCell="AL12" sqref="AL12"/>
    </sheetView>
  </sheetViews>
  <sheetFormatPr baseColWidth="10" defaultRowHeight="15.65" x14ac:dyDescent="0.25"/>
  <cols>
    <col min="1" max="1" width="11.3984375" customWidth="1"/>
    <col min="2" max="2" width="22.69921875" bestFit="1" customWidth="1"/>
    <col min="3" max="4" width="11.3984375" style="180" customWidth="1"/>
    <col min="5" max="5" width="27.796875" style="180" bestFit="1" customWidth="1"/>
    <col min="6" max="6" width="11.19921875" style="180" bestFit="1" customWidth="1"/>
    <col min="7" max="7" width="11.3984375" style="180" customWidth="1"/>
    <col min="8" max="8" width="22.69921875" style="180" bestFit="1" customWidth="1"/>
    <col min="9" max="9" width="12.19921875" bestFit="1" customWidth="1"/>
    <col min="10" max="10" width="11.3984375" customWidth="1"/>
    <col min="11" max="11" width="22.69921875" bestFit="1" customWidth="1"/>
    <col min="12" max="13" width="11.3984375" customWidth="1"/>
    <col min="14" max="14" width="22.69921875" bestFit="1" customWidth="1"/>
    <col min="15" max="16" width="11.3984375" customWidth="1"/>
    <col min="17" max="17" width="22.69921875" bestFit="1" customWidth="1"/>
    <col min="18" max="19" width="11.3984375" customWidth="1"/>
    <col min="20" max="20" width="22.69921875" bestFit="1" customWidth="1"/>
    <col min="21" max="22" width="11.3984375" customWidth="1"/>
    <col min="23" max="23" width="22.69921875" bestFit="1" customWidth="1"/>
    <col min="24" max="24" width="12.19921875" bestFit="1" customWidth="1"/>
    <col min="25" max="25" width="11.3984375" customWidth="1"/>
    <col min="26" max="26" width="22.69921875" bestFit="1" customWidth="1"/>
    <col min="27" max="27" width="14" customWidth="1"/>
    <col min="28" max="28" width="11.3984375" customWidth="1"/>
    <col min="29" max="29" width="22.69921875" bestFit="1" customWidth="1"/>
    <col min="30" max="31" width="11.3984375" customWidth="1"/>
    <col min="32" max="32" width="22.69921875" bestFit="1" customWidth="1"/>
    <col min="33" max="33" width="12.09765625" bestFit="1" customWidth="1"/>
    <col min="34" max="34" width="11.3984375" customWidth="1"/>
    <col min="35" max="35" width="23.796875" bestFit="1" customWidth="1"/>
    <col min="36" max="36" width="12" bestFit="1" customWidth="1"/>
    <col min="37" max="37" width="11.3984375" customWidth="1"/>
    <col min="38" max="38" width="36.3984375" customWidth="1"/>
    <col min="39" max="39" width="12.19921875" customWidth="1"/>
  </cols>
  <sheetData>
    <row r="1" spans="2:40" x14ac:dyDescent="0.25">
      <c r="F1" s="180">
        <v>1</v>
      </c>
      <c r="I1">
        <v>2</v>
      </c>
      <c r="L1">
        <v>3</v>
      </c>
      <c r="O1">
        <v>4</v>
      </c>
      <c r="R1">
        <v>5</v>
      </c>
      <c r="U1">
        <v>6</v>
      </c>
      <c r="X1">
        <v>7</v>
      </c>
      <c r="AA1">
        <v>8</v>
      </c>
      <c r="AD1">
        <v>9</v>
      </c>
      <c r="AG1">
        <v>10</v>
      </c>
      <c r="AJ1">
        <v>11</v>
      </c>
      <c r="AM1">
        <v>12</v>
      </c>
    </row>
    <row r="2" spans="2:40" ht="19.05" x14ac:dyDescent="0.35">
      <c r="B2" s="181" t="s">
        <v>263</v>
      </c>
      <c r="C2" s="182"/>
      <c r="E2" s="181" t="s">
        <v>263</v>
      </c>
      <c r="F2" s="182"/>
      <c r="H2" s="181" t="s">
        <v>263</v>
      </c>
      <c r="I2" s="182"/>
      <c r="K2" s="181" t="s">
        <v>263</v>
      </c>
      <c r="L2" s="182"/>
      <c r="N2" s="181" t="s">
        <v>263</v>
      </c>
      <c r="O2" s="182"/>
      <c r="Q2" s="181" t="s">
        <v>263</v>
      </c>
      <c r="R2" s="182"/>
      <c r="T2" s="181" t="s">
        <v>263</v>
      </c>
      <c r="U2" s="182"/>
      <c r="W2" s="181" t="s">
        <v>263</v>
      </c>
      <c r="X2" s="182"/>
      <c r="Z2" s="181" t="s">
        <v>263</v>
      </c>
      <c r="AA2" s="182"/>
      <c r="AC2" s="181" t="s">
        <v>263</v>
      </c>
      <c r="AD2" s="182"/>
      <c r="AF2" s="181" t="s">
        <v>263</v>
      </c>
      <c r="AG2" s="182"/>
      <c r="AI2" s="181" t="s">
        <v>263</v>
      </c>
      <c r="AJ2" s="182"/>
      <c r="AL2" s="181" t="s">
        <v>263</v>
      </c>
      <c r="AM2" s="182"/>
    </row>
    <row r="3" spans="2:40" x14ac:dyDescent="0.25">
      <c r="B3" s="157" t="s">
        <v>264</v>
      </c>
      <c r="C3" s="183">
        <v>2243143</v>
      </c>
      <c r="E3" s="157" t="s">
        <v>265</v>
      </c>
      <c r="F3" s="183">
        <f>SUMIFS('Diario Cali'!$E:$E,'Diario Cali'!$C:$C,116,'Diario Cali'!$B:$B,F1)</f>
        <v>74865547</v>
      </c>
      <c r="H3" s="157" t="s">
        <v>266</v>
      </c>
      <c r="I3" s="183">
        <f>SUMIFS('Diario Cali'!$E:$E,'Diario Cali'!$C:$C,116,'Diario Cali'!$B:$B,I1)+F3</f>
        <v>3409141</v>
      </c>
      <c r="K3" s="157" t="s">
        <v>267</v>
      </c>
      <c r="L3" s="183">
        <f>SUMIFS('Diario Cali'!$E:$E,'Diario Cali'!$C:$C,116,'Diario Cali'!$B:$B,L1)+I3</f>
        <v>2624441</v>
      </c>
      <c r="M3" s="180"/>
      <c r="N3" s="157" t="s">
        <v>268</v>
      </c>
      <c r="O3" s="183">
        <f>SUMIFS('Diario Cali'!$E:$E,'Diario Cali'!$C:$C,116,'Diario Cali'!$B:$B,O1)+L3</f>
        <v>35514158</v>
      </c>
      <c r="Q3" s="157" t="s">
        <v>269</v>
      </c>
      <c r="R3" s="183">
        <f>SUMIFS('Diario Cali'!$E:$E,'Diario Cali'!$C:$C,116,'Diario Cali'!$B:$B,R1)+O3</f>
        <v>2474994</v>
      </c>
      <c r="T3" s="157" t="s">
        <v>270</v>
      </c>
      <c r="U3" s="183">
        <f>SUMIFS('Diario Cali'!$E:$E,'Diario Cali'!$C:$C,116,'Diario Cali'!$B:$B,U1)+R3</f>
        <v>2849938</v>
      </c>
      <c r="W3" s="157" t="s">
        <v>271</v>
      </c>
      <c r="X3" s="183">
        <f>SUMIFS('Diario Cali'!$E:$E,'Diario Cali'!$C:$C,116,'Diario Cali'!$B:$B,X1)+U3</f>
        <v>2698113</v>
      </c>
      <c r="Z3" s="157" t="s">
        <v>272</v>
      </c>
      <c r="AA3" s="183">
        <f>SUMIFS('Diario Cali'!$E:$E,'Diario Cali'!$C:$C,116,'Diario Cali'!$B:$B,AA1)+X3</f>
        <v>6201622</v>
      </c>
      <c r="AC3" s="157" t="s">
        <v>273</v>
      </c>
      <c r="AD3" s="183">
        <f>SUMIFS('Diario Cali'!$E:$E,'Diario Cali'!$C:$C,116,'Diario Cali'!$B:$B,AD1)+AA3</f>
        <v>7170761</v>
      </c>
      <c r="AF3" s="157" t="s">
        <v>274</v>
      </c>
      <c r="AG3" s="183">
        <f>SUMIFS('Diario Cali'!$E:$E,'Diario Cali'!$C:$C,116,'Diario Cali'!$B:$B,AG1)+AD3</f>
        <v>8423281</v>
      </c>
      <c r="AI3" s="157" t="s">
        <v>275</v>
      </c>
      <c r="AJ3" s="183">
        <f>SUMIFS('Diario Cali'!$E:$E,'Diario Cali'!$C:$C,116,'Diario Cali'!$B:$B,AJ1)+AG3</f>
        <v>992485</v>
      </c>
      <c r="AL3" s="157" t="s">
        <v>264</v>
      </c>
      <c r="AM3" s="183">
        <f>SUMIFS('Diario Cali'!$E:$E,'Diario Cali'!$C:$C,116,'Diario Cali'!$B:$B,AM1)+AJ3</f>
        <v>760845</v>
      </c>
    </row>
    <row r="4" spans="2:40" x14ac:dyDescent="0.25">
      <c r="B4" s="157" t="s">
        <v>276</v>
      </c>
      <c r="C4" s="183">
        <v>2243143</v>
      </c>
      <c r="E4" s="157" t="s">
        <v>277</v>
      </c>
      <c r="F4" s="183">
        <v>74865547</v>
      </c>
      <c r="H4" s="157" t="s">
        <v>278</v>
      </c>
      <c r="I4" s="183">
        <v>3409141</v>
      </c>
      <c r="K4" s="157" t="s">
        <v>279</v>
      </c>
      <c r="L4" s="183">
        <v>2624441</v>
      </c>
      <c r="M4" s="180"/>
      <c r="N4" s="157" t="s">
        <v>280</v>
      </c>
      <c r="O4" s="183">
        <v>35514158</v>
      </c>
      <c r="Q4" s="157" t="s">
        <v>281</v>
      </c>
      <c r="R4" s="183">
        <v>2474994</v>
      </c>
      <c r="T4" s="157" t="s">
        <v>282</v>
      </c>
      <c r="U4" s="183">
        <v>2849938</v>
      </c>
      <c r="W4" s="157" t="s">
        <v>283</v>
      </c>
      <c r="X4" s="183">
        <v>2698113</v>
      </c>
      <c r="Z4" s="157" t="s">
        <v>284</v>
      </c>
      <c r="AA4" s="183">
        <v>6201622</v>
      </c>
      <c r="AC4" s="157" t="s">
        <v>285</v>
      </c>
      <c r="AD4" s="183">
        <v>7170761</v>
      </c>
      <c r="AF4" s="157" t="s">
        <v>286</v>
      </c>
      <c r="AG4" s="183">
        <v>8423281</v>
      </c>
      <c r="AI4" s="157" t="s">
        <v>287</v>
      </c>
      <c r="AJ4" s="183">
        <v>992485</v>
      </c>
      <c r="AL4" s="157" t="s">
        <v>276</v>
      </c>
      <c r="AM4" s="183">
        <v>760845</v>
      </c>
    </row>
    <row r="5" spans="2:40" x14ac:dyDescent="0.25">
      <c r="B5" s="157" t="s">
        <v>288</v>
      </c>
      <c r="C5" s="184">
        <f>+C3-C4</f>
        <v>0</v>
      </c>
      <c r="D5" s="180">
        <v>0</v>
      </c>
      <c r="E5" s="157" t="s">
        <v>288</v>
      </c>
      <c r="F5" s="184">
        <f>+F3-F4</f>
        <v>0</v>
      </c>
      <c r="H5" s="157" t="s">
        <v>288</v>
      </c>
      <c r="I5" s="184">
        <f>+I3-I4</f>
        <v>0</v>
      </c>
      <c r="K5" s="157" t="s">
        <v>288</v>
      </c>
      <c r="L5" s="184">
        <f>+L3-L4</f>
        <v>0</v>
      </c>
      <c r="M5" s="180"/>
      <c r="N5" s="157" t="s">
        <v>288</v>
      </c>
      <c r="O5" s="184">
        <f>+O3-O4</f>
        <v>0</v>
      </c>
      <c r="Q5" s="157" t="s">
        <v>288</v>
      </c>
      <c r="R5" s="184">
        <f>+R3-R4</f>
        <v>0</v>
      </c>
      <c r="T5" s="157" t="s">
        <v>288</v>
      </c>
      <c r="U5" s="184">
        <f>+U3-U4</f>
        <v>0</v>
      </c>
      <c r="W5" s="157" t="s">
        <v>288</v>
      </c>
      <c r="X5" s="184">
        <f>+X3-X4</f>
        <v>0</v>
      </c>
      <c r="Z5" s="157" t="s">
        <v>288</v>
      </c>
      <c r="AA5" s="184">
        <f>+AA3-AA4</f>
        <v>0</v>
      </c>
      <c r="AC5" s="157" t="s">
        <v>288</v>
      </c>
      <c r="AD5" s="184">
        <f>+AD3-AD4</f>
        <v>0</v>
      </c>
      <c r="AF5" s="157" t="s">
        <v>288</v>
      </c>
      <c r="AG5" s="184">
        <f>+AG3-AG4</f>
        <v>0</v>
      </c>
      <c r="AI5" s="157" t="s">
        <v>288</v>
      </c>
      <c r="AJ5" s="184">
        <f>+AJ3-AJ4</f>
        <v>0</v>
      </c>
      <c r="AL5" s="157" t="s">
        <v>288</v>
      </c>
      <c r="AM5" s="184">
        <f>+AM3-AM4</f>
        <v>0</v>
      </c>
      <c r="AN5" s="180"/>
    </row>
    <row r="6" spans="2:40" x14ac:dyDescent="0.25">
      <c r="B6" s="157"/>
      <c r="C6" s="183"/>
      <c r="E6" s="157"/>
      <c r="F6" s="183"/>
      <c r="H6" s="157"/>
      <c r="I6" s="183"/>
      <c r="K6" s="157"/>
      <c r="L6" s="183"/>
      <c r="N6" s="157"/>
      <c r="O6" s="183"/>
      <c r="Q6" s="157"/>
      <c r="R6" s="183"/>
      <c r="T6" s="157"/>
      <c r="U6" s="183"/>
      <c r="W6" s="157"/>
      <c r="X6" s="183"/>
      <c r="Z6" s="157"/>
      <c r="AA6" s="183"/>
      <c r="AC6" s="157"/>
      <c r="AD6" s="183"/>
      <c r="AF6" s="157"/>
      <c r="AG6" s="183"/>
      <c r="AI6" s="157"/>
      <c r="AJ6" s="183"/>
      <c r="AL6" s="157"/>
      <c r="AM6" s="183"/>
    </row>
    <row r="7" spans="2:40" x14ac:dyDescent="0.25">
      <c r="B7" s="157"/>
      <c r="C7" s="183"/>
      <c r="E7" s="157"/>
      <c r="F7" s="183"/>
      <c r="H7" s="157"/>
      <c r="I7" s="183"/>
      <c r="K7" s="157"/>
      <c r="L7" s="183"/>
      <c r="N7" s="157"/>
      <c r="O7" s="183"/>
      <c r="Q7" s="157"/>
      <c r="R7" s="183"/>
      <c r="T7" s="157"/>
      <c r="U7" s="183"/>
      <c r="W7" s="157"/>
      <c r="X7" s="183"/>
      <c r="Z7" s="157"/>
      <c r="AA7" s="183"/>
      <c r="AC7" s="157"/>
      <c r="AD7" s="183"/>
      <c r="AF7" s="157"/>
      <c r="AG7" s="183"/>
      <c r="AI7" s="157"/>
      <c r="AJ7" s="183"/>
      <c r="AL7" s="157"/>
      <c r="AM7" s="183"/>
    </row>
    <row r="8" spans="2:40" x14ac:dyDescent="0.25">
      <c r="B8" s="157" t="s">
        <v>289</v>
      </c>
      <c r="C8" s="183"/>
      <c r="E8" s="157" t="s">
        <v>289</v>
      </c>
      <c r="F8" s="183"/>
      <c r="H8" s="157" t="s">
        <v>289</v>
      </c>
      <c r="I8" s="183"/>
      <c r="K8" s="157" t="s">
        <v>289</v>
      </c>
      <c r="L8" s="183"/>
      <c r="N8" s="157" t="s">
        <v>289</v>
      </c>
      <c r="O8" s="183"/>
      <c r="Q8" s="157" t="s">
        <v>289</v>
      </c>
      <c r="R8" s="183"/>
      <c r="T8" s="157" t="s">
        <v>289</v>
      </c>
      <c r="U8" s="183"/>
      <c r="W8" s="157" t="s">
        <v>289</v>
      </c>
      <c r="X8" s="183"/>
      <c r="Z8" s="157" t="s">
        <v>289</v>
      </c>
      <c r="AA8" s="183"/>
      <c r="AC8" s="157" t="s">
        <v>289</v>
      </c>
      <c r="AD8" s="183"/>
      <c r="AF8" s="157" t="s">
        <v>289</v>
      </c>
      <c r="AG8" s="183"/>
      <c r="AI8" s="157" t="s">
        <v>289</v>
      </c>
      <c r="AJ8" s="183"/>
      <c r="AL8" s="157" t="s">
        <v>289</v>
      </c>
      <c r="AM8" s="183"/>
    </row>
    <row r="9" spans="2:40" x14ac:dyDescent="0.25">
      <c r="B9" s="188"/>
      <c r="C9" s="183"/>
      <c r="E9"/>
      <c r="F9" s="155"/>
      <c r="H9"/>
      <c r="I9" s="155"/>
      <c r="L9" s="155"/>
      <c r="O9" s="155"/>
      <c r="R9" s="155"/>
      <c r="T9" s="157" t="s">
        <v>660</v>
      </c>
      <c r="U9" s="155">
        <v>0</v>
      </c>
      <c r="W9" s="188"/>
      <c r="X9" s="183"/>
      <c r="Z9" s="188"/>
      <c r="AA9" s="183"/>
      <c r="AC9" s="188"/>
      <c r="AD9" s="183"/>
      <c r="AE9" s="159"/>
      <c r="AF9" s="157"/>
      <c r="AG9" s="183"/>
      <c r="AI9" s="157"/>
      <c r="AJ9" s="183"/>
      <c r="AL9" s="188" t="s">
        <v>712</v>
      </c>
      <c r="AM9" s="183">
        <v>0</v>
      </c>
    </row>
    <row r="10" spans="2:40" x14ac:dyDescent="0.25">
      <c r="B10" s="188"/>
      <c r="C10" s="183"/>
      <c r="E10"/>
      <c r="F10" s="155"/>
      <c r="H10"/>
      <c r="I10" s="155"/>
      <c r="K10" s="191"/>
      <c r="L10" s="183"/>
      <c r="N10" s="206"/>
      <c r="O10" s="183"/>
      <c r="R10" s="155"/>
      <c r="U10" s="155"/>
      <c r="W10" s="260"/>
      <c r="X10" s="261"/>
      <c r="AA10" s="266"/>
      <c r="AD10" s="315"/>
      <c r="AE10" s="159"/>
      <c r="AF10" s="157"/>
      <c r="AG10" s="183"/>
      <c r="AI10" s="157"/>
      <c r="AJ10" s="183"/>
      <c r="AL10" s="188"/>
      <c r="AM10" s="183"/>
    </row>
    <row r="11" spans="2:40" x14ac:dyDescent="0.25">
      <c r="B11" s="157"/>
      <c r="C11" s="183"/>
      <c r="E11" s="157"/>
      <c r="F11" s="183"/>
      <c r="H11" s="157"/>
      <c r="I11" s="183"/>
      <c r="K11" s="157"/>
      <c r="L11" s="183"/>
      <c r="N11" s="157"/>
      <c r="O11" s="183"/>
      <c r="Q11" s="188"/>
      <c r="R11" s="183"/>
      <c r="T11" s="157"/>
      <c r="U11" s="183"/>
      <c r="W11" s="188"/>
      <c r="X11" s="183"/>
      <c r="Z11" s="188"/>
      <c r="AA11" s="183"/>
      <c r="AC11" s="262"/>
      <c r="AD11" s="316"/>
      <c r="AE11" s="317"/>
      <c r="AF11" s="157"/>
      <c r="AG11" s="183"/>
      <c r="AI11" s="188"/>
      <c r="AJ11" s="183"/>
      <c r="AL11" s="188"/>
      <c r="AM11" s="183"/>
    </row>
    <row r="12" spans="2:40" ht="16.3" thickBot="1" x14ac:dyDescent="0.3">
      <c r="B12" s="157"/>
      <c r="C12" s="183"/>
      <c r="E12" s="157"/>
      <c r="F12" s="183"/>
      <c r="H12" s="157"/>
      <c r="I12" s="183"/>
      <c r="K12" s="157"/>
      <c r="L12" s="183"/>
      <c r="N12" s="157"/>
      <c r="O12" s="183"/>
      <c r="Q12" s="157"/>
      <c r="R12" s="183"/>
      <c r="T12" s="157"/>
      <c r="U12" s="183"/>
      <c r="W12" s="157"/>
      <c r="X12" s="183"/>
      <c r="Z12" s="157"/>
      <c r="AA12" s="183"/>
      <c r="AC12" s="263"/>
      <c r="AD12" s="318"/>
      <c r="AE12" s="317"/>
      <c r="AF12" s="157"/>
      <c r="AG12" s="183"/>
      <c r="AI12" s="157"/>
      <c r="AJ12" s="183"/>
      <c r="AL12" s="157"/>
      <c r="AM12" s="183"/>
    </row>
    <row r="13" spans="2:40" x14ac:dyDescent="0.25">
      <c r="B13" s="157" t="s">
        <v>290</v>
      </c>
      <c r="C13" s="184">
        <f>SUM(C9:C12)</f>
        <v>0</v>
      </c>
      <c r="E13" s="157" t="s">
        <v>291</v>
      </c>
      <c r="F13" s="184">
        <f>SUM(F9:F11)</f>
        <v>0</v>
      </c>
      <c r="H13" s="157" t="s">
        <v>291</v>
      </c>
      <c r="I13" s="184">
        <f>SUM(I9:I11)</f>
        <v>0</v>
      </c>
      <c r="K13" s="157" t="s">
        <v>291</v>
      </c>
      <c r="L13" s="184">
        <f>SUM(L9:L12)</f>
        <v>0</v>
      </c>
      <c r="N13" s="157" t="s">
        <v>291</v>
      </c>
      <c r="O13" s="184">
        <f>SUM(O9:O10)</f>
        <v>0</v>
      </c>
      <c r="Q13" s="157" t="s">
        <v>291</v>
      </c>
      <c r="R13" s="184">
        <f>SUM(R9:R11)</f>
        <v>0</v>
      </c>
      <c r="T13" s="157" t="s">
        <v>291</v>
      </c>
      <c r="U13" s="184">
        <f>SUM(U9:U10)</f>
        <v>0</v>
      </c>
      <c r="W13" s="157" t="s">
        <v>291</v>
      </c>
      <c r="X13" s="184">
        <f>SUM(X9:X12)</f>
        <v>0</v>
      </c>
      <c r="Z13" s="157" t="s">
        <v>291</v>
      </c>
      <c r="AA13" s="184">
        <f>SUM(AA9:AA12)</f>
        <v>0</v>
      </c>
      <c r="AC13" s="157" t="s">
        <v>291</v>
      </c>
      <c r="AD13" s="184">
        <f>SUM(AD9:AD12)</f>
        <v>0</v>
      </c>
      <c r="AE13" s="159"/>
      <c r="AF13" s="157" t="s">
        <v>291</v>
      </c>
      <c r="AG13" s="183">
        <f>SUM(AG9:AG12)</f>
        <v>0</v>
      </c>
      <c r="AI13" s="157" t="s">
        <v>291</v>
      </c>
      <c r="AJ13" s="183">
        <f>SUM(AJ9:AJ12)</f>
        <v>0</v>
      </c>
      <c r="AL13" s="157" t="s">
        <v>291</v>
      </c>
      <c r="AM13" s="183">
        <f>SUM(AM9:AM12)</f>
        <v>0</v>
      </c>
    </row>
    <row r="14" spans="2:40" x14ac:dyDescent="0.25">
      <c r="B14" s="157"/>
      <c r="C14" s="183"/>
      <c r="E14" s="157"/>
      <c r="F14" s="183"/>
      <c r="H14" s="157"/>
      <c r="I14" s="183"/>
      <c r="K14" s="157"/>
      <c r="L14" s="183"/>
      <c r="N14" s="157"/>
      <c r="O14" s="183"/>
      <c r="Q14" s="157"/>
      <c r="R14" s="183"/>
      <c r="T14" s="157"/>
      <c r="U14" s="183"/>
      <c r="W14" s="157"/>
      <c r="X14" s="183"/>
      <c r="Z14" s="157"/>
      <c r="AA14" s="183"/>
      <c r="AC14" s="157"/>
      <c r="AD14" s="183"/>
      <c r="AF14" s="157"/>
      <c r="AG14" s="183"/>
      <c r="AI14" s="157"/>
      <c r="AJ14" s="183"/>
      <c r="AL14" s="157"/>
      <c r="AM14" s="183"/>
    </row>
    <row r="15" spans="2:40" x14ac:dyDescent="0.25">
      <c r="B15" s="157"/>
      <c r="C15" s="183"/>
      <c r="E15" s="157"/>
      <c r="F15" s="183"/>
      <c r="H15" s="157"/>
      <c r="I15" s="183"/>
      <c r="K15" s="157"/>
      <c r="L15" s="183"/>
      <c r="N15" s="157"/>
      <c r="O15" s="183"/>
      <c r="Q15" s="157"/>
      <c r="R15" s="183"/>
      <c r="T15" s="157"/>
      <c r="U15" s="183"/>
      <c r="W15" s="157"/>
      <c r="X15" s="183"/>
      <c r="Z15" s="157"/>
      <c r="AA15" s="183"/>
      <c r="AC15" s="157"/>
      <c r="AD15" s="183"/>
      <c r="AF15" s="157"/>
      <c r="AG15" s="183"/>
      <c r="AI15" s="157"/>
      <c r="AJ15" s="183"/>
      <c r="AL15" s="157"/>
      <c r="AM15" s="183"/>
    </row>
    <row r="16" spans="2:40" x14ac:dyDescent="0.25">
      <c r="B16" s="157"/>
      <c r="C16" s="183"/>
      <c r="E16" s="157"/>
      <c r="F16" s="183"/>
      <c r="H16" s="157"/>
      <c r="I16" s="183"/>
      <c r="K16" s="157"/>
      <c r="L16" s="183"/>
      <c r="N16" s="157"/>
      <c r="O16" s="183"/>
      <c r="Q16" s="157"/>
      <c r="R16" s="183"/>
      <c r="T16" s="157"/>
      <c r="U16" s="183"/>
      <c r="W16" s="157"/>
      <c r="X16" s="183"/>
      <c r="Z16" s="157"/>
      <c r="AA16" s="183"/>
      <c r="AC16" s="157"/>
      <c r="AD16" s="183"/>
      <c r="AF16" s="157"/>
      <c r="AG16" s="183"/>
      <c r="AI16" s="157"/>
      <c r="AJ16" s="183"/>
      <c r="AL16" s="157"/>
      <c r="AM16" s="183"/>
    </row>
    <row r="17" spans="2:40" x14ac:dyDescent="0.25">
      <c r="B17" s="185" t="s">
        <v>292</v>
      </c>
      <c r="C17" s="186">
        <f>+C5+C13</f>
        <v>0</v>
      </c>
      <c r="E17" s="185" t="s">
        <v>292</v>
      </c>
      <c r="F17" s="186">
        <f>+F5+F13</f>
        <v>0</v>
      </c>
      <c r="H17" s="185" t="s">
        <v>292</v>
      </c>
      <c r="I17" s="186">
        <f>+I5+I13</f>
        <v>0</v>
      </c>
      <c r="K17" s="185" t="s">
        <v>292</v>
      </c>
      <c r="L17" s="186">
        <f>+L5+L13</f>
        <v>0</v>
      </c>
      <c r="M17" s="180"/>
      <c r="N17" s="185" t="s">
        <v>292</v>
      </c>
      <c r="O17" s="186">
        <f>+O5+O13</f>
        <v>0</v>
      </c>
      <c r="Q17" s="185" t="s">
        <v>292</v>
      </c>
      <c r="R17" s="186">
        <f>+R5+R13</f>
        <v>0</v>
      </c>
      <c r="T17" s="185" t="s">
        <v>292</v>
      </c>
      <c r="U17" s="186">
        <f>+U5+U13</f>
        <v>0</v>
      </c>
      <c r="W17" s="185" t="s">
        <v>292</v>
      </c>
      <c r="X17" s="186">
        <f>+X5+X13</f>
        <v>0</v>
      </c>
      <c r="Z17" s="185" t="s">
        <v>292</v>
      </c>
      <c r="AA17" s="186">
        <f>+AA5+AA13</f>
        <v>0</v>
      </c>
      <c r="AC17" s="185" t="s">
        <v>292</v>
      </c>
      <c r="AD17" s="186">
        <f>+AD5+AD13</f>
        <v>0</v>
      </c>
      <c r="AF17" s="185" t="s">
        <v>292</v>
      </c>
      <c r="AG17" s="186">
        <f>+AG5+AG13</f>
        <v>0</v>
      </c>
      <c r="AI17" s="185" t="s">
        <v>292</v>
      </c>
      <c r="AJ17" s="186">
        <f>+AJ5+AJ13</f>
        <v>0</v>
      </c>
      <c r="AL17" s="185" t="s">
        <v>292</v>
      </c>
      <c r="AM17" s="186">
        <f>+AM5+AM13</f>
        <v>0</v>
      </c>
    </row>
    <row r="18" spans="2:40" x14ac:dyDescent="0.25">
      <c r="B18" s="158"/>
      <c r="C18" s="187"/>
      <c r="E18" s="158"/>
      <c r="F18" s="187"/>
      <c r="H18" s="158"/>
      <c r="I18" s="187"/>
      <c r="K18" s="158"/>
      <c r="L18" s="187"/>
      <c r="N18" s="158"/>
      <c r="O18" s="187"/>
      <c r="Q18" s="158"/>
      <c r="R18" s="187"/>
      <c r="T18" s="158"/>
      <c r="U18" s="187"/>
      <c r="W18" s="158"/>
      <c r="X18" s="187"/>
      <c r="Z18" s="158"/>
      <c r="AA18" s="187"/>
      <c r="AC18" s="158"/>
      <c r="AD18" s="187"/>
      <c r="AF18" s="158"/>
      <c r="AG18" s="187"/>
      <c r="AI18" s="158"/>
      <c r="AJ18" s="187"/>
      <c r="AL18" s="158"/>
      <c r="AM18" s="187"/>
    </row>
    <row r="19" spans="2:40" x14ac:dyDescent="0.25">
      <c r="O19" s="180"/>
      <c r="R19" s="180"/>
      <c r="X19" s="180">
        <f>+U17-X17</f>
        <v>0</v>
      </c>
      <c r="AA19" s="180">
        <f>+X17-AA17</f>
        <v>0</v>
      </c>
      <c r="AD19" s="180">
        <f>+AD17-AA17</f>
        <v>0</v>
      </c>
      <c r="AG19" s="180">
        <f>+AG17-AD17</f>
        <v>0</v>
      </c>
      <c r="AJ19" s="180">
        <f>+AJ17-AG17</f>
        <v>0</v>
      </c>
      <c r="AM19" s="180">
        <f>+AM17-AJ17</f>
        <v>0</v>
      </c>
      <c r="AN19" s="180"/>
    </row>
    <row r="21" spans="2:40" x14ac:dyDescent="0.25">
      <c r="I21" s="180"/>
      <c r="R21" s="183"/>
    </row>
    <row r="22" spans="2:40" x14ac:dyDescent="0.25">
      <c r="R22" s="183"/>
      <c r="U22" s="180"/>
    </row>
    <row r="27" spans="2:40" x14ac:dyDescent="0.25">
      <c r="AM27" s="180">
        <f>SUM(AM17:AM26)</f>
        <v>0</v>
      </c>
    </row>
    <row r="34" spans="27:27" x14ac:dyDescent="0.25">
      <c r="AA34" s="382">
        <f>SUM('Pablo Cerda'!D11:D20)</f>
        <v>28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2060"/>
  </sheetPr>
  <dimension ref="B1:AN33"/>
  <sheetViews>
    <sheetView topLeftCell="AL1" zoomScale="90" zoomScaleNormal="90" workbookViewId="0">
      <selection activeCell="AM7" sqref="AM7"/>
    </sheetView>
  </sheetViews>
  <sheetFormatPr baseColWidth="10" defaultRowHeight="15.65" x14ac:dyDescent="0.25"/>
  <cols>
    <col min="1" max="1" width="11.3984375" customWidth="1"/>
    <col min="2" max="2" width="33.09765625" bestFit="1" customWidth="1"/>
    <col min="3" max="4" width="11.3984375" style="180" customWidth="1"/>
    <col min="5" max="5" width="27.796875" style="180" bestFit="1" customWidth="1"/>
    <col min="6" max="6" width="11.19921875" style="180" bestFit="1" customWidth="1"/>
    <col min="7" max="7" width="11.3984375" style="180" customWidth="1"/>
    <col min="8" max="8" width="22.69921875" style="180" bestFit="1" customWidth="1"/>
    <col min="9" max="10" width="11.3984375" customWidth="1"/>
    <col min="11" max="11" width="22.69921875" bestFit="1" customWidth="1"/>
    <col min="12" max="13" width="11.3984375" customWidth="1"/>
    <col min="14" max="14" width="22.69921875" bestFit="1" customWidth="1"/>
    <col min="15" max="16" width="11.3984375" customWidth="1"/>
    <col min="17" max="17" width="22.69921875" bestFit="1" customWidth="1"/>
    <col min="18" max="19" width="11.3984375" customWidth="1"/>
    <col min="20" max="20" width="22.69921875" bestFit="1" customWidth="1"/>
    <col min="21" max="22" width="11.3984375" customWidth="1"/>
    <col min="23" max="23" width="22.69921875" bestFit="1" customWidth="1"/>
    <col min="24" max="25" width="11.3984375" customWidth="1"/>
    <col min="26" max="26" width="22.69921875" bestFit="1" customWidth="1"/>
    <col min="27" max="27" width="14" customWidth="1"/>
    <col min="28" max="28" width="11.3984375" customWidth="1"/>
    <col min="29" max="29" width="22.69921875" bestFit="1" customWidth="1"/>
    <col min="30" max="31" width="11.3984375" customWidth="1"/>
    <col min="32" max="32" width="22.69921875" bestFit="1" customWidth="1"/>
    <col min="33" max="34" width="11.3984375" customWidth="1"/>
    <col min="35" max="35" width="23.796875" bestFit="1" customWidth="1"/>
    <col min="36" max="37" width="11.3984375" customWidth="1"/>
    <col min="38" max="38" width="36.3984375" customWidth="1"/>
    <col min="39" max="39" width="12.19921875" customWidth="1"/>
  </cols>
  <sheetData>
    <row r="1" spans="2:40" x14ac:dyDescent="0.25">
      <c r="F1" s="180">
        <v>1</v>
      </c>
      <c r="I1">
        <v>2</v>
      </c>
      <c r="L1">
        <v>3</v>
      </c>
      <c r="O1">
        <v>4</v>
      </c>
      <c r="R1">
        <v>5</v>
      </c>
      <c r="U1">
        <v>6</v>
      </c>
      <c r="X1">
        <v>7</v>
      </c>
      <c r="AA1">
        <v>8</v>
      </c>
      <c r="AD1">
        <v>9</v>
      </c>
      <c r="AG1">
        <v>10</v>
      </c>
      <c r="AJ1">
        <v>11</v>
      </c>
      <c r="AM1">
        <v>12</v>
      </c>
    </row>
    <row r="2" spans="2:40" ht="19.05" x14ac:dyDescent="0.35">
      <c r="B2" s="181" t="s">
        <v>263</v>
      </c>
      <c r="C2" s="182"/>
      <c r="E2" s="181" t="s">
        <v>263</v>
      </c>
      <c r="F2" s="182"/>
      <c r="H2" s="181" t="s">
        <v>263</v>
      </c>
      <c r="I2" s="182"/>
      <c r="K2" s="181" t="s">
        <v>263</v>
      </c>
      <c r="L2" s="182"/>
      <c r="N2" s="181" t="s">
        <v>263</v>
      </c>
      <c r="O2" s="182"/>
      <c r="Q2" s="181" t="s">
        <v>263</v>
      </c>
      <c r="R2" s="182"/>
      <c r="T2" s="181" t="s">
        <v>263</v>
      </c>
      <c r="U2" s="182"/>
      <c r="W2" s="181" t="s">
        <v>263</v>
      </c>
      <c r="X2" s="182"/>
      <c r="Z2" s="181" t="s">
        <v>263</v>
      </c>
      <c r="AA2" s="182"/>
      <c r="AC2" s="181" t="s">
        <v>263</v>
      </c>
      <c r="AD2" s="182"/>
      <c r="AF2" s="181" t="s">
        <v>263</v>
      </c>
      <c r="AG2" s="182"/>
      <c r="AI2" s="181" t="s">
        <v>263</v>
      </c>
      <c r="AJ2" s="182"/>
      <c r="AL2" s="181" t="s">
        <v>263</v>
      </c>
      <c r="AM2" s="182"/>
    </row>
    <row r="3" spans="2:40" x14ac:dyDescent="0.25">
      <c r="B3" s="157" t="s">
        <v>264</v>
      </c>
      <c r="C3" s="183">
        <v>0</v>
      </c>
      <c r="E3" s="157" t="s">
        <v>265</v>
      </c>
      <c r="F3" s="183">
        <f>SUMIFS('Diario Cali'!$E:$E,'Diario Cali'!$C:$C,117,'Diario Cali'!$B:$B,F1)</f>
        <v>0</v>
      </c>
      <c r="H3" s="157" t="s">
        <v>266</v>
      </c>
      <c r="I3" s="183">
        <f>SUMIFS('Diario Cali'!$E:$E,'Diario Cali'!$C:$C,117,'Diario Cali'!$B:$B,I1)+F3</f>
        <v>2000000</v>
      </c>
      <c r="K3" s="157" t="s">
        <v>267</v>
      </c>
      <c r="L3" s="183">
        <f>SUMIFS('Diario Cali'!$E:$E,'Diario Cali'!$C:$C,117,'Diario Cali'!$B:$B,L1)+I3</f>
        <v>1400000</v>
      </c>
      <c r="M3" s="180"/>
      <c r="N3" s="157" t="s">
        <v>268</v>
      </c>
      <c r="O3" s="183">
        <f>SUMIFS('Diario Cali'!$E:$E,'Diario Cali'!$C:$C,117,'Diario Cali'!$B:$B,O1)+L3</f>
        <v>669610</v>
      </c>
      <c r="Q3" s="157" t="s">
        <v>269</v>
      </c>
      <c r="R3" s="183">
        <f>SUMIFS('Diario Cali'!$E:$E,'Diario Cali'!$C:$C,117,'Diario Cali'!$B:$B,R1)+O3</f>
        <v>669610</v>
      </c>
      <c r="T3" s="157" t="s">
        <v>270</v>
      </c>
      <c r="U3" s="183">
        <f>SUMIFS('Diario Cali'!$E:$E,'Diario Cali'!$C:$C,117,'Diario Cali'!$B:$B,U1)+R3</f>
        <v>908717</v>
      </c>
      <c r="W3" s="157" t="s">
        <v>271</v>
      </c>
      <c r="X3" s="183">
        <f>SUMIFS('Diario Cali'!$E:$E,'Diario Cali'!$C:$C,117,'Diario Cali'!$B:$B,X1)+U3</f>
        <v>1283775</v>
      </c>
      <c r="Z3" s="157" t="s">
        <v>272</v>
      </c>
      <c r="AA3" s="183">
        <f>SUMIFS('Diario Cali'!$E:$E,'Diario Cali'!$C:$C,117,'Diario Cali'!$B:$B,AA1)+X3</f>
        <v>1857050</v>
      </c>
      <c r="AC3" s="157" t="s">
        <v>273</v>
      </c>
      <c r="AD3" s="183">
        <f>SUMIFS('Diario Cali'!$E:$E,'Diario Cali'!$C:$C,117,'Diario Cali'!$B:$B,AD1)+AA3</f>
        <v>1541576</v>
      </c>
      <c r="AF3" s="157" t="s">
        <v>274</v>
      </c>
      <c r="AG3" s="183">
        <f>SUMIFS('Diario Cali'!$E:$E,'Diario Cali'!$C:$C,117,'Diario Cali'!$B:$B,AG1)+AD3</f>
        <v>895132</v>
      </c>
      <c r="AI3" s="157" t="s">
        <v>275</v>
      </c>
      <c r="AJ3" s="183">
        <f>SUMIFS('Diario Cali'!$E:$E,'Diario Cali'!$C:$C,117,'Diario Cali'!$B:$B,AJ1)+AG3</f>
        <v>918858</v>
      </c>
      <c r="AL3" s="157" t="s">
        <v>264</v>
      </c>
      <c r="AM3" s="183">
        <f>SUMIFS('Diario Cali'!$E:$E,'Diario Cali'!$C:$C,117,'Diario Cali'!$B:$B,AM1)+AJ3</f>
        <v>1516178</v>
      </c>
    </row>
    <row r="4" spans="2:40" x14ac:dyDescent="0.25">
      <c r="B4" s="157" t="s">
        <v>276</v>
      </c>
      <c r="C4" s="183">
        <v>0</v>
      </c>
      <c r="E4" s="157" t="s">
        <v>277</v>
      </c>
      <c r="F4" s="183">
        <v>0</v>
      </c>
      <c r="H4" s="157" t="s">
        <v>278</v>
      </c>
      <c r="I4" s="183">
        <v>2000000</v>
      </c>
      <c r="K4" s="157" t="s">
        <v>279</v>
      </c>
      <c r="L4" s="183">
        <v>1400000</v>
      </c>
      <c r="M4" s="180"/>
      <c r="N4" s="157" t="s">
        <v>280</v>
      </c>
      <c r="O4" s="183">
        <v>669610</v>
      </c>
      <c r="Q4" s="157" t="s">
        <v>281</v>
      </c>
      <c r="R4" s="183">
        <v>669610</v>
      </c>
      <c r="T4" s="157" t="s">
        <v>282</v>
      </c>
      <c r="U4" s="183">
        <v>908717</v>
      </c>
      <c r="W4" s="157" t="s">
        <v>283</v>
      </c>
      <c r="X4" s="183">
        <v>1283775</v>
      </c>
      <c r="Z4" s="157" t="s">
        <v>284</v>
      </c>
      <c r="AA4" s="183">
        <v>1857050</v>
      </c>
      <c r="AC4" s="157" t="s">
        <v>285</v>
      </c>
      <c r="AD4" s="183">
        <v>1541576</v>
      </c>
      <c r="AF4" s="157" t="s">
        <v>286</v>
      </c>
      <c r="AG4" s="183">
        <v>895132</v>
      </c>
      <c r="AI4" s="157" t="s">
        <v>287</v>
      </c>
      <c r="AJ4" s="183">
        <v>918858</v>
      </c>
      <c r="AL4" s="157" t="s">
        <v>276</v>
      </c>
      <c r="AM4" s="183">
        <v>1516178</v>
      </c>
    </row>
    <row r="5" spans="2:40" x14ac:dyDescent="0.25">
      <c r="B5" s="157" t="s">
        <v>288</v>
      </c>
      <c r="C5" s="184">
        <f>+C3-C4</f>
        <v>0</v>
      </c>
      <c r="E5" s="157" t="s">
        <v>288</v>
      </c>
      <c r="F5" s="184">
        <f>+F3-F4</f>
        <v>0</v>
      </c>
      <c r="H5" s="157" t="s">
        <v>288</v>
      </c>
      <c r="I5" s="184">
        <f>+I3-I4</f>
        <v>0</v>
      </c>
      <c r="K5" s="157" t="s">
        <v>288</v>
      </c>
      <c r="L5" s="184">
        <f>+L3-L4</f>
        <v>0</v>
      </c>
      <c r="M5" s="180"/>
      <c r="N5" s="157" t="s">
        <v>288</v>
      </c>
      <c r="O5" s="184">
        <f>+O3-O4</f>
        <v>0</v>
      </c>
      <c r="Q5" s="157" t="s">
        <v>288</v>
      </c>
      <c r="R5" s="184">
        <f>+R3-R4</f>
        <v>0</v>
      </c>
      <c r="T5" s="157" t="s">
        <v>288</v>
      </c>
      <c r="U5" s="184">
        <f>+U3-U4</f>
        <v>0</v>
      </c>
      <c r="W5" s="157" t="s">
        <v>288</v>
      </c>
      <c r="X5" s="184">
        <f>+X3-X4</f>
        <v>0</v>
      </c>
      <c r="Z5" s="157" t="s">
        <v>288</v>
      </c>
      <c r="AA5" s="184">
        <f>+AA3-AA4</f>
        <v>0</v>
      </c>
      <c r="AC5" s="157" t="s">
        <v>288</v>
      </c>
      <c r="AD5" s="184">
        <f>+AD3-AD4</f>
        <v>0</v>
      </c>
      <c r="AF5" s="157" t="s">
        <v>288</v>
      </c>
      <c r="AG5" s="184">
        <f>+AG3-AG4</f>
        <v>0</v>
      </c>
      <c r="AI5" s="157" t="s">
        <v>288</v>
      </c>
      <c r="AJ5" s="184">
        <f>+AJ3-AJ4</f>
        <v>0</v>
      </c>
      <c r="AL5" s="157" t="s">
        <v>288</v>
      </c>
      <c r="AM5" s="184">
        <f>+AM3-AM4</f>
        <v>0</v>
      </c>
      <c r="AN5" s="180"/>
    </row>
    <row r="6" spans="2:40" x14ac:dyDescent="0.25">
      <c r="B6" s="157"/>
      <c r="C6" s="183"/>
      <c r="E6" s="157"/>
      <c r="F6" s="183"/>
      <c r="H6" s="157"/>
      <c r="I6" s="183"/>
      <c r="K6" s="157"/>
      <c r="L6" s="183"/>
      <c r="N6" s="157"/>
      <c r="O6" s="183"/>
      <c r="Q6" s="157"/>
      <c r="R6" s="183"/>
      <c r="T6" s="157"/>
      <c r="U6" s="183"/>
      <c r="W6" s="157"/>
      <c r="X6" s="183"/>
      <c r="Z6" s="157"/>
      <c r="AA6" s="183"/>
      <c r="AC6" s="157"/>
      <c r="AD6" s="183"/>
      <c r="AF6" s="157"/>
      <c r="AG6" s="183"/>
      <c r="AI6" s="157"/>
      <c r="AJ6" s="183"/>
      <c r="AL6" s="157"/>
      <c r="AM6" s="183"/>
    </row>
    <row r="7" spans="2:40" x14ac:dyDescent="0.25">
      <c r="B7" s="157"/>
      <c r="C7" s="183"/>
      <c r="E7" s="157"/>
      <c r="F7" s="183"/>
      <c r="H7" s="157"/>
      <c r="I7" s="183"/>
      <c r="K7" s="157"/>
      <c r="L7" s="183"/>
      <c r="N7" s="157"/>
      <c r="O7" s="183"/>
      <c r="Q7" s="157"/>
      <c r="R7" s="183"/>
      <c r="T7" s="157"/>
      <c r="U7" s="183"/>
      <c r="W7" s="157"/>
      <c r="X7" s="183"/>
      <c r="Z7" s="157"/>
      <c r="AA7" s="183"/>
      <c r="AC7" s="157"/>
      <c r="AD7" s="183"/>
      <c r="AF7" s="157"/>
      <c r="AG7" s="183"/>
      <c r="AI7" s="157"/>
      <c r="AJ7" s="183"/>
      <c r="AL7" s="157"/>
      <c r="AM7" s="183"/>
    </row>
    <row r="8" spans="2:40" x14ac:dyDescent="0.25">
      <c r="B8" s="157" t="s">
        <v>289</v>
      </c>
      <c r="C8" s="183"/>
      <c r="E8" s="157" t="s">
        <v>289</v>
      </c>
      <c r="F8" s="183"/>
      <c r="H8" s="157" t="s">
        <v>289</v>
      </c>
      <c r="I8" s="183"/>
      <c r="K8" s="157" t="s">
        <v>289</v>
      </c>
      <c r="L8" s="183"/>
      <c r="N8" s="157" t="s">
        <v>289</v>
      </c>
      <c r="O8" s="183"/>
      <c r="Q8" s="157" t="s">
        <v>289</v>
      </c>
      <c r="R8" s="183"/>
      <c r="T8" s="157" t="s">
        <v>289</v>
      </c>
      <c r="U8" s="183"/>
      <c r="W8" s="157" t="s">
        <v>289</v>
      </c>
      <c r="X8" s="183"/>
      <c r="Z8" s="157" t="s">
        <v>289</v>
      </c>
      <c r="AA8" s="183"/>
      <c r="AC8" s="157" t="s">
        <v>289</v>
      </c>
      <c r="AD8" s="183"/>
      <c r="AF8" s="157" t="s">
        <v>289</v>
      </c>
      <c r="AG8" s="183"/>
      <c r="AI8" s="157" t="s">
        <v>289</v>
      </c>
      <c r="AJ8" s="183"/>
      <c r="AL8" s="157" t="s">
        <v>289</v>
      </c>
      <c r="AM8" s="183"/>
    </row>
    <row r="9" spans="2:40" x14ac:dyDescent="0.25">
      <c r="B9" s="188"/>
      <c r="C9" s="183"/>
      <c r="E9" s="157"/>
      <c r="F9" s="183"/>
      <c r="H9"/>
      <c r="I9" s="155"/>
      <c r="L9" s="155"/>
      <c r="O9" s="155"/>
      <c r="R9" s="155"/>
      <c r="T9" s="157"/>
      <c r="U9" s="183"/>
      <c r="W9" s="188"/>
      <c r="X9" s="183"/>
      <c r="Z9" s="188"/>
      <c r="AA9" s="183"/>
      <c r="AC9" s="188"/>
      <c r="AD9" s="183"/>
      <c r="AF9" s="157"/>
      <c r="AG9" s="183"/>
      <c r="AI9" s="157"/>
      <c r="AJ9" s="183"/>
      <c r="AL9" s="188"/>
      <c r="AM9" s="183"/>
    </row>
    <row r="10" spans="2:40" x14ac:dyDescent="0.25">
      <c r="B10" s="188"/>
      <c r="C10" s="183"/>
      <c r="E10" s="157"/>
      <c r="F10" s="183"/>
      <c r="H10"/>
      <c r="I10" s="155"/>
      <c r="L10" s="183"/>
      <c r="O10" s="155"/>
      <c r="R10" s="155"/>
      <c r="T10" s="157"/>
      <c r="U10" s="183"/>
      <c r="W10" s="260"/>
      <c r="X10" s="261"/>
      <c r="AA10" s="266"/>
      <c r="AC10" s="188"/>
      <c r="AD10" s="183"/>
      <c r="AF10" s="157"/>
      <c r="AG10" s="183"/>
      <c r="AI10" s="157"/>
      <c r="AJ10" s="183"/>
      <c r="AL10" s="188"/>
      <c r="AM10" s="183"/>
    </row>
    <row r="11" spans="2:40" x14ac:dyDescent="0.25">
      <c r="B11" s="157"/>
      <c r="C11" s="183"/>
      <c r="E11" s="157"/>
      <c r="F11" s="183"/>
      <c r="H11"/>
      <c r="I11" s="155"/>
      <c r="L11" s="183"/>
      <c r="O11" s="155"/>
      <c r="R11" s="155"/>
      <c r="T11" s="157"/>
      <c r="U11" s="183"/>
      <c r="W11" s="260"/>
      <c r="X11" s="261"/>
      <c r="Z11" s="265"/>
      <c r="AA11" s="266"/>
      <c r="AC11" s="188"/>
      <c r="AD11" s="183"/>
      <c r="AF11" s="157"/>
      <c r="AG11" s="183"/>
      <c r="AI11" s="157"/>
      <c r="AJ11" s="183"/>
      <c r="AL11" s="188"/>
      <c r="AM11" s="183"/>
    </row>
    <row r="12" spans="2:40" x14ac:dyDescent="0.25">
      <c r="B12" s="157"/>
      <c r="C12" s="183"/>
      <c r="E12" s="157"/>
      <c r="F12" s="183"/>
      <c r="H12"/>
      <c r="I12" s="155"/>
      <c r="L12" s="183"/>
      <c r="O12" s="155"/>
      <c r="R12" s="155"/>
      <c r="T12" s="157"/>
      <c r="U12" s="183"/>
      <c r="W12" s="188"/>
      <c r="X12" s="183"/>
      <c r="Z12" s="265"/>
      <c r="AA12" s="266"/>
      <c r="AC12" s="188"/>
      <c r="AD12" s="183"/>
      <c r="AF12" s="157"/>
      <c r="AG12" s="183"/>
      <c r="AI12" s="157"/>
      <c r="AJ12" s="183"/>
      <c r="AL12" s="188"/>
      <c r="AM12" s="183"/>
    </row>
    <row r="13" spans="2:40" x14ac:dyDescent="0.25">
      <c r="B13" s="157"/>
      <c r="C13" s="183"/>
      <c r="E13" s="157"/>
      <c r="F13" s="183"/>
      <c r="H13" s="188"/>
      <c r="I13" s="183"/>
      <c r="L13" s="183"/>
      <c r="O13" s="155"/>
      <c r="Q13" s="188"/>
      <c r="R13" s="183"/>
      <c r="T13" s="157"/>
      <c r="U13" s="183"/>
      <c r="W13" s="188"/>
      <c r="X13" s="183"/>
      <c r="Z13" s="265"/>
      <c r="AA13" s="266"/>
      <c r="AC13" s="188"/>
      <c r="AD13" s="183"/>
      <c r="AF13" s="157"/>
      <c r="AG13" s="183"/>
      <c r="AI13" s="157"/>
      <c r="AJ13" s="183"/>
      <c r="AL13" s="188"/>
      <c r="AM13" s="183"/>
    </row>
    <row r="14" spans="2:40" x14ac:dyDescent="0.25">
      <c r="B14" s="157"/>
      <c r="C14" s="183"/>
      <c r="E14" s="157"/>
      <c r="F14" s="183"/>
      <c r="H14" s="157"/>
      <c r="I14" s="183"/>
      <c r="K14" s="157"/>
      <c r="L14" s="183"/>
      <c r="O14" s="155"/>
      <c r="Q14" s="188"/>
      <c r="R14" s="183"/>
      <c r="T14" s="157"/>
      <c r="U14" s="183"/>
      <c r="W14" s="188"/>
      <c r="X14" s="183"/>
      <c r="Z14" s="188"/>
      <c r="AA14" s="183"/>
      <c r="AC14" s="188"/>
      <c r="AD14" s="183"/>
      <c r="AF14" s="157"/>
      <c r="AG14" s="183"/>
      <c r="AI14" s="188"/>
      <c r="AJ14" s="183"/>
      <c r="AL14" s="188"/>
      <c r="AM14" s="183"/>
    </row>
    <row r="15" spans="2:40" x14ac:dyDescent="0.25">
      <c r="B15" s="157"/>
      <c r="C15" s="183"/>
      <c r="E15" s="157"/>
      <c r="F15" s="183"/>
      <c r="H15" s="157"/>
      <c r="I15" s="183"/>
      <c r="K15" s="157"/>
      <c r="L15" s="183"/>
      <c r="N15" s="157"/>
      <c r="O15" s="183"/>
      <c r="Q15" s="157"/>
      <c r="R15" s="183"/>
      <c r="T15" s="157"/>
      <c r="U15" s="183"/>
      <c r="W15" s="157"/>
      <c r="X15" s="183"/>
      <c r="Z15" s="157"/>
      <c r="AA15" s="183"/>
      <c r="AC15" s="188"/>
      <c r="AD15" s="183"/>
      <c r="AF15" s="157"/>
      <c r="AG15" s="183"/>
      <c r="AI15" s="157"/>
      <c r="AJ15" s="183"/>
      <c r="AL15" s="157"/>
      <c r="AM15" s="183"/>
    </row>
    <row r="16" spans="2:40" x14ac:dyDescent="0.25">
      <c r="B16" s="157" t="s">
        <v>290</v>
      </c>
      <c r="C16" s="184">
        <f>SUM(C9:C15)</f>
        <v>0</v>
      </c>
      <c r="E16" s="157" t="s">
        <v>291</v>
      </c>
      <c r="F16" s="184">
        <f>SUM(F9:F14)</f>
        <v>0</v>
      </c>
      <c r="H16" s="157" t="s">
        <v>291</v>
      </c>
      <c r="I16" s="184">
        <f>SUM(I9:I14)</f>
        <v>0</v>
      </c>
      <c r="K16" s="157" t="s">
        <v>291</v>
      </c>
      <c r="L16" s="184">
        <f>SUM(L9:L15)</f>
        <v>0</v>
      </c>
      <c r="N16" s="157" t="s">
        <v>291</v>
      </c>
      <c r="O16" s="184">
        <f>SUM(O9:O14)</f>
        <v>0</v>
      </c>
      <c r="Q16" s="157" t="s">
        <v>291</v>
      </c>
      <c r="R16" s="184">
        <f>SUM(R9:R14)</f>
        <v>0</v>
      </c>
      <c r="T16" s="157" t="s">
        <v>291</v>
      </c>
      <c r="U16" s="183">
        <f>SUM(U9:U13)</f>
        <v>0</v>
      </c>
      <c r="W16" s="157" t="s">
        <v>291</v>
      </c>
      <c r="X16" s="184">
        <f>SUM(X9:X15)</f>
        <v>0</v>
      </c>
      <c r="Z16" s="157" t="s">
        <v>291</v>
      </c>
      <c r="AA16" s="184">
        <f>SUM(AA9:AA15)</f>
        <v>0</v>
      </c>
      <c r="AC16" s="157" t="s">
        <v>291</v>
      </c>
      <c r="AD16" s="184">
        <f>SUM(AD9:AD15)</f>
        <v>0</v>
      </c>
      <c r="AF16" s="157" t="s">
        <v>291</v>
      </c>
      <c r="AG16" s="183">
        <f>SUM(AG9:AG15)</f>
        <v>0</v>
      </c>
      <c r="AI16" s="157" t="s">
        <v>291</v>
      </c>
      <c r="AJ16" s="183">
        <f>SUM(AJ9:AJ15)</f>
        <v>0</v>
      </c>
      <c r="AL16" s="157" t="s">
        <v>291</v>
      </c>
      <c r="AM16" s="183">
        <f>SUM(AM9:AM15)</f>
        <v>0</v>
      </c>
    </row>
    <row r="17" spans="2:39" x14ac:dyDescent="0.25">
      <c r="B17" s="157"/>
      <c r="C17" s="183"/>
      <c r="E17" s="157"/>
      <c r="F17" s="183"/>
      <c r="H17" s="157"/>
      <c r="I17" s="183"/>
      <c r="K17" s="157"/>
      <c r="L17" s="183"/>
      <c r="N17" s="157"/>
      <c r="O17" s="183"/>
      <c r="Q17" s="157"/>
      <c r="R17" s="183"/>
      <c r="T17" s="157"/>
      <c r="U17" s="183"/>
      <c r="W17" s="157"/>
      <c r="X17" s="183"/>
      <c r="Z17" s="157"/>
      <c r="AA17" s="183"/>
      <c r="AC17" s="157"/>
      <c r="AD17" s="183"/>
      <c r="AF17" s="157"/>
      <c r="AG17" s="183"/>
      <c r="AI17" s="157"/>
      <c r="AJ17" s="183"/>
      <c r="AL17" s="157"/>
      <c r="AM17" s="183"/>
    </row>
    <row r="18" spans="2:39" x14ac:dyDescent="0.25">
      <c r="B18" s="157"/>
      <c r="C18" s="183"/>
      <c r="E18" s="157"/>
      <c r="F18" s="183"/>
      <c r="H18" s="157"/>
      <c r="I18" s="183"/>
      <c r="K18" s="157"/>
      <c r="L18" s="183"/>
      <c r="N18" s="188" t="s">
        <v>634</v>
      </c>
      <c r="O18" s="183"/>
      <c r="Q18" s="157"/>
      <c r="R18" s="183"/>
      <c r="T18" s="157"/>
      <c r="U18" s="183"/>
      <c r="W18" s="157"/>
      <c r="X18" s="183"/>
      <c r="Z18" s="157"/>
      <c r="AA18" s="183"/>
      <c r="AC18" s="157"/>
      <c r="AD18" s="183"/>
      <c r="AF18" s="157"/>
      <c r="AG18" s="183"/>
      <c r="AI18" s="157"/>
      <c r="AJ18" s="183"/>
      <c r="AL18" s="157"/>
      <c r="AM18" s="183"/>
    </row>
    <row r="19" spans="2:39" x14ac:dyDescent="0.25">
      <c r="B19" s="157"/>
      <c r="C19" s="183"/>
      <c r="E19" s="157"/>
      <c r="F19" s="183"/>
      <c r="H19" s="157"/>
      <c r="I19" s="183"/>
      <c r="K19" s="157"/>
      <c r="L19" s="183"/>
      <c r="N19" s="157"/>
      <c r="O19" s="183"/>
      <c r="Q19" s="157"/>
      <c r="R19" s="183"/>
      <c r="T19" s="157"/>
      <c r="U19" s="183"/>
      <c r="W19" s="157"/>
      <c r="X19" s="183"/>
      <c r="Z19" s="157"/>
      <c r="AA19" s="183"/>
      <c r="AC19" s="157"/>
      <c r="AD19" s="183"/>
      <c r="AF19" s="157"/>
      <c r="AG19" s="183"/>
      <c r="AI19" s="157"/>
      <c r="AJ19" s="183"/>
      <c r="AL19" s="157"/>
      <c r="AM19" s="183"/>
    </row>
    <row r="20" spans="2:39" x14ac:dyDescent="0.25">
      <c r="B20" s="157"/>
      <c r="C20" s="183"/>
      <c r="E20" s="157"/>
      <c r="F20" s="183"/>
      <c r="H20" s="157"/>
      <c r="I20" s="183"/>
      <c r="K20" s="157"/>
      <c r="L20" s="183"/>
      <c r="N20" s="157"/>
      <c r="O20" s="183"/>
      <c r="Q20" s="157"/>
      <c r="R20" s="183"/>
      <c r="T20" s="157"/>
      <c r="U20" s="183"/>
      <c r="W20" s="157"/>
      <c r="X20" s="183"/>
      <c r="Z20" s="157"/>
      <c r="AA20" s="183"/>
      <c r="AC20" s="157"/>
      <c r="AD20" s="183"/>
      <c r="AF20" s="157"/>
      <c r="AG20" s="183"/>
      <c r="AI20" s="157"/>
      <c r="AJ20" s="183"/>
      <c r="AL20" s="157"/>
      <c r="AM20" s="183"/>
    </row>
    <row r="21" spans="2:39" x14ac:dyDescent="0.25">
      <c r="B21" s="157"/>
      <c r="C21" s="183"/>
      <c r="E21" s="157"/>
      <c r="F21" s="183"/>
      <c r="H21" s="157"/>
      <c r="I21" s="183"/>
      <c r="K21" s="157"/>
      <c r="L21" s="183"/>
      <c r="N21" s="157"/>
      <c r="O21" s="183"/>
      <c r="Q21" s="157"/>
      <c r="R21" s="183"/>
      <c r="T21" s="157"/>
      <c r="U21" s="183"/>
      <c r="W21" s="157"/>
      <c r="X21" s="183"/>
      <c r="Z21" s="157"/>
      <c r="AA21" s="183"/>
      <c r="AC21" s="157"/>
      <c r="AD21" s="183"/>
      <c r="AF21" s="157"/>
      <c r="AG21" s="183"/>
      <c r="AI21" s="157"/>
      <c r="AJ21" s="183"/>
      <c r="AL21" s="157"/>
      <c r="AM21" s="183"/>
    </row>
    <row r="22" spans="2:39" x14ac:dyDescent="0.25">
      <c r="B22" s="157"/>
      <c r="C22" s="183"/>
      <c r="E22" s="157"/>
      <c r="F22" s="183"/>
      <c r="H22" s="157"/>
      <c r="I22" s="183"/>
      <c r="K22" s="157"/>
      <c r="L22" s="183"/>
      <c r="N22" s="157"/>
      <c r="O22" s="183"/>
      <c r="Q22" s="157"/>
      <c r="R22" s="183"/>
      <c r="T22" s="157"/>
      <c r="U22" s="183"/>
      <c r="W22" s="157"/>
      <c r="X22" s="183"/>
      <c r="Z22" s="157"/>
      <c r="AA22" s="183"/>
      <c r="AC22" s="157"/>
      <c r="AD22" s="183"/>
      <c r="AF22" s="157"/>
      <c r="AG22" s="183"/>
      <c r="AI22" s="157"/>
      <c r="AJ22" s="183"/>
      <c r="AL22" s="157"/>
      <c r="AM22" s="183"/>
    </row>
    <row r="23" spans="2:39" x14ac:dyDescent="0.25">
      <c r="B23" s="185" t="s">
        <v>292</v>
      </c>
      <c r="C23" s="186">
        <f>+C5+C16+C19</f>
        <v>0</v>
      </c>
      <c r="E23" s="185" t="s">
        <v>292</v>
      </c>
      <c r="F23" s="186">
        <f>+F5+F16+F19</f>
        <v>0</v>
      </c>
      <c r="H23" s="185" t="s">
        <v>292</v>
      </c>
      <c r="I23" s="186">
        <f>+I5+I16</f>
        <v>0</v>
      </c>
      <c r="K23" s="185" t="s">
        <v>292</v>
      </c>
      <c r="L23" s="186">
        <f>+L5+L16</f>
        <v>0</v>
      </c>
      <c r="M23" s="180"/>
      <c r="N23" s="185" t="s">
        <v>292</v>
      </c>
      <c r="O23" s="186">
        <f>+O5+O16+O18</f>
        <v>0</v>
      </c>
      <c r="Q23" s="185" t="s">
        <v>292</v>
      </c>
      <c r="R23" s="186">
        <f>+R5+R16</f>
        <v>0</v>
      </c>
      <c r="T23" s="185" t="s">
        <v>292</v>
      </c>
      <c r="U23" s="186">
        <f>+U5+U16</f>
        <v>0</v>
      </c>
      <c r="W23" s="185" t="s">
        <v>292</v>
      </c>
      <c r="X23" s="186">
        <f>+X5+X16</f>
        <v>0</v>
      </c>
      <c r="Z23" s="185" t="s">
        <v>292</v>
      </c>
      <c r="AA23" s="186">
        <f>+AA5+AA16</f>
        <v>0</v>
      </c>
      <c r="AC23" s="185" t="s">
        <v>292</v>
      </c>
      <c r="AD23" s="186">
        <f>+AD5+AD16</f>
        <v>0</v>
      </c>
      <c r="AF23" s="185" t="s">
        <v>292</v>
      </c>
      <c r="AG23" s="186">
        <f>+AG5+AG16</f>
        <v>0</v>
      </c>
      <c r="AI23" s="185" t="s">
        <v>292</v>
      </c>
      <c r="AJ23" s="186">
        <f>+AJ5+AJ16</f>
        <v>0</v>
      </c>
      <c r="AL23" s="185" t="s">
        <v>292</v>
      </c>
      <c r="AM23" s="186">
        <f>+AM5+AM16</f>
        <v>0</v>
      </c>
    </row>
    <row r="24" spans="2:39" x14ac:dyDescent="0.25">
      <c r="B24" s="158"/>
      <c r="C24" s="187"/>
      <c r="E24" s="158"/>
      <c r="F24" s="187"/>
      <c r="H24" s="158"/>
      <c r="I24" s="187"/>
      <c r="K24" s="158"/>
      <c r="L24" s="187"/>
      <c r="N24" s="158"/>
      <c r="O24" s="187"/>
      <c r="Q24" s="158"/>
      <c r="R24" s="187"/>
      <c r="T24" s="158"/>
      <c r="U24" s="187"/>
      <c r="W24" s="158"/>
      <c r="X24" s="187"/>
      <c r="Z24" s="158"/>
      <c r="AA24" s="187"/>
      <c r="AC24" s="158"/>
      <c r="AD24" s="187"/>
      <c r="AF24" s="158"/>
      <c r="AG24" s="187"/>
      <c r="AI24" s="158"/>
      <c r="AJ24" s="187"/>
      <c r="AL24" s="158"/>
      <c r="AM24" s="187"/>
    </row>
    <row r="25" spans="2:39" x14ac:dyDescent="0.25">
      <c r="O25" s="180"/>
      <c r="R25" s="180"/>
      <c r="X25" s="180">
        <f>+U23-X23</f>
        <v>0</v>
      </c>
      <c r="AA25" s="180">
        <f>+X23-AA23</f>
        <v>0</v>
      </c>
      <c r="AD25" s="180">
        <f>+AD23-AA23</f>
        <v>0</v>
      </c>
      <c r="AG25" s="180">
        <f>+AG23-AD23</f>
        <v>0</v>
      </c>
      <c r="AJ25" s="180">
        <f>+AJ23-AG23</f>
        <v>0</v>
      </c>
      <c r="AM25" s="180">
        <f>+AM23-AJ23</f>
        <v>0</v>
      </c>
    </row>
    <row r="26" spans="2:39" x14ac:dyDescent="0.25">
      <c r="F26" s="180">
        <f>+F23-C23</f>
        <v>0</v>
      </c>
      <c r="I26" s="180"/>
    </row>
    <row r="27" spans="2:39" x14ac:dyDescent="0.25">
      <c r="I27" s="180"/>
      <c r="R27" s="183"/>
    </row>
    <row r="28" spans="2:39" x14ac:dyDescent="0.25">
      <c r="R28" s="183"/>
      <c r="U28" s="180"/>
    </row>
    <row r="30" spans="2:39" x14ac:dyDescent="0.25">
      <c r="AG30" s="180"/>
    </row>
    <row r="31" spans="2:39" x14ac:dyDescent="0.25">
      <c r="AG31" s="180"/>
    </row>
    <row r="32" spans="2:39" x14ac:dyDescent="0.25">
      <c r="AG32" s="180"/>
    </row>
    <row r="33" spans="39:39" x14ac:dyDescent="0.25">
      <c r="AM33" s="180">
        <f>SUM(AM23:AM32)</f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15">
    <tabColor rgb="FF00B0F0"/>
  </sheetPr>
  <dimension ref="A1:R60"/>
  <sheetViews>
    <sheetView zoomScale="150" zoomScaleNormal="150" zoomScaleSheetLayoutView="100" workbookViewId="0">
      <selection activeCell="B3" sqref="B1:J1048576"/>
    </sheetView>
  </sheetViews>
  <sheetFormatPr baseColWidth="10" defaultColWidth="25.3984375" defaultRowHeight="13.6" x14ac:dyDescent="0.25"/>
  <cols>
    <col min="1" max="1" width="4.09765625" style="45" bestFit="1" customWidth="1"/>
    <col min="2" max="2" width="19.796875" style="45" customWidth="1"/>
    <col min="3" max="3" width="10.59765625" style="45" customWidth="1"/>
    <col min="4" max="4" width="9.3984375" style="45" customWidth="1"/>
    <col min="5" max="5" width="9.69921875" style="45" customWidth="1"/>
    <col min="6" max="6" width="9.19921875" style="45" customWidth="1"/>
    <col min="7" max="7" width="9.796875" style="45" customWidth="1"/>
    <col min="8" max="8" width="7" style="39" customWidth="1"/>
    <col min="9" max="9" width="7.3984375" style="39" customWidth="1"/>
    <col min="10" max="12" width="7.3984375" style="39" bestFit="1" customWidth="1"/>
    <col min="13" max="13" width="7" style="39" bestFit="1" customWidth="1"/>
    <col min="14" max="14" width="9.09765625" style="39" customWidth="1"/>
    <col min="15" max="15" width="0.69921875" style="39" customWidth="1"/>
    <col min="16" max="16" width="11.3984375" style="39" bestFit="1" customWidth="1"/>
    <col min="17" max="17" width="1.3984375" style="45" bestFit="1" customWidth="1"/>
    <col min="18" max="16384" width="25.3984375" style="45"/>
  </cols>
  <sheetData>
    <row r="1" spans="1:17" ht="24.8" customHeight="1" x14ac:dyDescent="0.4">
      <c r="A1" s="44"/>
      <c r="B1" s="630" t="s">
        <v>2559</v>
      </c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2"/>
    </row>
    <row r="2" spans="1:17" ht="23.3" customHeight="1" x14ac:dyDescent="0.3">
      <c r="A2" s="44"/>
      <c r="B2" s="633" t="s">
        <v>83</v>
      </c>
      <c r="C2" s="634"/>
      <c r="D2" s="634"/>
      <c r="E2" s="634"/>
      <c r="F2" s="634"/>
      <c r="G2" s="634"/>
      <c r="H2" s="634"/>
      <c r="I2" s="634"/>
      <c r="J2" s="634"/>
      <c r="K2" s="634"/>
      <c r="L2" s="634"/>
      <c r="M2" s="634"/>
      <c r="N2" s="634"/>
      <c r="O2" s="634"/>
      <c r="P2" s="635"/>
    </row>
    <row r="3" spans="1:17" ht="13.75" customHeight="1" x14ac:dyDescent="0.25">
      <c r="A3" s="44"/>
      <c r="B3" s="46"/>
      <c r="C3" s="44"/>
      <c r="D3" s="44"/>
    </row>
    <row r="4" spans="1:17" ht="14.95" customHeight="1" x14ac:dyDescent="0.25">
      <c r="A4" s="44"/>
      <c r="B4" s="46"/>
      <c r="C4" s="44">
        <v>1</v>
      </c>
      <c r="D4" s="44">
        <v>2</v>
      </c>
      <c r="E4" s="45">
        <v>3</v>
      </c>
      <c r="F4" s="45">
        <v>4</v>
      </c>
      <c r="G4" s="45">
        <v>5</v>
      </c>
      <c r="H4" s="39">
        <v>6</v>
      </c>
      <c r="I4" s="39">
        <v>7</v>
      </c>
      <c r="J4" s="39">
        <v>8</v>
      </c>
      <c r="K4" s="39">
        <v>9</v>
      </c>
      <c r="L4" s="39">
        <v>10</v>
      </c>
      <c r="M4" s="39">
        <v>11</v>
      </c>
      <c r="N4" s="39">
        <v>12</v>
      </c>
    </row>
    <row r="5" spans="1:17" ht="13.75" customHeight="1" x14ac:dyDescent="0.25">
      <c r="A5" s="44"/>
      <c r="B5" s="46"/>
      <c r="C5" s="44"/>
      <c r="D5" s="44"/>
    </row>
    <row r="6" spans="1:17" s="103" customFormat="1" ht="14.95" customHeight="1" x14ac:dyDescent="0.2">
      <c r="A6" s="99"/>
      <c r="B6" s="112" t="s">
        <v>2534</v>
      </c>
      <c r="C6" s="113" t="s">
        <v>9</v>
      </c>
      <c r="D6" s="113" t="s">
        <v>10</v>
      </c>
      <c r="E6" s="113" t="s">
        <v>11</v>
      </c>
      <c r="F6" s="113" t="s">
        <v>12</v>
      </c>
      <c r="G6" s="113" t="s">
        <v>13</v>
      </c>
      <c r="H6" s="114" t="s">
        <v>14</v>
      </c>
      <c r="I6" s="114" t="s">
        <v>8</v>
      </c>
      <c r="J6" s="114" t="s">
        <v>5</v>
      </c>
      <c r="K6" s="114" t="s">
        <v>105</v>
      </c>
      <c r="L6" s="114" t="s">
        <v>15</v>
      </c>
      <c r="M6" s="114" t="s">
        <v>16</v>
      </c>
      <c r="N6" s="114" t="s">
        <v>17</v>
      </c>
      <c r="O6" s="79"/>
      <c r="P6" s="115" t="s">
        <v>3</v>
      </c>
    </row>
    <row r="7" spans="1:17" ht="14.95" customHeight="1" x14ac:dyDescent="0.25">
      <c r="C7" s="44"/>
    </row>
    <row r="8" spans="1:17" s="103" customFormat="1" ht="14.95" customHeight="1" x14ac:dyDescent="0.2">
      <c r="A8" s="99"/>
      <c r="B8" s="100" t="s">
        <v>19</v>
      </c>
      <c r="C8" s="101">
        <f t="shared" ref="C8:N8" si="0">SUM(C9:C20)</f>
        <v>134828450</v>
      </c>
      <c r="D8" s="101">
        <f t="shared" si="0"/>
        <v>29361453</v>
      </c>
      <c r="E8" s="101">
        <f t="shared" si="0"/>
        <v>67571582</v>
      </c>
      <c r="F8" s="101">
        <f t="shared" si="0"/>
        <v>37761935</v>
      </c>
      <c r="G8" s="100">
        <f t="shared" si="0"/>
        <v>39153038</v>
      </c>
      <c r="H8" s="101">
        <f t="shared" si="0"/>
        <v>32560575</v>
      </c>
      <c r="I8" s="101">
        <f t="shared" si="0"/>
        <v>36196323</v>
      </c>
      <c r="J8" s="101">
        <f t="shared" si="0"/>
        <v>37207865</v>
      </c>
      <c r="K8" s="101">
        <f t="shared" si="0"/>
        <v>35269034</v>
      </c>
      <c r="L8" s="101">
        <f t="shared" si="0"/>
        <v>38842498</v>
      </c>
      <c r="M8" s="101">
        <f t="shared" si="0"/>
        <v>34140206</v>
      </c>
      <c r="N8" s="101">
        <f t="shared" si="0"/>
        <v>146771038</v>
      </c>
      <c r="O8" s="79"/>
      <c r="P8" s="102">
        <f>SUM(P9:P20)</f>
        <v>669663997</v>
      </c>
      <c r="Q8" s="79" t="s">
        <v>48</v>
      </c>
    </row>
    <row r="9" spans="1:17" s="103" customFormat="1" ht="14.95" customHeight="1" x14ac:dyDescent="0.25">
      <c r="A9" s="162">
        <v>3610</v>
      </c>
      <c r="B9" s="190" t="str">
        <f>VLOOKUP(A9,Plan!A:B,2,0)</f>
        <v>Cali  Arzobispado</v>
      </c>
      <c r="C9" s="77">
        <f>-SUMIFS('Diario Cali'!$E:$E,'Diario Cali'!$C:$C,$A9,'Diario Cali'!$B:$B,C$4)</f>
        <v>6283561</v>
      </c>
      <c r="D9" s="77">
        <f>-SUMIFS('Diario Cali'!$E:$E,'Diario Cali'!$C:$C,$A9,'Diario Cali'!$B:$B,D$4)</f>
        <v>6067075</v>
      </c>
      <c r="E9" s="77">
        <f>-SUMIFS('Diario Cali'!$E:$E,'Diario Cali'!$C:$C,$A9,'Diario Cali'!$B:$B,E$4)</f>
        <v>4900254</v>
      </c>
      <c r="F9" s="77">
        <f>-SUMIFS('Diario Cali'!$E:$E,'Diario Cali'!$C:$C,$A9,'Diario Cali'!$B:$B,F$4)</f>
        <v>5991290</v>
      </c>
      <c r="G9" s="77">
        <f>-SUMIFS('Diario Cali'!$E:$E,'Diario Cali'!$C:$C,$A9,'Diario Cali'!$B:$B,G$4)</f>
        <v>6088671</v>
      </c>
      <c r="H9" s="77">
        <f>-SUMIFS('Diario Cali'!$E:$E,'Diario Cali'!$C:$C,$A9,'Diario Cali'!$B:$B,H$4)</f>
        <v>5898265</v>
      </c>
      <c r="I9" s="77">
        <f>-SUMIFS('Diario Cali'!$E:$E,'Diario Cali'!$C:$C,$A9,'Diario Cali'!$B:$B,I$4)</f>
        <v>5958308</v>
      </c>
      <c r="J9" s="77">
        <f>-SUMIFS('Diario Cali'!$E:$E,'Diario Cali'!$C:$C,$A9,'Diario Cali'!$B:$B,J$4)</f>
        <v>6153463</v>
      </c>
      <c r="K9" s="77">
        <f>-SUMIFS('Diario Cali'!$E:$E,'Diario Cali'!$C:$C,$A9,'Diario Cali'!$B:$B,K$4)</f>
        <v>5853767</v>
      </c>
      <c r="L9" s="77">
        <f>-SUMIFS('Diario Cali'!$E:$E,'Diario Cali'!$C:$C,$A9,'Diario Cali'!$B:$B,L$4)</f>
        <v>5970964</v>
      </c>
      <c r="M9" s="77">
        <f>-SUMIFS('Diario Cali'!$E:$E,'Diario Cali'!$C:$C,$A9,'Diario Cali'!$B:$B,M$4)</f>
        <v>5957168</v>
      </c>
      <c r="N9" s="77">
        <f>-SUMIFS('Diario Cali'!$E:$E,'Diario Cali'!$C:$C,$A9,'Diario Cali'!$B:$B,N$4)</f>
        <v>5652747</v>
      </c>
      <c r="O9" s="79"/>
      <c r="P9" s="104">
        <f t="shared" ref="P9:P20" si="1">SUM(C9:N9)</f>
        <v>70775533</v>
      </c>
      <c r="Q9" s="79" t="s">
        <v>48</v>
      </c>
    </row>
    <row r="10" spans="1:17" s="103" customFormat="1" ht="14.95" customHeight="1" x14ac:dyDescent="0.25">
      <c r="A10" s="162">
        <v>3611</v>
      </c>
      <c r="B10" s="190" t="str">
        <f>VLOOKUP(A10,Plan!A:B,2,0)</f>
        <v>Cali  Arzobispado (249)</v>
      </c>
      <c r="C10" s="77">
        <f>-SUMIFS('Diario Cali'!$E:$E,'Diario Cali'!$C:$C,$A10,'Diario Cali'!$B:$B,C$4)</f>
        <v>2006500</v>
      </c>
      <c r="D10" s="77">
        <f>-SUMIFS('Diario Cali'!$E:$E,'Diario Cali'!$C:$C,$A10,'Diario Cali'!$B:$B,D$4)</f>
        <v>2014500</v>
      </c>
      <c r="E10" s="77">
        <f>-SUMIFS('Diario Cali'!$E:$E,'Diario Cali'!$C:$C,$A10,'Diario Cali'!$B:$B,E$4)</f>
        <v>2112500</v>
      </c>
      <c r="F10" s="77">
        <f>-SUMIFS('Diario Cali'!$E:$E,'Diario Cali'!$C:$C,$A10,'Diario Cali'!$B:$B,F$4)</f>
        <v>2020500</v>
      </c>
      <c r="G10" s="77">
        <f>-SUMIFS('Diario Cali'!$E:$E,'Diario Cali'!$C:$C,$A10,'Diario Cali'!$B:$B,G$4)</f>
        <v>2010500</v>
      </c>
      <c r="H10" s="77">
        <f>-SUMIFS('Diario Cali'!$E:$E,'Diario Cali'!$C:$C,$A10,'Diario Cali'!$B:$B,H$4)</f>
        <v>1525000</v>
      </c>
      <c r="I10" s="77">
        <f>-SUMIFS('Diario Cali'!$E:$E,'Diario Cali'!$C:$C,$A10,'Diario Cali'!$B:$B,I$4)</f>
        <v>2000500</v>
      </c>
      <c r="J10" s="77">
        <f>-SUMIFS('Diario Cali'!$E:$E,'Diario Cali'!$C:$C,$A10,'Diario Cali'!$B:$B,J$4)</f>
        <v>1975500</v>
      </c>
      <c r="K10" s="77">
        <f>-SUMIFS('Diario Cali'!$E:$E,'Diario Cali'!$C:$C,$A10,'Diario Cali'!$B:$B,K$4)</f>
        <v>1970500</v>
      </c>
      <c r="L10" s="77">
        <f>-SUMIFS('Diario Cali'!$E:$E,'Diario Cali'!$C:$C,$A10,'Diario Cali'!$B:$B,L$4)</f>
        <v>1985500</v>
      </c>
      <c r="M10" s="77">
        <f>-SUMIFS('Diario Cali'!$E:$E,'Diario Cali'!$C:$C,$A10,'Diario Cali'!$B:$B,M$4)</f>
        <v>2035500</v>
      </c>
      <c r="N10" s="77">
        <f>-SUMIFS('Diario Cali'!$E:$E,'Diario Cali'!$C:$C,$A10,'Diario Cali'!$B:$B,N$4)</f>
        <v>2000500</v>
      </c>
      <c r="O10" s="79"/>
      <c r="P10" s="104">
        <f>SUM(C10:N10)</f>
        <v>23657500</v>
      </c>
      <c r="Q10" s="79" t="s">
        <v>48</v>
      </c>
    </row>
    <row r="11" spans="1:17" s="103" customFormat="1" ht="14.95" customHeight="1" x14ac:dyDescent="0.25">
      <c r="A11" s="162">
        <v>3620</v>
      </c>
      <c r="B11" s="190" t="str">
        <f>VLOOKUP(A11,Plan!A:B,2,0)</f>
        <v>Cali Recaudadores</v>
      </c>
      <c r="C11" s="77">
        <f>-SUMIFS('Diario Cali'!$E:$E,'Diario Cali'!$C:$C,$A11,'Diario Cali'!$B:$B,C$4)</f>
        <v>419000</v>
      </c>
      <c r="D11" s="77">
        <f>-SUMIFS('Diario Cali'!$E:$E,'Diario Cali'!$C:$C,$A11,'Diario Cali'!$B:$B,D$4)</f>
        <v>477000</v>
      </c>
      <c r="E11" s="77">
        <f>-SUMIFS('Diario Cali'!$E:$E,'Diario Cali'!$C:$C,$A11,'Diario Cali'!$B:$B,E$4)</f>
        <v>582000</v>
      </c>
      <c r="F11" s="77">
        <f>-SUMIFS('Diario Cali'!$E:$E,'Diario Cali'!$C:$C,$A11,'Diario Cali'!$B:$B,F$4)</f>
        <v>556000</v>
      </c>
      <c r="G11" s="77">
        <f>-SUMIFS('Diario Cali'!$E:$E,'Diario Cali'!$C:$C,$A11,'Diario Cali'!$B:$B,G$4)</f>
        <v>478000</v>
      </c>
      <c r="H11" s="77">
        <f>-SUMIFS('Diario Cali'!$E:$E,'Diario Cali'!$C:$C,$A11,'Diario Cali'!$B:$B,H$4)</f>
        <v>573000</v>
      </c>
      <c r="I11" s="77">
        <f>-SUMIFS('Diario Cali'!$E:$E,'Diario Cali'!$C:$C,$A11,'Diario Cali'!$B:$B,I$4)</f>
        <v>679000</v>
      </c>
      <c r="J11" s="77">
        <f>-SUMIFS('Diario Cali'!$E:$E,'Diario Cali'!$C:$C,$A11,'Diario Cali'!$B:$B,J$4)</f>
        <v>602000</v>
      </c>
      <c r="K11" s="77">
        <f>-SUMIFS('Diario Cali'!$E:$E,'Diario Cali'!$C:$C,$A11,'Diario Cali'!$B:$B,K$4)</f>
        <v>457000</v>
      </c>
      <c r="L11" s="77">
        <f>-SUMIFS('Diario Cali'!$E:$E,'Diario Cali'!$C:$C,$A11,'Diario Cali'!$B:$B,L$4)</f>
        <v>562000</v>
      </c>
      <c r="M11" s="77">
        <f>-SUMIFS('Diario Cali'!$E:$E,'Diario Cali'!$C:$C,$A11,'Diario Cali'!$B:$B,M$4)</f>
        <v>592000</v>
      </c>
      <c r="N11" s="77">
        <f>-SUMIFS('Diario Cali'!$E:$E,'Diario Cali'!$C:$C,$A11,'Diario Cali'!$B:$B,N$4)</f>
        <v>632000</v>
      </c>
      <c r="O11" s="79"/>
      <c r="P11" s="104">
        <f t="shared" si="1"/>
        <v>6609000</v>
      </c>
      <c r="Q11" s="79" t="s">
        <v>48</v>
      </c>
    </row>
    <row r="12" spans="1:17" s="103" customFormat="1" ht="14.95" customHeight="1" x14ac:dyDescent="0.25">
      <c r="A12" s="162">
        <v>3621</v>
      </c>
      <c r="B12" s="190" t="str">
        <f>VLOOKUP(A12,Plan!A:B,2,0)</f>
        <v>Cali Recaudadores (249)</v>
      </c>
      <c r="C12" s="77">
        <f>-SUMIFS('Diario Cali'!$E:$E,'Diario Cali'!$C:$C,$A12,'Diario Cali'!$B:$B,C$4)</f>
        <v>0</v>
      </c>
      <c r="D12" s="77">
        <f>-SUMIFS('Diario Cali'!$E:$E,'Diario Cali'!$C:$C,$A12,'Diario Cali'!$B:$B,D$4)</f>
        <v>0</v>
      </c>
      <c r="E12" s="77">
        <f>-SUMIFS('Diario Cali'!$E:$E,'Diario Cali'!$C:$C,$A12,'Diario Cali'!$B:$B,E$4)</f>
        <v>0</v>
      </c>
      <c r="F12" s="77">
        <f>-SUMIFS('Diario Cali'!$E:$E,'Diario Cali'!$C:$C,$A12,'Diario Cali'!$B:$B,F$4)</f>
        <v>0</v>
      </c>
      <c r="G12" s="77">
        <f>-SUMIFS('Diario Cali'!$E:$E,'Diario Cali'!$C:$C,$A12,'Diario Cali'!$B:$B,G$4)</f>
        <v>0</v>
      </c>
      <c r="H12" s="77">
        <f>-SUMIFS('Diario Cali'!$E:$E,'Diario Cali'!$C:$C,$A12,'Diario Cali'!$B:$B,H$4)</f>
        <v>0</v>
      </c>
      <c r="I12" s="77">
        <f>-SUMIFS('Diario Cali'!$E:$E,'Diario Cali'!$C:$C,$A12,'Diario Cali'!$B:$B,I$4)</f>
        <v>0</v>
      </c>
      <c r="J12" s="77">
        <f>-SUMIFS('Diario Cali'!$E:$E,'Diario Cali'!$C:$C,$A12,'Diario Cali'!$B:$B,J$4)</f>
        <v>0</v>
      </c>
      <c r="K12" s="77">
        <f>-SUMIFS('Diario Cali'!$E:$E,'Diario Cali'!$C:$C,$A12,'Diario Cali'!$B:$B,K$4)</f>
        <v>0</v>
      </c>
      <c r="L12" s="77">
        <f>-SUMIFS('Diario Cali'!$E:$E,'Diario Cali'!$C:$C,$A12,'Diario Cali'!$B:$B,L$4)</f>
        <v>0</v>
      </c>
      <c r="M12" s="77">
        <f>-SUMIFS('Diario Cali'!$E:$E,'Diario Cali'!$C:$C,$A12,'Diario Cali'!$B:$B,M$4)</f>
        <v>0</v>
      </c>
      <c r="N12" s="77">
        <f>-SUMIFS('Diario Cali'!$E:$E,'Diario Cali'!$C:$C,$A12,'Diario Cali'!$B:$B,N$4)</f>
        <v>0</v>
      </c>
      <c r="O12" s="79"/>
      <c r="P12" s="104">
        <f>SUM(C12:N12)</f>
        <v>0</v>
      </c>
      <c r="Q12" s="79" t="s">
        <v>48</v>
      </c>
    </row>
    <row r="13" spans="1:17" s="103" customFormat="1" ht="14.95" customHeight="1" x14ac:dyDescent="0.25">
      <c r="A13" s="162">
        <v>3630</v>
      </c>
      <c r="B13" s="190" t="str">
        <f>VLOOKUP(A13,Plan!A:B,2,0)</f>
        <v>Cali Oficina Parroquial</v>
      </c>
      <c r="C13" s="77">
        <f>-SUMIFS('Diario Cali'!$E:$E,'Diario Cali'!$C:$C,$A13,'Diario Cali'!$B:$B,C$4)</f>
        <v>909400</v>
      </c>
      <c r="D13" s="77">
        <f>-SUMIFS('Diario Cali'!$E:$E,'Diario Cali'!$C:$C,$A13,'Diario Cali'!$B:$B,D$4)</f>
        <v>536000</v>
      </c>
      <c r="E13" s="77">
        <f>-SUMIFS('Diario Cali'!$E:$E,'Diario Cali'!$C:$C,$A13,'Diario Cali'!$B:$B,E$4)</f>
        <v>752000</v>
      </c>
      <c r="F13" s="77">
        <f>-SUMIFS('Diario Cali'!$E:$E,'Diario Cali'!$C:$C,$A13,'Diario Cali'!$B:$B,F$4)</f>
        <v>1556020</v>
      </c>
      <c r="G13" s="77">
        <f>-SUMIFS('Diario Cali'!$E:$E,'Diario Cali'!$C:$C,$A13,'Diario Cali'!$B:$B,G$4)</f>
        <v>3445504</v>
      </c>
      <c r="H13" s="77">
        <f>-SUMIFS('Diario Cali'!$E:$E,'Diario Cali'!$C:$C,$A13,'Diario Cali'!$B:$B,H$4)</f>
        <v>2165853</v>
      </c>
      <c r="I13" s="77">
        <f>-SUMIFS('Diario Cali'!$E:$E,'Diario Cali'!$C:$C,$A13,'Diario Cali'!$B:$B,I$4)</f>
        <v>879500</v>
      </c>
      <c r="J13" s="77">
        <f>-SUMIFS('Diario Cali'!$E:$E,'Diario Cali'!$C:$C,$A13,'Diario Cali'!$B:$B,J$4)</f>
        <v>1044000</v>
      </c>
      <c r="K13" s="77">
        <f>-SUMIFS('Diario Cali'!$E:$E,'Diario Cali'!$C:$C,$A13,'Diario Cali'!$B:$B,K$4)</f>
        <v>935289</v>
      </c>
      <c r="L13" s="77">
        <f>-SUMIFS('Diario Cali'!$E:$E,'Diario Cali'!$C:$C,$A13,'Diario Cali'!$B:$B,L$4)</f>
        <v>905000</v>
      </c>
      <c r="M13" s="77">
        <f>-SUMIFS('Diario Cali'!$E:$E,'Diario Cali'!$C:$C,$A13,'Diario Cali'!$B:$B,M$4)</f>
        <v>1000100</v>
      </c>
      <c r="N13" s="77">
        <f>-SUMIFS('Diario Cali'!$E:$E,'Diario Cali'!$C:$C,$A13,'Diario Cali'!$B:$B,N$4)</f>
        <v>970000</v>
      </c>
      <c r="O13" s="79"/>
      <c r="P13" s="104">
        <f t="shared" si="1"/>
        <v>15098666</v>
      </c>
      <c r="Q13" s="79" t="s">
        <v>48</v>
      </c>
    </row>
    <row r="14" spans="1:17" s="103" customFormat="1" ht="14.95" customHeight="1" x14ac:dyDescent="0.25">
      <c r="A14" s="162">
        <v>3631</v>
      </c>
      <c r="B14" s="190" t="str">
        <f>VLOOKUP(A14,Plan!A:B,2,0)</f>
        <v>Cali Oficina Parroquial (249)</v>
      </c>
      <c r="C14" s="77">
        <f>-SUMIFS('Diario Cali'!$E:$E,'Diario Cali'!$C:$C,$A14,'Diario Cali'!$B:$B,C$4)</f>
        <v>2579500</v>
      </c>
      <c r="D14" s="77">
        <f>-SUMIFS('Diario Cali'!$E:$E,'Diario Cali'!$C:$C,$A14,'Diario Cali'!$B:$B,D$4)</f>
        <v>1549000</v>
      </c>
      <c r="E14" s="77">
        <f>-SUMIFS('Diario Cali'!$E:$E,'Diario Cali'!$C:$C,$A14,'Diario Cali'!$B:$B,E$4)</f>
        <v>3656000</v>
      </c>
      <c r="F14" s="77">
        <f>-SUMIFS('Diario Cali'!$E:$E,'Diario Cali'!$C:$C,$A14,'Diario Cali'!$B:$B,F$4)</f>
        <v>2496000</v>
      </c>
      <c r="G14" s="77">
        <f>-SUMIFS('Diario Cali'!$E:$E,'Diario Cali'!$C:$C,$A14,'Diario Cali'!$B:$B,G$4)</f>
        <v>2175000</v>
      </c>
      <c r="H14" s="77">
        <f>-SUMIFS('Diario Cali'!$E:$E,'Diario Cali'!$C:$C,$A14,'Diario Cali'!$B:$B,H$4)</f>
        <v>2286000</v>
      </c>
      <c r="I14" s="77">
        <f>-SUMIFS('Diario Cali'!$E:$E,'Diario Cali'!$C:$C,$A14,'Diario Cali'!$B:$B,I$4)</f>
        <v>2849000</v>
      </c>
      <c r="J14" s="77">
        <f>-SUMIFS('Diario Cali'!$E:$E,'Diario Cali'!$C:$C,$A14,'Diario Cali'!$B:$B,J$4)</f>
        <v>3787000</v>
      </c>
      <c r="K14" s="77">
        <f>-SUMIFS('Diario Cali'!$E:$E,'Diario Cali'!$C:$C,$A14,'Diario Cali'!$B:$B,K$4)</f>
        <v>2973500</v>
      </c>
      <c r="L14" s="77">
        <f>-SUMIFS('Diario Cali'!$E:$E,'Diario Cali'!$C:$C,$A14,'Diario Cali'!$B:$B,L$4)</f>
        <v>3698500</v>
      </c>
      <c r="M14" s="77">
        <f>-SUMIFS('Diario Cali'!$E:$E,'Diario Cali'!$C:$C,$A14,'Diario Cali'!$B:$B,M$4)</f>
        <v>3666000</v>
      </c>
      <c r="N14" s="77">
        <f>-SUMIFS('Diario Cali'!$E:$E,'Diario Cali'!$C:$C,$A14,'Diario Cali'!$B:$B,N$4)</f>
        <v>3572000</v>
      </c>
      <c r="O14" s="79"/>
      <c r="P14" s="104">
        <f>SUM(C14:N14)</f>
        <v>35287500</v>
      </c>
      <c r="Q14" s="79" t="s">
        <v>48</v>
      </c>
    </row>
    <row r="15" spans="1:17" s="103" customFormat="1" ht="14.95" customHeight="1" x14ac:dyDescent="0.25">
      <c r="A15" s="162">
        <v>3640</v>
      </c>
      <c r="B15" s="190" t="str">
        <f>VLOOKUP(A15,Plan!A:B,2,0)</f>
        <v>Cali Tarjetas de Creditos</v>
      </c>
      <c r="C15" s="77">
        <f>-SUMIFS('Diario Cali'!$E:$E,'Diario Cali'!$C:$C,$A15,'Diario Cali'!$B:$B,C$4)</f>
        <v>4406600</v>
      </c>
      <c r="D15" s="77">
        <f>-SUMIFS('Diario Cali'!$E:$E,'Diario Cali'!$C:$C,$A15,'Diario Cali'!$B:$B,D$4)</f>
        <v>4376600</v>
      </c>
      <c r="E15" s="77">
        <f>-SUMIFS('Diario Cali'!$E:$E,'Diario Cali'!$C:$C,$A15,'Diario Cali'!$B:$B,E$4)</f>
        <v>4374600</v>
      </c>
      <c r="F15" s="77">
        <f>-SUMIFS('Diario Cali'!$E:$E,'Diario Cali'!$C:$C,$A15,'Diario Cali'!$B:$B,F$4)</f>
        <v>4190600</v>
      </c>
      <c r="G15" s="77">
        <f>-SUMIFS('Diario Cali'!$E:$E,'Diario Cali'!$C:$C,$A15,'Diario Cali'!$B:$B,G$4)</f>
        <v>4190600</v>
      </c>
      <c r="H15" s="77">
        <f>-SUMIFS('Diario Cali'!$E:$E,'Diario Cali'!$C:$C,$A15,'Diario Cali'!$B:$B,H$4)</f>
        <v>4065600</v>
      </c>
      <c r="I15" s="77">
        <f>-SUMIFS('Diario Cali'!$E:$E,'Diario Cali'!$C:$C,$A15,'Diario Cali'!$B:$B,I$4)</f>
        <v>4140600</v>
      </c>
      <c r="J15" s="77">
        <f>-SUMIFS('Diario Cali'!$E:$E,'Diario Cali'!$C:$C,$A15,'Diario Cali'!$B:$B,J$4)</f>
        <v>4190600</v>
      </c>
      <c r="K15" s="77">
        <f>-SUMIFS('Diario Cali'!$E:$E,'Diario Cali'!$C:$C,$A15,'Diario Cali'!$B:$B,K$4)</f>
        <v>4190600</v>
      </c>
      <c r="L15" s="77">
        <f>-SUMIFS('Diario Cali'!$E:$E,'Diario Cali'!$C:$C,$A15,'Diario Cali'!$B:$B,L$4)</f>
        <v>4210600</v>
      </c>
      <c r="M15" s="77">
        <f>-SUMIFS('Diario Cali'!$E:$E,'Diario Cali'!$C:$C,$A15,'Diario Cali'!$B:$B,M$4)</f>
        <v>4310600</v>
      </c>
      <c r="N15" s="77">
        <f>-SUMIFS('Diario Cali'!$E:$E,'Diario Cali'!$C:$C,$A15,'Diario Cali'!$B:$B,N$4)</f>
        <v>4120600</v>
      </c>
      <c r="O15" s="79"/>
      <c r="P15" s="104">
        <f t="shared" si="1"/>
        <v>50768200</v>
      </c>
      <c r="Q15" s="79" t="s">
        <v>48</v>
      </c>
    </row>
    <row r="16" spans="1:17" s="103" customFormat="1" ht="14.95" customHeight="1" x14ac:dyDescent="0.25">
      <c r="A16" s="162">
        <v>3641</v>
      </c>
      <c r="B16" s="190" t="str">
        <f>VLOOKUP(A16,Plan!A:B,2,0)</f>
        <v>Cali Tarjetas de Creditos (249)</v>
      </c>
      <c r="C16" s="77">
        <f>-SUMIFS('Diario Cali'!$E:$E,'Diario Cali'!$C:$C,$A16,'Diario Cali'!$B:$B,C$4)</f>
        <v>5081258</v>
      </c>
      <c r="D16" s="77">
        <f>-SUMIFS('Diario Cali'!$E:$E,'Diario Cali'!$C:$C,$A16,'Diario Cali'!$B:$B,D$4)</f>
        <v>5001258</v>
      </c>
      <c r="E16" s="77">
        <f>-SUMIFS('Diario Cali'!$E:$E,'Diario Cali'!$C:$C,$A16,'Diario Cali'!$B:$B,E$4)</f>
        <v>5408258</v>
      </c>
      <c r="F16" s="77">
        <f>-SUMIFS('Diario Cali'!$E:$E,'Diario Cali'!$C:$C,$A16,'Diario Cali'!$B:$B,F$4)</f>
        <v>5882258</v>
      </c>
      <c r="G16" s="77">
        <f>-SUMIFS('Diario Cali'!$E:$E,'Diario Cali'!$C:$C,$A16,'Diario Cali'!$B:$B,G$4)</f>
        <v>6669213</v>
      </c>
      <c r="H16" s="77">
        <f>-SUMIFS('Diario Cali'!$E:$E,'Diario Cali'!$C:$C,$A16,'Diario Cali'!$B:$B,H$4)</f>
        <v>6364213</v>
      </c>
      <c r="I16" s="77">
        <f>-SUMIFS('Diario Cali'!$E:$E,'Diario Cali'!$C:$C,$A16,'Diario Cali'!$B:$B,I$4)</f>
        <v>7542213</v>
      </c>
      <c r="J16" s="77">
        <f>-SUMIFS('Diario Cali'!$E:$E,'Diario Cali'!$C:$C,$A16,'Diario Cali'!$B:$B,J$4)</f>
        <v>7622213</v>
      </c>
      <c r="K16" s="77">
        <f>-SUMIFS('Diario Cali'!$E:$E,'Diario Cali'!$C:$C,$A16,'Diario Cali'!$B:$B,K$4)</f>
        <v>7628413</v>
      </c>
      <c r="L16" s="77">
        <f>-SUMIFS('Diario Cali'!$E:$E,'Diario Cali'!$C:$C,$A16,'Diario Cali'!$B:$B,L$4)</f>
        <v>8137913</v>
      </c>
      <c r="M16" s="77">
        <f>-SUMIFS('Diario Cali'!$E:$E,'Diario Cali'!$C:$C,$A16,'Diario Cali'!$B:$B,M$4)</f>
        <v>8692913</v>
      </c>
      <c r="N16" s="77">
        <f>-SUMIFS('Diario Cali'!$E:$E,'Diario Cali'!$C:$C,$A16,'Diario Cali'!$B:$B,N$4)</f>
        <v>8451913</v>
      </c>
      <c r="O16" s="79"/>
      <c r="P16" s="104">
        <f>SUM(C16:N16)</f>
        <v>82482036</v>
      </c>
      <c r="Q16" s="79" t="s">
        <v>48</v>
      </c>
    </row>
    <row r="17" spans="1:18" s="103" customFormat="1" ht="13.75" customHeight="1" x14ac:dyDescent="0.25">
      <c r="A17" s="162">
        <v>3650</v>
      </c>
      <c r="B17" s="190" t="str">
        <f>VLOOKUP(A17,Plan!A:B,2,0)</f>
        <v>Cali Transferencias y Depósitos Directos</v>
      </c>
      <c r="C17" s="77">
        <f>-SUMIFS('Diario Cali'!$E:$E,'Diario Cali'!$C:$C,$A17,'Diario Cali'!$B:$B,C$4)</f>
        <v>0</v>
      </c>
      <c r="D17" s="77">
        <f>-SUMIFS('Diario Cali'!$E:$E,'Diario Cali'!$C:$C,$A17,'Diario Cali'!$B:$B,D$4)</f>
        <v>0</v>
      </c>
      <c r="E17" s="77">
        <f>-SUMIFS('Diario Cali'!$E:$E,'Diario Cali'!$C:$C,$A17,'Diario Cali'!$B:$B,E$4)</f>
        <v>0</v>
      </c>
      <c r="F17" s="77">
        <f>-SUMIFS('Diario Cali'!$E:$E,'Diario Cali'!$C:$C,$A17,'Diario Cali'!$B:$B,F$4)</f>
        <v>0</v>
      </c>
      <c r="G17" s="77">
        <f>-SUMIFS('Diario Cali'!$E:$E,'Diario Cali'!$C:$C,$A17,'Diario Cali'!$B:$B,G$4)</f>
        <v>0</v>
      </c>
      <c r="H17" s="77">
        <f>-SUMIFS('Diario Cali'!$E:$E,'Diario Cali'!$C:$C,$A17,'Diario Cali'!$B:$B,H$4)</f>
        <v>0</v>
      </c>
      <c r="I17" s="77">
        <f>-SUMIFS('Diario Cali'!$E:$E,'Diario Cali'!$C:$C,$A17,'Diario Cali'!$B:$B,I$4)</f>
        <v>0</v>
      </c>
      <c r="J17" s="77">
        <f>-SUMIFS('Diario Cali'!$E:$E,'Diario Cali'!$C:$C,$A17,'Diario Cali'!$B:$B,J$4)</f>
        <v>0</v>
      </c>
      <c r="K17" s="77">
        <f>-SUMIFS('Diario Cali'!$E:$E,'Diario Cali'!$C:$C,$A17,'Diario Cali'!$B:$B,K$4)</f>
        <v>0</v>
      </c>
      <c r="L17" s="77">
        <f>-SUMIFS('Diario Cali'!$E:$E,'Diario Cali'!$C:$C,$A17,'Diario Cali'!$B:$B,L$4)</f>
        <v>0</v>
      </c>
      <c r="M17" s="77">
        <f>-SUMIFS('Diario Cali'!$E:$E,'Diario Cali'!$C:$C,$A17,'Diario Cali'!$B:$B,M$4)</f>
        <v>0</v>
      </c>
      <c r="N17" s="77">
        <f>-SUMIFS('Diario Cali'!$E:$E,'Diario Cali'!$C:$C,$A17,'Diario Cali'!$B:$B,N$4)</f>
        <v>0</v>
      </c>
      <c r="O17" s="79"/>
      <c r="P17" s="104">
        <f t="shared" si="1"/>
        <v>0</v>
      </c>
      <c r="Q17" s="79" t="s">
        <v>48</v>
      </c>
    </row>
    <row r="18" spans="1:18" s="103" customFormat="1" ht="13.75" customHeight="1" x14ac:dyDescent="0.25">
      <c r="A18" s="162">
        <v>3651</v>
      </c>
      <c r="B18" s="190" t="str">
        <f>VLOOKUP(A18,Plan!A:B,2,0)</f>
        <v>Cali Transferencias y Depósitos Directos (249)</v>
      </c>
      <c r="C18" s="77">
        <f>-SUMIFS('Diario Cali'!$E:$E,'Diario Cali'!$C:$C,$A18,'Diario Cali'!$B:$B,C$4)</f>
        <v>0</v>
      </c>
      <c r="D18" s="77">
        <f>-SUMIFS('Diario Cali'!$E:$E,'Diario Cali'!$C:$C,$A18,'Diario Cali'!$B:$B,D$4)</f>
        <v>0</v>
      </c>
      <c r="E18" s="77">
        <f>-SUMIFS('Diario Cali'!$E:$E,'Diario Cali'!$C:$C,$A18,'Diario Cali'!$B:$B,E$4)</f>
        <v>0</v>
      </c>
      <c r="F18" s="77">
        <f>-SUMIFS('Diario Cali'!$E:$E,'Diario Cali'!$C:$C,$A18,'Diario Cali'!$B:$B,F$4)</f>
        <v>0</v>
      </c>
      <c r="G18" s="77">
        <f>-SUMIFS('Diario Cali'!$E:$E,'Diario Cali'!$C:$C,$A18,'Diario Cali'!$B:$B,G$4)</f>
        <v>0</v>
      </c>
      <c r="H18" s="77">
        <f>-SUMIFS('Diario Cali'!$E:$E,'Diario Cali'!$C:$C,$A18,'Diario Cali'!$B:$B,H$4)</f>
        <v>0</v>
      </c>
      <c r="I18" s="77">
        <f>-SUMIFS('Diario Cali'!$E:$E,'Diario Cali'!$C:$C,$A18,'Diario Cali'!$B:$B,I$4)</f>
        <v>0</v>
      </c>
      <c r="J18" s="77">
        <f>-SUMIFS('Diario Cali'!$E:$E,'Diario Cali'!$C:$C,$A18,'Diario Cali'!$B:$B,J$4)</f>
        <v>0</v>
      </c>
      <c r="K18" s="77">
        <f>-SUMIFS('Diario Cali'!$E:$E,'Diario Cali'!$C:$C,$A18,'Diario Cali'!$B:$B,K$4)</f>
        <v>0</v>
      </c>
      <c r="L18" s="77">
        <f>-SUMIFS('Diario Cali'!$E:$E,'Diario Cali'!$C:$C,$A18,'Diario Cali'!$B:$B,L$4)</f>
        <v>0</v>
      </c>
      <c r="M18" s="77">
        <f>-SUMIFS('Diario Cali'!$E:$E,'Diario Cali'!$C:$C,$A18,'Diario Cali'!$B:$B,M$4)</f>
        <v>0</v>
      </c>
      <c r="N18" s="77">
        <f>-SUMIFS('Diario Cali'!$E:$E,'Diario Cali'!$C:$C,$A18,'Diario Cali'!$B:$B,N$4)</f>
        <v>0</v>
      </c>
      <c r="O18" s="79"/>
      <c r="P18" s="104">
        <f>SUM(C18:N18)</f>
        <v>0</v>
      </c>
      <c r="Q18" s="79" t="s">
        <v>48</v>
      </c>
    </row>
    <row r="19" spans="1:18" s="103" customFormat="1" ht="14.95" customHeight="1" x14ac:dyDescent="0.25">
      <c r="A19" s="162">
        <v>3210</v>
      </c>
      <c r="B19" s="190" t="str">
        <f>VLOOKUP(A19,Plan!A:B,2,0)</f>
        <v>Donacion Construccion</v>
      </c>
      <c r="C19" s="77">
        <f>-SUMIFS('Diario Cali'!$E:$E,'Diario Cali'!$C:$C,$A19,'Diario Cali'!$B:$B,C$4)</f>
        <v>113142631</v>
      </c>
      <c r="D19" s="77">
        <f>-SUMIFS('Diario Cali'!$E:$E,'Diario Cali'!$C:$C,$A19,'Diario Cali'!$B:$B,D$4)</f>
        <v>9340020</v>
      </c>
      <c r="E19" s="77">
        <f>-SUMIFS('Diario Cali'!$E:$E,'Diario Cali'!$C:$C,$A19,'Diario Cali'!$B:$B,E$4)</f>
        <v>45785970</v>
      </c>
      <c r="F19" s="77">
        <f>-SUMIFS('Diario Cali'!$E:$E,'Diario Cali'!$C:$C,$A19,'Diario Cali'!$B:$B,F$4)</f>
        <v>15069267</v>
      </c>
      <c r="G19" s="77">
        <f>-SUMIFS('Diario Cali'!$E:$E,'Diario Cali'!$C:$C,$A19,'Diario Cali'!$B:$B,G$4)</f>
        <v>14095550</v>
      </c>
      <c r="H19" s="77">
        <f>-SUMIFS('Diario Cali'!$E:$E,'Diario Cali'!$C:$C,$A19,'Diario Cali'!$B:$B,H$4)</f>
        <v>9682644</v>
      </c>
      <c r="I19" s="77">
        <f>-SUMIFS('Diario Cali'!$E:$E,'Diario Cali'!$C:$C,$A19,'Diario Cali'!$B:$B,I$4)</f>
        <v>12147202</v>
      </c>
      <c r="J19" s="77">
        <f>-SUMIFS('Diario Cali'!$E:$E,'Diario Cali'!$C:$C,$A19,'Diario Cali'!$B:$B,J$4)</f>
        <v>11833089</v>
      </c>
      <c r="K19" s="77">
        <f>-SUMIFS('Diario Cali'!$E:$E,'Diario Cali'!$C:$C,$A19,'Diario Cali'!$B:$B,K$4)</f>
        <v>11259965</v>
      </c>
      <c r="L19" s="77">
        <f>-SUMIFS('Diario Cali'!$E:$E,'Diario Cali'!$C:$C,$A19,'Diario Cali'!$B:$B,L$4)</f>
        <v>13372021</v>
      </c>
      <c r="M19" s="77">
        <f>-SUMIFS('Diario Cali'!$E:$E,'Diario Cali'!$C:$C,$A19,'Diario Cali'!$B:$B,M$4)</f>
        <v>7885925</v>
      </c>
      <c r="N19" s="77">
        <f>-SUMIFS('Diario Cali'!$E:$E,'Diario Cali'!$C:$C,$A19,'Diario Cali'!$B:$B,N$4)</f>
        <v>121371278</v>
      </c>
      <c r="O19" s="79"/>
      <c r="P19" s="104">
        <f>SUM(C19:N19)</f>
        <v>384985562</v>
      </c>
      <c r="Q19" s="79" t="s">
        <v>48</v>
      </c>
    </row>
    <row r="20" spans="1:18" s="103" customFormat="1" ht="14.95" customHeight="1" x14ac:dyDescent="0.25">
      <c r="A20" s="162">
        <v>3660</v>
      </c>
      <c r="B20" s="190" t="str">
        <f>VLOOKUP(A20,Plan!A:B,2,0)</f>
        <v>Cali Otros</v>
      </c>
      <c r="C20" s="77">
        <f>-SUMIFS('Diario Cali'!$E:$E,'Diario Cali'!$C:$C,$A20,'Diario Cali'!$B:$B,C$4)</f>
        <v>0</v>
      </c>
      <c r="D20" s="77">
        <f>-SUMIFS('Diario Cali'!$E:$E,'Diario Cali'!$C:$C,$A20,'Diario Cali'!$B:$B,D$4)</f>
        <v>0</v>
      </c>
      <c r="E20" s="77">
        <f>-SUMIFS('Diario Cali'!$E:$E,'Diario Cali'!$C:$C,$A20,'Diario Cali'!$B:$B,E$4)</f>
        <v>0</v>
      </c>
      <c r="F20" s="77">
        <f>-SUMIFS('Diario Cali'!$E:$E,'Diario Cali'!$C:$C,$A20,'Diario Cali'!$B:$B,F$4)</f>
        <v>0</v>
      </c>
      <c r="G20" s="77">
        <f>-SUMIFS('Diario Cali'!$E:$E,'Diario Cali'!$C:$C,$A20,'Diario Cali'!$B:$B,G$4)</f>
        <v>0</v>
      </c>
      <c r="H20" s="77">
        <f>-SUMIFS('Diario Cali'!$E:$E,'Diario Cali'!$C:$C,$A20,'Diario Cali'!$B:$B,H$4)</f>
        <v>0</v>
      </c>
      <c r="I20" s="77">
        <f>-SUMIFS('Diario Cali'!$E:$E,'Diario Cali'!$C:$C,$A20,'Diario Cali'!$B:$B,I$4)</f>
        <v>0</v>
      </c>
      <c r="J20" s="77">
        <f>-SUMIFS('Diario Cali'!$E:$E,'Diario Cali'!$C:$C,$A20,'Diario Cali'!$B:$B,J$4)</f>
        <v>0</v>
      </c>
      <c r="K20" s="77">
        <f>-SUMIFS('Diario Cali'!$E:$E,'Diario Cali'!$C:$C,$A20,'Diario Cali'!$B:$B,K$4)</f>
        <v>0</v>
      </c>
      <c r="L20" s="77">
        <f>-SUMIFS('Diario Cali'!$E:$E,'Diario Cali'!$C:$C,$A20,'Diario Cali'!$B:$B,L$4)</f>
        <v>0</v>
      </c>
      <c r="M20" s="77">
        <f>-SUMIFS('Diario Cali'!$E:$E,'Diario Cali'!$C:$C,$A20,'Diario Cali'!$B:$B,M$4)</f>
        <v>0</v>
      </c>
      <c r="N20" s="77">
        <f>-SUMIFS('Diario Cali'!$E:$E,'Diario Cali'!$C:$C,$A20,'Diario Cali'!$B:$B,N$4)</f>
        <v>0</v>
      </c>
      <c r="O20" s="79"/>
      <c r="P20" s="104">
        <f t="shared" si="1"/>
        <v>0</v>
      </c>
      <c r="Q20" s="79" t="s">
        <v>48</v>
      </c>
    </row>
    <row r="21" spans="1:18" s="109" customFormat="1" ht="14.95" customHeight="1" x14ac:dyDescent="0.2">
      <c r="A21" s="109" t="s">
        <v>48</v>
      </c>
      <c r="B21" s="100" t="s">
        <v>1</v>
      </c>
      <c r="C21" s="105">
        <f t="shared" ref="C21:N21" si="2">SUM(C22:C33)</f>
        <v>7656921</v>
      </c>
      <c r="D21" s="105">
        <f t="shared" si="2"/>
        <v>7487589</v>
      </c>
      <c r="E21" s="105">
        <f t="shared" si="2"/>
        <v>7770913</v>
      </c>
      <c r="F21" s="105">
        <f t="shared" si="2"/>
        <v>8215628</v>
      </c>
      <c r="G21" s="105">
        <f t="shared" si="2"/>
        <v>9919494</v>
      </c>
      <c r="H21" s="105">
        <f t="shared" si="2"/>
        <v>8027495</v>
      </c>
      <c r="I21" s="105">
        <f t="shared" si="2"/>
        <v>8417240</v>
      </c>
      <c r="J21" s="105">
        <f t="shared" si="2"/>
        <v>8252316</v>
      </c>
      <c r="K21" s="105">
        <f t="shared" si="2"/>
        <v>7799924</v>
      </c>
      <c r="L21" s="105">
        <f t="shared" si="2"/>
        <v>7821594</v>
      </c>
      <c r="M21" s="105">
        <f t="shared" si="2"/>
        <v>8053750</v>
      </c>
      <c r="N21" s="105">
        <f t="shared" si="2"/>
        <v>8379526</v>
      </c>
      <c r="O21" s="85"/>
      <c r="P21" s="106">
        <f>SUM(P22:P33)</f>
        <v>97802390</v>
      </c>
      <c r="Q21" s="85" t="s">
        <v>48</v>
      </c>
      <c r="R21" s="85"/>
    </row>
    <row r="22" spans="1:18" s="103" customFormat="1" ht="14.95" customHeight="1" x14ac:dyDescent="0.25">
      <c r="A22" s="170">
        <v>4110</v>
      </c>
      <c r="B22" s="190" t="str">
        <f>VLOOKUP(A22,Plan!A:B,2,0)</f>
        <v>Aporte Papal</v>
      </c>
      <c r="C22" s="77">
        <f>SUMIFS('Diario Cali'!$E:$E,'Diario Cali'!$C:$C,$A22,'Diario Cali'!$B:$B,C$4)</f>
        <v>216859</v>
      </c>
      <c r="D22" s="77">
        <f>SUMIFS('Diario Cali'!$E:$E,'Diario Cali'!$C:$C,$A22,'Diario Cali'!$B:$B,D$4)</f>
        <v>200215</v>
      </c>
      <c r="E22" s="77">
        <f>SUMIFS('Diario Cali'!$E:$E,'Diario Cali'!$C:$C,$A22,'Diario Cali'!$B:$B,E$4)</f>
        <v>217857</v>
      </c>
      <c r="F22" s="77">
        <f>SUMIFS('Diario Cali'!$E:$E,'Diario Cali'!$C:$C,$A22,'Diario Cali'!$B:$B,F$4)</f>
        <v>226927</v>
      </c>
      <c r="G22" s="77">
        <f>SUMIFS('Diario Cali'!$E:$E,'Diario Cali'!$C:$C,$A22,'Diario Cali'!$B:$B,G$4)</f>
        <v>250575</v>
      </c>
      <c r="H22" s="77">
        <f>SUMIFS('Diario Cali'!$E:$E,'Diario Cali'!$C:$C,$A22,'Diario Cali'!$B:$B,H$4)</f>
        <v>228780</v>
      </c>
      <c r="I22" s="77">
        <f>SUMIFS('Diario Cali'!$E:$E,'Diario Cali'!$C:$C,$A22,'Diario Cali'!$B:$B,I$4)</f>
        <v>240491</v>
      </c>
      <c r="J22" s="77">
        <f>SUMIFS('Diario Cali'!$E:$E,'Diario Cali'!$C:$C,$A22,'Diario Cali'!$B:$B,J$4)</f>
        <v>253748</v>
      </c>
      <c r="K22" s="77">
        <f>SUMIFS('Diario Cali'!$E:$E,'Diario Cali'!$C:$C,$A22,'Diario Cali'!$B:$B,K$4)</f>
        <v>240091</v>
      </c>
      <c r="L22" s="77">
        <f>SUMIFS('Diario Cali'!$E:$E,'Diario Cali'!$C:$C,$A22,'Diario Cali'!$B:$B,L$4)</f>
        <v>254705</v>
      </c>
      <c r="M22" s="77">
        <f>SUMIFS('Diario Cali'!$E:$E,'Diario Cali'!$C:$C,$A22,'Diario Cali'!$B:$B,M$4)</f>
        <v>262543</v>
      </c>
      <c r="N22" s="77">
        <f>SUMIFS('Diario Cali'!$E:$E,'Diario Cali'!$C:$C,$A22,'Diario Cali'!$B:$B,N$4)</f>
        <v>253997</v>
      </c>
      <c r="O22" s="79"/>
      <c r="P22" s="107">
        <f t="shared" ref="P22:P32" si="3">SUM(C22:N22)</f>
        <v>2846788</v>
      </c>
    </row>
    <row r="23" spans="1:18" s="103" customFormat="1" ht="14.95" customHeight="1" x14ac:dyDescent="0.25">
      <c r="A23" s="170">
        <v>4120</v>
      </c>
      <c r="B23" s="190" t="str">
        <f>VLOOKUP(A23,Plan!A:B,2,0)</f>
        <v>Aporte Arzobispado</v>
      </c>
      <c r="C23" s="77">
        <f>SUMIFS('Diario Cali'!$E:$E,'Diario Cali'!$C:$C,$A23,'Diario Cali'!$B:$B,C$4)</f>
        <v>6477398</v>
      </c>
      <c r="D23" s="77">
        <f>SUMIFS('Diario Cali'!$E:$E,'Diario Cali'!$C:$C,$A23,'Diario Cali'!$B:$B,D$4)</f>
        <v>6171865</v>
      </c>
      <c r="E23" s="77">
        <f>SUMIFS('Diario Cali'!$E:$E,'Diario Cali'!$C:$C,$A23,'Diario Cali'!$B:$B,E$4)</f>
        <v>5703876</v>
      </c>
      <c r="F23" s="77">
        <f>SUMIFS('Diario Cali'!$E:$E,'Diario Cali'!$C:$C,$A23,'Diario Cali'!$B:$B,F$4)</f>
        <v>6606834</v>
      </c>
      <c r="G23" s="77">
        <f>SUMIFS('Diario Cali'!$E:$E,'Diario Cali'!$C:$C,$A23,'Diario Cali'!$B:$B,G$4)</f>
        <v>7640041</v>
      </c>
      <c r="H23" s="77">
        <f>SUMIFS('Diario Cali'!$E:$E,'Diario Cali'!$C:$C,$A23,'Diario Cali'!$B:$B,H$4)</f>
        <v>6814079</v>
      </c>
      <c r="I23" s="77">
        <f>SUMIFS('Diario Cali'!$E:$E,'Diario Cali'!$C:$C,$A23,'Diario Cali'!$B:$B,I$4)</f>
        <v>6271125</v>
      </c>
      <c r="J23" s="77">
        <f>SUMIFS('Diario Cali'!$E:$E,'Diario Cali'!$C:$C,$A23,'Diario Cali'!$B:$B,J$4)</f>
        <v>6451848</v>
      </c>
      <c r="K23" s="77">
        <f>SUMIFS('Diario Cali'!$E:$E,'Diario Cali'!$C:$C,$A23,'Diario Cali'!$B:$B,K$4)</f>
        <v>6155053</v>
      </c>
      <c r="L23" s="77">
        <f>SUMIFS('Diario Cali'!$E:$E,'Diario Cali'!$C:$C,$A23,'Diario Cali'!$B:$B,L$4)</f>
        <v>6262798</v>
      </c>
      <c r="M23" s="77">
        <f>SUMIFS('Diario Cali'!$E:$E,'Diario Cali'!$C:$C,$A23,'Diario Cali'!$B:$B,M$4)</f>
        <v>6379451</v>
      </c>
      <c r="N23" s="77">
        <f>SUMIFS('Diario Cali'!$E:$E,'Diario Cali'!$C:$C,$A23,'Diario Cali'!$B:$B,N$4)</f>
        <v>6113529</v>
      </c>
      <c r="O23" s="79"/>
      <c r="P23" s="107">
        <f t="shared" si="3"/>
        <v>77047897</v>
      </c>
    </row>
    <row r="24" spans="1:18" s="103" customFormat="1" ht="13.75" customHeight="1" x14ac:dyDescent="0.25">
      <c r="A24" s="170">
        <v>4130</v>
      </c>
      <c r="B24" s="190" t="str">
        <f>VLOOKUP(A24,Plan!A:B,2,0)</f>
        <v>Aporte Vicaria</v>
      </c>
      <c r="C24" s="77">
        <f>SUMIFS('Diario Cali'!$E:$E,'Diario Cali'!$C:$C,$A24,'Diario Cali'!$B:$B,C$4)</f>
        <v>20000</v>
      </c>
      <c r="D24" s="77">
        <f>SUMIFS('Diario Cali'!$E:$E,'Diario Cali'!$C:$C,$A24,'Diario Cali'!$B:$B,D$4)</f>
        <v>0</v>
      </c>
      <c r="E24" s="77">
        <f>SUMIFS('Diario Cali'!$E:$E,'Diario Cali'!$C:$C,$A24,'Diario Cali'!$B:$B,E$4)</f>
        <v>0</v>
      </c>
      <c r="F24" s="77">
        <f>SUMIFS('Diario Cali'!$E:$E,'Diario Cali'!$C:$C,$A24,'Diario Cali'!$B:$B,F$4)</f>
        <v>0</v>
      </c>
      <c r="G24" s="77">
        <f>SUMIFS('Diario Cali'!$E:$E,'Diario Cali'!$C:$C,$A24,'Diario Cali'!$B:$B,G$4)</f>
        <v>0</v>
      </c>
      <c r="H24" s="77">
        <f>SUMIFS('Diario Cali'!$E:$E,'Diario Cali'!$C:$C,$A24,'Diario Cali'!$B:$B,H$4)</f>
        <v>0</v>
      </c>
      <c r="I24" s="77">
        <f>SUMIFS('Diario Cali'!$E:$E,'Diario Cali'!$C:$C,$A24,'Diario Cali'!$B:$B,I$4)</f>
        <v>0</v>
      </c>
      <c r="J24" s="77">
        <f>SUMIFS('Diario Cali'!$E:$E,'Diario Cali'!$C:$C,$A24,'Diario Cali'!$B:$B,J$4)</f>
        <v>0</v>
      </c>
      <c r="K24" s="77">
        <f>SUMIFS('Diario Cali'!$E:$E,'Diario Cali'!$C:$C,$A24,'Diario Cali'!$B:$B,K$4)</f>
        <v>0</v>
      </c>
      <c r="L24" s="77">
        <f>SUMIFS('Diario Cali'!$E:$E,'Diario Cali'!$C:$C,$A24,'Diario Cali'!$B:$B,L$4)</f>
        <v>0</v>
      </c>
      <c r="M24" s="77">
        <f>SUMIFS('Diario Cali'!$E:$E,'Diario Cali'!$C:$C,$A24,'Diario Cali'!$B:$B,M$4)</f>
        <v>0</v>
      </c>
      <c r="N24" s="77">
        <f>SUMIFS('Diario Cali'!$E:$E,'Diario Cali'!$C:$C,$A24,'Diario Cali'!$B:$B,N$4)</f>
        <v>0</v>
      </c>
      <c r="O24" s="79"/>
      <c r="P24" s="107">
        <f t="shared" si="3"/>
        <v>20000</v>
      </c>
    </row>
    <row r="25" spans="1:18" s="103" customFormat="1" ht="14.95" customHeight="1" x14ac:dyDescent="0.25">
      <c r="A25" s="170">
        <v>4140</v>
      </c>
      <c r="B25" s="190" t="str">
        <f>VLOOKUP(A25,Plan!A:B,2,0)</f>
        <v>Comisiones Cali Recaudadores</v>
      </c>
      <c r="C25" s="77">
        <f>SUMIFS('Diario Cali'!$E:$E,'Diario Cali'!$C:$C,$A25,'Diario Cali'!$B:$B,C$4)</f>
        <v>50280</v>
      </c>
      <c r="D25" s="77">
        <f>SUMIFS('Diario Cali'!$E:$E,'Diario Cali'!$C:$C,$A25,'Diario Cali'!$B:$B,D$4)</f>
        <v>57240</v>
      </c>
      <c r="E25" s="77">
        <f>SUMIFS('Diario Cali'!$E:$E,'Diario Cali'!$C:$C,$A25,'Diario Cali'!$B:$B,E$4)</f>
        <v>69840</v>
      </c>
      <c r="F25" s="77">
        <f>SUMIFS('Diario Cali'!$E:$E,'Diario Cali'!$C:$C,$A25,'Diario Cali'!$B:$B,F$4)</f>
        <v>66720</v>
      </c>
      <c r="G25" s="77">
        <f>SUMIFS('Diario Cali'!$E:$E,'Diario Cali'!$C:$C,$A25,'Diario Cali'!$B:$B,G$4)</f>
        <v>57360</v>
      </c>
      <c r="H25" s="77">
        <f>SUMIFS('Diario Cali'!$E:$E,'Diario Cali'!$C:$C,$A25,'Diario Cali'!$B:$B,H$4)</f>
        <v>68760</v>
      </c>
      <c r="I25" s="77">
        <f>SUMIFS('Diario Cali'!$E:$E,'Diario Cali'!$C:$C,$A25,'Diario Cali'!$B:$B,I$4)</f>
        <v>81480</v>
      </c>
      <c r="J25" s="77">
        <f>SUMIFS('Diario Cali'!$E:$E,'Diario Cali'!$C:$C,$A25,'Diario Cali'!$B:$B,J$4)</f>
        <v>72240</v>
      </c>
      <c r="K25" s="77">
        <f>SUMIFS('Diario Cali'!$E:$E,'Diario Cali'!$C:$C,$A25,'Diario Cali'!$B:$B,K$4)</f>
        <v>54840</v>
      </c>
      <c r="L25" s="77">
        <f>SUMIFS('Diario Cali'!$E:$E,'Diario Cali'!$C:$C,$A25,'Diario Cali'!$B:$B,L$4)</f>
        <v>67440</v>
      </c>
      <c r="M25" s="77">
        <f>SUMIFS('Diario Cali'!$E:$E,'Diario Cali'!$C:$C,$A25,'Diario Cali'!$B:$B,M$4)</f>
        <v>71040</v>
      </c>
      <c r="N25" s="77">
        <f>SUMIFS('Diario Cali'!$E:$E,'Diario Cali'!$C:$C,$A25,'Diario Cali'!$B:$B,N$4)</f>
        <v>75840</v>
      </c>
      <c r="O25" s="79"/>
      <c r="P25" s="107">
        <f t="shared" si="3"/>
        <v>793080</v>
      </c>
    </row>
    <row r="26" spans="1:18" s="103" customFormat="1" ht="14.95" customHeight="1" x14ac:dyDescent="0.25">
      <c r="A26" s="170">
        <v>4150</v>
      </c>
      <c r="B26" s="190" t="str">
        <f>VLOOKUP(A26,Plan!A:B,2,0)</f>
        <v>Comisiones Cali Tarjetas de Creditos</v>
      </c>
      <c r="C26" s="77">
        <f>SUMIFS('Diario Cali'!$E:$E,'Diario Cali'!$C:$C,$A26,'Diario Cali'!$B:$B,C$4)</f>
        <v>148972</v>
      </c>
      <c r="D26" s="77">
        <f>SUMIFS('Diario Cali'!$E:$E,'Diario Cali'!$C:$C,$A26,'Diario Cali'!$B:$B,D$4)</f>
        <v>91997</v>
      </c>
      <c r="E26" s="77">
        <f>SUMIFS('Diario Cali'!$E:$E,'Diario Cali'!$C:$C,$A26,'Diario Cali'!$B:$B,E$4)</f>
        <v>244870</v>
      </c>
      <c r="F26" s="77">
        <f>SUMIFS('Diario Cali'!$E:$E,'Diario Cali'!$C:$C,$A26,'Diario Cali'!$B:$B,F$4)</f>
        <v>119867</v>
      </c>
      <c r="G26" s="77">
        <f>SUMIFS('Diario Cali'!$E:$E,'Diario Cali'!$C:$C,$A26,'Diario Cali'!$B:$B,G$4)</f>
        <v>129232</v>
      </c>
      <c r="H26" s="77">
        <f>SUMIFS('Diario Cali'!$E:$E,'Diario Cali'!$C:$C,$A26,'Diario Cali'!$B:$B,H$4)</f>
        <v>124115</v>
      </c>
      <c r="I26" s="77">
        <f>SUMIFS('Diario Cali'!$E:$E,'Diario Cali'!$C:$C,$A26,'Diario Cali'!$B:$B,I$4)</f>
        <v>139025</v>
      </c>
      <c r="J26" s="77">
        <f>SUMIFS('Diario Cali'!$E:$E,'Diario Cali'!$C:$C,$A26,'Diario Cali'!$B:$B,J$4)</f>
        <v>140572</v>
      </c>
      <c r="K26" s="77">
        <f>SUMIFS('Diario Cali'!$E:$E,'Diario Cali'!$C:$C,$A26,'Diario Cali'!$B:$B,K$4)</f>
        <v>395216</v>
      </c>
      <c r="L26" s="77">
        <f>SUMIFS('Diario Cali'!$E:$E,'Diario Cali'!$C:$C,$A26,'Diario Cali'!$B:$B,L$4)</f>
        <v>412922</v>
      </c>
      <c r="M26" s="77">
        <f>SUMIFS('Diario Cali'!$E:$E,'Diario Cali'!$C:$C,$A26,'Diario Cali'!$B:$B,M$4)</f>
        <v>416255</v>
      </c>
      <c r="N26" s="77">
        <f>SUMIFS('Diario Cali'!$E:$E,'Diario Cali'!$C:$C,$A26,'Diario Cali'!$B:$B,N$4)</f>
        <v>393197</v>
      </c>
      <c r="O26" s="79"/>
      <c r="P26" s="107">
        <f t="shared" si="3"/>
        <v>2756240</v>
      </c>
    </row>
    <row r="27" spans="1:18" s="103" customFormat="1" ht="14.95" customHeight="1" x14ac:dyDescent="0.25">
      <c r="A27" s="170">
        <v>4160</v>
      </c>
      <c r="B27" s="190" t="str">
        <f>VLOOKUP(A27,Plan!A:B,2,0)</f>
        <v>Comisiones Cali Arzobispado</v>
      </c>
      <c r="C27" s="77">
        <f>SUMIFS('Diario Cali'!$E:$E,'Diario Cali'!$C:$C,$A27,'Diario Cali'!$B:$B,C$4)</f>
        <v>471556</v>
      </c>
      <c r="D27" s="77">
        <f>SUMIFS('Diario Cali'!$E:$E,'Diario Cali'!$C:$C,$A27,'Diario Cali'!$B:$B,D$4)</f>
        <v>465745</v>
      </c>
      <c r="E27" s="77">
        <f>SUMIFS('Diario Cali'!$E:$E,'Diario Cali'!$C:$C,$A27,'Diario Cali'!$B:$B,E$4)</f>
        <v>370935</v>
      </c>
      <c r="F27" s="77">
        <f>SUMIFS('Diario Cali'!$E:$E,'Diario Cali'!$C:$C,$A27,'Diario Cali'!$B:$B,F$4)</f>
        <v>461343</v>
      </c>
      <c r="G27" s="77">
        <f>SUMIFS('Diario Cali'!$E:$E,'Diario Cali'!$C:$C,$A27,'Diario Cali'!$B:$B,G$4)</f>
        <v>466451</v>
      </c>
      <c r="H27" s="77">
        <f>SUMIFS('Diario Cali'!$E:$E,'Diario Cali'!$C:$C,$A27,'Diario Cali'!$B:$B,H$4)</f>
        <v>448649</v>
      </c>
      <c r="I27" s="77">
        <f>SUMIFS('Diario Cali'!$E:$E,'Diario Cali'!$C:$C,$A27,'Diario Cali'!$B:$B,I$4)</f>
        <v>461920</v>
      </c>
      <c r="J27" s="77">
        <f>SUMIFS('Diario Cali'!$E:$E,'Diario Cali'!$C:$C,$A27,'Diario Cali'!$B:$B,J$4)</f>
        <v>473083</v>
      </c>
      <c r="K27" s="77">
        <f>SUMIFS('Diario Cali'!$E:$E,'Diario Cali'!$C:$C,$A27,'Diario Cali'!$B:$B,K$4)</f>
        <v>449884</v>
      </c>
      <c r="L27" s="77">
        <f>SUMIFS('Diario Cali'!$E:$E,'Diario Cali'!$C:$C,$A27,'Diario Cali'!$B:$B,L$4)</f>
        <v>469220</v>
      </c>
      <c r="M27" s="77">
        <f>SUMIFS('Diario Cali'!$E:$E,'Diario Cali'!$C:$C,$A27,'Diario Cali'!$B:$B,M$4)</f>
        <v>458498</v>
      </c>
      <c r="N27" s="77">
        <f>SUMIFS('Diario Cali'!$E:$E,'Diario Cali'!$C:$C,$A27,'Diario Cali'!$B:$B,N$4)</f>
        <v>442547</v>
      </c>
      <c r="O27" s="79"/>
      <c r="P27" s="107">
        <f t="shared" si="3"/>
        <v>5439831</v>
      </c>
    </row>
    <row r="28" spans="1:18" s="103" customFormat="1" ht="14.95" customHeight="1" x14ac:dyDescent="0.25">
      <c r="A28" s="170">
        <v>4170</v>
      </c>
      <c r="B28" s="190" t="str">
        <f>VLOOKUP(A28,Plan!A:B,2,0)</f>
        <v>Cali otros</v>
      </c>
      <c r="C28" s="77">
        <f>SUMIFS('Diario Cali'!$E:$E,'Diario Cali'!$C:$C,$A28,'Diario Cali'!$B:$B,C$4)</f>
        <v>271856</v>
      </c>
      <c r="D28" s="77">
        <f>SUMIFS('Diario Cali'!$E:$E,'Diario Cali'!$C:$C,$A28,'Diario Cali'!$B:$B,D$4)</f>
        <v>399361</v>
      </c>
      <c r="E28" s="77">
        <f>SUMIFS('Diario Cali'!$E:$E,'Diario Cali'!$C:$C,$A28,'Diario Cali'!$B:$B,E$4)</f>
        <v>1162821</v>
      </c>
      <c r="F28" s="77">
        <f>SUMIFS('Diario Cali'!$E:$E,'Diario Cali'!$C:$C,$A28,'Diario Cali'!$B:$B,F$4)</f>
        <v>730390</v>
      </c>
      <c r="G28" s="77">
        <f>SUMIFS('Diario Cali'!$E:$E,'Diario Cali'!$C:$C,$A28,'Diario Cali'!$B:$B,G$4)</f>
        <v>508475</v>
      </c>
      <c r="H28" s="77">
        <f>SUMIFS('Diario Cali'!$E:$E,'Diario Cali'!$C:$C,$A28,'Diario Cali'!$B:$B,H$4)</f>
        <v>338983</v>
      </c>
      <c r="I28" s="77">
        <f>SUMIFS('Diario Cali'!$E:$E,'Diario Cali'!$C:$C,$A28,'Diario Cali'!$B:$B,I$4)</f>
        <v>457629</v>
      </c>
      <c r="J28" s="77">
        <f>SUMIFS('Diario Cali'!$E:$E,'Diario Cali'!$C:$C,$A28,'Diario Cali'!$B:$B,J$4)</f>
        <v>357890</v>
      </c>
      <c r="K28" s="77">
        <f>SUMIFS('Diario Cali'!$E:$E,'Diario Cali'!$C:$C,$A28,'Diario Cali'!$B:$B,K$4)</f>
        <v>354840</v>
      </c>
      <c r="L28" s="77">
        <f>SUMIFS('Diario Cali'!$E:$E,'Diario Cali'!$C:$C,$A28,'Diario Cali'!$B:$B,L$4)</f>
        <v>354509</v>
      </c>
      <c r="M28" s="77">
        <f>SUMIFS('Diario Cali'!$E:$E,'Diario Cali'!$C:$C,$A28,'Diario Cali'!$B:$B,M$4)</f>
        <v>465963</v>
      </c>
      <c r="N28" s="77">
        <f>SUMIFS('Diario Cali'!$E:$E,'Diario Cali'!$C:$C,$A28,'Diario Cali'!$B:$B,N$4)</f>
        <v>773416</v>
      </c>
      <c r="O28" s="79"/>
      <c r="P28" s="107">
        <f t="shared" si="3"/>
        <v>6176133</v>
      </c>
      <c r="R28" s="103" t="s">
        <v>2563</v>
      </c>
    </row>
    <row r="29" spans="1:18" s="103" customFormat="1" ht="14.95" customHeight="1" x14ac:dyDescent="0.25">
      <c r="A29" s="170">
        <v>4171</v>
      </c>
      <c r="B29" s="190" t="str">
        <f>VLOOKUP(A29,Plan!A:B,2,0)</f>
        <v xml:space="preserve">        Campaña 1%</v>
      </c>
      <c r="C29" s="77">
        <f>SUMIFS('Diario Cali'!$E:$E,'Diario Cali'!$C:$C,$A29,'Diario Cali'!$B:$B,C$4)</f>
        <v>0</v>
      </c>
      <c r="D29" s="77">
        <f>SUMIFS('Diario Cali'!$E:$E,'Diario Cali'!$C:$C,$A29,'Diario Cali'!$B:$B,D$4)</f>
        <v>100000</v>
      </c>
      <c r="E29" s="77">
        <f>SUMIFS('Diario Cali'!$E:$E,'Diario Cali'!$C:$C,$A29,'Diario Cali'!$B:$B,E$4)</f>
        <v>0</v>
      </c>
      <c r="F29" s="77">
        <f>SUMIFS('Diario Cali'!$E:$E,'Diario Cali'!$C:$C,$A29,'Diario Cali'!$B:$B,F$4)</f>
        <v>0</v>
      </c>
      <c r="G29" s="77">
        <f>SUMIFS('Diario Cali'!$E:$E,'Diario Cali'!$C:$C,$A29,'Diario Cali'!$B:$B,G$4)</f>
        <v>862850</v>
      </c>
      <c r="H29" s="77">
        <f>SUMIFS('Diario Cali'!$E:$E,'Diario Cali'!$C:$C,$A29,'Diario Cali'!$B:$B,H$4)</f>
        <v>0</v>
      </c>
      <c r="I29" s="77">
        <f>SUMIFS('Diario Cali'!$E:$E,'Diario Cali'!$C:$C,$A29,'Diario Cali'!$B:$B,I$4)</f>
        <v>764996</v>
      </c>
      <c r="J29" s="77">
        <f>SUMIFS('Diario Cali'!$E:$E,'Diario Cali'!$C:$C,$A29,'Diario Cali'!$B:$B,J$4)</f>
        <v>502935</v>
      </c>
      <c r="K29" s="77">
        <f>SUMIFS('Diario Cali'!$E:$E,'Diario Cali'!$C:$C,$A29,'Diario Cali'!$B:$B,K$4)</f>
        <v>150000</v>
      </c>
      <c r="L29" s="77">
        <f>SUMIFS('Diario Cali'!$E:$E,'Diario Cali'!$C:$C,$A29,'Diario Cali'!$B:$B,L$4)</f>
        <v>0</v>
      </c>
      <c r="M29" s="77">
        <f>SUMIFS('Diario Cali'!$E:$E,'Diario Cali'!$C:$C,$A29,'Diario Cali'!$B:$B,M$4)</f>
        <v>0</v>
      </c>
      <c r="N29" s="77">
        <f>SUMIFS('Diario Cali'!$E:$E,'Diario Cali'!$C:$C,$A29,'Diario Cali'!$B:$B,N$4)</f>
        <v>0</v>
      </c>
      <c r="O29" s="79"/>
      <c r="P29" s="107">
        <f>SUM(C29:N29)</f>
        <v>2380781</v>
      </c>
    </row>
    <row r="30" spans="1:18" s="103" customFormat="1" ht="14.95" customHeight="1" x14ac:dyDescent="0.25">
      <c r="A30" s="170">
        <v>4172</v>
      </c>
      <c r="B30" s="190" t="str">
        <f>VLOOKUP(A30,Plan!A:B,2,0)</f>
        <v>Saludo Navideño /Calendario</v>
      </c>
      <c r="C30" s="77">
        <f>SUMIFS('Diario Cali'!$E:$E,'Diario Cali'!$C:$C,$A30,'Diario Cali'!$B:$B,C$4)</f>
        <v>0</v>
      </c>
      <c r="D30" s="77">
        <f>SUMIFS('Diario Cali'!$E:$E,'Diario Cali'!$C:$C,$A30,'Diario Cali'!$B:$B,D$4)</f>
        <v>0</v>
      </c>
      <c r="E30" s="77">
        <f>SUMIFS('Diario Cali'!$E:$E,'Diario Cali'!$C:$C,$A30,'Diario Cali'!$B:$B,E$4)</f>
        <v>0</v>
      </c>
      <c r="F30" s="77">
        <f>SUMIFS('Diario Cali'!$E:$E,'Diario Cali'!$C:$C,$A30,'Diario Cali'!$B:$B,F$4)</f>
        <v>0</v>
      </c>
      <c r="G30" s="77">
        <f>SUMIFS('Diario Cali'!$E:$E,'Diario Cali'!$C:$C,$A30,'Diario Cali'!$B:$B,G$4)</f>
        <v>0</v>
      </c>
      <c r="H30" s="77">
        <f>SUMIFS('Diario Cali'!$E:$E,'Diario Cali'!$C:$C,$A30,'Diario Cali'!$B:$B,H$4)</f>
        <v>0</v>
      </c>
      <c r="I30" s="77">
        <f>SUMIFS('Diario Cali'!$E:$E,'Diario Cali'!$C:$C,$A30,'Diario Cali'!$B:$B,I$4)</f>
        <v>0</v>
      </c>
      <c r="J30" s="77">
        <f>SUMIFS('Diario Cali'!$E:$E,'Diario Cali'!$C:$C,$A30,'Diario Cali'!$B:$B,J$4)</f>
        <v>0</v>
      </c>
      <c r="K30" s="77">
        <f>SUMIFS('Diario Cali'!$E:$E,'Diario Cali'!$C:$C,$A30,'Diario Cali'!$B:$B,K$4)</f>
        <v>0</v>
      </c>
      <c r="L30" s="77">
        <f>SUMIFS('Diario Cali'!$E:$E,'Diario Cali'!$C:$C,$A30,'Diario Cali'!$B:$B,L$4)</f>
        <v>0</v>
      </c>
      <c r="M30" s="77">
        <f>SUMIFS('Diario Cali'!$E:$E,'Diario Cali'!$C:$C,$A30,'Diario Cali'!$B:$B,M$4)</f>
        <v>0</v>
      </c>
      <c r="N30" s="77">
        <f>SUMIFS('Diario Cali'!$E:$E,'Diario Cali'!$C:$C,$A30,'Diario Cali'!$B:$B,N$4)</f>
        <v>0</v>
      </c>
      <c r="O30" s="79"/>
      <c r="P30" s="107">
        <f>SUM(C30:N30)</f>
        <v>0</v>
      </c>
    </row>
    <row r="31" spans="1:18" s="103" customFormat="1" ht="13.75" customHeight="1" x14ac:dyDescent="0.25">
      <c r="A31" s="170">
        <v>4222</v>
      </c>
      <c r="B31" s="190" t="str">
        <f>VLOOKUP(A31,Plan!A:B,2,0)</f>
        <v xml:space="preserve">          Proceso 1%</v>
      </c>
      <c r="C31" s="77">
        <f>SUMIFS('Diario Cali'!$E:$E,'Diario Cali'!$C:$C,$A31,'Diario Cali'!$B:$B,C$4)</f>
        <v>0</v>
      </c>
      <c r="D31" s="77">
        <f>SUMIFS('Diario Cali'!$E:$E,'Diario Cali'!$C:$C,$A31,'Diario Cali'!$B:$B,D$4)</f>
        <v>0</v>
      </c>
      <c r="E31" s="77">
        <f>SUMIFS('Diario Cali'!$E:$E,'Diario Cali'!$C:$C,$A31,'Diario Cali'!$B:$B,E$4)</f>
        <v>0</v>
      </c>
      <c r="F31" s="77">
        <f>SUMIFS('Diario Cali'!$E:$E,'Diario Cali'!$C:$C,$A31,'Diario Cali'!$B:$B,F$4)</f>
        <v>0</v>
      </c>
      <c r="G31" s="77">
        <f>SUMIFS('Diario Cali'!$E:$E,'Diario Cali'!$C:$C,$A31,'Diario Cali'!$B:$B,G$4)</f>
        <v>0</v>
      </c>
      <c r="H31" s="77">
        <f>SUMIFS('Diario Cali'!$E:$E,'Diario Cali'!$C:$C,$A31,'Diario Cali'!$B:$B,H$4)</f>
        <v>0</v>
      </c>
      <c r="I31" s="77">
        <f>SUMIFS('Diario Cali'!$E:$E,'Diario Cali'!$C:$C,$A31,'Diario Cali'!$B:$B,I$4)</f>
        <v>0</v>
      </c>
      <c r="J31" s="77">
        <f>SUMIFS('Diario Cali'!$E:$E,'Diario Cali'!$C:$C,$A31,'Diario Cali'!$B:$B,J$4)</f>
        <v>0</v>
      </c>
      <c r="K31" s="77">
        <f>SUMIFS('Diario Cali'!$E:$E,'Diario Cali'!$C:$C,$A31,'Diario Cali'!$B:$B,K$4)</f>
        <v>0</v>
      </c>
      <c r="L31" s="77">
        <f>SUMIFS('Diario Cali'!$E:$E,'Diario Cali'!$C:$C,$A31,'Diario Cali'!$B:$B,L$4)</f>
        <v>0</v>
      </c>
      <c r="M31" s="77">
        <f>SUMIFS('Diario Cali'!$E:$E,'Diario Cali'!$C:$C,$A31,'Diario Cali'!$B:$B,M$4)</f>
        <v>0</v>
      </c>
      <c r="N31" s="77">
        <f>SUMIFS('Diario Cali'!$E:$E,'Diario Cali'!$C:$C,$A31,'Diario Cali'!$B:$B,N$4)</f>
        <v>327000</v>
      </c>
      <c r="O31" s="79"/>
      <c r="P31" s="107">
        <f>SUM(C31:N31)</f>
        <v>327000</v>
      </c>
    </row>
    <row r="32" spans="1:18" s="103" customFormat="1" ht="13.75" customHeight="1" x14ac:dyDescent="0.25">
      <c r="A32" s="170">
        <v>4331</v>
      </c>
      <c r="B32" s="190" t="s">
        <v>131</v>
      </c>
      <c r="C32" s="77">
        <f>SUMIFS('Diario Cali'!$E:$E,'Diario Cali'!$C:$C,$A32,'Diario Cali'!$B:$B,C$4)</f>
        <v>0</v>
      </c>
      <c r="D32" s="77">
        <f>SUMIFS('Diario Cali'!$E:$E,'Diario Cali'!$C:$C,$A32,'Diario Cali'!$B:$B,D$4)</f>
        <v>1166</v>
      </c>
      <c r="E32" s="77">
        <f>SUMIFS('Diario Cali'!$E:$E,'Diario Cali'!$C:$C,$A32,'Diario Cali'!$B:$B,E$4)</f>
        <v>714</v>
      </c>
      <c r="F32" s="77">
        <f>SUMIFS('Diario Cali'!$E:$E,'Diario Cali'!$C:$C,$A32,'Diario Cali'!$B:$B,F$4)</f>
        <v>3547</v>
      </c>
      <c r="G32" s="77">
        <f>SUMIFS('Diario Cali'!$E:$E,'Diario Cali'!$C:$C,$A32,'Diario Cali'!$B:$B,G$4)</f>
        <v>4510</v>
      </c>
      <c r="H32" s="77">
        <f>SUMIFS('Diario Cali'!$E:$E,'Diario Cali'!$C:$C,$A32,'Diario Cali'!$B:$B,H$4)</f>
        <v>4129</v>
      </c>
      <c r="I32" s="77">
        <f>SUMIFS('Diario Cali'!$E:$E,'Diario Cali'!$C:$C,$A32,'Diario Cali'!$B:$B,I$4)</f>
        <v>574</v>
      </c>
      <c r="J32" s="77">
        <f>SUMIFS('Diario Cali'!$E:$E,'Diario Cali'!$C:$C,$A32,'Diario Cali'!$B:$B,J$4)</f>
        <v>0</v>
      </c>
      <c r="K32" s="77">
        <f>SUMIFS('Diario Cali'!$E:$E,'Diario Cali'!$C:$C,$A32,'Diario Cali'!$B:$B,K$4)</f>
        <v>0</v>
      </c>
      <c r="L32" s="77">
        <f>SUMIFS('Diario Cali'!$E:$E,'Diario Cali'!$C:$C,$A32,'Diario Cali'!$B:$B,L$4)</f>
        <v>0</v>
      </c>
      <c r="M32" s="77">
        <f>SUMIFS('Diario Cali'!$E:$E,'Diario Cali'!$C:$C,$A32,'Diario Cali'!$B:$B,M$4)</f>
        <v>0</v>
      </c>
      <c r="N32" s="77">
        <f>SUMIFS('Diario Cali'!$E:$E,'Diario Cali'!$C:$C,$A32,'Diario Cali'!$B:$B,N$4)</f>
        <v>0</v>
      </c>
      <c r="P32" s="107">
        <f t="shared" si="3"/>
        <v>14640</v>
      </c>
    </row>
    <row r="33" spans="1:16" s="103" customFormat="1" ht="14.95" customHeight="1" x14ac:dyDescent="0.25">
      <c r="A33" s="172">
        <v>7000</v>
      </c>
      <c r="B33" s="190" t="str">
        <f>VLOOKUP(A33,Plan!A:B,2,0)</f>
        <v>GASTOS CONSTRUCCION PARROQUIA</v>
      </c>
      <c r="C33" s="77">
        <f>SUMIFS('Diario Cali'!$E:$E,'Diario Cali'!$C:$C,$A33,'Diario Cali'!$B:$B,C$4)</f>
        <v>0</v>
      </c>
      <c r="D33" s="77">
        <f>SUMIFS('Diario Cali'!$E:$E,'Diario Cali'!$C:$C,$A33,'Diario Cali'!$B:$B,D$4)</f>
        <v>0</v>
      </c>
      <c r="E33" s="77">
        <f>SUMIFS('Diario Cali'!$E:$E,'Diario Cali'!$C:$C,$A33,'Diario Cali'!$B:$B,E$4)</f>
        <v>0</v>
      </c>
      <c r="F33" s="77">
        <f>SUMIFS('Diario Cali'!$E:$E,'Diario Cali'!$C:$C,$A33,'Diario Cali'!$B:$B,F$4)</f>
        <v>0</v>
      </c>
      <c r="G33" s="77">
        <f>SUMIFS('Diario Cali'!$E:$E,'Diario Cali'!$C:$C,$A33,'Diario Cali'!$B:$B,G$4)</f>
        <v>0</v>
      </c>
      <c r="H33" s="77">
        <f>SUMIFS('Diario Cali'!$E:$E,'Diario Cali'!$C:$C,$A33,'Diario Cali'!$B:$B,H$4)</f>
        <v>0</v>
      </c>
      <c r="I33" s="77">
        <f>SUMIFS('Diario Cali'!$E:$E,'Diario Cali'!$C:$C,$A33,'Diario Cali'!$B:$B,I$4)</f>
        <v>0</v>
      </c>
      <c r="J33" s="77">
        <f>SUMIFS('Diario Cali'!$E:$E,'Diario Cali'!$C:$C,$A33,'Diario Cali'!$B:$B,J$4)</f>
        <v>0</v>
      </c>
      <c r="K33" s="77">
        <f>SUMIFS('Diario Cali'!$E:$E,'Diario Cali'!$C:$C,$A33,'Diario Cali'!$B:$B,K$4)</f>
        <v>0</v>
      </c>
      <c r="L33" s="77">
        <f>SUMIFS('Diario Cali'!$E:$E,'Diario Cali'!$C:$C,$A33,'Diario Cali'!$B:$B,L$4)</f>
        <v>0</v>
      </c>
      <c r="M33" s="77">
        <f>SUMIFS('Diario Cali'!$E:$E,'Diario Cali'!$C:$C,$A33,'Diario Cali'!$B:$B,M$4)</f>
        <v>0</v>
      </c>
      <c r="N33" s="77">
        <f>SUMIFS('Diario Cali'!$E:$E,'Diario Cali'!$C:$C,$A33,'Diario Cali'!$B:$B,N$4)</f>
        <v>0</v>
      </c>
      <c r="O33" s="79"/>
      <c r="P33" s="107">
        <f>SUM(C33:N33)</f>
        <v>0</v>
      </c>
    </row>
    <row r="34" spans="1:16" s="109" customFormat="1" ht="14.95" customHeight="1" x14ac:dyDescent="0.2">
      <c r="A34" s="108" t="s">
        <v>48</v>
      </c>
      <c r="B34" s="100" t="s">
        <v>20</v>
      </c>
      <c r="C34" s="101">
        <f t="shared" ref="C34:N34" si="4">+C8-C21</f>
        <v>127171529</v>
      </c>
      <c r="D34" s="101">
        <f t="shared" si="4"/>
        <v>21873864</v>
      </c>
      <c r="E34" s="101">
        <f t="shared" si="4"/>
        <v>59800669</v>
      </c>
      <c r="F34" s="101">
        <f t="shared" si="4"/>
        <v>29546307</v>
      </c>
      <c r="G34" s="101">
        <f t="shared" si="4"/>
        <v>29233544</v>
      </c>
      <c r="H34" s="101">
        <f t="shared" si="4"/>
        <v>24533080</v>
      </c>
      <c r="I34" s="101">
        <f t="shared" si="4"/>
        <v>27779083</v>
      </c>
      <c r="J34" s="101">
        <f t="shared" si="4"/>
        <v>28955549</v>
      </c>
      <c r="K34" s="101">
        <f t="shared" si="4"/>
        <v>27469110</v>
      </c>
      <c r="L34" s="101">
        <f t="shared" si="4"/>
        <v>31020904</v>
      </c>
      <c r="M34" s="101">
        <f t="shared" si="4"/>
        <v>26086456</v>
      </c>
      <c r="N34" s="101">
        <f t="shared" si="4"/>
        <v>138391512</v>
      </c>
      <c r="P34" s="101">
        <f>+P8-P21</f>
        <v>571861607</v>
      </c>
    </row>
    <row r="35" spans="1:16" s="103" customFormat="1" ht="14.95" customHeight="1" x14ac:dyDescent="0.2">
      <c r="A35" s="99" t="s">
        <v>48</v>
      </c>
      <c r="B35" s="99"/>
      <c r="C35" s="99"/>
      <c r="D35" s="99"/>
      <c r="E35" s="107"/>
      <c r="F35" s="99"/>
      <c r="G35" s="99"/>
      <c r="H35" s="104"/>
      <c r="I35" s="104"/>
      <c r="J35" s="104"/>
      <c r="K35" s="79"/>
      <c r="L35" s="79"/>
      <c r="M35" s="79"/>
      <c r="N35" s="79"/>
      <c r="O35" s="79"/>
      <c r="P35" s="79"/>
    </row>
    <row r="36" spans="1:16" s="109" customFormat="1" ht="14.95" customHeight="1" x14ac:dyDescent="0.2">
      <c r="A36" s="108" t="s">
        <v>48</v>
      </c>
      <c r="B36" s="101" t="s">
        <v>7</v>
      </c>
      <c r="C36" s="101">
        <f t="shared" ref="C36:N36" si="5">SUM(C37:C39)</f>
        <v>10507</v>
      </c>
      <c r="D36" s="101">
        <f t="shared" si="5"/>
        <v>784701</v>
      </c>
      <c r="E36" s="101">
        <f t="shared" si="5"/>
        <v>656312</v>
      </c>
      <c r="F36" s="101">
        <f t="shared" si="5"/>
        <v>535559</v>
      </c>
      <c r="G36" s="101">
        <f t="shared" si="5"/>
        <v>533146</v>
      </c>
      <c r="H36" s="101">
        <f t="shared" si="5"/>
        <v>486360</v>
      </c>
      <c r="I36" s="101">
        <f t="shared" si="5"/>
        <v>230287</v>
      </c>
      <c r="J36" s="101">
        <f t="shared" si="5"/>
        <v>23143</v>
      </c>
      <c r="K36" s="101">
        <f t="shared" si="5"/>
        <v>381091</v>
      </c>
      <c r="L36" s="101">
        <f t="shared" si="5"/>
        <v>560000</v>
      </c>
      <c r="M36" s="101">
        <f t="shared" si="5"/>
        <v>1036000</v>
      </c>
      <c r="N36" s="101">
        <f t="shared" si="5"/>
        <v>14811966.682400003</v>
      </c>
      <c r="O36" s="85"/>
      <c r="P36" s="102">
        <f>SUM(P37:P39)</f>
        <v>20049072.682400003</v>
      </c>
    </row>
    <row r="37" spans="1:16" s="103" customFormat="1" ht="14.95" customHeight="1" x14ac:dyDescent="0.2">
      <c r="A37" s="103">
        <v>6002</v>
      </c>
      <c r="B37" s="110" t="s">
        <v>2</v>
      </c>
      <c r="C37" s="77">
        <f>-SUMIFS('Diario Cali'!$E:$E,'Diario Cali'!$C:$C,$A37,'Diario Cali'!$B:$B,C$4)</f>
        <v>10507</v>
      </c>
      <c r="D37" s="77">
        <f>-SUMIFS('Diario Cali'!$E:$E,'Diario Cali'!$C:$C,$A37,'Diario Cali'!$B:$B,D$4)</f>
        <v>784701</v>
      </c>
      <c r="E37" s="77">
        <f>-SUMIFS('Diario Cali'!$E:$E,'Diario Cali'!$C:$C,$A37,'Diario Cali'!$B:$B,E$4)</f>
        <v>656312</v>
      </c>
      <c r="F37" s="77">
        <f>-SUMIFS('Diario Cali'!$E:$E,'Diario Cali'!$C:$C,$A37,'Diario Cali'!$B:$B,F$4)</f>
        <v>535559</v>
      </c>
      <c r="G37" s="77">
        <f>-SUMIFS('Diario Cali'!$E:$E,'Diario Cali'!$C:$C,$A37,'Diario Cali'!$B:$B,G$4)</f>
        <v>533146</v>
      </c>
      <c r="H37" s="77">
        <f>-SUMIFS('Diario Cali'!$E:$E,'Diario Cali'!$C:$C,$A37,'Diario Cali'!$B:$B,H$4)</f>
        <v>486360</v>
      </c>
      <c r="I37" s="77">
        <f>-SUMIFS('Diario Cali'!$E:$E,'Diario Cali'!$C:$C,$A37,'Diario Cali'!$B:$B,I$4)</f>
        <v>230287</v>
      </c>
      <c r="J37" s="77">
        <f>-SUMIFS('Diario Cali'!$E:$E,'Diario Cali'!$C:$C,$A37,'Diario Cali'!$B:$B,J$4)</f>
        <v>23143</v>
      </c>
      <c r="K37" s="77">
        <f>-SUMIFS('Diario Cali'!$E:$E,'Diario Cali'!$C:$C,$A37,'Diario Cali'!$B:$B,K$4)</f>
        <v>381091</v>
      </c>
      <c r="L37" s="77">
        <f>-SUMIFS('Diario Cali'!$E:$E,'Diario Cali'!$C:$C,$A37,'Diario Cali'!$B:$B,L$4)</f>
        <v>560000</v>
      </c>
      <c r="M37" s="77">
        <f>-SUMIFS('Diario Cali'!$E:$E,'Diario Cali'!$C:$C,$A37,'Diario Cali'!$B:$B,M$4)</f>
        <v>1036000</v>
      </c>
      <c r="N37" s="77">
        <f>-SUMIFS('Diario Cali'!$E:$E,'Diario Cali'!$C:$C,$A37,'Diario Cali'!$B:$B,N$4)</f>
        <v>832320</v>
      </c>
      <c r="O37" s="79"/>
      <c r="P37" s="83">
        <f>SUM(C37:O37)</f>
        <v>6069426</v>
      </c>
    </row>
    <row r="38" spans="1:16" s="430" customFormat="1" ht="14.95" customHeight="1" x14ac:dyDescent="0.2">
      <c r="A38" s="430">
        <v>6003</v>
      </c>
      <c r="B38" s="431" t="str">
        <f>VLOOKUP(A38,Plan!A:B,2,0)</f>
        <v>Donaciones No Cali</v>
      </c>
      <c r="C38" s="432">
        <f>-SUMIFS('Diario Cali'!$E:$E,'Diario Cali'!$C:$C,$A38,'Diario Cali'!$B:$B,C$4)</f>
        <v>0</v>
      </c>
      <c r="D38" s="432">
        <f>-SUMIFS('Diario Cali'!$E:$E,'Diario Cali'!$C:$C,$A38,'Diario Cali'!$B:$B,D$4)</f>
        <v>0</v>
      </c>
      <c r="E38" s="432">
        <f>-SUMIFS('Diario Cali'!$E:$E,'Diario Cali'!$C:$C,$A38,'Diario Cali'!$B:$B,E$4)</f>
        <v>0</v>
      </c>
      <c r="F38" s="432">
        <f>-SUMIFS('Diario Cali'!$E:$E,'Diario Cali'!$C:$C,$A38,'Diario Cali'!$B:$B,F$4)</f>
        <v>0</v>
      </c>
      <c r="G38" s="432">
        <f>-SUMIFS('Diario Cali'!$E:$E,'Diario Cali'!$C:$C,$A38,'Diario Cali'!$B:$B,G$4)</f>
        <v>0</v>
      </c>
      <c r="H38" s="432">
        <f>-SUMIFS('Diario Cali'!$E:$E,'Diario Cali'!$C:$C,$A38,'Diario Cali'!$B:$B,H$4)</f>
        <v>0</v>
      </c>
      <c r="I38" s="432">
        <f>-SUMIFS('Diario Cali'!$E:$E,'Diario Cali'!$C:$C,$A38,'Diario Cali'!$B:$B,I$4)</f>
        <v>0</v>
      </c>
      <c r="J38" s="432">
        <f>-SUMIFS('Diario Cali'!$E:$E,'Diario Cali'!$C:$C,$A38,'Diario Cali'!$B:$B,J$4)</f>
        <v>0</v>
      </c>
      <c r="K38" s="432">
        <f>-SUMIFS('Diario Cali'!$E:$E,'Diario Cali'!$C:$C,$A38,'Diario Cali'!$B:$B,K$4)</f>
        <v>0</v>
      </c>
      <c r="L38" s="432">
        <f>-SUMIFS('Diario Cali'!$E:$E,'Diario Cali'!$C:$C,$A38,'Diario Cali'!$B:$B,L$4)</f>
        <v>0</v>
      </c>
      <c r="M38" s="432">
        <f>-SUMIFS('Diario Cali'!$E:$E,'Diario Cali'!$C:$C,$A38,'Diario Cali'!$B:$B,M$4)</f>
        <v>0</v>
      </c>
      <c r="N38" s="432">
        <f>-SUMIFS('Diario Cali'!$E:$E,'Diario Cali'!$C:$C,$A38,'Diario Cali'!$B:$B,N$4)</f>
        <v>0</v>
      </c>
      <c r="O38" s="433"/>
      <c r="P38" s="434">
        <f>SUM(C38:O38)</f>
        <v>0</v>
      </c>
    </row>
    <row r="39" spans="1:16" s="103" customFormat="1" ht="14.95" customHeight="1" x14ac:dyDescent="0.2">
      <c r="A39" s="103">
        <v>7001</v>
      </c>
      <c r="B39" s="110" t="str">
        <f>VLOOKUP(A39,Plan!A:B,2,0)</f>
        <v>Variación UF Anticipo y Retenciones</v>
      </c>
      <c r="C39" s="133">
        <f>-SUMIFS('Diario Cali'!$E:$E,'Diario Cali'!$C:$C,$A39,'Diario Cali'!$B:$B,C$4)</f>
        <v>0</v>
      </c>
      <c r="D39" s="133">
        <f>-SUMIFS('Diario Cali'!$E:$E,'Diario Cali'!$C:$C,$A39,'Diario Cali'!$B:$B,D$4)</f>
        <v>0</v>
      </c>
      <c r="E39" s="133">
        <f>-SUMIFS('Diario Cali'!$E:$E,'Diario Cali'!$C:$C,$A39,'Diario Cali'!$B:$B,E$4)</f>
        <v>0</v>
      </c>
      <c r="F39" s="133">
        <f>-SUMIFS('Diario Cali'!$E:$E,'Diario Cali'!$C:$C,$A39,'Diario Cali'!$B:$B,F$4)</f>
        <v>0</v>
      </c>
      <c r="G39" s="133">
        <f>-SUMIFS('Diario Cali'!$E:$E,'Diario Cali'!$C:$C,$A39,'Diario Cali'!$B:$B,G$4)</f>
        <v>0</v>
      </c>
      <c r="H39" s="133">
        <f>-SUMIFS('Diario Cali'!$E:$E,'Diario Cali'!$C:$C,$A39,'Diario Cali'!$B:$B,H$4)</f>
        <v>0</v>
      </c>
      <c r="I39" s="133">
        <f>-SUMIFS('Diario Cali'!$E:$E,'Diario Cali'!$C:$C,$A39,'Diario Cali'!$B:$B,I$4)</f>
        <v>0</v>
      </c>
      <c r="J39" s="133">
        <f>-SUMIFS('Diario Cali'!$E:$E,'Diario Cali'!$C:$C,$A39,'Diario Cali'!$B:$B,J$4)</f>
        <v>0</v>
      </c>
      <c r="K39" s="133">
        <f>-SUMIFS('Diario Cali'!$E:$E,'Diario Cali'!$C:$C,$A39,'Diario Cali'!$B:$B,K$4)</f>
        <v>0</v>
      </c>
      <c r="L39" s="133">
        <f>-SUMIFS('Diario Cali'!$E:$E,'Diario Cali'!$C:$C,$A39,'Diario Cali'!$B:$B,L$4)</f>
        <v>0</v>
      </c>
      <c r="M39" s="133">
        <f>-SUMIFS('Diario Cali'!$E:$E,'Diario Cali'!$C:$C,$A39,'Diario Cali'!$B:$B,M$4)</f>
        <v>0</v>
      </c>
      <c r="N39" s="133">
        <f>-SUMIFS('Diario Cali'!$E:$E,'Diario Cali'!$C:$C,$A39,'Diario Cali'!$B:$B,N$4)</f>
        <v>13979646.682400003</v>
      </c>
      <c r="O39" s="79"/>
      <c r="P39" s="83">
        <f>SUM(C39:O39)</f>
        <v>13979646.682400003</v>
      </c>
    </row>
    <row r="40" spans="1:16" s="103" customFormat="1" ht="14.95" customHeight="1" x14ac:dyDescent="0.2">
      <c r="B40" s="110"/>
      <c r="C40" s="99"/>
      <c r="D40" s="99"/>
      <c r="E40" s="99"/>
      <c r="F40" s="99"/>
      <c r="G40" s="99"/>
      <c r="H40" s="79"/>
      <c r="I40" s="79"/>
      <c r="J40" s="79"/>
      <c r="K40" s="79"/>
      <c r="L40" s="79"/>
      <c r="M40" s="79"/>
      <c r="N40" s="79"/>
      <c r="O40" s="79"/>
      <c r="P40" s="79"/>
    </row>
    <row r="41" spans="1:16" s="103" customFormat="1" ht="14.95" customHeight="1" x14ac:dyDescent="0.2">
      <c r="B41" s="111" t="s">
        <v>21</v>
      </c>
      <c r="C41" s="111">
        <f t="shared" ref="C41:N41" si="6">+C34+C36</f>
        <v>127182036</v>
      </c>
      <c r="D41" s="111">
        <f t="shared" si="6"/>
        <v>22658565</v>
      </c>
      <c r="E41" s="111">
        <f t="shared" si="6"/>
        <v>60456981</v>
      </c>
      <c r="F41" s="111">
        <f t="shared" si="6"/>
        <v>30081866</v>
      </c>
      <c r="G41" s="111">
        <f t="shared" si="6"/>
        <v>29766690</v>
      </c>
      <c r="H41" s="111">
        <f t="shared" si="6"/>
        <v>25019440</v>
      </c>
      <c r="I41" s="111">
        <f t="shared" si="6"/>
        <v>28009370</v>
      </c>
      <c r="J41" s="111">
        <f t="shared" si="6"/>
        <v>28978692</v>
      </c>
      <c r="K41" s="111">
        <f t="shared" si="6"/>
        <v>27850201</v>
      </c>
      <c r="L41" s="111">
        <f t="shared" si="6"/>
        <v>31580904</v>
      </c>
      <c r="M41" s="111">
        <f t="shared" si="6"/>
        <v>27122456</v>
      </c>
      <c r="N41" s="111">
        <f t="shared" si="6"/>
        <v>153203478.68239999</v>
      </c>
      <c r="O41" s="79"/>
      <c r="P41" s="95">
        <f>+P34+P36</f>
        <v>591910679.68239999</v>
      </c>
    </row>
    <row r="42" spans="1:16" s="103" customFormat="1" ht="14.95" customHeight="1" x14ac:dyDescent="0.2">
      <c r="B42" s="99"/>
      <c r="C42" s="108"/>
      <c r="D42" s="108"/>
      <c r="E42" s="108"/>
      <c r="F42" s="108"/>
      <c r="G42" s="108"/>
      <c r="H42" s="85" t="s">
        <v>48</v>
      </c>
      <c r="I42" s="85" t="s">
        <v>48</v>
      </c>
      <c r="J42" s="85"/>
      <c r="K42" s="85"/>
      <c r="L42" s="85"/>
      <c r="M42" s="85"/>
      <c r="N42" s="85"/>
      <c r="O42" s="85"/>
      <c r="P42" s="85" t="s">
        <v>48</v>
      </c>
    </row>
    <row r="43" spans="1:16" s="103" customFormat="1" ht="14.95" customHeight="1" x14ac:dyDescent="0.2">
      <c r="B43" s="99"/>
      <c r="C43" s="108"/>
      <c r="D43" s="108"/>
      <c r="E43" s="108"/>
      <c r="F43" s="108" t="s">
        <v>48</v>
      </c>
      <c r="G43" s="108"/>
      <c r="H43" s="85" t="s">
        <v>48</v>
      </c>
      <c r="I43" s="85" t="s">
        <v>48</v>
      </c>
      <c r="J43" s="85" t="s">
        <v>48</v>
      </c>
      <c r="K43" s="85"/>
      <c r="L43" s="85"/>
      <c r="M43" s="85"/>
      <c r="N43" s="85"/>
      <c r="O43" s="85"/>
      <c r="P43" s="85"/>
    </row>
    <row r="44" spans="1:16" x14ac:dyDescent="0.25">
      <c r="B44" s="44"/>
      <c r="C44" s="56"/>
      <c r="D44" s="56"/>
      <c r="E44" s="56"/>
      <c r="F44" s="56"/>
      <c r="G44" s="56"/>
      <c r="H44" s="47"/>
      <c r="I44" s="47"/>
      <c r="J44" s="47"/>
      <c r="K44" s="47"/>
      <c r="L44" s="47"/>
      <c r="M44" s="47"/>
      <c r="N44" s="47"/>
      <c r="O44" s="47"/>
      <c r="P44" s="47"/>
    </row>
    <row r="45" spans="1:16" x14ac:dyDescent="0.25">
      <c r="B45" s="44"/>
      <c r="C45" s="56"/>
      <c r="D45" s="56"/>
      <c r="E45" s="56"/>
      <c r="F45" s="56"/>
      <c r="G45" s="56"/>
      <c r="H45" s="56"/>
      <c r="I45" s="56"/>
      <c r="J45" s="56"/>
      <c r="K45" s="56"/>
      <c r="L45" s="47"/>
      <c r="M45" s="47"/>
      <c r="N45" s="47"/>
      <c r="O45" s="47"/>
      <c r="P45" s="47"/>
    </row>
    <row r="46" spans="1:16" x14ac:dyDescent="0.25">
      <c r="B46" s="44"/>
      <c r="C46" s="56"/>
      <c r="D46" s="56"/>
      <c r="E46" s="56"/>
      <c r="F46" s="56"/>
      <c r="G46" s="56"/>
      <c r="H46" s="47"/>
      <c r="I46" s="47"/>
      <c r="J46" s="47"/>
      <c r="K46" s="47"/>
      <c r="L46" s="47"/>
      <c r="M46" s="47"/>
      <c r="N46" s="47"/>
      <c r="O46" s="47"/>
      <c r="P46" s="47"/>
    </row>
    <row r="47" spans="1:16" ht="13.75" customHeight="1" x14ac:dyDescent="0.25">
      <c r="B47" s="44"/>
      <c r="C47" s="56"/>
      <c r="D47" s="56"/>
      <c r="E47" s="56"/>
      <c r="F47" s="56"/>
      <c r="G47" s="56"/>
      <c r="H47" s="47"/>
      <c r="I47" s="47"/>
      <c r="J47" s="47"/>
      <c r="K47" s="47"/>
      <c r="L47" s="47"/>
      <c r="M47" s="47"/>
      <c r="N47" s="47"/>
      <c r="O47" s="47"/>
      <c r="P47" s="47"/>
    </row>
    <row r="48" spans="1:16" ht="13.75" customHeight="1" x14ac:dyDescent="0.25">
      <c r="B48" s="44"/>
      <c r="C48" s="56"/>
      <c r="D48" s="56"/>
      <c r="E48" s="56"/>
      <c r="F48" s="56"/>
      <c r="G48" s="56"/>
      <c r="H48" s="47"/>
      <c r="I48" s="47"/>
      <c r="J48" s="47"/>
      <c r="K48" s="47"/>
      <c r="L48" s="47"/>
      <c r="M48" s="47"/>
      <c r="N48" s="47"/>
      <c r="O48" s="47"/>
      <c r="P48" s="47"/>
    </row>
    <row r="49" spans="1:16" ht="13.75" customHeight="1" x14ac:dyDescent="0.25">
      <c r="B49" s="44"/>
      <c r="C49" s="56"/>
      <c r="D49" s="56"/>
      <c r="E49" s="56"/>
      <c r="F49" s="56"/>
      <c r="G49" s="56"/>
      <c r="H49" s="47"/>
      <c r="I49" s="47"/>
      <c r="J49" s="47"/>
      <c r="K49" s="47"/>
      <c r="L49" s="47"/>
      <c r="M49" s="47"/>
      <c r="N49" s="47"/>
      <c r="O49" s="47"/>
      <c r="P49" s="47"/>
    </row>
    <row r="50" spans="1:16" ht="13.75" customHeight="1" x14ac:dyDescent="0.25">
      <c r="B50" s="44"/>
      <c r="C50" s="56"/>
      <c r="D50" s="56"/>
      <c r="E50" s="56"/>
      <c r="F50" s="56"/>
      <c r="G50" s="56"/>
      <c r="H50" s="47"/>
      <c r="I50" s="47"/>
      <c r="J50" s="47"/>
      <c r="K50" s="47"/>
      <c r="L50" s="47"/>
      <c r="M50" s="47"/>
      <c r="N50" s="47"/>
      <c r="O50" s="47"/>
      <c r="P50" s="47"/>
    </row>
    <row r="60" spans="1:16" x14ac:dyDescent="0.25">
      <c r="A60" s="44"/>
      <c r="B60" s="56"/>
      <c r="C60" s="56"/>
      <c r="D60" s="56"/>
      <c r="E60" s="56"/>
      <c r="F60" s="56"/>
      <c r="G60" s="56"/>
      <c r="H60" s="47"/>
      <c r="I60" s="47"/>
      <c r="J60" s="47"/>
      <c r="K60" s="47"/>
      <c r="L60" s="47"/>
      <c r="M60" s="47"/>
      <c r="N60" s="47"/>
      <c r="O60" s="47"/>
      <c r="P60" s="47"/>
    </row>
  </sheetData>
  <autoFilter ref="P6:P42" xr:uid="{00000000-0009-0000-0000-00001B000000}"/>
  <mergeCells count="2">
    <mergeCell ref="B1:P1"/>
    <mergeCell ref="B2:P2"/>
  </mergeCells>
  <phoneticPr fontId="6" type="noConversion"/>
  <printOptions horizontalCentered="1"/>
  <pageMargins left="0" right="0.55118110236220474" top="0.39370078740157483" bottom="0.39370078740157483" header="0" footer="0"/>
  <pageSetup scale="87" orientation="landscape" horizontalDpi="1200" verticalDpi="1200" r:id="rId1"/>
  <headerFooter alignWithMargins="0">
    <oddFooter>&amp;L&amp;F&amp;R&amp;A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3">
    <tabColor rgb="FF00B0F0"/>
  </sheetPr>
  <dimension ref="A1:O72"/>
  <sheetViews>
    <sheetView topLeftCell="C58" zoomScale="98" zoomScaleNormal="98" zoomScaleSheetLayoutView="110" workbookViewId="0">
      <selection activeCell="O67" sqref="O67"/>
    </sheetView>
  </sheetViews>
  <sheetFormatPr baseColWidth="10" defaultColWidth="3.296875" defaultRowHeight="13.6" x14ac:dyDescent="0.25"/>
  <cols>
    <col min="1" max="1" width="4.3984375" style="34" hidden="1" customWidth="1"/>
    <col min="2" max="2" width="24" style="34" bestFit="1" customWidth="1"/>
    <col min="3" max="10" width="11.69921875" style="34" customWidth="1"/>
    <col min="11" max="11" width="12.796875" style="34" customWidth="1"/>
    <col min="12" max="12" width="11.69921875" style="34" customWidth="1"/>
    <col min="13" max="13" width="11.796875" style="34" customWidth="1"/>
    <col min="14" max="14" width="11.69921875" style="34" bestFit="1" customWidth="1"/>
    <col min="15" max="15" width="1.796875" style="34" bestFit="1" customWidth="1"/>
    <col min="16" max="16" width="5.09765625" style="34" bestFit="1" customWidth="1"/>
    <col min="17" max="16384" width="3.296875" style="34"/>
  </cols>
  <sheetData>
    <row r="1" spans="1:15" ht="23.8" x14ac:dyDescent="0.4">
      <c r="B1" s="636" t="s">
        <v>2558</v>
      </c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</row>
    <row r="2" spans="1:15" ht="14.95" customHeight="1" x14ac:dyDescent="0.25">
      <c r="B2" s="638" t="s">
        <v>83</v>
      </c>
      <c r="C2" s="639"/>
      <c r="D2" s="639"/>
      <c r="E2" s="639"/>
      <c r="F2" s="639"/>
      <c r="G2" s="639"/>
      <c r="H2" s="639"/>
      <c r="I2" s="639"/>
      <c r="J2" s="639"/>
      <c r="K2" s="639"/>
      <c r="L2" s="639"/>
      <c r="M2" s="639"/>
      <c r="N2" s="640"/>
    </row>
    <row r="3" spans="1:15" ht="18.7" customHeight="1" x14ac:dyDescent="0.25">
      <c r="B3" s="641"/>
      <c r="C3" s="642"/>
      <c r="D3" s="642"/>
      <c r="E3" s="642"/>
      <c r="F3" s="642"/>
      <c r="G3" s="642"/>
      <c r="H3" s="642"/>
      <c r="I3" s="642"/>
      <c r="J3" s="642"/>
      <c r="K3" s="642"/>
      <c r="L3" s="642"/>
      <c r="M3" s="642"/>
      <c r="N3" s="643"/>
    </row>
    <row r="4" spans="1:15" x14ac:dyDescent="0.25">
      <c r="F4" s="35"/>
    </row>
    <row r="5" spans="1:15" x14ac:dyDescent="0.25">
      <c r="B5" s="36"/>
      <c r="C5" s="36"/>
      <c r="D5" s="36"/>
      <c r="E5" s="36"/>
      <c r="F5" s="36"/>
      <c r="G5" s="36"/>
      <c r="H5" s="36"/>
    </row>
    <row r="6" spans="1:15" x14ac:dyDescent="0.25">
      <c r="B6" s="35"/>
      <c r="C6" s="35"/>
      <c r="D6" s="35"/>
      <c r="E6" s="35"/>
      <c r="F6" s="35"/>
      <c r="G6" s="35"/>
      <c r="H6" s="35"/>
    </row>
    <row r="7" spans="1:15" x14ac:dyDescent="0.25">
      <c r="C7" s="34">
        <v>1</v>
      </c>
      <c r="D7" s="34">
        <v>2</v>
      </c>
      <c r="E7" s="34">
        <v>3</v>
      </c>
      <c r="F7" s="37">
        <v>4</v>
      </c>
      <c r="G7" s="34">
        <v>5</v>
      </c>
      <c r="H7" s="34">
        <v>6</v>
      </c>
      <c r="I7" s="34">
        <v>7</v>
      </c>
      <c r="J7" s="34">
        <v>8</v>
      </c>
      <c r="K7" s="34">
        <v>9</v>
      </c>
      <c r="L7" s="34">
        <v>10</v>
      </c>
      <c r="M7" s="34">
        <v>11</v>
      </c>
      <c r="N7" s="34">
        <v>12</v>
      </c>
    </row>
    <row r="8" spans="1:15" s="38" customFormat="1" x14ac:dyDescent="0.25">
      <c r="B8" s="64" t="s">
        <v>25</v>
      </c>
      <c r="C8" s="64" t="s">
        <v>9</v>
      </c>
      <c r="D8" s="65" t="s">
        <v>10</v>
      </c>
      <c r="E8" s="65" t="s">
        <v>11</v>
      </c>
      <c r="F8" s="66" t="s">
        <v>12</v>
      </c>
      <c r="G8" s="65" t="s">
        <v>13</v>
      </c>
      <c r="H8" s="64" t="s">
        <v>14</v>
      </c>
      <c r="I8" s="64" t="s">
        <v>8</v>
      </c>
      <c r="J8" s="64" t="s">
        <v>5</v>
      </c>
      <c r="K8" s="64" t="s">
        <v>105</v>
      </c>
      <c r="L8" s="64" t="s">
        <v>15</v>
      </c>
      <c r="M8" s="64" t="s">
        <v>16</v>
      </c>
      <c r="N8" s="64" t="s">
        <v>17</v>
      </c>
    </row>
    <row r="9" spans="1:15" s="38" customFormat="1" x14ac:dyDescent="0.25">
      <c r="B9" s="41"/>
      <c r="C9" s="43"/>
      <c r="E9" s="41"/>
      <c r="G9" s="42"/>
      <c r="H9" s="42"/>
      <c r="I9" s="42"/>
      <c r="J9" s="42"/>
      <c r="K9" s="41"/>
      <c r="L9" s="41"/>
      <c r="M9" s="41"/>
      <c r="N9" s="41"/>
    </row>
    <row r="10" spans="1:15" s="72" customFormat="1" ht="10.9" x14ac:dyDescent="0.2">
      <c r="B10" s="73" t="s">
        <v>28</v>
      </c>
      <c r="C10" s="74"/>
      <c r="D10" s="75"/>
      <c r="E10" s="73"/>
      <c r="G10" s="76"/>
      <c r="H10" s="73"/>
      <c r="I10" s="73"/>
      <c r="J10" s="73"/>
      <c r="K10" s="73"/>
      <c r="L10" s="73"/>
      <c r="M10" s="73"/>
      <c r="N10" s="73"/>
    </row>
    <row r="11" spans="1:15" s="72" customFormat="1" ht="10.9" x14ac:dyDescent="0.2">
      <c r="A11" s="72">
        <v>112</v>
      </c>
      <c r="B11" s="77" t="str">
        <f>VLOOKUP(A11,Plan!A$1:B$65542,2,0)</f>
        <v>Fondo por Rendir Cali</v>
      </c>
      <c r="C11" s="78">
        <f>SUMIFS('Diario Cali'!$E:$E,'Diario Cali'!$C:$C,$A11,'Diario Cali'!$B:$B,C$7)</f>
        <v>0</v>
      </c>
      <c r="D11" s="78">
        <f>SUMIFS('Diario Cali'!$E:$E,'Diario Cali'!$C:$C,$A11,'Diario Cali'!$B:$B,D$7)+C11</f>
        <v>0</v>
      </c>
      <c r="E11" s="78">
        <f>SUMIFS('Diario Cali'!$E:$E,'Diario Cali'!$C:$C,$A11,'Diario Cali'!$B:$B,E$7)+D11</f>
        <v>0</v>
      </c>
      <c r="F11" s="78">
        <f>SUMIFS('Diario Cali'!$E:$E,'Diario Cali'!$C:$C,$A11,'Diario Cali'!$B:$B,F$7)+E11</f>
        <v>0</v>
      </c>
      <c r="G11" s="78">
        <f>SUMIFS('Diario Cali'!$E:$E,'Diario Cali'!$C:$C,$A11,'Diario Cali'!$B:$B,G$7)+F11</f>
        <v>0</v>
      </c>
      <c r="H11" s="78">
        <f>SUMIFS('Diario Cali'!$E:$E,'Diario Cali'!$C:$C,$A11,'Diario Cali'!$B:$B,H$7)+G11</f>
        <v>0</v>
      </c>
      <c r="I11" s="78">
        <f>SUMIFS('Diario Cali'!$E:$E,'Diario Cali'!$C:$C,$A11,'Diario Cali'!$B:$B,I$7)+H11</f>
        <v>0</v>
      </c>
      <c r="J11" s="78">
        <f>SUMIFS('Diario Cali'!$E:$E,'Diario Cali'!$C:$C,$A11,'Diario Cali'!$B:$B,J$7)+I11</f>
        <v>0</v>
      </c>
      <c r="K11" s="78">
        <f>SUMIFS('Diario Cali'!$E:$E,'Diario Cali'!$C:$C,$A11,'Diario Cali'!$B:$B,K$7)+J11</f>
        <v>0</v>
      </c>
      <c r="L11" s="78">
        <f>SUMIFS('Diario Cali'!$E:$E,'Diario Cali'!$C:$C,$A11,'Diario Cali'!$B:$B,L$7)+K11</f>
        <v>0</v>
      </c>
      <c r="M11" s="78">
        <f>SUMIFS('Diario Cali'!$E:$E,'Diario Cali'!$C:$C,$A11,'Diario Cali'!$B:$B,M$7)+L11</f>
        <v>0</v>
      </c>
      <c r="N11" s="78">
        <f>SUMIFS('Diario Cali'!$E:$E,'Diario Cali'!$C:$C,$A11,'Diario Cali'!$B:$B,N$7)+M11</f>
        <v>0</v>
      </c>
    </row>
    <row r="12" spans="1:15" s="86" customFormat="1" ht="10.9" x14ac:dyDescent="0.2">
      <c r="A12" s="86">
        <v>113</v>
      </c>
      <c r="B12" s="77" t="str">
        <f>VLOOKUP(A12,Plan!A$1:B$65542,2,0)</f>
        <v>Depósito a plazo Cali Banco Santander</v>
      </c>
      <c r="C12" s="78">
        <f>SUMIFS('Diario Cali'!$E:$E,'Diario Cali'!$C:$C,$A12,'Diario Cali'!$B:$B,C$7)</f>
        <v>0</v>
      </c>
      <c r="D12" s="78">
        <f>SUMIFS('Diario Cali'!$E:$E,'Diario Cali'!$C:$C,$A12,'Diario Cali'!$B:$B,D$7)+C12</f>
        <v>0</v>
      </c>
      <c r="E12" s="78">
        <f>SUMIFS('Diario Cali'!$E:$E,'Diario Cali'!$C:$C,$A12,'Diario Cali'!$B:$B,E$7)+D12</f>
        <v>30000000</v>
      </c>
      <c r="F12" s="78">
        <f>SUMIFS('Diario Cali'!$E:$E,'Diario Cali'!$C:$C,$A12,'Diario Cali'!$B:$B,F$7)+E12</f>
        <v>30012000</v>
      </c>
      <c r="G12" s="78">
        <f>SUMIFS('Diario Cali'!$E:$E,'Diario Cali'!$C:$C,$A12,'Diario Cali'!$B:$B,G$7)+F12</f>
        <v>460024005</v>
      </c>
      <c r="H12" s="78">
        <f>SUMIFS('Diario Cali'!$E:$E,'Diario Cali'!$C:$C,$A12,'Diario Cali'!$B:$B,H$7)+G12</f>
        <v>430200667</v>
      </c>
      <c r="I12" s="78">
        <f>SUMIFS('Diario Cali'!$E:$E,'Diario Cali'!$C:$C,$A12,'Diario Cali'!$B:$B,I$7)+H12</f>
        <v>430415767</v>
      </c>
      <c r="J12" s="78">
        <f>SUMIFS('Diario Cali'!$E:$E,'Diario Cali'!$C:$C,$A12,'Diario Cali'!$B:$B,J$7)+I12</f>
        <v>430415767</v>
      </c>
      <c r="K12" s="78">
        <f>SUMIFS('Diario Cali'!$E:$E,'Diario Cali'!$C:$C,$A12,'Diario Cali'!$B:$B,K$7)+J12</f>
        <v>400000000</v>
      </c>
      <c r="L12" s="78">
        <f>SUMIFS('Diario Cali'!$E:$E,'Diario Cali'!$C:$C,$A12,'Diario Cali'!$B:$B,L$7)+K12</f>
        <v>370000000</v>
      </c>
      <c r="M12" s="78">
        <f>SUMIFS('Diario Cali'!$E:$E,'Diario Cali'!$C:$C,$A12,'Diario Cali'!$B:$B,M$7)+L12</f>
        <v>289000000</v>
      </c>
      <c r="N12" s="78">
        <f>SUMIFS('Diario Cali'!$E:$E,'Diario Cali'!$C:$C,$A12,'Diario Cali'!$B:$B,N$7)+M12</f>
        <v>248000000</v>
      </c>
      <c r="O12" s="86" t="s">
        <v>48</v>
      </c>
    </row>
    <row r="13" spans="1:15" s="86" customFormat="1" ht="10.9" x14ac:dyDescent="0.2">
      <c r="A13" s="86">
        <v>115</v>
      </c>
      <c r="B13" s="77" t="str">
        <f>VLOOKUP(A13,Plan!A$1:B$65542,2,0)</f>
        <v>Disponible Cali B.Chile</v>
      </c>
      <c r="C13" s="78">
        <f>SUMIFS('Diario Cali'!$E:$E,'Diario Cali'!$C:$C,$A13,'Diario Cali'!$B:$B,C$7)</f>
        <v>2111093</v>
      </c>
      <c r="D13" s="78">
        <f>SUMIFS('Diario Cali'!$E:$E,'Diario Cali'!$C:$C,$A13,'Diario Cali'!$B:$B,D$7)+C13</f>
        <v>10236312</v>
      </c>
      <c r="E13" s="78">
        <f>SUMIFS('Diario Cali'!$E:$E,'Diario Cali'!$C:$C,$A13,'Diario Cali'!$B:$B,E$7)+D13</f>
        <v>29483585</v>
      </c>
      <c r="F13" s="78">
        <f>SUMIFS('Diario Cali'!$E:$E,'Diario Cali'!$C:$C,$A13,'Diario Cali'!$B:$B,F$7)+E13</f>
        <v>20120054</v>
      </c>
      <c r="G13" s="78">
        <f>SUMIFS('Diario Cali'!$E:$E,'Diario Cali'!$C:$C,$A13,'Diario Cali'!$B:$B,G$7)+F13</f>
        <v>24591898</v>
      </c>
      <c r="H13" s="78">
        <f>SUMIFS('Diario Cali'!$E:$E,'Diario Cali'!$C:$C,$A13,'Diario Cali'!$B:$B,H$7)+G13</f>
        <v>26127609</v>
      </c>
      <c r="I13" s="78">
        <f>SUMIFS('Diario Cali'!$E:$E,'Diario Cali'!$C:$C,$A13,'Diario Cali'!$B:$B,I$7)+H13</f>
        <v>25992283</v>
      </c>
      <c r="J13" s="78">
        <f>SUMIFS('Diario Cali'!$E:$E,'Diario Cali'!$C:$C,$A13,'Diario Cali'!$B:$B,J$7)+I13</f>
        <v>22710470</v>
      </c>
      <c r="K13" s="78">
        <f>SUMIFS('Diario Cali'!$E:$E,'Diario Cali'!$C:$C,$A13,'Diario Cali'!$B:$B,K$7)+J13</f>
        <v>11619185</v>
      </c>
      <c r="L13" s="78">
        <f>SUMIFS('Diario Cali'!$E:$E,'Diario Cali'!$C:$C,$A13,'Diario Cali'!$B:$B,L$7)+K13</f>
        <v>14453330</v>
      </c>
      <c r="M13" s="78">
        <f>SUMIFS('Diario Cali'!$E:$E,'Diario Cali'!$C:$C,$A13,'Diario Cali'!$B:$B,M$7)+L13</f>
        <v>20492579</v>
      </c>
      <c r="N13" s="78">
        <f>SUMIFS('Diario Cali'!$E:$E,'Diario Cali'!$C:$C,$A13,'Diario Cali'!$B:$B,N$7)+M13</f>
        <v>8800591</v>
      </c>
      <c r="O13" s="86" t="s">
        <v>48</v>
      </c>
    </row>
    <row r="14" spans="1:15" s="86" customFormat="1" ht="10.9" customHeight="1" x14ac:dyDescent="0.2">
      <c r="A14" s="86">
        <v>116</v>
      </c>
      <c r="B14" s="77" t="str">
        <f>VLOOKUP(A14,Plan!A$1:B$65542,2,0)</f>
        <v>Disponible CALI Security</v>
      </c>
      <c r="C14" s="78">
        <f>SUMIFS('Diario Cali'!$E:$E,'Diario Cali'!$C:$C,$A14,'Diario Cali'!$B:$B,C$7)</f>
        <v>74865547</v>
      </c>
      <c r="D14" s="78">
        <f>SUMIFS('Diario Cali'!$E:$E,'Diario Cali'!$C:$C,$A14,'Diario Cali'!$B:$B,D$7)+C14</f>
        <v>3409141</v>
      </c>
      <c r="E14" s="78">
        <f>SUMIFS('Diario Cali'!$E:$E,'Diario Cali'!$C:$C,$A14,'Diario Cali'!$B:$B,E$7)+D14</f>
        <v>2624441</v>
      </c>
      <c r="F14" s="78">
        <f>SUMIFS('Diario Cali'!$E:$E,'Diario Cali'!$C:$C,$A14,'Diario Cali'!$B:$B,F$7)+E14</f>
        <v>35514158</v>
      </c>
      <c r="G14" s="78">
        <f>SUMIFS('Diario Cali'!$E:$E,'Diario Cali'!$C:$C,$A14,'Diario Cali'!$B:$B,G$7)+F14</f>
        <v>2474994</v>
      </c>
      <c r="H14" s="78">
        <f>SUMIFS('Diario Cali'!$E:$E,'Diario Cali'!$C:$C,$A14,'Diario Cali'!$B:$B,H$7)+G14</f>
        <v>2849938</v>
      </c>
      <c r="I14" s="78">
        <f>SUMIFS('Diario Cali'!$E:$E,'Diario Cali'!$C:$C,$A14,'Diario Cali'!$B:$B,I$7)+H14</f>
        <v>2698113</v>
      </c>
      <c r="J14" s="78">
        <f>SUMIFS('Diario Cali'!$E:$E,'Diario Cali'!$C:$C,$A14,'Diario Cali'!$B:$B,J$7)+I14</f>
        <v>6201622</v>
      </c>
      <c r="K14" s="78">
        <f>SUMIFS('Diario Cali'!$E:$E,'Diario Cali'!$C:$C,$A14,'Diario Cali'!$B:$B,K$7)+J14</f>
        <v>7170761</v>
      </c>
      <c r="L14" s="78">
        <f>SUMIFS('Diario Cali'!$E:$E,'Diario Cali'!$C:$C,$A14,'Diario Cali'!$B:$B,L$7)+K14</f>
        <v>8423281</v>
      </c>
      <c r="M14" s="78">
        <f>SUMIFS('Diario Cali'!$E:$E,'Diario Cali'!$C:$C,$A14,'Diario Cali'!$B:$B,M$7)+L14</f>
        <v>992485</v>
      </c>
      <c r="N14" s="78">
        <f>SUMIFS('Diario Cali'!$E:$E,'Diario Cali'!$C:$C,$A14,'Diario Cali'!$B:$B,N$7)+M14</f>
        <v>760845</v>
      </c>
      <c r="O14" s="86" t="s">
        <v>48</v>
      </c>
    </row>
    <row r="15" spans="1:15" s="86" customFormat="1" ht="10.9" customHeight="1" x14ac:dyDescent="0.2">
      <c r="A15" s="86">
        <v>117</v>
      </c>
      <c r="B15" s="77" t="str">
        <f>VLOOKUP(A15,Plan!A$1:B$65542,2,0)</f>
        <v>Disponible CALI Santander</v>
      </c>
      <c r="C15" s="78">
        <f>SUMIFS('Diario Cali'!$E:$E,'Diario Cali'!$C:$C,$A15,'Diario Cali'!$B:$B,C$7)</f>
        <v>0</v>
      </c>
      <c r="D15" s="78">
        <f>SUMIFS('Diario Cali'!$E:$E,'Diario Cali'!$C:$C,$A15,'Diario Cali'!$B:$B,D$7)+C15</f>
        <v>2000000</v>
      </c>
      <c r="E15" s="78">
        <f>SUMIFS('Diario Cali'!$E:$E,'Diario Cali'!$C:$C,$A15,'Diario Cali'!$B:$B,E$7)+D15</f>
        <v>1400000</v>
      </c>
      <c r="F15" s="78">
        <f>SUMIFS('Diario Cali'!$E:$E,'Diario Cali'!$C:$C,$A15,'Diario Cali'!$B:$B,F$7)+E15</f>
        <v>669610</v>
      </c>
      <c r="G15" s="78">
        <f>SUMIFS('Diario Cali'!$E:$E,'Diario Cali'!$C:$C,$A15,'Diario Cali'!$B:$B,G$7)+F15</f>
        <v>669610</v>
      </c>
      <c r="H15" s="78">
        <f>SUMIFS('Diario Cali'!$E:$E,'Diario Cali'!$C:$C,$A15,'Diario Cali'!$B:$B,H$7)+G15</f>
        <v>908717</v>
      </c>
      <c r="I15" s="78">
        <f>SUMIFS('Diario Cali'!$E:$E,'Diario Cali'!$C:$C,$A15,'Diario Cali'!$B:$B,I$7)+H15</f>
        <v>1283775</v>
      </c>
      <c r="J15" s="78">
        <f>SUMIFS('Diario Cali'!$E:$E,'Diario Cali'!$C:$C,$A15,'Diario Cali'!$B:$B,J$7)+I15</f>
        <v>1857050</v>
      </c>
      <c r="K15" s="78">
        <f>SUMIFS('Diario Cali'!$E:$E,'Diario Cali'!$C:$C,$A15,'Diario Cali'!$B:$B,K$7)+J15</f>
        <v>1541576</v>
      </c>
      <c r="L15" s="78">
        <f>SUMIFS('Diario Cali'!$E:$E,'Diario Cali'!$C:$C,$A15,'Diario Cali'!$B:$B,L$7)+K15</f>
        <v>895132</v>
      </c>
      <c r="M15" s="78">
        <f>SUMIFS('Diario Cali'!$E:$E,'Diario Cali'!$C:$C,$A15,'Diario Cali'!$B:$B,M$7)+L15</f>
        <v>918858</v>
      </c>
      <c r="N15" s="78">
        <f>SUMIFS('Diario Cali'!$E:$E,'Diario Cali'!$C:$C,$A15,'Diario Cali'!$B:$B,N$7)+M15</f>
        <v>1516178</v>
      </c>
      <c r="O15" s="86" t="s">
        <v>48</v>
      </c>
    </row>
    <row r="16" spans="1:15" s="86" customFormat="1" ht="10.9" x14ac:dyDescent="0.2">
      <c r="A16" s="86">
        <v>118</v>
      </c>
      <c r="B16" s="77" t="str">
        <f>VLOOKUP(A16,Plan!A$1:B$65542,2,0)</f>
        <v>Depósito a plazo Cali Banco Security</v>
      </c>
      <c r="C16" s="78">
        <f>SUMIFS('Diario Cali'!$E:$E,'Diario Cali'!$C:$C,$A16,'Diario Cali'!$B:$B,C$7)</f>
        <v>1099317900</v>
      </c>
      <c r="D16" s="78">
        <f>SUMIFS('Diario Cali'!$E:$E,'Diario Cali'!$C:$C,$A16,'Diario Cali'!$B:$B,D$7)+C16</f>
        <v>1174097388</v>
      </c>
      <c r="E16" s="78">
        <f>SUMIFS('Diario Cali'!$E:$E,'Diario Cali'!$C:$C,$A16,'Diario Cali'!$B:$B,E$7)+D16</f>
        <v>1040652107</v>
      </c>
      <c r="F16" s="78">
        <f>SUMIFS('Diario Cali'!$E:$E,'Diario Cali'!$C:$C,$A16,'Diario Cali'!$B:$B,F$7)+E16</f>
        <v>1041172433</v>
      </c>
      <c r="G16" s="78">
        <f>SUMIFS('Diario Cali'!$E:$E,'Diario Cali'!$C:$C,$A16,'Diario Cali'!$B:$B,G$7)+F16</f>
        <v>523731449</v>
      </c>
      <c r="H16" s="78">
        <f>SUMIFS('Diario Cali'!$E:$E,'Diario Cali'!$C:$C,$A16,'Diario Cali'!$B:$B,H$7)+G16</f>
        <v>0</v>
      </c>
      <c r="I16" s="78">
        <f>SUMIFS('Diario Cali'!$E:$E,'Diario Cali'!$C:$C,$A16,'Diario Cali'!$B:$B,I$7)+H16</f>
        <v>0</v>
      </c>
      <c r="J16" s="78">
        <f>SUMIFS('Diario Cali'!$E:$E,'Diario Cali'!$C:$C,$A16,'Diario Cali'!$B:$B,J$7)+I16</f>
        <v>0</v>
      </c>
      <c r="K16" s="78">
        <f>SUMIFS('Diario Cali'!$E:$E,'Diario Cali'!$C:$C,$A16,'Diario Cali'!$B:$B,K$7)+J16</f>
        <v>0</v>
      </c>
      <c r="L16" s="78">
        <f>SUMIFS('Diario Cali'!$E:$E,'Diario Cali'!$C:$C,$A16,'Diario Cali'!$B:$B,L$7)+K16</f>
        <v>0</v>
      </c>
      <c r="M16" s="78">
        <f>SUMIFS('Diario Cali'!$E:$E,'Diario Cali'!$C:$C,$A16,'Diario Cali'!$B:$B,M$7)+L16</f>
        <v>0</v>
      </c>
      <c r="N16" s="78">
        <f>SUMIFS('Diario Cali'!$E:$E,'Diario Cali'!$C:$C,$A16,'Diario Cali'!$B:$B,N$7)+M16</f>
        <v>0</v>
      </c>
      <c r="O16" s="86" t="s">
        <v>48</v>
      </c>
    </row>
    <row r="17" spans="1:15" s="86" customFormat="1" ht="10.9" x14ac:dyDescent="0.2">
      <c r="A17" s="86">
        <v>119</v>
      </c>
      <c r="B17" s="77" t="str">
        <f>VLOOKUP(A17,Plan!A$1:B$65542,2,0)</f>
        <v>FM Cali Banco Security</v>
      </c>
      <c r="C17" s="78">
        <f>SUMIFS('Diario Cali'!$E:$E,'Diario Cali'!$C:$C,$A17,'Diario Cali'!$B:$B,C$7)</f>
        <v>283011796</v>
      </c>
      <c r="D17" s="78">
        <f>SUMIFS('Diario Cali'!$E:$E,'Diario Cali'!$C:$C,$A17,'Diario Cali'!$B:$B,D$7)+C17</f>
        <v>133017009</v>
      </c>
      <c r="E17" s="78">
        <f>SUMIFS('Diario Cali'!$E:$E,'Diario Cali'!$C:$C,$A17,'Diario Cali'!$B:$B,E$7)+D17</f>
        <v>187118602</v>
      </c>
      <c r="F17" s="78">
        <f>SUMIFS('Diario Cali'!$E:$E,'Diario Cali'!$C:$C,$A17,'Diario Cali'!$B:$B,F$7)+E17</f>
        <v>37121835</v>
      </c>
      <c r="G17" s="78">
        <f>SUMIFS('Diario Cali'!$E:$E,'Diario Cali'!$C:$C,$A17,'Diario Cali'!$B:$B,G$7)+F17</f>
        <v>-37</v>
      </c>
      <c r="H17" s="78">
        <f>SUMIFS('Diario Cali'!$E:$E,'Diario Cali'!$C:$C,$A17,'Diario Cali'!$B:$B,H$7)+G17</f>
        <v>345009960</v>
      </c>
      <c r="I17" s="78">
        <f>SUMIFS('Diario Cali'!$E:$E,'Diario Cali'!$C:$C,$A17,'Diario Cali'!$B:$B,I$7)+H17</f>
        <v>240025147</v>
      </c>
      <c r="J17" s="78">
        <f>SUMIFS('Diario Cali'!$E:$E,'Diario Cali'!$C:$C,$A17,'Diario Cali'!$B:$B,J$7)+I17</f>
        <v>180048290</v>
      </c>
      <c r="K17" s="78">
        <f>SUMIFS('Diario Cali'!$E:$E,'Diario Cali'!$C:$C,$A17,'Diario Cali'!$B:$B,K$7)+J17</f>
        <v>-37</v>
      </c>
      <c r="L17" s="78">
        <f>SUMIFS('Diario Cali'!$E:$E,'Diario Cali'!$C:$C,$A17,'Diario Cali'!$B:$B,L$7)+K17</f>
        <v>-37</v>
      </c>
      <c r="M17" s="78">
        <f>SUMIFS('Diario Cali'!$E:$E,'Diario Cali'!$C:$C,$A17,'Diario Cali'!$B:$B,M$7)+L17</f>
        <v>-37</v>
      </c>
      <c r="N17" s="78">
        <f>SUMIFS('Diario Cali'!$E:$E,'Diario Cali'!$C:$C,$A17,'Diario Cali'!$B:$B,N$7)+M17</f>
        <v>0</v>
      </c>
      <c r="O17" s="86" t="s">
        <v>48</v>
      </c>
    </row>
    <row r="18" spans="1:15" s="86" customFormat="1" ht="10.9" x14ac:dyDescent="0.2">
      <c r="A18" s="86">
        <v>125</v>
      </c>
      <c r="B18" s="77" t="str">
        <f>VLOOKUP(A18,Plan!A$1:B$65542,2,0)</f>
        <v>Depósito a plazo Cali</v>
      </c>
      <c r="C18" s="78">
        <f>SUMIFS('Diario Cali'!$E:$E,'Diario Cali'!$C:$C,$A18,'Diario Cali'!$B:$B,C$7)</f>
        <v>0</v>
      </c>
      <c r="D18" s="78">
        <f>SUMIFS('Diario Cali'!$E:$E,'Diario Cali'!$C:$C,$A18,'Diario Cali'!$B:$B,D$7)+C18</f>
        <v>0</v>
      </c>
      <c r="E18" s="78">
        <f>SUMIFS('Diario Cali'!$E:$E,'Diario Cali'!$C:$C,$A18,'Diario Cali'!$B:$B,E$7)+D18</f>
        <v>0</v>
      </c>
      <c r="F18" s="78">
        <f>SUMIFS('Diario Cali'!$E:$E,'Diario Cali'!$C:$C,$A18,'Diario Cali'!$B:$B,F$7)+E18</f>
        <v>0</v>
      </c>
      <c r="G18" s="78">
        <f>SUMIFS('Diario Cali'!$E:$E,'Diario Cali'!$C:$C,$A18,'Diario Cali'!$B:$B,G$7)+F18</f>
        <v>0</v>
      </c>
      <c r="H18" s="78">
        <f>SUMIFS('Diario Cali'!$E:$E,'Diario Cali'!$C:$C,$A18,'Diario Cali'!$B:$B,H$7)+G18</f>
        <v>0</v>
      </c>
      <c r="I18" s="78">
        <f>SUMIFS('Diario Cali'!$E:$E,'Diario Cali'!$C:$C,$A18,'Diario Cali'!$B:$B,I$7)+H18</f>
        <v>0</v>
      </c>
      <c r="J18" s="78">
        <f>SUMIFS('Diario Cali'!$E:$E,'Diario Cali'!$C:$C,$A18,'Diario Cali'!$B:$B,J$7)+I18</f>
        <v>0</v>
      </c>
      <c r="K18" s="78">
        <f>SUMIFS('Diario Cali'!$E:$E,'Diario Cali'!$C:$C,$A18,'Diario Cali'!$B:$B,K$7)+J18</f>
        <v>0</v>
      </c>
      <c r="L18" s="78">
        <f>SUMIFS('Diario Cali'!$E:$E,'Diario Cali'!$C:$C,$A18,'Diario Cali'!$B:$B,L$7)+K18</f>
        <v>0</v>
      </c>
      <c r="M18" s="78">
        <f>SUMIFS('Diario Cali'!$E:$E,'Diario Cali'!$C:$C,$A18,'Diario Cali'!$B:$B,M$7)+L18</f>
        <v>0</v>
      </c>
      <c r="N18" s="78">
        <f>SUMIFS('Diario Cali'!$E:$E,'Diario Cali'!$C:$C,$A18,'Diario Cali'!$B:$B,N$7)+M18</f>
        <v>0</v>
      </c>
      <c r="O18" s="86" t="s">
        <v>48</v>
      </c>
    </row>
    <row r="19" spans="1:15" s="86" customFormat="1" ht="10.9" x14ac:dyDescent="0.2">
      <c r="A19" s="86">
        <v>1216</v>
      </c>
      <c r="B19" s="77" t="str">
        <f>VLOOKUP(A19,Plan!A$1:B$65542,2,0)</f>
        <v>Otros Valores Recaudadoras</v>
      </c>
      <c r="C19" s="78">
        <f>SUMIFS('Diario Cali'!$E:$E,'Diario Cali'!$C:$C,$A19,'Diario Cali'!$B:$B,C$7)</f>
        <v>0</v>
      </c>
      <c r="D19" s="78">
        <f>SUMIFS('Diario Cali'!$E:$E,'Diario Cali'!$C:$C,$A19,'Diario Cali'!$B:$B,D$7)+C19</f>
        <v>0</v>
      </c>
      <c r="E19" s="78">
        <f>SUMIFS('Diario Cali'!$E:$E,'Diario Cali'!$C:$C,$A19,'Diario Cali'!$B:$B,E$7)+D19</f>
        <v>0</v>
      </c>
      <c r="F19" s="78">
        <f>SUMIFS('Diario Cali'!$E:$E,'Diario Cali'!$C:$C,$A19,'Diario Cali'!$B:$B,F$7)+E19</f>
        <v>0</v>
      </c>
      <c r="G19" s="78">
        <f>SUMIFS('Diario Cali'!$E:$E,'Diario Cali'!$C:$C,$A19,'Diario Cali'!$B:$B,G$7)+F19</f>
        <v>0</v>
      </c>
      <c r="H19" s="78">
        <f>SUMIFS('Diario Cali'!$E:$E,'Diario Cali'!$C:$C,$A19,'Diario Cali'!$B:$B,H$7)+G19</f>
        <v>10000</v>
      </c>
      <c r="I19" s="78">
        <f>SUMIFS('Diario Cali'!$E:$E,'Diario Cali'!$C:$C,$A19,'Diario Cali'!$B:$B,I$7)+H19</f>
        <v>0</v>
      </c>
      <c r="J19" s="78">
        <f>SUMIFS('Diario Cali'!$E:$E,'Diario Cali'!$C:$C,$A19,'Diario Cali'!$B:$B,J$7)+I19</f>
        <v>0</v>
      </c>
      <c r="K19" s="78">
        <f>SUMIFS('Diario Cali'!$E:$E,'Diario Cali'!$C:$C,$A19,'Diario Cali'!$B:$B,K$7)+J19</f>
        <v>0</v>
      </c>
      <c r="L19" s="78">
        <f>SUMIFS('Diario Cali'!$E:$E,'Diario Cali'!$C:$C,$A19,'Diario Cali'!$B:$B,L$7)+K19</f>
        <v>0</v>
      </c>
      <c r="M19" s="78">
        <f>SUMIFS('Diario Cali'!$E:$E,'Diario Cali'!$C:$C,$A19,'Diario Cali'!$B:$B,M$7)+L19</f>
        <v>0</v>
      </c>
      <c r="N19" s="78">
        <f>SUMIFS('Diario Cali'!$E:$E,'Diario Cali'!$C:$C,$A19,'Diario Cali'!$B:$B,N$7)+M19</f>
        <v>0</v>
      </c>
    </row>
    <row r="20" spans="1:15" s="86" customFormat="1" ht="10.9" x14ac:dyDescent="0.2">
      <c r="A20" s="86">
        <v>1217</v>
      </c>
      <c r="B20" s="77" t="str">
        <f>VLOOKUP(A20,Plan!A$1:B$65542,2,0)</f>
        <v>Otros Valores -Oficina y Transferencias (248)</v>
      </c>
      <c r="C20" s="78">
        <f>SUMIFS('Diario Cali'!$E:$E,'Diario Cali'!$C:$C,$A20,'Diario Cali'!$B:$B,C$7)</f>
        <v>60000</v>
      </c>
      <c r="D20" s="78">
        <f>SUMIFS('Diario Cali'!$E:$E,'Diario Cali'!$C:$C,$A20,'Diario Cali'!$B:$B,D$7)+C20</f>
        <v>60000</v>
      </c>
      <c r="E20" s="78">
        <f>SUMIFS('Diario Cali'!$E:$E,'Diario Cali'!$C:$C,$A20,'Diario Cali'!$B:$B,E$7)+D20</f>
        <v>60000</v>
      </c>
      <c r="F20" s="78">
        <f>SUMIFS('Diario Cali'!$E:$E,'Diario Cali'!$C:$C,$A20,'Diario Cali'!$B:$B,F$7)+E20</f>
        <v>60000</v>
      </c>
      <c r="G20" s="78">
        <f>SUMIFS('Diario Cali'!$E:$E,'Diario Cali'!$C:$C,$A20,'Diario Cali'!$B:$B,G$7)+F20</f>
        <v>10000</v>
      </c>
      <c r="H20" s="78">
        <f>SUMIFS('Diario Cali'!$E:$E,'Diario Cali'!$C:$C,$A20,'Diario Cali'!$B:$B,H$7)+G20</f>
        <v>10000</v>
      </c>
      <c r="I20" s="78">
        <f>SUMIFS('Diario Cali'!$E:$E,'Diario Cali'!$C:$C,$A20,'Diario Cali'!$B:$B,I$7)+H20</f>
        <v>10000</v>
      </c>
      <c r="J20" s="78">
        <f>SUMIFS('Diario Cali'!$E:$E,'Diario Cali'!$C:$C,$A20,'Diario Cali'!$B:$B,J$7)+I20</f>
        <v>10000</v>
      </c>
      <c r="K20" s="78">
        <f>SUMIFS('Diario Cali'!$E:$E,'Diario Cali'!$C:$C,$A20,'Diario Cali'!$B:$B,K$7)+J20</f>
        <v>10000</v>
      </c>
      <c r="L20" s="78">
        <f>SUMIFS('Diario Cali'!$E:$E,'Diario Cali'!$C:$C,$A20,'Diario Cali'!$B:$B,L$7)+K20</f>
        <v>10000</v>
      </c>
      <c r="M20" s="78">
        <f>SUMIFS('Diario Cali'!$E:$E,'Diario Cali'!$C:$C,$A20,'Diario Cali'!$B:$B,M$7)+L20</f>
        <v>0</v>
      </c>
      <c r="N20" s="78">
        <f>SUMIFS('Diario Cali'!$E:$E,'Diario Cali'!$C:$C,$A20,'Diario Cali'!$B:$B,N$7)+M20</f>
        <v>0</v>
      </c>
    </row>
    <row r="21" spans="1:15" s="86" customFormat="1" ht="10.9" x14ac:dyDescent="0.2">
      <c r="A21" s="86">
        <v>1218</v>
      </c>
      <c r="B21" s="77" t="str">
        <f>VLOOKUP(A21,Plan!A$1:B$65542,2,0)</f>
        <v>Otros Valores Tarjeta de Credito</v>
      </c>
      <c r="C21" s="78">
        <f>SUMIFS('Diario Cali'!$E:$E,'Diario Cali'!$C:$C,$A21,'Diario Cali'!$B:$B,C$7)</f>
        <v>4</v>
      </c>
      <c r="D21" s="78">
        <f>SUMIFS('Diario Cali'!$E:$E,'Diario Cali'!$C:$C,$A21,'Diario Cali'!$B:$B,D$7)+C21</f>
        <v>9285865</v>
      </c>
      <c r="E21" s="78">
        <f>SUMIFS('Diario Cali'!$E:$E,'Diario Cali'!$C:$C,$A21,'Diario Cali'!$B:$B,E$7)+D21</f>
        <v>4</v>
      </c>
      <c r="F21" s="78">
        <f>SUMIFS('Diario Cali'!$E:$E,'Diario Cali'!$C:$C,$A21,'Diario Cali'!$B:$B,F$7)+E21</f>
        <v>5</v>
      </c>
      <c r="G21" s="78">
        <f>SUMIFS('Diario Cali'!$E:$E,'Diario Cali'!$C:$C,$A21,'Diario Cali'!$B:$B,G$7)+F21</f>
        <v>6</v>
      </c>
      <c r="H21" s="78">
        <f>SUMIFS('Diario Cali'!$E:$E,'Diario Cali'!$C:$C,$A21,'Diario Cali'!$B:$B,H$7)+G21</f>
        <v>7</v>
      </c>
      <c r="I21" s="78">
        <f>SUMIFS('Diario Cali'!$E:$E,'Diario Cali'!$C:$C,$A21,'Diario Cali'!$B:$B,I$7)+H21</f>
        <v>192827</v>
      </c>
      <c r="J21" s="78">
        <f>SUMIFS('Diario Cali'!$E:$E,'Diario Cali'!$C:$C,$A21,'Diario Cali'!$B:$B,J$7)+I21</f>
        <v>150</v>
      </c>
      <c r="K21" s="78">
        <f>SUMIFS('Diario Cali'!$E:$E,'Diario Cali'!$C:$C,$A21,'Diario Cali'!$B:$B,K$7)+J21</f>
        <v>11423947</v>
      </c>
      <c r="L21" s="78">
        <f>SUMIFS('Diario Cali'!$E:$E,'Diario Cali'!$C:$C,$A21,'Diario Cali'!$B:$B,L$7)+K21</f>
        <v>11935774</v>
      </c>
      <c r="M21" s="78">
        <f>SUMIFS('Diario Cali'!$E:$E,'Diario Cali'!$C:$C,$A21,'Diario Cali'!$B:$B,M$7)+L21</f>
        <v>652300</v>
      </c>
      <c r="N21" s="78">
        <f>SUMIFS('Diario Cali'!$E:$E,'Diario Cali'!$C:$C,$A21,'Diario Cali'!$B:$B,N$7)+M21</f>
        <v>12164032</v>
      </c>
    </row>
    <row r="22" spans="1:15" s="86" customFormat="1" ht="10.9" x14ac:dyDescent="0.2">
      <c r="A22" s="86">
        <v>1219</v>
      </c>
      <c r="B22" s="77" t="str">
        <f>VLOOKUP(A22,Plan!A$1:B$65542,2,0)</f>
        <v>Otros Valores Arzobispado (248)</v>
      </c>
      <c r="C22" s="78">
        <f>SUMIFS('Diario Cali'!$E:$E,'Diario Cali'!$C:$C,$A22,'Diario Cali'!$B:$B,C$7)</f>
        <v>2319733</v>
      </c>
      <c r="D22" s="78">
        <f>SUMIFS('Diario Cali'!$E:$E,'Diario Cali'!$C:$C,$A22,'Diario Cali'!$B:$B,D$7)+C22</f>
        <v>2236409</v>
      </c>
      <c r="E22" s="78">
        <f>SUMIFS('Diario Cali'!$E:$E,'Diario Cali'!$C:$C,$A22,'Diario Cali'!$B:$B,E$7)+D22</f>
        <v>0</v>
      </c>
      <c r="F22" s="78">
        <f>SUMIFS('Diario Cali'!$E:$E,'Diario Cali'!$C:$C,$A22,'Diario Cali'!$B:$B,F$7)+E22</f>
        <v>12</v>
      </c>
      <c r="G22" s="78">
        <f>SUMIFS('Diario Cali'!$E:$E,'Diario Cali'!$C:$C,$A22,'Diario Cali'!$B:$B,G$7)+F22</f>
        <v>12</v>
      </c>
      <c r="H22" s="78">
        <f>SUMIFS('Diario Cali'!$E:$E,'Diario Cali'!$C:$C,$A22,'Diario Cali'!$B:$B,H$7)+G22</f>
        <v>11</v>
      </c>
      <c r="I22" s="78">
        <f>SUMIFS('Diario Cali'!$E:$E,'Diario Cali'!$C:$C,$A22,'Diario Cali'!$B:$B,I$7)+H22</f>
        <v>10</v>
      </c>
      <c r="J22" s="78">
        <f>SUMIFS('Diario Cali'!$E:$E,'Diario Cali'!$C:$C,$A22,'Diario Cali'!$B:$B,J$7)+I22</f>
        <v>-1</v>
      </c>
      <c r="K22" s="78">
        <f>SUMIFS('Diario Cali'!$E:$E,'Diario Cali'!$C:$C,$A22,'Diario Cali'!$B:$B,K$7)+J22</f>
        <v>-1</v>
      </c>
      <c r="L22" s="78">
        <f>SUMIFS('Diario Cali'!$E:$E,'Diario Cali'!$C:$C,$A22,'Diario Cali'!$B:$B,L$7)+K22</f>
        <v>-1</v>
      </c>
      <c r="M22" s="78">
        <f>SUMIFS('Diario Cali'!$E:$E,'Diario Cali'!$C:$C,$A22,'Diario Cali'!$B:$B,M$7)+L22</f>
        <v>-2</v>
      </c>
      <c r="N22" s="78">
        <f>SUMIFS('Diario Cali'!$E:$E,'Diario Cali'!$C:$C,$A22,'Diario Cali'!$B:$B,N$7)+M22</f>
        <v>0</v>
      </c>
    </row>
    <row r="23" spans="1:15" s="86" customFormat="1" ht="10.9" x14ac:dyDescent="0.2">
      <c r="A23" s="86">
        <v>1220</v>
      </c>
      <c r="B23" s="77" t="str">
        <f>VLOOKUP(A23,Plan!A$1:B$65542,2,0)</f>
        <v>Otros Valores Arzobispado (249)</v>
      </c>
      <c r="C23" s="78">
        <f>SUMIFS('Diario Cali'!$E:$E,'Diario Cali'!$C:$C,$A23,'Diario Cali'!$B:$B,C$7)</f>
        <v>1936272</v>
      </c>
      <c r="D23" s="78">
        <f>SUMIFS('Diario Cali'!$E:$E,'Diario Cali'!$C:$C,$A23,'Diario Cali'!$B:$B,D$7)+C23</f>
        <v>1943991</v>
      </c>
      <c r="E23" s="78">
        <f>SUMIFS('Diario Cali'!$E:$E,'Diario Cali'!$C:$C,$A23,'Diario Cali'!$B:$B,E$7)+D23</f>
        <v>-3</v>
      </c>
      <c r="F23" s="78">
        <f>SUMIFS('Diario Cali'!$E:$E,'Diario Cali'!$C:$C,$A23,'Diario Cali'!$B:$B,F$7)+E23</f>
        <v>-4</v>
      </c>
      <c r="G23" s="78">
        <f>SUMIFS('Diario Cali'!$E:$E,'Diario Cali'!$C:$C,$A23,'Diario Cali'!$B:$B,G$7)+F23</f>
        <v>-5</v>
      </c>
      <c r="H23" s="78">
        <f>SUMIFS('Diario Cali'!$E:$E,'Diario Cali'!$C:$C,$A23,'Diario Cali'!$B:$B,H$7)+G23</f>
        <v>-5</v>
      </c>
      <c r="I23" s="78">
        <f>SUMIFS('Diario Cali'!$E:$E,'Diario Cali'!$C:$C,$A23,'Diario Cali'!$B:$B,I$7)+H23</f>
        <v>-6</v>
      </c>
      <c r="J23" s="78">
        <f>SUMIFS('Diario Cali'!$E:$E,'Diario Cali'!$C:$C,$A23,'Diario Cali'!$B:$B,J$7)+I23</f>
        <v>-1</v>
      </c>
      <c r="K23" s="78">
        <f>SUMIFS('Diario Cali'!$E:$E,'Diario Cali'!$C:$C,$A23,'Diario Cali'!$B:$B,K$7)+J23</f>
        <v>-2</v>
      </c>
      <c r="L23" s="78">
        <f>SUMIFS('Diario Cali'!$E:$E,'Diario Cali'!$C:$C,$A23,'Diario Cali'!$B:$B,L$7)+K23</f>
        <v>-3</v>
      </c>
      <c r="M23" s="78">
        <f>SUMIFS('Diario Cali'!$E:$E,'Diario Cali'!$C:$C,$A23,'Diario Cali'!$B:$B,M$7)+L23</f>
        <v>-4</v>
      </c>
      <c r="N23" s="78">
        <f>SUMIFS('Diario Cali'!$E:$E,'Diario Cali'!$C:$C,$A23,'Diario Cali'!$B:$B,N$7)+M23</f>
        <v>0</v>
      </c>
    </row>
    <row r="24" spans="1:15" s="86" customFormat="1" ht="10.9" x14ac:dyDescent="0.2">
      <c r="A24" s="86">
        <v>1222</v>
      </c>
      <c r="B24" s="77" t="str">
        <f>VLOOKUP(A24,Plan!A$1:B$65542,2,0)</f>
        <v>Otros Valores -Oficina y Transferencias (249)</v>
      </c>
      <c r="C24" s="78">
        <f>SUMIFS('Diario Cali'!$E:$E,'Diario Cali'!$C:$C,$A24,'Diario Cali'!$B:$B,C$7)</f>
        <v>0</v>
      </c>
      <c r="D24" s="78">
        <f>SUMIFS('Diario Cali'!$E:$E,'Diario Cali'!$C:$C,$A24,'Diario Cali'!$B:$B,D$7)+C24</f>
        <v>0</v>
      </c>
      <c r="E24" s="78">
        <f>SUMIFS('Diario Cali'!$E:$E,'Diario Cali'!$C:$C,$A24,'Diario Cali'!$B:$B,E$7)+D24</f>
        <v>0</v>
      </c>
      <c r="F24" s="78">
        <f>SUMIFS('Diario Cali'!$E:$E,'Diario Cali'!$C:$C,$A24,'Diario Cali'!$B:$B,F$7)+E24</f>
        <v>0</v>
      </c>
      <c r="G24" s="78">
        <f>SUMIFS('Diario Cali'!$E:$E,'Diario Cali'!$C:$C,$A24,'Diario Cali'!$B:$B,G$7)+F24</f>
        <v>0</v>
      </c>
      <c r="H24" s="78">
        <f>SUMIFS('Diario Cali'!$E:$E,'Diario Cali'!$C:$C,$A24,'Diario Cali'!$B:$B,H$7)+G24</f>
        <v>0</v>
      </c>
      <c r="I24" s="78">
        <f>SUMIFS('Diario Cali'!$E:$E,'Diario Cali'!$C:$C,$A24,'Diario Cali'!$B:$B,I$7)+H24</f>
        <v>0</v>
      </c>
      <c r="J24" s="78">
        <f>SUMIFS('Diario Cali'!$E:$E,'Diario Cali'!$C:$C,$A24,'Diario Cali'!$B:$B,J$7)+I24</f>
        <v>0</v>
      </c>
      <c r="K24" s="78">
        <f>SUMIFS('Diario Cali'!$E:$E,'Diario Cali'!$C:$C,$A24,'Diario Cali'!$B:$B,K$7)+J24</f>
        <v>0</v>
      </c>
      <c r="L24" s="78">
        <f>SUMIFS('Diario Cali'!$E:$E,'Diario Cali'!$C:$C,$A24,'Diario Cali'!$B:$B,L$7)+K24</f>
        <v>0</v>
      </c>
      <c r="M24" s="78">
        <f>SUMIFS('Diario Cali'!$E:$E,'Diario Cali'!$C:$C,$A24,'Diario Cali'!$B:$B,M$7)+L24</f>
        <v>0</v>
      </c>
      <c r="N24" s="78">
        <f>SUMIFS('Diario Cali'!$E:$E,'Diario Cali'!$C:$C,$A24,'Diario Cali'!$B:$B,N$7)+M24</f>
        <v>0</v>
      </c>
    </row>
    <row r="25" spans="1:15" s="86" customFormat="1" ht="10.9" x14ac:dyDescent="0.2">
      <c r="A25" s="86">
        <v>1130</v>
      </c>
      <c r="B25" s="77" t="str">
        <f>VLOOKUP(A25,Plan!A$1:B$65542,2,0)</f>
        <v>Disponible Ch. Fecha</v>
      </c>
      <c r="C25" s="78">
        <f>SUMIFS('Diario Cali'!$E:$E,'Diario Cali'!$C:$C,$A25,'Diario Cali'!$B:$B,C$7)</f>
        <v>127000</v>
      </c>
      <c r="D25" s="78">
        <f>SUMIFS('Diario Cali'!$E:$E,'Diario Cali'!$C:$C,$A25,'Diario Cali'!$B:$B,D$7)+C25</f>
        <v>98000</v>
      </c>
      <c r="E25" s="78">
        <f>SUMIFS('Diario Cali'!$E:$E,'Diario Cali'!$C:$C,$A25,'Diario Cali'!$B:$B,E$7)+D25</f>
        <v>24000</v>
      </c>
      <c r="F25" s="78">
        <f>SUMIFS('Diario Cali'!$E:$E,'Diario Cali'!$C:$C,$A25,'Diario Cali'!$B:$B,F$7)+E25</f>
        <v>24000</v>
      </c>
      <c r="G25" s="78">
        <f>SUMIFS('Diario Cali'!$E:$E,'Diario Cali'!$C:$C,$A25,'Diario Cali'!$B:$B,G$7)+F25</f>
        <v>0</v>
      </c>
      <c r="H25" s="78">
        <f>SUMIFS('Diario Cali'!$E:$E,'Diario Cali'!$C:$C,$A25,'Diario Cali'!$B:$B,H$7)+G25</f>
        <v>0</v>
      </c>
      <c r="I25" s="78">
        <f>SUMIFS('Diario Cali'!$E:$E,'Diario Cali'!$C:$C,$A25,'Diario Cali'!$B:$B,I$7)+H25</f>
        <v>35000</v>
      </c>
      <c r="J25" s="78">
        <f>SUMIFS('Diario Cali'!$E:$E,'Diario Cali'!$C:$C,$A25,'Diario Cali'!$B:$B,J$7)+I25</f>
        <v>35000</v>
      </c>
      <c r="K25" s="78">
        <f>SUMIFS('Diario Cali'!$E:$E,'Diario Cali'!$C:$C,$A25,'Diario Cali'!$B:$B,K$7)+J25</f>
        <v>135000</v>
      </c>
      <c r="L25" s="78">
        <f>SUMIFS('Diario Cali'!$E:$E,'Diario Cali'!$C:$C,$A25,'Diario Cali'!$B:$B,L$7)+K25</f>
        <v>165000</v>
      </c>
      <c r="M25" s="78">
        <f>SUMIFS('Diario Cali'!$E:$E,'Diario Cali'!$C:$C,$A25,'Diario Cali'!$B:$B,M$7)+L25</f>
        <v>900000</v>
      </c>
      <c r="N25" s="78">
        <f>SUMIFS('Diario Cali'!$E:$E,'Diario Cali'!$C:$C,$A25,'Diario Cali'!$B:$B,N$7)+M25</f>
        <v>0</v>
      </c>
    </row>
    <row r="26" spans="1:15" s="86" customFormat="1" ht="10.9" x14ac:dyDescent="0.2">
      <c r="A26" s="86">
        <v>137</v>
      </c>
      <c r="B26" s="77" t="str">
        <f>VLOOKUP(A26,Plan!A$1:B$65542,2,0)</f>
        <v>Anticipo Construcción</v>
      </c>
      <c r="C26" s="78">
        <f>SUMIFS('Diario Cali'!$E:$E,'Diario Cali'!$C:$C,$A26,'Diario Cali'!$B:$B,C$7)</f>
        <v>408289297</v>
      </c>
      <c r="D26" s="78">
        <f>SUMIFS('Diario Cali'!$E:$E,'Diario Cali'!$C:$C,$A26,'Diario Cali'!$B:$B,D$7)+C26</f>
        <v>393718399</v>
      </c>
      <c r="E26" s="78">
        <f>SUMIFS('Diario Cali'!$E:$E,'Diario Cali'!$C:$C,$A26,'Diario Cali'!$B:$B,E$7)+D26</f>
        <v>384096919</v>
      </c>
      <c r="F26" s="78">
        <f>SUMIFS('Diario Cali'!$E:$E,'Diario Cali'!$C:$C,$A26,'Diario Cali'!$B:$B,F$7)+E26</f>
        <v>369529174</v>
      </c>
      <c r="G26" s="78">
        <f>SUMIFS('Diario Cali'!$E:$E,'Diario Cali'!$C:$C,$A26,'Diario Cali'!$B:$B,G$7)+F26</f>
        <v>344462427</v>
      </c>
      <c r="H26" s="78">
        <f>SUMIFS('Diario Cali'!$E:$E,'Diario Cali'!$C:$C,$A26,'Diario Cali'!$B:$B,H$7)+G26</f>
        <v>316523850</v>
      </c>
      <c r="I26" s="78">
        <f>SUMIFS('Diario Cali'!$E:$E,'Diario Cali'!$C:$C,$A26,'Diario Cali'!$B:$B,I$7)+H26</f>
        <v>299322868</v>
      </c>
      <c r="J26" s="78">
        <f>SUMIFS('Diario Cali'!$E:$E,'Diario Cali'!$C:$C,$A26,'Diario Cali'!$B:$B,J$7)+I26</f>
        <v>284482577</v>
      </c>
      <c r="K26" s="78">
        <f>SUMIFS('Diario Cali'!$E:$E,'Diario Cali'!$C:$C,$A26,'Diario Cali'!$B:$B,K$7)+J26</f>
        <v>253302301</v>
      </c>
      <c r="L26" s="78">
        <f>SUMIFS('Diario Cali'!$E:$E,'Diario Cali'!$C:$C,$A26,'Diario Cali'!$B:$B,L$7)+K26</f>
        <v>246259343</v>
      </c>
      <c r="M26" s="78">
        <f>SUMIFS('Diario Cali'!$E:$E,'Diario Cali'!$C:$C,$A26,'Diario Cali'!$B:$B,M$7)+L26</f>
        <v>231329244</v>
      </c>
      <c r="N26" s="78">
        <f>SUMIFS('Diario Cali'!$E:$E,'Diario Cali'!$C:$C,$A26,'Diario Cali'!$B:$B,N$7)+M26</f>
        <v>228106335</v>
      </c>
    </row>
    <row r="27" spans="1:15" s="86" customFormat="1" ht="10.9" x14ac:dyDescent="0.2">
      <c r="A27" s="86">
        <v>133</v>
      </c>
      <c r="B27" s="77" t="str">
        <f>VLOOKUP(A27,Plan!A$1:B$65542,2,0)</f>
        <v>Préstamos  Fundación Cali</v>
      </c>
      <c r="C27" s="78">
        <f>SUMIFS('Diario Cali'!$E:$E,'Diario Cali'!$C:$C,$A27,'Diario Cali'!$B:$B,C$7)</f>
        <v>3000000</v>
      </c>
      <c r="D27" s="78">
        <f>SUMIFS('Diario Cali'!$E:$E,'Diario Cali'!$C:$C,$A27,'Diario Cali'!$B:$B,D$7)+C27</f>
        <v>3000000</v>
      </c>
      <c r="E27" s="78">
        <f>SUMIFS('Diario Cali'!$E:$E,'Diario Cali'!$C:$C,$A27,'Diario Cali'!$B:$B,E$7)+D27</f>
        <v>3000000</v>
      </c>
      <c r="F27" s="78">
        <f>SUMIFS('Diario Cali'!$E:$E,'Diario Cali'!$C:$C,$A27,'Diario Cali'!$B:$B,F$7)+E27</f>
        <v>3000000</v>
      </c>
      <c r="G27" s="78">
        <f>SUMIFS('Diario Cali'!$E:$E,'Diario Cali'!$C:$C,$A27,'Diario Cali'!$B:$B,G$7)+F27</f>
        <v>3000000</v>
      </c>
      <c r="H27" s="78">
        <f>SUMIFS('Diario Cali'!$E:$E,'Diario Cali'!$C:$C,$A27,'Diario Cali'!$B:$B,H$7)+G27</f>
        <v>0</v>
      </c>
      <c r="I27" s="78">
        <f>SUMIFS('Diario Cali'!$E:$E,'Diario Cali'!$C:$C,$A27,'Diario Cali'!$B:$B,I$7)+H27</f>
        <v>0</v>
      </c>
      <c r="J27" s="78">
        <f>SUMIFS('Diario Cali'!$E:$E,'Diario Cali'!$C:$C,$A27,'Diario Cali'!$B:$B,J$7)+I27</f>
        <v>0</v>
      </c>
      <c r="K27" s="78">
        <f>SUMIFS('Diario Cali'!$E:$E,'Diario Cali'!$C:$C,$A27,'Diario Cali'!$B:$B,K$7)+J27</f>
        <v>0</v>
      </c>
      <c r="L27" s="78">
        <f>SUMIFS('Diario Cali'!$E:$E,'Diario Cali'!$C:$C,$A27,'Diario Cali'!$B:$B,L$7)+K27</f>
        <v>0</v>
      </c>
      <c r="M27" s="78">
        <f>SUMIFS('Diario Cali'!$E:$E,'Diario Cali'!$C:$C,$A27,'Diario Cali'!$B:$B,M$7)+L27</f>
        <v>0</v>
      </c>
      <c r="N27" s="78">
        <f>SUMIFS('Diario Cali'!$E:$E,'Diario Cali'!$C:$C,$A27,'Diario Cali'!$B:$B,N$7)+M27</f>
        <v>0</v>
      </c>
    </row>
    <row r="28" spans="1:15" s="86" customFormat="1" ht="10.9" x14ac:dyDescent="0.2">
      <c r="A28" s="86">
        <v>141</v>
      </c>
      <c r="B28" s="77" t="str">
        <f>VLOOKUP(A28,Plan!A$1:B$65542,2,0)</f>
        <v>Cuentas por Cobrar a Administración</v>
      </c>
      <c r="C28" s="78">
        <f>SUMIFS('Diario Cali'!$E:$E,'Diario Cali'!$C:$C,$A28,'Diario Cali'!$B:$B,C$7)</f>
        <v>119974557</v>
      </c>
      <c r="D28" s="78">
        <f>SUMIFS('Diario Cali'!$E:$E,'Diario Cali'!$C:$C,$A28,'Diario Cali'!$B:$B,D$7)+C28</f>
        <v>122571365</v>
      </c>
      <c r="E28" s="78">
        <f>SUMIFS('Diario Cali'!$E:$E,'Diario Cali'!$C:$C,$A28,'Diario Cali'!$B:$B,E$7)+D28</f>
        <v>123185103</v>
      </c>
      <c r="F28" s="78">
        <f>SUMIFS('Diario Cali'!$E:$E,'Diario Cali'!$C:$C,$A28,'Diario Cali'!$B:$B,F$7)+E28</f>
        <v>127628088</v>
      </c>
      <c r="G28" s="78">
        <f>SUMIFS('Diario Cali'!$E:$E,'Diario Cali'!$C:$C,$A28,'Diario Cali'!$B:$B,G$7)+F28</f>
        <v>128723767</v>
      </c>
      <c r="H28" s="78">
        <f>SUMIFS('Diario Cali'!$E:$E,'Diario Cali'!$C:$C,$A28,'Diario Cali'!$B:$B,H$7)+G28</f>
        <v>129198619</v>
      </c>
      <c r="I28" s="78">
        <f>SUMIFS('Diario Cali'!$E:$E,'Diario Cali'!$C:$C,$A28,'Diario Cali'!$B:$B,I$7)+H28</f>
        <v>130733023</v>
      </c>
      <c r="J28" s="78">
        <f>SUMIFS('Diario Cali'!$E:$E,'Diario Cali'!$C:$C,$A28,'Diario Cali'!$B:$B,J$7)+I28</f>
        <v>135847133</v>
      </c>
      <c r="K28" s="78">
        <f>SUMIFS('Diario Cali'!$E:$E,'Diario Cali'!$C:$C,$A28,'Diario Cali'!$B:$B,K$7)+J28</f>
        <v>138158780</v>
      </c>
      <c r="L28" s="78">
        <f>SUMIFS('Diario Cali'!$E:$E,'Diario Cali'!$C:$C,$A28,'Diario Cali'!$B:$B,L$7)+K28</f>
        <v>138440989</v>
      </c>
      <c r="M28" s="78">
        <f>SUMIFS('Diario Cali'!$E:$E,'Diario Cali'!$C:$C,$A28,'Diario Cali'!$B:$B,M$7)+L28</f>
        <v>138931314</v>
      </c>
      <c r="N28" s="78">
        <f>SUMIFS('Diario Cali'!$E:$E,'Diario Cali'!$C:$C,$A28,'Diario Cali'!$B:$B,N$7)+M28</f>
        <v>138437194</v>
      </c>
    </row>
    <row r="29" spans="1:15" s="86" customFormat="1" ht="10.9" x14ac:dyDescent="0.2">
      <c r="B29" s="82" t="s">
        <v>46</v>
      </c>
      <c r="C29" s="83">
        <f t="shared" ref="C29:N29" si="0">SUM(C11:C28)</f>
        <v>1995013199</v>
      </c>
      <c r="D29" s="83">
        <f t="shared" si="0"/>
        <v>1855673879</v>
      </c>
      <c r="E29" s="83">
        <f t="shared" si="0"/>
        <v>1801644758</v>
      </c>
      <c r="F29" s="83">
        <f t="shared" si="0"/>
        <v>1664851365</v>
      </c>
      <c r="G29" s="83">
        <f t="shared" si="0"/>
        <v>1487688126</v>
      </c>
      <c r="H29" s="83">
        <f t="shared" si="0"/>
        <v>1250839373</v>
      </c>
      <c r="I29" s="83">
        <f t="shared" si="0"/>
        <v>1130708807</v>
      </c>
      <c r="J29" s="83">
        <f t="shared" si="0"/>
        <v>1061608057</v>
      </c>
      <c r="K29" s="83">
        <f t="shared" si="0"/>
        <v>823361510</v>
      </c>
      <c r="L29" s="83">
        <f t="shared" si="0"/>
        <v>790582808</v>
      </c>
      <c r="M29" s="83">
        <f t="shared" si="0"/>
        <v>683216737</v>
      </c>
      <c r="N29" s="83">
        <f t="shared" si="0"/>
        <v>637785175</v>
      </c>
    </row>
    <row r="30" spans="1:15" s="86" customFormat="1" ht="10.9" x14ac:dyDescent="0.2">
      <c r="B30" s="80"/>
      <c r="C30" s="84"/>
      <c r="D30" s="79"/>
      <c r="E30" s="80"/>
      <c r="F30" s="81"/>
      <c r="G30" s="80"/>
      <c r="H30" s="80" t="s">
        <v>48</v>
      </c>
      <c r="I30" s="80"/>
      <c r="J30" s="80"/>
      <c r="K30" s="80"/>
      <c r="L30" s="80"/>
      <c r="M30" s="80"/>
      <c r="N30" s="80"/>
    </row>
    <row r="31" spans="1:15" s="86" customFormat="1" ht="10.9" x14ac:dyDescent="0.2">
      <c r="B31" s="73" t="s">
        <v>31</v>
      </c>
      <c r="C31" s="74"/>
      <c r="D31" s="85"/>
      <c r="E31" s="73"/>
      <c r="F31" s="81"/>
      <c r="G31" s="80"/>
      <c r="H31" s="80" t="s">
        <v>48</v>
      </c>
      <c r="I31" s="80"/>
      <c r="J31" s="80"/>
      <c r="K31" s="80"/>
      <c r="L31" s="80"/>
      <c r="M31" s="80"/>
      <c r="N31" s="80"/>
    </row>
    <row r="32" spans="1:15" s="86" customFormat="1" ht="10.9" x14ac:dyDescent="0.2">
      <c r="A32" s="86">
        <v>135</v>
      </c>
      <c r="B32" s="77" t="str">
        <f>VLOOKUP(A32,Plan!A$1:B$65542,2,0)</f>
        <v>Arquitectura</v>
      </c>
      <c r="C32" s="78">
        <f>SUMIFS('Diario Cali'!$E:$E,'Diario Cali'!$C:$C,$A32,'Diario Cali'!$B:$B,C$7)</f>
        <v>45575499</v>
      </c>
      <c r="D32" s="78">
        <f>SUMIFS('Diario Cali'!$E:$E,'Diario Cali'!$C:$C,$A32,'Diario Cali'!$B:$B,D$7)+C32</f>
        <v>45575499</v>
      </c>
      <c r="E32" s="78">
        <f>SUMIFS('Diario Cali'!$E:$E,'Diario Cali'!$C:$C,$A32,'Diario Cali'!$B:$B,E$7)+D32</f>
        <v>45575499</v>
      </c>
      <c r="F32" s="78">
        <f>SUMIFS('Diario Cali'!$E:$E,'Diario Cali'!$C:$C,$A32,'Diario Cali'!$B:$B,F$7)+E32</f>
        <v>45575499</v>
      </c>
      <c r="G32" s="78">
        <f>SUMIFS('Diario Cali'!$E:$E,'Diario Cali'!$C:$C,$A32,'Diario Cali'!$B:$B,G$7)+F32</f>
        <v>45575499</v>
      </c>
      <c r="H32" s="78">
        <f>SUMIFS('Diario Cali'!$E:$E,'Diario Cali'!$C:$C,$A32,'Diario Cali'!$B:$B,H$7)+G32</f>
        <v>45575499</v>
      </c>
      <c r="I32" s="78">
        <f>SUMIFS('Diario Cali'!$E:$E,'Diario Cali'!$C:$C,$A32,'Diario Cali'!$B:$B,I$7)+H32</f>
        <v>48693684</v>
      </c>
      <c r="J32" s="78">
        <f>SUMIFS('Diario Cali'!$E:$E,'Diario Cali'!$C:$C,$A32,'Diario Cali'!$B:$B,J$7)+I32</f>
        <v>48693684</v>
      </c>
      <c r="K32" s="78">
        <f>SUMIFS('Diario Cali'!$E:$E,'Diario Cali'!$C:$C,$A32,'Diario Cali'!$B:$B,K$7)+J32</f>
        <v>48693684</v>
      </c>
      <c r="L32" s="78">
        <f>SUMIFS('Diario Cali'!$E:$E,'Diario Cali'!$C:$C,$A32,'Diario Cali'!$B:$B,L$7)+K32</f>
        <v>48693684</v>
      </c>
      <c r="M32" s="78">
        <f>SUMIFS('Diario Cali'!$E:$E,'Diario Cali'!$C:$C,$A32,'Diario Cali'!$B:$B,M$7)+L32</f>
        <v>48693684</v>
      </c>
      <c r="N32" s="78">
        <f>SUMIFS('Diario Cali'!$E:$E,'Diario Cali'!$C:$C,$A32,'Diario Cali'!$B:$B,N$7)+M32</f>
        <v>48693684</v>
      </c>
    </row>
    <row r="33" spans="1:14" s="86" customFormat="1" ht="10.9" x14ac:dyDescent="0.2">
      <c r="A33" s="86">
        <v>1361</v>
      </c>
      <c r="B33" s="77" t="str">
        <f>VLOOKUP(A33,Plan!A$1:B$65542,2,0)</f>
        <v>Adicionales Obras en Construcción</v>
      </c>
      <c r="C33" s="78">
        <f>SUMIFS('Diario Cali'!$E:$E,'Diario Cali'!$C:$C,$A33,'Diario Cali'!$B:$B,C$7)</f>
        <v>22540273</v>
      </c>
      <c r="D33" s="78">
        <f>SUMIFS('Diario Cali'!$E:$E,'Diario Cali'!$C:$C,$A33,'Diario Cali'!$B:$B,D$7)+C33</f>
        <v>22540273</v>
      </c>
      <c r="E33" s="78">
        <f>SUMIFS('Diario Cali'!$E:$E,'Diario Cali'!$C:$C,$A33,'Diario Cali'!$B:$B,E$7)+D33</f>
        <v>22540273</v>
      </c>
      <c r="F33" s="78">
        <f>SUMIFS('Diario Cali'!$E:$E,'Diario Cali'!$C:$C,$A33,'Diario Cali'!$B:$B,F$7)+E33</f>
        <v>22540273</v>
      </c>
      <c r="G33" s="78">
        <f>SUMIFS('Diario Cali'!$E:$E,'Diario Cali'!$C:$C,$A33,'Diario Cali'!$B:$B,G$7)+F33</f>
        <v>22540273</v>
      </c>
      <c r="H33" s="78">
        <f>SUMIFS('Diario Cali'!$E:$E,'Diario Cali'!$C:$C,$A33,'Diario Cali'!$B:$B,H$7)+G33</f>
        <v>22540273</v>
      </c>
      <c r="I33" s="78">
        <f>SUMIFS('Diario Cali'!$E:$E,'Diario Cali'!$C:$C,$A33,'Diario Cali'!$B:$B,I$7)+H33</f>
        <v>22540273</v>
      </c>
      <c r="J33" s="78">
        <f>SUMIFS('Diario Cali'!$E:$E,'Diario Cali'!$C:$C,$A33,'Diario Cali'!$B:$B,J$7)+I33</f>
        <v>22540273</v>
      </c>
      <c r="K33" s="78">
        <f>SUMIFS('Diario Cali'!$E:$E,'Diario Cali'!$C:$C,$A33,'Diario Cali'!$B:$B,K$7)+J33</f>
        <v>22540273</v>
      </c>
      <c r="L33" s="78">
        <f>SUMIFS('Diario Cali'!$E:$E,'Diario Cali'!$C:$C,$A33,'Diario Cali'!$B:$B,L$7)+K33</f>
        <v>22540273</v>
      </c>
      <c r="M33" s="78">
        <f>SUMIFS('Diario Cali'!$E:$E,'Diario Cali'!$C:$C,$A33,'Diario Cali'!$B:$B,M$7)+L33</f>
        <v>22540273</v>
      </c>
      <c r="N33" s="78">
        <f>SUMIFS('Diario Cali'!$E:$E,'Diario Cali'!$C:$C,$A33,'Diario Cali'!$B:$B,N$7)+M33</f>
        <v>35168415</v>
      </c>
    </row>
    <row r="34" spans="1:14" s="86" customFormat="1" ht="10.9" x14ac:dyDescent="0.2">
      <c r="A34" s="86">
        <v>1362</v>
      </c>
      <c r="B34" s="77" t="str">
        <f>VLOOKUP(A34,Plan!A$1:B$65542,2,0)</f>
        <v>Contribuciones</v>
      </c>
      <c r="C34" s="78">
        <f>SUMIFS('Diario Cali'!$E:$E,'Diario Cali'!$C:$C,$A34,'Diario Cali'!$B:$B,C$7)</f>
        <v>7277007</v>
      </c>
      <c r="D34" s="78">
        <f>SUMIFS('Diario Cali'!$E:$E,'Diario Cali'!$C:$C,$A34,'Diario Cali'!$B:$B,D$7)+C34</f>
        <v>7277007</v>
      </c>
      <c r="E34" s="78">
        <f>SUMIFS('Diario Cali'!$E:$E,'Diario Cali'!$C:$C,$A34,'Diario Cali'!$B:$B,E$7)+D34</f>
        <v>7277007</v>
      </c>
      <c r="F34" s="78">
        <f>SUMIFS('Diario Cali'!$E:$E,'Diario Cali'!$C:$C,$A34,'Diario Cali'!$B:$B,F$7)+E34</f>
        <v>7277007</v>
      </c>
      <c r="G34" s="78">
        <f>SUMIFS('Diario Cali'!$E:$E,'Diario Cali'!$C:$C,$A34,'Diario Cali'!$B:$B,G$7)+F34</f>
        <v>7277007</v>
      </c>
      <c r="H34" s="78">
        <f>SUMIFS('Diario Cali'!$E:$E,'Diario Cali'!$C:$C,$A34,'Diario Cali'!$B:$B,H$7)+G34</f>
        <v>7277007</v>
      </c>
      <c r="I34" s="78">
        <f>SUMIFS('Diario Cali'!$E:$E,'Diario Cali'!$C:$C,$A34,'Diario Cali'!$B:$B,I$7)+H34</f>
        <v>7277007</v>
      </c>
      <c r="J34" s="78">
        <f>SUMIFS('Diario Cali'!$E:$E,'Diario Cali'!$C:$C,$A34,'Diario Cali'!$B:$B,J$7)+I34</f>
        <v>7277007</v>
      </c>
      <c r="K34" s="78">
        <f>SUMIFS('Diario Cali'!$E:$E,'Diario Cali'!$C:$C,$A34,'Diario Cali'!$B:$B,K$7)+J34</f>
        <v>7277007</v>
      </c>
      <c r="L34" s="78">
        <f>SUMIFS('Diario Cali'!$E:$E,'Diario Cali'!$C:$C,$A34,'Diario Cali'!$B:$B,L$7)+K34</f>
        <v>7277007</v>
      </c>
      <c r="M34" s="78">
        <f>SUMIFS('Diario Cali'!$E:$E,'Diario Cali'!$C:$C,$A34,'Diario Cali'!$B:$B,M$7)+L34</f>
        <v>7277007</v>
      </c>
      <c r="N34" s="78">
        <f>SUMIFS('Diario Cali'!$E:$E,'Diario Cali'!$C:$C,$A34,'Diario Cali'!$B:$B,N$7)+M34</f>
        <v>7277007</v>
      </c>
    </row>
    <row r="35" spans="1:14" s="86" customFormat="1" ht="10.9" x14ac:dyDescent="0.2">
      <c r="A35" s="86">
        <v>136</v>
      </c>
      <c r="B35" s="77" t="str">
        <f>VLOOKUP(A35,Plan!A$1:B$65542,2,0)</f>
        <v>Obras en Construcción</v>
      </c>
      <c r="C35" s="78">
        <f>SUMIFS('Diario Cali'!$E:$E,'Diario Cali'!$C:$C,$A35,'Diario Cali'!$B:$B,C$7)</f>
        <v>1073898744</v>
      </c>
      <c r="D35" s="78">
        <f>SUMIFS('Diario Cali'!$E:$E,'Diario Cali'!$C:$C,$A35,'Diario Cali'!$B:$B,D$7)+C35</f>
        <v>1243141955</v>
      </c>
      <c r="E35" s="78">
        <f>SUMIFS('Diario Cali'!$E:$E,'Diario Cali'!$C:$C,$A35,'Diario Cali'!$B:$B,E$7)+D35</f>
        <v>1354892629</v>
      </c>
      <c r="F35" s="78">
        <f>SUMIFS('Diario Cali'!$E:$E,'Diario Cali'!$C:$C,$A35,'Diario Cali'!$B:$B,F$7)+E35</f>
        <v>1524096412</v>
      </c>
      <c r="G35" s="78">
        <f>SUMIFS('Diario Cali'!$E:$E,'Diario Cali'!$C:$C,$A35,'Diario Cali'!$B:$B,G$7)+F35</f>
        <v>1737237226</v>
      </c>
      <c r="H35" s="78">
        <f>SUMIFS('Diario Cali'!$E:$E,'Diario Cali'!$C:$C,$A35,'Diario Cali'!$B:$B,H$7)+G35</f>
        <v>1974796904</v>
      </c>
      <c r="I35" s="78">
        <f>SUMIFS('Diario Cali'!$E:$E,'Diario Cali'!$C:$C,$A35,'Diario Cali'!$B:$B,I$7)+H35</f>
        <v>2121055572</v>
      </c>
      <c r="J35" s="78">
        <f>SUMIFS('Diario Cali'!$E:$E,'Diario Cali'!$C:$C,$A35,'Diario Cali'!$B:$B,J$7)+I35</f>
        <v>2247241687</v>
      </c>
      <c r="K35" s="78">
        <f>SUMIFS('Diario Cali'!$E:$E,'Diario Cali'!$C:$C,$A35,'Diario Cali'!$B:$B,K$7)+J35</f>
        <v>2512365402</v>
      </c>
      <c r="L35" s="78">
        <f>SUMIFS('Diario Cali'!$E:$E,'Diario Cali'!$C:$C,$A35,'Diario Cali'!$B:$B,L$7)+K35</f>
        <v>2572250340</v>
      </c>
      <c r="M35" s="78">
        <f>SUMIFS('Diario Cali'!$E:$E,'Diario Cali'!$C:$C,$A35,'Diario Cali'!$B:$B,M$7)+L35</f>
        <v>2699200559</v>
      </c>
      <c r="N35" s="78">
        <f>SUMIFS('Diario Cali'!$E:$E,'Diario Cali'!$C:$C,$A35,'Diario Cali'!$B:$B,N$7)+M35</f>
        <v>2893526942</v>
      </c>
    </row>
    <row r="36" spans="1:14" s="86" customFormat="1" ht="10.9" x14ac:dyDescent="0.2">
      <c r="A36" s="86">
        <v>138</v>
      </c>
      <c r="B36" s="77" t="str">
        <f>VLOOKUP(A36,Plan!A$1:B$65542,2,0)</f>
        <v>Proyectos Especialidades</v>
      </c>
      <c r="C36" s="78">
        <f>SUMIFS('Diario Cali'!$E:$E,'Diario Cali'!$C:$C,$A36,'Diario Cali'!$B:$B,C$7)</f>
        <v>47911530</v>
      </c>
      <c r="D36" s="78">
        <f>SUMIFS('Diario Cali'!$E:$E,'Diario Cali'!$C:$C,$A36,'Diario Cali'!$B:$B,D$7)+C36</f>
        <v>52200849</v>
      </c>
      <c r="E36" s="78">
        <f>SUMIFS('Diario Cali'!$E:$E,'Diario Cali'!$C:$C,$A36,'Diario Cali'!$B:$B,E$7)+D36</f>
        <v>56444347</v>
      </c>
      <c r="F36" s="78">
        <f>SUMIFS('Diario Cali'!$E:$E,'Diario Cali'!$C:$C,$A36,'Diario Cali'!$B:$B,F$7)+E36</f>
        <v>61265352</v>
      </c>
      <c r="G36" s="78">
        <f>SUMIFS('Diario Cali'!$E:$E,'Diario Cali'!$C:$C,$A36,'Diario Cali'!$B:$B,G$7)+F36</f>
        <v>65541432</v>
      </c>
      <c r="H36" s="78">
        <f>SUMIFS('Diario Cali'!$E:$E,'Diario Cali'!$C:$C,$A36,'Diario Cali'!$B:$B,H$7)+G36</f>
        <v>99833143</v>
      </c>
      <c r="I36" s="78">
        <f>SUMIFS('Diario Cali'!$E:$E,'Diario Cali'!$C:$C,$A36,'Diario Cali'!$B:$B,I$7)+H36</f>
        <v>104141068</v>
      </c>
      <c r="J36" s="78">
        <f>SUMIFS('Diario Cali'!$E:$E,'Diario Cali'!$C:$C,$A36,'Diario Cali'!$B:$B,J$7)+I36</f>
        <v>81753623</v>
      </c>
      <c r="K36" s="78">
        <f>SUMIFS('Diario Cali'!$E:$E,'Diario Cali'!$C:$C,$A36,'Diario Cali'!$B:$B,K$7)+J36</f>
        <v>94215867</v>
      </c>
      <c r="L36" s="78">
        <f>SUMIFS('Diario Cali'!$E:$E,'Diario Cali'!$C:$C,$A36,'Diario Cali'!$B:$B,L$7)+K36</f>
        <v>101712449</v>
      </c>
      <c r="M36" s="78">
        <f>SUMIFS('Diario Cali'!$E:$E,'Diario Cali'!$C:$C,$A36,'Diario Cali'!$B:$B,M$7)+L36</f>
        <v>114612049</v>
      </c>
      <c r="N36" s="78">
        <f>SUMIFS('Diario Cali'!$E:$E,'Diario Cali'!$C:$C,$A36,'Diario Cali'!$B:$B,N$7)+M36</f>
        <v>122150255</v>
      </c>
    </row>
    <row r="37" spans="1:14" s="86" customFormat="1" ht="10.9" x14ac:dyDescent="0.2">
      <c r="B37" s="82" t="s">
        <v>34</v>
      </c>
      <c r="C37" s="83">
        <f t="shared" ref="C37:K37" si="1">SUM(C32:C36)</f>
        <v>1197203053</v>
      </c>
      <c r="D37" s="83">
        <f t="shared" si="1"/>
        <v>1370735583</v>
      </c>
      <c r="E37" s="83">
        <f t="shared" si="1"/>
        <v>1486729755</v>
      </c>
      <c r="F37" s="83">
        <f t="shared" si="1"/>
        <v>1660754543</v>
      </c>
      <c r="G37" s="83">
        <f t="shared" si="1"/>
        <v>1878171437</v>
      </c>
      <c r="H37" s="83">
        <f t="shared" si="1"/>
        <v>2150022826</v>
      </c>
      <c r="I37" s="83">
        <f t="shared" si="1"/>
        <v>2303707604</v>
      </c>
      <c r="J37" s="83">
        <f>SUM(J32:J36)</f>
        <v>2407506274</v>
      </c>
      <c r="K37" s="83">
        <f t="shared" si="1"/>
        <v>2685092233</v>
      </c>
      <c r="L37" s="83">
        <f>SUM(L32:L36)</f>
        <v>2752473753</v>
      </c>
      <c r="M37" s="83">
        <f>SUM(M32:M36)</f>
        <v>2892323572</v>
      </c>
      <c r="N37" s="83">
        <f>SUM(N32:N36)</f>
        <v>3106816303</v>
      </c>
    </row>
    <row r="38" spans="1:14" s="86" customFormat="1" ht="10.9" x14ac:dyDescent="0.2">
      <c r="B38" s="80"/>
      <c r="C38" s="84"/>
      <c r="D38" s="79"/>
      <c r="E38" s="80"/>
      <c r="F38" s="81"/>
      <c r="G38" s="80"/>
      <c r="H38" s="80" t="s">
        <v>48</v>
      </c>
      <c r="I38" s="80"/>
      <c r="J38" s="80"/>
      <c r="K38" s="80"/>
      <c r="L38" s="80"/>
      <c r="M38" s="80"/>
      <c r="N38" s="80"/>
    </row>
    <row r="39" spans="1:14" s="86" customFormat="1" ht="10.9" x14ac:dyDescent="0.2">
      <c r="B39" s="94" t="s">
        <v>38</v>
      </c>
      <c r="C39" s="95">
        <f t="shared" ref="C39:N39" si="2">+C37+C29</f>
        <v>3192216252</v>
      </c>
      <c r="D39" s="95">
        <f t="shared" si="2"/>
        <v>3226409462</v>
      </c>
      <c r="E39" s="95">
        <f t="shared" si="2"/>
        <v>3288374513</v>
      </c>
      <c r="F39" s="95">
        <f t="shared" si="2"/>
        <v>3325605908</v>
      </c>
      <c r="G39" s="95">
        <f t="shared" si="2"/>
        <v>3365859563</v>
      </c>
      <c r="H39" s="95">
        <f t="shared" si="2"/>
        <v>3400862199</v>
      </c>
      <c r="I39" s="95">
        <f t="shared" si="2"/>
        <v>3434416411</v>
      </c>
      <c r="J39" s="95">
        <f t="shared" si="2"/>
        <v>3469114331</v>
      </c>
      <c r="K39" s="95">
        <f t="shared" si="2"/>
        <v>3508453743</v>
      </c>
      <c r="L39" s="95">
        <f t="shared" si="2"/>
        <v>3543056561</v>
      </c>
      <c r="M39" s="95">
        <f t="shared" si="2"/>
        <v>3575540309</v>
      </c>
      <c r="N39" s="95">
        <f t="shared" si="2"/>
        <v>3744601478</v>
      </c>
    </row>
    <row r="40" spans="1:14" s="86" customFormat="1" ht="10.9" x14ac:dyDescent="0.2">
      <c r="B40" s="80"/>
      <c r="C40" s="84"/>
      <c r="E40" s="80"/>
      <c r="F40" s="81"/>
      <c r="G40" s="80"/>
      <c r="H40" s="80" t="s">
        <v>48</v>
      </c>
      <c r="I40" s="80"/>
      <c r="J40" s="80"/>
      <c r="K40" s="80"/>
      <c r="L40" s="80"/>
      <c r="M40" s="80"/>
      <c r="N40" s="80"/>
    </row>
    <row r="41" spans="1:14" s="86" customFormat="1" ht="10.9" x14ac:dyDescent="0.2">
      <c r="B41" s="80"/>
      <c r="C41" s="84"/>
      <c r="D41" s="86" t="s">
        <v>48</v>
      </c>
      <c r="E41" s="80"/>
      <c r="F41" s="81"/>
      <c r="G41" s="80"/>
      <c r="H41" s="80" t="s">
        <v>48</v>
      </c>
      <c r="I41" s="80"/>
      <c r="J41" s="80"/>
      <c r="K41" s="80"/>
      <c r="L41" s="80"/>
      <c r="M41" s="80"/>
      <c r="N41" s="80"/>
    </row>
    <row r="42" spans="1:14" s="86" customFormat="1" ht="10.9" x14ac:dyDescent="0.2">
      <c r="B42" s="96" t="s">
        <v>26</v>
      </c>
      <c r="C42" s="97" t="str">
        <f t="shared" ref="C42:N42" si="3">+C8</f>
        <v>ENERO</v>
      </c>
      <c r="D42" s="98" t="str">
        <f t="shared" si="3"/>
        <v>FEBRERO</v>
      </c>
      <c r="E42" s="96" t="str">
        <f t="shared" si="3"/>
        <v>MARZO</v>
      </c>
      <c r="F42" s="98" t="str">
        <f t="shared" si="3"/>
        <v>ABRIL</v>
      </c>
      <c r="G42" s="96" t="str">
        <f t="shared" si="3"/>
        <v>MAYO</v>
      </c>
      <c r="H42" s="96" t="str">
        <f t="shared" si="3"/>
        <v>JUNIO</v>
      </c>
      <c r="I42" s="96" t="str">
        <f t="shared" si="3"/>
        <v>JULIO</v>
      </c>
      <c r="J42" s="96" t="str">
        <f t="shared" si="3"/>
        <v>AGOSTO</v>
      </c>
      <c r="K42" s="96" t="str">
        <f t="shared" si="3"/>
        <v>SEPTIEMBRE</v>
      </c>
      <c r="L42" s="96" t="str">
        <f t="shared" si="3"/>
        <v>OCTUBRE</v>
      </c>
      <c r="M42" s="96" t="str">
        <f t="shared" si="3"/>
        <v>NOVIEMBRE</v>
      </c>
      <c r="N42" s="96" t="str">
        <f t="shared" si="3"/>
        <v>DICIEMBRE</v>
      </c>
    </row>
    <row r="43" spans="1:14" s="86" customFormat="1" ht="10.9" x14ac:dyDescent="0.2">
      <c r="B43" s="73"/>
      <c r="C43" s="72"/>
      <c r="D43" s="92" t="s">
        <v>48</v>
      </c>
      <c r="E43" s="80"/>
      <c r="F43" s="81"/>
      <c r="G43" s="80"/>
      <c r="H43" s="80" t="s">
        <v>48</v>
      </c>
      <c r="I43" s="80"/>
      <c r="J43" s="80"/>
      <c r="K43" s="80"/>
      <c r="L43" s="80"/>
      <c r="M43" s="80"/>
      <c r="N43" s="80"/>
    </row>
    <row r="44" spans="1:14" s="86" customFormat="1" ht="10.9" x14ac:dyDescent="0.2">
      <c r="B44" s="73" t="s">
        <v>29</v>
      </c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</row>
    <row r="45" spans="1:14" s="86" customFormat="1" ht="10.9" x14ac:dyDescent="0.2">
      <c r="A45" s="86">
        <v>201</v>
      </c>
      <c r="B45" s="77" t="str">
        <f>VLOOKUP(A45,Plan!A$1:B$65542,2,0)</f>
        <v>1% por pagar</v>
      </c>
      <c r="C45" s="78">
        <f>-SUMIFS('Diario Cali'!$E:$E,'Diario Cali'!$C:$C,$A45,'Diario Cali'!$B:$B,C$7)</f>
        <v>193102</v>
      </c>
      <c r="D45" s="78">
        <f>-SUMIFS('Diario Cali'!$E:$E,'Diario Cali'!$C:$C,$A45,'Diario Cali'!$B:$B,D$7)+C45</f>
        <v>119400</v>
      </c>
      <c r="E45" s="78">
        <f>-SUMIFS('Diario Cali'!$E:$E,'Diario Cali'!$C:$C,$A45,'Diario Cali'!$B:$B,E$7)+D45</f>
        <v>147730</v>
      </c>
      <c r="F45" s="78">
        <f>-SUMIFS('Diario Cali'!$E:$E,'Diario Cali'!$C:$C,$A45,'Diario Cali'!$B:$B,F$7)+E45</f>
        <v>146810</v>
      </c>
      <c r="G45" s="78">
        <f>-SUMIFS('Diario Cali'!$E:$E,'Diario Cali'!$C:$C,$A45,'Diario Cali'!$B:$B,G$7)+F45</f>
        <v>169584</v>
      </c>
      <c r="H45" s="78">
        <f>-SUMIFS('Diario Cali'!$E:$E,'Diario Cali'!$C:$C,$A45,'Diario Cali'!$B:$B,H$7)+G45</f>
        <v>154548</v>
      </c>
      <c r="I45" s="78">
        <f>-SUMIFS('Diario Cali'!$E:$E,'Diario Cali'!$C:$C,$A45,'Diario Cali'!$B:$B,I$7)+H45</f>
        <v>160904</v>
      </c>
      <c r="J45" s="78">
        <f>-SUMIFS('Diario Cali'!$E:$E,'Diario Cali'!$C:$C,$A45,'Diario Cali'!$B:$B,J$7)+I45</f>
        <v>172459</v>
      </c>
      <c r="K45" s="78">
        <f>-SUMIFS('Diario Cali'!$E:$E,'Diario Cali'!$C:$C,$A45,'Diario Cali'!$B:$B,K$7)+J45</f>
        <v>161849</v>
      </c>
      <c r="L45" s="78">
        <f>-SUMIFS('Diario Cali'!$E:$E,'Diario Cali'!$C:$C,$A45,'Diario Cali'!$B:$B,L$7)+K45</f>
        <v>175141</v>
      </c>
      <c r="M45" s="78">
        <f>-SUMIFS('Diario Cali'!$E:$E,'Diario Cali'!$C:$C,$A45,'Diario Cali'!$B:$B,M$7)+L45</f>
        <v>182617</v>
      </c>
      <c r="N45" s="78">
        <f>-SUMIFS('Diario Cali'!$E:$E,'Diario Cali'!$C:$C,$A45,'Diario Cali'!$B:$B,N$7)+M45</f>
        <v>177466</v>
      </c>
    </row>
    <row r="46" spans="1:14" s="86" customFormat="1" ht="10.9" x14ac:dyDescent="0.2">
      <c r="A46" s="86">
        <v>202</v>
      </c>
      <c r="B46" s="77" t="str">
        <f>VLOOKUP(A46,Plan!A$1:B$65542,2,0)</f>
        <v>Arzobispado por pagar</v>
      </c>
      <c r="C46" s="78">
        <f>-SUMIFS('Diario Cali'!$E:$E,'Diario Cali'!$C:$C,$A46,'Diario Cali'!$B:$B,C$7)</f>
        <v>2938656</v>
      </c>
      <c r="D46" s="78">
        <f>-SUMIFS('Diario Cali'!$E:$E,'Diario Cali'!$C:$C,$A46,'Diario Cali'!$B:$B,D$7)+C46</f>
        <v>2817252</v>
      </c>
      <c r="E46" s="78">
        <f>-SUMIFS('Diario Cali'!$E:$E,'Diario Cali'!$C:$C,$A46,'Diario Cali'!$B:$B,E$7)+D46</f>
        <v>2984000</v>
      </c>
      <c r="F46" s="78">
        <f>-SUMIFS('Diario Cali'!$E:$E,'Diario Cali'!$C:$C,$A46,'Diario Cali'!$B:$B,F$7)+E46</f>
        <v>3294507</v>
      </c>
      <c r="G46" s="78">
        <f>-SUMIFS('Diario Cali'!$E:$E,'Diario Cali'!$C:$C,$A46,'Diario Cali'!$B:$B,G$7)+F46</f>
        <v>4241406</v>
      </c>
      <c r="H46" s="78">
        <f>-SUMIFS('Diario Cali'!$E:$E,'Diario Cali'!$C:$C,$A46,'Diario Cali'!$B:$B,H$7)+G46</f>
        <v>3556825</v>
      </c>
      <c r="I46" s="78">
        <f>-SUMIFS('Diario Cali'!$E:$E,'Diario Cali'!$C:$C,$A46,'Diario Cali'!$B:$B,I$7)+H46</f>
        <v>2979035.5300000003</v>
      </c>
      <c r="J46" s="78">
        <f>-SUMIFS('Diario Cali'!$E:$E,'Diario Cali'!$C:$C,$A46,'Diario Cali'!$B:$B,J$7)+I46</f>
        <v>3050909.5300000003</v>
      </c>
      <c r="K46" s="78">
        <f>-SUMIFS('Diario Cali'!$E:$E,'Diario Cali'!$C:$C,$A46,'Diario Cali'!$B:$B,K$7)+J46</f>
        <v>2918289.5300000003</v>
      </c>
      <c r="L46" s="78">
        <f>-SUMIFS('Diario Cali'!$E:$E,'Diario Cali'!$C:$C,$A46,'Diario Cali'!$B:$B,L$7)+K46</f>
        <v>2967796.5300000003</v>
      </c>
      <c r="M46" s="78">
        <f>-SUMIFS('Diario Cali'!$E:$E,'Diario Cali'!$C:$C,$A46,'Diario Cali'!$B:$B,M$7)+L46</f>
        <v>3093510.5300000003</v>
      </c>
      <c r="N46" s="78">
        <f>-SUMIFS('Diario Cali'!$E:$E,'Diario Cali'!$C:$C,$A46,'Diario Cali'!$B:$B,N$7)+M46</f>
        <v>2999368.5300000003</v>
      </c>
    </row>
    <row r="47" spans="1:14" s="86" customFormat="1" ht="10.9" x14ac:dyDescent="0.2">
      <c r="A47" s="86">
        <v>203</v>
      </c>
      <c r="B47" s="77" t="str">
        <f>VLOOKUP(A47,Plan!A$1:B$65542,2,0)</f>
        <v>Recaudadoras por pagar</v>
      </c>
      <c r="C47" s="78">
        <f>-SUMIFS('Diario Cali'!$E:$E,'Diario Cali'!$C:$C,$A47,'Diario Cali'!$B:$B,C$7)</f>
        <v>50208</v>
      </c>
      <c r="D47" s="78">
        <f>-SUMIFS('Diario Cali'!$E:$E,'Diario Cali'!$C:$C,$A47,'Diario Cali'!$B:$B,D$7)+C47</f>
        <v>57168</v>
      </c>
      <c r="E47" s="78">
        <f>-SUMIFS('Diario Cali'!$E:$E,'Diario Cali'!$C:$C,$A47,'Diario Cali'!$B:$B,E$7)+D47</f>
        <v>69768</v>
      </c>
      <c r="F47" s="78">
        <f>-SUMIFS('Diario Cali'!$E:$E,'Diario Cali'!$C:$C,$A47,'Diario Cali'!$B:$B,F$7)+E47</f>
        <v>66648</v>
      </c>
      <c r="G47" s="78">
        <f>-SUMIFS('Diario Cali'!$E:$E,'Diario Cali'!$C:$C,$A47,'Diario Cali'!$B:$B,G$7)+F47</f>
        <v>57288</v>
      </c>
      <c r="H47" s="78">
        <f>-SUMIFS('Diario Cali'!$E:$E,'Diario Cali'!$C:$C,$A47,'Diario Cali'!$B:$B,H$7)+G47</f>
        <v>68688</v>
      </c>
      <c r="I47" s="78">
        <f>-SUMIFS('Diario Cali'!$E:$E,'Diario Cali'!$C:$C,$A47,'Diario Cali'!$B:$B,I$7)+H47</f>
        <v>81408</v>
      </c>
      <c r="J47" s="78">
        <f>-SUMIFS('Diario Cali'!$E:$E,'Diario Cali'!$C:$C,$A47,'Diario Cali'!$B:$B,J$7)+I47</f>
        <v>72168</v>
      </c>
      <c r="K47" s="78">
        <f>-SUMIFS('Diario Cali'!$E:$E,'Diario Cali'!$C:$C,$A47,'Diario Cali'!$B:$B,K$7)+J47</f>
        <v>54768</v>
      </c>
      <c r="L47" s="78">
        <f>-SUMIFS('Diario Cali'!$E:$E,'Diario Cali'!$C:$C,$A47,'Diario Cali'!$B:$B,L$7)+K47</f>
        <v>67368</v>
      </c>
      <c r="M47" s="78">
        <f>-SUMIFS('Diario Cali'!$E:$E,'Diario Cali'!$C:$C,$A47,'Diario Cali'!$B:$B,M$7)+L47</f>
        <v>70968</v>
      </c>
      <c r="N47" s="78">
        <f>-SUMIFS('Diario Cali'!$E:$E,'Diario Cali'!$C:$C,$A47,'Diario Cali'!$B:$B,N$7)+M47</f>
        <v>75768</v>
      </c>
    </row>
    <row r="48" spans="1:14" s="86" customFormat="1" ht="10.9" x14ac:dyDescent="0.2">
      <c r="A48" s="86">
        <v>204</v>
      </c>
      <c r="B48" s="77" t="str">
        <f>VLOOKUP(A48,Plan!A$1:B$65542,2,0)</f>
        <v>Retención Honorarios Cali</v>
      </c>
      <c r="C48" s="78">
        <f>-SUMIFS('Diario Cali'!$E:$E,'Diario Cali'!$C:$C,$A48,'Diario Cali'!$B:$B,C$7)</f>
        <v>28192</v>
      </c>
      <c r="D48" s="78">
        <f>-SUMIFS('Diario Cali'!$E:$E,'Diario Cali'!$C:$C,$A48,'Diario Cali'!$B:$B,D$7)+C48</f>
        <v>51262</v>
      </c>
      <c r="E48" s="78">
        <f>-SUMIFS('Diario Cali'!$E:$E,'Diario Cali'!$C:$C,$A48,'Diario Cali'!$B:$B,E$7)+D48</f>
        <v>117035</v>
      </c>
      <c r="F48" s="78">
        <f>-SUMIFS('Diario Cali'!$E:$E,'Diario Cali'!$C:$C,$A48,'Diario Cali'!$B:$B,F$7)+E48</f>
        <v>72321</v>
      </c>
      <c r="G48" s="78">
        <f>-SUMIFS('Diario Cali'!$E:$E,'Diario Cali'!$C:$C,$A48,'Diario Cali'!$B:$B,G$7)+F48</f>
        <v>66148</v>
      </c>
      <c r="H48" s="78">
        <f>-SUMIFS('Diario Cali'!$E:$E,'Diario Cali'!$C:$C,$A48,'Diario Cali'!$B:$B,H$7)+G48</f>
        <v>6596</v>
      </c>
      <c r="I48" s="78">
        <f>-SUMIFS('Diario Cali'!$E:$E,'Diario Cali'!$C:$C,$A48,'Diario Cali'!$B:$B,I$7)+H48</f>
        <v>46890</v>
      </c>
      <c r="J48" s="78">
        <f>-SUMIFS('Diario Cali'!$E:$E,'Diario Cali'!$C:$C,$A48,'Diario Cali'!$B:$B,J$7)+I48</f>
        <v>48353</v>
      </c>
      <c r="K48" s="78">
        <f>-SUMIFS('Diario Cali'!$E:$E,'Diario Cali'!$C:$C,$A48,'Diario Cali'!$B:$B,K$7)+J48</f>
        <v>47291</v>
      </c>
      <c r="L48" s="78">
        <f>-SUMIFS('Diario Cali'!$E:$E,'Diario Cali'!$C:$C,$A48,'Diario Cali'!$B:$B,L$7)+K48</f>
        <v>45290</v>
      </c>
      <c r="M48" s="78">
        <f>-SUMIFS('Diario Cali'!$E:$E,'Diario Cali'!$C:$C,$A48,'Diario Cali'!$B:$B,M$7)+L48</f>
        <v>46739</v>
      </c>
      <c r="N48" s="78">
        <f>-SUMIFS('Diario Cali'!$E:$E,'Diario Cali'!$C:$C,$A48,'Diario Cali'!$B:$B,N$7)+M48</f>
        <v>47153</v>
      </c>
    </row>
    <row r="49" spans="1:15" s="86" customFormat="1" ht="10.9" x14ac:dyDescent="0.2">
      <c r="A49" s="86">
        <v>205</v>
      </c>
      <c r="B49" s="77" t="str">
        <f>VLOOKUP(A49,Plan!A$1:B$65542,2,0)</f>
        <v>Honorarios por pagar Cali</v>
      </c>
      <c r="C49" s="78">
        <f>-SUMIFS('Diario Cali'!$E:$E,'Diario Cali'!$C:$C,$A49,'Diario Cali'!$B:$B,C$7)</f>
        <v>0</v>
      </c>
      <c r="D49" s="78">
        <f>-SUMIFS('Diario Cali'!$E:$E,'Diario Cali'!$C:$C,$A49,'Diario Cali'!$B:$B,D$7)+C49</f>
        <v>0</v>
      </c>
      <c r="E49" s="78">
        <f>-SUMIFS('Diario Cali'!$E:$E,'Diario Cali'!$C:$C,$A49,'Diario Cali'!$B:$B,E$7)+D49</f>
        <v>600000</v>
      </c>
      <c r="F49" s="78">
        <f>-SUMIFS('Diario Cali'!$E:$E,'Diario Cali'!$C:$C,$A49,'Diario Cali'!$B:$B,F$7)+E49</f>
        <v>0</v>
      </c>
      <c r="G49" s="78">
        <f>-SUMIFS('Diario Cali'!$E:$E,'Diario Cali'!$C:$C,$A49,'Diario Cali'!$B:$B,G$7)+F49</f>
        <v>0</v>
      </c>
      <c r="H49" s="78">
        <f>-SUMIFS('Diario Cali'!$E:$E,'Diario Cali'!$C:$C,$A49,'Diario Cali'!$B:$B,H$7)+G49</f>
        <v>0</v>
      </c>
      <c r="I49" s="78">
        <f>-SUMIFS('Diario Cali'!$E:$E,'Diario Cali'!$C:$C,$A49,'Diario Cali'!$B:$B,I$7)+H49</f>
        <v>0</v>
      </c>
      <c r="J49" s="78">
        <f>-SUMIFS('Diario Cali'!$E:$E,'Diario Cali'!$C:$C,$A49,'Diario Cali'!$B:$B,J$7)+I49</f>
        <v>0</v>
      </c>
      <c r="K49" s="78">
        <f>-SUMIFS('Diario Cali'!$E:$E,'Diario Cali'!$C:$C,$A49,'Diario Cali'!$B:$B,K$7)+J49</f>
        <v>0</v>
      </c>
      <c r="L49" s="78">
        <f>-SUMIFS('Diario Cali'!$E:$E,'Diario Cali'!$C:$C,$A49,'Diario Cali'!$B:$B,L$7)+K49</f>
        <v>300000</v>
      </c>
      <c r="M49" s="78">
        <f>-SUMIFS('Diario Cali'!$E:$E,'Diario Cali'!$C:$C,$A49,'Diario Cali'!$B:$B,M$7)+L49</f>
        <v>0</v>
      </c>
      <c r="N49" s="78">
        <f>-SUMIFS('Diario Cali'!$E:$E,'Diario Cali'!$C:$C,$A49,'Diario Cali'!$B:$B,N$7)+M49</f>
        <v>0</v>
      </c>
    </row>
    <row r="50" spans="1:15" s="86" customFormat="1" ht="10.9" x14ac:dyDescent="0.2">
      <c r="A50" s="86">
        <v>228</v>
      </c>
      <c r="B50" s="77" t="str">
        <f>VLOOKUP(A50,Plan!A$1:B$65542,2,0)</f>
        <v>Proveedores CALI</v>
      </c>
      <c r="C50" s="78">
        <f>-SUMIFS('Diario Cali'!$E:$E,'Diario Cali'!$C:$C,$A50,'Diario Cali'!$B:$B,C$7)</f>
        <v>0</v>
      </c>
      <c r="D50" s="78">
        <f>-SUMIFS('Diario Cali'!$E:$E,'Diario Cali'!$C:$C,$A50,'Diario Cali'!$B:$B,D$7)+C50</f>
        <v>4222126</v>
      </c>
      <c r="E50" s="78">
        <f>-SUMIFS('Diario Cali'!$E:$E,'Diario Cali'!$C:$C,$A50,'Diario Cali'!$B:$B,E$7)+D50</f>
        <v>0</v>
      </c>
      <c r="F50" s="78">
        <f>-SUMIFS('Diario Cali'!$E:$E,'Diario Cali'!$C:$C,$A50,'Diario Cali'!$B:$B,F$7)+E50</f>
        <v>0</v>
      </c>
      <c r="G50" s="78">
        <f>-SUMIFS('Diario Cali'!$E:$E,'Diario Cali'!$C:$C,$A50,'Diario Cali'!$B:$B,G$7)+F50</f>
        <v>0</v>
      </c>
      <c r="H50" s="78">
        <f>-SUMIFS('Diario Cali'!$E:$E,'Diario Cali'!$C:$C,$A50,'Diario Cali'!$B:$B,H$7)+G50</f>
        <v>224</v>
      </c>
      <c r="I50" s="78">
        <f>-SUMIFS('Diario Cali'!$E:$E,'Diario Cali'!$C:$C,$A50,'Diario Cali'!$B:$B,I$7)+H50</f>
        <v>224</v>
      </c>
      <c r="J50" s="78">
        <f>-SUMIFS('Diario Cali'!$E:$E,'Diario Cali'!$C:$C,$A50,'Diario Cali'!$B:$B,J$7)+I50</f>
        <v>0</v>
      </c>
      <c r="K50" s="78">
        <f>-SUMIFS('Diario Cali'!$E:$E,'Diario Cali'!$C:$C,$A50,'Diario Cali'!$B:$B,K$7)+J50</f>
        <v>0</v>
      </c>
      <c r="L50" s="78">
        <f>-SUMIFS('Diario Cali'!$E:$E,'Diario Cali'!$C:$C,$A50,'Diario Cali'!$B:$B,L$7)+K50</f>
        <v>0</v>
      </c>
      <c r="M50" s="78">
        <f>-SUMIFS('Diario Cali'!$E:$E,'Diario Cali'!$C:$C,$A50,'Diario Cali'!$B:$B,M$7)+L50</f>
        <v>0</v>
      </c>
      <c r="N50" s="78">
        <f>-SUMIFS('Diario Cali'!$E:$E,'Diario Cali'!$C:$C,$A50,'Diario Cali'!$B:$B,N$7)+M50</f>
        <v>0</v>
      </c>
    </row>
    <row r="51" spans="1:15" s="86" customFormat="1" ht="10.9" x14ac:dyDescent="0.2">
      <c r="A51" s="86">
        <v>210</v>
      </c>
      <c r="B51" s="77" t="str">
        <f>VLOOKUP(A51,Plan!A$1:B$65542,2,0)</f>
        <v>Retenciones Construcción</v>
      </c>
      <c r="C51" s="78">
        <f>-SUMIFS('Diario Cali'!$E:$E,'Diario Cali'!$C:$C,$A51,'Diario Cali'!$B:$B,C$7)</f>
        <v>36390530</v>
      </c>
      <c r="D51" s="78">
        <f>-SUMIFS('Diario Cali'!$E:$E,'Diario Cali'!$C:$C,$A51,'Diario Cali'!$B:$B,D$7)+C51</f>
        <v>43676125</v>
      </c>
      <c r="E51" s="78">
        <f>-SUMIFS('Diario Cali'!$E:$E,'Diario Cali'!$C:$C,$A51,'Diario Cali'!$B:$B,E$7)+D51</f>
        <v>48486870</v>
      </c>
      <c r="F51" s="78">
        <f>-SUMIFS('Diario Cali'!$E:$E,'Diario Cali'!$C:$C,$A51,'Diario Cali'!$B:$B,F$7)+E51</f>
        <v>55770600</v>
      </c>
      <c r="G51" s="78">
        <f>-SUMIFS('Diario Cali'!$E:$E,'Diario Cali'!$C:$C,$A51,'Diario Cali'!$B:$B,G$7)+F51</f>
        <v>64999903</v>
      </c>
      <c r="H51" s="78">
        <f>-SUMIFS('Diario Cali'!$E:$E,'Diario Cali'!$C:$C,$A51,'Diario Cali'!$B:$B,H$7)+G51</f>
        <v>75286661</v>
      </c>
      <c r="I51" s="78">
        <f>-SUMIFS('Diario Cali'!$E:$E,'Diario Cali'!$C:$C,$A51,'Diario Cali'!$B:$B,I$7)+H51</f>
        <v>81619905</v>
      </c>
      <c r="J51" s="78">
        <f>-SUMIFS('Diario Cali'!$E:$E,'Diario Cali'!$C:$C,$A51,'Diario Cali'!$B:$B,J$7)+I51</f>
        <v>87083705</v>
      </c>
      <c r="K51" s="78">
        <f>-SUMIFS('Diario Cali'!$E:$E,'Diario Cali'!$C:$C,$A51,'Diario Cali'!$B:$B,K$7)+J51</f>
        <v>98564108</v>
      </c>
      <c r="L51" s="78">
        <f>-SUMIFS('Diario Cali'!$E:$E,'Diario Cali'!$C:$C,$A51,'Diario Cali'!$B:$B,L$7)+K51</f>
        <v>101157124</v>
      </c>
      <c r="M51" s="78">
        <f>-SUMIFS('Diario Cali'!$E:$E,'Diario Cali'!$C:$C,$A51,'Diario Cali'!$B:$B,M$7)+L51</f>
        <v>106654177</v>
      </c>
      <c r="N51" s="78">
        <f>-SUMIFS('Diario Cali'!$E:$E,'Diario Cali'!$C:$C,$A51,'Diario Cali'!$B:$B,N$7)+M51</f>
        <v>120720265.3176</v>
      </c>
    </row>
    <row r="52" spans="1:15" s="86" customFormat="1" ht="10.9" x14ac:dyDescent="0.2">
      <c r="A52" s="86">
        <v>216</v>
      </c>
      <c r="B52" s="77" t="str">
        <f>VLOOKUP(A52,Plan!A$1:B$65542,2,0)</f>
        <v>Cuenta por Pagar a Administración Colectas</v>
      </c>
      <c r="C52" s="78">
        <f>-SUMIFS('Diario Cali'!$E:$E,'Diario Cali'!$C:$C,$A52,'Diario Cali'!$B:$B,C$7)</f>
        <v>2076084</v>
      </c>
      <c r="D52" s="78">
        <f>-SUMIFS('Diario Cali'!$E:$E,'Diario Cali'!$C:$C,$A52,'Diario Cali'!$B:$B,D$7)+C52</f>
        <v>2168084</v>
      </c>
      <c r="E52" s="78">
        <f>-SUMIFS('Diario Cali'!$E:$E,'Diario Cali'!$C:$C,$A52,'Diario Cali'!$B:$B,E$7)+D52</f>
        <v>2314084</v>
      </c>
      <c r="F52" s="78">
        <f>-SUMIFS('Diario Cali'!$E:$E,'Diario Cali'!$C:$C,$A52,'Diario Cali'!$B:$B,F$7)+E52</f>
        <v>2498130</v>
      </c>
      <c r="G52" s="78">
        <f>-SUMIFS('Diario Cali'!$E:$E,'Diario Cali'!$C:$C,$A52,'Diario Cali'!$B:$B,G$7)+F52</f>
        <v>2731652</v>
      </c>
      <c r="H52" s="78">
        <f>-SUMIFS('Diario Cali'!$E:$E,'Diario Cali'!$C:$C,$A52,'Diario Cali'!$B:$B,H$7)+G52</f>
        <v>2776652</v>
      </c>
      <c r="I52" s="78">
        <f>-SUMIFS('Diario Cali'!$E:$E,'Diario Cali'!$C:$C,$A52,'Diario Cali'!$B:$B,I$7)+H52</f>
        <v>2825652</v>
      </c>
      <c r="J52" s="78">
        <f>-SUMIFS('Diario Cali'!$E:$E,'Diario Cali'!$C:$C,$A52,'Diario Cali'!$B:$B,J$7)+I52</f>
        <v>3005652</v>
      </c>
      <c r="K52" s="78">
        <f>-SUMIFS('Diario Cali'!$E:$E,'Diario Cali'!$C:$C,$A52,'Diario Cali'!$B:$B,K$7)+J52</f>
        <v>3176152</v>
      </c>
      <c r="L52" s="78">
        <f>-SUMIFS('Diario Cali'!$E:$E,'Diario Cali'!$C:$C,$A52,'Diario Cali'!$B:$B,L$7)+K52</f>
        <v>3231652</v>
      </c>
      <c r="M52" s="78">
        <f>-SUMIFS('Diario Cali'!$E:$E,'Diario Cali'!$C:$C,$A52,'Diario Cali'!$B:$B,M$7)+L52</f>
        <v>3257652</v>
      </c>
      <c r="N52" s="78">
        <f>-SUMIFS('Diario Cali'!$E:$E,'Diario Cali'!$C:$C,$A52,'Diario Cali'!$B:$B,N$7)+M52</f>
        <v>0</v>
      </c>
    </row>
    <row r="53" spans="1:15" s="86" customFormat="1" ht="10.9" x14ac:dyDescent="0.2">
      <c r="A53" s="86">
        <v>217</v>
      </c>
      <c r="B53" s="77" t="str">
        <f>VLOOKUP(A53,Plan!A$1:B$65542,2,0)</f>
        <v>Cuenta por Pagar a Administración Canastas</v>
      </c>
      <c r="C53" s="78">
        <f>-SUMIFS('Diario Cali'!$E:$E,'Diario Cali'!$C:$C,$A53,'Diario Cali'!$B:$B,C$7)</f>
        <v>595000</v>
      </c>
      <c r="D53" s="78">
        <f>-SUMIFS('Diario Cali'!$E:$E,'Diario Cali'!$C:$C,$A53,'Diario Cali'!$B:$B,D$7)+C53</f>
        <v>595000</v>
      </c>
      <c r="E53" s="78">
        <f>-SUMIFS('Diario Cali'!$E:$E,'Diario Cali'!$C:$C,$A53,'Diario Cali'!$B:$B,E$7)+D53</f>
        <v>595000</v>
      </c>
      <c r="F53" s="78">
        <f>-SUMIFS('Diario Cali'!$E:$E,'Diario Cali'!$C:$C,$A53,'Diario Cali'!$B:$B,F$7)+E53</f>
        <v>615000</v>
      </c>
      <c r="G53" s="78">
        <f>-SUMIFS('Diario Cali'!$E:$E,'Diario Cali'!$C:$C,$A53,'Diario Cali'!$B:$B,G$7)+F53</f>
        <v>685000</v>
      </c>
      <c r="H53" s="78">
        <f>-SUMIFS('Diario Cali'!$E:$E,'Diario Cali'!$C:$C,$A53,'Diario Cali'!$B:$B,H$7)+G53</f>
        <v>745000</v>
      </c>
      <c r="I53" s="78">
        <f>-SUMIFS('Diario Cali'!$E:$E,'Diario Cali'!$C:$C,$A53,'Diario Cali'!$B:$B,I$7)+H53</f>
        <v>765000</v>
      </c>
      <c r="J53" s="78">
        <f>-SUMIFS('Diario Cali'!$E:$E,'Diario Cali'!$C:$C,$A53,'Diario Cali'!$B:$B,J$7)+I53</f>
        <v>765000</v>
      </c>
      <c r="K53" s="78">
        <f>-SUMIFS('Diario Cali'!$E:$E,'Diario Cali'!$C:$C,$A53,'Diario Cali'!$B:$B,K$7)+J53</f>
        <v>765000</v>
      </c>
      <c r="L53" s="78">
        <f>-SUMIFS('Diario Cali'!$E:$E,'Diario Cali'!$C:$C,$A53,'Diario Cali'!$B:$B,L$7)+K53</f>
        <v>765000</v>
      </c>
      <c r="M53" s="78">
        <f>-SUMIFS('Diario Cali'!$E:$E,'Diario Cali'!$C:$C,$A53,'Diario Cali'!$B:$B,M$7)+L53</f>
        <v>765000</v>
      </c>
      <c r="N53" s="78">
        <f>-SUMIFS('Diario Cali'!$E:$E,'Diario Cali'!$C:$C,$A53,'Diario Cali'!$B:$B,N$7)+M53</f>
        <v>0</v>
      </c>
    </row>
    <row r="54" spans="1:15" s="86" customFormat="1" ht="10.9" x14ac:dyDescent="0.2">
      <c r="A54" s="86">
        <v>226</v>
      </c>
      <c r="B54" s="77" t="str">
        <f>VLOOKUP(A54,Plan!A$1:B$65542,2,0)</f>
        <v>Provisión Honorarios Administración</v>
      </c>
      <c r="C54" s="78">
        <f>-SUMIFS('Diario Cali'!$E:$E,'Diario Cali'!$C:$C,$A54,'Diario Cali'!$B:$B,C$7)</f>
        <v>0</v>
      </c>
      <c r="D54" s="78">
        <f>-SUMIFS('Diario Cali'!$E:$E,'Diario Cali'!$C:$C,$A54,'Diario Cali'!$B:$B,D$7)+C54</f>
        <v>0</v>
      </c>
      <c r="E54" s="78">
        <f>-SUMIFS('Diario Cali'!$E:$E,'Diario Cali'!$C:$C,$A54,'Diario Cali'!$B:$B,E$7)+D54</f>
        <v>0</v>
      </c>
      <c r="F54" s="78">
        <f>-SUMIFS('Diario Cali'!$E:$E,'Diario Cali'!$C:$C,$A54,'Diario Cali'!$B:$B,F$7)+E54</f>
        <v>0</v>
      </c>
      <c r="G54" s="78">
        <f>-SUMIFS('Diario Cali'!$E:$E,'Diario Cali'!$C:$C,$A54,'Diario Cali'!$B:$B,G$7)+F54</f>
        <v>0</v>
      </c>
      <c r="H54" s="78">
        <f>-SUMIFS('Diario Cali'!$E:$E,'Diario Cali'!$C:$C,$A54,'Diario Cali'!$B:$B,H$7)+G54</f>
        <v>0</v>
      </c>
      <c r="I54" s="78">
        <f>-SUMIFS('Diario Cali'!$E:$E,'Diario Cali'!$C:$C,$A54,'Diario Cali'!$B:$B,I$7)+H54</f>
        <v>0</v>
      </c>
      <c r="J54" s="78">
        <f>-SUMIFS('Diario Cali'!$E:$E,'Diario Cali'!$C:$C,$A54,'Diario Cali'!$B:$B,J$7)+I54</f>
        <v>0</v>
      </c>
      <c r="K54" s="78">
        <f>-SUMIFS('Diario Cali'!$E:$E,'Diario Cali'!$C:$C,$A54,'Diario Cali'!$B:$B,K$7)+J54</f>
        <v>0</v>
      </c>
      <c r="L54" s="78">
        <f>-SUMIFS('Diario Cali'!$E:$E,'Diario Cali'!$C:$C,$A54,'Diario Cali'!$B:$B,L$7)+K54</f>
        <v>0</v>
      </c>
      <c r="M54" s="78">
        <f>-SUMIFS('Diario Cali'!$E:$E,'Diario Cali'!$C:$C,$A54,'Diario Cali'!$B:$B,M$7)+L54</f>
        <v>0</v>
      </c>
      <c r="N54" s="78">
        <f>-SUMIFS('Diario Cali'!$E:$E,'Diario Cali'!$C:$C,$A54,'Diario Cali'!$B:$B,N$7)+M54</f>
        <v>0</v>
      </c>
    </row>
    <row r="55" spans="1:15" s="86" customFormat="1" ht="10.9" x14ac:dyDescent="0.2">
      <c r="A55" s="86">
        <v>227</v>
      </c>
      <c r="B55" s="77" t="str">
        <f>VLOOKUP(A55,Plan!A$1:B$65542,2,0)</f>
        <v>Provisión Honorarios Cali</v>
      </c>
      <c r="C55" s="78">
        <f>-SUMIFS('Diario Cali'!$E:$E,'Diario Cali'!$C:$C,$A55,'Diario Cali'!$B:$B,C$7)</f>
        <v>0</v>
      </c>
      <c r="D55" s="78">
        <f>-SUMIFS('Diario Cali'!$E:$E,'Diario Cali'!$C:$C,$A55,'Diario Cali'!$B:$B,D$7)+C55</f>
        <v>100000</v>
      </c>
      <c r="E55" s="78">
        <f>-SUMIFS('Diario Cali'!$E:$E,'Diario Cali'!$C:$C,$A55,'Diario Cali'!$B:$B,E$7)+D55</f>
        <v>0</v>
      </c>
      <c r="F55" s="78">
        <f>-SUMIFS('Diario Cali'!$E:$E,'Diario Cali'!$C:$C,$A55,'Diario Cali'!$B:$B,F$7)+E55</f>
        <v>0</v>
      </c>
      <c r="G55" s="78">
        <f>-SUMIFS('Diario Cali'!$E:$E,'Diario Cali'!$C:$C,$A55,'Diario Cali'!$B:$B,G$7)+F55</f>
        <v>0</v>
      </c>
      <c r="H55" s="78">
        <f>-SUMIFS('Diario Cali'!$E:$E,'Diario Cali'!$C:$C,$A55,'Diario Cali'!$B:$B,H$7)+G55</f>
        <v>338983</v>
      </c>
      <c r="I55" s="78">
        <f>-SUMIFS('Diario Cali'!$E:$E,'Diario Cali'!$C:$C,$A55,'Diario Cali'!$B:$B,I$7)+H55</f>
        <v>0</v>
      </c>
      <c r="J55" s="78">
        <f>-SUMIFS('Diario Cali'!$E:$E,'Diario Cali'!$C:$C,$A55,'Diario Cali'!$B:$B,J$7)+I55</f>
        <v>0</v>
      </c>
      <c r="K55" s="78">
        <f>-SUMIFS('Diario Cali'!$E:$E,'Diario Cali'!$C:$C,$A55,'Diario Cali'!$B:$B,K$7)+J55</f>
        <v>0</v>
      </c>
      <c r="L55" s="78">
        <f>-SUMIFS('Diario Cali'!$E:$E,'Diario Cali'!$C:$C,$A55,'Diario Cali'!$B:$B,L$7)+K55</f>
        <v>0</v>
      </c>
      <c r="M55" s="78">
        <f>-SUMIFS('Diario Cali'!$E:$E,'Diario Cali'!$C:$C,$A55,'Diario Cali'!$B:$B,M$7)+L55</f>
        <v>0</v>
      </c>
      <c r="N55" s="78">
        <f>-SUMIFS('Diario Cali'!$E:$E,'Diario Cali'!$C:$C,$A55,'Diario Cali'!$B:$B,N$7)+M55</f>
        <v>0</v>
      </c>
    </row>
    <row r="56" spans="1:15" s="86" customFormat="1" ht="10.9" x14ac:dyDescent="0.2">
      <c r="A56" s="86">
        <v>230</v>
      </c>
      <c r="B56" s="77" t="str">
        <f>VLOOKUP(A56,Plan!A$1:B$65542,2,0)</f>
        <v>Proveedores Administración</v>
      </c>
      <c r="C56" s="78">
        <f>-SUMIFS('Diario Cali'!$E:$E,'Diario Cali'!$C:$C,$A56,'Diario Cali'!$B:$B,C$7)</f>
        <v>0</v>
      </c>
      <c r="D56" s="78">
        <f>-SUMIFS('Diario Cali'!$E:$E,'Diario Cali'!$C:$C,$A56,'Diario Cali'!$B:$B,D$7)+C56</f>
        <v>0</v>
      </c>
      <c r="E56" s="78">
        <f>-SUMIFS('Diario Cali'!$E:$E,'Diario Cali'!$C:$C,$A56,'Diario Cali'!$B:$B,E$7)+D56</f>
        <v>0</v>
      </c>
      <c r="F56" s="78">
        <f>-SUMIFS('Diario Cali'!$E:$E,'Diario Cali'!$C:$C,$A56,'Diario Cali'!$B:$B,F$7)+E56</f>
        <v>0</v>
      </c>
      <c r="G56" s="78">
        <f>-SUMIFS('Diario Cali'!$E:$E,'Diario Cali'!$C:$C,$A56,'Diario Cali'!$B:$B,G$7)+F56</f>
        <v>0</v>
      </c>
      <c r="H56" s="78">
        <f>-SUMIFS('Diario Cali'!$E:$E,'Diario Cali'!$C:$C,$A56,'Diario Cali'!$B:$B,H$7)+G56</f>
        <v>0</v>
      </c>
      <c r="I56" s="78">
        <f>-SUMIFS('Diario Cali'!$E:$E,'Diario Cali'!$C:$C,$A56,'Diario Cali'!$B:$B,I$7)+H56</f>
        <v>0</v>
      </c>
      <c r="J56" s="78">
        <f>-SUMIFS('Diario Cali'!$E:$E,'Diario Cali'!$C:$C,$A56,'Diario Cali'!$B:$B,J$7)+I56</f>
        <v>0</v>
      </c>
      <c r="K56" s="78">
        <f>-SUMIFS('Diario Cali'!$E:$E,'Diario Cali'!$C:$C,$A56,'Diario Cali'!$B:$B,K$7)+J56</f>
        <v>0</v>
      </c>
      <c r="L56" s="78">
        <f>-SUMIFS('Diario Cali'!$E:$E,'Diario Cali'!$C:$C,$A56,'Diario Cali'!$B:$B,L$7)+K56</f>
        <v>0</v>
      </c>
      <c r="M56" s="78">
        <f>-SUMIFS('Diario Cali'!$E:$E,'Diario Cali'!$C:$C,$A56,'Diario Cali'!$B:$B,M$7)+L56</f>
        <v>0</v>
      </c>
      <c r="N56" s="78">
        <f>-SUMIFS('Diario Cali'!$E:$E,'Diario Cali'!$C:$C,$A56,'Diario Cali'!$B:$B,N$7)+M56</f>
        <v>0</v>
      </c>
    </row>
    <row r="57" spans="1:15" s="86" customFormat="1" ht="10.9" x14ac:dyDescent="0.2">
      <c r="A57" s="86">
        <v>233</v>
      </c>
      <c r="B57" s="77" t="str">
        <f>VLOOKUP(A57,Plan!A$1:B$65542,2,0)</f>
        <v>Otras Provisiones (Proyecto Especificos)</v>
      </c>
      <c r="C57" s="78">
        <f>-SUMIFS('Diario Cali'!$E:$E,'Diario Cali'!$C:$C,$A57,'Diario Cali'!$B:$B,C$7)</f>
        <v>0</v>
      </c>
      <c r="D57" s="78">
        <f>-SUMIFS('Diario Cali'!$E:$E,'Diario Cali'!$C:$C,$A57,'Diario Cali'!$B:$B,D$7)+C57</f>
        <v>0</v>
      </c>
      <c r="E57" s="78">
        <f>-SUMIFS('Diario Cali'!$E:$E,'Diario Cali'!$C:$C,$A57,'Diario Cali'!$B:$B,E$7)+D57</f>
        <v>0</v>
      </c>
      <c r="F57" s="78">
        <f>-SUMIFS('Diario Cali'!$E:$E,'Diario Cali'!$C:$C,$A57,'Diario Cali'!$B:$B,F$7)+E57</f>
        <v>0</v>
      </c>
      <c r="G57" s="78">
        <f>-SUMIFS('Diario Cali'!$E:$E,'Diario Cali'!$C:$C,$A57,'Diario Cali'!$B:$B,G$7)+F57</f>
        <v>0</v>
      </c>
      <c r="H57" s="78">
        <f>-SUMIFS('Diario Cali'!$E:$E,'Diario Cali'!$C:$C,$A57,'Diario Cali'!$B:$B,H$7)+G57</f>
        <v>0</v>
      </c>
      <c r="I57" s="78">
        <f>-SUMIFS('Diario Cali'!$E:$E,'Diario Cali'!$C:$C,$A57,'Diario Cali'!$B:$B,I$7)+H57</f>
        <v>0</v>
      </c>
      <c r="J57" s="78">
        <f>-SUMIFS('Diario Cali'!$E:$E,'Diario Cali'!$C:$C,$A57,'Diario Cali'!$B:$B,J$7)+I57</f>
        <v>0</v>
      </c>
      <c r="K57" s="78">
        <f>-SUMIFS('Diario Cali'!$E:$E,'Diario Cali'!$C:$C,$A57,'Diario Cali'!$B:$B,K$7)+J57</f>
        <v>0</v>
      </c>
      <c r="L57" s="78">
        <f>-SUMIFS('Diario Cali'!$E:$E,'Diario Cali'!$C:$C,$A57,'Diario Cali'!$B:$B,L$7)+K57</f>
        <v>0</v>
      </c>
      <c r="M57" s="78">
        <f>-SUMIFS('Diario Cali'!$E:$E,'Diario Cali'!$C:$C,$A57,'Diario Cali'!$B:$B,M$7)+L57</f>
        <v>0</v>
      </c>
      <c r="N57" s="548">
        <f>-SUMIFS('Diario Cali'!$E:$E,'Diario Cali'!$C:$C,$A57,'Diario Cali'!$B:$B,N$7)+M57</f>
        <v>5908333</v>
      </c>
      <c r="O57" s="547"/>
    </row>
    <row r="58" spans="1:15" s="86" customFormat="1" ht="10.9" x14ac:dyDescent="0.2">
      <c r="B58" s="82" t="s">
        <v>47</v>
      </c>
      <c r="C58" s="87">
        <f t="shared" ref="C58:N58" si="4">SUM(C45:C57)</f>
        <v>42271772</v>
      </c>
      <c r="D58" s="87">
        <f t="shared" si="4"/>
        <v>53806417</v>
      </c>
      <c r="E58" s="87">
        <f t="shared" si="4"/>
        <v>55314487</v>
      </c>
      <c r="F58" s="87">
        <f t="shared" si="4"/>
        <v>62464016</v>
      </c>
      <c r="G58" s="87">
        <f t="shared" si="4"/>
        <v>72950981</v>
      </c>
      <c r="H58" s="87">
        <f t="shared" si="4"/>
        <v>82934177</v>
      </c>
      <c r="I58" s="87">
        <f t="shared" si="4"/>
        <v>88479018.530000001</v>
      </c>
      <c r="J58" s="87">
        <f t="shared" si="4"/>
        <v>94198246.530000001</v>
      </c>
      <c r="K58" s="87">
        <f t="shared" si="4"/>
        <v>105687457.53</v>
      </c>
      <c r="L58" s="87">
        <f t="shared" si="4"/>
        <v>108709371.53</v>
      </c>
      <c r="M58" s="87">
        <f t="shared" si="4"/>
        <v>114070663.53</v>
      </c>
      <c r="N58" s="87">
        <f t="shared" si="4"/>
        <v>129928353.8476</v>
      </c>
    </row>
    <row r="59" spans="1:15" s="86" customFormat="1" ht="10.9" x14ac:dyDescent="0.2">
      <c r="B59" s="92"/>
      <c r="C59" s="92"/>
      <c r="D59" s="92"/>
      <c r="E59" s="80"/>
      <c r="G59" s="80"/>
      <c r="H59" s="80"/>
      <c r="I59" s="80"/>
      <c r="J59" s="80"/>
      <c r="K59" s="80"/>
      <c r="L59" s="80"/>
      <c r="M59" s="80"/>
      <c r="N59" s="80"/>
    </row>
    <row r="60" spans="1:15" s="86" customFormat="1" ht="10.9" x14ac:dyDescent="0.2">
      <c r="B60" s="73" t="s">
        <v>0</v>
      </c>
      <c r="C60" s="80"/>
      <c r="D60" s="80"/>
      <c r="E60" s="80"/>
      <c r="G60" s="80"/>
      <c r="H60" s="80"/>
      <c r="I60" s="80"/>
      <c r="J60" s="80"/>
      <c r="K60" s="80"/>
      <c r="L60" s="80"/>
      <c r="M60" s="80"/>
      <c r="N60" s="80"/>
    </row>
    <row r="61" spans="1:15" s="86" customFormat="1" ht="10.9" x14ac:dyDescent="0.2">
      <c r="A61" s="86">
        <v>301</v>
      </c>
      <c r="B61" s="77" t="str">
        <f>VLOOKUP(A61,Plan!A$1:B$65542,2,0)</f>
        <v>Capital Cali</v>
      </c>
      <c r="C61" s="78">
        <f>-SUMIFS('Diario Cali'!$E:$E,'Diario Cali'!$C:$C,$A61,'Diario Cali'!$B:$B,C$7)</f>
        <v>684178804</v>
      </c>
      <c r="D61" s="78">
        <f>-SUMIFS('Diario Cali'!$E:$E,'Diario Cali'!$C:$C,$A61,'Diario Cali'!$B:$B,D$7)+C61</f>
        <v>684178804</v>
      </c>
      <c r="E61" s="78">
        <f>-SUMIFS('Diario Cali'!$E:$E,'Diario Cali'!$C:$C,$A61,'Diario Cali'!$B:$B,E$7)+D61</f>
        <v>684178804</v>
      </c>
      <c r="F61" s="78">
        <f>-SUMIFS('Diario Cali'!$E:$E,'Diario Cali'!$C:$C,$A61,'Diario Cali'!$B:$B,F$7)+E61</f>
        <v>684178804</v>
      </c>
      <c r="G61" s="78">
        <f>-SUMIFS('Diario Cali'!$E:$E,'Diario Cali'!$C:$C,$A61,'Diario Cali'!$B:$B,G$7)+F61</f>
        <v>684178804</v>
      </c>
      <c r="H61" s="78">
        <f>-SUMIFS('Diario Cali'!$E:$E,'Diario Cali'!$C:$C,$A61,'Diario Cali'!$B:$B,H$7)+G61</f>
        <v>684178804</v>
      </c>
      <c r="I61" s="78">
        <f>-SUMIFS('Diario Cali'!$E:$E,'Diario Cali'!$C:$C,$A61,'Diario Cali'!$B:$B,I$7)+H61</f>
        <v>684178804</v>
      </c>
      <c r="J61" s="78">
        <f>-SUMIFS('Diario Cali'!$E:$E,'Diario Cali'!$C:$C,$A61,'Diario Cali'!$B:$B,J$7)+I61</f>
        <v>684178804</v>
      </c>
      <c r="K61" s="78">
        <f>-SUMIFS('Diario Cali'!$E:$E,'Diario Cali'!$C:$C,$A61,'Diario Cali'!$B:$B,K$7)+J61</f>
        <v>684178804</v>
      </c>
      <c r="L61" s="78">
        <f>-SUMIFS('Diario Cali'!$E:$E,'Diario Cali'!$C:$C,$A61,'Diario Cali'!$B:$B,L$7)+K61</f>
        <v>684178804</v>
      </c>
      <c r="M61" s="78">
        <f>-SUMIFS('Diario Cali'!$E:$E,'Diario Cali'!$C:$C,$A61,'Diario Cali'!$B:$B,M$7)+L61</f>
        <v>684178804</v>
      </c>
      <c r="N61" s="78">
        <f>-SUMIFS('Diario Cali'!$E:$E,'Diario Cali'!$C:$C,$A61,'Diario Cali'!$B:$B,N$7)+M61</f>
        <v>684178804</v>
      </c>
      <c r="O61" s="86" t="s">
        <v>48</v>
      </c>
    </row>
    <row r="62" spans="1:15" s="86" customFormat="1" ht="10.9" x14ac:dyDescent="0.2">
      <c r="A62" s="86">
        <v>310</v>
      </c>
      <c r="B62" s="77" t="str">
        <f>VLOOKUP(A62,Plan!A$1:B$65542,2,0)</f>
        <v>Resultado Acumulado Cali</v>
      </c>
      <c r="C62" s="78">
        <f>-SUMIFS('Diario Cali'!$E:$E,'Diario Cali'!$C:$C,$A62,'Diario Cali'!$B:$B,C$7)</f>
        <v>2338583640</v>
      </c>
      <c r="D62" s="78">
        <f>-SUMIFS('Diario Cali'!$E:$E,'Diario Cali'!$C:$C,$A62,'Diario Cali'!$B:$B,D$7)+C62</f>
        <v>2338583640</v>
      </c>
      <c r="E62" s="78">
        <f>-SUMIFS('Diario Cali'!$E:$E,'Diario Cali'!$C:$C,$A62,'Diario Cali'!$B:$B,E$7)+D62</f>
        <v>2338583640</v>
      </c>
      <c r="F62" s="78">
        <f>-SUMIFS('Diario Cali'!$E:$E,'Diario Cali'!$C:$C,$A62,'Diario Cali'!$B:$B,F$7)+E62</f>
        <v>2338583640</v>
      </c>
      <c r="G62" s="78">
        <f>-SUMIFS('Diario Cali'!$E:$E,'Diario Cali'!$C:$C,$A62,'Diario Cali'!$B:$B,G$7)+F62</f>
        <v>2338583640</v>
      </c>
      <c r="H62" s="78">
        <f>-SUMIFS('Diario Cali'!$E:$E,'Diario Cali'!$C:$C,$A62,'Diario Cali'!$B:$B,H$7)+G62</f>
        <v>2338583640</v>
      </c>
      <c r="I62" s="78">
        <f>-SUMIFS('Diario Cali'!$E:$E,'Diario Cali'!$C:$C,$A62,'Diario Cali'!$B:$B,I$7)+H62</f>
        <v>2338583640</v>
      </c>
      <c r="J62" s="78">
        <f>-SUMIFS('Diario Cali'!$E:$E,'Diario Cali'!$C:$C,$A62,'Diario Cali'!$B:$B,J$7)+I62</f>
        <v>2338583640</v>
      </c>
      <c r="K62" s="78">
        <f>-SUMIFS('Diario Cali'!$E:$E,'Diario Cali'!$C:$C,$A62,'Diario Cali'!$B:$B,K$7)+J62</f>
        <v>2338583640</v>
      </c>
      <c r="L62" s="78">
        <f>-SUMIFS('Diario Cali'!$E:$E,'Diario Cali'!$C:$C,$A62,'Diario Cali'!$B:$B,L$7)+K62</f>
        <v>2338583640</v>
      </c>
      <c r="M62" s="78">
        <f>-SUMIFS('Diario Cali'!$E:$E,'Diario Cali'!$C:$C,$A62,'Diario Cali'!$B:$B,M$7)+L62</f>
        <v>2338583640</v>
      </c>
      <c r="N62" s="78">
        <f>-SUMIFS('Diario Cali'!$E:$E,'Diario Cali'!$C:$C,$A62,'Diario Cali'!$B:$B,N$7)+M62</f>
        <v>2338583640</v>
      </c>
    </row>
    <row r="63" spans="1:15" s="86" customFormat="1" ht="10.9" x14ac:dyDescent="0.2">
      <c r="A63" s="86">
        <v>320</v>
      </c>
      <c r="B63" s="133" t="s">
        <v>66</v>
      </c>
      <c r="C63" s="133">
        <f>+'Resultado Cali'!C41</f>
        <v>127182036</v>
      </c>
      <c r="D63" s="78">
        <f>+C63+'Resultado Cali'!D41</f>
        <v>149840601</v>
      </c>
      <c r="E63" s="78">
        <f>+D63+'Resultado Cali'!E41</f>
        <v>210297582</v>
      </c>
      <c r="F63" s="78">
        <f>+E63+'Resultado Cali'!F41</f>
        <v>240379448</v>
      </c>
      <c r="G63" s="78">
        <f>+F63+'Resultado Cali'!G41</f>
        <v>270146138</v>
      </c>
      <c r="H63" s="78">
        <f>+G63+'Resultado Cali'!H41</f>
        <v>295165578</v>
      </c>
      <c r="I63" s="78">
        <f>+H63+'Resultado Cali'!I41</f>
        <v>323174948</v>
      </c>
      <c r="J63" s="78">
        <f>+I63+'Resultado Cali'!J41</f>
        <v>352153640</v>
      </c>
      <c r="K63" s="78">
        <f>+J63+'Resultado Cali'!K41</f>
        <v>380003841</v>
      </c>
      <c r="L63" s="78">
        <f>+K63+'Resultado Cali'!L41</f>
        <v>411584745</v>
      </c>
      <c r="M63" s="78">
        <f>+L63+'Resultado Cali'!M41</f>
        <v>438707201</v>
      </c>
      <c r="N63" s="78">
        <f>+M63+'Resultado Cali'!N41</f>
        <v>591910679.68239999</v>
      </c>
    </row>
    <row r="64" spans="1:15" s="86" customFormat="1" ht="10.9" x14ac:dyDescent="0.2">
      <c r="B64" s="82" t="s">
        <v>37</v>
      </c>
      <c r="C64" s="87">
        <f>SUM(C61:C63)</f>
        <v>3149944480</v>
      </c>
      <c r="D64" s="87">
        <f>SUM(D61:D63)</f>
        <v>3172603045</v>
      </c>
      <c r="E64" s="87">
        <f>SUM(E61:E63)</f>
        <v>3233060026</v>
      </c>
      <c r="F64" s="87">
        <f t="shared" ref="F64:K64" si="5">SUM(F61:F63)</f>
        <v>3263141892</v>
      </c>
      <c r="G64" s="87">
        <f t="shared" si="5"/>
        <v>3292908582</v>
      </c>
      <c r="H64" s="87">
        <f t="shared" si="5"/>
        <v>3317928022</v>
      </c>
      <c r="I64" s="87">
        <f t="shared" si="5"/>
        <v>3345937392</v>
      </c>
      <c r="J64" s="87">
        <f t="shared" si="5"/>
        <v>3374916084</v>
      </c>
      <c r="K64" s="87">
        <f t="shared" si="5"/>
        <v>3402766285</v>
      </c>
      <c r="L64" s="87">
        <f>SUM(L61:L63)</f>
        <v>3434347189</v>
      </c>
      <c r="M64" s="87">
        <f>SUM(M61:M63)</f>
        <v>3461469645</v>
      </c>
      <c r="N64" s="87">
        <f>SUM(N61:N63)</f>
        <v>3614673123.6823997</v>
      </c>
    </row>
    <row r="65" spans="2:14" s="86" customFormat="1" ht="10.9" x14ac:dyDescent="0.2">
      <c r="B65" s="80"/>
      <c r="D65" s="80"/>
      <c r="E65" s="80" t="s">
        <v>48</v>
      </c>
      <c r="G65" s="80"/>
      <c r="H65" s="80"/>
      <c r="I65" s="80"/>
      <c r="J65" s="80"/>
      <c r="K65" s="80"/>
      <c r="L65" s="80"/>
      <c r="M65" s="80"/>
      <c r="N65" s="80"/>
    </row>
    <row r="66" spans="2:14" s="72" customFormat="1" ht="10.9" x14ac:dyDescent="0.2">
      <c r="B66" s="80"/>
      <c r="C66" s="86"/>
      <c r="D66" s="80"/>
      <c r="E66" s="80" t="s">
        <v>48</v>
      </c>
      <c r="F66" s="86"/>
      <c r="G66" s="80"/>
      <c r="H66" s="80"/>
      <c r="I66" s="80"/>
      <c r="J66" s="80"/>
      <c r="K66" s="80"/>
      <c r="L66" s="80"/>
      <c r="M66" s="80"/>
      <c r="N66" s="80"/>
    </row>
    <row r="67" spans="2:14" s="86" customFormat="1" ht="10.9" x14ac:dyDescent="0.2">
      <c r="B67" s="94" t="s">
        <v>93</v>
      </c>
      <c r="C67" s="94">
        <f>+C58+C64</f>
        <v>3192216252</v>
      </c>
      <c r="D67" s="94">
        <f t="shared" ref="D67:M67" si="6">+D58+D64</f>
        <v>3226409462</v>
      </c>
      <c r="E67" s="94">
        <f t="shared" si="6"/>
        <v>3288374513</v>
      </c>
      <c r="F67" s="94">
        <f t="shared" si="6"/>
        <v>3325605908</v>
      </c>
      <c r="G67" s="94">
        <f t="shared" si="6"/>
        <v>3365859563</v>
      </c>
      <c r="H67" s="94">
        <f t="shared" si="6"/>
        <v>3400862199</v>
      </c>
      <c r="I67" s="94">
        <f t="shared" si="6"/>
        <v>3434416410.5300002</v>
      </c>
      <c r="J67" s="94">
        <f t="shared" si="6"/>
        <v>3469114330.5300002</v>
      </c>
      <c r="K67" s="94">
        <f t="shared" si="6"/>
        <v>3508453742.5300002</v>
      </c>
      <c r="L67" s="94">
        <f t="shared" si="6"/>
        <v>3543056560.5300002</v>
      </c>
      <c r="M67" s="94">
        <f t="shared" si="6"/>
        <v>3575540308.5300002</v>
      </c>
      <c r="N67" s="94">
        <f>+N58+N64</f>
        <v>3744601477.5299997</v>
      </c>
    </row>
    <row r="68" spans="2:14" s="86" customFormat="1" ht="10.9" x14ac:dyDescent="0.2">
      <c r="C68" s="86">
        <f t="shared" ref="C68:M68" si="7">+C39-C67</f>
        <v>0</v>
      </c>
      <c r="D68" s="86">
        <f t="shared" si="7"/>
        <v>0</v>
      </c>
      <c r="E68" s="86">
        <f t="shared" si="7"/>
        <v>0</v>
      </c>
      <c r="F68" s="86">
        <f t="shared" si="7"/>
        <v>0</v>
      </c>
      <c r="G68" s="86">
        <f t="shared" si="7"/>
        <v>0</v>
      </c>
      <c r="H68" s="86">
        <f t="shared" si="7"/>
        <v>0</v>
      </c>
      <c r="I68" s="86">
        <f t="shared" si="7"/>
        <v>0.46999979019165039</v>
      </c>
      <c r="J68" s="86">
        <f t="shared" si="7"/>
        <v>0.46999979019165039</v>
      </c>
      <c r="K68" s="86">
        <f t="shared" si="7"/>
        <v>0.46999979019165039</v>
      </c>
      <c r="L68" s="86">
        <f t="shared" si="7"/>
        <v>0.46999979019165039</v>
      </c>
      <c r="M68" s="86">
        <f t="shared" si="7"/>
        <v>0.46999979019165039</v>
      </c>
      <c r="N68" s="86">
        <f>+N39-N67</f>
        <v>0.47000026702880859</v>
      </c>
    </row>
    <row r="69" spans="2:14" s="86" customFormat="1" ht="10.9" x14ac:dyDescent="0.2">
      <c r="D69" s="86">
        <f>+D61-C61</f>
        <v>0</v>
      </c>
      <c r="E69" s="86">
        <f t="shared" ref="E69:M69" si="8">+E61-D61</f>
        <v>0</v>
      </c>
      <c r="F69" s="86">
        <f t="shared" si="8"/>
        <v>0</v>
      </c>
      <c r="G69" s="86">
        <f t="shared" si="8"/>
        <v>0</v>
      </c>
      <c r="H69" s="86">
        <f t="shared" si="8"/>
        <v>0</v>
      </c>
      <c r="I69" s="86">
        <f t="shared" si="8"/>
        <v>0</v>
      </c>
      <c r="J69" s="86">
        <f t="shared" si="8"/>
        <v>0</v>
      </c>
      <c r="K69" s="86">
        <f t="shared" si="8"/>
        <v>0</v>
      </c>
      <c r="L69" s="86">
        <f t="shared" si="8"/>
        <v>0</v>
      </c>
      <c r="M69" s="86">
        <f t="shared" si="8"/>
        <v>0</v>
      </c>
      <c r="N69" s="86">
        <f>+N61-M61</f>
        <v>0</v>
      </c>
    </row>
    <row r="70" spans="2:14" s="86" customFormat="1" ht="10.9" x14ac:dyDescent="0.2"/>
    <row r="71" spans="2:14" s="86" customFormat="1" ht="10.9" x14ac:dyDescent="0.2">
      <c r="E71" s="86">
        <f>+E68-D68</f>
        <v>0</v>
      </c>
      <c r="H71" s="86">
        <f>+H68-G68</f>
        <v>0</v>
      </c>
    </row>
    <row r="72" spans="2:14" s="86" customFormat="1" x14ac:dyDescent="0.25">
      <c r="B72" s="34" t="s">
        <v>126</v>
      </c>
      <c r="D72" s="86">
        <v>0</v>
      </c>
      <c r="N72" s="86">
        <v>0</v>
      </c>
    </row>
  </sheetData>
  <mergeCells count="2">
    <mergeCell ref="B1:N1"/>
    <mergeCell ref="B2:N3"/>
  </mergeCells>
  <phoneticPr fontId="6" type="noConversion"/>
  <printOptions horizontalCentered="1" verticalCentered="1"/>
  <pageMargins left="0" right="0" top="0.39370078740157483" bottom="0.39370078740157483" header="0" footer="0"/>
  <pageSetup scale="80" orientation="landscape" horizontalDpi="1200" verticalDpi="1200" r:id="rId1"/>
  <headerFooter alignWithMargins="0">
    <oddFooter>&amp;L&amp;F&amp;R&amp;A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7">
    <tabColor rgb="FF00B0F0"/>
  </sheetPr>
  <dimension ref="B1:G37"/>
  <sheetViews>
    <sheetView topLeftCell="A13" zoomScaleNormal="100" workbookViewId="0">
      <selection activeCell="I34" sqref="I34"/>
    </sheetView>
  </sheetViews>
  <sheetFormatPr baseColWidth="10" defaultColWidth="8.796875" defaultRowHeight="12.9" x14ac:dyDescent="0.2"/>
  <cols>
    <col min="1" max="1" width="5.19921875" style="10" customWidth="1"/>
    <col min="2" max="2" width="27.09765625" style="10" bestFit="1" customWidth="1"/>
    <col min="3" max="3" width="12.3984375" style="10" bestFit="1" customWidth="1"/>
    <col min="4" max="4" width="1.296875" style="10" customWidth="1"/>
    <col min="5" max="5" width="25" style="10" bestFit="1" customWidth="1"/>
    <col min="6" max="6" width="12.3984375" style="10" bestFit="1" customWidth="1"/>
    <col min="7" max="16384" width="8.796875" style="10"/>
  </cols>
  <sheetData>
    <row r="1" spans="2:7" ht="13.6" x14ac:dyDescent="0.25">
      <c r="B1" s="599" t="s">
        <v>83</v>
      </c>
      <c r="C1" s="599"/>
      <c r="D1" s="599"/>
      <c r="E1" s="599"/>
      <c r="F1" s="599"/>
    </row>
    <row r="2" spans="2:7" ht="13.6" x14ac:dyDescent="0.25">
      <c r="E2" s="11"/>
    </row>
    <row r="3" spans="2:7" ht="13.6" x14ac:dyDescent="0.25">
      <c r="B3" s="599" t="s">
        <v>44</v>
      </c>
      <c r="C3" s="599"/>
      <c r="D3" s="599"/>
      <c r="E3" s="599"/>
      <c r="F3" s="599"/>
    </row>
    <row r="4" spans="2:7" ht="13.6" x14ac:dyDescent="0.25">
      <c r="B4" s="11"/>
      <c r="C4" s="11"/>
      <c r="D4" s="11"/>
      <c r="E4" s="11"/>
      <c r="F4" s="11"/>
    </row>
    <row r="5" spans="2:7" ht="13.6" x14ac:dyDescent="0.25">
      <c r="B5" s="599" t="s">
        <v>24</v>
      </c>
      <c r="C5" s="599"/>
      <c r="D5" s="599"/>
      <c r="E5" s="599"/>
      <c r="F5" s="599"/>
    </row>
    <row r="6" spans="2:7" ht="13.6" x14ac:dyDescent="0.25">
      <c r="B6" s="599" t="str">
        <f>+'Blce Admin mensual'!B6:F6</f>
        <v>al 31 de Diciembre de 2021</v>
      </c>
      <c r="C6" s="599"/>
      <c r="D6" s="599"/>
      <c r="E6" s="599"/>
      <c r="F6" s="599"/>
    </row>
    <row r="7" spans="2:7" ht="13.6" x14ac:dyDescent="0.25">
      <c r="B7" s="12"/>
      <c r="C7" s="12"/>
      <c r="D7" s="12"/>
      <c r="E7" s="12"/>
      <c r="F7" s="12"/>
    </row>
    <row r="8" spans="2:7" ht="13.6" x14ac:dyDescent="0.25">
      <c r="B8" s="12"/>
      <c r="C8" s="12"/>
      <c r="D8" s="12"/>
      <c r="E8" s="12"/>
      <c r="F8" s="12"/>
    </row>
    <row r="9" spans="2:7" ht="13.6" x14ac:dyDescent="0.25">
      <c r="B9" s="12"/>
      <c r="C9" s="12"/>
      <c r="D9" s="12"/>
      <c r="E9" s="12"/>
      <c r="F9" s="12"/>
    </row>
    <row r="10" spans="2:7" x14ac:dyDescent="0.2">
      <c r="E10" s="13"/>
    </row>
    <row r="11" spans="2:7" s="14" customFormat="1" ht="13.6" x14ac:dyDescent="0.25">
      <c r="B11" s="11" t="s">
        <v>25</v>
      </c>
      <c r="C11" s="15"/>
      <c r="D11" s="11"/>
      <c r="E11" s="11" t="s">
        <v>26</v>
      </c>
      <c r="F11" s="15"/>
    </row>
    <row r="12" spans="2:7" s="14" customFormat="1" ht="13.6" x14ac:dyDescent="0.25"/>
    <row r="13" spans="2:7" s="14" customFormat="1" ht="13.6" x14ac:dyDescent="0.25">
      <c r="B13" s="14" t="s">
        <v>28</v>
      </c>
      <c r="C13" s="11" t="s">
        <v>27</v>
      </c>
      <c r="E13" s="14" t="s">
        <v>29</v>
      </c>
      <c r="F13" s="11" t="s">
        <v>27</v>
      </c>
    </row>
    <row r="14" spans="2:7" x14ac:dyDescent="0.2">
      <c r="B14" s="16" t="s">
        <v>109</v>
      </c>
      <c r="C14" s="10">
        <f>+'Balance mensual CALI'!N11</f>
        <v>0</v>
      </c>
      <c r="E14" s="16" t="s">
        <v>67</v>
      </c>
      <c r="F14" s="10">
        <f>+'Balance mensual CALI'!N45</f>
        <v>177466</v>
      </c>
    </row>
    <row r="15" spans="2:7" x14ac:dyDescent="0.2">
      <c r="B15" s="16" t="s">
        <v>30</v>
      </c>
      <c r="C15" s="10">
        <f>+'Balance mensual CALI'!N13+'Balance mensual CALI'!N14+'Balance mensual CALI'!N17+'Balance mensual CALI'!N15</f>
        <v>11077614</v>
      </c>
      <c r="E15" s="16" t="s">
        <v>42</v>
      </c>
      <c r="F15" s="10">
        <f>+'Balance mensual CALI'!N46</f>
        <v>2999368.5300000003</v>
      </c>
    </row>
    <row r="16" spans="2:7" x14ac:dyDescent="0.2">
      <c r="B16" s="16" t="s">
        <v>56</v>
      </c>
      <c r="C16" s="10">
        <f>'Balance mensual CALI'!N18+'Balance mensual CALI'!N16+'Balance mensual CALI'!N12</f>
        <v>248000000</v>
      </c>
      <c r="E16" s="16" t="s">
        <v>40</v>
      </c>
      <c r="F16" s="10">
        <f>+'Balance mensual CALI'!N47</f>
        <v>75768</v>
      </c>
      <c r="G16" s="10" t="s">
        <v>48</v>
      </c>
    </row>
    <row r="17" spans="2:6" x14ac:dyDescent="0.2">
      <c r="B17" s="16" t="s">
        <v>381</v>
      </c>
      <c r="C17" s="10">
        <f>+'Balance mensual CALI'!N28</f>
        <v>138437194</v>
      </c>
      <c r="E17" s="16" t="s">
        <v>89</v>
      </c>
      <c r="F17" s="10">
        <f>+'Balance mensual CALI'!N57+'Balance mensual CALI'!N48</f>
        <v>5955486</v>
      </c>
    </row>
    <row r="18" spans="2:6" x14ac:dyDescent="0.2">
      <c r="B18" s="16" t="s">
        <v>452</v>
      </c>
      <c r="C18" s="10">
        <f>+'Balance mensual CALI'!N27</f>
        <v>0</v>
      </c>
      <c r="E18" s="16" t="s">
        <v>1301</v>
      </c>
      <c r="F18" s="10">
        <f>+'Balance mensual CALI'!N55</f>
        <v>0</v>
      </c>
    </row>
    <row r="19" spans="2:6" ht="13.6" thickBot="1" x14ac:dyDescent="0.25">
      <c r="B19" s="16" t="s">
        <v>626</v>
      </c>
      <c r="C19" s="19">
        <f>+'Balance mensual CALI'!N19+'Balance mensual CALI'!N20+'Balance mensual CALI'!N21+'Balance mensual CALI'!N22+'Balance mensual CALI'!N23+'Balance mensual CALI'!N24+'Balance mensual CALI'!N25+'Balance mensual CALI'!N26</f>
        <v>240270367</v>
      </c>
      <c r="E19" s="16" t="s">
        <v>652</v>
      </c>
      <c r="F19" s="19">
        <f>+'Balance mensual CALI'!N49+'Balance mensual CALI'!N50+'Balance mensual CALI'!N51+'Balance mensual CALI'!N53+'Balance mensual CALI'!N52</f>
        <v>120720265.3176</v>
      </c>
    </row>
    <row r="20" spans="2:6" ht="13.6" x14ac:dyDescent="0.25">
      <c r="B20" s="14" t="s">
        <v>46</v>
      </c>
      <c r="C20" s="10">
        <f>SUM(C14:C19)</f>
        <v>637785175</v>
      </c>
    </row>
    <row r="21" spans="2:6" ht="13.6" x14ac:dyDescent="0.25">
      <c r="E21" s="14" t="s">
        <v>47</v>
      </c>
      <c r="F21" s="10">
        <f>SUM(F14:F19)</f>
        <v>129928353.8476</v>
      </c>
    </row>
    <row r="22" spans="2:6" ht="13.6" x14ac:dyDescent="0.25">
      <c r="B22" s="14" t="s">
        <v>31</v>
      </c>
      <c r="C22" s="14"/>
      <c r="D22" s="14"/>
    </row>
    <row r="23" spans="2:6" ht="14.3" thickBot="1" x14ac:dyDescent="0.3">
      <c r="B23" s="16" t="s">
        <v>81</v>
      </c>
      <c r="C23" s="385">
        <f>+'Balance mensual CALI'!N37</f>
        <v>3106816303</v>
      </c>
      <c r="E23" s="14" t="s">
        <v>32</v>
      </c>
      <c r="F23" s="385"/>
    </row>
    <row r="24" spans="2:6" ht="13.6" x14ac:dyDescent="0.25">
      <c r="B24" s="14" t="s">
        <v>34</v>
      </c>
      <c r="C24" s="10">
        <f>SUM(C23:C23)</f>
        <v>3106816303</v>
      </c>
      <c r="E24" s="14" t="s">
        <v>33</v>
      </c>
      <c r="F24" s="10">
        <f>SUM(F23:F23)</f>
        <v>0</v>
      </c>
    </row>
    <row r="26" spans="2:6" ht="13.6" x14ac:dyDescent="0.25">
      <c r="B26" s="14" t="s">
        <v>6</v>
      </c>
      <c r="E26" s="14" t="s">
        <v>0</v>
      </c>
    </row>
    <row r="27" spans="2:6" x14ac:dyDescent="0.2">
      <c r="E27" s="16" t="s">
        <v>35</v>
      </c>
      <c r="F27" s="10">
        <f>+'Balance mensual CALI'!N61</f>
        <v>684178804</v>
      </c>
    </row>
    <row r="28" spans="2:6" ht="13.6" thickBot="1" x14ac:dyDescent="0.25">
      <c r="B28" s="10" t="s">
        <v>48</v>
      </c>
      <c r="C28" s="19">
        <v>0</v>
      </c>
      <c r="E28" s="16" t="s">
        <v>107</v>
      </c>
      <c r="F28" s="10">
        <f>+'Balance mensual CALI'!N62</f>
        <v>2338583640</v>
      </c>
    </row>
    <row r="29" spans="2:6" ht="14.3" thickBot="1" x14ac:dyDescent="0.3">
      <c r="B29" s="14" t="s">
        <v>36</v>
      </c>
      <c r="C29" s="10">
        <v>0</v>
      </c>
      <c r="E29" s="16" t="s">
        <v>66</v>
      </c>
      <c r="F29" s="19">
        <f>+'Balance mensual CALI'!N63</f>
        <v>591910679.68239999</v>
      </c>
    </row>
    <row r="30" spans="2:6" ht="13.6" x14ac:dyDescent="0.25">
      <c r="E30" s="14" t="s">
        <v>37</v>
      </c>
      <c r="F30" s="10">
        <f>SUM(F27:F29)</f>
        <v>3614673123.6823997</v>
      </c>
    </row>
    <row r="31" spans="2:6" ht="13.6" thickBot="1" x14ac:dyDescent="0.25">
      <c r="C31" s="19"/>
      <c r="F31" s="19"/>
    </row>
    <row r="32" spans="2:6" ht="14.3" thickBot="1" x14ac:dyDescent="0.3">
      <c r="B32" s="14" t="s">
        <v>38</v>
      </c>
      <c r="C32" s="21">
        <f>+C20+C24</f>
        <v>3744601478</v>
      </c>
      <c r="D32" s="14"/>
      <c r="E32" s="14" t="s">
        <v>39</v>
      </c>
      <c r="F32" s="21">
        <f>+F30+F21</f>
        <v>3744601477.5299997</v>
      </c>
    </row>
    <row r="33" spans="6:6" x14ac:dyDescent="0.2">
      <c r="F33" s="10" t="s">
        <v>48</v>
      </c>
    </row>
    <row r="34" spans="6:6" x14ac:dyDescent="0.2">
      <c r="F34" s="10">
        <f>+F32-C32</f>
        <v>-0.47000026702880859</v>
      </c>
    </row>
    <row r="35" spans="6:6" x14ac:dyDescent="0.2">
      <c r="F35" s="10" t="s">
        <v>48</v>
      </c>
    </row>
    <row r="36" spans="6:6" x14ac:dyDescent="0.2">
      <c r="F36" s="10" t="s">
        <v>48</v>
      </c>
    </row>
    <row r="37" spans="6:6" x14ac:dyDescent="0.2">
      <c r="F37" s="10" t="s">
        <v>48</v>
      </c>
    </row>
  </sheetData>
  <mergeCells count="4">
    <mergeCell ref="B1:F1"/>
    <mergeCell ref="B3:F3"/>
    <mergeCell ref="B6:F6"/>
    <mergeCell ref="B5:F5"/>
  </mergeCells>
  <phoneticPr fontId="6" type="noConversion"/>
  <pageMargins left="0.75" right="0.75" top="1" bottom="1" header="0" footer="0"/>
  <pageSetup scale="75" orientation="portrait" horizontalDpi="1200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N17"/>
  <sheetViews>
    <sheetView zoomScale="80" zoomScaleNormal="80" workbookViewId="0">
      <selection activeCell="C2" sqref="C2:N11"/>
    </sheetView>
  </sheetViews>
  <sheetFormatPr baseColWidth="10" defaultRowHeight="17" customHeight="1" x14ac:dyDescent="0.25"/>
  <cols>
    <col min="1" max="1" width="10.3984375" bestFit="1" customWidth="1"/>
    <col min="2" max="2" width="1.796875" bestFit="1" customWidth="1"/>
    <col min="3" max="3" width="3.796875" bestFit="1" customWidth="1"/>
    <col min="4" max="4" width="21.59765625" bestFit="1" customWidth="1"/>
    <col min="5" max="5" width="11.8984375" bestFit="1" customWidth="1"/>
    <col min="6" max="7" width="11.296875" bestFit="1" customWidth="1"/>
    <col min="8" max="8" width="25.3984375" customWidth="1"/>
    <col min="9" max="9" width="3.796875" bestFit="1" customWidth="1"/>
    <col min="10" max="10" width="10.3984375" bestFit="1" customWidth="1"/>
    <col min="11" max="11" width="47.3984375" bestFit="1" customWidth="1"/>
    <col min="12" max="12" width="4.796875" bestFit="1" customWidth="1"/>
    <col min="13" max="13" width="6.3984375" bestFit="1" customWidth="1"/>
    <col min="14" max="14" width="3.8984375" bestFit="1" customWidth="1"/>
  </cols>
  <sheetData>
    <row r="2" spans="1:14" ht="17" customHeight="1" x14ac:dyDescent="0.25">
      <c r="A2" s="350">
        <v>43951</v>
      </c>
      <c r="B2" s="351">
        <v>4</v>
      </c>
      <c r="C2" s="338">
        <v>137</v>
      </c>
      <c r="D2" s="340" t="str">
        <f>VLOOKUP(C2,Plan!A:B,2,0)</f>
        <v>Anticipo Construcción</v>
      </c>
      <c r="E2" s="341">
        <f>+F2-G2</f>
        <v>-29709901</v>
      </c>
      <c r="F2" s="353">
        <v>0</v>
      </c>
      <c r="G2" s="353">
        <v>29709901</v>
      </c>
      <c r="H2" s="354" t="s">
        <v>647</v>
      </c>
      <c r="I2" s="355" t="s">
        <v>131</v>
      </c>
      <c r="J2" s="355" t="s">
        <v>588</v>
      </c>
      <c r="K2" s="208" t="str">
        <f>IF(J2&lt;&gt;"",VLOOKUP(J2,'Libro De Compras 2021'!D:E,2,0),"")</f>
        <v>PROYECTOS Y CONSTRUCCIONES TASCO LIMITADA</v>
      </c>
      <c r="L2" s="355">
        <v>2576</v>
      </c>
      <c r="M2" s="338"/>
    </row>
    <row r="3" spans="1:14" ht="17" customHeight="1" x14ac:dyDescent="0.25">
      <c r="A3" s="350">
        <v>43951</v>
      </c>
      <c r="B3" s="351">
        <v>4</v>
      </c>
      <c r="C3" s="338">
        <v>136</v>
      </c>
      <c r="D3" s="340" t="str">
        <f>VLOOKUP(C3,Plan!A:B,2,0)</f>
        <v>Obras en Construcción</v>
      </c>
      <c r="E3" s="341">
        <f>+F3-G3</f>
        <v>345078801</v>
      </c>
      <c r="F3" s="353">
        <v>345078801</v>
      </c>
      <c r="G3" s="353">
        <v>0</v>
      </c>
      <c r="H3" s="354" t="s">
        <v>648</v>
      </c>
      <c r="I3" s="355" t="s">
        <v>131</v>
      </c>
      <c r="J3" s="355" t="s">
        <v>588</v>
      </c>
      <c r="K3" s="208" t="str">
        <f>IF(J3&lt;&gt;"",VLOOKUP(J3,'Libro De Compras 2021'!D:E,2,0),"")</f>
        <v>PROYECTOS Y CONSTRUCCIONES TASCO LIMITADA</v>
      </c>
      <c r="L3" s="355">
        <v>2576</v>
      </c>
      <c r="M3" s="338"/>
    </row>
    <row r="4" spans="1:14" ht="17" customHeight="1" x14ac:dyDescent="0.25">
      <c r="A4" s="350">
        <v>43951</v>
      </c>
      <c r="B4" s="351">
        <v>4</v>
      </c>
      <c r="C4" s="338">
        <v>210</v>
      </c>
      <c r="D4" s="340" t="str">
        <f>VLOOKUP(C4,Plan!A:B,2,0)</f>
        <v>Retenciones Construcción</v>
      </c>
      <c r="E4" s="341">
        <f>+F4-G4</f>
        <v>-14854951</v>
      </c>
      <c r="F4" s="353">
        <v>0</v>
      </c>
      <c r="G4" s="353">
        <v>14854951</v>
      </c>
      <c r="H4" s="354" t="s">
        <v>649</v>
      </c>
      <c r="I4" s="355" t="s">
        <v>131</v>
      </c>
      <c r="J4" s="355" t="s">
        <v>588</v>
      </c>
      <c r="K4" s="208" t="str">
        <f>IF(J4&lt;&gt;"",VLOOKUP(J4,'Libro De Compras 2021'!D:E,2,0),"")</f>
        <v>PROYECTOS Y CONSTRUCCIONES TASCO LIMITADA</v>
      </c>
      <c r="L4" s="355">
        <v>2576</v>
      </c>
      <c r="M4" s="338"/>
    </row>
    <row r="5" spans="1:14" ht="17" customHeight="1" x14ac:dyDescent="0.25">
      <c r="A5" s="350">
        <f>+A2</f>
        <v>43951</v>
      </c>
      <c r="B5" s="351">
        <v>4</v>
      </c>
      <c r="C5" s="338">
        <v>228</v>
      </c>
      <c r="D5" s="340" t="str">
        <f>VLOOKUP(C5,Plan!A:B,2,0)</f>
        <v>Proveedores CALI</v>
      </c>
      <c r="E5" s="341">
        <f>+F5-G5</f>
        <v>-300513949</v>
      </c>
      <c r="F5" s="353">
        <v>0</v>
      </c>
      <c r="G5" s="353">
        <v>300513949</v>
      </c>
      <c r="H5" s="354" t="s">
        <v>589</v>
      </c>
      <c r="I5" s="355" t="s">
        <v>131</v>
      </c>
      <c r="J5" s="355" t="s">
        <v>588</v>
      </c>
      <c r="K5" s="208" t="str">
        <f>IF(J5&lt;&gt;"",VLOOKUP(J5,'Libro De Compras 2021'!D:E,2,0),"")</f>
        <v>PROYECTOS Y CONSTRUCCIONES TASCO LIMITADA</v>
      </c>
      <c r="L5" s="355">
        <v>2576</v>
      </c>
      <c r="M5" s="338"/>
    </row>
    <row r="6" spans="1:14" ht="17" customHeight="1" x14ac:dyDescent="0.25">
      <c r="A6" s="339"/>
      <c r="B6" s="340"/>
      <c r="C6" s="338"/>
      <c r="D6" s="340"/>
      <c r="E6" s="341"/>
      <c r="F6" s="345"/>
      <c r="G6" s="345"/>
      <c r="H6" s="338"/>
      <c r="I6" s="340"/>
      <c r="J6" s="340"/>
      <c r="K6" s="209"/>
      <c r="L6" s="340"/>
      <c r="M6" s="338"/>
    </row>
    <row r="7" spans="1:14" ht="17" customHeight="1" x14ac:dyDescent="0.25">
      <c r="A7" s="339">
        <v>43935</v>
      </c>
      <c r="B7" s="340">
        <v>4</v>
      </c>
      <c r="C7" s="338">
        <v>228</v>
      </c>
      <c r="D7" s="340" t="str">
        <f>VLOOKUP(C7,Plan!A:B,2,0)</f>
        <v>Proveedores CALI</v>
      </c>
      <c r="E7" s="341">
        <f>+F7-G7</f>
        <v>4146632</v>
      </c>
      <c r="F7" s="353">
        <v>4146632</v>
      </c>
      <c r="G7" s="353">
        <v>0</v>
      </c>
      <c r="H7" s="354" t="s">
        <v>630</v>
      </c>
      <c r="I7" s="355" t="s">
        <v>131</v>
      </c>
      <c r="J7" s="355" t="s">
        <v>605</v>
      </c>
      <c r="K7" s="364" t="str">
        <f>IF(J7&lt;&gt;"",VLOOKUP(J7,'Libro De Compras 2021'!D:E,2,0),"")</f>
        <v>COZ Y COMPAÃ‘IA S.A.</v>
      </c>
      <c r="L7" s="355">
        <v>5397</v>
      </c>
      <c r="M7" s="343"/>
    </row>
    <row r="8" spans="1:14" ht="17" customHeight="1" x14ac:dyDescent="0.25">
      <c r="A8" s="339">
        <v>43935</v>
      </c>
      <c r="B8" s="340">
        <v>4</v>
      </c>
      <c r="C8" s="338">
        <v>116</v>
      </c>
      <c r="D8" s="340" t="str">
        <f>VLOOKUP(C8,Plan!A:B,2,0)</f>
        <v>Disponible CALI Security</v>
      </c>
      <c r="E8" s="341">
        <f>+F8-G8</f>
        <v>-4146632</v>
      </c>
      <c r="F8" s="353"/>
      <c r="G8" s="353">
        <f>+F7</f>
        <v>4146632</v>
      </c>
      <c r="H8" s="354" t="str">
        <f>+H7</f>
        <v>Coz y Compañía F 5397</v>
      </c>
      <c r="I8" s="355" t="s">
        <v>131</v>
      </c>
      <c r="J8" s="355"/>
      <c r="K8" s="364"/>
      <c r="L8" s="355"/>
      <c r="M8" s="338"/>
      <c r="N8" t="str">
        <f>IF(M8&lt;&gt;"",VLOOKUP(M8,Plan!F:G,2,0),"")</f>
        <v/>
      </c>
    </row>
    <row r="9" spans="1:14" ht="17" customHeight="1" x14ac:dyDescent="0.25">
      <c r="A9" s="339"/>
      <c r="B9" s="340"/>
      <c r="C9" s="338"/>
      <c r="D9" s="340"/>
      <c r="E9" s="341"/>
      <c r="F9" s="353"/>
      <c r="G9" s="353"/>
      <c r="H9" s="354"/>
      <c r="I9" s="355"/>
      <c r="J9" s="355"/>
      <c r="K9" s="364"/>
      <c r="L9" s="355"/>
      <c r="M9" s="338"/>
    </row>
    <row r="10" spans="1:14" ht="17" customHeight="1" x14ac:dyDescent="0.25">
      <c r="A10" s="350">
        <v>43951</v>
      </c>
      <c r="B10" s="351">
        <v>4</v>
      </c>
      <c r="C10" s="338">
        <v>138</v>
      </c>
      <c r="D10" s="340" t="s">
        <v>613</v>
      </c>
      <c r="E10" s="341">
        <f>+F10-G10</f>
        <v>4146632</v>
      </c>
      <c r="F10" s="353">
        <v>4146632</v>
      </c>
      <c r="G10" s="353">
        <v>0</v>
      </c>
      <c r="H10" s="354" t="s">
        <v>630</v>
      </c>
      <c r="I10" s="355" t="s">
        <v>131</v>
      </c>
      <c r="J10" s="355" t="s">
        <v>605</v>
      </c>
      <c r="K10" s="364" t="str">
        <f>IF(J10&lt;&gt;"",VLOOKUP(J10,'Libro De Compras 2021'!D:E,2,0),"")</f>
        <v>COZ Y COMPAÃ‘IA S.A.</v>
      </c>
      <c r="L10" s="355">
        <v>5397</v>
      </c>
      <c r="M10" s="338" t="s">
        <v>614</v>
      </c>
      <c r="N10" t="str">
        <f>IF(M10&lt;&gt;"",VLOOKUP(M10,Plan!F:G,2,0),"")</f>
        <v>ITO</v>
      </c>
    </row>
    <row r="11" spans="1:14" ht="17" customHeight="1" x14ac:dyDescent="0.25">
      <c r="A11" s="350">
        <f>+A10</f>
        <v>43951</v>
      </c>
      <c r="B11" s="351">
        <v>4</v>
      </c>
      <c r="C11" s="338">
        <v>228</v>
      </c>
      <c r="D11" s="340" t="s">
        <v>611</v>
      </c>
      <c r="E11" s="341">
        <f>+F11-G11</f>
        <v>-4146632</v>
      </c>
      <c r="F11" s="353"/>
      <c r="G11" s="353">
        <f>+F10</f>
        <v>4146632</v>
      </c>
      <c r="H11" s="354" t="str">
        <f>+H10</f>
        <v>Coz y Compañía F 5397</v>
      </c>
      <c r="I11" s="355" t="s">
        <v>131</v>
      </c>
      <c r="J11" s="355" t="s">
        <v>605</v>
      </c>
      <c r="K11" s="364" t="str">
        <f>IF(J11&lt;&gt;"",VLOOKUP(J11,'Libro De Compras 2021'!D:E,2,0),"")</f>
        <v>COZ Y COMPAÃ‘IA S.A.</v>
      </c>
      <c r="L11" s="355">
        <v>5397</v>
      </c>
      <c r="M11" s="338"/>
    </row>
    <row r="12" spans="1:14" ht="17" customHeight="1" x14ac:dyDescent="0.25">
      <c r="A12" s="339"/>
      <c r="B12" s="340"/>
      <c r="C12" s="338"/>
      <c r="D12" s="340"/>
      <c r="E12" s="341"/>
      <c r="F12" s="345"/>
      <c r="G12" s="345"/>
      <c r="H12" s="338"/>
      <c r="I12" s="340"/>
      <c r="J12" s="340"/>
      <c r="K12" s="209"/>
      <c r="L12" s="340"/>
      <c r="M12" s="338"/>
    </row>
    <row r="13" spans="1:14" ht="17" customHeight="1" x14ac:dyDescent="0.25">
      <c r="A13" s="339">
        <v>43935</v>
      </c>
      <c r="B13" s="340">
        <v>4</v>
      </c>
      <c r="C13" s="338">
        <v>228</v>
      </c>
      <c r="D13" s="340" t="str">
        <f>VLOOKUP(C13,Plan!A:B,2,0)</f>
        <v>Proveedores CALI</v>
      </c>
      <c r="E13" s="341">
        <f>+F13-G13</f>
        <v>1002470</v>
      </c>
      <c r="F13" s="353">
        <v>1002470</v>
      </c>
      <c r="G13" s="353">
        <v>0</v>
      </c>
      <c r="H13" s="354" t="s">
        <v>631</v>
      </c>
      <c r="I13" s="355" t="s">
        <v>131</v>
      </c>
      <c r="J13" s="355" t="s">
        <v>598</v>
      </c>
      <c r="K13" s="364" t="str">
        <f>IF(J13&lt;&gt;"",VLOOKUP(J13,'Libro De Compras 2021'!D:E,2,0),"")</f>
        <v>CLARO ARQUITECTOS S.A</v>
      </c>
      <c r="L13" s="355">
        <v>293</v>
      </c>
      <c r="M13" s="343"/>
      <c r="N13" t="str">
        <f>IF(M13&lt;&gt;"",VLOOKUP(M13,Plan!F:G,2,0),"")</f>
        <v/>
      </c>
    </row>
    <row r="14" spans="1:14" ht="17" customHeight="1" x14ac:dyDescent="0.25">
      <c r="A14" s="339">
        <f>+A13</f>
        <v>43935</v>
      </c>
      <c r="B14" s="340">
        <f>+B13</f>
        <v>4</v>
      </c>
      <c r="C14" s="338">
        <v>116</v>
      </c>
      <c r="D14" s="340" t="str">
        <f>VLOOKUP(C14,Plan!A:B,2,0)</f>
        <v>Disponible CALI Security</v>
      </c>
      <c r="E14" s="341">
        <f>+F14-G14</f>
        <v>-1002470</v>
      </c>
      <c r="F14" s="353"/>
      <c r="G14" s="353">
        <f>+F13</f>
        <v>1002470</v>
      </c>
      <c r="H14" s="354" t="str">
        <f>+H13</f>
        <v>Claro Arquitectos F 293</v>
      </c>
      <c r="I14" s="355" t="s">
        <v>131</v>
      </c>
      <c r="J14" s="355"/>
      <c r="K14" s="364"/>
      <c r="L14" s="355"/>
      <c r="M14" s="338"/>
      <c r="N14" t="str">
        <f>IF(M14&lt;&gt;"",VLOOKUP(M14,Plan!F:G,2,0),"")</f>
        <v/>
      </c>
    </row>
    <row r="15" spans="1:14" ht="17" customHeight="1" x14ac:dyDescent="0.25">
      <c r="A15" s="339"/>
      <c r="B15" s="340"/>
      <c r="C15" s="338"/>
      <c r="D15" s="340"/>
      <c r="E15" s="341"/>
      <c r="F15" s="353"/>
      <c r="G15" s="353"/>
      <c r="H15" s="354"/>
      <c r="I15" s="355"/>
      <c r="J15" s="355"/>
      <c r="K15" s="364"/>
      <c r="L15" s="355"/>
      <c r="M15" s="338"/>
    </row>
    <row r="16" spans="1:14" ht="17" customHeight="1" x14ac:dyDescent="0.25">
      <c r="A16" s="350">
        <v>43951</v>
      </c>
      <c r="B16" s="351">
        <v>4</v>
      </c>
      <c r="C16" s="338">
        <v>135</v>
      </c>
      <c r="D16" s="340" t="s">
        <v>117</v>
      </c>
      <c r="E16" s="341">
        <f>+F16-G16</f>
        <v>1002470</v>
      </c>
      <c r="F16" s="353">
        <v>1002470</v>
      </c>
      <c r="G16" s="353">
        <v>0</v>
      </c>
      <c r="H16" s="354" t="s">
        <v>631</v>
      </c>
      <c r="I16" s="355" t="s">
        <v>131</v>
      </c>
      <c r="J16" s="355" t="s">
        <v>598</v>
      </c>
      <c r="K16" s="364" t="str">
        <f>IF(J16&lt;&gt;"",VLOOKUP(J16,'Libro De Compras 2021'!D:E,2,0),"")</f>
        <v>CLARO ARQUITECTOS S.A</v>
      </c>
      <c r="L16" s="355">
        <v>293</v>
      </c>
      <c r="M16" s="338"/>
    </row>
    <row r="17" spans="1:13" ht="17" customHeight="1" x14ac:dyDescent="0.25">
      <c r="A17" s="350">
        <f>+A16</f>
        <v>43951</v>
      </c>
      <c r="B17" s="351">
        <v>4</v>
      </c>
      <c r="C17" s="338">
        <v>228</v>
      </c>
      <c r="D17" s="340" t="s">
        <v>611</v>
      </c>
      <c r="E17" s="341">
        <f>+F17-G17</f>
        <v>-1002470</v>
      </c>
      <c r="F17" s="353"/>
      <c r="G17" s="353">
        <f>+F16</f>
        <v>1002470</v>
      </c>
      <c r="H17" s="354" t="str">
        <f>+H16</f>
        <v>Claro Arquitectos F 293</v>
      </c>
      <c r="I17" s="355" t="s">
        <v>131</v>
      </c>
      <c r="J17" s="355" t="s">
        <v>598</v>
      </c>
      <c r="K17" s="364" t="str">
        <f>IF(J17&lt;&gt;"",VLOOKUP(J17,'Libro De Compras 2021'!D:E,2,0),"")</f>
        <v>CLARO ARQUITECTOS S.A</v>
      </c>
      <c r="L17" s="355">
        <v>293</v>
      </c>
      <c r="M17" s="338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24">
    <tabColor rgb="FF002060"/>
  </sheetPr>
  <dimension ref="A1:L65"/>
  <sheetViews>
    <sheetView topLeftCell="A19" workbookViewId="0">
      <selection activeCell="I57" sqref="I57:K61"/>
    </sheetView>
  </sheetViews>
  <sheetFormatPr baseColWidth="10" defaultColWidth="3.296875" defaultRowHeight="14.3" x14ac:dyDescent="0.25"/>
  <cols>
    <col min="1" max="1" width="3.3984375" style="276" customWidth="1"/>
    <col min="2" max="2" width="3.09765625" style="276" bestFit="1" customWidth="1"/>
    <col min="3" max="3" width="5.3984375" style="276" bestFit="1" customWidth="1"/>
    <col min="4" max="4" width="8.3984375" style="276" bestFit="1" customWidth="1"/>
    <col min="5" max="5" width="8.69921875" style="276" bestFit="1" customWidth="1"/>
    <col min="6" max="6" width="19.69921875" style="276" customWidth="1"/>
    <col min="7" max="7" width="8.3984375" style="276" bestFit="1" customWidth="1"/>
    <col min="8" max="8" width="8.69921875" style="276" bestFit="1" customWidth="1"/>
    <col min="9" max="9" width="26.796875" style="276" bestFit="1" customWidth="1"/>
    <col min="10" max="10" width="6.19921875" style="276" bestFit="1" customWidth="1"/>
    <col min="11" max="11" width="7.59765625" style="276" bestFit="1" customWidth="1"/>
    <col min="12" max="12" width="6.19921875" style="276" bestFit="1" customWidth="1"/>
    <col min="13" max="16384" width="3.296875" style="276"/>
  </cols>
  <sheetData>
    <row r="1" spans="1:12" x14ac:dyDescent="0.25">
      <c r="A1" s="646" t="s">
        <v>412</v>
      </c>
      <c r="B1" s="647"/>
      <c r="C1" s="647"/>
      <c r="D1" s="648"/>
      <c r="E1" s="646" t="s">
        <v>429</v>
      </c>
      <c r="F1" s="647"/>
      <c r="G1" s="648"/>
      <c r="H1" s="646" t="s">
        <v>430</v>
      </c>
      <c r="I1" s="648"/>
      <c r="J1" s="646" t="s">
        <v>198</v>
      </c>
      <c r="K1" s="647"/>
      <c r="L1" s="648"/>
    </row>
    <row r="2" spans="1:12" x14ac:dyDescent="0.25">
      <c r="A2" s="277" t="s">
        <v>413</v>
      </c>
      <c r="B2" s="277" t="s">
        <v>414</v>
      </c>
      <c r="C2" s="277" t="s">
        <v>415</v>
      </c>
      <c r="D2" s="277" t="s">
        <v>431</v>
      </c>
      <c r="E2" s="277" t="s">
        <v>432</v>
      </c>
      <c r="F2" s="277" t="s">
        <v>433</v>
      </c>
      <c r="G2" s="277" t="s">
        <v>431</v>
      </c>
      <c r="H2" s="277" t="s">
        <v>432</v>
      </c>
      <c r="I2" s="277" t="s">
        <v>433</v>
      </c>
      <c r="J2" s="277" t="s">
        <v>419</v>
      </c>
      <c r="K2" s="277" t="s">
        <v>434</v>
      </c>
      <c r="L2" s="277" t="s">
        <v>421</v>
      </c>
    </row>
    <row r="3" spans="1:12" x14ac:dyDescent="0.25">
      <c r="A3" s="278" t="s">
        <v>461</v>
      </c>
      <c r="B3" s="279">
        <v>79</v>
      </c>
      <c r="C3" s="280" t="s">
        <v>422</v>
      </c>
      <c r="D3" s="281">
        <v>43833</v>
      </c>
      <c r="E3" s="282" t="s">
        <v>435</v>
      </c>
      <c r="F3" s="279" t="s">
        <v>83</v>
      </c>
      <c r="G3" s="281">
        <v>43833</v>
      </c>
      <c r="H3" s="282" t="s">
        <v>545</v>
      </c>
      <c r="I3" s="279" t="s">
        <v>546</v>
      </c>
      <c r="J3" s="283">
        <v>84000</v>
      </c>
      <c r="K3" s="283">
        <v>9030</v>
      </c>
      <c r="L3" s="283">
        <v>74970</v>
      </c>
    </row>
    <row r="4" spans="1:12" x14ac:dyDescent="0.25">
      <c r="A4" s="278" t="s">
        <v>461</v>
      </c>
      <c r="B4" s="279">
        <v>80</v>
      </c>
      <c r="C4" s="280" t="s">
        <v>422</v>
      </c>
      <c r="D4" s="281">
        <v>43853</v>
      </c>
      <c r="E4" s="282" t="s">
        <v>435</v>
      </c>
      <c r="F4" s="279" t="s">
        <v>83</v>
      </c>
      <c r="G4" s="281">
        <v>43853</v>
      </c>
      <c r="H4" s="282" t="s">
        <v>436</v>
      </c>
      <c r="I4" s="279" t="s">
        <v>437</v>
      </c>
      <c r="J4" s="283">
        <v>80000</v>
      </c>
      <c r="K4" s="283">
        <v>8600</v>
      </c>
      <c r="L4" s="283">
        <v>71400</v>
      </c>
    </row>
    <row r="5" spans="1:12" x14ac:dyDescent="0.25">
      <c r="A5" s="278" t="s">
        <v>461</v>
      </c>
      <c r="B5" s="279">
        <v>81</v>
      </c>
      <c r="C5" s="280" t="s">
        <v>422</v>
      </c>
      <c r="D5" s="281">
        <v>43853</v>
      </c>
      <c r="E5" s="282" t="s">
        <v>435</v>
      </c>
      <c r="F5" s="279" t="s">
        <v>83</v>
      </c>
      <c r="G5" s="281">
        <v>43853</v>
      </c>
      <c r="H5" s="282" t="s">
        <v>438</v>
      </c>
      <c r="I5" s="279" t="s">
        <v>439</v>
      </c>
      <c r="J5" s="283">
        <v>40000</v>
      </c>
      <c r="K5" s="283">
        <v>4300</v>
      </c>
      <c r="L5" s="283">
        <v>35700</v>
      </c>
    </row>
    <row r="6" spans="1:12" ht="14.95" thickBot="1" x14ac:dyDescent="0.3">
      <c r="A6" s="278" t="s">
        <v>461</v>
      </c>
      <c r="B6" s="279">
        <v>82</v>
      </c>
      <c r="C6" s="280" t="s">
        <v>422</v>
      </c>
      <c r="D6" s="281">
        <v>43853</v>
      </c>
      <c r="E6" s="282" t="s">
        <v>435</v>
      </c>
      <c r="F6" s="279" t="s">
        <v>83</v>
      </c>
      <c r="G6" s="281">
        <v>43853</v>
      </c>
      <c r="H6" s="282" t="s">
        <v>440</v>
      </c>
      <c r="I6" s="279" t="s">
        <v>441</v>
      </c>
      <c r="J6" s="331">
        <v>40000</v>
      </c>
      <c r="K6" s="331">
        <v>4300</v>
      </c>
      <c r="L6" s="331">
        <v>35700</v>
      </c>
    </row>
    <row r="7" spans="1:12" ht="14.95" thickBot="1" x14ac:dyDescent="0.3">
      <c r="A7" s="644" t="s">
        <v>442</v>
      </c>
      <c r="B7" s="645"/>
      <c r="C7" s="645"/>
      <c r="D7" s="645"/>
      <c r="E7" s="645"/>
      <c r="F7" s="645"/>
      <c r="G7" s="645"/>
      <c r="H7" s="645"/>
      <c r="I7" s="645"/>
      <c r="J7" s="332">
        <v>244000</v>
      </c>
      <c r="K7" s="333">
        <v>26230</v>
      </c>
      <c r="L7" s="335">
        <f>SUM(L3:L6)</f>
        <v>217770</v>
      </c>
    </row>
    <row r="9" spans="1:12" x14ac:dyDescent="0.25">
      <c r="A9" s="646" t="s">
        <v>412</v>
      </c>
      <c r="B9" s="647"/>
      <c r="C9" s="647"/>
      <c r="D9" s="648"/>
      <c r="E9" s="646" t="s">
        <v>429</v>
      </c>
      <c r="F9" s="647"/>
      <c r="G9" s="648"/>
      <c r="H9" s="646" t="s">
        <v>430</v>
      </c>
      <c r="I9" s="648"/>
      <c r="J9" s="646" t="s">
        <v>198</v>
      </c>
      <c r="K9" s="647"/>
      <c r="L9" s="648"/>
    </row>
    <row r="10" spans="1:12" x14ac:dyDescent="0.25">
      <c r="A10" s="277" t="s">
        <v>413</v>
      </c>
      <c r="B10" s="277" t="s">
        <v>414</v>
      </c>
      <c r="C10" s="277" t="s">
        <v>415</v>
      </c>
      <c r="D10" s="277" t="s">
        <v>431</v>
      </c>
      <c r="E10" s="277" t="s">
        <v>432</v>
      </c>
      <c r="F10" s="277" t="s">
        <v>433</v>
      </c>
      <c r="G10" s="277" t="s">
        <v>431</v>
      </c>
      <c r="H10" s="277" t="s">
        <v>432</v>
      </c>
      <c r="I10" s="277" t="s">
        <v>433</v>
      </c>
      <c r="J10" s="277" t="s">
        <v>419</v>
      </c>
      <c r="K10" s="277" t="s">
        <v>434</v>
      </c>
      <c r="L10" s="277" t="s">
        <v>421</v>
      </c>
    </row>
    <row r="11" spans="1:12" x14ac:dyDescent="0.25">
      <c r="A11" s="278" t="s">
        <v>461</v>
      </c>
      <c r="B11" s="279">
        <v>83</v>
      </c>
      <c r="C11" s="280" t="s">
        <v>422</v>
      </c>
      <c r="D11" s="281">
        <v>43877</v>
      </c>
      <c r="E11" s="282" t="s">
        <v>435</v>
      </c>
      <c r="F11" s="279" t="s">
        <v>83</v>
      </c>
      <c r="G11" s="281">
        <v>43877</v>
      </c>
      <c r="H11" s="282" t="s">
        <v>545</v>
      </c>
      <c r="I11" s="279" t="s">
        <v>546</v>
      </c>
      <c r="J11" s="283">
        <v>84000</v>
      </c>
      <c r="K11" s="283">
        <v>9030</v>
      </c>
      <c r="L11" s="283">
        <v>74970</v>
      </c>
    </row>
    <row r="12" spans="1:12" x14ac:dyDescent="0.25">
      <c r="A12" s="278" t="s">
        <v>461</v>
      </c>
      <c r="B12" s="279">
        <v>85</v>
      </c>
      <c r="C12" s="280" t="s">
        <v>422</v>
      </c>
      <c r="D12" s="281">
        <v>43877</v>
      </c>
      <c r="E12" s="282" t="s">
        <v>435</v>
      </c>
      <c r="F12" s="279" t="s">
        <v>83</v>
      </c>
      <c r="G12" s="281">
        <v>43877</v>
      </c>
      <c r="H12" s="282" t="s">
        <v>438</v>
      </c>
      <c r="I12" s="279" t="s">
        <v>439</v>
      </c>
      <c r="J12" s="283">
        <v>40000</v>
      </c>
      <c r="K12" s="283">
        <v>4300</v>
      </c>
      <c r="L12" s="283">
        <v>35700</v>
      </c>
    </row>
    <row r="13" spans="1:12" x14ac:dyDescent="0.25">
      <c r="A13" s="278" t="s">
        <v>461</v>
      </c>
      <c r="B13" s="279">
        <v>86</v>
      </c>
      <c r="C13" s="280" t="s">
        <v>422</v>
      </c>
      <c r="D13" s="281">
        <v>43877</v>
      </c>
      <c r="E13" s="282" t="s">
        <v>435</v>
      </c>
      <c r="F13" s="279" t="s">
        <v>83</v>
      </c>
      <c r="G13" s="281">
        <v>43877</v>
      </c>
      <c r="H13" s="282" t="s">
        <v>440</v>
      </c>
      <c r="I13" s="279" t="s">
        <v>441</v>
      </c>
      <c r="J13" s="283">
        <v>60000</v>
      </c>
      <c r="K13" s="283">
        <v>6450</v>
      </c>
      <c r="L13" s="283">
        <v>53550</v>
      </c>
    </row>
    <row r="14" spans="1:12" x14ac:dyDescent="0.25">
      <c r="A14" s="278" t="s">
        <v>461</v>
      </c>
      <c r="B14" s="279">
        <v>87</v>
      </c>
      <c r="C14" s="280" t="s">
        <v>422</v>
      </c>
      <c r="D14" s="281">
        <v>43878</v>
      </c>
      <c r="E14" s="282" t="s">
        <v>435</v>
      </c>
      <c r="F14" s="279" t="s">
        <v>83</v>
      </c>
      <c r="G14" s="281">
        <v>43878</v>
      </c>
      <c r="H14" s="282" t="s">
        <v>436</v>
      </c>
      <c r="I14" s="279" t="s">
        <v>437</v>
      </c>
      <c r="J14" s="283">
        <v>40000</v>
      </c>
      <c r="K14" s="283">
        <v>4300</v>
      </c>
      <c r="L14" s="283">
        <v>35700</v>
      </c>
    </row>
    <row r="15" spans="1:12" ht="14.95" thickBot="1" x14ac:dyDescent="0.3">
      <c r="A15" s="278" t="s">
        <v>461</v>
      </c>
      <c r="B15" s="279">
        <v>88</v>
      </c>
      <c r="C15" s="280" t="s">
        <v>422</v>
      </c>
      <c r="D15" s="281">
        <v>43886</v>
      </c>
      <c r="E15" s="282" t="s">
        <v>435</v>
      </c>
      <c r="F15" s="279" t="s">
        <v>83</v>
      </c>
      <c r="G15" s="281">
        <v>43886</v>
      </c>
      <c r="H15" s="282" t="s">
        <v>561</v>
      </c>
      <c r="I15" s="279" t="s">
        <v>562</v>
      </c>
      <c r="J15" s="283">
        <v>50420</v>
      </c>
      <c r="K15" s="283">
        <v>5420</v>
      </c>
      <c r="L15" s="283">
        <v>45000</v>
      </c>
    </row>
    <row r="16" spans="1:12" ht="14.95" thickBot="1" x14ac:dyDescent="0.3">
      <c r="A16" s="644" t="s">
        <v>442</v>
      </c>
      <c r="B16" s="645"/>
      <c r="C16" s="645"/>
      <c r="D16" s="645"/>
      <c r="E16" s="645"/>
      <c r="F16" s="645"/>
      <c r="G16" s="645"/>
      <c r="H16" s="645"/>
      <c r="I16" s="645"/>
      <c r="J16" s="332">
        <f>SUM(J11:J15)</f>
        <v>274420</v>
      </c>
      <c r="K16" s="333">
        <f>SUM(K11:K15)</f>
        <v>29500</v>
      </c>
      <c r="L16" s="335">
        <f>SUM(L11:L15)</f>
        <v>244920</v>
      </c>
    </row>
    <row r="18" spans="1:12" x14ac:dyDescent="0.25">
      <c r="A18" s="277" t="s">
        <v>412</v>
      </c>
      <c r="B18" s="277"/>
      <c r="C18" s="277"/>
      <c r="D18" s="277"/>
      <c r="E18" s="277" t="s">
        <v>429</v>
      </c>
      <c r="F18" s="277"/>
      <c r="G18" s="277"/>
      <c r="H18" s="277" t="s">
        <v>430</v>
      </c>
      <c r="I18" s="277"/>
      <c r="J18" s="277" t="s">
        <v>198</v>
      </c>
      <c r="K18" s="277"/>
      <c r="L18" s="277"/>
    </row>
    <row r="19" spans="1:12" x14ac:dyDescent="0.25">
      <c r="A19" s="278" t="s">
        <v>413</v>
      </c>
      <c r="B19" s="279" t="s">
        <v>414</v>
      </c>
      <c r="C19" s="280" t="s">
        <v>415</v>
      </c>
      <c r="D19" s="281" t="s">
        <v>431</v>
      </c>
      <c r="E19" s="282" t="s">
        <v>432</v>
      </c>
      <c r="F19" s="279" t="s">
        <v>433</v>
      </c>
      <c r="G19" s="281" t="s">
        <v>431</v>
      </c>
      <c r="H19" s="282" t="s">
        <v>432</v>
      </c>
      <c r="I19" s="279" t="s">
        <v>433</v>
      </c>
      <c r="J19" s="283" t="s">
        <v>419</v>
      </c>
      <c r="K19" s="283" t="s">
        <v>434</v>
      </c>
      <c r="L19" s="283" t="s">
        <v>421</v>
      </c>
    </row>
    <row r="20" spans="1:12" x14ac:dyDescent="0.25">
      <c r="A20" s="278" t="s">
        <v>461</v>
      </c>
      <c r="B20" s="279">
        <v>89</v>
      </c>
      <c r="C20" s="280" t="s">
        <v>422</v>
      </c>
      <c r="D20" s="281">
        <v>43915</v>
      </c>
      <c r="E20" s="282" t="s">
        <v>435</v>
      </c>
      <c r="F20" s="279" t="s">
        <v>83</v>
      </c>
      <c r="G20" s="281">
        <v>43915</v>
      </c>
      <c r="H20" s="282" t="s">
        <v>436</v>
      </c>
      <c r="I20" s="279" t="s">
        <v>437</v>
      </c>
      <c r="J20" s="283">
        <v>85154</v>
      </c>
      <c r="K20" s="283">
        <v>9154</v>
      </c>
      <c r="L20" s="283">
        <v>76000</v>
      </c>
    </row>
    <row r="21" spans="1:12" x14ac:dyDescent="0.25">
      <c r="A21" s="278" t="s">
        <v>461</v>
      </c>
      <c r="B21" s="279">
        <v>90</v>
      </c>
      <c r="C21" s="280" t="s">
        <v>422</v>
      </c>
      <c r="D21" s="281">
        <v>43915</v>
      </c>
      <c r="E21" s="282" t="s">
        <v>435</v>
      </c>
      <c r="F21" s="279" t="s">
        <v>83</v>
      </c>
      <c r="G21" s="281">
        <v>43915</v>
      </c>
      <c r="H21" s="282" t="s">
        <v>438</v>
      </c>
      <c r="I21" s="279" t="s">
        <v>439</v>
      </c>
      <c r="J21" s="283">
        <v>21289</v>
      </c>
      <c r="K21" s="283">
        <v>2289</v>
      </c>
      <c r="L21" s="283">
        <v>19000</v>
      </c>
    </row>
    <row r="22" spans="1:12" ht="14.95" thickBot="1" x14ac:dyDescent="0.3">
      <c r="A22" s="278" t="s">
        <v>461</v>
      </c>
      <c r="B22" s="279">
        <v>91</v>
      </c>
      <c r="C22" s="280" t="s">
        <v>422</v>
      </c>
      <c r="D22" s="281">
        <v>43915</v>
      </c>
      <c r="E22" s="282" t="s">
        <v>435</v>
      </c>
      <c r="F22" s="279" t="s">
        <v>83</v>
      </c>
      <c r="G22" s="281">
        <v>43915</v>
      </c>
      <c r="H22" s="282" t="s">
        <v>440</v>
      </c>
      <c r="I22" s="279" t="s">
        <v>441</v>
      </c>
      <c r="J22" s="283">
        <v>21289</v>
      </c>
      <c r="K22" s="283">
        <v>2289</v>
      </c>
      <c r="L22" s="283">
        <v>19000</v>
      </c>
    </row>
    <row r="23" spans="1:12" ht="14.95" thickBot="1" x14ac:dyDescent="0.3">
      <c r="A23" s="644" t="s">
        <v>442</v>
      </c>
      <c r="B23" s="645"/>
      <c r="C23" s="645"/>
      <c r="D23" s="645"/>
      <c r="E23" s="645"/>
      <c r="F23" s="645"/>
      <c r="G23" s="645"/>
      <c r="H23" s="645"/>
      <c r="I23" s="645"/>
      <c r="J23" s="332">
        <v>127732</v>
      </c>
      <c r="K23" s="333">
        <v>13732</v>
      </c>
      <c r="L23" s="335">
        <f>SUM(L20:L22)</f>
        <v>114000</v>
      </c>
    </row>
    <row r="25" spans="1:12" x14ac:dyDescent="0.25">
      <c r="A25" s="277" t="s">
        <v>412</v>
      </c>
      <c r="B25" s="277"/>
      <c r="C25" s="277"/>
      <c r="D25" s="277"/>
      <c r="E25" s="277" t="s">
        <v>429</v>
      </c>
      <c r="F25" s="277"/>
      <c r="G25" s="277"/>
      <c r="H25" s="277" t="s">
        <v>430</v>
      </c>
      <c r="I25" s="277"/>
      <c r="J25" s="277" t="s">
        <v>198</v>
      </c>
      <c r="K25" s="277"/>
      <c r="L25" s="277"/>
    </row>
    <row r="26" spans="1:12" x14ac:dyDescent="0.25">
      <c r="A26" s="278" t="s">
        <v>413</v>
      </c>
      <c r="B26" s="279" t="s">
        <v>414</v>
      </c>
      <c r="C26" s="280" t="s">
        <v>415</v>
      </c>
      <c r="D26" s="281" t="s">
        <v>431</v>
      </c>
      <c r="E26" s="282" t="s">
        <v>432</v>
      </c>
      <c r="F26" s="279" t="s">
        <v>433</v>
      </c>
      <c r="G26" s="281" t="s">
        <v>431</v>
      </c>
      <c r="H26" s="282" t="s">
        <v>432</v>
      </c>
      <c r="I26" s="279" t="s">
        <v>433</v>
      </c>
      <c r="J26" s="283" t="s">
        <v>419</v>
      </c>
      <c r="K26" s="283" t="s">
        <v>434</v>
      </c>
      <c r="L26" s="283" t="s">
        <v>421</v>
      </c>
    </row>
    <row r="27" spans="1:12" ht="14.95" thickBot="1" x14ac:dyDescent="0.3">
      <c r="A27" s="278"/>
      <c r="B27" s="279">
        <v>92</v>
      </c>
      <c r="C27" s="280" t="s">
        <v>422</v>
      </c>
      <c r="D27" s="281">
        <v>43946</v>
      </c>
      <c r="E27" s="282" t="s">
        <v>435</v>
      </c>
      <c r="F27" s="279" t="s">
        <v>83</v>
      </c>
      <c r="G27" s="281">
        <v>43946</v>
      </c>
      <c r="H27" s="282" t="s">
        <v>561</v>
      </c>
      <c r="I27" s="279" t="s">
        <v>562</v>
      </c>
      <c r="J27" s="283">
        <v>33613</v>
      </c>
      <c r="K27" s="283">
        <v>3613</v>
      </c>
      <c r="L27" s="283">
        <v>30000</v>
      </c>
    </row>
    <row r="28" spans="1:12" ht="14.95" thickBot="1" x14ac:dyDescent="0.3">
      <c r="A28" s="644" t="s">
        <v>442</v>
      </c>
      <c r="B28" s="645"/>
      <c r="C28" s="645"/>
      <c r="D28" s="645"/>
      <c r="E28" s="645"/>
      <c r="F28" s="645"/>
      <c r="G28" s="645"/>
      <c r="H28" s="645"/>
      <c r="I28" s="645"/>
      <c r="J28" s="332">
        <v>33613</v>
      </c>
      <c r="K28" s="333">
        <v>3613</v>
      </c>
      <c r="L28" s="335">
        <v>30000</v>
      </c>
    </row>
    <row r="29" spans="1:12" ht="15.65" x14ac:dyDescent="0.25">
      <c r="A29"/>
      <c r="B29"/>
      <c r="C29"/>
      <c r="D29"/>
      <c r="E29"/>
      <c r="F29"/>
      <c r="G29"/>
      <c r="H29"/>
      <c r="I29"/>
      <c r="J29"/>
      <c r="K29"/>
      <c r="L29"/>
    </row>
    <row r="30" spans="1:12" x14ac:dyDescent="0.25">
      <c r="A30" s="277" t="s">
        <v>412</v>
      </c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</row>
    <row r="31" spans="1:12" x14ac:dyDescent="0.25">
      <c r="A31" s="278" t="s">
        <v>413</v>
      </c>
      <c r="B31" s="279" t="s">
        <v>414</v>
      </c>
      <c r="C31" s="280" t="s">
        <v>415</v>
      </c>
      <c r="D31" s="281" t="s">
        <v>431</v>
      </c>
      <c r="E31" s="282" t="s">
        <v>432</v>
      </c>
      <c r="F31" s="279" t="s">
        <v>433</v>
      </c>
      <c r="G31" s="281" t="s">
        <v>431</v>
      </c>
      <c r="H31" s="282" t="s">
        <v>432</v>
      </c>
      <c r="I31" s="279" t="s">
        <v>433</v>
      </c>
      <c r="J31" s="283" t="s">
        <v>419</v>
      </c>
      <c r="K31" s="283" t="s">
        <v>434</v>
      </c>
      <c r="L31" s="283" t="s">
        <v>421</v>
      </c>
    </row>
    <row r="32" spans="1:12" ht="14.95" thickBot="1" x14ac:dyDescent="0.3">
      <c r="A32" s="278"/>
      <c r="B32" s="279">
        <v>93</v>
      </c>
      <c r="C32" s="280" t="s">
        <v>422</v>
      </c>
      <c r="D32" s="281">
        <v>43977</v>
      </c>
      <c r="E32" s="282" t="s">
        <v>435</v>
      </c>
      <c r="F32" s="279" t="s">
        <v>83</v>
      </c>
      <c r="G32" s="281">
        <v>43977</v>
      </c>
      <c r="H32" s="282" t="s">
        <v>561</v>
      </c>
      <c r="I32" s="279" t="s">
        <v>562</v>
      </c>
      <c r="J32" s="283">
        <v>50420</v>
      </c>
      <c r="K32" s="283">
        <v>5420</v>
      </c>
      <c r="L32" s="283">
        <v>45000</v>
      </c>
    </row>
    <row r="33" spans="1:12" ht="14.95" thickBot="1" x14ac:dyDescent="0.3">
      <c r="A33" s="644" t="s">
        <v>442</v>
      </c>
      <c r="B33" s="645"/>
      <c r="C33" s="645"/>
      <c r="D33" s="645"/>
      <c r="E33" s="645"/>
      <c r="F33" s="645"/>
      <c r="G33" s="645"/>
      <c r="H33" s="645"/>
      <c r="I33" s="645"/>
      <c r="J33" s="332">
        <v>50420</v>
      </c>
      <c r="K33" s="333">
        <v>5420</v>
      </c>
      <c r="L33" s="335">
        <f>SUM(L32)</f>
        <v>45000</v>
      </c>
    </row>
    <row r="35" spans="1:12" x14ac:dyDescent="0.25">
      <c r="A35" s="277" t="s">
        <v>412</v>
      </c>
      <c r="B35" s="277"/>
      <c r="C35" s="277"/>
      <c r="D35" s="277"/>
      <c r="E35" s="277"/>
      <c r="F35" s="277"/>
      <c r="G35" s="277"/>
      <c r="H35" s="277"/>
      <c r="I35" s="277"/>
      <c r="J35" s="277"/>
      <c r="K35" s="277"/>
      <c r="L35" s="277"/>
    </row>
    <row r="36" spans="1:12" x14ac:dyDescent="0.25">
      <c r="A36" s="278" t="s">
        <v>413</v>
      </c>
      <c r="B36" s="279" t="s">
        <v>414</v>
      </c>
      <c r="C36" s="280" t="s">
        <v>415</v>
      </c>
      <c r="D36" s="281" t="s">
        <v>431</v>
      </c>
      <c r="E36" s="282" t="s">
        <v>432</v>
      </c>
      <c r="F36" s="279" t="s">
        <v>433</v>
      </c>
      <c r="G36" s="281" t="s">
        <v>431</v>
      </c>
      <c r="H36" s="282" t="s">
        <v>432</v>
      </c>
      <c r="I36" s="279" t="s">
        <v>433</v>
      </c>
      <c r="J36" s="283" t="s">
        <v>419</v>
      </c>
      <c r="K36" s="283" t="s">
        <v>434</v>
      </c>
      <c r="L36" s="283" t="s">
        <v>421</v>
      </c>
    </row>
    <row r="37" spans="1:12" ht="14.95" thickBot="1" x14ac:dyDescent="0.3">
      <c r="A37" s="278"/>
      <c r="B37" s="279">
        <v>94</v>
      </c>
      <c r="C37" s="280" t="s">
        <v>422</v>
      </c>
      <c r="D37" s="281">
        <v>44069</v>
      </c>
      <c r="E37" s="282" t="s">
        <v>435</v>
      </c>
      <c r="F37" s="279" t="s">
        <v>83</v>
      </c>
      <c r="G37" s="281">
        <v>43977</v>
      </c>
      <c r="H37" s="282" t="s">
        <v>561</v>
      </c>
      <c r="I37" s="279" t="s">
        <v>562</v>
      </c>
      <c r="J37" s="283">
        <v>33613</v>
      </c>
      <c r="K37" s="283">
        <v>3613</v>
      </c>
      <c r="L37" s="383">
        <v>30000</v>
      </c>
    </row>
    <row r="38" spans="1:12" ht="14.95" thickBot="1" x14ac:dyDescent="0.3">
      <c r="A38" s="644" t="s">
        <v>442</v>
      </c>
      <c r="B38" s="645"/>
      <c r="C38" s="645"/>
      <c r="D38" s="645"/>
      <c r="E38" s="645"/>
      <c r="F38" s="645"/>
      <c r="G38" s="645"/>
      <c r="H38" s="645"/>
      <c r="I38" s="645"/>
      <c r="J38" s="332">
        <v>33613</v>
      </c>
      <c r="K38" s="333">
        <v>3613</v>
      </c>
      <c r="L38" s="335">
        <f>SUM(L37)</f>
        <v>30000</v>
      </c>
    </row>
    <row r="40" spans="1:12" x14ac:dyDescent="0.25">
      <c r="A40" s="277" t="s">
        <v>412</v>
      </c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7"/>
    </row>
    <row r="41" spans="1:12" x14ac:dyDescent="0.25">
      <c r="A41" s="278" t="s">
        <v>413</v>
      </c>
      <c r="B41" s="279" t="s">
        <v>414</v>
      </c>
      <c r="C41" s="280" t="s">
        <v>415</v>
      </c>
      <c r="D41" s="281" t="s">
        <v>431</v>
      </c>
      <c r="E41" s="282" t="s">
        <v>432</v>
      </c>
      <c r="F41" s="279" t="s">
        <v>433</v>
      </c>
      <c r="G41" s="281" t="s">
        <v>431</v>
      </c>
      <c r="H41" s="282" t="s">
        <v>432</v>
      </c>
      <c r="I41" s="279" t="s">
        <v>433</v>
      </c>
      <c r="J41" s="283" t="s">
        <v>419</v>
      </c>
      <c r="K41" s="283" t="s">
        <v>434</v>
      </c>
      <c r="L41" s="283" t="s">
        <v>421</v>
      </c>
    </row>
    <row r="42" spans="1:12" ht="14.95" thickBot="1" x14ac:dyDescent="0.3">
      <c r="A42" s="278"/>
      <c r="B42" s="279">
        <v>95</v>
      </c>
      <c r="C42" s="280" t="s">
        <v>422</v>
      </c>
      <c r="D42" s="281">
        <v>44101</v>
      </c>
      <c r="E42" s="282" t="s">
        <v>435</v>
      </c>
      <c r="F42" s="279" t="s">
        <v>83</v>
      </c>
      <c r="G42" s="281">
        <v>43977</v>
      </c>
      <c r="H42" s="282" t="s">
        <v>561</v>
      </c>
      <c r="I42" s="279" t="s">
        <v>562</v>
      </c>
      <c r="J42" s="283">
        <v>33613</v>
      </c>
      <c r="K42" s="283">
        <v>3613</v>
      </c>
      <c r="L42" s="383">
        <v>30000</v>
      </c>
    </row>
    <row r="43" spans="1:12" ht="14.95" thickBot="1" x14ac:dyDescent="0.3">
      <c r="A43" s="644" t="s">
        <v>442</v>
      </c>
      <c r="B43" s="645"/>
      <c r="C43" s="645"/>
      <c r="D43" s="645"/>
      <c r="E43" s="645"/>
      <c r="F43" s="645"/>
      <c r="G43" s="645"/>
      <c r="H43" s="645"/>
      <c r="I43" s="645"/>
      <c r="J43" s="332">
        <v>33613</v>
      </c>
      <c r="K43" s="333">
        <v>3613</v>
      </c>
      <c r="L43" s="335">
        <f>SUM(L42)</f>
        <v>30000</v>
      </c>
    </row>
    <row r="45" spans="1:12" x14ac:dyDescent="0.25">
      <c r="A45" s="277" t="s">
        <v>412</v>
      </c>
      <c r="B45" s="277"/>
      <c r="C45" s="277"/>
      <c r="D45" s="277"/>
      <c r="E45" s="277" t="s">
        <v>429</v>
      </c>
      <c r="F45" s="277"/>
      <c r="G45" s="277"/>
      <c r="H45" s="277" t="s">
        <v>430</v>
      </c>
      <c r="I45" s="277"/>
      <c r="J45" s="277" t="s">
        <v>198</v>
      </c>
      <c r="K45" s="277"/>
      <c r="L45" s="277"/>
    </row>
    <row r="46" spans="1:12" x14ac:dyDescent="0.25">
      <c r="A46" s="278" t="s">
        <v>413</v>
      </c>
      <c r="B46" s="279" t="s">
        <v>414</v>
      </c>
      <c r="C46" s="280" t="s">
        <v>415</v>
      </c>
      <c r="D46" s="281" t="s">
        <v>431</v>
      </c>
      <c r="E46" s="282" t="s">
        <v>432</v>
      </c>
      <c r="F46" s="279" t="s">
        <v>433</v>
      </c>
      <c r="G46" s="281" t="s">
        <v>431</v>
      </c>
      <c r="H46" s="282" t="s">
        <v>432</v>
      </c>
      <c r="I46" s="279" t="s">
        <v>433</v>
      </c>
      <c r="J46" s="283" t="s">
        <v>419</v>
      </c>
      <c r="K46" s="283" t="s">
        <v>434</v>
      </c>
      <c r="L46" s="283" t="s">
        <v>421</v>
      </c>
    </row>
    <row r="47" spans="1:12" ht="14.95" thickBot="1" x14ac:dyDescent="0.3">
      <c r="A47" s="278" t="s">
        <v>461</v>
      </c>
      <c r="B47" s="279">
        <v>96</v>
      </c>
      <c r="C47" s="280" t="s">
        <v>422</v>
      </c>
      <c r="D47" s="281">
        <v>44132</v>
      </c>
      <c r="E47" s="282" t="s">
        <v>435</v>
      </c>
      <c r="F47" s="279" t="s">
        <v>83</v>
      </c>
      <c r="G47" s="281">
        <v>44132</v>
      </c>
      <c r="H47" s="282" t="s">
        <v>561</v>
      </c>
      <c r="I47" s="279" t="s">
        <v>562</v>
      </c>
      <c r="J47" s="283">
        <v>33613</v>
      </c>
      <c r="K47" s="283">
        <v>3613</v>
      </c>
      <c r="L47" s="383">
        <v>30000</v>
      </c>
    </row>
    <row r="48" spans="1:12" ht="14.95" thickBot="1" x14ac:dyDescent="0.3">
      <c r="A48" s="644" t="s">
        <v>442</v>
      </c>
      <c r="B48" s="645"/>
      <c r="C48" s="645"/>
      <c r="D48" s="645"/>
      <c r="E48" s="645"/>
      <c r="F48" s="645"/>
      <c r="G48" s="645"/>
      <c r="H48" s="645"/>
      <c r="I48" s="645"/>
      <c r="J48" s="332">
        <v>33613</v>
      </c>
      <c r="K48" s="333">
        <v>3613</v>
      </c>
      <c r="L48" s="335">
        <f>SUM(L47)</f>
        <v>30000</v>
      </c>
    </row>
    <row r="50" spans="1:12" x14ac:dyDescent="0.25">
      <c r="A50" s="277" t="s">
        <v>412</v>
      </c>
      <c r="B50" s="277"/>
      <c r="C50" s="277"/>
      <c r="D50" s="277"/>
      <c r="E50" s="277" t="s">
        <v>429</v>
      </c>
      <c r="F50" s="277"/>
      <c r="G50" s="277"/>
      <c r="H50" s="277" t="s">
        <v>430</v>
      </c>
      <c r="I50" s="277"/>
      <c r="J50" s="277" t="s">
        <v>198</v>
      </c>
      <c r="K50" s="277"/>
      <c r="L50" s="277"/>
    </row>
    <row r="51" spans="1:12" x14ac:dyDescent="0.25">
      <c r="A51" s="278" t="s">
        <v>413</v>
      </c>
      <c r="B51" s="279" t="s">
        <v>414</v>
      </c>
      <c r="C51" s="280" t="s">
        <v>415</v>
      </c>
      <c r="D51" s="281" t="s">
        <v>431</v>
      </c>
      <c r="E51" s="282" t="s">
        <v>432</v>
      </c>
      <c r="F51" s="279" t="s">
        <v>433</v>
      </c>
      <c r="G51" s="281" t="s">
        <v>431</v>
      </c>
      <c r="H51" s="282" t="s">
        <v>432</v>
      </c>
      <c r="I51" s="279" t="s">
        <v>433</v>
      </c>
      <c r="J51" s="283" t="s">
        <v>419</v>
      </c>
      <c r="K51" s="283" t="s">
        <v>434</v>
      </c>
      <c r="L51" s="283" t="s">
        <v>421</v>
      </c>
    </row>
    <row r="52" spans="1:12" ht="14.95" thickBot="1" x14ac:dyDescent="0.3">
      <c r="A52" s="278" t="s">
        <v>461</v>
      </c>
      <c r="B52" s="279">
        <v>97</v>
      </c>
      <c r="C52" s="280" t="s">
        <v>422</v>
      </c>
      <c r="D52" s="281">
        <v>44160</v>
      </c>
      <c r="E52" s="282" t="s">
        <v>435</v>
      </c>
      <c r="F52" s="279" t="s">
        <v>83</v>
      </c>
      <c r="G52" s="281">
        <v>44160</v>
      </c>
      <c r="H52" s="282" t="s">
        <v>561</v>
      </c>
      <c r="I52" s="279" t="s">
        <v>562</v>
      </c>
      <c r="J52" s="283">
        <v>33613</v>
      </c>
      <c r="K52" s="283">
        <v>3613</v>
      </c>
      <c r="L52" s="383">
        <v>30000</v>
      </c>
    </row>
    <row r="53" spans="1:12" ht="14.95" thickBot="1" x14ac:dyDescent="0.3">
      <c r="A53" s="644" t="s">
        <v>442</v>
      </c>
      <c r="B53" s="645"/>
      <c r="C53" s="645"/>
      <c r="D53" s="645"/>
      <c r="E53" s="645"/>
      <c r="F53" s="645"/>
      <c r="G53" s="645"/>
      <c r="H53" s="645"/>
      <c r="I53" s="645"/>
      <c r="J53" s="332">
        <v>33613</v>
      </c>
      <c r="K53" s="333">
        <v>3613</v>
      </c>
      <c r="L53" s="335">
        <f>SUM(L52)</f>
        <v>30000</v>
      </c>
    </row>
    <row r="55" spans="1:12" x14ac:dyDescent="0.25">
      <c r="A55" s="277" t="s">
        <v>412</v>
      </c>
      <c r="B55" s="277"/>
      <c r="C55" s="277"/>
      <c r="D55" s="277"/>
      <c r="E55" s="277" t="s">
        <v>429</v>
      </c>
      <c r="F55" s="277"/>
      <c r="G55" s="277"/>
      <c r="H55" s="277" t="s">
        <v>430</v>
      </c>
      <c r="I55" s="277"/>
      <c r="J55" s="277" t="s">
        <v>198</v>
      </c>
      <c r="K55" s="277"/>
      <c r="L55" s="277"/>
    </row>
    <row r="56" spans="1:12" x14ac:dyDescent="0.25">
      <c r="A56" s="278" t="s">
        <v>413</v>
      </c>
      <c r="B56" s="279" t="s">
        <v>414</v>
      </c>
      <c r="C56" s="280" t="s">
        <v>415</v>
      </c>
      <c r="D56" s="281" t="s">
        <v>431</v>
      </c>
      <c r="E56" s="282" t="s">
        <v>432</v>
      </c>
      <c r="F56" s="279" t="s">
        <v>433</v>
      </c>
      <c r="G56" s="281" t="s">
        <v>431</v>
      </c>
      <c r="H56" s="282" t="s">
        <v>432</v>
      </c>
      <c r="I56" s="279" t="s">
        <v>433</v>
      </c>
      <c r="J56" s="283" t="s">
        <v>419</v>
      </c>
      <c r="K56" s="283" t="s">
        <v>434</v>
      </c>
      <c r="L56" s="283" t="s">
        <v>421</v>
      </c>
    </row>
    <row r="57" spans="1:12" x14ac:dyDescent="0.25">
      <c r="A57" s="278" t="s">
        <v>461</v>
      </c>
      <c r="B57" s="279">
        <v>98</v>
      </c>
      <c r="C57" s="280" t="s">
        <v>422</v>
      </c>
      <c r="D57" s="281">
        <v>44178</v>
      </c>
      <c r="E57" s="282" t="s">
        <v>435</v>
      </c>
      <c r="F57" s="279" t="s">
        <v>83</v>
      </c>
      <c r="G57" s="281">
        <v>44178</v>
      </c>
      <c r="H57" s="282" t="s">
        <v>436</v>
      </c>
      <c r="I57" s="279" t="s">
        <v>437</v>
      </c>
      <c r="J57" s="283">
        <v>20000</v>
      </c>
      <c r="K57" s="383">
        <v>2150</v>
      </c>
      <c r="L57" s="383">
        <v>17850</v>
      </c>
    </row>
    <row r="58" spans="1:12" x14ac:dyDescent="0.25">
      <c r="A58" s="278" t="s">
        <v>461</v>
      </c>
      <c r="B58" s="279">
        <v>99</v>
      </c>
      <c r="C58" s="280" t="s">
        <v>422</v>
      </c>
      <c r="D58" s="281">
        <v>44178</v>
      </c>
      <c r="E58" s="282" t="s">
        <v>435</v>
      </c>
      <c r="F58" s="279" t="s">
        <v>83</v>
      </c>
      <c r="G58" s="281">
        <v>44178</v>
      </c>
      <c r="H58" s="282" t="s">
        <v>671</v>
      </c>
      <c r="I58" s="279" t="s">
        <v>672</v>
      </c>
      <c r="J58" s="283">
        <v>80000</v>
      </c>
      <c r="K58" s="383">
        <v>8600</v>
      </c>
      <c r="L58" s="383">
        <v>71400</v>
      </c>
    </row>
    <row r="59" spans="1:12" x14ac:dyDescent="0.25">
      <c r="A59" s="278" t="s">
        <v>461</v>
      </c>
      <c r="B59" s="279">
        <v>100</v>
      </c>
      <c r="C59" s="280" t="s">
        <v>422</v>
      </c>
      <c r="D59" s="281">
        <v>44193</v>
      </c>
      <c r="E59" s="282" t="s">
        <v>435</v>
      </c>
      <c r="F59" s="279" t="s">
        <v>83</v>
      </c>
      <c r="G59" s="281">
        <v>44193</v>
      </c>
      <c r="H59" s="282" t="s">
        <v>561</v>
      </c>
      <c r="I59" s="279" t="s">
        <v>562</v>
      </c>
      <c r="J59" s="283">
        <v>61625</v>
      </c>
      <c r="K59" s="383">
        <v>6625</v>
      </c>
      <c r="L59" s="383">
        <v>55000</v>
      </c>
    </row>
    <row r="60" spans="1:12" x14ac:dyDescent="0.25">
      <c r="A60" s="278" t="s">
        <v>461</v>
      </c>
      <c r="B60" s="279">
        <v>101</v>
      </c>
      <c r="C60" s="280" t="s">
        <v>422</v>
      </c>
      <c r="D60" s="281">
        <v>44194</v>
      </c>
      <c r="E60" s="282" t="s">
        <v>435</v>
      </c>
      <c r="F60" s="279" t="s">
        <v>83</v>
      </c>
      <c r="G60" s="281">
        <v>44194</v>
      </c>
      <c r="H60" s="282" t="s">
        <v>436</v>
      </c>
      <c r="I60" s="279" t="s">
        <v>437</v>
      </c>
      <c r="J60" s="283">
        <v>20000</v>
      </c>
      <c r="K60" s="383">
        <v>2150</v>
      </c>
      <c r="L60" s="383">
        <v>17850</v>
      </c>
    </row>
    <row r="61" spans="1:12" ht="14.95" thickBot="1" x14ac:dyDescent="0.3">
      <c r="A61" s="278" t="s">
        <v>461</v>
      </c>
      <c r="B61" s="279">
        <v>102</v>
      </c>
      <c r="C61" s="280" t="s">
        <v>422</v>
      </c>
      <c r="D61" s="281">
        <v>44194</v>
      </c>
      <c r="E61" s="282" t="s">
        <v>435</v>
      </c>
      <c r="F61" s="279" t="s">
        <v>83</v>
      </c>
      <c r="G61" s="281">
        <v>44194</v>
      </c>
      <c r="H61" s="282" t="s">
        <v>671</v>
      </c>
      <c r="I61" s="279" t="s">
        <v>672</v>
      </c>
      <c r="J61" s="283">
        <v>40000</v>
      </c>
      <c r="K61" s="383">
        <v>4300</v>
      </c>
      <c r="L61" s="383">
        <v>35700</v>
      </c>
    </row>
    <row r="62" spans="1:12" ht="14.95" thickBot="1" x14ac:dyDescent="0.3">
      <c r="A62" s="644" t="s">
        <v>442</v>
      </c>
      <c r="B62" s="645"/>
      <c r="C62" s="645"/>
      <c r="D62" s="645"/>
      <c r="E62" s="645"/>
      <c r="F62" s="645"/>
      <c r="G62" s="645"/>
      <c r="H62" s="645"/>
      <c r="I62" s="645"/>
      <c r="J62" s="332">
        <v>221625</v>
      </c>
      <c r="K62" s="333">
        <v>23825</v>
      </c>
      <c r="L62" s="335">
        <f>SUM(L57:L61)</f>
        <v>197800</v>
      </c>
    </row>
    <row r="65" spans="11:11" x14ac:dyDescent="0.25">
      <c r="K65" s="384" t="e">
        <f>+K62+#REF!</f>
        <v>#REF!</v>
      </c>
    </row>
  </sheetData>
  <mergeCells count="18">
    <mergeCell ref="J1:L1"/>
    <mergeCell ref="A7:I7"/>
    <mergeCell ref="A9:D9"/>
    <mergeCell ref="E9:G9"/>
    <mergeCell ref="H9:I9"/>
    <mergeCell ref="J9:L9"/>
    <mergeCell ref="A62:I62"/>
    <mergeCell ref="A48:I48"/>
    <mergeCell ref="A53:I53"/>
    <mergeCell ref="A1:D1"/>
    <mergeCell ref="E1:G1"/>
    <mergeCell ref="H1:I1"/>
    <mergeCell ref="A38:I38"/>
    <mergeCell ref="A43:I43"/>
    <mergeCell ref="A33:I33"/>
    <mergeCell ref="A28:I28"/>
    <mergeCell ref="A23:I23"/>
    <mergeCell ref="A16:I16"/>
  </mergeCells>
  <hyperlinks>
    <hyperlink ref="C27" r:id="rId1" display="javascript:void(0);" xr:uid="{00000000-0004-0000-1F00-000000000000}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>
    <tabColor rgb="FFFFFF00"/>
  </sheetPr>
  <dimension ref="A1:J10902"/>
  <sheetViews>
    <sheetView topLeftCell="A22" zoomScaleNormal="100" workbookViewId="0">
      <selection activeCell="F37" sqref="F37"/>
    </sheetView>
  </sheetViews>
  <sheetFormatPr baseColWidth="10" defaultColWidth="8.796875" defaultRowHeight="12.9" x14ac:dyDescent="0.2"/>
  <cols>
    <col min="1" max="1" width="5.19921875" style="10" customWidth="1"/>
    <col min="2" max="2" width="23.19921875" style="10" customWidth="1"/>
    <col min="3" max="3" width="11.19921875" style="10" customWidth="1"/>
    <col min="4" max="4" width="1.3984375" style="10" customWidth="1"/>
    <col min="5" max="5" width="23.19921875" style="10" customWidth="1"/>
    <col min="6" max="6" width="11.19921875" style="10" customWidth="1"/>
    <col min="7" max="9" width="8.796875" style="10"/>
    <col min="10" max="10" width="10" style="10" bestFit="1" customWidth="1"/>
    <col min="11" max="16384" width="8.796875" style="10"/>
  </cols>
  <sheetData>
    <row r="1" spans="2:10" ht="13.6" x14ac:dyDescent="0.25">
      <c r="B1" s="599" t="s">
        <v>83</v>
      </c>
      <c r="C1" s="599"/>
      <c r="D1" s="599"/>
      <c r="E1" s="599"/>
      <c r="F1" s="599"/>
      <c r="H1" s="10" t="s">
        <v>116</v>
      </c>
    </row>
    <row r="2" spans="2:10" ht="13.6" x14ac:dyDescent="0.25">
      <c r="E2" s="11"/>
    </row>
    <row r="3" spans="2:10" ht="13.6" x14ac:dyDescent="0.25">
      <c r="B3" s="599" t="s">
        <v>45</v>
      </c>
      <c r="C3" s="599"/>
      <c r="D3" s="599"/>
      <c r="E3" s="599"/>
      <c r="F3" s="599"/>
    </row>
    <row r="4" spans="2:10" ht="13.6" x14ac:dyDescent="0.25">
      <c r="E4" s="11"/>
    </row>
    <row r="5" spans="2:10" ht="13.6" x14ac:dyDescent="0.25">
      <c r="B5" s="599" t="s">
        <v>24</v>
      </c>
      <c r="C5" s="599"/>
      <c r="D5" s="599"/>
      <c r="E5" s="599"/>
      <c r="F5" s="599"/>
    </row>
    <row r="6" spans="2:10" ht="13.6" x14ac:dyDescent="0.25">
      <c r="B6" s="599" t="s">
        <v>2552</v>
      </c>
      <c r="C6" s="599"/>
      <c r="D6" s="599"/>
      <c r="E6" s="599"/>
      <c r="F6" s="599"/>
    </row>
    <row r="7" spans="2:10" ht="13.6" x14ac:dyDescent="0.25">
      <c r="B7" s="11" t="s">
        <v>48</v>
      </c>
      <c r="C7" s="12"/>
      <c r="D7" s="12"/>
      <c r="E7" s="12"/>
      <c r="F7" s="12"/>
    </row>
    <row r="8" spans="2:10" ht="13.6" x14ac:dyDescent="0.25">
      <c r="B8" s="12"/>
      <c r="C8" s="12"/>
      <c r="D8" s="12"/>
      <c r="E8" s="12"/>
      <c r="F8" s="12"/>
    </row>
    <row r="9" spans="2:10" ht="13.6" x14ac:dyDescent="0.25">
      <c r="B9" s="12"/>
      <c r="C9" s="12"/>
      <c r="D9" s="12"/>
      <c r="E9" s="12"/>
      <c r="F9" s="12"/>
    </row>
    <row r="10" spans="2:10" x14ac:dyDescent="0.2">
      <c r="E10" s="13"/>
    </row>
    <row r="11" spans="2:10" s="14" customFormat="1" ht="13.6" x14ac:dyDescent="0.25">
      <c r="B11" s="11" t="s">
        <v>25</v>
      </c>
      <c r="C11" s="15"/>
      <c r="D11" s="11"/>
      <c r="E11" s="11" t="s">
        <v>26</v>
      </c>
      <c r="F11" s="15"/>
    </row>
    <row r="12" spans="2:10" s="14" customFormat="1" ht="13.6" x14ac:dyDescent="0.25"/>
    <row r="13" spans="2:10" s="14" customFormat="1" ht="13.6" x14ac:dyDescent="0.25">
      <c r="B13" s="14" t="s">
        <v>28</v>
      </c>
      <c r="C13" s="11" t="s">
        <v>27</v>
      </c>
      <c r="E13" s="14" t="s">
        <v>29</v>
      </c>
      <c r="F13" s="11" t="s">
        <v>27</v>
      </c>
    </row>
    <row r="14" spans="2:10" x14ac:dyDescent="0.2">
      <c r="B14" s="16" t="s">
        <v>30</v>
      </c>
      <c r="C14" s="17">
        <f>+'Balance mensual administracion'!N11+'Balance mensual administracion'!N16+'Balance mensual administracion'!N12</f>
        <v>6645316</v>
      </c>
      <c r="E14" s="16" t="s">
        <v>379</v>
      </c>
      <c r="F14" s="10">
        <f>+'Balance mensual administracion'!N37</f>
        <v>138437194</v>
      </c>
      <c r="J14" s="10">
        <f>+F14-C17</f>
        <v>138437194</v>
      </c>
    </row>
    <row r="15" spans="2:10" x14ac:dyDescent="0.2">
      <c r="B15" s="16" t="s">
        <v>68</v>
      </c>
      <c r="C15" s="17">
        <f>+'Balance mensual administracion'!N13</f>
        <v>0</v>
      </c>
      <c r="E15" s="16" t="s">
        <v>41</v>
      </c>
      <c r="F15" s="10">
        <f>+'Balance mensual administracion'!N38</f>
        <v>0</v>
      </c>
      <c r="G15" s="10" t="s">
        <v>48</v>
      </c>
      <c r="J15" s="10">
        <v>-108070076</v>
      </c>
    </row>
    <row r="16" spans="2:10" x14ac:dyDescent="0.2">
      <c r="B16" s="16" t="s">
        <v>152</v>
      </c>
      <c r="C16" s="17">
        <f>+'Balance mensual administracion'!N19</f>
        <v>0</v>
      </c>
      <c r="E16" s="16" t="s">
        <v>380</v>
      </c>
      <c r="F16" s="10">
        <f>+'Balance mensual administracion'!N41</f>
        <v>807251</v>
      </c>
      <c r="G16" s="10" t="s">
        <v>48</v>
      </c>
    </row>
    <row r="17" spans="2:10" x14ac:dyDescent="0.2">
      <c r="B17" s="16" t="s">
        <v>867</v>
      </c>
      <c r="C17" s="17">
        <f>+'Balance mensual administracion'!N17+'Balance mensual administracion'!N18</f>
        <v>0</v>
      </c>
      <c r="E17" s="16" t="s">
        <v>74</v>
      </c>
      <c r="F17" s="10">
        <f>+'Balance mensual administracion'!N42</f>
        <v>0</v>
      </c>
      <c r="J17" s="10">
        <f>SUM(J14:J16)</f>
        <v>30367118</v>
      </c>
    </row>
    <row r="18" spans="2:10" ht="13.6" thickBot="1" x14ac:dyDescent="0.25">
      <c r="B18" s="16" t="s">
        <v>128</v>
      </c>
      <c r="C18" s="20">
        <f>+'Balance mensual administracion'!N14</f>
        <v>590000</v>
      </c>
      <c r="E18" s="16" t="s">
        <v>453</v>
      </c>
      <c r="F18" s="20">
        <f>+'Balance mensual administracion'!N46+'Balance mensual administracion'!N39+'Balance mensual administracion'!N40+'Balance mensual administracion'!N47+'Balance mensual administracion'!N44</f>
        <v>3326618</v>
      </c>
      <c r="G18" s="10" t="s">
        <v>48</v>
      </c>
    </row>
    <row r="19" spans="2:10" x14ac:dyDescent="0.2">
      <c r="C19" s="17"/>
      <c r="E19" s="16"/>
      <c r="F19" s="17"/>
    </row>
    <row r="20" spans="2:10" ht="13.6" x14ac:dyDescent="0.25">
      <c r="B20" s="14" t="s">
        <v>46</v>
      </c>
      <c r="C20" s="17">
        <f>SUM(C14:C18)</f>
        <v>7235316</v>
      </c>
      <c r="D20" s="14"/>
      <c r="E20" s="14" t="s">
        <v>47</v>
      </c>
      <c r="F20" s="10">
        <f>SUM(F14:F18)</f>
        <v>142571063</v>
      </c>
    </row>
    <row r="22" spans="2:10" ht="13.6" x14ac:dyDescent="0.25">
      <c r="B22" s="14" t="s">
        <v>31</v>
      </c>
      <c r="C22" s="18"/>
      <c r="E22" s="14" t="s">
        <v>32</v>
      </c>
    </row>
    <row r="23" spans="2:10" x14ac:dyDescent="0.2">
      <c r="B23" s="16" t="s">
        <v>58</v>
      </c>
      <c r="C23" s="17">
        <f>+'Balance mensual administracion'!N23</f>
        <v>0</v>
      </c>
      <c r="E23" s="10" t="s">
        <v>48</v>
      </c>
    </row>
    <row r="24" spans="2:10" ht="13.6" thickBot="1" x14ac:dyDescent="0.25">
      <c r="B24" s="16" t="s">
        <v>59</v>
      </c>
      <c r="C24" s="20">
        <f>+'Balance mensual administracion'!N24</f>
        <v>0</v>
      </c>
      <c r="F24" s="19">
        <v>0</v>
      </c>
    </row>
    <row r="25" spans="2:10" ht="13.6" x14ac:dyDescent="0.25">
      <c r="B25" s="14" t="s">
        <v>34</v>
      </c>
      <c r="C25" s="17">
        <f>SUM(C23:C24)</f>
        <v>0</v>
      </c>
      <c r="E25" s="14" t="s">
        <v>33</v>
      </c>
      <c r="F25" s="10">
        <v>0</v>
      </c>
    </row>
    <row r="26" spans="2:10" x14ac:dyDescent="0.2">
      <c r="C26" s="17"/>
    </row>
    <row r="27" spans="2:10" ht="13.6" x14ac:dyDescent="0.25">
      <c r="B27" s="14" t="s">
        <v>6</v>
      </c>
      <c r="C27" s="17"/>
      <c r="E27" s="14" t="s">
        <v>0</v>
      </c>
      <c r="G27" s="10" t="s">
        <v>48</v>
      </c>
    </row>
    <row r="28" spans="2:10" x14ac:dyDescent="0.2">
      <c r="B28" s="16" t="s">
        <v>103</v>
      </c>
      <c r="C28" s="17">
        <f>+'Balance mensual administracion'!N28</f>
        <v>0</v>
      </c>
      <c r="E28" s="16" t="s">
        <v>35</v>
      </c>
      <c r="F28" s="10">
        <f>+'Balance mensual administracion'!N56</f>
        <v>11530679</v>
      </c>
      <c r="G28" s="10" t="s">
        <v>48</v>
      </c>
    </row>
    <row r="29" spans="2:10" ht="13.6" thickBot="1" x14ac:dyDescent="0.25">
      <c r="B29" s="16" t="s">
        <v>104</v>
      </c>
      <c r="C29" s="20">
        <f>+'Balance mensual administracion'!N29</f>
        <v>0</v>
      </c>
      <c r="E29" s="16" t="s">
        <v>107</v>
      </c>
      <c r="F29" s="10">
        <f>+'Balance mensual administracion'!N57</f>
        <v>-118607614</v>
      </c>
    </row>
    <row r="30" spans="2:10" ht="13.6" x14ac:dyDescent="0.25">
      <c r="B30" s="14" t="s">
        <v>36</v>
      </c>
      <c r="C30" s="10">
        <f>SUM(C28:C29)</f>
        <v>0</v>
      </c>
      <c r="E30" s="16" t="s">
        <v>66</v>
      </c>
      <c r="F30" s="10">
        <f>+'Balance mensual administracion'!N58</f>
        <v>-28258812</v>
      </c>
    </row>
    <row r="31" spans="2:10" ht="13.6" thickBot="1" x14ac:dyDescent="0.25">
      <c r="C31" s="17"/>
      <c r="E31" s="16" t="s">
        <v>110</v>
      </c>
      <c r="F31" s="19">
        <v>0</v>
      </c>
    </row>
    <row r="32" spans="2:10" ht="14.3" thickBot="1" x14ac:dyDescent="0.3">
      <c r="C32" s="20"/>
      <c r="D32" s="14"/>
      <c r="E32" s="14" t="s">
        <v>37</v>
      </c>
      <c r="F32" s="10">
        <f>SUM(F28:F31)</f>
        <v>-135335747</v>
      </c>
      <c r="G32" s="10" t="s">
        <v>48</v>
      </c>
    </row>
    <row r="33" spans="2:6" ht="13.6" thickBot="1" x14ac:dyDescent="0.25">
      <c r="F33" s="19"/>
    </row>
    <row r="34" spans="2:6" ht="14.3" thickBot="1" x14ac:dyDescent="0.3">
      <c r="B34" s="14" t="s">
        <v>38</v>
      </c>
      <c r="C34" s="22">
        <f>+C30+C25+C20</f>
        <v>7235316</v>
      </c>
      <c r="E34" s="14" t="s">
        <v>39</v>
      </c>
      <c r="F34" s="21">
        <f>+F20+F32</f>
        <v>7235316</v>
      </c>
    </row>
    <row r="35" spans="2:6" x14ac:dyDescent="0.2">
      <c r="C35" s="10" t="s">
        <v>48</v>
      </c>
    </row>
    <row r="36" spans="2:6" x14ac:dyDescent="0.2">
      <c r="C36" s="10" t="s">
        <v>48</v>
      </c>
      <c r="F36" s="10" t="s">
        <v>48</v>
      </c>
    </row>
    <row r="37" spans="2:6" x14ac:dyDescent="0.2">
      <c r="C37" s="10" t="s">
        <v>48</v>
      </c>
      <c r="F37" s="10">
        <f>+F34-C34</f>
        <v>0</v>
      </c>
    </row>
    <row r="38" spans="2:6" x14ac:dyDescent="0.2">
      <c r="C38" s="10" t="s">
        <v>48</v>
      </c>
    </row>
    <row r="10777" spans="7:7" x14ac:dyDescent="0.2">
      <c r="G10777" s="10">
        <f>+F10776</f>
        <v>0</v>
      </c>
    </row>
    <row r="10791" spans="1:8" x14ac:dyDescent="0.2">
      <c r="H10791" s="10" t="s">
        <v>682</v>
      </c>
    </row>
    <row r="10794" spans="1:8" x14ac:dyDescent="0.2">
      <c r="A10794" s="10">
        <v>44168</v>
      </c>
      <c r="F10794" s="10">
        <v>38774</v>
      </c>
    </row>
    <row r="10797" spans="1:8" x14ac:dyDescent="0.2">
      <c r="A10797" s="10">
        <v>44168</v>
      </c>
      <c r="F10797" s="10">
        <v>280000</v>
      </c>
      <c r="H10797" s="10" t="s">
        <v>680</v>
      </c>
    </row>
    <row r="10800" spans="1:8" x14ac:dyDescent="0.2">
      <c r="A10800" s="10">
        <v>44168</v>
      </c>
      <c r="F10800" s="10">
        <v>60164</v>
      </c>
    </row>
    <row r="10803" spans="1:8" x14ac:dyDescent="0.2">
      <c r="A10803" s="10">
        <v>44168</v>
      </c>
    </row>
    <row r="10806" spans="1:8" x14ac:dyDescent="0.2">
      <c r="A10806" s="10">
        <v>44169</v>
      </c>
      <c r="F10806" s="10">
        <v>60000</v>
      </c>
      <c r="H10806" s="10" t="s">
        <v>673</v>
      </c>
    </row>
    <row r="10809" spans="1:8" x14ac:dyDescent="0.2">
      <c r="A10809" s="10">
        <v>44169</v>
      </c>
      <c r="F10809" s="10">
        <v>395000</v>
      </c>
      <c r="H10809" s="10" t="s">
        <v>680</v>
      </c>
    </row>
    <row r="10812" spans="1:8" x14ac:dyDescent="0.2">
      <c r="A10812" s="10">
        <v>44169</v>
      </c>
      <c r="F10812" s="10">
        <v>50000</v>
      </c>
      <c r="H10812" s="10" t="s">
        <v>683</v>
      </c>
    </row>
    <row r="10815" spans="1:8" x14ac:dyDescent="0.2">
      <c r="A10815" s="10">
        <v>44169</v>
      </c>
      <c r="F10815" s="10">
        <v>2591</v>
      </c>
    </row>
    <row r="10818" spans="1:8" x14ac:dyDescent="0.2">
      <c r="A10818" s="10">
        <v>44169</v>
      </c>
      <c r="F10818" s="10">
        <v>2245</v>
      </c>
    </row>
    <row r="10820" spans="1:8" x14ac:dyDescent="0.2">
      <c r="H10820" s="376"/>
    </row>
    <row r="10821" spans="1:8" x14ac:dyDescent="0.2">
      <c r="A10821" s="10">
        <v>44172</v>
      </c>
      <c r="F10821" s="10">
        <v>668800</v>
      </c>
      <c r="H10821" s="10" t="s">
        <v>684</v>
      </c>
    </row>
    <row r="10824" spans="1:8" x14ac:dyDescent="0.2">
      <c r="A10824" s="10">
        <v>44172</v>
      </c>
      <c r="F10824" s="10">
        <v>405000</v>
      </c>
      <c r="H10824" s="10" t="s">
        <v>685</v>
      </c>
    </row>
    <row r="10827" spans="1:8" x14ac:dyDescent="0.2">
      <c r="A10827" s="10">
        <v>44172</v>
      </c>
      <c r="F10827" s="10">
        <v>75000</v>
      </c>
      <c r="H10827" s="10" t="s">
        <v>686</v>
      </c>
    </row>
    <row r="10830" spans="1:8" x14ac:dyDescent="0.2">
      <c r="A10830" s="10">
        <v>44174</v>
      </c>
      <c r="F10830" s="10">
        <v>714000</v>
      </c>
      <c r="H10830" s="10" t="s">
        <v>687</v>
      </c>
    </row>
    <row r="10833" spans="1:8" x14ac:dyDescent="0.2">
      <c r="A10833" s="10">
        <v>44174</v>
      </c>
      <c r="F10833" s="10">
        <v>705000</v>
      </c>
      <c r="H10833" s="10" t="s">
        <v>679</v>
      </c>
    </row>
    <row r="10836" spans="1:8" x14ac:dyDescent="0.2">
      <c r="A10836" s="10">
        <v>44174</v>
      </c>
      <c r="F10836" s="10">
        <v>15000</v>
      </c>
      <c r="H10836" s="10" t="s">
        <v>688</v>
      </c>
    </row>
    <row r="10839" spans="1:8" x14ac:dyDescent="0.2">
      <c r="A10839" s="10">
        <v>44174</v>
      </c>
    </row>
    <row r="10842" spans="1:8" x14ac:dyDescent="0.2">
      <c r="A10842" s="10">
        <v>44174</v>
      </c>
      <c r="F10842" s="10">
        <v>56269</v>
      </c>
    </row>
    <row r="10845" spans="1:8" x14ac:dyDescent="0.2">
      <c r="A10845" s="10">
        <v>44174</v>
      </c>
      <c r="F10845" s="10">
        <v>1388</v>
      </c>
    </row>
    <row r="10848" spans="1:8" x14ac:dyDescent="0.2">
      <c r="A10848" s="10">
        <v>44174</v>
      </c>
      <c r="F10848" s="10">
        <v>1200000</v>
      </c>
      <c r="H10848" s="10" t="s">
        <v>689</v>
      </c>
    </row>
    <row r="10851" spans="1:8" x14ac:dyDescent="0.2">
      <c r="A10851" s="10">
        <v>44174</v>
      </c>
      <c r="F10851" s="10">
        <v>30000</v>
      </c>
      <c r="H10851" s="10" t="s">
        <v>690</v>
      </c>
    </row>
    <row r="10854" spans="1:8" x14ac:dyDescent="0.2">
      <c r="A10854" s="10">
        <v>44175</v>
      </c>
      <c r="F10854" s="10">
        <v>40000</v>
      </c>
      <c r="H10854" s="10" t="s">
        <v>676</v>
      </c>
    </row>
    <row r="10857" spans="1:8" x14ac:dyDescent="0.2">
      <c r="A10857" s="10">
        <v>44175</v>
      </c>
      <c r="F10857" s="10">
        <v>20000</v>
      </c>
      <c r="H10857" s="10" t="s">
        <v>691</v>
      </c>
    </row>
    <row r="10858" spans="1:8" x14ac:dyDescent="0.2">
      <c r="C10858" s="10">
        <v>3350</v>
      </c>
    </row>
    <row r="10860" spans="1:8" x14ac:dyDescent="0.2">
      <c r="A10860" s="10">
        <v>44175</v>
      </c>
      <c r="F10860" s="10">
        <v>610024</v>
      </c>
      <c r="H10860" s="10" t="s">
        <v>681</v>
      </c>
    </row>
    <row r="10863" spans="1:8" x14ac:dyDescent="0.2">
      <c r="A10863" s="10">
        <v>44175</v>
      </c>
      <c r="F10863" s="10">
        <v>20000</v>
      </c>
      <c r="H10863" s="10" t="s">
        <v>692</v>
      </c>
    </row>
    <row r="10866" spans="1:8" x14ac:dyDescent="0.2">
      <c r="A10866" s="10">
        <v>44175</v>
      </c>
      <c r="F10866" s="10">
        <v>10000</v>
      </c>
      <c r="H10866" s="10" t="s">
        <v>693</v>
      </c>
    </row>
    <row r="10869" spans="1:8" x14ac:dyDescent="0.2">
      <c r="A10869" s="10">
        <v>44175</v>
      </c>
      <c r="F10869" s="10">
        <v>5000</v>
      </c>
      <c r="H10869" s="10" t="s">
        <v>694</v>
      </c>
    </row>
    <row r="10872" spans="1:8" x14ac:dyDescent="0.2">
      <c r="A10872" s="10">
        <v>44175</v>
      </c>
      <c r="F10872" s="10">
        <v>25000</v>
      </c>
      <c r="H10872" s="10" t="s">
        <v>695</v>
      </c>
    </row>
    <row r="10875" spans="1:8" x14ac:dyDescent="0.2">
      <c r="A10875" s="10">
        <v>44176</v>
      </c>
      <c r="F10875" s="10">
        <v>155000</v>
      </c>
      <c r="H10875" s="10" t="s">
        <v>696</v>
      </c>
    </row>
    <row r="10878" spans="1:8" x14ac:dyDescent="0.2">
      <c r="A10878" s="10">
        <v>44176</v>
      </c>
      <c r="F10878" s="10">
        <v>20000</v>
      </c>
      <c r="H10878" s="10" t="s">
        <v>691</v>
      </c>
    </row>
    <row r="10879" spans="1:8" x14ac:dyDescent="0.2">
      <c r="C10879" s="10">
        <v>3350</v>
      </c>
    </row>
    <row r="10881" spans="1:8" x14ac:dyDescent="0.2">
      <c r="A10881" s="10">
        <v>44180</v>
      </c>
      <c r="F10881" s="10">
        <v>5000</v>
      </c>
      <c r="H10881" s="10" t="s">
        <v>674</v>
      </c>
    </row>
    <row r="10884" spans="1:8" x14ac:dyDescent="0.2">
      <c r="A10884" s="10">
        <v>44180</v>
      </c>
    </row>
    <row r="10887" spans="1:8" x14ac:dyDescent="0.2">
      <c r="A10887" s="10">
        <v>44180</v>
      </c>
      <c r="F10887" s="10">
        <v>40000</v>
      </c>
      <c r="H10887" s="10" t="s">
        <v>697</v>
      </c>
    </row>
    <row r="10888" spans="1:8" x14ac:dyDescent="0.2">
      <c r="C10888" s="10">
        <v>3350</v>
      </c>
    </row>
    <row r="10890" spans="1:8" x14ac:dyDescent="0.2">
      <c r="A10890" s="10">
        <v>44180</v>
      </c>
      <c r="F10890" s="10">
        <v>415000</v>
      </c>
      <c r="H10890" s="10" t="s">
        <v>698</v>
      </c>
    </row>
    <row r="10893" spans="1:8" x14ac:dyDescent="0.2">
      <c r="A10893" s="10">
        <v>44180</v>
      </c>
      <c r="F10893" s="10">
        <v>42394</v>
      </c>
    </row>
    <row r="10896" spans="1:8" x14ac:dyDescent="0.2">
      <c r="A10896" s="10">
        <v>44181</v>
      </c>
      <c r="F10896" s="10">
        <v>40000</v>
      </c>
      <c r="H10896" s="10" t="s">
        <v>674</v>
      </c>
    </row>
    <row r="10899" spans="1:8" x14ac:dyDescent="0.2">
      <c r="A10899" s="10">
        <v>44181</v>
      </c>
      <c r="F10899" s="10">
        <v>20000</v>
      </c>
      <c r="H10899" s="10" t="s">
        <v>678</v>
      </c>
    </row>
    <row r="10902" spans="1:8" x14ac:dyDescent="0.2">
      <c r="A10902" s="10">
        <v>44181</v>
      </c>
      <c r="C10902" s="10">
        <v>4210</v>
      </c>
      <c r="F10902" s="10">
        <v>100000</v>
      </c>
    </row>
  </sheetData>
  <mergeCells count="4">
    <mergeCell ref="B1:F1"/>
    <mergeCell ref="B3:F3"/>
    <mergeCell ref="B6:F6"/>
    <mergeCell ref="B5:F5"/>
  </mergeCells>
  <phoneticPr fontId="6" type="noConversion"/>
  <pageMargins left="0.75" right="0.75" top="1" bottom="1" header="0" footer="0"/>
  <pageSetup scale="75" orientation="portrait" horizontalDpi="1200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2060"/>
  </sheetPr>
  <dimension ref="D4:F15"/>
  <sheetViews>
    <sheetView workbookViewId="0">
      <selection activeCell="E11" sqref="E11"/>
    </sheetView>
  </sheetViews>
  <sheetFormatPr baseColWidth="10" defaultRowHeight="15.65" x14ac:dyDescent="0.25"/>
  <sheetData>
    <row r="4" spans="4:6" x14ac:dyDescent="0.25">
      <c r="D4" s="156" t="s">
        <v>609</v>
      </c>
      <c r="E4" s="156" t="s">
        <v>716</v>
      </c>
      <c r="F4" s="156" t="s">
        <v>717</v>
      </c>
    </row>
    <row r="5" spans="4:6" x14ac:dyDescent="0.25">
      <c r="D5">
        <v>2510</v>
      </c>
      <c r="E5" s="381">
        <v>16569.29</v>
      </c>
    </row>
    <row r="6" spans="4:6" x14ac:dyDescent="0.25">
      <c r="D6">
        <v>2576</v>
      </c>
      <c r="E6" s="381">
        <v>-1038.9000000000001</v>
      </c>
      <c r="F6" s="381">
        <v>519.45000000000005</v>
      </c>
    </row>
    <row r="7" spans="4:6" x14ac:dyDescent="0.25">
      <c r="D7">
        <v>2606</v>
      </c>
      <c r="E7" s="381">
        <v>-238.66</v>
      </c>
      <c r="F7" s="381">
        <v>119.33</v>
      </c>
    </row>
    <row r="8" spans="4:6" x14ac:dyDescent="0.25">
      <c r="D8">
        <v>2644</v>
      </c>
      <c r="E8" s="381">
        <v>-226.85</v>
      </c>
      <c r="F8" s="381">
        <v>113.42</v>
      </c>
    </row>
    <row r="9" spans="4:6" x14ac:dyDescent="0.25">
      <c r="D9">
        <v>2778</v>
      </c>
      <c r="E9" s="381">
        <v>-163.12</v>
      </c>
      <c r="F9" s="381">
        <v>81.56</v>
      </c>
    </row>
    <row r="10" spans="4:6" x14ac:dyDescent="0.25">
      <c r="D10">
        <v>2810</v>
      </c>
      <c r="E10" s="381">
        <f>-400-21</f>
        <v>-421</v>
      </c>
      <c r="F10" s="381">
        <v>200.11</v>
      </c>
    </row>
    <row r="11" spans="4:6" x14ac:dyDescent="0.25">
      <c r="D11" s="156" t="s">
        <v>97</v>
      </c>
      <c r="E11" s="381">
        <f>SUM(E5:E10)</f>
        <v>14480.76</v>
      </c>
      <c r="F11" s="381">
        <f>SUM(F6:F10)</f>
        <v>1033.8699999999999</v>
      </c>
    </row>
    <row r="12" spans="4:6" x14ac:dyDescent="0.25">
      <c r="D12" s="156" t="s">
        <v>319</v>
      </c>
      <c r="E12" s="381">
        <v>29070.33</v>
      </c>
      <c r="F12" s="381">
        <v>29070.33</v>
      </c>
    </row>
    <row r="13" spans="4:6" x14ac:dyDescent="0.25">
      <c r="D13" s="156" t="s">
        <v>718</v>
      </c>
      <c r="E13" s="345">
        <f>+E11*E12</f>
        <v>420960471.85080004</v>
      </c>
      <c r="F13" s="345">
        <f>+F11*F12</f>
        <v>30054942.077099998</v>
      </c>
    </row>
    <row r="14" spans="4:6" x14ac:dyDescent="0.25">
      <c r="E14" s="345"/>
      <c r="F14" s="345"/>
    </row>
    <row r="15" spans="4:6" x14ac:dyDescent="0.25">
      <c r="E15" s="345"/>
      <c r="F15" s="345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11"/>
  <dimension ref="A1:T144"/>
  <sheetViews>
    <sheetView zoomScaleNormal="100" workbookViewId="0">
      <selection activeCell="I27" sqref="I27"/>
    </sheetView>
  </sheetViews>
  <sheetFormatPr baseColWidth="10" defaultColWidth="8.796875" defaultRowHeight="11.55" x14ac:dyDescent="0.2"/>
  <cols>
    <col min="1" max="1" width="4.09765625" style="2" bestFit="1" customWidth="1"/>
    <col min="2" max="2" width="21.69921875" style="2" customWidth="1"/>
    <col min="3" max="3" width="7.8984375" style="2" bestFit="1" customWidth="1"/>
    <col min="4" max="5" width="7.296875" style="2" bestFit="1" customWidth="1"/>
    <col min="6" max="6" width="8.3984375" style="2" customWidth="1"/>
    <col min="7" max="7" width="7.3984375" style="2" bestFit="1" customWidth="1"/>
    <col min="8" max="10" width="7.09765625" style="3" bestFit="1" customWidth="1"/>
    <col min="11" max="11" width="8.09765625" style="3" bestFit="1" customWidth="1"/>
    <col min="12" max="12" width="7.09765625" style="3" bestFit="1" customWidth="1"/>
    <col min="13" max="13" width="8" style="3" customWidth="1"/>
    <col min="14" max="14" width="7.8984375" style="3" bestFit="1" customWidth="1"/>
    <col min="15" max="15" width="1.296875" style="3" customWidth="1"/>
    <col min="16" max="16" width="12" style="3" bestFit="1" customWidth="1"/>
    <col min="17" max="17" width="1.69921875" style="3" bestFit="1" customWidth="1"/>
    <col min="18" max="18" width="8.796875" style="3" customWidth="1"/>
    <col min="19" max="16384" width="8.796875" style="2"/>
  </cols>
  <sheetData>
    <row r="1" spans="1:20" x14ac:dyDescent="0.2">
      <c r="A1" s="1"/>
      <c r="B1" s="6" t="s">
        <v>651</v>
      </c>
      <c r="C1" s="6"/>
      <c r="D1" s="6"/>
      <c r="E1" s="6"/>
    </row>
    <row r="2" spans="1:20" x14ac:dyDescent="0.2">
      <c r="A2" s="1"/>
      <c r="B2" s="4"/>
      <c r="C2" s="1"/>
      <c r="D2" s="1"/>
    </row>
    <row r="3" spans="1:20" s="127" customFormat="1" ht="8.85" x14ac:dyDescent="0.15">
      <c r="A3" s="116"/>
      <c r="B3" s="117" t="s">
        <v>2534</v>
      </c>
      <c r="C3" s="118" t="s">
        <v>9</v>
      </c>
      <c r="D3" s="119" t="s">
        <v>10</v>
      </c>
      <c r="E3" s="119" t="s">
        <v>11</v>
      </c>
      <c r="F3" s="119" t="s">
        <v>12</v>
      </c>
      <c r="G3" s="118" t="s">
        <v>13</v>
      </c>
      <c r="H3" s="120" t="s">
        <v>14</v>
      </c>
      <c r="I3" s="121" t="s">
        <v>8</v>
      </c>
      <c r="J3" s="121" t="s">
        <v>5</v>
      </c>
      <c r="K3" s="121" t="s">
        <v>4</v>
      </c>
      <c r="L3" s="121" t="s">
        <v>15</v>
      </c>
      <c r="M3" s="122" t="s">
        <v>16</v>
      </c>
      <c r="N3" s="122" t="s">
        <v>17</v>
      </c>
      <c r="O3" s="123"/>
      <c r="P3" s="124" t="s">
        <v>3</v>
      </c>
      <c r="Q3" s="125"/>
      <c r="R3" s="126" t="s">
        <v>18</v>
      </c>
    </row>
    <row r="4" spans="1:20" s="32" customFormat="1" ht="10.9" x14ac:dyDescent="0.2">
      <c r="C4" s="32">
        <v>1</v>
      </c>
      <c r="D4" s="32">
        <v>2</v>
      </c>
      <c r="E4" s="32">
        <v>3</v>
      </c>
      <c r="F4" s="32">
        <v>4</v>
      </c>
      <c r="G4" s="32">
        <v>5</v>
      </c>
      <c r="H4" s="32">
        <v>6</v>
      </c>
      <c r="I4" s="32">
        <v>7</v>
      </c>
      <c r="J4" s="32">
        <v>8</v>
      </c>
      <c r="K4" s="32">
        <v>9</v>
      </c>
      <c r="L4" s="32">
        <v>10</v>
      </c>
      <c r="M4" s="32">
        <v>11</v>
      </c>
      <c r="N4" s="32">
        <v>12</v>
      </c>
      <c r="O4" s="31"/>
      <c r="P4" s="31"/>
      <c r="Q4" s="31"/>
      <c r="R4" s="33">
        <v>10</v>
      </c>
    </row>
    <row r="5" spans="1:20" s="32" customFormat="1" ht="10.9" x14ac:dyDescent="0.2">
      <c r="A5" s="23"/>
      <c r="B5" s="26" t="s">
        <v>99</v>
      </c>
      <c r="C5" s="26">
        <f t="shared" ref="C5:N5" si="0">SUM(C6:C35)</f>
        <v>137865108</v>
      </c>
      <c r="D5" s="26">
        <f t="shared" si="0"/>
        <v>31631418</v>
      </c>
      <c r="E5" s="26">
        <f t="shared" si="0"/>
        <v>73503389</v>
      </c>
      <c r="F5" s="26">
        <f t="shared" si="0"/>
        <v>43999602</v>
      </c>
      <c r="G5" s="26">
        <f t="shared" si="0"/>
        <v>47024306</v>
      </c>
      <c r="H5" s="26">
        <f t="shared" si="0"/>
        <v>38605022</v>
      </c>
      <c r="I5" s="26">
        <f t="shared" si="0"/>
        <v>41621551</v>
      </c>
      <c r="J5" s="26">
        <f t="shared" si="0"/>
        <v>42983891</v>
      </c>
      <c r="K5" s="26">
        <f t="shared" si="0"/>
        <v>40451315</v>
      </c>
      <c r="L5" s="26">
        <f t="shared" si="0"/>
        <v>43611199</v>
      </c>
      <c r="M5" s="26">
        <f t="shared" si="0"/>
        <v>49754842</v>
      </c>
      <c r="N5" s="26">
        <f t="shared" si="0"/>
        <v>167466331</v>
      </c>
      <c r="O5" s="28"/>
      <c r="P5" s="26">
        <f t="shared" ref="P5:P14" si="1">SUM(C5:N5)</f>
        <v>758517974</v>
      </c>
      <c r="Q5" s="30"/>
      <c r="R5" s="137">
        <f>SUM(R6:R35)</f>
        <v>75851797.399999991</v>
      </c>
      <c r="T5" s="31">
        <f>+'Resultado Admin.'!P7+'Resultado Cali'!P8</f>
        <v>758517974</v>
      </c>
    </row>
    <row r="6" spans="1:20" ht="13.6" x14ac:dyDescent="0.25">
      <c r="A6" s="45">
        <v>3110</v>
      </c>
      <c r="B6" s="128" t="str">
        <f>VLOOKUP(A6,Plan!A:B,2,0)</f>
        <v>Colectas Normales</v>
      </c>
      <c r="C6" s="24">
        <f>-SUMIFS('Diario Adm'!$E:$E,'Diario Adm'!$B:$B,C$4,'Diario Adm'!$C:$C,$A6)-SUMIFS('Diario Cali'!$E:$E,'Diario Cali'!$B:$B,C$4,'Diario Cali'!$C:$C,$A6)</f>
        <v>2654930</v>
      </c>
      <c r="D6" s="24">
        <f>-SUMIFS('Diario Adm'!$E:$E,'Diario Adm'!$B:$B,D$4,'Diario Adm'!$C:$C,$A6)-SUMIFS('Diario Cali'!$E:$E,'Diario Cali'!$B:$B,D$4,'Diario Cali'!$C:$C,$A6)</f>
        <v>1871965</v>
      </c>
      <c r="E6" s="24">
        <f>-SUMIFS('Diario Adm'!$E:$E,'Diario Adm'!$B:$B,E$4,'Diario Adm'!$C:$C,$A6)-SUMIFS('Diario Cali'!$E:$E,'Diario Cali'!$B:$B,E$4,'Diario Cali'!$C:$C,$A6)</f>
        <v>5151915</v>
      </c>
      <c r="F6" s="24">
        <f>-SUMIFS('Diario Adm'!$E:$E,'Diario Adm'!$B:$B,F$4,'Diario Adm'!$C:$C,$A6)-SUMIFS('Diario Cali'!$E:$E,'Diario Cali'!$B:$B,F$4,'Diario Cali'!$C:$C,$A6)</f>
        <v>3933324</v>
      </c>
      <c r="G6" s="24">
        <f>-SUMIFS('Diario Adm'!$E:$E,'Diario Adm'!$B:$B,G$4,'Diario Adm'!$C:$C,$A6)-SUMIFS('Diario Cali'!$E:$E,'Diario Cali'!$B:$B,G$4,'Diario Cali'!$C:$C,$A6)</f>
        <v>4256634</v>
      </c>
      <c r="H6" s="24">
        <f>-SUMIFS('Diario Adm'!$E:$E,'Diario Adm'!$B:$B,H$4,'Diario Adm'!$C:$C,$A6)-SUMIFS('Diario Cali'!$E:$E,'Diario Cali'!$B:$B,H$4,'Diario Cali'!$C:$C,$A6)</f>
        <v>3144210</v>
      </c>
      <c r="I6" s="24">
        <f>-SUMIFS('Diario Adm'!$E:$E,'Diario Adm'!$B:$B,I$4,'Diario Adm'!$C:$C,$A6)-SUMIFS('Diario Cali'!$E:$E,'Diario Cali'!$B:$B,I$4,'Diario Cali'!$C:$C,$A6)</f>
        <v>3739224</v>
      </c>
      <c r="J6" s="24">
        <f>-SUMIFS('Diario Adm'!$E:$E,'Diario Adm'!$B:$B,J$4,'Diario Adm'!$C:$C,$A6)-SUMIFS('Diario Cali'!$E:$E,'Diario Cali'!$B:$B,J$4,'Diario Cali'!$C:$C,$A6)</f>
        <v>4174974</v>
      </c>
      <c r="K6" s="24">
        <f>-SUMIFS('Diario Adm'!$E:$E,'Diario Adm'!$B:$B,K$4,'Diario Adm'!$C:$C,$A6)-SUMIFS('Diario Cali'!$E:$E,'Diario Cali'!$B:$B,K$4,'Diario Cali'!$C:$C,$A6)</f>
        <v>4174611</v>
      </c>
      <c r="L6" s="24">
        <f>-SUMIFS('Diario Adm'!$E:$E,'Diario Adm'!$B:$B,L$4,'Diario Adm'!$C:$C,$A6)-SUMIFS('Diario Cali'!$E:$E,'Diario Cali'!$B:$B,L$4,'Diario Cali'!$C:$C,$A6)</f>
        <v>4213983</v>
      </c>
      <c r="M6" s="24">
        <f>-SUMIFS('Diario Adm'!$E:$E,'Diario Adm'!$B:$B,M$4,'Diario Adm'!$C:$C,$A6)-SUMIFS('Diario Cali'!$E:$E,'Diario Cali'!$B:$B,M$4,'Diario Cali'!$C:$C,$A6)</f>
        <v>5787823</v>
      </c>
      <c r="N6" s="24">
        <f>-SUMIFS('Diario Adm'!$E:$E,'Diario Adm'!$B:$B,N$4,'Diario Adm'!$C:$C,$A6)-SUMIFS('Diario Cali'!$E:$E,'Diario Cali'!$B:$B,N$4,'Diario Cali'!$C:$C,$A6)</f>
        <v>8537924</v>
      </c>
      <c r="O6" s="28"/>
      <c r="P6" s="25">
        <f t="shared" si="1"/>
        <v>51641517</v>
      </c>
      <c r="Q6" s="28"/>
      <c r="R6" s="25">
        <f t="shared" ref="R6:R14" si="2">+P6/$R$4</f>
        <v>5164151.7</v>
      </c>
      <c r="S6" s="2" t="s">
        <v>533</v>
      </c>
      <c r="T6" s="1">
        <f>+T5-P5</f>
        <v>0</v>
      </c>
    </row>
    <row r="7" spans="1:20" ht="13.6" x14ac:dyDescent="0.25">
      <c r="A7" s="45">
        <v>3120</v>
      </c>
      <c r="B7" s="128" t="str">
        <f>VLOOKUP(A7,Plan!A:B,2,0)</f>
        <v>Colectas Especiales</v>
      </c>
      <c r="C7" s="24">
        <f>-SUMIFS('Diario Adm'!$E:$E,'Diario Adm'!$B:$B,C$4,'Diario Adm'!$C:$C,$A7)-SUMIFS('Diario Cali'!$E:$E,'Diario Cali'!$B:$B,C$4,'Diario Cali'!$C:$C,$A7)</f>
        <v>0</v>
      </c>
      <c r="D7" s="24">
        <f>-SUMIFS('Diario Adm'!$E:$E,'Diario Adm'!$B:$B,D$4,'Diario Adm'!$C:$C,$A7)-SUMIFS('Diario Cali'!$E:$E,'Diario Cali'!$B:$B,D$4,'Diario Cali'!$C:$C,$A7)</f>
        <v>128000</v>
      </c>
      <c r="E7" s="24">
        <f>-SUMIFS('Diario Adm'!$E:$E,'Diario Adm'!$B:$B,E$4,'Diario Adm'!$C:$C,$A7)-SUMIFS('Diario Cali'!$E:$E,'Diario Cali'!$B:$B,E$4,'Diario Cali'!$C:$C,$A7)</f>
        <v>125000</v>
      </c>
      <c r="F7" s="24">
        <f>-SUMIFS('Diario Adm'!$E:$E,'Diario Adm'!$B:$B,F$4,'Diario Adm'!$C:$C,$A7)-SUMIFS('Diario Cali'!$E:$E,'Diario Cali'!$B:$B,F$4,'Diario Cali'!$C:$C,$A7)</f>
        <v>0</v>
      </c>
      <c r="G7" s="24">
        <f>-SUMIFS('Diario Adm'!$E:$E,'Diario Adm'!$B:$B,G$4,'Diario Adm'!$C:$C,$A7)-SUMIFS('Diario Cali'!$E:$E,'Diario Cali'!$B:$B,G$4,'Diario Cali'!$C:$C,$A7)</f>
        <v>0</v>
      </c>
      <c r="H7" s="24">
        <f>-SUMIFS('Diario Adm'!$E:$E,'Diario Adm'!$B:$B,H$4,'Diario Adm'!$C:$C,$A7)-SUMIFS('Diario Cali'!$E:$E,'Diario Cali'!$B:$B,H$4,'Diario Cali'!$C:$C,$A7)</f>
        <v>0</v>
      </c>
      <c r="I7" s="24">
        <f>-SUMIFS('Diario Adm'!$E:$E,'Diario Adm'!$B:$B,I$4,'Diario Adm'!$C:$C,$A7)-SUMIFS('Diario Cali'!$E:$E,'Diario Cali'!$B:$B,I$4,'Diario Cali'!$C:$C,$A7)</f>
        <v>0</v>
      </c>
      <c r="J7" s="24">
        <f>-SUMIFS('Diario Adm'!$E:$E,'Diario Adm'!$B:$B,J$4,'Diario Adm'!$C:$C,$A7)-SUMIFS('Diario Cali'!$E:$E,'Diario Cali'!$B:$B,J$4,'Diario Cali'!$C:$C,$A7)</f>
        <v>0</v>
      </c>
      <c r="K7" s="24">
        <f>-SUMIFS('Diario Adm'!$E:$E,'Diario Adm'!$B:$B,K$4,'Diario Adm'!$C:$C,$A7)-SUMIFS('Diario Cali'!$E:$E,'Diario Cali'!$B:$B,K$4,'Diario Cali'!$C:$C,$A7)</f>
        <v>0</v>
      </c>
      <c r="L7" s="24">
        <f>-SUMIFS('Diario Adm'!$E:$E,'Diario Adm'!$B:$B,L$4,'Diario Adm'!$C:$C,$A7)-SUMIFS('Diario Cali'!$E:$E,'Diario Cali'!$B:$B,L$4,'Diario Cali'!$C:$C,$A7)</f>
        <v>0</v>
      </c>
      <c r="M7" s="24">
        <f>-SUMIFS('Diario Adm'!$E:$E,'Diario Adm'!$B:$B,M$4,'Diario Adm'!$C:$C,$A7)-SUMIFS('Diario Cali'!$E:$E,'Diario Cali'!$B:$B,M$4,'Diario Cali'!$C:$C,$A7)</f>
        <v>0</v>
      </c>
      <c r="N7" s="24">
        <f>-SUMIFS('Diario Adm'!$E:$E,'Diario Adm'!$B:$B,N$4,'Diario Adm'!$C:$C,$A7)-SUMIFS('Diario Cali'!$E:$E,'Diario Cali'!$B:$B,N$4,'Diario Cali'!$C:$C,$A7)</f>
        <v>0</v>
      </c>
      <c r="O7" s="28"/>
      <c r="P7" s="25">
        <f t="shared" si="1"/>
        <v>253000</v>
      </c>
      <c r="Q7" s="28"/>
      <c r="R7" s="25">
        <f t="shared" si="2"/>
        <v>25300</v>
      </c>
      <c r="S7" s="2" t="s">
        <v>533</v>
      </c>
      <c r="T7" s="1"/>
    </row>
    <row r="8" spans="1:20" ht="13.6" x14ac:dyDescent="0.25">
      <c r="A8" s="45">
        <v>3210</v>
      </c>
      <c r="B8" s="128" t="str">
        <f>VLOOKUP(A8,Plan!A:B,2,0)</f>
        <v>Donacion Construccion</v>
      </c>
      <c r="C8" s="24">
        <f>-SUMIFS('Diario Adm'!$E:$E,'Diario Adm'!$B:$B,C$4,'Diario Adm'!$C:$C,$A8)-SUMIFS('Diario Cali'!$E:$E,'Diario Cali'!$B:$B,C$4,'Diario Cali'!$C:$C,$A8)</f>
        <v>113142631</v>
      </c>
      <c r="D8" s="24">
        <f>-SUMIFS('Diario Adm'!$E:$E,'Diario Adm'!$B:$B,D$4,'Diario Adm'!$C:$C,$A8)-SUMIFS('Diario Cali'!$E:$E,'Diario Cali'!$B:$B,D$4,'Diario Cali'!$C:$C,$A8)</f>
        <v>9340020</v>
      </c>
      <c r="E8" s="24">
        <f>-SUMIFS('Diario Adm'!$E:$E,'Diario Adm'!$B:$B,E$4,'Diario Adm'!$C:$C,$A8)-SUMIFS('Diario Cali'!$E:$E,'Diario Cali'!$B:$B,E$4,'Diario Cali'!$C:$C,$A8)</f>
        <v>45785970</v>
      </c>
      <c r="F8" s="24">
        <f>-SUMIFS('Diario Adm'!$E:$E,'Diario Adm'!$B:$B,F$4,'Diario Adm'!$C:$C,$A8)-SUMIFS('Diario Cali'!$E:$E,'Diario Cali'!$B:$B,F$4,'Diario Cali'!$C:$C,$A8)</f>
        <v>15069267</v>
      </c>
      <c r="G8" s="24">
        <f>-SUMIFS('Diario Adm'!$E:$E,'Diario Adm'!$B:$B,G$4,'Diario Adm'!$C:$C,$A8)-SUMIFS('Diario Cali'!$E:$E,'Diario Cali'!$B:$B,G$4,'Diario Cali'!$C:$C,$A8)</f>
        <v>14095550</v>
      </c>
      <c r="H8" s="24">
        <f>-SUMIFS('Diario Adm'!$E:$E,'Diario Adm'!$B:$B,H$4,'Diario Adm'!$C:$C,$A8)-SUMIFS('Diario Cali'!$E:$E,'Diario Cali'!$B:$B,H$4,'Diario Cali'!$C:$C,$A8)</f>
        <v>9682644</v>
      </c>
      <c r="I8" s="24">
        <f>-SUMIFS('Diario Adm'!$E:$E,'Diario Adm'!$B:$B,I$4,'Diario Adm'!$C:$C,$A8)-SUMIFS('Diario Cali'!$E:$E,'Diario Cali'!$B:$B,I$4,'Diario Cali'!$C:$C,$A8)</f>
        <v>12147202</v>
      </c>
      <c r="J8" s="24">
        <f>-SUMIFS('Diario Adm'!$E:$E,'Diario Adm'!$B:$B,J$4,'Diario Adm'!$C:$C,$A8)-SUMIFS('Diario Cali'!$E:$E,'Diario Cali'!$B:$B,J$4,'Diario Cali'!$C:$C,$A8)</f>
        <v>11833089</v>
      </c>
      <c r="K8" s="24">
        <f>-SUMIFS('Diario Adm'!$E:$E,'Diario Adm'!$B:$B,K$4,'Diario Adm'!$C:$C,$A8)-SUMIFS('Diario Cali'!$E:$E,'Diario Cali'!$B:$B,K$4,'Diario Cali'!$C:$C,$A8)</f>
        <v>11259965</v>
      </c>
      <c r="L8" s="24">
        <f>-SUMIFS('Diario Adm'!$E:$E,'Diario Adm'!$B:$B,L$4,'Diario Adm'!$C:$C,$A8)-SUMIFS('Diario Cali'!$E:$E,'Diario Cali'!$B:$B,L$4,'Diario Cali'!$C:$C,$A8)</f>
        <v>13372021</v>
      </c>
      <c r="M8" s="24">
        <f>-SUMIFS('Diario Adm'!$E:$E,'Diario Adm'!$B:$B,M$4,'Diario Adm'!$C:$C,$A8)-SUMIFS('Diario Cali'!$E:$E,'Diario Cali'!$B:$B,M$4,'Diario Cali'!$C:$C,$A8)</f>
        <v>7885925</v>
      </c>
      <c r="N8" s="24">
        <f>-SUMIFS('Diario Adm'!$E:$E,'Diario Adm'!$B:$B,N$4,'Diario Adm'!$C:$C,$A8)-SUMIFS('Diario Cali'!$E:$E,'Diario Cali'!$B:$B,N$4,'Diario Cali'!$C:$C,$A8)</f>
        <v>121371278</v>
      </c>
      <c r="O8" s="28"/>
      <c r="P8" s="25">
        <f>SUM(C8:N8)</f>
        <v>384985562</v>
      </c>
      <c r="Q8" s="28"/>
      <c r="R8" s="25">
        <f>+P8/$R$4</f>
        <v>38498556.200000003</v>
      </c>
      <c r="T8" s="1"/>
    </row>
    <row r="9" spans="1:20" ht="13.6" x14ac:dyDescent="0.25">
      <c r="A9" s="162">
        <v>3220</v>
      </c>
      <c r="B9" s="128" t="str">
        <f>VLOOKUP(A9,Plan!A:B,2,0)</f>
        <v>Otras Donaciones</v>
      </c>
      <c r="C9" s="24">
        <f>-SUMIFS('Diario Adm'!$E:$E,'Diario Adm'!$B:$B,C$4,'Diario Adm'!$C:$C,$A9)-SUMIFS('Diario Cali'!$E:$E,'Diario Cali'!$B:$B,C$4,'Diario Cali'!$C:$C,$A9)</f>
        <v>0</v>
      </c>
      <c r="D9" s="24">
        <f>-SUMIFS('Diario Adm'!$E:$E,'Diario Adm'!$B:$B,D$4,'Diario Adm'!$C:$C,$A9)-SUMIFS('Diario Cali'!$E:$E,'Diario Cali'!$B:$B,D$4,'Diario Cali'!$C:$C,$A9)</f>
        <v>0</v>
      </c>
      <c r="E9" s="24">
        <f>-SUMIFS('Diario Adm'!$E:$E,'Diario Adm'!$B:$B,E$4,'Diario Adm'!$C:$C,$A9)-SUMIFS('Diario Cali'!$E:$E,'Diario Cali'!$B:$B,E$4,'Diario Cali'!$C:$C,$A9)</f>
        <v>0</v>
      </c>
      <c r="F9" s="24">
        <f>-SUMIFS('Diario Adm'!$E:$E,'Diario Adm'!$B:$B,F$4,'Diario Adm'!$C:$C,$A9)-SUMIFS('Diario Cali'!$E:$E,'Diario Cali'!$B:$B,F$4,'Diario Cali'!$C:$C,$A9)</f>
        <v>0</v>
      </c>
      <c r="G9" s="24">
        <f>-SUMIFS('Diario Adm'!$E:$E,'Diario Adm'!$B:$B,G$4,'Diario Adm'!$C:$C,$A9)-SUMIFS('Diario Cali'!$E:$E,'Diario Cali'!$B:$B,G$4,'Diario Cali'!$C:$C,$A9)</f>
        <v>0</v>
      </c>
      <c r="H9" s="24">
        <f>-SUMIFS('Diario Adm'!$E:$E,'Diario Adm'!$B:$B,H$4,'Diario Adm'!$C:$C,$A9)-SUMIFS('Diario Cali'!$E:$E,'Diario Cali'!$B:$B,H$4,'Diario Cali'!$C:$C,$A9)</f>
        <v>0</v>
      </c>
      <c r="I9" s="24">
        <f>-SUMIFS('Diario Adm'!$E:$E,'Diario Adm'!$B:$B,I$4,'Diario Adm'!$C:$C,$A9)-SUMIFS('Diario Cali'!$E:$E,'Diario Cali'!$B:$B,I$4,'Diario Cali'!$C:$C,$A9)</f>
        <v>0</v>
      </c>
      <c r="J9" s="24">
        <f>-SUMIFS('Diario Adm'!$E:$E,'Diario Adm'!$B:$B,J$4,'Diario Adm'!$C:$C,$A9)-SUMIFS('Diario Cali'!$E:$E,'Diario Cali'!$B:$B,J$4,'Diario Cali'!$C:$C,$A9)</f>
        <v>0</v>
      </c>
      <c r="K9" s="24">
        <f>-SUMIFS('Diario Adm'!$E:$E,'Diario Adm'!$B:$B,K$4,'Diario Adm'!$C:$C,$A9)-SUMIFS('Diario Cali'!$E:$E,'Diario Cali'!$B:$B,K$4,'Diario Cali'!$C:$C,$A9)</f>
        <v>0</v>
      </c>
      <c r="L9" s="24">
        <f>-SUMIFS('Diario Adm'!$E:$E,'Diario Adm'!$B:$B,L$4,'Diario Adm'!$C:$C,$A9)-SUMIFS('Diario Cali'!$E:$E,'Diario Cali'!$B:$B,L$4,'Diario Cali'!$C:$C,$A9)</f>
        <v>0</v>
      </c>
      <c r="M9" s="24">
        <f>-SUMIFS('Diario Adm'!$E:$E,'Diario Adm'!$B:$B,M$4,'Diario Adm'!$C:$C,$A9)-SUMIFS('Diario Cali'!$E:$E,'Diario Cali'!$B:$B,M$4,'Diario Cali'!$C:$C,$A9)</f>
        <v>0</v>
      </c>
      <c r="N9" s="24">
        <f>-SUMIFS('Diario Adm'!$E:$E,'Diario Adm'!$B:$B,N$4,'Diario Adm'!$C:$C,$A9)-SUMIFS('Diario Cali'!$E:$E,'Diario Cali'!$B:$B,N$4,'Diario Cali'!$C:$C,$A9)</f>
        <v>0</v>
      </c>
      <c r="O9" s="28"/>
      <c r="P9" s="25">
        <f t="shared" si="1"/>
        <v>0</v>
      </c>
      <c r="Q9" s="28"/>
      <c r="R9" s="25">
        <f>+P9/$R$4</f>
        <v>0</v>
      </c>
      <c r="S9" s="2" t="s">
        <v>533</v>
      </c>
      <c r="T9" s="1"/>
    </row>
    <row r="10" spans="1:20" ht="13.6" x14ac:dyDescent="0.25">
      <c r="A10" s="162">
        <v>3230</v>
      </c>
      <c r="B10" s="128" t="str">
        <f>VLOOKUP(A10,Plan!A:B,2,0)</f>
        <v>Aportes STM</v>
      </c>
      <c r="C10" s="24">
        <f>-SUMIFS('Diario Adm'!$E:$E,'Diario Adm'!$B:$B,C$4,'Diario Adm'!$C:$C,$A10)-SUMIFS('Diario Cali'!$E:$E,'Diario Cali'!$B:$B,C$4,'Diario Cali'!$C:$C,$A10)</f>
        <v>0</v>
      </c>
      <c r="D10" s="24">
        <f>-SUMIFS('Diario Adm'!$E:$E,'Diario Adm'!$B:$B,D$4,'Diario Adm'!$C:$C,$A10)-SUMIFS('Diario Cali'!$E:$E,'Diario Cali'!$B:$B,D$4,'Diario Cali'!$C:$C,$A10)</f>
        <v>0</v>
      </c>
      <c r="E10" s="24">
        <f>-SUMIFS('Diario Adm'!$E:$E,'Diario Adm'!$B:$B,E$4,'Diario Adm'!$C:$C,$A10)-SUMIFS('Diario Cali'!$E:$E,'Diario Cali'!$B:$B,E$4,'Diario Cali'!$C:$C,$A10)</f>
        <v>0</v>
      </c>
      <c r="F10" s="24">
        <f>-SUMIFS('Diario Adm'!$E:$E,'Diario Adm'!$B:$B,F$4,'Diario Adm'!$C:$C,$A10)-SUMIFS('Diario Cali'!$E:$E,'Diario Cali'!$B:$B,F$4,'Diario Cali'!$C:$C,$A10)</f>
        <v>0</v>
      </c>
      <c r="G10" s="24">
        <f>-SUMIFS('Diario Adm'!$E:$E,'Diario Adm'!$B:$B,G$4,'Diario Adm'!$C:$C,$A10)-SUMIFS('Diario Cali'!$E:$E,'Diario Cali'!$B:$B,G$4,'Diario Cali'!$C:$C,$A10)</f>
        <v>0</v>
      </c>
      <c r="H10" s="24">
        <f>-SUMIFS('Diario Adm'!$E:$E,'Diario Adm'!$B:$B,H$4,'Diario Adm'!$C:$C,$A10)-SUMIFS('Diario Cali'!$E:$E,'Diario Cali'!$B:$B,H$4,'Diario Cali'!$C:$C,$A10)</f>
        <v>0</v>
      </c>
      <c r="I10" s="24">
        <f>-SUMIFS('Diario Adm'!$E:$E,'Diario Adm'!$B:$B,I$4,'Diario Adm'!$C:$C,$A10)-SUMIFS('Diario Cali'!$E:$E,'Diario Cali'!$B:$B,I$4,'Diario Cali'!$C:$C,$A10)</f>
        <v>0</v>
      </c>
      <c r="J10" s="24">
        <f>-SUMIFS('Diario Adm'!$E:$E,'Diario Adm'!$B:$B,J$4,'Diario Adm'!$C:$C,$A10)-SUMIFS('Diario Cali'!$E:$E,'Diario Cali'!$B:$B,J$4,'Diario Cali'!$C:$C,$A10)</f>
        <v>0</v>
      </c>
      <c r="K10" s="24">
        <f>-SUMIFS('Diario Adm'!$E:$E,'Diario Adm'!$B:$B,K$4,'Diario Adm'!$C:$C,$A10)-SUMIFS('Diario Cali'!$E:$E,'Diario Cali'!$B:$B,K$4,'Diario Cali'!$C:$C,$A10)</f>
        <v>0</v>
      </c>
      <c r="L10" s="24">
        <f>-SUMIFS('Diario Adm'!$E:$E,'Diario Adm'!$B:$B,L$4,'Diario Adm'!$C:$C,$A10)-SUMIFS('Diario Cali'!$E:$E,'Diario Cali'!$B:$B,L$4,'Diario Cali'!$C:$C,$A10)</f>
        <v>0</v>
      </c>
      <c r="M10" s="24">
        <f>-SUMIFS('Diario Adm'!$E:$E,'Diario Adm'!$B:$B,M$4,'Diario Adm'!$C:$C,$A10)-SUMIFS('Diario Cali'!$E:$E,'Diario Cali'!$B:$B,M$4,'Diario Cali'!$C:$C,$A10)</f>
        <v>0</v>
      </c>
      <c r="N10" s="24">
        <f>-SUMIFS('Diario Adm'!$E:$E,'Diario Adm'!$B:$B,N$4,'Diario Adm'!$C:$C,$A10)-SUMIFS('Diario Cali'!$E:$E,'Diario Cali'!$B:$B,N$4,'Diario Cali'!$C:$C,$A10)</f>
        <v>0</v>
      </c>
      <c r="O10" s="28"/>
      <c r="P10" s="25">
        <f>SUM(C10:N10)</f>
        <v>0</v>
      </c>
      <c r="Q10" s="28"/>
      <c r="R10" s="25">
        <f>+P10/$R$4</f>
        <v>0</v>
      </c>
      <c r="S10" s="2" t="s">
        <v>533</v>
      </c>
      <c r="T10" s="1"/>
    </row>
    <row r="11" spans="1:20" ht="13.6" x14ac:dyDescent="0.25">
      <c r="A11" s="162">
        <v>3320</v>
      </c>
      <c r="B11" s="128" t="str">
        <f>VLOOKUP(A11,Plan!A:B,2,0)</f>
        <v>Matrimonios</v>
      </c>
      <c r="C11" s="24">
        <f>-SUMIFS('Diario Adm'!$E:$E,'Diario Adm'!$B:$B,C$4,'Diario Adm'!$C:$C,$A11)-SUMIFS('Diario Cali'!$E:$E,'Diario Cali'!$B:$B,C$4,'Diario Cali'!$C:$C,$A11)</f>
        <v>5000</v>
      </c>
      <c r="D11" s="24">
        <f>-SUMIFS('Diario Adm'!$E:$E,'Diario Adm'!$B:$B,D$4,'Diario Adm'!$C:$C,$A11)-SUMIFS('Diario Cali'!$E:$E,'Diario Cali'!$B:$B,D$4,'Diario Cali'!$C:$C,$A11)</f>
        <v>40000</v>
      </c>
      <c r="E11" s="24">
        <f>-SUMIFS('Diario Adm'!$E:$E,'Diario Adm'!$B:$B,E$4,'Diario Adm'!$C:$C,$A11)-SUMIFS('Diario Cali'!$E:$E,'Diario Cali'!$B:$B,E$4,'Diario Cali'!$C:$C,$A11)</f>
        <v>164588</v>
      </c>
      <c r="F11" s="24">
        <f>-SUMIFS('Diario Adm'!$E:$E,'Diario Adm'!$B:$B,F$4,'Diario Adm'!$C:$C,$A11)-SUMIFS('Diario Cali'!$E:$E,'Diario Cali'!$B:$B,F$4,'Diario Cali'!$C:$C,$A11)</f>
        <v>0</v>
      </c>
      <c r="G11" s="24">
        <f>-SUMIFS('Diario Adm'!$E:$E,'Diario Adm'!$B:$B,G$4,'Diario Adm'!$C:$C,$A11)-SUMIFS('Diario Cali'!$E:$E,'Diario Cali'!$B:$B,G$4,'Diario Cali'!$C:$C,$A11)</f>
        <v>0</v>
      </c>
      <c r="H11" s="24">
        <f>-SUMIFS('Diario Adm'!$E:$E,'Diario Adm'!$B:$B,H$4,'Diario Adm'!$C:$C,$A11)-SUMIFS('Diario Cali'!$E:$E,'Diario Cali'!$B:$B,H$4,'Diario Cali'!$C:$C,$A11)</f>
        <v>0</v>
      </c>
      <c r="I11" s="24">
        <f>-SUMIFS('Diario Adm'!$E:$E,'Diario Adm'!$B:$B,I$4,'Diario Adm'!$C:$C,$A11)-SUMIFS('Diario Cali'!$E:$E,'Diario Cali'!$B:$B,I$4,'Diario Cali'!$C:$C,$A11)</f>
        <v>0</v>
      </c>
      <c r="J11" s="24">
        <f>-SUMIFS('Diario Adm'!$E:$E,'Diario Adm'!$B:$B,J$4,'Diario Adm'!$C:$C,$A11)-SUMIFS('Diario Cali'!$E:$E,'Diario Cali'!$B:$B,J$4,'Diario Cali'!$C:$C,$A11)</f>
        <v>98791</v>
      </c>
      <c r="K11" s="24">
        <f>-SUMIFS('Diario Adm'!$E:$E,'Diario Adm'!$B:$B,K$4,'Diario Adm'!$C:$C,$A11)-SUMIFS('Diario Cali'!$E:$E,'Diario Cali'!$B:$B,K$4,'Diario Cali'!$C:$C,$A11)</f>
        <v>0</v>
      </c>
      <c r="L11" s="24">
        <f>-SUMIFS('Diario Adm'!$E:$E,'Diario Adm'!$B:$B,L$4,'Diario Adm'!$C:$C,$A11)-SUMIFS('Diario Cali'!$E:$E,'Diario Cali'!$B:$B,L$4,'Diario Cali'!$C:$C,$A11)</f>
        <v>15000</v>
      </c>
      <c r="M11" s="24">
        <f>-SUMIFS('Diario Adm'!$E:$E,'Diario Adm'!$B:$B,M$4,'Diario Adm'!$C:$C,$A11)-SUMIFS('Diario Cali'!$E:$E,'Diario Cali'!$B:$B,M$4,'Diario Cali'!$C:$C,$A11)</f>
        <v>100000</v>
      </c>
      <c r="N11" s="24">
        <f>-SUMIFS('Diario Adm'!$E:$E,'Diario Adm'!$B:$B,N$4,'Diario Adm'!$C:$C,$A11)-SUMIFS('Diario Cali'!$E:$E,'Diario Cali'!$B:$B,N$4,'Diario Cali'!$C:$C,$A11)</f>
        <v>10000</v>
      </c>
      <c r="O11" s="28"/>
      <c r="P11" s="25">
        <f t="shared" si="1"/>
        <v>433379</v>
      </c>
      <c r="Q11" s="28"/>
      <c r="R11" s="25">
        <f>+P11/$R$4</f>
        <v>43337.9</v>
      </c>
      <c r="T11" s="1"/>
    </row>
    <row r="12" spans="1:20" ht="13.6" x14ac:dyDescent="0.25">
      <c r="A12" s="162">
        <v>3360</v>
      </c>
      <c r="B12" s="128" t="str">
        <f>VLOOKUP(A12,Plan!A:B,2,0)</f>
        <v>Otros</v>
      </c>
      <c r="C12" s="24">
        <f>-SUMIFS('Diario Adm'!$E:$E,'Diario Adm'!$B:$B,C$4,'Diario Adm'!$C:$C,$A12)-SUMIFS('Diario Cali'!$E:$E,'Diario Cali'!$B:$B,C$4,'Diario Cali'!$C:$C,$A12)</f>
        <v>0</v>
      </c>
      <c r="D12" s="24">
        <f>-SUMIFS('Diario Adm'!$E:$E,'Diario Adm'!$B:$B,D$4,'Diario Adm'!$C:$C,$A12)-SUMIFS('Diario Cali'!$E:$E,'Diario Cali'!$B:$B,D$4,'Diario Cali'!$C:$C,$A12)</f>
        <v>0</v>
      </c>
      <c r="E12" s="24">
        <f>-SUMIFS('Diario Adm'!$E:$E,'Diario Adm'!$B:$B,E$4,'Diario Adm'!$C:$C,$A12)-SUMIFS('Diario Cali'!$E:$E,'Diario Cali'!$B:$B,E$4,'Diario Cali'!$C:$C,$A12)</f>
        <v>145250</v>
      </c>
      <c r="F12" s="24">
        <f>-SUMIFS('Diario Adm'!$E:$E,'Diario Adm'!$B:$B,F$4,'Diario Adm'!$C:$C,$A12)-SUMIFS('Diario Cali'!$E:$E,'Diario Cali'!$B:$B,F$4,'Diario Cali'!$C:$C,$A12)</f>
        <v>175000</v>
      </c>
      <c r="G12" s="24">
        <f>-SUMIFS('Diario Adm'!$E:$E,'Diario Adm'!$B:$B,G$4,'Diario Adm'!$C:$C,$A12)-SUMIFS('Diario Cali'!$E:$E,'Diario Cali'!$B:$B,G$4,'Diario Cali'!$C:$C,$A12)</f>
        <v>417750</v>
      </c>
      <c r="H12" s="24">
        <f>-SUMIFS('Diario Adm'!$E:$E,'Diario Adm'!$B:$B,H$4,'Diario Adm'!$C:$C,$A12)-SUMIFS('Diario Cali'!$E:$E,'Diario Cali'!$B:$B,H$4,'Diario Cali'!$C:$C,$A12)</f>
        <v>530000</v>
      </c>
      <c r="I12" s="24">
        <f>-SUMIFS('Diario Adm'!$E:$E,'Diario Adm'!$B:$B,I$4,'Diario Adm'!$C:$C,$A12)-SUMIFS('Diario Cali'!$E:$E,'Diario Cali'!$B:$B,I$4,'Diario Cali'!$C:$C,$A12)</f>
        <v>-155000</v>
      </c>
      <c r="J12" s="24">
        <f>-SUMIFS('Diario Adm'!$E:$E,'Diario Adm'!$B:$B,J$4,'Diario Adm'!$C:$C,$A12)-SUMIFS('Diario Cali'!$E:$E,'Diario Cali'!$B:$B,J$4,'Diario Cali'!$C:$C,$A12)</f>
        <v>165000</v>
      </c>
      <c r="K12" s="24">
        <f>-SUMIFS('Diario Adm'!$E:$E,'Diario Adm'!$B:$B,K$4,'Diario Adm'!$C:$C,$A12)-SUMIFS('Diario Cali'!$E:$E,'Diario Cali'!$B:$B,K$4,'Diario Cali'!$C:$C,$A12)</f>
        <v>215000</v>
      </c>
      <c r="L12" s="24">
        <f>-SUMIFS('Diario Adm'!$E:$E,'Diario Adm'!$B:$B,L$4,'Diario Adm'!$C:$C,$A12)-SUMIFS('Diario Cali'!$E:$E,'Diario Cali'!$B:$B,L$4,'Diario Cali'!$C:$C,$A12)</f>
        <v>175000</v>
      </c>
      <c r="M12" s="24">
        <f>-SUMIFS('Diario Adm'!$E:$E,'Diario Adm'!$B:$B,M$4,'Diario Adm'!$C:$C,$A12)-SUMIFS('Diario Cali'!$E:$E,'Diario Cali'!$B:$B,M$4,'Diario Cali'!$C:$C,$A12)</f>
        <v>125000</v>
      </c>
      <c r="N12" s="24">
        <f>-SUMIFS('Diario Adm'!$E:$E,'Diario Adm'!$B:$B,N$4,'Diario Adm'!$C:$C,$A12)-SUMIFS('Diario Cali'!$E:$E,'Diario Cali'!$B:$B,N$4,'Diario Cali'!$C:$C,$A12)</f>
        <v>380000</v>
      </c>
      <c r="O12" s="28"/>
      <c r="P12" s="25">
        <f>SUM(C12:N12)</f>
        <v>2173000</v>
      </c>
      <c r="Q12" s="28"/>
      <c r="R12" s="25">
        <f>+P12/$R$4</f>
        <v>217300</v>
      </c>
      <c r="S12" s="2" t="s">
        <v>533</v>
      </c>
      <c r="T12" s="1"/>
    </row>
    <row r="13" spans="1:20" ht="13.6" x14ac:dyDescent="0.25">
      <c r="A13" s="162">
        <v>3430</v>
      </c>
      <c r="B13" s="128" t="str">
        <f>VLOOKUP(A13,Plan!A:B,2,0)</f>
        <v>Pastoral Bautismal</v>
      </c>
      <c r="C13" s="24">
        <f>-SUMIFS('Diario Adm'!$E:$E,'Diario Adm'!$B:$B,C$4,'Diario Adm'!$C:$C,$A13)-SUMIFS('Diario Cali'!$E:$E,'Diario Cali'!$B:$B,C$4,'Diario Cali'!$C:$C,$A13)</f>
        <v>0</v>
      </c>
      <c r="D13" s="24">
        <f>-SUMIFS('Diario Adm'!$E:$E,'Diario Adm'!$B:$B,D$4,'Diario Adm'!$C:$C,$A13)-SUMIFS('Diario Cali'!$E:$E,'Diario Cali'!$B:$B,D$4,'Diario Cali'!$C:$C,$A13)</f>
        <v>0</v>
      </c>
      <c r="E13" s="24">
        <f>-SUMIFS('Diario Adm'!$E:$E,'Diario Adm'!$B:$B,E$4,'Diario Adm'!$C:$C,$A13)-SUMIFS('Diario Cali'!$E:$E,'Diario Cali'!$B:$B,E$4,'Diario Cali'!$C:$C,$A13)</f>
        <v>0</v>
      </c>
      <c r="F13" s="24">
        <f>-SUMIFS('Diario Adm'!$E:$E,'Diario Adm'!$B:$B,F$4,'Diario Adm'!$C:$C,$A13)-SUMIFS('Diario Cali'!$E:$E,'Diario Cali'!$B:$B,F$4,'Diario Cali'!$C:$C,$A13)</f>
        <v>0</v>
      </c>
      <c r="G13" s="24">
        <f>-SUMIFS('Diario Adm'!$E:$E,'Diario Adm'!$B:$B,G$4,'Diario Adm'!$C:$C,$A13)-SUMIFS('Diario Cali'!$E:$E,'Diario Cali'!$B:$B,G$4,'Diario Cali'!$C:$C,$A13)</f>
        <v>0</v>
      </c>
      <c r="H13" s="24">
        <f>-SUMIFS('Diario Adm'!$E:$E,'Diario Adm'!$B:$B,H$4,'Diario Adm'!$C:$C,$A13)-SUMIFS('Diario Cali'!$E:$E,'Diario Cali'!$B:$B,H$4,'Diario Cali'!$C:$C,$A13)</f>
        <v>0</v>
      </c>
      <c r="I13" s="24">
        <f>-SUMIFS('Diario Adm'!$E:$E,'Diario Adm'!$B:$B,I$4,'Diario Adm'!$C:$C,$A13)-SUMIFS('Diario Cali'!$E:$E,'Diario Cali'!$B:$B,I$4,'Diario Cali'!$C:$C,$A13)</f>
        <v>0</v>
      </c>
      <c r="J13" s="24">
        <f>-SUMIFS('Diario Adm'!$E:$E,'Diario Adm'!$B:$B,J$4,'Diario Adm'!$C:$C,$A13)-SUMIFS('Diario Cali'!$E:$E,'Diario Cali'!$B:$B,J$4,'Diario Cali'!$C:$C,$A13)</f>
        <v>0</v>
      </c>
      <c r="K13" s="24">
        <f>-SUMIFS('Diario Adm'!$E:$E,'Diario Adm'!$B:$B,K$4,'Diario Adm'!$C:$C,$A13)-SUMIFS('Diario Cali'!$E:$E,'Diario Cali'!$B:$B,K$4,'Diario Cali'!$C:$C,$A13)</f>
        <v>0</v>
      </c>
      <c r="L13" s="24">
        <f>-SUMIFS('Diario Adm'!$E:$E,'Diario Adm'!$B:$B,L$4,'Diario Adm'!$C:$C,$A13)-SUMIFS('Diario Cali'!$E:$E,'Diario Cali'!$B:$B,L$4,'Diario Cali'!$C:$C,$A13)</f>
        <v>0</v>
      </c>
      <c r="M13" s="24">
        <f>-SUMIFS('Diario Adm'!$E:$E,'Diario Adm'!$B:$B,M$4,'Diario Adm'!$C:$C,$A13)-SUMIFS('Diario Cali'!$E:$E,'Diario Cali'!$B:$B,M$4,'Diario Cali'!$C:$C,$A13)</f>
        <v>0</v>
      </c>
      <c r="N13" s="24">
        <f>-SUMIFS('Diario Adm'!$E:$E,'Diario Adm'!$B:$B,N$4,'Diario Adm'!$C:$C,$A13)-SUMIFS('Diario Cali'!$E:$E,'Diario Cali'!$B:$B,N$4,'Diario Cali'!$C:$C,$A13)</f>
        <v>0</v>
      </c>
      <c r="O13" s="28"/>
      <c r="P13" s="25">
        <f t="shared" si="1"/>
        <v>0</v>
      </c>
      <c r="Q13" s="28"/>
      <c r="R13" s="25">
        <f t="shared" si="2"/>
        <v>0</v>
      </c>
      <c r="T13" s="1"/>
    </row>
    <row r="14" spans="1:20" ht="13.6" x14ac:dyDescent="0.25">
      <c r="A14" s="162">
        <v>3440</v>
      </c>
      <c r="B14" s="128" t="str">
        <f>VLOOKUP(A14,Plan!A:B,2,0)</f>
        <v>Pastoral Liturgia</v>
      </c>
      <c r="C14" s="24">
        <f>-SUMIFS('Diario Adm'!$E:$E,'Diario Adm'!$B:$B,C$4,'Diario Adm'!$C:$C,$A14)-SUMIFS('Diario Cali'!$E:$E,'Diario Cali'!$B:$B,C$4,'Diario Cali'!$C:$C,$A14)</f>
        <v>0</v>
      </c>
      <c r="D14" s="24">
        <f>-SUMIFS('Diario Adm'!$E:$E,'Diario Adm'!$B:$B,D$4,'Diario Adm'!$C:$C,$A14)-SUMIFS('Diario Cali'!$E:$E,'Diario Cali'!$B:$B,D$4,'Diario Cali'!$C:$C,$A14)</f>
        <v>0</v>
      </c>
      <c r="E14" s="24">
        <f>-SUMIFS('Diario Adm'!$E:$E,'Diario Adm'!$B:$B,E$4,'Diario Adm'!$C:$C,$A14)-SUMIFS('Diario Cali'!$E:$E,'Diario Cali'!$B:$B,E$4,'Diario Cali'!$C:$C,$A14)</f>
        <v>0</v>
      </c>
      <c r="F14" s="24">
        <f>-SUMIFS('Diario Adm'!$E:$E,'Diario Adm'!$B:$B,F$4,'Diario Adm'!$C:$C,$A14)-SUMIFS('Diario Cali'!$E:$E,'Diario Cali'!$B:$B,F$4,'Diario Cali'!$C:$C,$A14)</f>
        <v>0</v>
      </c>
      <c r="G14" s="24">
        <f>-SUMIFS('Diario Adm'!$E:$E,'Diario Adm'!$B:$B,G$4,'Diario Adm'!$C:$C,$A14)-SUMIFS('Diario Cali'!$E:$E,'Diario Cali'!$B:$B,G$4,'Diario Cali'!$C:$C,$A14)</f>
        <v>0</v>
      </c>
      <c r="H14" s="24">
        <f>-SUMIFS('Diario Adm'!$E:$E,'Diario Adm'!$B:$B,H$4,'Diario Adm'!$C:$C,$A14)-SUMIFS('Diario Cali'!$E:$E,'Diario Cali'!$B:$B,H$4,'Diario Cali'!$C:$C,$A14)</f>
        <v>0</v>
      </c>
      <c r="I14" s="24">
        <f>-SUMIFS('Diario Adm'!$E:$E,'Diario Adm'!$B:$B,I$4,'Diario Adm'!$C:$C,$A14)-SUMIFS('Diario Cali'!$E:$E,'Diario Cali'!$B:$B,I$4,'Diario Cali'!$C:$C,$A14)</f>
        <v>0</v>
      </c>
      <c r="J14" s="24">
        <f>-SUMIFS('Diario Adm'!$E:$E,'Diario Adm'!$B:$B,J$4,'Diario Adm'!$C:$C,$A14)-SUMIFS('Diario Cali'!$E:$E,'Diario Cali'!$B:$B,J$4,'Diario Cali'!$C:$C,$A14)</f>
        <v>0</v>
      </c>
      <c r="K14" s="24">
        <f>-SUMIFS('Diario Adm'!$E:$E,'Diario Adm'!$B:$B,K$4,'Diario Adm'!$C:$C,$A14)-SUMIFS('Diario Cali'!$E:$E,'Diario Cali'!$B:$B,K$4,'Diario Cali'!$C:$C,$A14)</f>
        <v>0</v>
      </c>
      <c r="L14" s="24">
        <f>-SUMIFS('Diario Adm'!$E:$E,'Diario Adm'!$B:$B,L$4,'Diario Adm'!$C:$C,$A14)-SUMIFS('Diario Cali'!$E:$E,'Diario Cali'!$B:$B,L$4,'Diario Cali'!$C:$C,$A14)</f>
        <v>0</v>
      </c>
      <c r="M14" s="24">
        <f>-SUMIFS('Diario Adm'!$E:$E,'Diario Adm'!$B:$B,M$4,'Diario Adm'!$C:$C,$A14)-SUMIFS('Diario Cali'!$E:$E,'Diario Cali'!$B:$B,M$4,'Diario Cali'!$C:$C,$A14)</f>
        <v>0</v>
      </c>
      <c r="N14" s="24">
        <f>-SUMIFS('Diario Adm'!$E:$E,'Diario Adm'!$B:$B,N$4,'Diario Adm'!$C:$C,$A14)-SUMIFS('Diario Cali'!$E:$E,'Diario Cali'!$B:$B,N$4,'Diario Cali'!$C:$C,$A14)</f>
        <v>0</v>
      </c>
      <c r="O14" s="28"/>
      <c r="P14" s="25">
        <f t="shared" si="1"/>
        <v>0</v>
      </c>
      <c r="Q14" s="28"/>
      <c r="R14" s="25">
        <f t="shared" si="2"/>
        <v>0</v>
      </c>
      <c r="S14" s="2" t="s">
        <v>533</v>
      </c>
    </row>
    <row r="15" spans="1:20" ht="13.6" x14ac:dyDescent="0.25">
      <c r="A15" s="162">
        <v>3450</v>
      </c>
      <c r="B15" s="128" t="str">
        <f>VLOOKUP(A15,Plan!A:B,2,0)</f>
        <v>Pastoral Social</v>
      </c>
      <c r="C15" s="24">
        <f>-SUMIFS('Diario Adm'!$E:$E,'Diario Adm'!$B:$B,C$4,'Diario Adm'!$C:$C,$A15)-SUMIFS('Diario Cali'!$E:$E,'Diario Cali'!$B:$B,C$4,'Diario Cali'!$C:$C,$A15)</f>
        <v>100000</v>
      </c>
      <c r="D15" s="24">
        <f>-SUMIFS('Diario Adm'!$E:$E,'Diario Adm'!$B:$B,D$4,'Diario Adm'!$C:$C,$A15)-SUMIFS('Diario Cali'!$E:$E,'Diario Cali'!$B:$B,D$4,'Diario Cali'!$C:$C,$A15)</f>
        <v>100000</v>
      </c>
      <c r="E15" s="24">
        <f>-SUMIFS('Diario Adm'!$E:$E,'Diario Adm'!$B:$B,E$4,'Diario Adm'!$C:$C,$A15)-SUMIFS('Diario Cali'!$E:$E,'Diario Cali'!$B:$B,E$4,'Diario Cali'!$C:$C,$A15)</f>
        <v>100000</v>
      </c>
      <c r="F15" s="24">
        <f>-SUMIFS('Diario Adm'!$E:$E,'Diario Adm'!$B:$B,F$4,'Diario Adm'!$C:$C,$A15)-SUMIFS('Diario Cali'!$E:$E,'Diario Cali'!$B:$B,F$4,'Diario Cali'!$C:$C,$A15)</f>
        <v>2005000</v>
      </c>
      <c r="G15" s="24">
        <f>-SUMIFS('Diario Adm'!$E:$E,'Diario Adm'!$B:$B,G$4,'Diario Adm'!$C:$C,$A15)-SUMIFS('Diario Cali'!$E:$E,'Diario Cali'!$B:$B,G$4,'Diario Cali'!$C:$C,$A15)</f>
        <v>2704811</v>
      </c>
      <c r="H15" s="24">
        <f>-SUMIFS('Diario Adm'!$E:$E,'Diario Adm'!$B:$B,H$4,'Diario Adm'!$C:$C,$A15)-SUMIFS('Diario Cali'!$E:$E,'Diario Cali'!$B:$B,H$4,'Diario Cali'!$C:$C,$A15)</f>
        <v>2134240</v>
      </c>
      <c r="I15" s="24">
        <f>-SUMIFS('Diario Adm'!$E:$E,'Diario Adm'!$B:$B,I$4,'Diario Adm'!$C:$C,$A15)-SUMIFS('Diario Cali'!$E:$E,'Diario Cali'!$B:$B,I$4,'Diario Cali'!$C:$C,$A15)</f>
        <v>1505624</v>
      </c>
      <c r="J15" s="24">
        <f>-SUMIFS('Diario Adm'!$E:$E,'Diario Adm'!$B:$B,J$4,'Diario Adm'!$C:$C,$A15)-SUMIFS('Diario Cali'!$E:$E,'Diario Cali'!$B:$B,J$4,'Diario Cali'!$C:$C,$A15)</f>
        <v>1018242</v>
      </c>
      <c r="K15" s="24">
        <f>-SUMIFS('Diario Adm'!$E:$E,'Diario Adm'!$B:$B,K$4,'Diario Adm'!$C:$C,$A15)-SUMIFS('Diario Cali'!$E:$E,'Diario Cali'!$B:$B,K$4,'Diario Cali'!$C:$C,$A15)</f>
        <v>498261</v>
      </c>
      <c r="L15" s="24">
        <f>-SUMIFS('Diario Adm'!$E:$E,'Diario Adm'!$B:$B,L$4,'Diario Adm'!$C:$C,$A15)-SUMIFS('Diario Cali'!$E:$E,'Diario Cali'!$B:$B,L$4,'Diario Cali'!$C:$C,$A15)</f>
        <v>135000</v>
      </c>
      <c r="M15" s="24">
        <f>-SUMIFS('Diario Adm'!$E:$E,'Diario Adm'!$B:$B,M$4,'Diario Adm'!$C:$C,$A15)-SUMIFS('Diario Cali'!$E:$E,'Diario Cali'!$B:$B,M$4,'Diario Cali'!$C:$C,$A15)</f>
        <v>120000</v>
      </c>
      <c r="N15" s="24">
        <f>-SUMIFS('Diario Adm'!$E:$E,'Diario Adm'!$B:$B,N$4,'Diario Adm'!$C:$C,$A15)-SUMIFS('Diario Cali'!$E:$E,'Diario Cali'!$B:$B,N$4,'Diario Cali'!$C:$C,$A15)</f>
        <v>100000</v>
      </c>
      <c r="O15" s="28"/>
      <c r="P15" s="25">
        <f t="shared" ref="P15:P35" si="3">SUM(C15:N15)</f>
        <v>10521178</v>
      </c>
      <c r="Q15" s="28"/>
      <c r="R15" s="25">
        <f t="shared" ref="R15:R35" si="4">+P15/$R$4</f>
        <v>1052117.8</v>
      </c>
    </row>
    <row r="16" spans="1:20" ht="13.6" x14ac:dyDescent="0.25">
      <c r="A16" s="165">
        <v>3451</v>
      </c>
      <c r="B16" s="128" t="str">
        <f>VLOOKUP(A16,Plan!A:B,2,0)</f>
        <v>Ayuda Solidaria</v>
      </c>
      <c r="C16" s="24">
        <f>-SUMIFS('Diario Adm'!$E:$E,'Diario Adm'!$B:$B,C$4,'Diario Adm'!$C:$C,$A16)-SUMIFS('Diario Cali'!$E:$E,'Diario Cali'!$B:$B,C$4,'Diario Cali'!$C:$C,$A16)</f>
        <v>0</v>
      </c>
      <c r="D16" s="24">
        <f>-SUMIFS('Diario Adm'!$E:$E,'Diario Adm'!$B:$B,D$4,'Diario Adm'!$C:$C,$A16)-SUMIFS('Diario Cali'!$E:$E,'Diario Cali'!$B:$B,D$4,'Diario Cali'!$C:$C,$A16)</f>
        <v>0</v>
      </c>
      <c r="E16" s="24">
        <f>-SUMIFS('Diario Adm'!$E:$E,'Diario Adm'!$B:$B,E$4,'Diario Adm'!$C:$C,$A16)-SUMIFS('Diario Cali'!$E:$E,'Diario Cali'!$B:$B,E$4,'Diario Cali'!$C:$C,$A16)</f>
        <v>0</v>
      </c>
      <c r="F16" s="24">
        <f>-SUMIFS('Diario Adm'!$E:$E,'Diario Adm'!$B:$B,F$4,'Diario Adm'!$C:$C,$A16)-SUMIFS('Diario Cali'!$E:$E,'Diario Cali'!$B:$B,F$4,'Diario Cali'!$C:$C,$A16)</f>
        <v>0</v>
      </c>
      <c r="G16" s="24">
        <f>-SUMIFS('Diario Adm'!$E:$E,'Diario Adm'!$B:$B,G$4,'Diario Adm'!$C:$C,$A16)-SUMIFS('Diario Cali'!$E:$E,'Diario Cali'!$B:$B,G$4,'Diario Cali'!$C:$C,$A16)</f>
        <v>0</v>
      </c>
      <c r="H16" s="24">
        <f>-SUMIFS('Diario Adm'!$E:$E,'Diario Adm'!$B:$B,H$4,'Diario Adm'!$C:$C,$A16)-SUMIFS('Diario Cali'!$E:$E,'Diario Cali'!$B:$B,H$4,'Diario Cali'!$C:$C,$A16)</f>
        <v>0</v>
      </c>
      <c r="I16" s="24">
        <f>-SUMIFS('Diario Adm'!$E:$E,'Diario Adm'!$B:$B,I$4,'Diario Adm'!$C:$C,$A16)-SUMIFS('Diario Cali'!$E:$E,'Diario Cali'!$B:$B,I$4,'Diario Cali'!$C:$C,$A16)</f>
        <v>0</v>
      </c>
      <c r="J16" s="24">
        <f>-SUMIFS('Diario Adm'!$E:$E,'Diario Adm'!$B:$B,J$4,'Diario Adm'!$C:$C,$A16)-SUMIFS('Diario Cali'!$E:$E,'Diario Cali'!$B:$B,J$4,'Diario Cali'!$C:$C,$A16)</f>
        <v>0</v>
      </c>
      <c r="K16" s="24">
        <f>-SUMIFS('Diario Adm'!$E:$E,'Diario Adm'!$B:$B,K$4,'Diario Adm'!$C:$C,$A16)-SUMIFS('Diario Cali'!$E:$E,'Diario Cali'!$B:$B,K$4,'Diario Cali'!$C:$C,$A16)</f>
        <v>0</v>
      </c>
      <c r="L16" s="24">
        <f>-SUMIFS('Diario Adm'!$E:$E,'Diario Adm'!$B:$B,L$4,'Diario Adm'!$C:$C,$A16)-SUMIFS('Diario Cali'!$E:$E,'Diario Cali'!$B:$B,L$4,'Diario Cali'!$C:$C,$A16)</f>
        <v>0</v>
      </c>
      <c r="M16" s="24">
        <f>-SUMIFS('Diario Adm'!$E:$E,'Diario Adm'!$B:$B,M$4,'Diario Adm'!$C:$C,$A16)-SUMIFS('Diario Cali'!$E:$E,'Diario Cali'!$B:$B,M$4,'Diario Cali'!$C:$C,$A16)</f>
        <v>0</v>
      </c>
      <c r="N16" s="24">
        <f>-SUMIFS('Diario Adm'!$E:$E,'Diario Adm'!$B:$B,N$4,'Diario Adm'!$C:$C,$A16)-SUMIFS('Diario Cali'!$E:$E,'Diario Cali'!$B:$B,N$4,'Diario Cali'!$C:$C,$A16)</f>
        <v>0</v>
      </c>
      <c r="O16" s="28"/>
      <c r="P16" s="25">
        <f t="shared" si="3"/>
        <v>0</v>
      </c>
      <c r="Q16" s="28"/>
      <c r="R16" s="25">
        <f t="shared" si="4"/>
        <v>0</v>
      </c>
    </row>
    <row r="17" spans="1:20" ht="13.6" x14ac:dyDescent="0.25">
      <c r="A17" s="165">
        <v>3453</v>
      </c>
      <c r="B17" s="128" t="str">
        <f>VLOOKUP(A17,Plan!A:B,2,0)</f>
        <v>Cajas de navidad</v>
      </c>
      <c r="C17" s="24">
        <f>-SUMIFS('Diario Adm'!$E:$E,'Diario Adm'!$B:$B,C$4,'Diario Adm'!$C:$C,$A17)-SUMIFS('Diario Cali'!$E:$E,'Diario Cali'!$B:$B,C$4,'Diario Cali'!$C:$C,$A17)</f>
        <v>0</v>
      </c>
      <c r="D17" s="24">
        <f>-SUMIFS('Diario Adm'!$E:$E,'Diario Adm'!$B:$B,D$4,'Diario Adm'!$C:$C,$A17)-SUMIFS('Diario Cali'!$E:$E,'Diario Cali'!$B:$B,D$4,'Diario Cali'!$C:$C,$A17)</f>
        <v>0</v>
      </c>
      <c r="E17" s="24">
        <f>-SUMIFS('Diario Adm'!$E:$E,'Diario Adm'!$B:$B,E$4,'Diario Adm'!$C:$C,$A17)-SUMIFS('Diario Cali'!$E:$E,'Diario Cali'!$B:$B,E$4,'Diario Cali'!$C:$C,$A17)</f>
        <v>0</v>
      </c>
      <c r="F17" s="24">
        <f>-SUMIFS('Diario Adm'!$E:$E,'Diario Adm'!$B:$B,F$4,'Diario Adm'!$C:$C,$A17)-SUMIFS('Diario Cali'!$E:$E,'Diario Cali'!$B:$B,F$4,'Diario Cali'!$C:$C,$A17)</f>
        <v>0</v>
      </c>
      <c r="G17" s="24">
        <f>-SUMIFS('Diario Adm'!$E:$E,'Diario Adm'!$B:$B,G$4,'Diario Adm'!$C:$C,$A17)-SUMIFS('Diario Cali'!$E:$E,'Diario Cali'!$B:$B,G$4,'Diario Cali'!$C:$C,$A17)</f>
        <v>0</v>
      </c>
      <c r="H17" s="24">
        <f>-SUMIFS('Diario Adm'!$E:$E,'Diario Adm'!$B:$B,H$4,'Diario Adm'!$C:$C,$A17)-SUMIFS('Diario Cali'!$E:$E,'Diario Cali'!$B:$B,H$4,'Diario Cali'!$C:$C,$A17)</f>
        <v>0</v>
      </c>
      <c r="I17" s="24">
        <f>-SUMIFS('Diario Adm'!$E:$E,'Diario Adm'!$B:$B,I$4,'Diario Adm'!$C:$C,$A17)-SUMIFS('Diario Cali'!$E:$E,'Diario Cali'!$B:$B,I$4,'Diario Cali'!$C:$C,$A17)</f>
        <v>0</v>
      </c>
      <c r="J17" s="24">
        <f>-SUMIFS('Diario Adm'!$E:$E,'Diario Adm'!$B:$B,J$4,'Diario Adm'!$C:$C,$A17)-SUMIFS('Diario Cali'!$E:$E,'Diario Cali'!$B:$B,J$4,'Diario Cali'!$C:$C,$A17)</f>
        <v>0</v>
      </c>
      <c r="K17" s="24">
        <f>-SUMIFS('Diario Adm'!$E:$E,'Diario Adm'!$B:$B,K$4,'Diario Adm'!$C:$C,$A17)-SUMIFS('Diario Cali'!$E:$E,'Diario Cali'!$B:$B,K$4,'Diario Cali'!$C:$C,$A17)</f>
        <v>0</v>
      </c>
      <c r="L17" s="24">
        <f>-SUMIFS('Diario Adm'!$E:$E,'Diario Adm'!$B:$B,L$4,'Diario Adm'!$C:$C,$A17)-SUMIFS('Diario Cali'!$E:$E,'Diario Cali'!$B:$B,L$4,'Diario Cali'!$C:$C,$A17)</f>
        <v>0</v>
      </c>
      <c r="M17" s="24">
        <f>-SUMIFS('Diario Adm'!$E:$E,'Diario Adm'!$B:$B,M$4,'Diario Adm'!$C:$C,$A17)-SUMIFS('Diario Cali'!$E:$E,'Diario Cali'!$B:$B,M$4,'Diario Cali'!$C:$C,$A17)</f>
        <v>9094041</v>
      </c>
      <c r="N17" s="24">
        <f>-SUMIFS('Diario Adm'!$E:$E,'Diario Adm'!$B:$B,N$4,'Diario Adm'!$C:$C,$A17)-SUMIFS('Diario Cali'!$E:$E,'Diario Cali'!$B:$B,N$4,'Diario Cali'!$C:$C,$A17)</f>
        <v>10589649</v>
      </c>
      <c r="O17" s="28"/>
      <c r="P17" s="25">
        <f t="shared" si="3"/>
        <v>19683690</v>
      </c>
      <c r="Q17" s="28"/>
      <c r="R17" s="25">
        <f t="shared" si="4"/>
        <v>1968369</v>
      </c>
      <c r="S17" s="2" t="s">
        <v>533</v>
      </c>
    </row>
    <row r="18" spans="1:20" ht="13.6" x14ac:dyDescent="0.25">
      <c r="A18" s="162">
        <v>3460</v>
      </c>
      <c r="B18" s="128" t="str">
        <f>VLOOKUP(A18,Plan!A:B,2,0)</f>
        <v>Pastoral Salud</v>
      </c>
      <c r="C18" s="24">
        <f>-SUMIFS('Diario Adm'!$E:$E,'Diario Adm'!$B:$B,C$4,'Diario Adm'!$C:$C,$A18)-SUMIFS('Diario Cali'!$E:$E,'Diario Cali'!$B:$B,C$4,'Diario Cali'!$C:$C,$A18)</f>
        <v>0</v>
      </c>
      <c r="D18" s="24">
        <f>-SUMIFS('Diario Adm'!$E:$E,'Diario Adm'!$B:$B,D$4,'Diario Adm'!$C:$C,$A18)-SUMIFS('Diario Cali'!$E:$E,'Diario Cali'!$B:$B,D$4,'Diario Cali'!$C:$C,$A18)</f>
        <v>0</v>
      </c>
      <c r="E18" s="24">
        <f>-SUMIFS('Diario Adm'!$E:$E,'Diario Adm'!$B:$B,E$4,'Diario Adm'!$C:$C,$A18)-SUMIFS('Diario Cali'!$E:$E,'Diario Cali'!$B:$B,E$4,'Diario Cali'!$C:$C,$A18)</f>
        <v>0</v>
      </c>
      <c r="F18" s="24">
        <f>-SUMIFS('Diario Adm'!$E:$E,'Diario Adm'!$B:$B,F$4,'Diario Adm'!$C:$C,$A18)-SUMIFS('Diario Cali'!$E:$E,'Diario Cali'!$B:$B,F$4,'Diario Cali'!$C:$C,$A18)</f>
        <v>0</v>
      </c>
      <c r="G18" s="24">
        <f>-SUMIFS('Diario Adm'!$E:$E,'Diario Adm'!$B:$B,G$4,'Diario Adm'!$C:$C,$A18)-SUMIFS('Diario Cali'!$E:$E,'Diario Cali'!$B:$B,G$4,'Diario Cali'!$C:$C,$A18)</f>
        <v>0</v>
      </c>
      <c r="H18" s="24">
        <f>-SUMIFS('Diario Adm'!$E:$E,'Diario Adm'!$B:$B,H$4,'Diario Adm'!$C:$C,$A18)-SUMIFS('Diario Cali'!$E:$E,'Diario Cali'!$B:$B,H$4,'Diario Cali'!$C:$C,$A18)</f>
        <v>0</v>
      </c>
      <c r="I18" s="24">
        <f>-SUMIFS('Diario Adm'!$E:$E,'Diario Adm'!$B:$B,I$4,'Diario Adm'!$C:$C,$A18)-SUMIFS('Diario Cali'!$E:$E,'Diario Cali'!$B:$B,I$4,'Diario Cali'!$C:$C,$A18)</f>
        <v>0</v>
      </c>
      <c r="J18" s="24">
        <f>-SUMIFS('Diario Adm'!$E:$E,'Diario Adm'!$B:$B,J$4,'Diario Adm'!$C:$C,$A18)-SUMIFS('Diario Cali'!$E:$E,'Diario Cali'!$B:$B,J$4,'Diario Cali'!$C:$C,$A18)</f>
        <v>0</v>
      </c>
      <c r="K18" s="24">
        <f>-SUMIFS('Diario Adm'!$E:$E,'Diario Adm'!$B:$B,K$4,'Diario Adm'!$C:$C,$A18)-SUMIFS('Diario Cali'!$E:$E,'Diario Cali'!$B:$B,K$4,'Diario Cali'!$C:$C,$A18)</f>
        <v>0</v>
      </c>
      <c r="L18" s="24">
        <f>-SUMIFS('Diario Adm'!$E:$E,'Diario Adm'!$B:$B,L$4,'Diario Adm'!$C:$C,$A18)-SUMIFS('Diario Cali'!$E:$E,'Diario Cali'!$B:$B,L$4,'Diario Cali'!$C:$C,$A18)</f>
        <v>0</v>
      </c>
      <c r="M18" s="24">
        <f>-SUMIFS('Diario Adm'!$E:$E,'Diario Adm'!$B:$B,M$4,'Diario Adm'!$C:$C,$A18)-SUMIFS('Diario Cali'!$E:$E,'Diario Cali'!$B:$B,M$4,'Diario Cali'!$C:$C,$A18)</f>
        <v>0</v>
      </c>
      <c r="N18" s="24">
        <f>-SUMIFS('Diario Adm'!$E:$E,'Diario Adm'!$B:$B,N$4,'Diario Adm'!$C:$C,$A18)-SUMIFS('Diario Cali'!$E:$E,'Diario Cali'!$B:$B,N$4,'Diario Cali'!$C:$C,$A18)</f>
        <v>0</v>
      </c>
      <c r="O18" s="28"/>
      <c r="P18" s="25">
        <f t="shared" si="3"/>
        <v>0</v>
      </c>
      <c r="Q18" s="28"/>
      <c r="R18" s="25">
        <f t="shared" si="4"/>
        <v>0</v>
      </c>
      <c r="S18" s="2" t="s">
        <v>533</v>
      </c>
    </row>
    <row r="19" spans="1:20" ht="13.6" x14ac:dyDescent="0.25">
      <c r="A19" s="162">
        <v>3470</v>
      </c>
      <c r="B19" s="128" t="str">
        <f>VLOOKUP(A19,Plan!A:B,2,0)</f>
        <v>Pastoral Juvenil</v>
      </c>
      <c r="C19" s="24">
        <f>-SUMIFS('Diario Adm'!$E:$E,'Diario Adm'!$B:$B,C$4,'Diario Adm'!$C:$C,$A19)-SUMIFS('Diario Cali'!$E:$E,'Diario Cali'!$B:$B,C$4,'Diario Cali'!$C:$C,$A19)</f>
        <v>0</v>
      </c>
      <c r="D19" s="24">
        <f>-SUMIFS('Diario Adm'!$E:$E,'Diario Adm'!$B:$B,D$4,'Diario Adm'!$C:$C,$A19)-SUMIFS('Diario Cali'!$E:$E,'Diario Cali'!$B:$B,D$4,'Diario Cali'!$C:$C,$A19)</f>
        <v>0</v>
      </c>
      <c r="E19" s="24">
        <f>-SUMIFS('Diario Adm'!$E:$E,'Diario Adm'!$B:$B,E$4,'Diario Adm'!$C:$C,$A19)-SUMIFS('Diario Cali'!$E:$E,'Diario Cali'!$B:$B,E$4,'Diario Cali'!$C:$C,$A19)</f>
        <v>0</v>
      </c>
      <c r="F19" s="24">
        <f>-SUMIFS('Diario Adm'!$E:$E,'Diario Adm'!$B:$B,F$4,'Diario Adm'!$C:$C,$A19)-SUMIFS('Diario Cali'!$E:$E,'Diario Cali'!$B:$B,F$4,'Diario Cali'!$C:$C,$A19)</f>
        <v>0</v>
      </c>
      <c r="G19" s="24">
        <f>-SUMIFS('Diario Adm'!$E:$E,'Diario Adm'!$B:$B,G$4,'Diario Adm'!$C:$C,$A19)-SUMIFS('Diario Cali'!$E:$E,'Diario Cali'!$B:$B,G$4,'Diario Cali'!$C:$C,$A19)</f>
        <v>0</v>
      </c>
      <c r="H19" s="24">
        <f>-SUMIFS('Diario Adm'!$E:$E,'Diario Adm'!$B:$B,H$4,'Diario Adm'!$C:$C,$A19)-SUMIFS('Diario Cali'!$E:$E,'Diario Cali'!$B:$B,H$4,'Diario Cali'!$C:$C,$A19)</f>
        <v>0</v>
      </c>
      <c r="I19" s="24">
        <f>-SUMIFS('Diario Adm'!$E:$E,'Diario Adm'!$B:$B,I$4,'Diario Adm'!$C:$C,$A19)-SUMIFS('Diario Cali'!$E:$E,'Diario Cali'!$B:$B,I$4,'Diario Cali'!$C:$C,$A19)</f>
        <v>0</v>
      </c>
      <c r="J19" s="24">
        <f>-SUMIFS('Diario Adm'!$E:$E,'Diario Adm'!$B:$B,J$4,'Diario Adm'!$C:$C,$A19)-SUMIFS('Diario Cali'!$E:$E,'Diario Cali'!$B:$B,J$4,'Diario Cali'!$C:$C,$A19)</f>
        <v>0</v>
      </c>
      <c r="K19" s="24">
        <f>-SUMIFS('Diario Adm'!$E:$E,'Diario Adm'!$B:$B,K$4,'Diario Adm'!$C:$C,$A19)-SUMIFS('Diario Cali'!$E:$E,'Diario Cali'!$B:$B,K$4,'Diario Cali'!$C:$C,$A19)</f>
        <v>0</v>
      </c>
      <c r="L19" s="24">
        <f>-SUMIFS('Diario Adm'!$E:$E,'Diario Adm'!$B:$B,L$4,'Diario Adm'!$C:$C,$A19)-SUMIFS('Diario Cali'!$E:$E,'Diario Cali'!$B:$B,L$4,'Diario Cali'!$C:$C,$A19)</f>
        <v>0</v>
      </c>
      <c r="M19" s="24">
        <f>-SUMIFS('Diario Adm'!$E:$E,'Diario Adm'!$B:$B,M$4,'Diario Adm'!$C:$C,$A19)-SUMIFS('Diario Cali'!$E:$E,'Diario Cali'!$B:$B,M$4,'Diario Cali'!$C:$C,$A19)</f>
        <v>0</v>
      </c>
      <c r="N19" s="24">
        <f>-SUMIFS('Diario Adm'!$E:$E,'Diario Adm'!$B:$B,N$4,'Diario Adm'!$C:$C,$A19)-SUMIFS('Diario Cali'!$E:$E,'Diario Cali'!$B:$B,N$4,'Diario Cali'!$C:$C,$A19)</f>
        <v>0</v>
      </c>
      <c r="O19" s="28"/>
      <c r="P19" s="25">
        <f t="shared" si="3"/>
        <v>0</v>
      </c>
      <c r="Q19" s="28"/>
      <c r="R19" s="25">
        <f t="shared" si="4"/>
        <v>0</v>
      </c>
    </row>
    <row r="20" spans="1:20" ht="13.6" x14ac:dyDescent="0.25">
      <c r="A20" s="162">
        <v>3480</v>
      </c>
      <c r="B20" s="128" t="str">
        <f>VLOOKUP(A20,Plan!A:B,2,0)</f>
        <v>Pastoral Comunicacional</v>
      </c>
      <c r="C20" s="24">
        <f>-SUMIFS('Diario Adm'!$E:$E,'Diario Adm'!$B:$B,C$4,'Diario Adm'!$C:$C,$A20)-SUMIFS('Diario Cali'!$E:$E,'Diario Cali'!$B:$B,C$4,'Diario Cali'!$C:$C,$A20)</f>
        <v>0</v>
      </c>
      <c r="D20" s="24">
        <f>-SUMIFS('Diario Adm'!$E:$E,'Diario Adm'!$B:$B,D$4,'Diario Adm'!$C:$C,$A20)-SUMIFS('Diario Cali'!$E:$E,'Diario Cali'!$B:$B,D$4,'Diario Cali'!$C:$C,$A20)</f>
        <v>0</v>
      </c>
      <c r="E20" s="24">
        <f>-SUMIFS('Diario Adm'!$E:$E,'Diario Adm'!$B:$B,E$4,'Diario Adm'!$C:$C,$A20)-SUMIFS('Diario Cali'!$E:$E,'Diario Cali'!$B:$B,E$4,'Diario Cali'!$C:$C,$A20)</f>
        <v>0</v>
      </c>
      <c r="F20" s="24">
        <f>-SUMIFS('Diario Adm'!$E:$E,'Diario Adm'!$B:$B,F$4,'Diario Adm'!$C:$C,$A20)-SUMIFS('Diario Cali'!$E:$E,'Diario Cali'!$B:$B,F$4,'Diario Cali'!$C:$C,$A20)</f>
        <v>0</v>
      </c>
      <c r="G20" s="24">
        <f>-SUMIFS('Diario Adm'!$E:$E,'Diario Adm'!$B:$B,G$4,'Diario Adm'!$C:$C,$A20)-SUMIFS('Diario Cali'!$E:$E,'Diario Cali'!$B:$B,G$4,'Diario Cali'!$C:$C,$A20)</f>
        <v>0</v>
      </c>
      <c r="H20" s="24">
        <f>-SUMIFS('Diario Adm'!$E:$E,'Diario Adm'!$B:$B,H$4,'Diario Adm'!$C:$C,$A20)-SUMIFS('Diario Cali'!$E:$E,'Diario Cali'!$B:$B,H$4,'Diario Cali'!$C:$C,$A20)</f>
        <v>0</v>
      </c>
      <c r="I20" s="24">
        <f>-SUMIFS('Diario Adm'!$E:$E,'Diario Adm'!$B:$B,I$4,'Diario Adm'!$C:$C,$A20)-SUMIFS('Diario Cali'!$E:$E,'Diario Cali'!$B:$B,I$4,'Diario Cali'!$C:$C,$A20)</f>
        <v>0</v>
      </c>
      <c r="J20" s="24">
        <f>-SUMIFS('Diario Adm'!$E:$E,'Diario Adm'!$B:$B,J$4,'Diario Adm'!$C:$C,$A20)-SUMIFS('Diario Cali'!$E:$E,'Diario Cali'!$B:$B,J$4,'Diario Cali'!$C:$C,$A20)</f>
        <v>0</v>
      </c>
      <c r="K20" s="24">
        <f>-SUMIFS('Diario Adm'!$E:$E,'Diario Adm'!$B:$B,K$4,'Diario Adm'!$C:$C,$A20)-SUMIFS('Diario Cali'!$E:$E,'Diario Cali'!$B:$B,K$4,'Diario Cali'!$C:$C,$A20)</f>
        <v>0</v>
      </c>
      <c r="L20" s="24">
        <f>-SUMIFS('Diario Adm'!$E:$E,'Diario Adm'!$B:$B,L$4,'Diario Adm'!$C:$C,$A20)-SUMIFS('Diario Cali'!$E:$E,'Diario Cali'!$B:$B,L$4,'Diario Cali'!$C:$C,$A20)</f>
        <v>0</v>
      </c>
      <c r="M20" s="24">
        <f>-SUMIFS('Diario Adm'!$E:$E,'Diario Adm'!$B:$B,M$4,'Diario Adm'!$C:$C,$A20)-SUMIFS('Diario Cali'!$E:$E,'Diario Cali'!$B:$B,M$4,'Diario Cali'!$C:$C,$A20)</f>
        <v>0</v>
      </c>
      <c r="N20" s="24">
        <f>-SUMIFS('Diario Adm'!$E:$E,'Diario Adm'!$B:$B,N$4,'Diario Adm'!$C:$C,$A20)-SUMIFS('Diario Cali'!$E:$E,'Diario Cali'!$B:$B,N$4,'Diario Cali'!$C:$C,$A20)</f>
        <v>0</v>
      </c>
      <c r="O20" s="28"/>
      <c r="P20" s="25">
        <f t="shared" si="3"/>
        <v>0</v>
      </c>
      <c r="Q20" s="28"/>
      <c r="R20" s="25">
        <f t="shared" si="4"/>
        <v>0</v>
      </c>
    </row>
    <row r="21" spans="1:20" ht="13.6" x14ac:dyDescent="0.25">
      <c r="A21" s="162">
        <v>3310</v>
      </c>
      <c r="B21" s="128" t="str">
        <f>VLOOKUP(A21,Plan!A:B,2,0)</f>
        <v>Librería</v>
      </c>
      <c r="C21" s="24">
        <f>-SUMIFS('Diario Adm'!$E:$E,'Diario Adm'!$B:$B,C$4,'Diario Adm'!$C:$C,$A21)-SUMIFS('Diario Cali'!$E:$E,'Diario Cali'!$B:$B,C$4,'Diario Cali'!$C:$C,$A21)</f>
        <v>0</v>
      </c>
      <c r="D21" s="24">
        <f>-SUMIFS('Diario Adm'!$E:$E,'Diario Adm'!$B:$B,D$4,'Diario Adm'!$C:$C,$A21)-SUMIFS('Diario Cali'!$E:$E,'Diario Cali'!$B:$B,D$4,'Diario Cali'!$C:$C,$A21)</f>
        <v>0</v>
      </c>
      <c r="E21" s="24">
        <f>-SUMIFS('Diario Adm'!$E:$E,'Diario Adm'!$B:$B,E$4,'Diario Adm'!$C:$C,$A21)-SUMIFS('Diario Cali'!$E:$E,'Diario Cali'!$B:$B,E$4,'Diario Cali'!$C:$C,$A21)</f>
        <v>0</v>
      </c>
      <c r="F21" s="24">
        <f>-SUMIFS('Diario Adm'!$E:$E,'Diario Adm'!$B:$B,F$4,'Diario Adm'!$C:$C,$A21)-SUMIFS('Diario Cali'!$E:$E,'Diario Cali'!$B:$B,F$4,'Diario Cali'!$C:$C,$A21)</f>
        <v>0</v>
      </c>
      <c r="G21" s="24">
        <f>-SUMIFS('Diario Adm'!$E:$E,'Diario Adm'!$B:$B,G$4,'Diario Adm'!$C:$C,$A21)-SUMIFS('Diario Cali'!$E:$E,'Diario Cali'!$B:$B,G$4,'Diario Cali'!$C:$C,$A21)</f>
        <v>0</v>
      </c>
      <c r="H21" s="24">
        <f>-SUMIFS('Diario Adm'!$E:$E,'Diario Adm'!$B:$B,H$4,'Diario Adm'!$C:$C,$A21)-SUMIFS('Diario Cali'!$E:$E,'Diario Cali'!$B:$B,H$4,'Diario Cali'!$C:$C,$A21)</f>
        <v>0</v>
      </c>
      <c r="I21" s="24">
        <f>-SUMIFS('Diario Adm'!$E:$E,'Diario Adm'!$B:$B,I$4,'Diario Adm'!$C:$C,$A21)-SUMIFS('Diario Cali'!$E:$E,'Diario Cali'!$B:$B,I$4,'Diario Cali'!$C:$C,$A21)</f>
        <v>0</v>
      </c>
      <c r="J21" s="24">
        <f>-SUMIFS('Diario Adm'!$E:$E,'Diario Adm'!$B:$B,J$4,'Diario Adm'!$C:$C,$A21)-SUMIFS('Diario Cali'!$E:$E,'Diario Cali'!$B:$B,J$4,'Diario Cali'!$C:$C,$A21)</f>
        <v>0</v>
      </c>
      <c r="K21" s="24">
        <f>-SUMIFS('Diario Adm'!$E:$E,'Diario Adm'!$B:$B,K$4,'Diario Adm'!$C:$C,$A21)-SUMIFS('Diario Cali'!$E:$E,'Diario Cali'!$B:$B,K$4,'Diario Cali'!$C:$C,$A21)</f>
        <v>0</v>
      </c>
      <c r="L21" s="24">
        <f>-SUMIFS('Diario Adm'!$E:$E,'Diario Adm'!$B:$B,L$4,'Diario Adm'!$C:$C,$A21)-SUMIFS('Diario Cali'!$E:$E,'Diario Cali'!$B:$B,L$4,'Diario Cali'!$C:$C,$A21)</f>
        <v>0</v>
      </c>
      <c r="M21" s="24">
        <f>-SUMIFS('Diario Adm'!$E:$E,'Diario Adm'!$B:$B,M$4,'Diario Adm'!$C:$C,$A21)-SUMIFS('Diario Cali'!$E:$E,'Diario Cali'!$B:$B,M$4,'Diario Cali'!$C:$C,$A21)</f>
        <v>0</v>
      </c>
      <c r="N21" s="24">
        <f>-SUMIFS('Diario Adm'!$E:$E,'Diario Adm'!$B:$B,N$4,'Diario Adm'!$C:$C,$A21)-SUMIFS('Diario Cali'!$E:$E,'Diario Cali'!$B:$B,N$4,'Diario Cali'!$C:$C,$A21)</f>
        <v>0</v>
      </c>
      <c r="O21" s="28"/>
      <c r="P21" s="25">
        <f t="shared" si="3"/>
        <v>0</v>
      </c>
      <c r="Q21" s="28"/>
      <c r="R21" s="25">
        <f t="shared" si="4"/>
        <v>0</v>
      </c>
    </row>
    <row r="22" spans="1:20" ht="13.6" x14ac:dyDescent="0.25">
      <c r="A22" s="162">
        <v>3350</v>
      </c>
      <c r="B22" s="128" t="str">
        <f>VLOOKUP(A22,Plan!A:B,2,0)</f>
        <v>Bautizos</v>
      </c>
      <c r="C22" s="24">
        <f>-SUMIFS('Diario Adm'!$E:$E,'Diario Adm'!$B:$B,C$4,'Diario Adm'!$C:$C,$A22)-SUMIFS('Diario Cali'!$E:$E,'Diario Cali'!$B:$B,C$4,'Diario Cali'!$C:$C,$A22)</f>
        <v>162000</v>
      </c>
      <c r="D22" s="24">
        <f>-SUMIFS('Diario Adm'!$E:$E,'Diario Adm'!$B:$B,D$4,'Diario Adm'!$C:$C,$A22)-SUMIFS('Diario Cali'!$E:$E,'Diario Cali'!$B:$B,D$4,'Diario Cali'!$C:$C,$A22)</f>
        <v>20000</v>
      </c>
      <c r="E22" s="24">
        <f>-SUMIFS('Diario Adm'!$E:$E,'Diario Adm'!$B:$B,E$4,'Diario Adm'!$C:$C,$A22)-SUMIFS('Diario Cali'!$E:$E,'Diario Cali'!$B:$B,E$4,'Diario Cali'!$C:$C,$A22)</f>
        <v>154000</v>
      </c>
      <c r="F22" s="24">
        <f>-SUMIFS('Diario Adm'!$E:$E,'Diario Adm'!$B:$B,F$4,'Diario Adm'!$C:$C,$A22)-SUMIFS('Diario Cali'!$E:$E,'Diario Cali'!$B:$B,F$4,'Diario Cali'!$C:$C,$A22)</f>
        <v>15000</v>
      </c>
      <c r="G22" s="24">
        <f>-SUMIFS('Diario Adm'!$E:$E,'Diario Adm'!$B:$B,G$4,'Diario Adm'!$C:$C,$A22)-SUMIFS('Diario Cali'!$E:$E,'Diario Cali'!$B:$B,G$4,'Diario Cali'!$C:$C,$A22)</f>
        <v>123000</v>
      </c>
      <c r="H22" s="24">
        <f>-SUMIFS('Diario Adm'!$E:$E,'Diario Adm'!$B:$B,H$4,'Diario Adm'!$C:$C,$A22)-SUMIFS('Diario Cali'!$E:$E,'Diario Cali'!$B:$B,H$4,'Diario Cali'!$C:$C,$A22)</f>
        <v>70000</v>
      </c>
      <c r="I22" s="24">
        <f>-SUMIFS('Diario Adm'!$E:$E,'Diario Adm'!$B:$B,I$4,'Diario Adm'!$C:$C,$A22)-SUMIFS('Diario Cali'!$E:$E,'Diario Cali'!$B:$B,I$4,'Diario Cali'!$C:$C,$A22)</f>
        <v>200000</v>
      </c>
      <c r="J22" s="24">
        <f>-SUMIFS('Diario Adm'!$E:$E,'Diario Adm'!$B:$B,J$4,'Diario Adm'!$C:$C,$A22)-SUMIFS('Diario Cali'!$E:$E,'Diario Cali'!$B:$B,J$4,'Diario Cali'!$C:$C,$A22)</f>
        <v>154940</v>
      </c>
      <c r="K22" s="24">
        <f>-SUMIFS('Diario Adm'!$E:$E,'Diario Adm'!$B:$B,K$4,'Diario Adm'!$C:$C,$A22)-SUMIFS('Diario Cali'!$E:$E,'Diario Cali'!$B:$B,K$4,'Diario Cali'!$C:$C,$A22)</f>
        <v>167691</v>
      </c>
      <c r="L22" s="24">
        <f>-SUMIFS('Diario Adm'!$E:$E,'Diario Adm'!$B:$B,L$4,'Diario Adm'!$C:$C,$A22)-SUMIFS('Diario Cali'!$E:$E,'Diario Cali'!$B:$B,L$4,'Diario Cali'!$C:$C,$A22)</f>
        <v>155000</v>
      </c>
      <c r="M22" s="24">
        <f>-SUMIFS('Diario Adm'!$E:$E,'Diario Adm'!$B:$B,M$4,'Diario Adm'!$C:$C,$A22)-SUMIFS('Diario Cali'!$E:$E,'Diario Cali'!$B:$B,M$4,'Diario Cali'!$C:$C,$A22)</f>
        <v>215000</v>
      </c>
      <c r="N22" s="24">
        <f>-SUMIFS('Diario Adm'!$E:$E,'Diario Adm'!$B:$B,N$4,'Diario Adm'!$C:$C,$A22)-SUMIFS('Diario Cali'!$E:$E,'Diario Cali'!$B:$B,N$4,'Diario Cali'!$C:$C,$A22)</f>
        <v>100000</v>
      </c>
      <c r="O22" s="28"/>
      <c r="P22" s="25">
        <f t="shared" si="3"/>
        <v>1536631</v>
      </c>
      <c r="Q22" s="28"/>
      <c r="R22" s="25">
        <f t="shared" si="4"/>
        <v>153663.1</v>
      </c>
      <c r="S22" s="2" t="s">
        <v>533</v>
      </c>
    </row>
    <row r="23" spans="1:20" ht="13.6" x14ac:dyDescent="0.25">
      <c r="A23" s="162">
        <v>3340</v>
      </c>
      <c r="B23" s="128" t="str">
        <f>VLOOKUP(A23,Plan!A:B,2,0)</f>
        <v>Misas</v>
      </c>
      <c r="C23" s="24">
        <f>-SUMIFS('Diario Adm'!$E:$E,'Diario Adm'!$B:$B,C$4,'Diario Adm'!$C:$C,$A23)-SUMIFS('Diario Cali'!$E:$E,'Diario Cali'!$B:$B,C$4,'Diario Cali'!$C:$C,$A23)</f>
        <v>114728</v>
      </c>
      <c r="D23" s="24">
        <f>-SUMIFS('Diario Adm'!$E:$E,'Diario Adm'!$B:$B,D$4,'Diario Adm'!$C:$C,$A23)-SUMIFS('Diario Cali'!$E:$E,'Diario Cali'!$B:$B,D$4,'Diario Cali'!$C:$C,$A23)</f>
        <v>110000</v>
      </c>
      <c r="E23" s="24">
        <f>-SUMIFS('Diario Adm'!$E:$E,'Diario Adm'!$B:$B,E$4,'Diario Adm'!$C:$C,$A23)-SUMIFS('Diario Cali'!$E:$E,'Diario Cali'!$B:$B,E$4,'Diario Cali'!$C:$C,$A23)</f>
        <v>91054</v>
      </c>
      <c r="F23" s="24">
        <f>-SUMIFS('Diario Adm'!$E:$E,'Diario Adm'!$B:$B,F$4,'Diario Adm'!$C:$C,$A23)-SUMIFS('Diario Cali'!$E:$E,'Diario Cali'!$B:$B,F$4,'Diario Cali'!$C:$C,$A23)</f>
        <v>109343</v>
      </c>
      <c r="G23" s="24">
        <f>-SUMIFS('Diario Adm'!$E:$E,'Diario Adm'!$B:$B,G$4,'Diario Adm'!$C:$C,$A23)-SUMIFS('Diario Cali'!$E:$E,'Diario Cali'!$B:$B,G$4,'Diario Cali'!$C:$C,$A23)</f>
        <v>342271</v>
      </c>
      <c r="H23" s="24">
        <f>-SUMIFS('Diario Adm'!$E:$E,'Diario Adm'!$B:$B,H$4,'Diario Adm'!$C:$C,$A23)-SUMIFS('Diario Cali'!$E:$E,'Diario Cali'!$B:$B,H$4,'Diario Cali'!$C:$C,$A23)</f>
        <v>153685</v>
      </c>
      <c r="I23" s="24">
        <f>-SUMIFS('Diario Adm'!$E:$E,'Diario Adm'!$B:$B,I$4,'Diario Adm'!$C:$C,$A23)-SUMIFS('Diario Cali'!$E:$E,'Diario Cali'!$B:$B,I$4,'Diario Cali'!$C:$C,$A23)</f>
        <v>121458</v>
      </c>
      <c r="J23" s="24">
        <f>-SUMIFS('Diario Adm'!$E:$E,'Diario Adm'!$B:$B,J$4,'Diario Adm'!$C:$C,$A23)-SUMIFS('Diario Cali'!$E:$E,'Diario Cali'!$B:$B,J$4,'Diario Cali'!$C:$C,$A23)</f>
        <v>82427</v>
      </c>
      <c r="K23" s="24">
        <f>-SUMIFS('Diario Adm'!$E:$E,'Diario Adm'!$B:$B,K$4,'Diario Adm'!$C:$C,$A23)-SUMIFS('Diario Cali'!$E:$E,'Diario Cali'!$B:$B,K$4,'Diario Cali'!$C:$C,$A23)</f>
        <v>126718</v>
      </c>
      <c r="L23" s="24">
        <f>-SUMIFS('Diario Adm'!$E:$E,'Diario Adm'!$B:$B,L$4,'Diario Adm'!$C:$C,$A23)-SUMIFS('Diario Cali'!$E:$E,'Diario Cali'!$B:$B,L$4,'Diario Cali'!$C:$C,$A23)</f>
        <v>74718</v>
      </c>
      <c r="M23" s="24">
        <f>-SUMIFS('Diario Adm'!$E:$E,'Diario Adm'!$B:$B,M$4,'Diario Adm'!$C:$C,$A23)-SUMIFS('Diario Cali'!$E:$E,'Diario Cali'!$B:$B,M$4,'Diario Cali'!$C:$C,$A23)</f>
        <v>78965</v>
      </c>
      <c r="N23" s="24">
        <f>-SUMIFS('Diario Adm'!$E:$E,'Diario Adm'!$B:$B,N$4,'Diario Adm'!$C:$C,$A23)-SUMIFS('Diario Cali'!$E:$E,'Diario Cali'!$B:$B,N$4,'Diario Cali'!$C:$C,$A23)</f>
        <v>99496</v>
      </c>
      <c r="O23" s="28"/>
      <c r="P23" s="25">
        <f t="shared" si="3"/>
        <v>1504863</v>
      </c>
      <c r="Q23" s="28"/>
      <c r="R23" s="25">
        <f t="shared" si="4"/>
        <v>150486.29999999999</v>
      </c>
      <c r="S23" s="2" t="s">
        <v>533</v>
      </c>
    </row>
    <row r="24" spans="1:20" ht="13.6" x14ac:dyDescent="0.25">
      <c r="A24" s="162">
        <v>3520</v>
      </c>
      <c r="B24" s="128" t="str">
        <f>VLOOKUP(A24,Plan!A:B,2,0)</f>
        <v>Otros Ingreso</v>
      </c>
      <c r="C24" s="24">
        <f>-SUMIFS('Diario Adm'!$E:$E,'Diario Adm'!$B:$B,C$4,'Diario Adm'!$C:$C,$A24)-SUMIFS('Diario Cali'!$E:$E,'Diario Cali'!$B:$B,C$4,'Diario Cali'!$C:$C,$A24)</f>
        <v>0</v>
      </c>
      <c r="D24" s="24">
        <f>-SUMIFS('Diario Adm'!$E:$E,'Diario Adm'!$B:$B,D$4,'Diario Adm'!$C:$C,$A24)-SUMIFS('Diario Cali'!$E:$E,'Diario Cali'!$B:$B,D$4,'Diario Cali'!$C:$C,$A24)</f>
        <v>0</v>
      </c>
      <c r="E24" s="24">
        <f>-SUMIFS('Diario Adm'!$E:$E,'Diario Adm'!$B:$B,E$4,'Diario Adm'!$C:$C,$A24)-SUMIFS('Diario Cali'!$E:$E,'Diario Cali'!$B:$B,E$4,'Diario Cali'!$C:$C,$A24)</f>
        <v>0</v>
      </c>
      <c r="F24" s="24">
        <f>-SUMIFS('Diario Adm'!$E:$E,'Diario Adm'!$B:$B,F$4,'Diario Adm'!$C:$C,$A24)-SUMIFS('Diario Cali'!$E:$E,'Diario Cali'!$B:$B,F$4,'Diario Cali'!$C:$C,$A24)</f>
        <v>0</v>
      </c>
      <c r="G24" s="24">
        <f>-SUMIFS('Diario Adm'!$E:$E,'Diario Adm'!$B:$B,G$4,'Diario Adm'!$C:$C,$A24)-SUMIFS('Diario Cali'!$E:$E,'Diario Cali'!$B:$B,G$4,'Diario Cali'!$C:$C,$A24)</f>
        <v>26802</v>
      </c>
      <c r="H24" s="24">
        <f>-SUMIFS('Diario Adm'!$E:$E,'Diario Adm'!$B:$B,H$4,'Diario Adm'!$C:$C,$A24)-SUMIFS('Diario Cali'!$E:$E,'Diario Cali'!$B:$B,H$4,'Diario Cali'!$C:$C,$A24)</f>
        <v>12312</v>
      </c>
      <c r="I24" s="24">
        <f>-SUMIFS('Diario Adm'!$E:$E,'Diario Adm'!$B:$B,I$4,'Diario Adm'!$C:$C,$A24)-SUMIFS('Diario Cali'!$E:$E,'Diario Cali'!$B:$B,I$4,'Diario Cali'!$C:$C,$A24)</f>
        <v>13922</v>
      </c>
      <c r="J24" s="24">
        <f>-SUMIFS('Diario Adm'!$E:$E,'Diario Adm'!$B:$B,J$4,'Diario Adm'!$C:$C,$A24)-SUMIFS('Diario Cali'!$E:$E,'Diario Cali'!$B:$B,J$4,'Diario Cali'!$C:$C,$A24)</f>
        <v>81652</v>
      </c>
      <c r="K24" s="24">
        <f>-SUMIFS('Diario Adm'!$E:$E,'Diario Adm'!$B:$B,K$4,'Diario Adm'!$C:$C,$A24)-SUMIFS('Diario Cali'!$E:$E,'Diario Cali'!$B:$B,K$4,'Diario Cali'!$C:$C,$A24)</f>
        <v>0</v>
      </c>
      <c r="L24" s="24">
        <f>-SUMIFS('Diario Adm'!$E:$E,'Diario Adm'!$B:$B,L$4,'Diario Adm'!$C:$C,$A24)-SUMIFS('Diario Cali'!$E:$E,'Diario Cali'!$B:$B,L$4,'Diario Cali'!$C:$C,$A24)</f>
        <v>0</v>
      </c>
      <c r="M24" s="24">
        <f>-SUMIFS('Diario Adm'!$E:$E,'Diario Adm'!$B:$B,M$4,'Diario Adm'!$C:$C,$A24)-SUMIFS('Diario Cali'!$E:$E,'Diario Cali'!$B:$B,M$4,'Diario Cali'!$C:$C,$A24)</f>
        <v>93807</v>
      </c>
      <c r="N24" s="24">
        <f>-SUMIFS('Diario Adm'!$E:$E,'Diario Adm'!$B:$B,N$4,'Diario Adm'!$C:$C,$A24)-SUMIFS('Diario Cali'!$E:$E,'Diario Cali'!$B:$B,N$4,'Diario Cali'!$C:$C,$A24)</f>
        <v>878224</v>
      </c>
      <c r="O24" s="28"/>
      <c r="P24" s="25">
        <f>SUM(C24:N24)</f>
        <v>1106719</v>
      </c>
      <c r="Q24" s="28"/>
      <c r="R24" s="25">
        <f>+P24/$R$4</f>
        <v>110671.9</v>
      </c>
      <c r="S24" s="3">
        <f>SUM(P6:P24)</f>
        <v>473839539</v>
      </c>
      <c r="T24" s="3">
        <f>+S24-P8</f>
        <v>88853977</v>
      </c>
    </row>
    <row r="25" spans="1:20" ht="13.6" x14ac:dyDescent="0.25">
      <c r="A25" s="162">
        <v>3610</v>
      </c>
      <c r="B25" s="128" t="str">
        <f>VLOOKUP(A25,Plan!A:B,2,0)</f>
        <v>Cali  Arzobispado</v>
      </c>
      <c r="C25" s="24">
        <f>-SUMIFS('Diario Adm'!$E:$E,'Diario Adm'!$B:$B,C$4,'Diario Adm'!$C:$C,$A25)-SUMIFS('Diario Cali'!$E:$E,'Diario Cali'!$B:$B,C$4,'Diario Cali'!$C:$C,$A25)</f>
        <v>6283561</v>
      </c>
      <c r="D25" s="24">
        <f>-SUMIFS('Diario Adm'!$E:$E,'Diario Adm'!$B:$B,D$4,'Diario Adm'!$C:$C,$A25)-SUMIFS('Diario Cali'!$E:$E,'Diario Cali'!$B:$B,D$4,'Diario Cali'!$C:$C,$A25)</f>
        <v>6067075</v>
      </c>
      <c r="E25" s="24">
        <f>-SUMIFS('Diario Adm'!$E:$E,'Diario Adm'!$B:$B,E$4,'Diario Adm'!$C:$C,$A25)-SUMIFS('Diario Cali'!$E:$E,'Diario Cali'!$B:$B,E$4,'Diario Cali'!$C:$C,$A25)</f>
        <v>4900254</v>
      </c>
      <c r="F25" s="24">
        <f>-SUMIFS('Diario Adm'!$E:$E,'Diario Adm'!$B:$B,F$4,'Diario Adm'!$C:$C,$A25)-SUMIFS('Diario Cali'!$E:$E,'Diario Cali'!$B:$B,F$4,'Diario Cali'!$C:$C,$A25)</f>
        <v>5991290</v>
      </c>
      <c r="G25" s="24">
        <f>-SUMIFS('Diario Adm'!$E:$E,'Diario Adm'!$B:$B,G$4,'Diario Adm'!$C:$C,$A25)-SUMIFS('Diario Cali'!$E:$E,'Diario Cali'!$B:$B,G$4,'Diario Cali'!$C:$C,$A25)</f>
        <v>6088671</v>
      </c>
      <c r="H25" s="24">
        <f>-SUMIFS('Diario Adm'!$E:$E,'Diario Adm'!$B:$B,H$4,'Diario Adm'!$C:$C,$A25)-SUMIFS('Diario Cali'!$E:$E,'Diario Cali'!$B:$B,H$4,'Diario Cali'!$C:$C,$A25)</f>
        <v>5898265</v>
      </c>
      <c r="I25" s="24">
        <f>-SUMIFS('Diario Adm'!$E:$E,'Diario Adm'!$B:$B,I$4,'Diario Adm'!$C:$C,$A25)-SUMIFS('Diario Cali'!$E:$E,'Diario Cali'!$B:$B,I$4,'Diario Cali'!$C:$C,$A25)</f>
        <v>5958308</v>
      </c>
      <c r="J25" s="24">
        <f>-SUMIFS('Diario Adm'!$E:$E,'Diario Adm'!$B:$B,J$4,'Diario Adm'!$C:$C,$A25)-SUMIFS('Diario Cali'!$E:$E,'Diario Cali'!$B:$B,J$4,'Diario Cali'!$C:$C,$A25)</f>
        <v>6153463</v>
      </c>
      <c r="K25" s="24">
        <f>-SUMIFS('Diario Adm'!$E:$E,'Diario Adm'!$B:$B,K$4,'Diario Adm'!$C:$C,$A25)-SUMIFS('Diario Cali'!$E:$E,'Diario Cali'!$B:$B,K$4,'Diario Cali'!$C:$C,$A25)</f>
        <v>5853767</v>
      </c>
      <c r="L25" s="24">
        <f>-SUMIFS('Diario Adm'!$E:$E,'Diario Adm'!$B:$B,L$4,'Diario Adm'!$C:$C,$A25)-SUMIFS('Diario Cali'!$E:$E,'Diario Cali'!$B:$B,L$4,'Diario Cali'!$C:$C,$A25)</f>
        <v>5970964</v>
      </c>
      <c r="M25" s="24">
        <f>-SUMIFS('Diario Adm'!$E:$E,'Diario Adm'!$B:$B,M$4,'Diario Adm'!$C:$C,$A25)-SUMIFS('Diario Cali'!$E:$E,'Diario Cali'!$B:$B,M$4,'Diario Cali'!$C:$C,$A25)</f>
        <v>5957168</v>
      </c>
      <c r="N25" s="24">
        <f>-SUMIFS('Diario Adm'!$E:$E,'Diario Adm'!$B:$B,N$4,'Diario Adm'!$C:$C,$A25)-SUMIFS('Diario Cali'!$E:$E,'Diario Cali'!$B:$B,N$4,'Diario Cali'!$C:$C,$A25)</f>
        <v>5652747</v>
      </c>
      <c r="O25" s="28"/>
      <c r="P25" s="25">
        <f>SUM(C25:N25)</f>
        <v>70775533</v>
      </c>
      <c r="Q25" s="28"/>
      <c r="R25" s="25">
        <f>+P25/$R$4</f>
        <v>7077553.2999999998</v>
      </c>
    </row>
    <row r="26" spans="1:20" ht="13.6" x14ac:dyDescent="0.25">
      <c r="A26" s="162">
        <v>3611</v>
      </c>
      <c r="B26" s="128" t="str">
        <f>VLOOKUP(A26,Plan!A:B,2,0)</f>
        <v>Cali  Arzobispado (249)</v>
      </c>
      <c r="C26" s="24">
        <f>-SUMIFS('Diario Adm'!$E:$E,'Diario Adm'!$B:$B,C$4,'Diario Adm'!$C:$C,$A26)-SUMIFS('Diario Cali'!$E:$E,'Diario Cali'!$B:$B,C$4,'Diario Cali'!$C:$C,$A26)</f>
        <v>2006500</v>
      </c>
      <c r="D26" s="24">
        <f>-SUMIFS('Diario Adm'!$E:$E,'Diario Adm'!$B:$B,D$4,'Diario Adm'!$C:$C,$A26)-SUMIFS('Diario Cali'!$E:$E,'Diario Cali'!$B:$B,D$4,'Diario Cali'!$C:$C,$A26)</f>
        <v>2014500</v>
      </c>
      <c r="E26" s="24">
        <f>-SUMIFS('Diario Adm'!$E:$E,'Diario Adm'!$B:$B,E$4,'Diario Adm'!$C:$C,$A26)-SUMIFS('Diario Cali'!$E:$E,'Diario Cali'!$B:$B,E$4,'Diario Cali'!$C:$C,$A26)</f>
        <v>2112500</v>
      </c>
      <c r="F26" s="24">
        <f>-SUMIFS('Diario Adm'!$E:$E,'Diario Adm'!$B:$B,F$4,'Diario Adm'!$C:$C,$A26)-SUMIFS('Diario Cali'!$E:$E,'Diario Cali'!$B:$B,F$4,'Diario Cali'!$C:$C,$A26)</f>
        <v>2020500</v>
      </c>
      <c r="G26" s="24">
        <f>-SUMIFS('Diario Adm'!$E:$E,'Diario Adm'!$B:$B,G$4,'Diario Adm'!$C:$C,$A26)-SUMIFS('Diario Cali'!$E:$E,'Diario Cali'!$B:$B,G$4,'Diario Cali'!$C:$C,$A26)</f>
        <v>2010500</v>
      </c>
      <c r="H26" s="24">
        <f>-SUMIFS('Diario Adm'!$E:$E,'Diario Adm'!$B:$B,H$4,'Diario Adm'!$C:$C,$A26)-SUMIFS('Diario Cali'!$E:$E,'Diario Cali'!$B:$B,H$4,'Diario Cali'!$C:$C,$A26)</f>
        <v>1525000</v>
      </c>
      <c r="I26" s="24">
        <f>-SUMIFS('Diario Adm'!$E:$E,'Diario Adm'!$B:$B,I$4,'Diario Adm'!$C:$C,$A26)-SUMIFS('Diario Cali'!$E:$E,'Diario Cali'!$B:$B,I$4,'Diario Cali'!$C:$C,$A26)</f>
        <v>2000500</v>
      </c>
      <c r="J26" s="24">
        <f>-SUMIFS('Diario Adm'!$E:$E,'Diario Adm'!$B:$B,J$4,'Diario Adm'!$C:$C,$A26)-SUMIFS('Diario Cali'!$E:$E,'Diario Cali'!$B:$B,J$4,'Diario Cali'!$C:$C,$A26)</f>
        <v>1975500</v>
      </c>
      <c r="K26" s="24">
        <f>-SUMIFS('Diario Adm'!$E:$E,'Diario Adm'!$B:$B,K$4,'Diario Adm'!$C:$C,$A26)-SUMIFS('Diario Cali'!$E:$E,'Diario Cali'!$B:$B,K$4,'Diario Cali'!$C:$C,$A26)</f>
        <v>1970500</v>
      </c>
      <c r="L26" s="24">
        <f>-SUMIFS('Diario Adm'!$E:$E,'Diario Adm'!$B:$B,L$4,'Diario Adm'!$C:$C,$A26)-SUMIFS('Diario Cali'!$E:$E,'Diario Cali'!$B:$B,L$4,'Diario Cali'!$C:$C,$A26)</f>
        <v>1985500</v>
      </c>
      <c r="M26" s="24">
        <f>-SUMIFS('Diario Adm'!$E:$E,'Diario Adm'!$B:$B,M$4,'Diario Adm'!$C:$C,$A26)-SUMIFS('Diario Cali'!$E:$E,'Diario Cali'!$B:$B,M$4,'Diario Cali'!$C:$C,$A26)</f>
        <v>2035500</v>
      </c>
      <c r="N26" s="24">
        <f>-SUMIFS('Diario Adm'!$E:$E,'Diario Adm'!$B:$B,N$4,'Diario Adm'!$C:$C,$A26)-SUMIFS('Diario Cali'!$E:$E,'Diario Cali'!$B:$B,N$4,'Diario Cali'!$C:$C,$A26)</f>
        <v>2000500</v>
      </c>
      <c r="O26" s="28"/>
      <c r="P26" s="25">
        <f>SUM(C26:N26)</f>
        <v>23657500</v>
      </c>
      <c r="Q26" s="28"/>
      <c r="R26" s="25">
        <f>+P26/$R$4</f>
        <v>2365750</v>
      </c>
    </row>
    <row r="27" spans="1:20" ht="13.6" x14ac:dyDescent="0.25">
      <c r="A27" s="162">
        <v>3620</v>
      </c>
      <c r="B27" s="128" t="str">
        <f>VLOOKUP(A27,Plan!A:B,2,0)</f>
        <v>Cali Recaudadores</v>
      </c>
      <c r="C27" s="24">
        <f>-SUMIFS('Diario Adm'!$E:$E,'Diario Adm'!$B:$B,C$4,'Diario Adm'!$C:$C,$A27)-SUMIFS('Diario Cali'!$E:$E,'Diario Cali'!$B:$B,C$4,'Diario Cali'!$C:$C,$A27)</f>
        <v>419000</v>
      </c>
      <c r="D27" s="24">
        <f>-SUMIFS('Diario Adm'!$E:$E,'Diario Adm'!$B:$B,D$4,'Diario Adm'!$C:$C,$A27)-SUMIFS('Diario Cali'!$E:$E,'Diario Cali'!$B:$B,D$4,'Diario Cali'!$C:$C,$A27)</f>
        <v>477000</v>
      </c>
      <c r="E27" s="24">
        <f>-SUMIFS('Diario Adm'!$E:$E,'Diario Adm'!$B:$B,E$4,'Diario Adm'!$C:$C,$A27)-SUMIFS('Diario Cali'!$E:$E,'Diario Cali'!$B:$B,E$4,'Diario Cali'!$C:$C,$A27)</f>
        <v>582000</v>
      </c>
      <c r="F27" s="24">
        <f>-SUMIFS('Diario Adm'!$E:$E,'Diario Adm'!$B:$B,F$4,'Diario Adm'!$C:$C,$A27)-SUMIFS('Diario Cali'!$E:$E,'Diario Cali'!$B:$B,F$4,'Diario Cali'!$C:$C,$A27)</f>
        <v>556000</v>
      </c>
      <c r="G27" s="24">
        <f>-SUMIFS('Diario Adm'!$E:$E,'Diario Adm'!$B:$B,G$4,'Diario Adm'!$C:$C,$A27)-SUMIFS('Diario Cali'!$E:$E,'Diario Cali'!$B:$B,G$4,'Diario Cali'!$C:$C,$A27)</f>
        <v>478000</v>
      </c>
      <c r="H27" s="24">
        <f>-SUMIFS('Diario Adm'!$E:$E,'Diario Adm'!$B:$B,H$4,'Diario Adm'!$C:$C,$A27)-SUMIFS('Diario Cali'!$E:$E,'Diario Cali'!$B:$B,H$4,'Diario Cali'!$C:$C,$A27)</f>
        <v>573000</v>
      </c>
      <c r="I27" s="24">
        <f>-SUMIFS('Diario Adm'!$E:$E,'Diario Adm'!$B:$B,I$4,'Diario Adm'!$C:$C,$A27)-SUMIFS('Diario Cali'!$E:$E,'Diario Cali'!$B:$B,I$4,'Diario Cali'!$C:$C,$A27)</f>
        <v>679000</v>
      </c>
      <c r="J27" s="24">
        <f>-SUMIFS('Diario Adm'!$E:$E,'Diario Adm'!$B:$B,J$4,'Diario Adm'!$C:$C,$A27)-SUMIFS('Diario Cali'!$E:$E,'Diario Cali'!$B:$B,J$4,'Diario Cali'!$C:$C,$A27)</f>
        <v>602000</v>
      </c>
      <c r="K27" s="24">
        <f>-SUMIFS('Diario Adm'!$E:$E,'Diario Adm'!$B:$B,K$4,'Diario Adm'!$C:$C,$A27)-SUMIFS('Diario Cali'!$E:$E,'Diario Cali'!$B:$B,K$4,'Diario Cali'!$C:$C,$A27)</f>
        <v>457000</v>
      </c>
      <c r="L27" s="24">
        <f>-SUMIFS('Diario Adm'!$E:$E,'Diario Adm'!$B:$B,L$4,'Diario Adm'!$C:$C,$A27)-SUMIFS('Diario Cali'!$E:$E,'Diario Cali'!$B:$B,L$4,'Diario Cali'!$C:$C,$A27)</f>
        <v>562000</v>
      </c>
      <c r="M27" s="24">
        <f>-SUMIFS('Diario Adm'!$E:$E,'Diario Adm'!$B:$B,M$4,'Diario Adm'!$C:$C,$A27)-SUMIFS('Diario Cali'!$E:$E,'Diario Cali'!$B:$B,M$4,'Diario Cali'!$C:$C,$A27)</f>
        <v>592000</v>
      </c>
      <c r="N27" s="24">
        <f>-SUMIFS('Diario Adm'!$E:$E,'Diario Adm'!$B:$B,N$4,'Diario Adm'!$C:$C,$A27)-SUMIFS('Diario Cali'!$E:$E,'Diario Cali'!$B:$B,N$4,'Diario Cali'!$C:$C,$A27)</f>
        <v>632000</v>
      </c>
      <c r="O27" s="28"/>
      <c r="P27" s="25">
        <f>SUM(C27:N27)</f>
        <v>6609000</v>
      </c>
      <c r="Q27" s="28"/>
      <c r="R27" s="25">
        <f>+P27/$R$4</f>
        <v>660900</v>
      </c>
    </row>
    <row r="28" spans="1:20" ht="13.6" x14ac:dyDescent="0.25">
      <c r="A28" s="162">
        <v>3621</v>
      </c>
      <c r="B28" s="128" t="str">
        <f>VLOOKUP(A28,Plan!A:B,2,0)</f>
        <v>Cali Recaudadores (249)</v>
      </c>
      <c r="C28" s="24">
        <f>-SUMIFS('Diario Adm'!$E:$E,'Diario Adm'!$B:$B,C$4,'Diario Adm'!$C:$C,$A28)-SUMIFS('Diario Cali'!$E:$E,'Diario Cali'!$B:$B,C$4,'Diario Cali'!$C:$C,$A28)</f>
        <v>0</v>
      </c>
      <c r="D28" s="24">
        <f>-SUMIFS('Diario Adm'!$E:$E,'Diario Adm'!$B:$B,D$4,'Diario Adm'!$C:$C,$A28)-SUMIFS('Diario Cali'!$E:$E,'Diario Cali'!$B:$B,D$4,'Diario Cali'!$C:$C,$A28)</f>
        <v>0</v>
      </c>
      <c r="E28" s="24">
        <f>-SUMIFS('Diario Adm'!$E:$E,'Diario Adm'!$B:$B,E$4,'Diario Adm'!$C:$C,$A28)-SUMIFS('Diario Cali'!$E:$E,'Diario Cali'!$B:$B,E$4,'Diario Cali'!$C:$C,$A28)</f>
        <v>0</v>
      </c>
      <c r="F28" s="24">
        <f>-SUMIFS('Diario Adm'!$E:$E,'Diario Adm'!$B:$B,F$4,'Diario Adm'!$C:$C,$A28)-SUMIFS('Diario Cali'!$E:$E,'Diario Cali'!$B:$B,F$4,'Diario Cali'!$C:$C,$A28)</f>
        <v>0</v>
      </c>
      <c r="G28" s="24">
        <f>-SUMIFS('Diario Adm'!$E:$E,'Diario Adm'!$B:$B,G$4,'Diario Adm'!$C:$C,$A28)-SUMIFS('Diario Cali'!$E:$E,'Diario Cali'!$B:$B,G$4,'Diario Cali'!$C:$C,$A28)</f>
        <v>0</v>
      </c>
      <c r="H28" s="24">
        <f>-SUMIFS('Diario Adm'!$E:$E,'Diario Adm'!$B:$B,H$4,'Diario Adm'!$C:$C,$A28)-SUMIFS('Diario Cali'!$E:$E,'Diario Cali'!$B:$B,H$4,'Diario Cali'!$C:$C,$A28)</f>
        <v>0</v>
      </c>
      <c r="I28" s="24">
        <f>-SUMIFS('Diario Adm'!$E:$E,'Diario Adm'!$B:$B,I$4,'Diario Adm'!$C:$C,$A28)-SUMIFS('Diario Cali'!$E:$E,'Diario Cali'!$B:$B,I$4,'Diario Cali'!$C:$C,$A28)</f>
        <v>0</v>
      </c>
      <c r="J28" s="24">
        <f>-SUMIFS('Diario Adm'!$E:$E,'Diario Adm'!$B:$B,J$4,'Diario Adm'!$C:$C,$A28)-SUMIFS('Diario Cali'!$E:$E,'Diario Cali'!$B:$B,J$4,'Diario Cali'!$C:$C,$A28)</f>
        <v>0</v>
      </c>
      <c r="K28" s="24">
        <f>-SUMIFS('Diario Adm'!$E:$E,'Diario Adm'!$B:$B,K$4,'Diario Adm'!$C:$C,$A28)-SUMIFS('Diario Cali'!$E:$E,'Diario Cali'!$B:$B,K$4,'Diario Cali'!$C:$C,$A28)</f>
        <v>0</v>
      </c>
      <c r="L28" s="24">
        <f>-SUMIFS('Diario Adm'!$E:$E,'Diario Adm'!$B:$B,L$4,'Diario Adm'!$C:$C,$A28)-SUMIFS('Diario Cali'!$E:$E,'Diario Cali'!$B:$B,L$4,'Diario Cali'!$C:$C,$A28)</f>
        <v>0</v>
      </c>
      <c r="M28" s="24">
        <f>-SUMIFS('Diario Adm'!$E:$E,'Diario Adm'!$B:$B,M$4,'Diario Adm'!$C:$C,$A28)-SUMIFS('Diario Cali'!$E:$E,'Diario Cali'!$B:$B,M$4,'Diario Cali'!$C:$C,$A28)</f>
        <v>0</v>
      </c>
      <c r="N28" s="24">
        <f>-SUMIFS('Diario Adm'!$E:$E,'Diario Adm'!$B:$B,N$4,'Diario Adm'!$C:$C,$A28)-SUMIFS('Diario Cali'!$E:$E,'Diario Cali'!$B:$B,N$4,'Diario Cali'!$C:$C,$A28)</f>
        <v>0</v>
      </c>
      <c r="O28" s="28"/>
      <c r="P28" s="25">
        <f>SUM(C28:N28)</f>
        <v>0</v>
      </c>
      <c r="Q28" s="28"/>
      <c r="R28" s="25">
        <f>+P28/$R$4</f>
        <v>0</v>
      </c>
    </row>
    <row r="29" spans="1:20" ht="13.6" x14ac:dyDescent="0.25">
      <c r="A29" s="162">
        <v>3630</v>
      </c>
      <c r="B29" s="128" t="str">
        <f>VLOOKUP(A29,Plan!A:B,2,0)</f>
        <v>Cali Oficina Parroquial</v>
      </c>
      <c r="C29" s="24">
        <f>-SUMIFS('Diario Adm'!$E:$E,'Diario Adm'!$B:$B,C$4,'Diario Adm'!$C:$C,$A29)-SUMIFS('Diario Cali'!$E:$E,'Diario Cali'!$B:$B,C$4,'Diario Cali'!$C:$C,$A29)</f>
        <v>909400</v>
      </c>
      <c r="D29" s="24">
        <f>-SUMIFS('Diario Adm'!$E:$E,'Diario Adm'!$B:$B,D$4,'Diario Adm'!$C:$C,$A29)-SUMIFS('Diario Cali'!$E:$E,'Diario Cali'!$B:$B,D$4,'Diario Cali'!$C:$C,$A29)</f>
        <v>536000</v>
      </c>
      <c r="E29" s="24">
        <f>-SUMIFS('Diario Adm'!$E:$E,'Diario Adm'!$B:$B,E$4,'Diario Adm'!$C:$C,$A29)-SUMIFS('Diario Cali'!$E:$E,'Diario Cali'!$B:$B,E$4,'Diario Cali'!$C:$C,$A29)</f>
        <v>752000</v>
      </c>
      <c r="F29" s="24">
        <f>-SUMIFS('Diario Adm'!$E:$E,'Diario Adm'!$B:$B,F$4,'Diario Adm'!$C:$C,$A29)-SUMIFS('Diario Cali'!$E:$E,'Diario Cali'!$B:$B,F$4,'Diario Cali'!$C:$C,$A29)</f>
        <v>1556020</v>
      </c>
      <c r="G29" s="24">
        <f>-SUMIFS('Diario Adm'!$E:$E,'Diario Adm'!$B:$B,G$4,'Diario Adm'!$C:$C,$A29)-SUMIFS('Diario Cali'!$E:$E,'Diario Cali'!$B:$B,G$4,'Diario Cali'!$C:$C,$A29)</f>
        <v>3445504</v>
      </c>
      <c r="H29" s="24">
        <f>-SUMIFS('Diario Adm'!$E:$E,'Diario Adm'!$B:$B,H$4,'Diario Adm'!$C:$C,$A29)-SUMIFS('Diario Cali'!$E:$E,'Diario Cali'!$B:$B,H$4,'Diario Cali'!$C:$C,$A29)</f>
        <v>2165853</v>
      </c>
      <c r="I29" s="24">
        <f>-SUMIFS('Diario Adm'!$E:$E,'Diario Adm'!$B:$B,I$4,'Diario Adm'!$C:$C,$A29)-SUMIFS('Diario Cali'!$E:$E,'Diario Cali'!$B:$B,I$4,'Diario Cali'!$C:$C,$A29)</f>
        <v>879500</v>
      </c>
      <c r="J29" s="24">
        <f>-SUMIFS('Diario Adm'!$E:$E,'Diario Adm'!$B:$B,J$4,'Diario Adm'!$C:$C,$A29)-SUMIFS('Diario Cali'!$E:$E,'Diario Cali'!$B:$B,J$4,'Diario Cali'!$C:$C,$A29)</f>
        <v>1044000</v>
      </c>
      <c r="K29" s="24">
        <f>-SUMIFS('Diario Adm'!$E:$E,'Diario Adm'!$B:$B,K$4,'Diario Adm'!$C:$C,$A29)-SUMIFS('Diario Cali'!$E:$E,'Diario Cali'!$B:$B,K$4,'Diario Cali'!$C:$C,$A29)</f>
        <v>935289</v>
      </c>
      <c r="L29" s="24">
        <f>-SUMIFS('Diario Adm'!$E:$E,'Diario Adm'!$B:$B,L$4,'Diario Adm'!$C:$C,$A29)-SUMIFS('Diario Cali'!$E:$E,'Diario Cali'!$B:$B,L$4,'Diario Cali'!$C:$C,$A29)</f>
        <v>905000</v>
      </c>
      <c r="M29" s="24">
        <f>-SUMIFS('Diario Adm'!$E:$E,'Diario Adm'!$B:$B,M$4,'Diario Adm'!$C:$C,$A29)-SUMIFS('Diario Cali'!$E:$E,'Diario Cali'!$B:$B,M$4,'Diario Cali'!$C:$C,$A29)</f>
        <v>1000100</v>
      </c>
      <c r="N29" s="24">
        <f>-SUMIFS('Diario Adm'!$E:$E,'Diario Adm'!$B:$B,N$4,'Diario Adm'!$C:$C,$A29)-SUMIFS('Diario Cali'!$E:$E,'Diario Cali'!$B:$B,N$4,'Diario Cali'!$C:$C,$A29)</f>
        <v>970000</v>
      </c>
      <c r="O29" s="28"/>
      <c r="P29" s="25">
        <f t="shared" si="3"/>
        <v>15098666</v>
      </c>
      <c r="Q29" s="28"/>
      <c r="R29" s="25">
        <f t="shared" si="4"/>
        <v>1509866.6</v>
      </c>
    </row>
    <row r="30" spans="1:20" ht="13.6" x14ac:dyDescent="0.25">
      <c r="A30" s="162">
        <v>3631</v>
      </c>
      <c r="B30" s="128" t="str">
        <f>VLOOKUP(A30,Plan!A:B,2,0)</f>
        <v>Cali Oficina Parroquial (249)</v>
      </c>
      <c r="C30" s="24">
        <f>-SUMIFS('Diario Adm'!$E:$E,'Diario Adm'!$B:$B,C$4,'Diario Adm'!$C:$C,$A30)-SUMIFS('Diario Cali'!$E:$E,'Diario Cali'!$B:$B,C$4,'Diario Cali'!$C:$C,$A30)</f>
        <v>2579500</v>
      </c>
      <c r="D30" s="24">
        <f>-SUMIFS('Diario Adm'!$E:$E,'Diario Adm'!$B:$B,D$4,'Diario Adm'!$C:$C,$A30)-SUMIFS('Diario Cali'!$E:$E,'Diario Cali'!$B:$B,D$4,'Diario Cali'!$C:$C,$A30)</f>
        <v>1549000</v>
      </c>
      <c r="E30" s="24">
        <f>-SUMIFS('Diario Adm'!$E:$E,'Diario Adm'!$B:$B,E$4,'Diario Adm'!$C:$C,$A30)-SUMIFS('Diario Cali'!$E:$E,'Diario Cali'!$B:$B,E$4,'Diario Cali'!$C:$C,$A30)</f>
        <v>3656000</v>
      </c>
      <c r="F30" s="24">
        <f>-SUMIFS('Diario Adm'!$E:$E,'Diario Adm'!$B:$B,F$4,'Diario Adm'!$C:$C,$A30)-SUMIFS('Diario Cali'!$E:$E,'Diario Cali'!$B:$B,F$4,'Diario Cali'!$C:$C,$A30)</f>
        <v>2496000</v>
      </c>
      <c r="G30" s="24">
        <f>-SUMIFS('Diario Adm'!$E:$E,'Diario Adm'!$B:$B,G$4,'Diario Adm'!$C:$C,$A30)-SUMIFS('Diario Cali'!$E:$E,'Diario Cali'!$B:$B,G$4,'Diario Cali'!$C:$C,$A30)</f>
        <v>2175000</v>
      </c>
      <c r="H30" s="24">
        <f>-SUMIFS('Diario Adm'!$E:$E,'Diario Adm'!$B:$B,H$4,'Diario Adm'!$C:$C,$A30)-SUMIFS('Diario Cali'!$E:$E,'Diario Cali'!$B:$B,H$4,'Diario Cali'!$C:$C,$A30)</f>
        <v>2286000</v>
      </c>
      <c r="I30" s="24">
        <f>-SUMIFS('Diario Adm'!$E:$E,'Diario Adm'!$B:$B,I$4,'Diario Adm'!$C:$C,$A30)-SUMIFS('Diario Cali'!$E:$E,'Diario Cali'!$B:$B,I$4,'Diario Cali'!$C:$C,$A30)</f>
        <v>2849000</v>
      </c>
      <c r="J30" s="24">
        <f>-SUMIFS('Diario Adm'!$E:$E,'Diario Adm'!$B:$B,J$4,'Diario Adm'!$C:$C,$A30)-SUMIFS('Diario Cali'!$E:$E,'Diario Cali'!$B:$B,J$4,'Diario Cali'!$C:$C,$A30)</f>
        <v>3787000</v>
      </c>
      <c r="K30" s="24">
        <f>-SUMIFS('Diario Adm'!$E:$E,'Diario Adm'!$B:$B,K$4,'Diario Adm'!$C:$C,$A30)-SUMIFS('Diario Cali'!$E:$E,'Diario Cali'!$B:$B,K$4,'Diario Cali'!$C:$C,$A30)</f>
        <v>2973500</v>
      </c>
      <c r="L30" s="24">
        <f>-SUMIFS('Diario Adm'!$E:$E,'Diario Adm'!$B:$B,L$4,'Diario Adm'!$C:$C,$A30)-SUMIFS('Diario Cali'!$E:$E,'Diario Cali'!$B:$B,L$4,'Diario Cali'!$C:$C,$A30)</f>
        <v>3698500</v>
      </c>
      <c r="M30" s="24">
        <f>-SUMIFS('Diario Adm'!$E:$E,'Diario Adm'!$B:$B,M$4,'Diario Adm'!$C:$C,$A30)-SUMIFS('Diario Cali'!$E:$E,'Diario Cali'!$B:$B,M$4,'Diario Cali'!$C:$C,$A30)</f>
        <v>3666000</v>
      </c>
      <c r="N30" s="24">
        <f>-SUMIFS('Diario Adm'!$E:$E,'Diario Adm'!$B:$B,N$4,'Diario Adm'!$C:$C,$A30)-SUMIFS('Diario Cali'!$E:$E,'Diario Cali'!$B:$B,N$4,'Diario Cali'!$C:$C,$A30)</f>
        <v>3572000</v>
      </c>
      <c r="O30" s="28"/>
      <c r="P30" s="25">
        <f t="shared" si="3"/>
        <v>35287500</v>
      </c>
      <c r="Q30" s="28"/>
      <c r="R30" s="25">
        <f t="shared" si="4"/>
        <v>3528750</v>
      </c>
    </row>
    <row r="31" spans="1:20" ht="13.6" x14ac:dyDescent="0.25">
      <c r="A31" s="162">
        <v>3640</v>
      </c>
      <c r="B31" s="128" t="str">
        <f>VLOOKUP(A31,Plan!A:B,2,0)</f>
        <v>Cali Tarjetas de Creditos</v>
      </c>
      <c r="C31" s="24">
        <f>-SUMIFS('Diario Adm'!$E:$E,'Diario Adm'!$B:$B,C$4,'Diario Adm'!$C:$C,$A31)-SUMIFS('Diario Cali'!$E:$E,'Diario Cali'!$B:$B,C$4,'Diario Cali'!$C:$C,$A31)</f>
        <v>4406600</v>
      </c>
      <c r="D31" s="24">
        <f>-SUMIFS('Diario Adm'!$E:$E,'Diario Adm'!$B:$B,D$4,'Diario Adm'!$C:$C,$A31)-SUMIFS('Diario Cali'!$E:$E,'Diario Cali'!$B:$B,D$4,'Diario Cali'!$C:$C,$A31)</f>
        <v>4376600</v>
      </c>
      <c r="E31" s="24">
        <f>-SUMIFS('Diario Adm'!$E:$E,'Diario Adm'!$B:$B,E$4,'Diario Adm'!$C:$C,$A31)-SUMIFS('Diario Cali'!$E:$E,'Diario Cali'!$B:$B,E$4,'Diario Cali'!$C:$C,$A31)</f>
        <v>4374600</v>
      </c>
      <c r="F31" s="24">
        <f>-SUMIFS('Diario Adm'!$E:$E,'Diario Adm'!$B:$B,F$4,'Diario Adm'!$C:$C,$A31)-SUMIFS('Diario Cali'!$E:$E,'Diario Cali'!$B:$B,F$4,'Diario Cali'!$C:$C,$A31)</f>
        <v>4190600</v>
      </c>
      <c r="G31" s="24">
        <f>-SUMIFS('Diario Adm'!$E:$E,'Diario Adm'!$B:$B,G$4,'Diario Adm'!$C:$C,$A31)-SUMIFS('Diario Cali'!$E:$E,'Diario Cali'!$B:$B,G$4,'Diario Cali'!$C:$C,$A31)</f>
        <v>4190600</v>
      </c>
      <c r="H31" s="24">
        <f>-SUMIFS('Diario Adm'!$E:$E,'Diario Adm'!$B:$B,H$4,'Diario Adm'!$C:$C,$A31)-SUMIFS('Diario Cali'!$E:$E,'Diario Cali'!$B:$B,H$4,'Diario Cali'!$C:$C,$A31)</f>
        <v>4065600</v>
      </c>
      <c r="I31" s="24">
        <f>-SUMIFS('Diario Adm'!$E:$E,'Diario Adm'!$B:$B,I$4,'Diario Adm'!$C:$C,$A31)-SUMIFS('Diario Cali'!$E:$E,'Diario Cali'!$B:$B,I$4,'Diario Cali'!$C:$C,$A31)</f>
        <v>4140600</v>
      </c>
      <c r="J31" s="24">
        <f>-SUMIFS('Diario Adm'!$E:$E,'Diario Adm'!$B:$B,J$4,'Diario Adm'!$C:$C,$A31)-SUMIFS('Diario Cali'!$E:$E,'Diario Cali'!$B:$B,J$4,'Diario Cali'!$C:$C,$A31)</f>
        <v>4190600</v>
      </c>
      <c r="K31" s="24">
        <f>-SUMIFS('Diario Adm'!$E:$E,'Diario Adm'!$B:$B,K$4,'Diario Adm'!$C:$C,$A31)-SUMIFS('Diario Cali'!$E:$E,'Diario Cali'!$B:$B,K$4,'Diario Cali'!$C:$C,$A31)</f>
        <v>4190600</v>
      </c>
      <c r="L31" s="24">
        <f>-SUMIFS('Diario Adm'!$E:$E,'Diario Adm'!$B:$B,L$4,'Diario Adm'!$C:$C,$A31)-SUMIFS('Diario Cali'!$E:$E,'Diario Cali'!$B:$B,L$4,'Diario Cali'!$C:$C,$A31)</f>
        <v>4210600</v>
      </c>
      <c r="M31" s="24">
        <f>-SUMIFS('Diario Adm'!$E:$E,'Diario Adm'!$B:$B,M$4,'Diario Adm'!$C:$C,$A31)-SUMIFS('Diario Cali'!$E:$E,'Diario Cali'!$B:$B,M$4,'Diario Cali'!$C:$C,$A31)</f>
        <v>4310600</v>
      </c>
      <c r="N31" s="24">
        <f>-SUMIFS('Diario Adm'!$E:$E,'Diario Adm'!$B:$B,N$4,'Diario Adm'!$C:$C,$A31)-SUMIFS('Diario Cali'!$E:$E,'Diario Cali'!$B:$B,N$4,'Diario Cali'!$C:$C,$A31)</f>
        <v>4120600</v>
      </c>
      <c r="O31" s="28"/>
      <c r="P31" s="25">
        <f t="shared" si="3"/>
        <v>50768200</v>
      </c>
      <c r="Q31" s="28"/>
      <c r="R31" s="25">
        <f t="shared" si="4"/>
        <v>5076820</v>
      </c>
    </row>
    <row r="32" spans="1:20" ht="13.6" x14ac:dyDescent="0.25">
      <c r="A32" s="162">
        <v>3641</v>
      </c>
      <c r="B32" s="128" t="str">
        <f>VLOOKUP(A32,Plan!A:B,2,0)</f>
        <v>Cali Tarjetas de Creditos (249)</v>
      </c>
      <c r="C32" s="24">
        <f>-SUMIFS('Diario Adm'!$E:$E,'Diario Adm'!$B:$B,C$4,'Diario Adm'!$C:$C,$A32)-SUMIFS('Diario Cali'!$E:$E,'Diario Cali'!$B:$B,C$4,'Diario Cali'!$C:$C,$A32)</f>
        <v>5081258</v>
      </c>
      <c r="D32" s="24">
        <f>-SUMIFS('Diario Adm'!$E:$E,'Diario Adm'!$B:$B,D$4,'Diario Adm'!$C:$C,$A32)-SUMIFS('Diario Cali'!$E:$E,'Diario Cali'!$B:$B,D$4,'Diario Cali'!$C:$C,$A32)</f>
        <v>5001258</v>
      </c>
      <c r="E32" s="24">
        <f>-SUMIFS('Diario Adm'!$E:$E,'Diario Adm'!$B:$B,E$4,'Diario Adm'!$C:$C,$A32)-SUMIFS('Diario Cali'!$E:$E,'Diario Cali'!$B:$B,E$4,'Diario Cali'!$C:$C,$A32)</f>
        <v>5408258</v>
      </c>
      <c r="F32" s="24">
        <f>-SUMIFS('Diario Adm'!$E:$E,'Diario Adm'!$B:$B,F$4,'Diario Adm'!$C:$C,$A32)-SUMIFS('Diario Cali'!$E:$E,'Diario Cali'!$B:$B,F$4,'Diario Cali'!$C:$C,$A32)</f>
        <v>5882258</v>
      </c>
      <c r="G32" s="24">
        <f>-SUMIFS('Diario Adm'!$E:$E,'Diario Adm'!$B:$B,G$4,'Diario Adm'!$C:$C,$A32)-SUMIFS('Diario Cali'!$E:$E,'Diario Cali'!$B:$B,G$4,'Diario Cali'!$C:$C,$A32)</f>
        <v>6669213</v>
      </c>
      <c r="H32" s="24">
        <f>-SUMIFS('Diario Adm'!$E:$E,'Diario Adm'!$B:$B,H$4,'Diario Adm'!$C:$C,$A32)-SUMIFS('Diario Cali'!$E:$E,'Diario Cali'!$B:$B,H$4,'Diario Cali'!$C:$C,$A32)</f>
        <v>6364213</v>
      </c>
      <c r="I32" s="24">
        <f>-SUMIFS('Diario Adm'!$E:$E,'Diario Adm'!$B:$B,I$4,'Diario Adm'!$C:$C,$A32)-SUMIFS('Diario Cali'!$E:$E,'Diario Cali'!$B:$B,I$4,'Diario Cali'!$C:$C,$A32)</f>
        <v>7542213</v>
      </c>
      <c r="J32" s="24">
        <f>-SUMIFS('Diario Adm'!$E:$E,'Diario Adm'!$B:$B,J$4,'Diario Adm'!$C:$C,$A32)-SUMIFS('Diario Cali'!$E:$E,'Diario Cali'!$B:$B,J$4,'Diario Cali'!$C:$C,$A32)</f>
        <v>7622213</v>
      </c>
      <c r="K32" s="24">
        <f>-SUMIFS('Diario Adm'!$E:$E,'Diario Adm'!$B:$B,K$4,'Diario Adm'!$C:$C,$A32)-SUMIFS('Diario Cali'!$E:$E,'Diario Cali'!$B:$B,K$4,'Diario Cali'!$C:$C,$A32)</f>
        <v>7628413</v>
      </c>
      <c r="L32" s="24">
        <f>-SUMIFS('Diario Adm'!$E:$E,'Diario Adm'!$B:$B,L$4,'Diario Adm'!$C:$C,$A32)-SUMIFS('Diario Cali'!$E:$E,'Diario Cali'!$B:$B,L$4,'Diario Cali'!$C:$C,$A32)</f>
        <v>8137913</v>
      </c>
      <c r="M32" s="24">
        <f>-SUMIFS('Diario Adm'!$E:$E,'Diario Adm'!$B:$B,M$4,'Diario Adm'!$C:$C,$A32)-SUMIFS('Diario Cali'!$E:$E,'Diario Cali'!$B:$B,M$4,'Diario Cali'!$C:$C,$A32)</f>
        <v>8692913</v>
      </c>
      <c r="N32" s="24">
        <f>-SUMIFS('Diario Adm'!$E:$E,'Diario Adm'!$B:$B,N$4,'Diario Adm'!$C:$C,$A32)-SUMIFS('Diario Cali'!$E:$E,'Diario Cali'!$B:$B,N$4,'Diario Cali'!$C:$C,$A32)</f>
        <v>8451913</v>
      </c>
      <c r="O32" s="28"/>
      <c r="P32" s="25">
        <f t="shared" si="3"/>
        <v>82482036</v>
      </c>
      <c r="Q32" s="28"/>
      <c r="R32" s="25">
        <f t="shared" si="4"/>
        <v>8248203.5999999996</v>
      </c>
    </row>
    <row r="33" spans="1:20" ht="13.6" x14ac:dyDescent="0.25">
      <c r="A33" s="162">
        <v>3650</v>
      </c>
      <c r="B33" s="128" t="str">
        <f>VLOOKUP(A33,Plan!A:B,2,0)</f>
        <v>Cali Transferencias y Depósitos Directos</v>
      </c>
      <c r="C33" s="24">
        <f>-SUMIFS('Diario Adm'!$E:$E,'Diario Adm'!$B:$B,C$4,'Diario Adm'!$C:$C,$A33)-SUMIFS('Diario Cali'!$E:$E,'Diario Cali'!$B:$B,C$4,'Diario Cali'!$C:$C,$A33)</f>
        <v>0</v>
      </c>
      <c r="D33" s="24">
        <f>-SUMIFS('Diario Adm'!$E:$E,'Diario Adm'!$B:$B,D$4,'Diario Adm'!$C:$C,$A33)-SUMIFS('Diario Cali'!$E:$E,'Diario Cali'!$B:$B,D$4,'Diario Cali'!$C:$C,$A33)</f>
        <v>0</v>
      </c>
      <c r="E33" s="24">
        <f>-SUMIFS('Diario Adm'!$E:$E,'Diario Adm'!$B:$B,E$4,'Diario Adm'!$C:$C,$A33)-SUMIFS('Diario Cali'!$E:$E,'Diario Cali'!$B:$B,E$4,'Diario Cali'!$C:$C,$A33)</f>
        <v>0</v>
      </c>
      <c r="F33" s="24">
        <f>-SUMIFS('Diario Adm'!$E:$E,'Diario Adm'!$B:$B,F$4,'Diario Adm'!$C:$C,$A33)-SUMIFS('Diario Cali'!$E:$E,'Diario Cali'!$B:$B,F$4,'Diario Cali'!$C:$C,$A33)</f>
        <v>0</v>
      </c>
      <c r="G33" s="24">
        <f>-SUMIFS('Diario Adm'!$E:$E,'Diario Adm'!$B:$B,G$4,'Diario Adm'!$C:$C,$A33)-SUMIFS('Diario Cali'!$E:$E,'Diario Cali'!$B:$B,G$4,'Diario Cali'!$C:$C,$A33)</f>
        <v>0</v>
      </c>
      <c r="H33" s="24">
        <f>-SUMIFS('Diario Adm'!$E:$E,'Diario Adm'!$B:$B,H$4,'Diario Adm'!$C:$C,$A33)-SUMIFS('Diario Cali'!$E:$E,'Diario Cali'!$B:$B,H$4,'Diario Cali'!$C:$C,$A33)</f>
        <v>0</v>
      </c>
      <c r="I33" s="24">
        <f>-SUMIFS('Diario Adm'!$E:$E,'Diario Adm'!$B:$B,I$4,'Diario Adm'!$C:$C,$A33)-SUMIFS('Diario Cali'!$E:$E,'Diario Cali'!$B:$B,I$4,'Diario Cali'!$C:$C,$A33)</f>
        <v>0</v>
      </c>
      <c r="J33" s="24">
        <f>-SUMIFS('Diario Adm'!$E:$E,'Diario Adm'!$B:$B,J$4,'Diario Adm'!$C:$C,$A33)-SUMIFS('Diario Cali'!$E:$E,'Diario Cali'!$B:$B,J$4,'Diario Cali'!$C:$C,$A33)</f>
        <v>0</v>
      </c>
      <c r="K33" s="24">
        <f>-SUMIFS('Diario Adm'!$E:$E,'Diario Adm'!$B:$B,K$4,'Diario Adm'!$C:$C,$A33)-SUMIFS('Diario Cali'!$E:$E,'Diario Cali'!$B:$B,K$4,'Diario Cali'!$C:$C,$A33)</f>
        <v>0</v>
      </c>
      <c r="L33" s="24">
        <f>-SUMIFS('Diario Adm'!$E:$E,'Diario Adm'!$B:$B,L$4,'Diario Adm'!$C:$C,$A33)-SUMIFS('Diario Cali'!$E:$E,'Diario Cali'!$B:$B,L$4,'Diario Cali'!$C:$C,$A33)</f>
        <v>0</v>
      </c>
      <c r="M33" s="24">
        <f>-SUMIFS('Diario Adm'!$E:$E,'Diario Adm'!$B:$B,M$4,'Diario Adm'!$C:$C,$A33)-SUMIFS('Diario Cali'!$E:$E,'Diario Cali'!$B:$B,M$4,'Diario Cali'!$C:$C,$A33)</f>
        <v>0</v>
      </c>
      <c r="N33" s="24">
        <f>-SUMIFS('Diario Adm'!$E:$E,'Diario Adm'!$B:$B,N$4,'Diario Adm'!$C:$C,$A33)-SUMIFS('Diario Cali'!$E:$E,'Diario Cali'!$B:$B,N$4,'Diario Cali'!$C:$C,$A33)</f>
        <v>0</v>
      </c>
      <c r="O33" s="28"/>
      <c r="P33" s="25">
        <f t="shared" si="3"/>
        <v>0</v>
      </c>
      <c r="Q33" s="28"/>
      <c r="R33" s="25">
        <f t="shared" si="4"/>
        <v>0</v>
      </c>
    </row>
    <row r="34" spans="1:20" ht="13.6" x14ac:dyDescent="0.25">
      <c r="A34" s="162">
        <v>3651</v>
      </c>
      <c r="B34" s="128" t="str">
        <f>VLOOKUP(A34,Plan!A:B,2,0)</f>
        <v>Cali Transferencias y Depósitos Directos (249)</v>
      </c>
      <c r="C34" s="24">
        <f>-SUMIFS('Diario Adm'!$E:$E,'Diario Adm'!$B:$B,C$4,'Diario Adm'!$C:$C,$A34)-SUMIFS('Diario Cali'!$E:$E,'Diario Cali'!$B:$B,C$4,'Diario Cali'!$C:$C,$A34)</f>
        <v>0</v>
      </c>
      <c r="D34" s="24">
        <f>-SUMIFS('Diario Adm'!$E:$E,'Diario Adm'!$B:$B,D$4,'Diario Adm'!$C:$C,$A34)-SUMIFS('Diario Cali'!$E:$E,'Diario Cali'!$B:$B,D$4,'Diario Cali'!$C:$C,$A34)</f>
        <v>0</v>
      </c>
      <c r="E34" s="24">
        <f>-SUMIFS('Diario Adm'!$E:$E,'Diario Adm'!$B:$B,E$4,'Diario Adm'!$C:$C,$A34)-SUMIFS('Diario Cali'!$E:$E,'Diario Cali'!$B:$B,E$4,'Diario Cali'!$C:$C,$A34)</f>
        <v>0</v>
      </c>
      <c r="F34" s="24">
        <f>-SUMIFS('Diario Adm'!$E:$E,'Diario Adm'!$B:$B,F$4,'Diario Adm'!$C:$C,$A34)-SUMIFS('Diario Cali'!$E:$E,'Diario Cali'!$B:$B,F$4,'Diario Cali'!$C:$C,$A34)</f>
        <v>0</v>
      </c>
      <c r="G34" s="24">
        <f>-SUMIFS('Diario Adm'!$E:$E,'Diario Adm'!$B:$B,G$4,'Diario Adm'!$C:$C,$A34)-SUMIFS('Diario Cali'!$E:$E,'Diario Cali'!$B:$B,G$4,'Diario Cali'!$C:$C,$A34)</f>
        <v>0</v>
      </c>
      <c r="H34" s="24">
        <f>-SUMIFS('Diario Adm'!$E:$E,'Diario Adm'!$B:$B,H$4,'Diario Adm'!$C:$C,$A34)-SUMIFS('Diario Cali'!$E:$E,'Diario Cali'!$B:$B,H$4,'Diario Cali'!$C:$C,$A34)</f>
        <v>0</v>
      </c>
      <c r="I34" s="24">
        <f>-SUMIFS('Diario Adm'!$E:$E,'Diario Adm'!$B:$B,I$4,'Diario Adm'!$C:$C,$A34)-SUMIFS('Diario Cali'!$E:$E,'Diario Cali'!$B:$B,I$4,'Diario Cali'!$C:$C,$A34)</f>
        <v>0</v>
      </c>
      <c r="J34" s="24">
        <f>-SUMIFS('Diario Adm'!$E:$E,'Diario Adm'!$B:$B,J$4,'Diario Adm'!$C:$C,$A34)-SUMIFS('Diario Cali'!$E:$E,'Diario Cali'!$B:$B,J$4,'Diario Cali'!$C:$C,$A34)</f>
        <v>0</v>
      </c>
      <c r="K34" s="24">
        <f>-SUMIFS('Diario Adm'!$E:$E,'Diario Adm'!$B:$B,K$4,'Diario Adm'!$C:$C,$A34)-SUMIFS('Diario Cali'!$E:$E,'Diario Cali'!$B:$B,K$4,'Diario Cali'!$C:$C,$A34)</f>
        <v>0</v>
      </c>
      <c r="L34" s="24">
        <f>-SUMIFS('Diario Adm'!$E:$E,'Diario Adm'!$B:$B,L$4,'Diario Adm'!$C:$C,$A34)-SUMIFS('Diario Cali'!$E:$E,'Diario Cali'!$B:$B,L$4,'Diario Cali'!$C:$C,$A34)</f>
        <v>0</v>
      </c>
      <c r="M34" s="24">
        <f>-SUMIFS('Diario Adm'!$E:$E,'Diario Adm'!$B:$B,M$4,'Diario Adm'!$C:$C,$A34)-SUMIFS('Diario Cali'!$E:$E,'Diario Cali'!$B:$B,M$4,'Diario Cali'!$C:$C,$A34)</f>
        <v>0</v>
      </c>
      <c r="N34" s="24">
        <f>-SUMIFS('Diario Adm'!$E:$E,'Diario Adm'!$B:$B,N$4,'Diario Adm'!$C:$C,$A34)-SUMIFS('Diario Cali'!$E:$E,'Diario Cali'!$B:$B,N$4,'Diario Cali'!$C:$C,$A34)</f>
        <v>0</v>
      </c>
      <c r="O34" s="28"/>
      <c r="P34" s="25">
        <f>SUM(C34:N34)</f>
        <v>0</v>
      </c>
      <c r="Q34" s="28"/>
      <c r="R34" s="25">
        <f>+P34/$R$4</f>
        <v>0</v>
      </c>
    </row>
    <row r="35" spans="1:20" ht="13.6" x14ac:dyDescent="0.25">
      <c r="A35" s="162">
        <v>3660</v>
      </c>
      <c r="B35" s="128" t="str">
        <f>VLOOKUP(A35,Plan!A:B,2,0)</f>
        <v>Cali Otros</v>
      </c>
      <c r="C35" s="24">
        <f>-SUMIFS('Diario Adm'!$E:$E,'Diario Adm'!$B:$B,C$4,'Diario Adm'!$C:$C,$A35)-SUMIFS('Diario Cali'!$E:$E,'Diario Cali'!$B:$B,C$4,'Diario Cali'!$C:$C,$A35)</f>
        <v>0</v>
      </c>
      <c r="D35" s="24">
        <f>-SUMIFS('Diario Adm'!$E:$E,'Diario Adm'!$B:$B,D$4,'Diario Adm'!$C:$C,$A35)-SUMIFS('Diario Cali'!$E:$E,'Diario Cali'!$B:$B,D$4,'Diario Cali'!$C:$C,$A35)</f>
        <v>0</v>
      </c>
      <c r="E35" s="24">
        <f>-SUMIFS('Diario Adm'!$E:$E,'Diario Adm'!$B:$B,E$4,'Diario Adm'!$C:$C,$A35)-SUMIFS('Diario Cali'!$E:$E,'Diario Cali'!$B:$B,E$4,'Diario Cali'!$C:$C,$A35)</f>
        <v>0</v>
      </c>
      <c r="F35" s="24">
        <f>-SUMIFS('Diario Adm'!$E:$E,'Diario Adm'!$B:$B,F$4,'Diario Adm'!$C:$C,$A35)-SUMIFS('Diario Cali'!$E:$E,'Diario Cali'!$B:$B,F$4,'Diario Cali'!$C:$C,$A35)</f>
        <v>0</v>
      </c>
      <c r="G35" s="24">
        <f>-SUMIFS('Diario Adm'!$E:$E,'Diario Adm'!$B:$B,G$4,'Diario Adm'!$C:$C,$A35)-SUMIFS('Diario Cali'!$E:$E,'Diario Cali'!$B:$B,G$4,'Diario Cali'!$C:$C,$A35)</f>
        <v>0</v>
      </c>
      <c r="H35" s="24">
        <f>-SUMIFS('Diario Adm'!$E:$E,'Diario Adm'!$B:$B,H$4,'Diario Adm'!$C:$C,$A35)-SUMIFS('Diario Cali'!$E:$E,'Diario Cali'!$B:$B,H$4,'Diario Cali'!$C:$C,$A35)</f>
        <v>0</v>
      </c>
      <c r="I35" s="24">
        <f>-SUMIFS('Diario Adm'!$E:$E,'Diario Adm'!$B:$B,I$4,'Diario Adm'!$C:$C,$A35)-SUMIFS('Diario Cali'!$E:$E,'Diario Cali'!$B:$B,I$4,'Diario Cali'!$C:$C,$A35)</f>
        <v>0</v>
      </c>
      <c r="J35" s="24">
        <f>-SUMIFS('Diario Adm'!$E:$E,'Diario Adm'!$B:$B,J$4,'Diario Adm'!$C:$C,$A35)-SUMIFS('Diario Cali'!$E:$E,'Diario Cali'!$B:$B,J$4,'Diario Cali'!$C:$C,$A35)</f>
        <v>0</v>
      </c>
      <c r="K35" s="24">
        <f>-SUMIFS('Diario Adm'!$E:$E,'Diario Adm'!$B:$B,K$4,'Diario Adm'!$C:$C,$A35)-SUMIFS('Diario Cali'!$E:$E,'Diario Cali'!$B:$B,K$4,'Diario Cali'!$C:$C,$A35)</f>
        <v>0</v>
      </c>
      <c r="L35" s="24">
        <f>-SUMIFS('Diario Adm'!$E:$E,'Diario Adm'!$B:$B,L$4,'Diario Adm'!$C:$C,$A35)-SUMIFS('Diario Cali'!$E:$E,'Diario Cali'!$B:$B,L$4,'Diario Cali'!$C:$C,$A35)</f>
        <v>0</v>
      </c>
      <c r="M35" s="24">
        <f>-SUMIFS('Diario Adm'!$E:$E,'Diario Adm'!$B:$B,M$4,'Diario Adm'!$C:$C,$A35)-SUMIFS('Diario Cali'!$E:$E,'Diario Cali'!$B:$B,M$4,'Diario Cali'!$C:$C,$A35)</f>
        <v>0</v>
      </c>
      <c r="N35" s="24">
        <f>-SUMIFS('Diario Adm'!$E:$E,'Diario Adm'!$B:$B,N$4,'Diario Adm'!$C:$C,$A35)-SUMIFS('Diario Cali'!$E:$E,'Diario Cali'!$B:$B,N$4,'Diario Cali'!$C:$C,$A35)</f>
        <v>0</v>
      </c>
      <c r="O35" s="28"/>
      <c r="P35" s="25">
        <f t="shared" si="3"/>
        <v>0</v>
      </c>
      <c r="Q35" s="28"/>
      <c r="R35" s="25">
        <f t="shared" si="4"/>
        <v>0</v>
      </c>
      <c r="S35" s="3">
        <f>SUM(P25:P35)</f>
        <v>284678435</v>
      </c>
      <c r="T35" s="3">
        <f>+P8</f>
        <v>384985562</v>
      </c>
    </row>
    <row r="36" spans="1:20" x14ac:dyDescent="0.2">
      <c r="B36" s="129" t="s">
        <v>1</v>
      </c>
      <c r="C36" s="26">
        <f>SUM(C37:C122)</f>
        <v>14454792</v>
      </c>
      <c r="D36" s="26">
        <f t="shared" ref="D36:N36" si="5">SUM(D37:D122)</f>
        <v>13891453</v>
      </c>
      <c r="E36" s="26">
        <f t="shared" si="5"/>
        <v>14265154</v>
      </c>
      <c r="F36" s="26">
        <f t="shared" si="5"/>
        <v>15480362</v>
      </c>
      <c r="G36" s="26">
        <f t="shared" si="5"/>
        <v>19549336</v>
      </c>
      <c r="H36" s="26">
        <f t="shared" si="5"/>
        <v>16827944</v>
      </c>
      <c r="I36" s="26">
        <f t="shared" si="5"/>
        <v>17430514</v>
      </c>
      <c r="J36" s="26">
        <f t="shared" si="5"/>
        <v>16843577</v>
      </c>
      <c r="K36" s="26">
        <f t="shared" si="5"/>
        <v>14890844</v>
      </c>
      <c r="L36" s="26">
        <f t="shared" si="5"/>
        <v>14507184</v>
      </c>
      <c r="M36" s="26">
        <f t="shared" si="5"/>
        <v>14829008</v>
      </c>
      <c r="N36" s="26">
        <f t="shared" si="5"/>
        <v>41945011</v>
      </c>
      <c r="O36" s="28"/>
      <c r="P36" s="26">
        <f>SUM(P37:P122)</f>
        <v>214915179</v>
      </c>
      <c r="Q36" s="30"/>
      <c r="R36" s="137">
        <f>SUM(R37:R122)</f>
        <v>21371283.700000003</v>
      </c>
      <c r="S36" s="3"/>
      <c r="T36" s="1">
        <f>+'Resultado Admin.'!P24+'Resultado Cali'!P21-P36</f>
        <v>0</v>
      </c>
    </row>
    <row r="37" spans="1:20" ht="13.6" x14ac:dyDescent="0.25">
      <c r="A37" s="162">
        <v>4210</v>
      </c>
      <c r="B37" s="128" t="str">
        <f>VLOOKUP(A37,Plan!A:B,2,0)</f>
        <v>Sueldos</v>
      </c>
      <c r="C37" s="24">
        <f>SUMIFS('Diario Adm'!$E:$E,'Diario Adm'!$B:$B,C$4,'Diario Adm'!$C:$C,$A37)+SUMIFS('Diario Cali'!$E:$E,'Diario Cali'!$B:$B,C$4,'Diario Cali'!$C:$C,$A37)</f>
        <v>0</v>
      </c>
      <c r="D37" s="24">
        <f>SUMIFS('Diario Adm'!$E:$E,'Diario Adm'!$B:$B,D$4,'Diario Adm'!$C:$C,$A37)+SUMIFS('Diario Cali'!$E:$E,'Diario Cali'!$B:$B,D$4,'Diario Cali'!$C:$C,$A37)</f>
        <v>0</v>
      </c>
      <c r="E37" s="24">
        <f>SUMIFS('Diario Adm'!$E:$E,'Diario Adm'!$B:$B,E$4,'Diario Adm'!$C:$C,$A37)+SUMIFS('Diario Cali'!$E:$E,'Diario Cali'!$B:$B,E$4,'Diario Cali'!$C:$C,$A37)</f>
        <v>0</v>
      </c>
      <c r="F37" s="24">
        <f>SUMIFS('Diario Adm'!$E:$E,'Diario Adm'!$B:$B,F$4,'Diario Adm'!$C:$C,$A37)+SUMIFS('Diario Cali'!$E:$E,'Diario Cali'!$B:$B,F$4,'Diario Cali'!$C:$C,$A37)</f>
        <v>-1118210</v>
      </c>
      <c r="G37" s="24">
        <f>SUMIFS('Diario Adm'!$E:$E,'Diario Adm'!$B:$B,G$4,'Diario Adm'!$C:$C,$A37)+SUMIFS('Diario Cali'!$E:$E,'Diario Cali'!$B:$B,G$4,'Diario Cali'!$C:$C,$A37)</f>
        <v>1118210</v>
      </c>
      <c r="H37" s="24">
        <f>SUMIFS('Diario Adm'!$E:$E,'Diario Adm'!$B:$B,H$4,'Diario Adm'!$C:$C,$A37)+SUMIFS('Diario Cali'!$E:$E,'Diario Cali'!$B:$B,H$4,'Diario Cali'!$C:$C,$A37)</f>
        <v>0</v>
      </c>
      <c r="I37" s="24">
        <f>SUMIFS('Diario Adm'!$E:$E,'Diario Adm'!$B:$B,I$4,'Diario Adm'!$C:$C,$A37)+SUMIFS('Diario Cali'!$E:$E,'Diario Cali'!$B:$B,I$4,'Diario Cali'!$C:$C,$A37)</f>
        <v>0</v>
      </c>
      <c r="J37" s="24">
        <f>SUMIFS('Diario Adm'!$E:$E,'Diario Adm'!$B:$B,J$4,'Diario Adm'!$C:$C,$A37)+SUMIFS('Diario Cali'!$E:$E,'Diario Cali'!$B:$B,J$4,'Diario Cali'!$C:$C,$A37)</f>
        <v>0</v>
      </c>
      <c r="K37" s="24">
        <f>SUMIFS('Diario Adm'!$E:$E,'Diario Adm'!$B:$B,K$4,'Diario Adm'!$C:$C,$A37)+SUMIFS('Diario Cali'!$E:$E,'Diario Cali'!$B:$B,K$4,'Diario Cali'!$C:$C,$A37)</f>
        <v>0</v>
      </c>
      <c r="L37" s="24">
        <f>SUMIFS('Diario Adm'!$E:$E,'Diario Adm'!$B:$B,L$4,'Diario Adm'!$C:$C,$A37)+SUMIFS('Diario Cali'!$E:$E,'Diario Cali'!$B:$B,L$4,'Diario Cali'!$C:$C,$A37)</f>
        <v>0</v>
      </c>
      <c r="M37" s="24">
        <f>SUMIFS('Diario Adm'!$E:$E,'Diario Adm'!$B:$B,M$4,'Diario Adm'!$C:$C,$A37)+SUMIFS('Diario Cali'!$E:$E,'Diario Cali'!$B:$B,M$4,'Diario Cali'!$C:$C,$A37)</f>
        <v>0</v>
      </c>
      <c r="N37" s="24">
        <f>SUMIFS('Diario Adm'!$E:$E,'Diario Adm'!$B:$B,N$4,'Diario Adm'!$C:$C,$A37)+SUMIFS('Diario Cali'!$E:$E,'Diario Cali'!$B:$B,N$4,'Diario Cali'!$C:$C,$A37)</f>
        <v>0</v>
      </c>
      <c r="O37" s="28"/>
      <c r="P37" s="138">
        <f t="shared" ref="P37:P44" si="6">SUM(C37:N37)</f>
        <v>0</v>
      </c>
      <c r="Q37" s="28"/>
      <c r="R37" s="139">
        <f t="shared" ref="R37:R44" si="7">+P37/$R$4</f>
        <v>0</v>
      </c>
    </row>
    <row r="38" spans="1:20" ht="13.6" x14ac:dyDescent="0.25">
      <c r="A38" s="174">
        <v>4211</v>
      </c>
      <c r="B38" s="128" t="str">
        <f>VLOOKUP(A38,Plan!A:B,2,0)</f>
        <v>Auxiliares de Aseo</v>
      </c>
      <c r="C38" s="24">
        <f>SUMIFS('Diario Adm'!$E:$E,'Diario Adm'!$B:$B,C$4,'Diario Adm'!$C:$C,$A38)+SUMIFS('Diario Cali'!$E:$E,'Diario Cali'!$B:$B,C$4,'Diario Cali'!$C:$C,$A38)</f>
        <v>0</v>
      </c>
      <c r="D38" s="24">
        <f>SUMIFS('Diario Adm'!$E:$E,'Diario Adm'!$B:$B,D$4,'Diario Adm'!$C:$C,$A38)+SUMIFS('Diario Cali'!$E:$E,'Diario Cali'!$B:$B,D$4,'Diario Cali'!$C:$C,$A38)</f>
        <v>0</v>
      </c>
      <c r="E38" s="24">
        <f>SUMIFS('Diario Adm'!$E:$E,'Diario Adm'!$B:$B,E$4,'Diario Adm'!$C:$C,$A38)+SUMIFS('Diario Cali'!$E:$E,'Diario Cali'!$B:$B,E$4,'Diario Cali'!$C:$C,$A38)</f>
        <v>0</v>
      </c>
      <c r="F38" s="24">
        <f>SUMIFS('Diario Adm'!$E:$E,'Diario Adm'!$B:$B,F$4,'Diario Adm'!$C:$C,$A38)+SUMIFS('Diario Cali'!$E:$E,'Diario Cali'!$B:$B,F$4,'Diario Cali'!$C:$C,$A38)</f>
        <v>0</v>
      </c>
      <c r="G38" s="24">
        <f>SUMIFS('Diario Adm'!$E:$E,'Diario Adm'!$B:$B,G$4,'Diario Adm'!$C:$C,$A38)+SUMIFS('Diario Cali'!$E:$E,'Diario Cali'!$B:$B,G$4,'Diario Cali'!$C:$C,$A38)</f>
        <v>0</v>
      </c>
      <c r="H38" s="24">
        <f>SUMIFS('Diario Adm'!$E:$E,'Diario Adm'!$B:$B,H$4,'Diario Adm'!$C:$C,$A38)+SUMIFS('Diario Cali'!$E:$E,'Diario Cali'!$B:$B,H$4,'Diario Cali'!$C:$C,$A38)</f>
        <v>0</v>
      </c>
      <c r="I38" s="24">
        <f>SUMIFS('Diario Adm'!$E:$E,'Diario Adm'!$B:$B,I$4,'Diario Adm'!$C:$C,$A38)+SUMIFS('Diario Cali'!$E:$E,'Diario Cali'!$B:$B,I$4,'Diario Cali'!$C:$C,$A38)</f>
        <v>0</v>
      </c>
      <c r="J38" s="24">
        <f>SUMIFS('Diario Adm'!$E:$E,'Diario Adm'!$B:$B,J$4,'Diario Adm'!$C:$C,$A38)+SUMIFS('Diario Cali'!$E:$E,'Diario Cali'!$B:$B,J$4,'Diario Cali'!$C:$C,$A38)</f>
        <v>0</v>
      </c>
      <c r="K38" s="24">
        <f>SUMIFS('Diario Adm'!$E:$E,'Diario Adm'!$B:$B,K$4,'Diario Adm'!$C:$C,$A38)+SUMIFS('Diario Cali'!$E:$E,'Diario Cali'!$B:$B,K$4,'Diario Cali'!$C:$C,$A38)</f>
        <v>0</v>
      </c>
      <c r="L38" s="24">
        <f>SUMIFS('Diario Adm'!$E:$E,'Diario Adm'!$B:$B,L$4,'Diario Adm'!$C:$C,$A38)+SUMIFS('Diario Cali'!$E:$E,'Diario Cali'!$B:$B,L$4,'Diario Cali'!$C:$C,$A38)</f>
        <v>0</v>
      </c>
      <c r="M38" s="24">
        <f>SUMIFS('Diario Adm'!$E:$E,'Diario Adm'!$B:$B,M$4,'Diario Adm'!$C:$C,$A38)+SUMIFS('Diario Cali'!$E:$E,'Diario Cali'!$B:$B,M$4,'Diario Cali'!$C:$C,$A38)</f>
        <v>0</v>
      </c>
      <c r="N38" s="24">
        <f>SUMIFS('Diario Adm'!$E:$E,'Diario Adm'!$B:$B,N$4,'Diario Adm'!$C:$C,$A38)+SUMIFS('Diario Cali'!$E:$E,'Diario Cali'!$B:$B,N$4,'Diario Cali'!$C:$C,$A38)</f>
        <v>0</v>
      </c>
      <c r="O38" s="28"/>
      <c r="P38" s="138">
        <f t="shared" si="6"/>
        <v>0</v>
      </c>
      <c r="Q38" s="28"/>
      <c r="R38" s="140">
        <f t="shared" si="7"/>
        <v>0</v>
      </c>
    </row>
    <row r="39" spans="1:20" ht="13.6" x14ac:dyDescent="0.25">
      <c r="A39" s="174">
        <v>4212</v>
      </c>
      <c r="B39" s="128" t="str">
        <f>VLOOKUP(A39,Plan!A:B,2,0)</f>
        <v>Sacerdotes</v>
      </c>
      <c r="C39" s="24">
        <f>SUMIFS('Diario Adm'!$E:$E,'Diario Adm'!$B:$B,C$4,'Diario Adm'!$C:$C,$A39)+SUMIFS('Diario Cali'!$E:$E,'Diario Cali'!$B:$B,C$4,'Diario Cali'!$C:$C,$A39)</f>
        <v>0</v>
      </c>
      <c r="D39" s="24">
        <f>SUMIFS('Diario Adm'!$E:$E,'Diario Adm'!$B:$B,D$4,'Diario Adm'!$C:$C,$A39)+SUMIFS('Diario Cali'!$E:$E,'Diario Cali'!$B:$B,D$4,'Diario Cali'!$C:$C,$A39)</f>
        <v>0</v>
      </c>
      <c r="E39" s="24">
        <f>SUMIFS('Diario Adm'!$E:$E,'Diario Adm'!$B:$B,E$4,'Diario Adm'!$C:$C,$A39)+SUMIFS('Diario Cali'!$E:$E,'Diario Cali'!$B:$B,E$4,'Diario Cali'!$C:$C,$A39)</f>
        <v>0</v>
      </c>
      <c r="F39" s="24">
        <f>SUMIFS('Diario Adm'!$E:$E,'Diario Adm'!$B:$B,F$4,'Diario Adm'!$C:$C,$A39)+SUMIFS('Diario Cali'!$E:$E,'Diario Cali'!$B:$B,F$4,'Diario Cali'!$C:$C,$A39)</f>
        <v>0</v>
      </c>
      <c r="G39" s="24">
        <f>SUMIFS('Diario Adm'!$E:$E,'Diario Adm'!$B:$B,G$4,'Diario Adm'!$C:$C,$A39)+SUMIFS('Diario Cali'!$E:$E,'Diario Cali'!$B:$B,G$4,'Diario Cali'!$C:$C,$A39)</f>
        <v>0</v>
      </c>
      <c r="H39" s="24">
        <f>SUMIFS('Diario Adm'!$E:$E,'Diario Adm'!$B:$B,H$4,'Diario Adm'!$C:$C,$A39)+SUMIFS('Diario Cali'!$E:$E,'Diario Cali'!$B:$B,H$4,'Diario Cali'!$C:$C,$A39)</f>
        <v>0</v>
      </c>
      <c r="I39" s="24">
        <f>SUMIFS('Diario Adm'!$E:$E,'Diario Adm'!$B:$B,I$4,'Diario Adm'!$C:$C,$A39)+SUMIFS('Diario Cali'!$E:$E,'Diario Cali'!$B:$B,I$4,'Diario Cali'!$C:$C,$A39)</f>
        <v>0</v>
      </c>
      <c r="J39" s="24">
        <f>SUMIFS('Diario Adm'!$E:$E,'Diario Adm'!$B:$B,J$4,'Diario Adm'!$C:$C,$A39)+SUMIFS('Diario Cali'!$E:$E,'Diario Cali'!$B:$B,J$4,'Diario Cali'!$C:$C,$A39)</f>
        <v>0</v>
      </c>
      <c r="K39" s="24">
        <f>SUMIFS('Diario Adm'!$E:$E,'Diario Adm'!$B:$B,K$4,'Diario Adm'!$C:$C,$A39)+SUMIFS('Diario Cali'!$E:$E,'Diario Cali'!$B:$B,K$4,'Diario Cali'!$C:$C,$A39)</f>
        <v>0</v>
      </c>
      <c r="L39" s="24">
        <f>SUMIFS('Diario Adm'!$E:$E,'Diario Adm'!$B:$B,L$4,'Diario Adm'!$C:$C,$A39)+SUMIFS('Diario Cali'!$E:$E,'Diario Cali'!$B:$B,L$4,'Diario Cali'!$C:$C,$A39)</f>
        <v>0</v>
      </c>
      <c r="M39" s="24">
        <f>SUMIFS('Diario Adm'!$E:$E,'Diario Adm'!$B:$B,M$4,'Diario Adm'!$C:$C,$A39)+SUMIFS('Diario Cali'!$E:$E,'Diario Cali'!$B:$B,M$4,'Diario Cali'!$C:$C,$A39)</f>
        <v>0</v>
      </c>
      <c r="N39" s="24">
        <f>SUMIFS('Diario Adm'!$E:$E,'Diario Adm'!$B:$B,N$4,'Diario Adm'!$C:$C,$A39)+SUMIFS('Diario Cali'!$E:$E,'Diario Cali'!$B:$B,N$4,'Diario Cali'!$C:$C,$A39)</f>
        <v>0</v>
      </c>
      <c r="O39" s="28"/>
      <c r="P39" s="138">
        <f t="shared" si="6"/>
        <v>0</v>
      </c>
      <c r="Q39" s="28"/>
      <c r="R39" s="140">
        <f t="shared" si="7"/>
        <v>0</v>
      </c>
    </row>
    <row r="40" spans="1:20" ht="13.6" x14ac:dyDescent="0.25">
      <c r="A40" s="174">
        <v>4213</v>
      </c>
      <c r="B40" s="128" t="str">
        <f>VLOOKUP(A40,Plan!A:B,2,0)</f>
        <v>Secretarias y Administración</v>
      </c>
      <c r="C40" s="24">
        <f>SUMIFS('Diario Adm'!$E:$E,'Diario Adm'!$B:$B,C$4,'Diario Adm'!$C:$C,$A40)+SUMIFS('Diario Cali'!$E:$E,'Diario Cali'!$B:$B,C$4,'Diario Cali'!$C:$C,$A40)</f>
        <v>0</v>
      </c>
      <c r="D40" s="24">
        <f>SUMIFS('Diario Adm'!$E:$E,'Diario Adm'!$B:$B,D$4,'Diario Adm'!$C:$C,$A40)+SUMIFS('Diario Cali'!$E:$E,'Diario Cali'!$B:$B,D$4,'Diario Cali'!$C:$C,$A40)</f>
        <v>0</v>
      </c>
      <c r="E40" s="24">
        <f>SUMIFS('Diario Adm'!$E:$E,'Diario Adm'!$B:$B,E$4,'Diario Adm'!$C:$C,$A40)+SUMIFS('Diario Cali'!$E:$E,'Diario Cali'!$B:$B,E$4,'Diario Cali'!$C:$C,$A40)</f>
        <v>0</v>
      </c>
      <c r="F40" s="24">
        <f>SUMIFS('Diario Adm'!$E:$E,'Diario Adm'!$B:$B,F$4,'Diario Adm'!$C:$C,$A40)+SUMIFS('Diario Cali'!$E:$E,'Diario Cali'!$B:$B,F$4,'Diario Cali'!$C:$C,$A40)</f>
        <v>0</v>
      </c>
      <c r="G40" s="24">
        <f>SUMIFS('Diario Adm'!$E:$E,'Diario Adm'!$B:$B,G$4,'Diario Adm'!$C:$C,$A40)+SUMIFS('Diario Cali'!$E:$E,'Diario Cali'!$B:$B,G$4,'Diario Cali'!$C:$C,$A40)</f>
        <v>0</v>
      </c>
      <c r="H40" s="24">
        <f>SUMIFS('Diario Adm'!$E:$E,'Diario Adm'!$B:$B,H$4,'Diario Adm'!$C:$C,$A40)+SUMIFS('Diario Cali'!$E:$E,'Diario Cali'!$B:$B,H$4,'Diario Cali'!$C:$C,$A40)</f>
        <v>0</v>
      </c>
      <c r="I40" s="24">
        <f>SUMIFS('Diario Adm'!$E:$E,'Diario Adm'!$B:$B,I$4,'Diario Adm'!$C:$C,$A40)+SUMIFS('Diario Cali'!$E:$E,'Diario Cali'!$B:$B,I$4,'Diario Cali'!$C:$C,$A40)</f>
        <v>0</v>
      </c>
      <c r="J40" s="24">
        <f>SUMIFS('Diario Adm'!$E:$E,'Diario Adm'!$B:$B,J$4,'Diario Adm'!$C:$C,$A40)+SUMIFS('Diario Cali'!$E:$E,'Diario Cali'!$B:$B,J$4,'Diario Cali'!$C:$C,$A40)</f>
        <v>0</v>
      </c>
      <c r="K40" s="24">
        <f>SUMIFS('Diario Adm'!$E:$E,'Diario Adm'!$B:$B,K$4,'Diario Adm'!$C:$C,$A40)+SUMIFS('Diario Cali'!$E:$E,'Diario Cali'!$B:$B,K$4,'Diario Cali'!$C:$C,$A40)</f>
        <v>0</v>
      </c>
      <c r="L40" s="24">
        <f>SUMIFS('Diario Adm'!$E:$E,'Diario Adm'!$B:$B,L$4,'Diario Adm'!$C:$C,$A40)+SUMIFS('Diario Cali'!$E:$E,'Diario Cali'!$B:$B,L$4,'Diario Cali'!$C:$C,$A40)</f>
        <v>0</v>
      </c>
      <c r="M40" s="24">
        <f>SUMIFS('Diario Adm'!$E:$E,'Diario Adm'!$B:$B,M$4,'Diario Adm'!$C:$C,$A40)+SUMIFS('Diario Cali'!$E:$E,'Diario Cali'!$B:$B,M$4,'Diario Cali'!$C:$C,$A40)</f>
        <v>0</v>
      </c>
      <c r="N40" s="24">
        <f>SUMIFS('Diario Adm'!$E:$E,'Diario Adm'!$B:$B,N$4,'Diario Adm'!$C:$C,$A40)+SUMIFS('Diario Cali'!$E:$E,'Diario Cali'!$B:$B,N$4,'Diario Cali'!$C:$C,$A40)</f>
        <v>0</v>
      </c>
      <c r="O40" s="28"/>
      <c r="P40" s="138">
        <f t="shared" si="6"/>
        <v>0</v>
      </c>
      <c r="Q40" s="28"/>
      <c r="R40" s="140">
        <f t="shared" si="7"/>
        <v>0</v>
      </c>
    </row>
    <row r="41" spans="1:20" ht="13.6" x14ac:dyDescent="0.25">
      <c r="A41" s="174">
        <v>4222</v>
      </c>
      <c r="B41" s="128" t="str">
        <f>VLOOKUP(A41,Plan!A:B,2,0)</f>
        <v xml:space="preserve">          Proceso 1%</v>
      </c>
      <c r="C41" s="24">
        <f>SUMIFS('Diario Adm'!$E:$E,'Diario Adm'!$B:$B,C$4,'Diario Adm'!$C:$C,$A41)+SUMIFS('Diario Cali'!$E:$E,'Diario Cali'!$B:$B,C$4,'Diario Cali'!$C:$C,$A41)</f>
        <v>0</v>
      </c>
      <c r="D41" s="24">
        <f>SUMIFS('Diario Adm'!$E:$E,'Diario Adm'!$B:$B,D$4,'Diario Adm'!$C:$C,$A41)+SUMIFS('Diario Cali'!$E:$E,'Diario Cali'!$B:$B,D$4,'Diario Cali'!$C:$C,$A41)</f>
        <v>0</v>
      </c>
      <c r="E41" s="24">
        <f>SUMIFS('Diario Adm'!$E:$E,'Diario Adm'!$B:$B,E$4,'Diario Adm'!$C:$C,$A41)+SUMIFS('Diario Cali'!$E:$E,'Diario Cali'!$B:$B,E$4,'Diario Cali'!$C:$C,$A41)</f>
        <v>0</v>
      </c>
      <c r="F41" s="24">
        <f>SUMIFS('Diario Adm'!$E:$E,'Diario Adm'!$B:$B,F$4,'Diario Adm'!$C:$C,$A41)+SUMIFS('Diario Cali'!$E:$E,'Diario Cali'!$B:$B,F$4,'Diario Cali'!$C:$C,$A41)</f>
        <v>0</v>
      </c>
      <c r="G41" s="24">
        <f>SUMIFS('Diario Adm'!$E:$E,'Diario Adm'!$B:$B,G$4,'Diario Adm'!$C:$C,$A41)+SUMIFS('Diario Cali'!$E:$E,'Diario Cali'!$B:$B,G$4,'Diario Cali'!$C:$C,$A41)</f>
        <v>0</v>
      </c>
      <c r="H41" s="24">
        <f>SUMIFS('Diario Adm'!$E:$E,'Diario Adm'!$B:$B,H$4,'Diario Adm'!$C:$C,$A41)+SUMIFS('Diario Cali'!$E:$E,'Diario Cali'!$B:$B,H$4,'Diario Cali'!$C:$C,$A41)</f>
        <v>0</v>
      </c>
      <c r="I41" s="24">
        <f>SUMIFS('Diario Adm'!$E:$E,'Diario Adm'!$B:$B,I$4,'Diario Adm'!$C:$C,$A41)+SUMIFS('Diario Cali'!$E:$E,'Diario Cali'!$B:$B,I$4,'Diario Cali'!$C:$C,$A41)</f>
        <v>0</v>
      </c>
      <c r="J41" s="24">
        <f>SUMIFS('Diario Adm'!$E:$E,'Diario Adm'!$B:$B,J$4,'Diario Adm'!$C:$C,$A41)+SUMIFS('Diario Cali'!$E:$E,'Diario Cali'!$B:$B,J$4,'Diario Cali'!$C:$C,$A41)</f>
        <v>0</v>
      </c>
      <c r="K41" s="24">
        <f>SUMIFS('Diario Adm'!$E:$E,'Diario Adm'!$B:$B,K$4,'Diario Adm'!$C:$C,$A41)+SUMIFS('Diario Cali'!$E:$E,'Diario Cali'!$B:$B,K$4,'Diario Cali'!$C:$C,$A41)</f>
        <v>0</v>
      </c>
      <c r="L41" s="24">
        <f>SUMIFS('Diario Adm'!$E:$E,'Diario Adm'!$B:$B,L$4,'Diario Adm'!$C:$C,$A41)+SUMIFS('Diario Cali'!$E:$E,'Diario Cali'!$B:$B,L$4,'Diario Cali'!$C:$C,$A41)</f>
        <v>0</v>
      </c>
      <c r="M41" s="24">
        <f>SUMIFS('Diario Adm'!$E:$E,'Diario Adm'!$B:$B,M$4,'Diario Adm'!$C:$C,$A41)+SUMIFS('Diario Cali'!$E:$E,'Diario Cali'!$B:$B,M$4,'Diario Cali'!$C:$C,$A41)</f>
        <v>0</v>
      </c>
      <c r="N41" s="24">
        <f>SUMIFS('Diario Adm'!$E:$E,'Diario Adm'!$B:$B,N$4,'Diario Adm'!$C:$C,$A41)+SUMIFS('Diario Cali'!$E:$E,'Diario Cali'!$B:$B,N$4,'Diario Cali'!$C:$C,$A41)</f>
        <v>327000</v>
      </c>
      <c r="O41" s="28"/>
      <c r="P41" s="138">
        <f t="shared" ref="P41" si="8">SUM(C41:N41)</f>
        <v>327000</v>
      </c>
      <c r="Q41" s="28"/>
      <c r="R41" s="140">
        <f t="shared" ref="R41" si="9">+P41/$R$4</f>
        <v>32700</v>
      </c>
    </row>
    <row r="42" spans="1:20" ht="13.6" x14ac:dyDescent="0.25">
      <c r="A42" s="162">
        <v>4230</v>
      </c>
      <c r="B42" s="128" t="str">
        <f>VLOOKUP(A42,Plan!A:B,2,0)</f>
        <v>Cotizaciones</v>
      </c>
      <c r="C42" s="24">
        <f>SUMIFS('Diario Adm'!$E:$E,'Diario Adm'!$B:$B,C$4,'Diario Adm'!$C:$C,$A42)+SUMIFS('Diario Cali'!$E:$E,'Diario Cali'!$B:$B,C$4,'Diario Cali'!$C:$C,$A42)</f>
        <v>0</v>
      </c>
      <c r="D42" s="24">
        <f>SUMIFS('Diario Adm'!$E:$E,'Diario Adm'!$B:$B,D$4,'Diario Adm'!$C:$C,$A42)+SUMIFS('Diario Cali'!$E:$E,'Diario Cali'!$B:$B,D$4,'Diario Cali'!$C:$C,$A42)</f>
        <v>0</v>
      </c>
      <c r="E42" s="24">
        <f>SUMIFS('Diario Adm'!$E:$E,'Diario Adm'!$B:$B,E$4,'Diario Adm'!$C:$C,$A42)+SUMIFS('Diario Cali'!$E:$E,'Diario Cali'!$B:$B,E$4,'Diario Cali'!$C:$C,$A42)</f>
        <v>0</v>
      </c>
      <c r="F42" s="24">
        <f>SUMIFS('Diario Adm'!$E:$E,'Diario Adm'!$B:$B,F$4,'Diario Adm'!$C:$C,$A42)+SUMIFS('Diario Cali'!$E:$E,'Diario Cali'!$B:$B,F$4,'Diario Cali'!$C:$C,$A42)</f>
        <v>0</v>
      </c>
      <c r="G42" s="24">
        <f>SUMIFS('Diario Adm'!$E:$E,'Diario Adm'!$B:$B,G$4,'Diario Adm'!$C:$C,$A42)+SUMIFS('Diario Cali'!$E:$E,'Diario Cali'!$B:$B,G$4,'Diario Cali'!$C:$C,$A42)</f>
        <v>0</v>
      </c>
      <c r="H42" s="24">
        <f>SUMIFS('Diario Adm'!$E:$E,'Diario Adm'!$B:$B,H$4,'Diario Adm'!$C:$C,$A42)+SUMIFS('Diario Cali'!$E:$E,'Diario Cali'!$B:$B,H$4,'Diario Cali'!$C:$C,$A42)</f>
        <v>0</v>
      </c>
      <c r="I42" s="24">
        <f>SUMIFS('Diario Adm'!$E:$E,'Diario Adm'!$B:$B,I$4,'Diario Adm'!$C:$C,$A42)+SUMIFS('Diario Cali'!$E:$E,'Diario Cali'!$B:$B,I$4,'Diario Cali'!$C:$C,$A42)</f>
        <v>0</v>
      </c>
      <c r="J42" s="24">
        <f>SUMIFS('Diario Adm'!$E:$E,'Diario Adm'!$B:$B,J$4,'Diario Adm'!$C:$C,$A42)+SUMIFS('Diario Cali'!$E:$E,'Diario Cali'!$B:$B,J$4,'Diario Cali'!$C:$C,$A42)</f>
        <v>0</v>
      </c>
      <c r="K42" s="24">
        <f>SUMIFS('Diario Adm'!$E:$E,'Diario Adm'!$B:$B,K$4,'Diario Adm'!$C:$C,$A42)+SUMIFS('Diario Cali'!$E:$E,'Diario Cali'!$B:$B,K$4,'Diario Cali'!$C:$C,$A42)</f>
        <v>0</v>
      </c>
      <c r="L42" s="24">
        <f>SUMIFS('Diario Adm'!$E:$E,'Diario Adm'!$B:$B,L$4,'Diario Adm'!$C:$C,$A42)+SUMIFS('Diario Cali'!$E:$E,'Diario Cali'!$B:$B,L$4,'Diario Cali'!$C:$C,$A42)</f>
        <v>0</v>
      </c>
      <c r="M42" s="24">
        <f>SUMIFS('Diario Adm'!$E:$E,'Diario Adm'!$B:$B,M$4,'Diario Adm'!$C:$C,$A42)+SUMIFS('Diario Cali'!$E:$E,'Diario Cali'!$B:$B,M$4,'Diario Cali'!$C:$C,$A42)</f>
        <v>0</v>
      </c>
      <c r="N42" s="24">
        <f>SUMIFS('Diario Adm'!$E:$E,'Diario Adm'!$B:$B,N$4,'Diario Adm'!$C:$C,$A42)+SUMIFS('Diario Cali'!$E:$E,'Diario Cali'!$B:$B,N$4,'Diario Cali'!$C:$C,$A42)</f>
        <v>0</v>
      </c>
      <c r="O42" s="28"/>
      <c r="P42" s="138">
        <f t="shared" si="6"/>
        <v>0</v>
      </c>
      <c r="Q42" s="28"/>
      <c r="R42" s="140">
        <f t="shared" si="7"/>
        <v>0</v>
      </c>
    </row>
    <row r="43" spans="1:20" ht="13.6" x14ac:dyDescent="0.25">
      <c r="A43" s="174">
        <v>4231</v>
      </c>
      <c r="B43" s="128" t="str">
        <f>VLOOKUP(A43,Plan!A:B,2,0)</f>
        <v>Auxiliares, secretarias y administración</v>
      </c>
      <c r="C43" s="24">
        <f>SUMIFS('Diario Adm'!$E:$E,'Diario Adm'!$B:$B,C$4,'Diario Adm'!$C:$C,$A43)+SUMIFS('Diario Cali'!$E:$E,'Diario Cali'!$B:$B,C$4,'Diario Cali'!$C:$C,$A43)</f>
        <v>3041200</v>
      </c>
      <c r="D43" s="24">
        <f>SUMIFS('Diario Adm'!$E:$E,'Diario Adm'!$B:$B,D$4,'Diario Adm'!$C:$C,$A43)+SUMIFS('Diario Cali'!$E:$E,'Diario Cali'!$B:$B,D$4,'Diario Cali'!$C:$C,$A43)</f>
        <v>3135528</v>
      </c>
      <c r="E43" s="24">
        <f>SUMIFS('Diario Adm'!$E:$E,'Diario Adm'!$B:$B,E$4,'Diario Adm'!$C:$C,$A43)+SUMIFS('Diario Cali'!$E:$E,'Diario Cali'!$B:$B,E$4,'Diario Cali'!$C:$C,$A43)</f>
        <v>3082593</v>
      </c>
      <c r="F43" s="24">
        <f>SUMIFS('Diario Adm'!$E:$E,'Diario Adm'!$B:$B,F$4,'Diario Adm'!$C:$C,$A43)+SUMIFS('Diario Cali'!$E:$E,'Diario Cali'!$B:$B,F$4,'Diario Cali'!$C:$C,$A43)</f>
        <v>3117687</v>
      </c>
      <c r="G43" s="24">
        <f>SUMIFS('Diario Adm'!$E:$E,'Diario Adm'!$B:$B,G$4,'Diario Adm'!$C:$C,$A43)+SUMIFS('Diario Cali'!$E:$E,'Diario Cali'!$B:$B,G$4,'Diario Cali'!$C:$C,$A43)</f>
        <v>3037484</v>
      </c>
      <c r="H43" s="24">
        <f>SUMIFS('Diario Adm'!$E:$E,'Diario Adm'!$B:$B,H$4,'Diario Adm'!$C:$C,$A43)+SUMIFS('Diario Cali'!$E:$E,'Diario Cali'!$B:$B,H$4,'Diario Cali'!$C:$C,$A43)</f>
        <v>3042484</v>
      </c>
      <c r="I43" s="24">
        <f>SUMIFS('Diario Adm'!$E:$E,'Diario Adm'!$B:$B,I$4,'Diario Adm'!$C:$C,$A43)+SUMIFS('Diario Cali'!$E:$E,'Diario Cali'!$B:$B,I$4,'Diario Cali'!$C:$C,$A43)</f>
        <v>3112070</v>
      </c>
      <c r="J43" s="24">
        <f>SUMIFS('Diario Adm'!$E:$E,'Diario Adm'!$B:$B,J$4,'Diario Adm'!$C:$C,$A43)+SUMIFS('Diario Cali'!$E:$E,'Diario Cali'!$B:$B,J$4,'Diario Cali'!$C:$C,$A43)</f>
        <v>3110777</v>
      </c>
      <c r="K43" s="24">
        <f>SUMIFS('Diario Adm'!$E:$E,'Diario Adm'!$B:$B,K$4,'Diario Adm'!$C:$C,$A43)+SUMIFS('Diario Cali'!$E:$E,'Diario Cali'!$B:$B,K$4,'Diario Cali'!$C:$C,$A43)</f>
        <v>3110777</v>
      </c>
      <c r="L43" s="24">
        <f>SUMIFS('Diario Adm'!$E:$E,'Diario Adm'!$B:$B,L$4,'Diario Adm'!$C:$C,$A43)+SUMIFS('Diario Cali'!$E:$E,'Diario Cali'!$B:$B,L$4,'Diario Cali'!$C:$C,$A43)</f>
        <v>3103697</v>
      </c>
      <c r="M43" s="24">
        <f>SUMIFS('Diario Adm'!$E:$E,'Diario Adm'!$B:$B,M$4,'Diario Adm'!$C:$C,$A43)+SUMIFS('Diario Cali'!$E:$E,'Diario Cali'!$B:$B,M$4,'Diario Cali'!$C:$C,$A43)</f>
        <v>3132889</v>
      </c>
      <c r="N43" s="24">
        <f>SUMIFS('Diario Adm'!$E:$E,'Diario Adm'!$B:$B,N$4,'Diario Adm'!$C:$C,$A43)+SUMIFS('Diario Cali'!$E:$E,'Diario Cali'!$B:$B,N$4,'Diario Cali'!$C:$C,$A43)</f>
        <v>3169702</v>
      </c>
      <c r="O43" s="28"/>
      <c r="P43" s="138">
        <f t="shared" si="6"/>
        <v>37196888</v>
      </c>
      <c r="Q43" s="28"/>
      <c r="R43" s="140">
        <f t="shared" si="7"/>
        <v>3719688.8</v>
      </c>
    </row>
    <row r="44" spans="1:20" ht="13.6" x14ac:dyDescent="0.25">
      <c r="A44" s="174">
        <v>4232</v>
      </c>
      <c r="B44" s="128" t="str">
        <f>VLOOKUP(A44,Plan!A:B,2,0)</f>
        <v>Sacerdote</v>
      </c>
      <c r="C44" s="24">
        <f>SUMIFS('Diario Adm'!$E:$E,'Diario Adm'!$B:$B,C$4,'Diario Adm'!$C:$C,$A44)+SUMIFS('Diario Cali'!$E:$E,'Diario Cali'!$B:$B,C$4,'Diario Cali'!$C:$C,$A44)</f>
        <v>0</v>
      </c>
      <c r="D44" s="24">
        <f>SUMIFS('Diario Adm'!$E:$E,'Diario Adm'!$B:$B,D$4,'Diario Adm'!$C:$C,$A44)+SUMIFS('Diario Cali'!$E:$E,'Diario Cali'!$B:$B,D$4,'Diario Cali'!$C:$C,$A44)</f>
        <v>0</v>
      </c>
      <c r="E44" s="24">
        <f>SUMIFS('Diario Adm'!$E:$E,'Diario Adm'!$B:$B,E$4,'Diario Adm'!$C:$C,$A44)+SUMIFS('Diario Cali'!$E:$E,'Diario Cali'!$B:$B,E$4,'Diario Cali'!$C:$C,$A44)</f>
        <v>0</v>
      </c>
      <c r="F44" s="24">
        <f>SUMIFS('Diario Adm'!$E:$E,'Diario Adm'!$B:$B,F$4,'Diario Adm'!$C:$C,$A44)+SUMIFS('Diario Cali'!$E:$E,'Diario Cali'!$B:$B,F$4,'Diario Cali'!$C:$C,$A44)</f>
        <v>0</v>
      </c>
      <c r="G44" s="24">
        <f>SUMIFS('Diario Adm'!$E:$E,'Diario Adm'!$B:$B,G$4,'Diario Adm'!$C:$C,$A44)+SUMIFS('Diario Cali'!$E:$E,'Diario Cali'!$B:$B,G$4,'Diario Cali'!$C:$C,$A44)</f>
        <v>0</v>
      </c>
      <c r="H44" s="24">
        <f>SUMIFS('Diario Adm'!$E:$E,'Diario Adm'!$B:$B,H$4,'Diario Adm'!$C:$C,$A44)+SUMIFS('Diario Cali'!$E:$E,'Diario Cali'!$B:$B,H$4,'Diario Cali'!$C:$C,$A44)</f>
        <v>0</v>
      </c>
      <c r="I44" s="24">
        <f>SUMIFS('Diario Adm'!$E:$E,'Diario Adm'!$B:$B,I$4,'Diario Adm'!$C:$C,$A44)+SUMIFS('Diario Cali'!$E:$E,'Diario Cali'!$B:$B,I$4,'Diario Cali'!$C:$C,$A44)</f>
        <v>0</v>
      </c>
      <c r="J44" s="24">
        <f>SUMIFS('Diario Adm'!$E:$E,'Diario Adm'!$B:$B,J$4,'Diario Adm'!$C:$C,$A44)+SUMIFS('Diario Cali'!$E:$E,'Diario Cali'!$B:$B,J$4,'Diario Cali'!$C:$C,$A44)</f>
        <v>0</v>
      </c>
      <c r="K44" s="24">
        <f>SUMIFS('Diario Adm'!$E:$E,'Diario Adm'!$B:$B,K$4,'Diario Adm'!$C:$C,$A44)+SUMIFS('Diario Cali'!$E:$E,'Diario Cali'!$B:$B,K$4,'Diario Cali'!$C:$C,$A44)</f>
        <v>0</v>
      </c>
      <c r="L44" s="24">
        <f>SUMIFS('Diario Adm'!$E:$E,'Diario Adm'!$B:$B,L$4,'Diario Adm'!$C:$C,$A44)+SUMIFS('Diario Cali'!$E:$E,'Diario Cali'!$B:$B,L$4,'Diario Cali'!$C:$C,$A44)</f>
        <v>0</v>
      </c>
      <c r="M44" s="24">
        <f>SUMIFS('Diario Adm'!$E:$E,'Diario Adm'!$B:$B,M$4,'Diario Adm'!$C:$C,$A44)+SUMIFS('Diario Cali'!$E:$E,'Diario Cali'!$B:$B,M$4,'Diario Cali'!$C:$C,$A44)</f>
        <v>0</v>
      </c>
      <c r="N44" s="24">
        <f>SUMIFS('Diario Adm'!$E:$E,'Diario Adm'!$B:$B,N$4,'Diario Adm'!$C:$C,$A44)+SUMIFS('Diario Cali'!$E:$E,'Diario Cali'!$B:$B,N$4,'Diario Cali'!$C:$C,$A44)</f>
        <v>0</v>
      </c>
      <c r="O44" s="28"/>
      <c r="P44" s="138">
        <f t="shared" si="6"/>
        <v>0</v>
      </c>
      <c r="Q44" s="28"/>
      <c r="R44" s="140">
        <f t="shared" si="7"/>
        <v>0</v>
      </c>
    </row>
    <row r="45" spans="1:20" ht="13.6" x14ac:dyDescent="0.25">
      <c r="A45" s="162">
        <v>4220</v>
      </c>
      <c r="B45" s="128" t="str">
        <f>VLOOKUP(A45,Plan!A:B,2,0)</f>
        <v>Honorarios</v>
      </c>
      <c r="C45" s="24">
        <f>SUMIFS('Diario Adm'!$E:$E,'Diario Adm'!$B:$B,C$4,'Diario Adm'!$C:$C,$A45)+SUMIFS('Diario Cali'!$E:$E,'Diario Cali'!$B:$B,C$4,'Diario Cali'!$C:$C,$A45)</f>
        <v>0</v>
      </c>
      <c r="D45" s="24">
        <f>SUMIFS('Diario Adm'!$E:$E,'Diario Adm'!$B:$B,D$4,'Diario Adm'!$C:$C,$A45)+SUMIFS('Diario Cali'!$E:$E,'Diario Cali'!$B:$B,D$4,'Diario Cali'!$C:$C,$A45)</f>
        <v>0</v>
      </c>
      <c r="E45" s="24">
        <f>SUMIFS('Diario Adm'!$E:$E,'Diario Adm'!$B:$B,E$4,'Diario Adm'!$C:$C,$A45)+SUMIFS('Diario Cali'!$E:$E,'Diario Cali'!$B:$B,E$4,'Diario Cali'!$C:$C,$A45)</f>
        <v>0</v>
      </c>
      <c r="F45" s="24">
        <f>SUMIFS('Diario Adm'!$E:$E,'Diario Adm'!$B:$B,F$4,'Diario Adm'!$C:$C,$A45)+SUMIFS('Diario Cali'!$E:$E,'Diario Cali'!$B:$B,F$4,'Diario Cali'!$C:$C,$A45)</f>
        <v>0</v>
      </c>
      <c r="G45" s="24">
        <f>SUMIFS('Diario Adm'!$E:$E,'Diario Adm'!$B:$B,G$4,'Diario Adm'!$C:$C,$A45)+SUMIFS('Diario Cali'!$E:$E,'Diario Cali'!$B:$B,G$4,'Diario Cali'!$C:$C,$A45)</f>
        <v>0</v>
      </c>
      <c r="H45" s="24">
        <f>SUMIFS('Diario Adm'!$E:$E,'Diario Adm'!$B:$B,H$4,'Diario Adm'!$C:$C,$A45)+SUMIFS('Diario Cali'!$E:$E,'Diario Cali'!$B:$B,H$4,'Diario Cali'!$C:$C,$A45)</f>
        <v>0</v>
      </c>
      <c r="I45" s="24">
        <f>SUMIFS('Diario Adm'!$E:$E,'Diario Adm'!$B:$B,I$4,'Diario Adm'!$C:$C,$A45)+SUMIFS('Diario Cali'!$E:$E,'Diario Cali'!$B:$B,I$4,'Diario Cali'!$C:$C,$A45)</f>
        <v>0</v>
      </c>
      <c r="J45" s="24">
        <f>SUMIFS('Diario Adm'!$E:$E,'Diario Adm'!$B:$B,J$4,'Diario Adm'!$C:$C,$A45)+SUMIFS('Diario Cali'!$E:$E,'Diario Cali'!$B:$B,J$4,'Diario Cali'!$C:$C,$A45)</f>
        <v>0</v>
      </c>
      <c r="K45" s="24">
        <f>SUMIFS('Diario Adm'!$E:$E,'Diario Adm'!$B:$B,K$4,'Diario Adm'!$C:$C,$A45)+SUMIFS('Diario Cali'!$E:$E,'Diario Cali'!$B:$B,K$4,'Diario Cali'!$C:$C,$A45)</f>
        <v>0</v>
      </c>
      <c r="L45" s="24">
        <f>SUMIFS('Diario Adm'!$E:$E,'Diario Adm'!$B:$B,L$4,'Diario Adm'!$C:$C,$A45)+SUMIFS('Diario Cali'!$E:$E,'Diario Cali'!$B:$B,L$4,'Diario Cali'!$C:$C,$A45)</f>
        <v>0</v>
      </c>
      <c r="M45" s="24">
        <f>SUMIFS('Diario Adm'!$E:$E,'Diario Adm'!$B:$B,M$4,'Diario Adm'!$C:$C,$A45)+SUMIFS('Diario Cali'!$E:$E,'Diario Cali'!$B:$B,M$4,'Diario Cali'!$C:$C,$A45)</f>
        <v>0</v>
      </c>
      <c r="N45" s="24">
        <f>SUMIFS('Diario Adm'!$E:$E,'Diario Adm'!$B:$B,N$4,'Diario Adm'!$C:$C,$A45)+SUMIFS('Diario Cali'!$E:$E,'Diario Cali'!$B:$B,N$4,'Diario Cali'!$C:$C,$A45)</f>
        <v>0</v>
      </c>
      <c r="O45" s="28"/>
      <c r="P45" s="138">
        <f t="shared" ref="P45:P89" si="10">SUM(C45:N45)</f>
        <v>0</v>
      </c>
      <c r="Q45" s="28"/>
      <c r="R45" s="140">
        <f t="shared" ref="R45:R89" si="11">+P45/$R$4</f>
        <v>0</v>
      </c>
    </row>
    <row r="46" spans="1:20" ht="13.6" x14ac:dyDescent="0.25">
      <c r="A46" s="174">
        <v>4221</v>
      </c>
      <c r="B46" s="128" t="str">
        <f>VLOOKUP(A46,Plan!A:B,2,0)</f>
        <v xml:space="preserve">          Contables-Administración</v>
      </c>
      <c r="C46" s="24">
        <f>SUMIFS('Diario Adm'!$E:$E,'Diario Adm'!$B:$B,C$4,'Diario Adm'!$C:$C,$A46)+SUMIFS('Diario Cali'!$E:$E,'Diario Cali'!$B:$B,C$4,'Diario Cali'!$C:$C,$A46)</f>
        <v>0</v>
      </c>
      <c r="D46" s="24">
        <f>SUMIFS('Diario Adm'!$E:$E,'Diario Adm'!$B:$B,D$4,'Diario Adm'!$C:$C,$A46)+SUMIFS('Diario Cali'!$E:$E,'Diario Cali'!$B:$B,D$4,'Diario Cali'!$C:$C,$A46)</f>
        <v>0</v>
      </c>
      <c r="E46" s="24">
        <f>SUMIFS('Diario Adm'!$E:$E,'Diario Adm'!$B:$B,E$4,'Diario Adm'!$C:$C,$A46)+SUMIFS('Diario Cali'!$E:$E,'Diario Cali'!$B:$B,E$4,'Diario Cali'!$C:$C,$A46)</f>
        <v>0</v>
      </c>
      <c r="F46" s="24">
        <f>SUMIFS('Diario Adm'!$E:$E,'Diario Adm'!$B:$B,F$4,'Diario Adm'!$C:$C,$A46)+SUMIFS('Diario Cali'!$E:$E,'Diario Cali'!$B:$B,F$4,'Diario Cali'!$C:$C,$A46)</f>
        <v>0</v>
      </c>
      <c r="G46" s="24">
        <f>SUMIFS('Diario Adm'!$E:$E,'Diario Adm'!$B:$B,G$4,'Diario Adm'!$C:$C,$A46)+SUMIFS('Diario Cali'!$E:$E,'Diario Cali'!$B:$B,G$4,'Diario Cali'!$C:$C,$A46)</f>
        <v>0</v>
      </c>
      <c r="H46" s="24">
        <f>SUMIFS('Diario Adm'!$E:$E,'Diario Adm'!$B:$B,H$4,'Diario Adm'!$C:$C,$A46)+SUMIFS('Diario Cali'!$E:$E,'Diario Cali'!$B:$B,H$4,'Diario Cali'!$C:$C,$A46)</f>
        <v>0</v>
      </c>
      <c r="I46" s="24">
        <f>SUMIFS('Diario Adm'!$E:$E,'Diario Adm'!$B:$B,I$4,'Diario Adm'!$C:$C,$A46)+SUMIFS('Diario Cali'!$E:$E,'Diario Cali'!$B:$B,I$4,'Diario Cali'!$C:$C,$A46)</f>
        <v>0</v>
      </c>
      <c r="J46" s="24">
        <f>SUMIFS('Diario Adm'!$E:$E,'Diario Adm'!$B:$B,J$4,'Diario Adm'!$C:$C,$A46)+SUMIFS('Diario Cali'!$E:$E,'Diario Cali'!$B:$B,J$4,'Diario Cali'!$C:$C,$A46)</f>
        <v>0</v>
      </c>
      <c r="K46" s="24">
        <f>SUMIFS('Diario Adm'!$E:$E,'Diario Adm'!$B:$B,K$4,'Diario Adm'!$C:$C,$A46)+SUMIFS('Diario Cali'!$E:$E,'Diario Cali'!$B:$B,K$4,'Diario Cali'!$C:$C,$A46)</f>
        <v>0</v>
      </c>
      <c r="L46" s="24">
        <f>SUMIFS('Diario Adm'!$E:$E,'Diario Adm'!$B:$B,L$4,'Diario Adm'!$C:$C,$A46)+SUMIFS('Diario Cali'!$E:$E,'Diario Cali'!$B:$B,L$4,'Diario Cali'!$C:$C,$A46)</f>
        <v>0</v>
      </c>
      <c r="M46" s="24">
        <f>SUMIFS('Diario Adm'!$E:$E,'Diario Adm'!$B:$B,M$4,'Diario Adm'!$C:$C,$A46)+SUMIFS('Diario Cali'!$E:$E,'Diario Cali'!$B:$B,M$4,'Diario Cali'!$C:$C,$A46)</f>
        <v>1800000</v>
      </c>
      <c r="N46" s="24">
        <f>SUMIFS('Diario Adm'!$E:$E,'Diario Adm'!$B:$B,N$4,'Diario Adm'!$C:$C,$A46)+SUMIFS('Diario Cali'!$E:$E,'Diario Cali'!$B:$B,N$4,'Diario Cali'!$C:$C,$A46)</f>
        <v>1500000</v>
      </c>
      <c r="O46" s="28"/>
      <c r="P46" s="138">
        <f t="shared" si="10"/>
        <v>3300000</v>
      </c>
      <c r="Q46" s="28"/>
      <c r="R46" s="140">
        <f t="shared" si="11"/>
        <v>330000</v>
      </c>
    </row>
    <row r="47" spans="1:20" ht="13.6" x14ac:dyDescent="0.25">
      <c r="A47" s="174">
        <v>4223</v>
      </c>
      <c r="B47" s="128" t="str">
        <f>VLOOKUP(A47,Plan!A:B,2,0)</f>
        <v xml:space="preserve">         Comunicaciones</v>
      </c>
      <c r="C47" s="24">
        <f>SUMIFS('Diario Adm'!$E:$E,'Diario Adm'!$B:$B,C$4,'Diario Adm'!$C:$C,$A47)+SUMIFS('Diario Cali'!$E:$E,'Diario Cali'!$B:$B,C$4,'Diario Cali'!$C:$C,$A47)</f>
        <v>672268</v>
      </c>
      <c r="D47" s="24">
        <f>SUMIFS('Diario Adm'!$E:$E,'Diario Adm'!$B:$B,D$4,'Diario Adm'!$C:$C,$A47)+SUMIFS('Diario Cali'!$E:$E,'Diario Cali'!$B:$B,D$4,'Diario Cali'!$C:$C,$A47)</f>
        <v>338983</v>
      </c>
      <c r="E47" s="24">
        <f>SUMIFS('Diario Adm'!$E:$E,'Diario Adm'!$B:$B,E$4,'Diario Adm'!$C:$C,$A47)+SUMIFS('Diario Cali'!$E:$E,'Diario Cali'!$B:$B,E$4,'Diario Cali'!$C:$C,$A47)</f>
        <v>338983</v>
      </c>
      <c r="F47" s="24">
        <f>SUMIFS('Diario Adm'!$E:$E,'Diario Adm'!$B:$B,F$4,'Diario Adm'!$C:$C,$A47)+SUMIFS('Diario Cali'!$E:$E,'Diario Cali'!$B:$B,F$4,'Diario Cali'!$C:$C,$A47)</f>
        <v>338983</v>
      </c>
      <c r="G47" s="24">
        <f>SUMIFS('Diario Adm'!$E:$E,'Diario Adm'!$B:$B,G$4,'Diario Adm'!$C:$C,$A47)+SUMIFS('Diario Cali'!$E:$E,'Diario Cali'!$B:$B,G$4,'Diario Cali'!$C:$C,$A47)</f>
        <v>338983</v>
      </c>
      <c r="H47" s="24">
        <f>SUMIFS('Diario Adm'!$E:$E,'Diario Adm'!$B:$B,H$4,'Diario Adm'!$C:$C,$A47)+SUMIFS('Diario Cali'!$E:$E,'Diario Cali'!$B:$B,H$4,'Diario Cali'!$C:$C,$A47)</f>
        <v>468474</v>
      </c>
      <c r="I47" s="24">
        <f>SUMIFS('Diario Adm'!$E:$E,'Diario Adm'!$B:$B,I$4,'Diario Adm'!$C:$C,$A47)+SUMIFS('Diario Cali'!$E:$E,'Diario Cali'!$B:$B,I$4,'Diario Cali'!$C:$C,$A47)</f>
        <v>903954</v>
      </c>
      <c r="J47" s="24">
        <f>SUMIFS('Diario Adm'!$E:$E,'Diario Adm'!$B:$B,J$4,'Diario Adm'!$C:$C,$A47)+SUMIFS('Diario Cali'!$E:$E,'Diario Cali'!$B:$B,J$4,'Diario Cali'!$C:$C,$A47)</f>
        <v>517427</v>
      </c>
      <c r="K47" s="24">
        <f>SUMIFS('Diario Adm'!$E:$E,'Diario Adm'!$B:$B,K$4,'Diario Adm'!$C:$C,$A47)+SUMIFS('Diario Cali'!$E:$E,'Diario Cali'!$B:$B,K$4,'Diario Cali'!$C:$C,$A47)</f>
        <v>451977</v>
      </c>
      <c r="L47" s="24">
        <f>SUMIFS('Diario Adm'!$E:$E,'Diario Adm'!$B:$B,L$4,'Diario Adm'!$C:$C,$A47)+SUMIFS('Diario Cali'!$E:$E,'Diario Cali'!$B:$B,L$4,'Diario Cali'!$C:$C,$A47)</f>
        <v>551977</v>
      </c>
      <c r="M47" s="24">
        <f>SUMIFS('Diario Adm'!$E:$E,'Diario Adm'!$B:$B,M$4,'Diario Adm'!$C:$C,$A47)+SUMIFS('Diario Cali'!$E:$E,'Diario Cali'!$B:$B,M$4,'Diario Cali'!$C:$C,$A47)</f>
        <v>338983</v>
      </c>
      <c r="N47" s="24">
        <f>SUMIFS('Diario Adm'!$E:$E,'Diario Adm'!$B:$B,N$4,'Diario Adm'!$C:$C,$A47)+SUMIFS('Diario Cali'!$E:$E,'Diario Cali'!$B:$B,N$4,'Diario Cali'!$C:$C,$A47)</f>
        <v>706977</v>
      </c>
      <c r="O47" s="28"/>
      <c r="P47" s="138">
        <f t="shared" si="10"/>
        <v>5967969</v>
      </c>
      <c r="Q47" s="28"/>
      <c r="R47" s="140">
        <f t="shared" si="11"/>
        <v>596796.9</v>
      </c>
    </row>
    <row r="48" spans="1:20" ht="13.6" x14ac:dyDescent="0.25">
      <c r="A48" s="162">
        <v>4310</v>
      </c>
      <c r="B48" s="128" t="str">
        <f>VLOOKUP(A48,Plan!A:B,2,0)</f>
        <v>Arriendos / Dividendos</v>
      </c>
      <c r="C48" s="24">
        <f>SUMIFS('Diario Adm'!$E:$E,'Diario Adm'!$B:$B,C$4,'Diario Adm'!$C:$C,$A48)+SUMIFS('Diario Cali'!$E:$E,'Diario Cali'!$B:$B,C$4,'Diario Cali'!$C:$C,$A48)</f>
        <v>793874</v>
      </c>
      <c r="D48" s="24">
        <f>SUMIFS('Diario Adm'!$E:$E,'Diario Adm'!$B:$B,D$4,'Diario Adm'!$C:$C,$A48)+SUMIFS('Diario Cali'!$E:$E,'Diario Cali'!$B:$B,D$4,'Diario Cali'!$C:$C,$A48)</f>
        <v>793874</v>
      </c>
      <c r="E48" s="24">
        <f>SUMIFS('Diario Adm'!$E:$E,'Diario Adm'!$B:$B,E$4,'Diario Adm'!$C:$C,$A48)+SUMIFS('Diario Cali'!$E:$E,'Diario Cali'!$B:$B,E$4,'Diario Cali'!$C:$C,$A48)</f>
        <v>793274</v>
      </c>
      <c r="F48" s="24">
        <f>SUMIFS('Diario Adm'!$E:$E,'Diario Adm'!$B:$B,F$4,'Diario Adm'!$C:$C,$A48)+SUMIFS('Diario Cali'!$E:$E,'Diario Cali'!$B:$B,F$4,'Diario Cali'!$C:$C,$A48)</f>
        <v>802153</v>
      </c>
      <c r="G48" s="24">
        <f>SUMIFS('Diario Adm'!$E:$E,'Diario Adm'!$B:$B,G$4,'Diario Adm'!$C:$C,$A48)+SUMIFS('Diario Cali'!$E:$E,'Diario Cali'!$B:$B,G$4,'Diario Cali'!$C:$C,$A48)</f>
        <v>802153</v>
      </c>
      <c r="H48" s="24">
        <f>SUMIFS('Diario Adm'!$E:$E,'Diario Adm'!$B:$B,H$4,'Diario Adm'!$C:$C,$A48)+SUMIFS('Diario Cali'!$E:$E,'Diario Cali'!$B:$B,H$4,'Diario Cali'!$C:$C,$A48)</f>
        <v>802153</v>
      </c>
      <c r="I48" s="24">
        <f>SUMIFS('Diario Adm'!$E:$E,'Diario Adm'!$B:$B,I$4,'Diario Adm'!$C:$C,$A48)+SUMIFS('Diario Cali'!$E:$E,'Diario Cali'!$B:$B,I$4,'Diario Cali'!$C:$C,$A48)</f>
        <v>810698</v>
      </c>
      <c r="J48" s="24">
        <f>SUMIFS('Diario Adm'!$E:$E,'Diario Adm'!$B:$B,J$4,'Diario Adm'!$C:$C,$A48)+SUMIFS('Diario Cali'!$E:$E,'Diario Cali'!$B:$B,J$4,'Diario Cali'!$C:$C,$A48)</f>
        <v>810698</v>
      </c>
      <c r="K48" s="24">
        <f>SUMIFS('Diario Adm'!$E:$E,'Diario Adm'!$B:$B,K$4,'Diario Adm'!$C:$C,$A48)+SUMIFS('Diario Cali'!$E:$E,'Diario Cali'!$B:$B,K$4,'Diario Cali'!$C:$C,$A48)</f>
        <v>810698</v>
      </c>
      <c r="L48" s="24">
        <f>SUMIFS('Diario Adm'!$E:$E,'Diario Adm'!$B:$B,L$4,'Diario Adm'!$C:$C,$A48)+SUMIFS('Diario Cali'!$E:$E,'Diario Cali'!$B:$B,L$4,'Diario Cali'!$C:$C,$A48)</f>
        <v>821027</v>
      </c>
      <c r="M48" s="24">
        <f>SUMIFS('Diario Adm'!$E:$E,'Diario Adm'!$B:$B,M$4,'Diario Adm'!$C:$C,$A48)+SUMIFS('Diario Cali'!$E:$E,'Diario Cali'!$B:$B,M$4,'Diario Cali'!$C:$C,$A48)</f>
        <v>821027</v>
      </c>
      <c r="N48" s="24">
        <f>SUMIFS('Diario Adm'!$E:$E,'Diario Adm'!$B:$B,N$4,'Diario Adm'!$C:$C,$A48)+SUMIFS('Diario Cali'!$E:$E,'Diario Cali'!$B:$B,N$4,'Diario Cali'!$C:$C,$A48)</f>
        <v>821027</v>
      </c>
      <c r="O48" s="28"/>
      <c r="P48" s="138">
        <f>SUM(C48:N48)</f>
        <v>9682656</v>
      </c>
      <c r="Q48" s="28"/>
      <c r="R48" s="140">
        <f>+P48/$R$4</f>
        <v>968265.6</v>
      </c>
    </row>
    <row r="49" spans="1:18" ht="13.6" x14ac:dyDescent="0.25">
      <c r="A49" s="174">
        <v>4224</v>
      </c>
      <c r="B49" s="128" t="str">
        <f>VLOOKUP(A49,Plan!A:B,2,0)</f>
        <v xml:space="preserve">         Jardinero</v>
      </c>
      <c r="C49" s="24">
        <f>SUMIFS('Diario Adm'!$E:$E,'Diario Adm'!$B:$B,C$4,'Diario Adm'!$C:$C,$A49)+SUMIFS('Diario Cali'!$E:$E,'Diario Cali'!$B:$B,C$4,'Diario Cali'!$C:$C,$A49)</f>
        <v>96046</v>
      </c>
      <c r="D49" s="24">
        <f>SUMIFS('Diario Adm'!$E:$E,'Diario Adm'!$B:$B,D$4,'Diario Adm'!$C:$C,$A49)+SUMIFS('Diario Cali'!$E:$E,'Diario Cali'!$B:$B,D$4,'Diario Cali'!$C:$C,$A49)</f>
        <v>0</v>
      </c>
      <c r="E49" s="24">
        <f>SUMIFS('Diario Adm'!$E:$E,'Diario Adm'!$B:$B,E$4,'Diario Adm'!$C:$C,$A49)+SUMIFS('Diario Cali'!$E:$E,'Diario Cali'!$B:$B,E$4,'Diario Cali'!$C:$C,$A49)</f>
        <v>0</v>
      </c>
      <c r="F49" s="24">
        <f>SUMIFS('Diario Adm'!$E:$E,'Diario Adm'!$B:$B,F$4,'Diario Adm'!$C:$C,$A49)+SUMIFS('Diario Cali'!$E:$E,'Diario Cali'!$B:$B,F$4,'Diario Cali'!$C:$C,$A49)</f>
        <v>0</v>
      </c>
      <c r="G49" s="24">
        <f>SUMIFS('Diario Adm'!$E:$E,'Diario Adm'!$B:$B,G$4,'Diario Adm'!$C:$C,$A49)+SUMIFS('Diario Cali'!$E:$E,'Diario Cali'!$B:$B,G$4,'Diario Cali'!$C:$C,$A49)</f>
        <v>33898</v>
      </c>
      <c r="H49" s="24">
        <f>SUMIFS('Diario Adm'!$E:$E,'Diario Adm'!$B:$B,H$4,'Diario Adm'!$C:$C,$A49)+SUMIFS('Diario Cali'!$E:$E,'Diario Cali'!$B:$B,H$4,'Diario Cali'!$C:$C,$A49)</f>
        <v>0</v>
      </c>
      <c r="I49" s="24">
        <f>SUMIFS('Diario Adm'!$E:$E,'Diario Adm'!$B:$B,I$4,'Diario Adm'!$C:$C,$A49)+SUMIFS('Diario Cali'!$E:$E,'Diario Cali'!$B:$B,I$4,'Diario Cali'!$C:$C,$A49)</f>
        <v>33898</v>
      </c>
      <c r="J49" s="24">
        <f>SUMIFS('Diario Adm'!$E:$E,'Diario Adm'!$B:$B,J$4,'Diario Adm'!$C:$C,$A49)+SUMIFS('Diario Cali'!$E:$E,'Diario Cali'!$B:$B,J$4,'Diario Cali'!$C:$C,$A49)</f>
        <v>60000</v>
      </c>
      <c r="K49" s="24">
        <f>SUMIFS('Diario Adm'!$E:$E,'Diario Adm'!$B:$B,K$4,'Diario Adm'!$C:$C,$A49)+SUMIFS('Diario Cali'!$E:$E,'Diario Cali'!$B:$B,K$4,'Diario Cali'!$C:$C,$A49)</f>
        <v>33898</v>
      </c>
      <c r="L49" s="24">
        <f>SUMIFS('Diario Adm'!$E:$E,'Diario Adm'!$B:$B,L$4,'Diario Adm'!$C:$C,$A49)+SUMIFS('Diario Cali'!$E:$E,'Diario Cali'!$B:$B,L$4,'Diario Cali'!$C:$C,$A49)</f>
        <v>50847</v>
      </c>
      <c r="M49" s="24">
        <f>SUMIFS('Diario Adm'!$E:$E,'Diario Adm'!$B:$B,M$4,'Diario Adm'!$C:$C,$A49)+SUMIFS('Diario Cali'!$E:$E,'Diario Cali'!$B:$B,M$4,'Diario Cali'!$C:$C,$A49)</f>
        <v>123148</v>
      </c>
      <c r="N49" s="24">
        <f>SUMIFS('Diario Adm'!$E:$E,'Diario Adm'!$B:$B,N$4,'Diario Adm'!$C:$C,$A49)+SUMIFS('Diario Cali'!$E:$E,'Diario Cali'!$B:$B,N$4,'Diario Cali'!$C:$C,$A49)</f>
        <v>16949</v>
      </c>
      <c r="O49" s="28"/>
      <c r="P49" s="138">
        <f t="shared" si="10"/>
        <v>448684</v>
      </c>
      <c r="Q49" s="28"/>
      <c r="R49" s="140">
        <f t="shared" si="11"/>
        <v>44868.4</v>
      </c>
    </row>
    <row r="50" spans="1:18" ht="13.6" x14ac:dyDescent="0.25">
      <c r="A50" s="162">
        <v>4172</v>
      </c>
      <c r="B50" s="128" t="str">
        <f>VLOOKUP(A50,Plan!A:B,2,0)</f>
        <v>Saludo Navideño /Calendario</v>
      </c>
      <c r="C50" s="24">
        <f>SUMIFS('Diario Adm'!$E:$E,'Diario Adm'!$B:$B,C$4,'Diario Adm'!$C:$C,$A50)+SUMIFS('Diario Cali'!$E:$E,'Diario Cali'!$B:$B,C$4,'Diario Cali'!$C:$C,$A50)</f>
        <v>0</v>
      </c>
      <c r="D50" s="24">
        <f>SUMIFS('Diario Adm'!$E:$E,'Diario Adm'!$B:$B,D$4,'Diario Adm'!$C:$C,$A50)+SUMIFS('Diario Cali'!$E:$E,'Diario Cali'!$B:$B,D$4,'Diario Cali'!$C:$C,$A50)</f>
        <v>0</v>
      </c>
      <c r="E50" s="24">
        <f>SUMIFS('Diario Adm'!$E:$E,'Diario Adm'!$B:$B,E$4,'Diario Adm'!$C:$C,$A50)+SUMIFS('Diario Cali'!$E:$E,'Diario Cali'!$B:$B,E$4,'Diario Cali'!$C:$C,$A50)</f>
        <v>0</v>
      </c>
      <c r="F50" s="24">
        <f>SUMIFS('Diario Adm'!$E:$E,'Diario Adm'!$B:$B,F$4,'Diario Adm'!$C:$C,$A50)+SUMIFS('Diario Cali'!$E:$E,'Diario Cali'!$B:$B,F$4,'Diario Cali'!$C:$C,$A50)</f>
        <v>0</v>
      </c>
      <c r="G50" s="24">
        <f>SUMIFS('Diario Adm'!$E:$E,'Diario Adm'!$B:$B,G$4,'Diario Adm'!$C:$C,$A50)+SUMIFS('Diario Cali'!$E:$E,'Diario Cali'!$B:$B,G$4,'Diario Cali'!$C:$C,$A50)</f>
        <v>0</v>
      </c>
      <c r="H50" s="24">
        <f>SUMIFS('Diario Adm'!$E:$E,'Diario Adm'!$B:$B,H$4,'Diario Adm'!$C:$C,$A50)+SUMIFS('Diario Cali'!$E:$E,'Diario Cali'!$B:$B,H$4,'Diario Cali'!$C:$C,$A50)</f>
        <v>0</v>
      </c>
      <c r="I50" s="24">
        <f>SUMIFS('Diario Adm'!$E:$E,'Diario Adm'!$B:$B,I$4,'Diario Adm'!$C:$C,$A50)+SUMIFS('Diario Cali'!$E:$E,'Diario Cali'!$B:$B,I$4,'Diario Cali'!$C:$C,$A50)</f>
        <v>0</v>
      </c>
      <c r="J50" s="24">
        <f>SUMIFS('Diario Adm'!$E:$E,'Diario Adm'!$B:$B,J$4,'Diario Adm'!$C:$C,$A50)+SUMIFS('Diario Cali'!$E:$E,'Diario Cali'!$B:$B,J$4,'Diario Cali'!$C:$C,$A50)</f>
        <v>0</v>
      </c>
      <c r="K50" s="24">
        <f>SUMIFS('Diario Adm'!$E:$E,'Diario Adm'!$B:$B,K$4,'Diario Adm'!$C:$C,$A50)+SUMIFS('Diario Cali'!$E:$E,'Diario Cali'!$B:$B,K$4,'Diario Cali'!$C:$C,$A50)</f>
        <v>0</v>
      </c>
      <c r="L50" s="24">
        <f>SUMIFS('Diario Adm'!$E:$E,'Diario Adm'!$B:$B,L$4,'Diario Adm'!$C:$C,$A50)+SUMIFS('Diario Cali'!$E:$E,'Diario Cali'!$B:$B,L$4,'Diario Cali'!$C:$C,$A50)</f>
        <v>0</v>
      </c>
      <c r="M50" s="24">
        <f>SUMIFS('Diario Adm'!$E:$E,'Diario Adm'!$B:$B,M$4,'Diario Adm'!$C:$C,$A50)+SUMIFS('Diario Cali'!$E:$E,'Diario Cali'!$B:$B,M$4,'Diario Cali'!$C:$C,$A50)</f>
        <v>0</v>
      </c>
      <c r="N50" s="24">
        <f>SUMIFS('Diario Adm'!$E:$E,'Diario Adm'!$B:$B,N$4,'Diario Adm'!$C:$C,$A50)+SUMIFS('Diario Cali'!$E:$E,'Diario Cali'!$B:$B,N$4,'Diario Cali'!$C:$C,$A50)</f>
        <v>0</v>
      </c>
      <c r="O50" s="28"/>
      <c r="P50" s="138">
        <f t="shared" si="10"/>
        <v>0</v>
      </c>
      <c r="Q50" s="28"/>
      <c r="R50" s="140">
        <f t="shared" si="11"/>
        <v>0</v>
      </c>
    </row>
    <row r="51" spans="1:18" ht="13.6" x14ac:dyDescent="0.25">
      <c r="A51" s="162">
        <v>4320</v>
      </c>
      <c r="B51" s="128" t="str">
        <f>VLOOKUP(A51,Plan!A:B,2,0)</f>
        <v>Servicios</v>
      </c>
      <c r="C51" s="24">
        <f>SUMIFS('Diario Adm'!$E:$E,'Diario Adm'!$B:$B,C$4,'Diario Adm'!$C:$C,$A51)+SUMIFS('Diario Cali'!$E:$E,'Diario Cali'!$B:$B,C$4,'Diario Cali'!$C:$C,$A51)</f>
        <v>0</v>
      </c>
      <c r="D51" s="24">
        <f>SUMIFS('Diario Adm'!$E:$E,'Diario Adm'!$B:$B,D$4,'Diario Adm'!$C:$C,$A51)+SUMIFS('Diario Cali'!$E:$E,'Diario Cali'!$B:$B,D$4,'Diario Cali'!$C:$C,$A51)</f>
        <v>0</v>
      </c>
      <c r="E51" s="24">
        <f>SUMIFS('Diario Adm'!$E:$E,'Diario Adm'!$B:$B,E$4,'Diario Adm'!$C:$C,$A51)+SUMIFS('Diario Cali'!$E:$E,'Diario Cali'!$B:$B,E$4,'Diario Cali'!$C:$C,$A51)</f>
        <v>0</v>
      </c>
      <c r="F51" s="24">
        <f>SUMIFS('Diario Adm'!$E:$E,'Diario Adm'!$B:$B,F$4,'Diario Adm'!$C:$C,$A51)+SUMIFS('Diario Cali'!$E:$E,'Diario Cali'!$B:$B,F$4,'Diario Cali'!$C:$C,$A51)</f>
        <v>0</v>
      </c>
      <c r="G51" s="24">
        <f>SUMIFS('Diario Adm'!$E:$E,'Diario Adm'!$B:$B,G$4,'Diario Adm'!$C:$C,$A51)+SUMIFS('Diario Cali'!$E:$E,'Diario Cali'!$B:$B,G$4,'Diario Cali'!$C:$C,$A51)</f>
        <v>0</v>
      </c>
      <c r="H51" s="24">
        <f>SUMIFS('Diario Adm'!$E:$E,'Diario Adm'!$B:$B,H$4,'Diario Adm'!$C:$C,$A51)+SUMIFS('Diario Cali'!$E:$E,'Diario Cali'!$B:$B,H$4,'Diario Cali'!$C:$C,$A51)</f>
        <v>0</v>
      </c>
      <c r="I51" s="24">
        <f>SUMIFS('Diario Adm'!$E:$E,'Diario Adm'!$B:$B,I$4,'Diario Adm'!$C:$C,$A51)+SUMIFS('Diario Cali'!$E:$E,'Diario Cali'!$B:$B,I$4,'Diario Cali'!$C:$C,$A51)</f>
        <v>0</v>
      </c>
      <c r="J51" s="24">
        <f>SUMIFS('Diario Adm'!$E:$E,'Diario Adm'!$B:$B,J$4,'Diario Adm'!$C:$C,$A51)+SUMIFS('Diario Cali'!$E:$E,'Diario Cali'!$B:$B,J$4,'Diario Cali'!$C:$C,$A51)</f>
        <v>0</v>
      </c>
      <c r="K51" s="24">
        <f>SUMIFS('Diario Adm'!$E:$E,'Diario Adm'!$B:$B,K$4,'Diario Adm'!$C:$C,$A51)+SUMIFS('Diario Cali'!$E:$E,'Diario Cali'!$B:$B,K$4,'Diario Cali'!$C:$C,$A51)</f>
        <v>0</v>
      </c>
      <c r="L51" s="24">
        <f>SUMIFS('Diario Adm'!$E:$E,'Diario Adm'!$B:$B,L$4,'Diario Adm'!$C:$C,$A51)+SUMIFS('Diario Cali'!$E:$E,'Diario Cali'!$B:$B,L$4,'Diario Cali'!$C:$C,$A51)</f>
        <v>0</v>
      </c>
      <c r="M51" s="24">
        <f>SUMIFS('Diario Adm'!$E:$E,'Diario Adm'!$B:$B,M$4,'Diario Adm'!$C:$C,$A51)+SUMIFS('Diario Cali'!$E:$E,'Diario Cali'!$B:$B,M$4,'Diario Cali'!$C:$C,$A51)</f>
        <v>0</v>
      </c>
      <c r="N51" s="24">
        <f>SUMIFS('Diario Adm'!$E:$E,'Diario Adm'!$B:$B,N$4,'Diario Adm'!$C:$C,$A51)+SUMIFS('Diario Cali'!$E:$E,'Diario Cali'!$B:$B,N$4,'Diario Cali'!$C:$C,$A51)</f>
        <v>0</v>
      </c>
      <c r="O51" s="28"/>
      <c r="P51" s="138">
        <f t="shared" si="10"/>
        <v>0</v>
      </c>
      <c r="Q51" s="28"/>
      <c r="R51" s="140">
        <f t="shared" si="11"/>
        <v>0</v>
      </c>
    </row>
    <row r="52" spans="1:18" ht="13.6" x14ac:dyDescent="0.25">
      <c r="A52" s="162">
        <v>4321</v>
      </c>
      <c r="B52" s="128" t="str">
        <f>VLOOKUP(A52,Plan!A:B,2,0)</f>
        <v>Electricidad</v>
      </c>
      <c r="C52" s="24">
        <f>SUMIFS('Diario Adm'!$E:$E,'Diario Adm'!$B:$B,C$4,'Diario Adm'!$C:$C,$A52)+SUMIFS('Diario Cali'!$E:$E,'Diario Cali'!$B:$B,C$4,'Diario Cali'!$C:$C,$A52)</f>
        <v>67557</v>
      </c>
      <c r="D52" s="24">
        <f>SUMIFS('Diario Adm'!$E:$E,'Diario Adm'!$B:$B,D$4,'Diario Adm'!$C:$C,$A52)+SUMIFS('Diario Cali'!$E:$E,'Diario Cali'!$B:$B,D$4,'Diario Cali'!$C:$C,$A52)</f>
        <v>0</v>
      </c>
      <c r="E52" s="24">
        <f>SUMIFS('Diario Adm'!$E:$E,'Diario Adm'!$B:$B,E$4,'Diario Adm'!$C:$C,$A52)+SUMIFS('Diario Cali'!$E:$E,'Diario Cali'!$B:$B,E$4,'Diario Cali'!$C:$C,$A52)</f>
        <v>17907</v>
      </c>
      <c r="F52" s="24">
        <f>SUMIFS('Diario Adm'!$E:$E,'Diario Adm'!$B:$B,F$4,'Diario Adm'!$C:$C,$A52)+SUMIFS('Diario Cali'!$E:$E,'Diario Cali'!$B:$B,F$4,'Diario Cali'!$C:$C,$A52)</f>
        <v>9412</v>
      </c>
      <c r="G52" s="24">
        <f>SUMIFS('Diario Adm'!$E:$E,'Diario Adm'!$B:$B,G$4,'Diario Adm'!$C:$C,$A52)+SUMIFS('Diario Cali'!$E:$E,'Diario Cali'!$B:$B,G$4,'Diario Cali'!$C:$C,$A52)</f>
        <v>0</v>
      </c>
      <c r="H52" s="24">
        <f>SUMIFS('Diario Adm'!$E:$E,'Diario Adm'!$B:$B,H$4,'Diario Adm'!$C:$C,$A52)+SUMIFS('Diario Cali'!$E:$E,'Diario Cali'!$B:$B,H$4,'Diario Cali'!$C:$C,$A52)</f>
        <v>0</v>
      </c>
      <c r="I52" s="24">
        <f>SUMIFS('Diario Adm'!$E:$E,'Diario Adm'!$B:$B,I$4,'Diario Adm'!$C:$C,$A52)+SUMIFS('Diario Cali'!$E:$E,'Diario Cali'!$B:$B,I$4,'Diario Cali'!$C:$C,$A52)</f>
        <v>0</v>
      </c>
      <c r="J52" s="24">
        <f>SUMIFS('Diario Adm'!$E:$E,'Diario Adm'!$B:$B,J$4,'Diario Adm'!$C:$C,$A52)+SUMIFS('Diario Cali'!$E:$E,'Diario Cali'!$B:$B,J$4,'Diario Cali'!$C:$C,$A52)</f>
        <v>8300</v>
      </c>
      <c r="K52" s="24">
        <f>SUMIFS('Diario Adm'!$E:$E,'Diario Adm'!$B:$B,K$4,'Diario Adm'!$C:$C,$A52)+SUMIFS('Diario Cali'!$E:$E,'Diario Cali'!$B:$B,K$4,'Diario Cali'!$C:$C,$A52)</f>
        <v>0</v>
      </c>
      <c r="L52" s="24">
        <f>SUMIFS('Diario Adm'!$E:$E,'Diario Adm'!$B:$B,L$4,'Diario Adm'!$C:$C,$A52)+SUMIFS('Diario Cali'!$E:$E,'Diario Cali'!$B:$B,L$4,'Diario Cali'!$C:$C,$A52)</f>
        <v>6630</v>
      </c>
      <c r="M52" s="24">
        <f>SUMIFS('Diario Adm'!$E:$E,'Diario Adm'!$B:$B,M$4,'Diario Adm'!$C:$C,$A52)+SUMIFS('Diario Cali'!$E:$E,'Diario Cali'!$B:$B,M$4,'Diario Cali'!$C:$C,$A52)</f>
        <v>9652</v>
      </c>
      <c r="N52" s="24">
        <f>SUMIFS('Diario Adm'!$E:$E,'Diario Adm'!$B:$B,N$4,'Diario Adm'!$C:$C,$A52)+SUMIFS('Diario Cali'!$E:$E,'Diario Cali'!$B:$B,N$4,'Diario Cali'!$C:$C,$A52)</f>
        <v>6504</v>
      </c>
      <c r="O52" s="28"/>
      <c r="P52" s="138">
        <f t="shared" si="10"/>
        <v>125962</v>
      </c>
      <c r="Q52" s="28"/>
      <c r="R52" s="140">
        <v>0</v>
      </c>
    </row>
    <row r="53" spans="1:18" ht="13.6" x14ac:dyDescent="0.25">
      <c r="A53" s="162">
        <v>4322</v>
      </c>
      <c r="B53" s="128" t="str">
        <f>VLOOKUP(A53,Plan!A:B,2,0)</f>
        <v>Agua</v>
      </c>
      <c r="C53" s="24">
        <f>SUMIFS('Diario Adm'!$E:$E,'Diario Adm'!$B:$B,C$4,'Diario Adm'!$C:$C,$A53)+SUMIFS('Diario Cali'!$E:$E,'Diario Cali'!$B:$B,C$4,'Diario Cali'!$C:$C,$A53)</f>
        <v>0</v>
      </c>
      <c r="D53" s="24">
        <f>SUMIFS('Diario Adm'!$E:$E,'Diario Adm'!$B:$B,D$4,'Diario Adm'!$C:$C,$A53)+SUMIFS('Diario Cali'!$E:$E,'Diario Cali'!$B:$B,D$4,'Diario Cali'!$C:$C,$A53)</f>
        <v>57577</v>
      </c>
      <c r="E53" s="24">
        <f>SUMIFS('Diario Adm'!$E:$E,'Diario Adm'!$B:$B,E$4,'Diario Adm'!$C:$C,$A53)+SUMIFS('Diario Cali'!$E:$E,'Diario Cali'!$B:$B,E$4,'Diario Cali'!$C:$C,$A53)</f>
        <v>43012</v>
      </c>
      <c r="F53" s="24">
        <f>SUMIFS('Diario Adm'!$E:$E,'Diario Adm'!$B:$B,F$4,'Diario Adm'!$C:$C,$A53)+SUMIFS('Diario Cali'!$E:$E,'Diario Cali'!$B:$B,F$4,'Diario Cali'!$C:$C,$A53)</f>
        <v>47141</v>
      </c>
      <c r="G53" s="24">
        <f>SUMIFS('Diario Adm'!$E:$E,'Diario Adm'!$B:$B,G$4,'Diario Adm'!$C:$C,$A53)+SUMIFS('Diario Cali'!$E:$E,'Diario Cali'!$B:$B,G$4,'Diario Cali'!$C:$C,$A53)</f>
        <v>52131</v>
      </c>
      <c r="H53" s="24">
        <f>SUMIFS('Diario Adm'!$E:$E,'Diario Adm'!$B:$B,H$4,'Diario Adm'!$C:$C,$A53)+SUMIFS('Diario Cali'!$E:$E,'Diario Cali'!$B:$B,H$4,'Diario Cali'!$C:$C,$A53)</f>
        <v>35633</v>
      </c>
      <c r="I53" s="24">
        <f>SUMIFS('Diario Adm'!$E:$E,'Diario Adm'!$B:$B,I$4,'Diario Adm'!$C:$C,$A53)+SUMIFS('Diario Cali'!$E:$E,'Diario Cali'!$B:$B,I$4,'Diario Cali'!$C:$C,$A53)</f>
        <v>25705</v>
      </c>
      <c r="J53" s="24">
        <f>SUMIFS('Diario Adm'!$E:$E,'Diario Adm'!$B:$B,J$4,'Diario Adm'!$C:$C,$A53)+SUMIFS('Diario Cali'!$E:$E,'Diario Cali'!$B:$B,J$4,'Diario Cali'!$C:$C,$A53)</f>
        <v>8553</v>
      </c>
      <c r="K53" s="24">
        <f>SUMIFS('Diario Adm'!$E:$E,'Diario Adm'!$B:$B,K$4,'Diario Adm'!$C:$C,$A53)+SUMIFS('Diario Cali'!$E:$E,'Diario Cali'!$B:$B,K$4,'Diario Cali'!$C:$C,$A53)</f>
        <v>16377</v>
      </c>
      <c r="L53" s="24">
        <f>SUMIFS('Diario Adm'!$E:$E,'Diario Adm'!$B:$B,L$4,'Diario Adm'!$C:$C,$A53)+SUMIFS('Diario Cali'!$E:$E,'Diario Cali'!$B:$B,L$4,'Diario Cali'!$C:$C,$A53)</f>
        <v>12499</v>
      </c>
      <c r="M53" s="24">
        <f>SUMIFS('Diario Adm'!$E:$E,'Diario Adm'!$B:$B,M$4,'Diario Adm'!$C:$C,$A53)+SUMIFS('Diario Cali'!$E:$E,'Diario Cali'!$B:$B,M$4,'Diario Cali'!$C:$C,$A53)</f>
        <v>26612</v>
      </c>
      <c r="N53" s="24">
        <f>SUMIFS('Diario Adm'!$E:$E,'Diario Adm'!$B:$B,N$4,'Diario Adm'!$C:$C,$A53)+SUMIFS('Diario Cali'!$E:$E,'Diario Cali'!$B:$B,N$4,'Diario Cali'!$C:$C,$A53)</f>
        <v>32317</v>
      </c>
      <c r="O53" s="28"/>
      <c r="P53" s="138">
        <f>SUM(C53:N53)</f>
        <v>357557</v>
      </c>
      <c r="Q53" s="28"/>
      <c r="R53" s="140">
        <v>0</v>
      </c>
    </row>
    <row r="54" spans="1:18" ht="13.6" x14ac:dyDescent="0.25">
      <c r="A54" s="162">
        <v>4323</v>
      </c>
      <c r="B54" s="128" t="str">
        <f>VLOOKUP(A54,Plan!A:B,2,0)</f>
        <v>Telefonía, Internet (VTR, Entel)</v>
      </c>
      <c r="C54" s="24">
        <f>SUMIFS('Diario Adm'!$E:$E,'Diario Adm'!$B:$B,C$4,'Diario Adm'!$C:$C,$A54)+SUMIFS('Diario Cali'!$E:$E,'Diario Cali'!$B:$B,C$4,'Diario Cali'!$C:$C,$A54)</f>
        <v>77259</v>
      </c>
      <c r="D54" s="24">
        <f>SUMIFS('Diario Adm'!$E:$E,'Diario Adm'!$B:$B,D$4,'Diario Adm'!$C:$C,$A54)+SUMIFS('Diario Cali'!$E:$E,'Diario Cali'!$B:$B,D$4,'Diario Cali'!$C:$C,$A54)</f>
        <v>78109</v>
      </c>
      <c r="E54" s="24">
        <f>SUMIFS('Diario Adm'!$E:$E,'Diario Adm'!$B:$B,E$4,'Diario Adm'!$C:$C,$A54)+SUMIFS('Diario Cali'!$E:$E,'Diario Cali'!$B:$B,E$4,'Diario Cali'!$C:$C,$A54)</f>
        <v>58645</v>
      </c>
      <c r="F54" s="24">
        <f>SUMIFS('Diario Adm'!$E:$E,'Diario Adm'!$B:$B,F$4,'Diario Adm'!$C:$C,$A54)+SUMIFS('Diario Cali'!$E:$E,'Diario Cali'!$B:$B,F$4,'Diario Cali'!$C:$C,$A54)</f>
        <v>51645</v>
      </c>
      <c r="G54" s="24">
        <f>SUMIFS('Diario Adm'!$E:$E,'Diario Adm'!$B:$B,G$4,'Diario Adm'!$C:$C,$A54)+SUMIFS('Diario Cali'!$E:$E,'Diario Cali'!$B:$B,G$4,'Diario Cali'!$C:$C,$A54)</f>
        <v>56145</v>
      </c>
      <c r="H54" s="24">
        <f>SUMIFS('Diario Adm'!$E:$E,'Diario Adm'!$B:$B,H$4,'Diario Adm'!$C:$C,$A54)+SUMIFS('Diario Cali'!$E:$E,'Diario Cali'!$B:$B,H$4,'Diario Cali'!$C:$C,$A54)</f>
        <v>56145</v>
      </c>
      <c r="I54" s="24">
        <f>SUMIFS('Diario Adm'!$E:$E,'Diario Adm'!$B:$B,I$4,'Diario Adm'!$C:$C,$A54)+SUMIFS('Diario Cali'!$E:$E,'Diario Cali'!$B:$B,I$4,'Diario Cali'!$C:$C,$A54)</f>
        <v>56145</v>
      </c>
      <c r="J54" s="24">
        <f>SUMIFS('Diario Adm'!$E:$E,'Diario Adm'!$B:$B,J$4,'Diario Adm'!$C:$C,$A54)+SUMIFS('Diario Cali'!$E:$E,'Diario Cali'!$B:$B,J$4,'Diario Cali'!$C:$C,$A54)</f>
        <v>56946</v>
      </c>
      <c r="K54" s="24">
        <f>SUMIFS('Diario Adm'!$E:$E,'Diario Adm'!$B:$B,K$4,'Diario Adm'!$C:$C,$A54)+SUMIFS('Diario Cali'!$E:$E,'Diario Cali'!$B:$B,K$4,'Diario Cali'!$C:$C,$A54)</f>
        <v>56946</v>
      </c>
      <c r="L54" s="24">
        <f>SUMIFS('Diario Adm'!$E:$E,'Diario Adm'!$B:$B,L$4,'Diario Adm'!$C:$C,$A54)+SUMIFS('Diario Cali'!$E:$E,'Diario Cali'!$B:$B,L$4,'Diario Cali'!$C:$C,$A54)</f>
        <v>56946</v>
      </c>
      <c r="M54" s="24">
        <f>SUMIFS('Diario Adm'!$E:$E,'Diario Adm'!$B:$B,M$4,'Diario Adm'!$C:$C,$A54)+SUMIFS('Diario Cali'!$E:$E,'Diario Cali'!$B:$B,M$4,'Diario Cali'!$C:$C,$A54)</f>
        <v>56946</v>
      </c>
      <c r="N54" s="24">
        <f>SUMIFS('Diario Adm'!$E:$E,'Diario Adm'!$B:$B,N$4,'Diario Adm'!$C:$C,$A54)+SUMIFS('Diario Cali'!$E:$E,'Diario Cali'!$B:$B,N$4,'Diario Cali'!$C:$C,$A54)</f>
        <v>56946</v>
      </c>
      <c r="O54" s="28"/>
      <c r="P54" s="138">
        <f>SUM(C54:N54)</f>
        <v>718823</v>
      </c>
      <c r="Q54" s="28"/>
      <c r="R54" s="140">
        <v>0</v>
      </c>
    </row>
    <row r="55" spans="1:18" ht="13.6" x14ac:dyDescent="0.25">
      <c r="A55" s="162">
        <v>4324</v>
      </c>
      <c r="B55" s="128" t="str">
        <f>VLOOKUP(A55,Plan!A:B,2,0)</f>
        <v>Gas</v>
      </c>
      <c r="C55" s="24">
        <f>SUMIFS('Diario Adm'!$E:$E,'Diario Adm'!$B:$B,C$4,'Diario Adm'!$C:$C,$A55)+SUMIFS('Diario Cali'!$E:$E,'Diario Cali'!$B:$B,C$4,'Diario Cali'!$C:$C,$A55)</f>
        <v>2813</v>
      </c>
      <c r="D55" s="24">
        <f>SUMIFS('Diario Adm'!$E:$E,'Diario Adm'!$B:$B,D$4,'Diario Adm'!$C:$C,$A55)+SUMIFS('Diario Cali'!$E:$E,'Diario Cali'!$B:$B,D$4,'Diario Cali'!$C:$C,$A55)</f>
        <v>4195</v>
      </c>
      <c r="E55" s="24">
        <f>SUMIFS('Diario Adm'!$E:$E,'Diario Adm'!$B:$B,E$4,'Diario Adm'!$C:$C,$A55)+SUMIFS('Diario Cali'!$E:$E,'Diario Cali'!$B:$B,E$4,'Diario Cali'!$C:$C,$A55)</f>
        <v>1472</v>
      </c>
      <c r="F55" s="24">
        <f>SUMIFS('Diario Adm'!$E:$E,'Diario Adm'!$B:$B,F$4,'Diario Adm'!$C:$C,$A55)+SUMIFS('Diario Cali'!$E:$E,'Diario Cali'!$B:$B,F$4,'Diario Cali'!$C:$C,$A55)</f>
        <v>1484</v>
      </c>
      <c r="G55" s="24">
        <f>SUMIFS('Diario Adm'!$E:$E,'Diario Adm'!$B:$B,G$4,'Diario Adm'!$C:$C,$A55)+SUMIFS('Diario Cali'!$E:$E,'Diario Cali'!$B:$B,G$4,'Diario Cali'!$C:$C,$A55)</f>
        <v>1501</v>
      </c>
      <c r="H55" s="24">
        <f>SUMIFS('Diario Adm'!$E:$E,'Diario Adm'!$B:$B,H$4,'Diario Adm'!$C:$C,$A55)+SUMIFS('Diario Cali'!$E:$E,'Diario Cali'!$B:$B,H$4,'Diario Cali'!$C:$C,$A55)</f>
        <v>1516</v>
      </c>
      <c r="I55" s="24">
        <f>SUMIFS('Diario Adm'!$E:$E,'Diario Adm'!$B:$B,I$4,'Diario Adm'!$C:$C,$A55)+SUMIFS('Diario Cali'!$E:$E,'Diario Cali'!$B:$B,I$4,'Diario Cali'!$C:$C,$A55)</f>
        <v>8896</v>
      </c>
      <c r="J55" s="24">
        <f>SUMIFS('Diario Adm'!$E:$E,'Diario Adm'!$B:$B,J$4,'Diario Adm'!$C:$C,$A55)+SUMIFS('Diario Cali'!$E:$E,'Diario Cali'!$B:$B,J$4,'Diario Cali'!$C:$C,$A55)</f>
        <v>21582</v>
      </c>
      <c r="K55" s="24">
        <f>SUMIFS('Diario Adm'!$E:$E,'Diario Adm'!$B:$B,K$4,'Diario Adm'!$C:$C,$A55)+SUMIFS('Diario Cali'!$E:$E,'Diario Cali'!$B:$B,K$4,'Diario Cali'!$C:$C,$A55)</f>
        <v>10371</v>
      </c>
      <c r="L55" s="24">
        <f>SUMIFS('Diario Adm'!$E:$E,'Diario Adm'!$B:$B,L$4,'Diario Adm'!$C:$C,$A55)+SUMIFS('Diario Cali'!$E:$E,'Diario Cali'!$B:$B,L$4,'Diario Cali'!$C:$C,$A55)</f>
        <v>13507</v>
      </c>
      <c r="M55" s="24">
        <f>SUMIFS('Diario Adm'!$E:$E,'Diario Adm'!$B:$B,M$4,'Diario Adm'!$C:$C,$A55)+SUMIFS('Diario Cali'!$E:$E,'Diario Cali'!$B:$B,M$4,'Diario Cali'!$C:$C,$A55)</f>
        <v>5141</v>
      </c>
      <c r="N55" s="24">
        <f>SUMIFS('Diario Adm'!$E:$E,'Diario Adm'!$B:$B,N$4,'Diario Adm'!$C:$C,$A55)+SUMIFS('Diario Cali'!$E:$E,'Diario Cali'!$B:$B,N$4,'Diario Cali'!$C:$C,$A55)</f>
        <v>3433</v>
      </c>
      <c r="O55" s="28"/>
      <c r="P55" s="138">
        <f t="shared" si="10"/>
        <v>75911</v>
      </c>
      <c r="Q55" s="28"/>
      <c r="R55" s="140">
        <f t="shared" si="11"/>
        <v>7591.1</v>
      </c>
    </row>
    <row r="56" spans="1:18" ht="13.6" x14ac:dyDescent="0.25">
      <c r="A56" s="162">
        <v>4325</v>
      </c>
      <c r="B56" s="128" t="str">
        <f>VLOOKUP(A56,Plan!A:B,2,0)</f>
        <v>Alarma (ADT)</v>
      </c>
      <c r="C56" s="24">
        <f>SUMIFS('Diario Adm'!$E:$E,'Diario Adm'!$B:$B,C$4,'Diario Adm'!$C:$C,$A56)+SUMIFS('Diario Cali'!$E:$E,'Diario Cali'!$B:$B,C$4,'Diario Cali'!$C:$C,$A56)</f>
        <v>42441</v>
      </c>
      <c r="D56" s="24">
        <f>SUMIFS('Diario Adm'!$E:$E,'Diario Adm'!$B:$B,D$4,'Diario Adm'!$C:$C,$A56)+SUMIFS('Diario Cali'!$E:$E,'Diario Cali'!$B:$B,D$4,'Diario Cali'!$C:$C,$A56)</f>
        <v>42525</v>
      </c>
      <c r="E56" s="24">
        <f>SUMIFS('Diario Adm'!$E:$E,'Diario Adm'!$B:$B,E$4,'Diario Adm'!$C:$C,$A56)+SUMIFS('Diario Cali'!$E:$E,'Diario Cali'!$B:$B,E$4,'Diario Cali'!$C:$C,$A56)</f>
        <v>42770</v>
      </c>
      <c r="F56" s="24">
        <f>SUMIFS('Diario Adm'!$E:$E,'Diario Adm'!$B:$B,F$4,'Diario Adm'!$C:$C,$A56)+SUMIFS('Diario Cali'!$E:$E,'Diario Cali'!$B:$B,F$4,'Diario Cali'!$C:$C,$A56)</f>
        <v>0</v>
      </c>
      <c r="G56" s="24">
        <f>SUMIFS('Diario Adm'!$E:$E,'Diario Adm'!$B:$B,G$4,'Diario Adm'!$C:$C,$A56)+SUMIFS('Diario Cali'!$E:$E,'Diario Cali'!$B:$B,G$4,'Diario Cali'!$C:$C,$A56)</f>
        <v>43067</v>
      </c>
      <c r="H56" s="24">
        <f>SUMIFS('Diario Adm'!$E:$E,'Diario Adm'!$B:$B,H$4,'Diario Adm'!$C:$C,$A56)+SUMIFS('Diario Cali'!$E:$E,'Diario Cali'!$B:$B,H$4,'Diario Cali'!$C:$C,$A56)</f>
        <v>43241</v>
      </c>
      <c r="I56" s="24">
        <f>SUMIFS('Diario Adm'!$E:$E,'Diario Adm'!$B:$B,I$4,'Diario Adm'!$C:$C,$A56)+SUMIFS('Diario Cali'!$E:$E,'Diario Cali'!$B:$B,I$4,'Diario Cali'!$C:$C,$A56)</f>
        <v>43381</v>
      </c>
      <c r="J56" s="24">
        <f>SUMIFS('Diario Adm'!$E:$E,'Diario Adm'!$B:$B,J$4,'Diario Adm'!$C:$C,$A56)+SUMIFS('Diario Cali'!$E:$E,'Diario Cali'!$B:$B,J$4,'Diario Cali'!$C:$C,$A56)</f>
        <v>43448</v>
      </c>
      <c r="K56" s="24">
        <f>SUMIFS('Diario Adm'!$E:$E,'Diario Adm'!$B:$B,K$4,'Diario Adm'!$C:$C,$A56)+SUMIFS('Diario Cali'!$E:$E,'Diario Cali'!$B:$B,K$4,'Diario Cali'!$C:$C,$A56)</f>
        <v>43716</v>
      </c>
      <c r="L56" s="24">
        <f>SUMIFS('Diario Adm'!$E:$E,'Diario Adm'!$B:$B,L$4,'Diario Adm'!$C:$C,$A56)+SUMIFS('Diario Cali'!$E:$E,'Diario Cali'!$B:$B,L$4,'Diario Cali'!$C:$C,$A56)</f>
        <v>43935</v>
      </c>
      <c r="M56" s="24">
        <f>SUMIFS('Diario Adm'!$E:$E,'Diario Adm'!$B:$B,M$4,'Diario Adm'!$C:$C,$A56)+SUMIFS('Diario Cali'!$E:$E,'Diario Cali'!$B:$B,M$4,'Diario Cali'!$C:$C,$A56)</f>
        <v>44373</v>
      </c>
      <c r="N56" s="24">
        <f>SUMIFS('Diario Adm'!$E:$E,'Diario Adm'!$B:$B,N$4,'Diario Adm'!$C:$C,$A56)+SUMIFS('Diario Cali'!$E:$E,'Diario Cali'!$B:$B,N$4,'Diario Cali'!$C:$C,$A56)</f>
        <v>44933</v>
      </c>
      <c r="O56" s="28"/>
      <c r="P56" s="138">
        <f t="shared" si="10"/>
        <v>477830</v>
      </c>
      <c r="Q56" s="28"/>
      <c r="R56" s="140">
        <f t="shared" si="11"/>
        <v>47783</v>
      </c>
    </row>
    <row r="57" spans="1:18" ht="13.6" x14ac:dyDescent="0.25">
      <c r="A57" s="162">
        <v>4326</v>
      </c>
      <c r="B57" s="128" t="str">
        <f>VLOOKUP(A57,Plan!A:B,2,0)</f>
        <v>Seguros</v>
      </c>
      <c r="C57" s="24">
        <f>SUMIFS('Diario Adm'!$E:$E,'Diario Adm'!$B:$B,C$4,'Diario Adm'!$C:$C,$A57)+SUMIFS('Diario Cali'!$E:$E,'Diario Cali'!$B:$B,C$4,'Diario Cali'!$C:$C,$A57)</f>
        <v>49980</v>
      </c>
      <c r="D57" s="24">
        <f>SUMIFS('Diario Adm'!$E:$E,'Diario Adm'!$B:$B,D$4,'Diario Adm'!$C:$C,$A57)+SUMIFS('Diario Cali'!$E:$E,'Diario Cali'!$B:$B,D$4,'Diario Cali'!$C:$C,$A57)</f>
        <v>50253</v>
      </c>
      <c r="E57" s="24">
        <f>SUMIFS('Diario Adm'!$E:$E,'Diario Adm'!$B:$B,E$4,'Diario Adm'!$C:$C,$A57)+SUMIFS('Diario Cali'!$E:$E,'Diario Cali'!$B:$B,E$4,'Diario Cali'!$C:$C,$A57)</f>
        <v>50455</v>
      </c>
      <c r="F57" s="24">
        <f>SUMIFS('Diario Adm'!$E:$E,'Diario Adm'!$B:$B,F$4,'Diario Adm'!$C:$C,$A57)+SUMIFS('Diario Cali'!$E:$E,'Diario Cali'!$B:$B,F$4,'Diario Cali'!$C:$C,$A57)</f>
        <v>42919</v>
      </c>
      <c r="G57" s="24">
        <f>SUMIFS('Diario Adm'!$E:$E,'Diario Adm'!$B:$B,G$4,'Diario Adm'!$C:$C,$A57)+SUMIFS('Diario Cali'!$E:$E,'Diario Cali'!$B:$B,G$4,'Diario Cali'!$C:$C,$A57)</f>
        <v>0</v>
      </c>
      <c r="H57" s="24">
        <f>SUMIFS('Diario Adm'!$E:$E,'Diario Adm'!$B:$B,H$4,'Diario Adm'!$C:$C,$A57)+SUMIFS('Diario Cali'!$E:$E,'Diario Cali'!$B:$B,H$4,'Diario Cali'!$C:$C,$A57)</f>
        <v>0</v>
      </c>
      <c r="I57" s="24">
        <f>SUMIFS('Diario Adm'!$E:$E,'Diario Adm'!$B:$B,I$4,'Diario Adm'!$C:$C,$A57)+SUMIFS('Diario Cali'!$E:$E,'Diario Cali'!$B:$B,I$4,'Diario Cali'!$C:$C,$A57)</f>
        <v>89262</v>
      </c>
      <c r="J57" s="24">
        <f>SUMIFS('Diario Adm'!$E:$E,'Diario Adm'!$B:$B,J$4,'Diario Adm'!$C:$C,$A57)+SUMIFS('Diario Cali'!$E:$E,'Diario Cali'!$B:$B,J$4,'Diario Cali'!$C:$C,$A57)</f>
        <v>51323</v>
      </c>
      <c r="K57" s="24">
        <f>SUMIFS('Diario Adm'!$E:$E,'Diario Adm'!$B:$B,K$4,'Diario Adm'!$C:$C,$A57)+SUMIFS('Diario Cali'!$E:$E,'Diario Cali'!$B:$B,K$4,'Diario Cali'!$C:$C,$A57)</f>
        <v>51645</v>
      </c>
      <c r="L57" s="24">
        <f>SUMIFS('Diario Adm'!$E:$E,'Diario Adm'!$B:$B,L$4,'Diario Adm'!$C:$C,$A57)+SUMIFS('Diario Cali'!$E:$E,'Diario Cali'!$B:$B,L$4,'Diario Cali'!$C:$C,$A57)</f>
        <v>52047</v>
      </c>
      <c r="M57" s="24">
        <f>SUMIFS('Diario Adm'!$E:$E,'Diario Adm'!$B:$B,M$4,'Diario Adm'!$C:$C,$A57)+SUMIFS('Diario Cali'!$E:$E,'Diario Cali'!$B:$B,M$4,'Diario Cali'!$C:$C,$A57)</f>
        <v>52710</v>
      </c>
      <c r="N57" s="24">
        <f>SUMIFS('Diario Adm'!$E:$E,'Diario Adm'!$B:$B,N$4,'Diario Adm'!$C:$C,$A57)+SUMIFS('Diario Cali'!$E:$E,'Diario Cali'!$B:$B,N$4,'Diario Cali'!$C:$C,$A57)</f>
        <v>53183</v>
      </c>
      <c r="O57" s="28"/>
      <c r="P57" s="138">
        <f t="shared" si="10"/>
        <v>543777</v>
      </c>
      <c r="Q57" s="28"/>
      <c r="R57" s="140">
        <f t="shared" si="11"/>
        <v>54377.7</v>
      </c>
    </row>
    <row r="58" spans="1:18" ht="13.6" x14ac:dyDescent="0.25">
      <c r="A58" s="162">
        <v>4327</v>
      </c>
      <c r="B58" s="128" t="str">
        <f>VLOOKUP(A58,Plan!A:B,2,0)</f>
        <v>Sistemas Comp.</v>
      </c>
      <c r="C58" s="24">
        <f>SUMIFS('Diario Adm'!$E:$E,'Diario Adm'!$B:$B,C$4,'Diario Adm'!$C:$C,$A58)+SUMIFS('Diario Cali'!$E:$E,'Diario Cali'!$B:$B,C$4,'Diario Cali'!$C:$C,$A58)</f>
        <v>0</v>
      </c>
      <c r="D58" s="24">
        <f>SUMIFS('Diario Adm'!$E:$E,'Diario Adm'!$B:$B,D$4,'Diario Adm'!$C:$C,$A58)+SUMIFS('Diario Cali'!$E:$E,'Diario Cali'!$B:$B,D$4,'Diario Cali'!$C:$C,$A58)</f>
        <v>0</v>
      </c>
      <c r="E58" s="24">
        <f>SUMIFS('Diario Adm'!$E:$E,'Diario Adm'!$B:$B,E$4,'Diario Adm'!$C:$C,$A58)+SUMIFS('Diario Cali'!$E:$E,'Diario Cali'!$B:$B,E$4,'Diario Cali'!$C:$C,$A58)</f>
        <v>0</v>
      </c>
      <c r="F58" s="24">
        <f>SUMIFS('Diario Adm'!$E:$E,'Diario Adm'!$B:$B,F$4,'Diario Adm'!$C:$C,$A58)+SUMIFS('Diario Cali'!$E:$E,'Diario Cali'!$B:$B,F$4,'Diario Cali'!$C:$C,$A58)</f>
        <v>0</v>
      </c>
      <c r="G58" s="24">
        <f>SUMIFS('Diario Adm'!$E:$E,'Diario Adm'!$B:$B,G$4,'Diario Adm'!$C:$C,$A58)+SUMIFS('Diario Cali'!$E:$E,'Diario Cali'!$B:$B,G$4,'Diario Cali'!$C:$C,$A58)</f>
        <v>0</v>
      </c>
      <c r="H58" s="24">
        <f>SUMIFS('Diario Adm'!$E:$E,'Diario Adm'!$B:$B,H$4,'Diario Adm'!$C:$C,$A58)+SUMIFS('Diario Cali'!$E:$E,'Diario Cali'!$B:$B,H$4,'Diario Cali'!$C:$C,$A58)</f>
        <v>0</v>
      </c>
      <c r="I58" s="24">
        <f>SUMIFS('Diario Adm'!$E:$E,'Diario Adm'!$B:$B,I$4,'Diario Adm'!$C:$C,$A58)+SUMIFS('Diario Cali'!$E:$E,'Diario Cali'!$B:$B,I$4,'Diario Cali'!$C:$C,$A58)</f>
        <v>0</v>
      </c>
      <c r="J58" s="24">
        <f>SUMIFS('Diario Adm'!$E:$E,'Diario Adm'!$B:$B,J$4,'Diario Adm'!$C:$C,$A58)+SUMIFS('Diario Cali'!$E:$E,'Diario Cali'!$B:$B,J$4,'Diario Cali'!$C:$C,$A58)</f>
        <v>0</v>
      </c>
      <c r="K58" s="24">
        <f>SUMIFS('Diario Adm'!$E:$E,'Diario Adm'!$B:$B,K$4,'Diario Adm'!$C:$C,$A58)+SUMIFS('Diario Cali'!$E:$E,'Diario Cali'!$B:$B,K$4,'Diario Cali'!$C:$C,$A58)</f>
        <v>0</v>
      </c>
      <c r="L58" s="24">
        <f>SUMIFS('Diario Adm'!$E:$E,'Diario Adm'!$B:$B,L$4,'Diario Adm'!$C:$C,$A58)+SUMIFS('Diario Cali'!$E:$E,'Diario Cali'!$B:$B,L$4,'Diario Cali'!$C:$C,$A58)</f>
        <v>0</v>
      </c>
      <c r="M58" s="24">
        <f>SUMIFS('Diario Adm'!$E:$E,'Diario Adm'!$B:$B,M$4,'Diario Adm'!$C:$C,$A58)+SUMIFS('Diario Cali'!$E:$E,'Diario Cali'!$B:$B,M$4,'Diario Cali'!$C:$C,$A58)</f>
        <v>0</v>
      </c>
      <c r="N58" s="24">
        <f>SUMIFS('Diario Adm'!$E:$E,'Diario Adm'!$B:$B,N$4,'Diario Adm'!$C:$C,$A58)+SUMIFS('Diario Cali'!$E:$E,'Diario Cali'!$B:$B,N$4,'Diario Cali'!$C:$C,$A58)</f>
        <v>0</v>
      </c>
      <c r="O58" s="28"/>
      <c r="P58" s="138">
        <f t="shared" si="10"/>
        <v>0</v>
      </c>
      <c r="Q58" s="28"/>
      <c r="R58" s="140">
        <f t="shared" si="11"/>
        <v>0</v>
      </c>
    </row>
    <row r="59" spans="1:18" ht="13.6" x14ac:dyDescent="0.25">
      <c r="A59" s="162">
        <v>4330</v>
      </c>
      <c r="B59" s="128" t="str">
        <f>VLOOKUP(A59,Plan!A:B,2,0)</f>
        <v>Correo</v>
      </c>
      <c r="C59" s="24">
        <f>SUMIFS('Diario Adm'!$E:$E,'Diario Adm'!$B:$B,C$4,'Diario Adm'!$C:$C,$A59)+SUMIFS('Diario Cali'!$E:$E,'Diario Cali'!$B:$B,C$4,'Diario Cali'!$C:$C,$A59)</f>
        <v>0</v>
      </c>
      <c r="D59" s="24">
        <f>SUMIFS('Diario Adm'!$E:$E,'Diario Adm'!$B:$B,D$4,'Diario Adm'!$C:$C,$A59)+SUMIFS('Diario Cali'!$E:$E,'Diario Cali'!$B:$B,D$4,'Diario Cali'!$C:$C,$A59)</f>
        <v>0</v>
      </c>
      <c r="E59" s="24">
        <f>SUMIFS('Diario Adm'!$E:$E,'Diario Adm'!$B:$B,E$4,'Diario Adm'!$C:$C,$A59)+SUMIFS('Diario Cali'!$E:$E,'Diario Cali'!$B:$B,E$4,'Diario Cali'!$C:$C,$A59)</f>
        <v>0</v>
      </c>
      <c r="F59" s="24">
        <f>SUMIFS('Diario Adm'!$E:$E,'Diario Adm'!$B:$B,F$4,'Diario Adm'!$C:$C,$A59)+SUMIFS('Diario Cali'!$E:$E,'Diario Cali'!$B:$B,F$4,'Diario Cali'!$C:$C,$A59)</f>
        <v>0</v>
      </c>
      <c r="G59" s="24">
        <f>SUMIFS('Diario Adm'!$E:$E,'Diario Adm'!$B:$B,G$4,'Diario Adm'!$C:$C,$A59)+SUMIFS('Diario Cali'!$E:$E,'Diario Cali'!$B:$B,G$4,'Diario Cali'!$C:$C,$A59)</f>
        <v>0</v>
      </c>
      <c r="H59" s="24">
        <f>SUMIFS('Diario Adm'!$E:$E,'Diario Adm'!$B:$B,H$4,'Diario Adm'!$C:$C,$A59)+SUMIFS('Diario Cali'!$E:$E,'Diario Cali'!$B:$B,H$4,'Diario Cali'!$C:$C,$A59)</f>
        <v>0</v>
      </c>
      <c r="I59" s="24">
        <f>SUMIFS('Diario Adm'!$E:$E,'Diario Adm'!$B:$B,I$4,'Diario Adm'!$C:$C,$A59)+SUMIFS('Diario Cali'!$E:$E,'Diario Cali'!$B:$B,I$4,'Diario Cali'!$C:$C,$A59)</f>
        <v>0</v>
      </c>
      <c r="J59" s="24">
        <f>SUMIFS('Diario Adm'!$E:$E,'Diario Adm'!$B:$B,J$4,'Diario Adm'!$C:$C,$A59)+SUMIFS('Diario Cali'!$E:$E,'Diario Cali'!$B:$B,J$4,'Diario Cali'!$C:$C,$A59)</f>
        <v>0</v>
      </c>
      <c r="K59" s="24">
        <f>SUMIFS('Diario Adm'!$E:$E,'Diario Adm'!$B:$B,K$4,'Diario Adm'!$C:$C,$A59)+SUMIFS('Diario Cali'!$E:$E,'Diario Cali'!$B:$B,K$4,'Diario Cali'!$C:$C,$A59)</f>
        <v>0</v>
      </c>
      <c r="L59" s="24">
        <f>SUMIFS('Diario Adm'!$E:$E,'Diario Adm'!$B:$B,L$4,'Diario Adm'!$C:$C,$A59)+SUMIFS('Diario Cali'!$E:$E,'Diario Cali'!$B:$B,L$4,'Diario Cali'!$C:$C,$A59)</f>
        <v>0</v>
      </c>
      <c r="M59" s="24">
        <f>SUMIFS('Diario Adm'!$E:$E,'Diario Adm'!$B:$B,M$4,'Diario Adm'!$C:$C,$A59)+SUMIFS('Diario Cali'!$E:$E,'Diario Cali'!$B:$B,M$4,'Diario Cali'!$C:$C,$A59)</f>
        <v>0</v>
      </c>
      <c r="N59" s="24">
        <f>SUMIFS('Diario Adm'!$E:$E,'Diario Adm'!$B:$B,N$4,'Diario Adm'!$C:$C,$A59)+SUMIFS('Diario Cali'!$E:$E,'Diario Cali'!$B:$B,N$4,'Diario Cali'!$C:$C,$A59)</f>
        <v>0</v>
      </c>
      <c r="O59" s="28"/>
      <c r="P59" s="138">
        <f t="shared" si="10"/>
        <v>0</v>
      </c>
      <c r="Q59" s="28"/>
      <c r="R59" s="140">
        <f t="shared" si="11"/>
        <v>0</v>
      </c>
    </row>
    <row r="60" spans="1:18" ht="13.6" x14ac:dyDescent="0.25">
      <c r="A60" s="162">
        <v>4331</v>
      </c>
      <c r="B60" s="128" t="str">
        <f>VLOOKUP(A60,Plan!A:B,2,0)</f>
        <v>Cali</v>
      </c>
      <c r="C60" s="24">
        <f>SUMIFS('Diario Adm'!$E:$E,'Diario Adm'!$B:$B,C$4,'Diario Adm'!$C:$C,$A60)+SUMIFS('Diario Cali'!$E:$E,'Diario Cali'!$B:$B,C$4,'Diario Cali'!$C:$C,$A60)</f>
        <v>0</v>
      </c>
      <c r="D60" s="24">
        <f>SUMIFS('Diario Adm'!$E:$E,'Diario Adm'!$B:$B,D$4,'Diario Adm'!$C:$C,$A60)+SUMIFS('Diario Cali'!$E:$E,'Diario Cali'!$B:$B,D$4,'Diario Cali'!$C:$C,$A60)</f>
        <v>1166</v>
      </c>
      <c r="E60" s="24">
        <f>SUMIFS('Diario Adm'!$E:$E,'Diario Adm'!$B:$B,E$4,'Diario Adm'!$C:$C,$A60)+SUMIFS('Diario Cali'!$E:$E,'Diario Cali'!$B:$B,E$4,'Diario Cali'!$C:$C,$A60)</f>
        <v>714</v>
      </c>
      <c r="F60" s="24">
        <f>SUMIFS('Diario Adm'!$E:$E,'Diario Adm'!$B:$B,F$4,'Diario Adm'!$C:$C,$A60)+SUMIFS('Diario Cali'!$E:$E,'Diario Cali'!$B:$B,F$4,'Diario Cali'!$C:$C,$A60)</f>
        <v>3547</v>
      </c>
      <c r="G60" s="24">
        <f>SUMIFS('Diario Adm'!$E:$E,'Diario Adm'!$B:$B,G$4,'Diario Adm'!$C:$C,$A60)+SUMIFS('Diario Cali'!$E:$E,'Diario Cali'!$B:$B,G$4,'Diario Cali'!$C:$C,$A60)</f>
        <v>4510</v>
      </c>
      <c r="H60" s="24">
        <f>SUMIFS('Diario Adm'!$E:$E,'Diario Adm'!$B:$B,H$4,'Diario Adm'!$C:$C,$A60)+SUMIFS('Diario Cali'!$E:$E,'Diario Cali'!$B:$B,H$4,'Diario Cali'!$C:$C,$A60)</f>
        <v>4129</v>
      </c>
      <c r="I60" s="24">
        <f>SUMIFS('Diario Adm'!$E:$E,'Diario Adm'!$B:$B,I$4,'Diario Adm'!$C:$C,$A60)+SUMIFS('Diario Cali'!$E:$E,'Diario Cali'!$B:$B,I$4,'Diario Cali'!$C:$C,$A60)</f>
        <v>574</v>
      </c>
      <c r="J60" s="24">
        <f>SUMIFS('Diario Adm'!$E:$E,'Diario Adm'!$B:$B,J$4,'Diario Adm'!$C:$C,$A60)+SUMIFS('Diario Cali'!$E:$E,'Diario Cali'!$B:$B,J$4,'Diario Cali'!$C:$C,$A60)</f>
        <v>0</v>
      </c>
      <c r="K60" s="24">
        <f>SUMIFS('Diario Adm'!$E:$E,'Diario Adm'!$B:$B,K$4,'Diario Adm'!$C:$C,$A60)+SUMIFS('Diario Cali'!$E:$E,'Diario Cali'!$B:$B,K$4,'Diario Cali'!$C:$C,$A60)</f>
        <v>0</v>
      </c>
      <c r="L60" s="24">
        <f>SUMIFS('Diario Adm'!$E:$E,'Diario Adm'!$B:$B,L$4,'Diario Adm'!$C:$C,$A60)+SUMIFS('Diario Cali'!$E:$E,'Diario Cali'!$B:$B,L$4,'Diario Cali'!$C:$C,$A60)</f>
        <v>0</v>
      </c>
      <c r="M60" s="24">
        <f>SUMIFS('Diario Adm'!$E:$E,'Diario Adm'!$B:$B,M$4,'Diario Adm'!$C:$C,$A60)+SUMIFS('Diario Cali'!$E:$E,'Diario Cali'!$B:$B,M$4,'Diario Cali'!$C:$C,$A60)</f>
        <v>0</v>
      </c>
      <c r="N60" s="24">
        <f>SUMIFS('Diario Adm'!$E:$E,'Diario Adm'!$B:$B,N$4,'Diario Adm'!$C:$C,$A60)+SUMIFS('Diario Cali'!$E:$E,'Diario Cali'!$B:$B,N$4,'Diario Cali'!$C:$C,$A60)</f>
        <v>0</v>
      </c>
      <c r="O60" s="28"/>
      <c r="P60" s="138">
        <f t="shared" si="10"/>
        <v>14640</v>
      </c>
      <c r="Q60" s="28"/>
      <c r="R60" s="140">
        <f t="shared" si="11"/>
        <v>1464</v>
      </c>
    </row>
    <row r="61" spans="1:18" ht="13.6" x14ac:dyDescent="0.25">
      <c r="A61" s="162">
        <v>4332</v>
      </c>
      <c r="B61" s="128" t="str">
        <f>VLOOKUP(A61,Plan!A:B,2,0)</f>
        <v>Oficina</v>
      </c>
      <c r="C61" s="24">
        <f>SUMIFS('Diario Adm'!$E:$E,'Diario Adm'!$B:$B,C$4,'Diario Adm'!$C:$C,$A61)+SUMIFS('Diario Cali'!$E:$E,'Diario Cali'!$B:$B,C$4,'Diario Cali'!$C:$C,$A61)</f>
        <v>0</v>
      </c>
      <c r="D61" s="24">
        <f>SUMIFS('Diario Adm'!$E:$E,'Diario Adm'!$B:$B,D$4,'Diario Adm'!$C:$C,$A61)+SUMIFS('Diario Cali'!$E:$E,'Diario Cali'!$B:$B,D$4,'Diario Cali'!$C:$C,$A61)</f>
        <v>0</v>
      </c>
      <c r="E61" s="24">
        <f>SUMIFS('Diario Adm'!$E:$E,'Diario Adm'!$B:$B,E$4,'Diario Adm'!$C:$C,$A61)+SUMIFS('Diario Cali'!$E:$E,'Diario Cali'!$B:$B,E$4,'Diario Cali'!$C:$C,$A61)</f>
        <v>0</v>
      </c>
      <c r="F61" s="24">
        <f>SUMIFS('Diario Adm'!$E:$E,'Diario Adm'!$B:$B,F$4,'Diario Adm'!$C:$C,$A61)+SUMIFS('Diario Cali'!$E:$E,'Diario Cali'!$B:$B,F$4,'Diario Cali'!$C:$C,$A61)</f>
        <v>0</v>
      </c>
      <c r="G61" s="24">
        <f>SUMIFS('Diario Adm'!$E:$E,'Diario Adm'!$B:$B,G$4,'Diario Adm'!$C:$C,$A61)+SUMIFS('Diario Cali'!$E:$E,'Diario Cali'!$B:$B,G$4,'Diario Cali'!$C:$C,$A61)</f>
        <v>0</v>
      </c>
      <c r="H61" s="24">
        <f>SUMIFS('Diario Adm'!$E:$E,'Diario Adm'!$B:$B,H$4,'Diario Adm'!$C:$C,$A61)+SUMIFS('Diario Cali'!$E:$E,'Diario Cali'!$B:$B,H$4,'Diario Cali'!$C:$C,$A61)</f>
        <v>0</v>
      </c>
      <c r="I61" s="24">
        <f>SUMIFS('Diario Adm'!$E:$E,'Diario Adm'!$B:$B,I$4,'Diario Adm'!$C:$C,$A61)+SUMIFS('Diario Cali'!$E:$E,'Diario Cali'!$B:$B,I$4,'Diario Cali'!$C:$C,$A61)</f>
        <v>0</v>
      </c>
      <c r="J61" s="24">
        <f>SUMIFS('Diario Adm'!$E:$E,'Diario Adm'!$B:$B,J$4,'Diario Adm'!$C:$C,$A61)+SUMIFS('Diario Cali'!$E:$E,'Diario Cali'!$B:$B,J$4,'Diario Cali'!$C:$C,$A61)</f>
        <v>0</v>
      </c>
      <c r="K61" s="24">
        <f>SUMIFS('Diario Adm'!$E:$E,'Diario Adm'!$B:$B,K$4,'Diario Adm'!$C:$C,$A61)+SUMIFS('Diario Cali'!$E:$E,'Diario Cali'!$B:$B,K$4,'Diario Cali'!$C:$C,$A61)</f>
        <v>0</v>
      </c>
      <c r="L61" s="24">
        <f>SUMIFS('Diario Adm'!$E:$E,'Diario Adm'!$B:$B,L$4,'Diario Adm'!$C:$C,$A61)+SUMIFS('Diario Cali'!$E:$E,'Diario Cali'!$B:$B,L$4,'Diario Cali'!$C:$C,$A61)</f>
        <v>0</v>
      </c>
      <c r="M61" s="24">
        <f>SUMIFS('Diario Adm'!$E:$E,'Diario Adm'!$B:$B,M$4,'Diario Adm'!$C:$C,$A61)+SUMIFS('Diario Cali'!$E:$E,'Diario Cali'!$B:$B,M$4,'Diario Cali'!$C:$C,$A61)</f>
        <v>0</v>
      </c>
      <c r="N61" s="24">
        <f>SUMIFS('Diario Adm'!$E:$E,'Diario Adm'!$B:$B,N$4,'Diario Adm'!$C:$C,$A61)+SUMIFS('Diario Cali'!$E:$E,'Diario Cali'!$B:$B,N$4,'Diario Cali'!$C:$C,$A61)</f>
        <v>0</v>
      </c>
      <c r="O61" s="28"/>
      <c r="P61" s="138">
        <f t="shared" si="10"/>
        <v>0</v>
      </c>
      <c r="Q61" s="28"/>
      <c r="R61" s="140">
        <f t="shared" si="11"/>
        <v>0</v>
      </c>
    </row>
    <row r="62" spans="1:18" ht="13.6" x14ac:dyDescent="0.25">
      <c r="A62" s="162">
        <v>4340</v>
      </c>
      <c r="B62" s="128" t="str">
        <f>VLOOKUP(A62,Plan!A:B,2,0)</f>
        <v>Caja Chica</v>
      </c>
      <c r="C62" s="24">
        <f>SUMIFS('Diario Adm'!$E:$E,'Diario Adm'!$B:$B,C$4,'Diario Adm'!$C:$C,$A62)+SUMIFS('Diario Cali'!$E:$E,'Diario Cali'!$B:$B,C$4,'Diario Cali'!$C:$C,$A62)</f>
        <v>0</v>
      </c>
      <c r="D62" s="24">
        <f>SUMIFS('Diario Adm'!$E:$E,'Diario Adm'!$B:$B,D$4,'Diario Adm'!$C:$C,$A62)+SUMIFS('Diario Cali'!$E:$E,'Diario Cali'!$B:$B,D$4,'Diario Cali'!$C:$C,$A62)</f>
        <v>55360</v>
      </c>
      <c r="E62" s="24">
        <f>SUMIFS('Diario Adm'!$E:$E,'Diario Adm'!$B:$B,E$4,'Diario Adm'!$C:$C,$A62)+SUMIFS('Diario Cali'!$E:$E,'Diario Cali'!$B:$B,E$4,'Diario Cali'!$C:$C,$A62)</f>
        <v>234988</v>
      </c>
      <c r="F62" s="24">
        <f>SUMIFS('Diario Adm'!$E:$E,'Diario Adm'!$B:$B,F$4,'Diario Adm'!$C:$C,$A62)+SUMIFS('Diario Cali'!$E:$E,'Diario Cali'!$B:$B,F$4,'Diario Cali'!$C:$C,$A62)</f>
        <v>57440</v>
      </c>
      <c r="G62" s="24">
        <f>SUMIFS('Diario Adm'!$E:$E,'Diario Adm'!$B:$B,G$4,'Diario Adm'!$C:$C,$A62)+SUMIFS('Diario Cali'!$E:$E,'Diario Cali'!$B:$B,G$4,'Diario Cali'!$C:$C,$A62)</f>
        <v>0</v>
      </c>
      <c r="H62" s="24">
        <f>SUMIFS('Diario Adm'!$E:$E,'Diario Adm'!$B:$B,H$4,'Diario Adm'!$C:$C,$A62)+SUMIFS('Diario Cali'!$E:$E,'Diario Cali'!$B:$B,H$4,'Diario Cali'!$C:$C,$A62)</f>
        <v>0</v>
      </c>
      <c r="I62" s="24">
        <f>SUMIFS('Diario Adm'!$E:$E,'Diario Adm'!$B:$B,I$4,'Diario Adm'!$C:$C,$A62)+SUMIFS('Diario Cali'!$E:$E,'Diario Cali'!$B:$B,I$4,'Diario Cali'!$C:$C,$A62)</f>
        <v>241768</v>
      </c>
      <c r="J62" s="24">
        <f>SUMIFS('Diario Adm'!$E:$E,'Diario Adm'!$B:$B,J$4,'Diario Adm'!$C:$C,$A62)+SUMIFS('Diario Cali'!$E:$E,'Diario Cali'!$B:$B,J$4,'Diario Cali'!$C:$C,$A62)</f>
        <v>0</v>
      </c>
      <c r="K62" s="24">
        <f>SUMIFS('Diario Adm'!$E:$E,'Diario Adm'!$B:$B,K$4,'Diario Adm'!$C:$C,$A62)+SUMIFS('Diario Cali'!$E:$E,'Diario Cali'!$B:$B,K$4,'Diario Cali'!$C:$C,$A62)</f>
        <v>234444</v>
      </c>
      <c r="L62" s="24">
        <f>SUMIFS('Diario Adm'!$E:$E,'Diario Adm'!$B:$B,L$4,'Diario Adm'!$C:$C,$A62)+SUMIFS('Diario Cali'!$E:$E,'Diario Cali'!$B:$B,L$4,'Diario Cali'!$C:$C,$A62)</f>
        <v>0</v>
      </c>
      <c r="M62" s="24">
        <f>SUMIFS('Diario Adm'!$E:$E,'Diario Adm'!$B:$B,M$4,'Diario Adm'!$C:$C,$A62)+SUMIFS('Diario Cali'!$E:$E,'Diario Cali'!$B:$B,M$4,'Diario Cali'!$C:$C,$A62)</f>
        <v>242565</v>
      </c>
      <c r="N62" s="24">
        <f>SUMIFS('Diario Adm'!$E:$E,'Diario Adm'!$B:$B,N$4,'Diario Adm'!$C:$C,$A62)+SUMIFS('Diario Cali'!$E:$E,'Diario Cali'!$B:$B,N$4,'Diario Cali'!$C:$C,$A62)</f>
        <v>259008</v>
      </c>
      <c r="O62" s="28"/>
      <c r="P62" s="138">
        <f t="shared" si="10"/>
        <v>1325573</v>
      </c>
      <c r="Q62" s="28"/>
      <c r="R62" s="140">
        <f t="shared" si="11"/>
        <v>132557.29999999999</v>
      </c>
    </row>
    <row r="63" spans="1:18" ht="13.6" x14ac:dyDescent="0.25">
      <c r="A63" s="162">
        <v>4361</v>
      </c>
      <c r="B63" s="128" t="str">
        <f>VLOOKUP(A63,Plan!A:B,2,0)</f>
        <v>Vacaciones</v>
      </c>
      <c r="C63" s="24">
        <f>SUMIFS('Diario Adm'!$E:$E,'Diario Adm'!$B:$B,C$4,'Diario Adm'!$C:$C,$A63)+SUMIFS('Diario Cali'!$E:$E,'Diario Cali'!$B:$B,C$4,'Diario Cali'!$C:$C,$A63)</f>
        <v>0</v>
      </c>
      <c r="D63" s="24">
        <f>SUMIFS('Diario Adm'!$E:$E,'Diario Adm'!$B:$B,D$4,'Diario Adm'!$C:$C,$A63)+SUMIFS('Diario Cali'!$E:$E,'Diario Cali'!$B:$B,D$4,'Diario Cali'!$C:$C,$A63)</f>
        <v>0</v>
      </c>
      <c r="E63" s="24">
        <f>SUMIFS('Diario Adm'!$E:$E,'Diario Adm'!$B:$B,E$4,'Diario Adm'!$C:$C,$A63)+SUMIFS('Diario Cali'!$E:$E,'Diario Cali'!$B:$B,E$4,'Diario Cali'!$C:$C,$A63)</f>
        <v>0</v>
      </c>
      <c r="F63" s="24">
        <f>SUMIFS('Diario Adm'!$E:$E,'Diario Adm'!$B:$B,F$4,'Diario Adm'!$C:$C,$A63)+SUMIFS('Diario Cali'!$E:$E,'Diario Cali'!$B:$B,F$4,'Diario Cali'!$C:$C,$A63)</f>
        <v>0</v>
      </c>
      <c r="G63" s="24">
        <f>SUMIFS('Diario Adm'!$E:$E,'Diario Adm'!$B:$B,G$4,'Diario Adm'!$C:$C,$A63)+SUMIFS('Diario Cali'!$E:$E,'Diario Cali'!$B:$B,G$4,'Diario Cali'!$C:$C,$A63)</f>
        <v>0</v>
      </c>
      <c r="H63" s="24">
        <f>SUMIFS('Diario Adm'!$E:$E,'Diario Adm'!$B:$B,H$4,'Diario Adm'!$C:$C,$A63)+SUMIFS('Diario Cali'!$E:$E,'Diario Cali'!$B:$B,H$4,'Diario Cali'!$C:$C,$A63)</f>
        <v>0</v>
      </c>
      <c r="I63" s="24">
        <f>SUMIFS('Diario Adm'!$E:$E,'Diario Adm'!$B:$B,I$4,'Diario Adm'!$C:$C,$A63)+SUMIFS('Diario Cali'!$E:$E,'Diario Cali'!$B:$B,I$4,'Diario Cali'!$C:$C,$A63)</f>
        <v>0</v>
      </c>
      <c r="J63" s="24">
        <f>SUMIFS('Diario Adm'!$E:$E,'Diario Adm'!$B:$B,J$4,'Diario Adm'!$C:$C,$A63)+SUMIFS('Diario Cali'!$E:$E,'Diario Cali'!$B:$B,J$4,'Diario Cali'!$C:$C,$A63)</f>
        <v>0</v>
      </c>
      <c r="K63" s="24">
        <f>SUMIFS('Diario Adm'!$E:$E,'Diario Adm'!$B:$B,K$4,'Diario Adm'!$C:$C,$A63)+SUMIFS('Diario Cali'!$E:$E,'Diario Cali'!$B:$B,K$4,'Diario Cali'!$C:$C,$A63)</f>
        <v>0</v>
      </c>
      <c r="L63" s="24">
        <f>SUMIFS('Diario Adm'!$E:$E,'Diario Adm'!$B:$B,L$4,'Diario Adm'!$C:$C,$A63)+SUMIFS('Diario Cali'!$E:$E,'Diario Cali'!$B:$B,L$4,'Diario Cali'!$C:$C,$A63)</f>
        <v>0</v>
      </c>
      <c r="M63" s="24">
        <f>SUMIFS('Diario Adm'!$E:$E,'Diario Adm'!$B:$B,M$4,'Diario Adm'!$C:$C,$A63)+SUMIFS('Diario Cali'!$E:$E,'Diario Cali'!$B:$B,M$4,'Diario Cali'!$C:$C,$A63)</f>
        <v>0</v>
      </c>
      <c r="N63" s="24">
        <f>SUMIFS('Diario Adm'!$E:$E,'Diario Adm'!$B:$B,N$4,'Diario Adm'!$C:$C,$A63)+SUMIFS('Diario Cali'!$E:$E,'Diario Cali'!$B:$B,N$4,'Diario Cali'!$C:$C,$A63)</f>
        <v>0</v>
      </c>
      <c r="O63" s="28"/>
      <c r="P63" s="138">
        <f t="shared" si="10"/>
        <v>0</v>
      </c>
      <c r="Q63" s="28"/>
      <c r="R63" s="140">
        <f t="shared" si="11"/>
        <v>0</v>
      </c>
    </row>
    <row r="64" spans="1:18" ht="13.6" x14ac:dyDescent="0.25">
      <c r="A64" s="162">
        <v>4360</v>
      </c>
      <c r="B64" s="128" t="e">
        <f>VLOOKUP(A64,Plan!A:B,2,0)</f>
        <v>#N/A</v>
      </c>
      <c r="C64" s="24">
        <f>SUMIFS('Diario Adm'!$E:$E,'Diario Adm'!$B:$B,C$4,'Diario Adm'!$C:$C,$A64)+SUMIFS('Diario Cali'!$E:$E,'Diario Cali'!$B:$B,C$4,'Diario Cali'!$C:$C,$A64)</f>
        <v>0</v>
      </c>
      <c r="D64" s="24">
        <f>SUMIFS('Diario Adm'!$E:$E,'Diario Adm'!$B:$B,D$4,'Diario Adm'!$C:$C,$A64)+SUMIFS('Diario Cali'!$E:$E,'Diario Cali'!$B:$B,D$4,'Diario Cali'!$C:$C,$A64)</f>
        <v>0</v>
      </c>
      <c r="E64" s="24">
        <f>SUMIFS('Diario Adm'!$E:$E,'Diario Adm'!$B:$B,E$4,'Diario Adm'!$C:$C,$A64)+SUMIFS('Diario Cali'!$E:$E,'Diario Cali'!$B:$B,E$4,'Diario Cali'!$C:$C,$A64)</f>
        <v>0</v>
      </c>
      <c r="F64" s="24">
        <f>SUMIFS('Diario Adm'!$E:$E,'Diario Adm'!$B:$B,F$4,'Diario Adm'!$C:$C,$A64)+SUMIFS('Diario Cali'!$E:$E,'Diario Cali'!$B:$B,F$4,'Diario Cali'!$C:$C,$A64)</f>
        <v>0</v>
      </c>
      <c r="G64" s="24">
        <f>SUMIFS('Diario Adm'!$E:$E,'Diario Adm'!$B:$B,G$4,'Diario Adm'!$C:$C,$A64)+SUMIFS('Diario Cali'!$E:$E,'Diario Cali'!$B:$B,G$4,'Diario Cali'!$C:$C,$A64)</f>
        <v>0</v>
      </c>
      <c r="H64" s="24">
        <f>SUMIFS('Diario Adm'!$E:$E,'Diario Adm'!$B:$B,H$4,'Diario Adm'!$C:$C,$A64)+SUMIFS('Diario Cali'!$E:$E,'Diario Cali'!$B:$B,H$4,'Diario Cali'!$C:$C,$A64)</f>
        <v>0</v>
      </c>
      <c r="I64" s="24">
        <f>SUMIFS('Diario Adm'!$E:$E,'Diario Adm'!$B:$B,I$4,'Diario Adm'!$C:$C,$A64)+SUMIFS('Diario Cali'!$E:$E,'Diario Cali'!$B:$B,I$4,'Diario Cali'!$C:$C,$A64)</f>
        <v>0</v>
      </c>
      <c r="J64" s="24">
        <f>SUMIFS('Diario Adm'!$E:$E,'Diario Adm'!$B:$B,J$4,'Diario Adm'!$C:$C,$A64)+SUMIFS('Diario Cali'!$E:$E,'Diario Cali'!$B:$B,J$4,'Diario Cali'!$C:$C,$A64)</f>
        <v>0</v>
      </c>
      <c r="K64" s="24">
        <f>SUMIFS('Diario Adm'!$E:$E,'Diario Adm'!$B:$B,K$4,'Diario Adm'!$C:$C,$A64)+SUMIFS('Diario Cali'!$E:$E,'Diario Cali'!$B:$B,K$4,'Diario Cali'!$C:$C,$A64)</f>
        <v>0</v>
      </c>
      <c r="L64" s="24">
        <f>SUMIFS('Diario Adm'!$E:$E,'Diario Adm'!$B:$B,L$4,'Diario Adm'!$C:$C,$A64)+SUMIFS('Diario Cali'!$E:$E,'Diario Cali'!$B:$B,L$4,'Diario Cali'!$C:$C,$A64)</f>
        <v>0</v>
      </c>
      <c r="M64" s="24">
        <f>SUMIFS('Diario Adm'!$E:$E,'Diario Adm'!$B:$B,M$4,'Diario Adm'!$C:$C,$A64)+SUMIFS('Diario Cali'!$E:$E,'Diario Cali'!$B:$B,M$4,'Diario Cali'!$C:$C,$A64)</f>
        <v>0</v>
      </c>
      <c r="N64" s="24">
        <f>SUMIFS('Diario Adm'!$E:$E,'Diario Adm'!$B:$B,N$4,'Diario Adm'!$C:$C,$A64)+SUMIFS('Diario Cali'!$E:$E,'Diario Cali'!$B:$B,N$4,'Diario Cali'!$C:$C,$A64)</f>
        <v>0</v>
      </c>
      <c r="O64" s="28"/>
      <c r="P64" s="138">
        <f t="shared" si="10"/>
        <v>0</v>
      </c>
      <c r="Q64" s="28"/>
      <c r="R64" s="140">
        <f t="shared" si="11"/>
        <v>0</v>
      </c>
    </row>
    <row r="65" spans="1:18" ht="13.6" x14ac:dyDescent="0.25">
      <c r="A65" s="162">
        <v>4370</v>
      </c>
      <c r="B65" s="128">
        <f>VLOOKUP(A65,Plan!A:B,2,0)</f>
        <v>0</v>
      </c>
      <c r="C65" s="24">
        <f>SUMIFS('Diario Adm'!$E:$E,'Diario Adm'!$B:$B,C$4,'Diario Adm'!$C:$C,$A65)+SUMIFS('Diario Cali'!$E:$E,'Diario Cali'!$B:$B,C$4,'Diario Cali'!$C:$C,$A65)</f>
        <v>0</v>
      </c>
      <c r="D65" s="24">
        <f>SUMIFS('Diario Adm'!$E:$E,'Diario Adm'!$B:$B,D$4,'Diario Adm'!$C:$C,$A65)+SUMIFS('Diario Cali'!$E:$E,'Diario Cali'!$B:$B,D$4,'Diario Cali'!$C:$C,$A65)</f>
        <v>0</v>
      </c>
      <c r="E65" s="24">
        <f>SUMIFS('Diario Adm'!$E:$E,'Diario Adm'!$B:$B,E$4,'Diario Adm'!$C:$C,$A65)+SUMIFS('Diario Cali'!$E:$E,'Diario Cali'!$B:$B,E$4,'Diario Cali'!$C:$C,$A65)</f>
        <v>0</v>
      </c>
      <c r="F65" s="24">
        <f>SUMIFS('Diario Adm'!$E:$E,'Diario Adm'!$B:$B,F$4,'Diario Adm'!$C:$C,$A65)+SUMIFS('Diario Cali'!$E:$E,'Diario Cali'!$B:$B,F$4,'Diario Cali'!$C:$C,$A65)</f>
        <v>0</v>
      </c>
      <c r="G65" s="24">
        <f>SUMIFS('Diario Adm'!$E:$E,'Diario Adm'!$B:$B,G$4,'Diario Adm'!$C:$C,$A65)+SUMIFS('Diario Cali'!$E:$E,'Diario Cali'!$B:$B,G$4,'Diario Cali'!$C:$C,$A65)</f>
        <v>0</v>
      </c>
      <c r="H65" s="24">
        <f>SUMIFS('Diario Adm'!$E:$E,'Diario Adm'!$B:$B,H$4,'Diario Adm'!$C:$C,$A65)+SUMIFS('Diario Cali'!$E:$E,'Diario Cali'!$B:$B,H$4,'Diario Cali'!$C:$C,$A65)</f>
        <v>0</v>
      </c>
      <c r="I65" s="24">
        <f>SUMIFS('Diario Adm'!$E:$E,'Diario Adm'!$B:$B,I$4,'Diario Adm'!$C:$C,$A65)+SUMIFS('Diario Cali'!$E:$E,'Diario Cali'!$B:$B,I$4,'Diario Cali'!$C:$C,$A65)</f>
        <v>0</v>
      </c>
      <c r="J65" s="24">
        <f>SUMIFS('Diario Adm'!$E:$E,'Diario Adm'!$B:$B,J$4,'Diario Adm'!$C:$C,$A65)+SUMIFS('Diario Cali'!$E:$E,'Diario Cali'!$B:$B,J$4,'Diario Cali'!$C:$C,$A65)</f>
        <v>0</v>
      </c>
      <c r="K65" s="24">
        <f>SUMIFS('Diario Adm'!$E:$E,'Diario Adm'!$B:$B,K$4,'Diario Adm'!$C:$C,$A65)+SUMIFS('Diario Cali'!$E:$E,'Diario Cali'!$B:$B,K$4,'Diario Cali'!$C:$C,$A65)</f>
        <v>0</v>
      </c>
      <c r="L65" s="24">
        <f>SUMIFS('Diario Adm'!$E:$E,'Diario Adm'!$B:$B,L$4,'Diario Adm'!$C:$C,$A65)+SUMIFS('Diario Cali'!$E:$E,'Diario Cali'!$B:$B,L$4,'Diario Cali'!$C:$C,$A65)</f>
        <v>0</v>
      </c>
      <c r="M65" s="24">
        <f>SUMIFS('Diario Adm'!$E:$E,'Diario Adm'!$B:$B,M$4,'Diario Adm'!$C:$C,$A65)+SUMIFS('Diario Cali'!$E:$E,'Diario Cali'!$B:$B,M$4,'Diario Cali'!$C:$C,$A65)</f>
        <v>0</v>
      </c>
      <c r="N65" s="24">
        <f>SUMIFS('Diario Adm'!$E:$E,'Diario Adm'!$B:$B,N$4,'Diario Adm'!$C:$C,$A65)+SUMIFS('Diario Cali'!$E:$E,'Diario Cali'!$B:$B,N$4,'Diario Cali'!$C:$C,$A65)</f>
        <v>0</v>
      </c>
      <c r="O65" s="28"/>
      <c r="P65" s="138">
        <f t="shared" si="10"/>
        <v>0</v>
      </c>
      <c r="Q65" s="28"/>
      <c r="R65" s="140">
        <f t="shared" si="11"/>
        <v>0</v>
      </c>
    </row>
    <row r="66" spans="1:18" ht="13.6" x14ac:dyDescent="0.25">
      <c r="A66" s="170">
        <v>4410</v>
      </c>
      <c r="B66" s="128" t="str">
        <f>VLOOKUP(A66,Plan!A:B,2,0)</f>
        <v>Librería</v>
      </c>
      <c r="C66" s="24">
        <f>SUMIFS('Diario Adm'!$E:$E,'Diario Adm'!$B:$B,C$4,'Diario Adm'!$C:$C,$A66)+SUMIFS('Diario Cali'!$E:$E,'Diario Cali'!$B:$B,C$4,'Diario Cali'!$C:$C,$A66)</f>
        <v>0</v>
      </c>
      <c r="D66" s="24">
        <f>SUMIFS('Diario Adm'!$E:$E,'Diario Adm'!$B:$B,D$4,'Diario Adm'!$C:$C,$A66)+SUMIFS('Diario Cali'!$E:$E,'Diario Cali'!$B:$B,D$4,'Diario Cali'!$C:$C,$A66)</f>
        <v>0</v>
      </c>
      <c r="E66" s="24">
        <f>SUMIFS('Diario Adm'!$E:$E,'Diario Adm'!$B:$B,E$4,'Diario Adm'!$C:$C,$A66)+SUMIFS('Diario Cali'!$E:$E,'Diario Cali'!$B:$B,E$4,'Diario Cali'!$C:$C,$A66)</f>
        <v>0</v>
      </c>
      <c r="F66" s="24">
        <f>SUMIFS('Diario Adm'!$E:$E,'Diario Adm'!$B:$B,F$4,'Diario Adm'!$C:$C,$A66)+SUMIFS('Diario Cali'!$E:$E,'Diario Cali'!$B:$B,F$4,'Diario Cali'!$C:$C,$A66)</f>
        <v>0</v>
      </c>
      <c r="G66" s="24">
        <f>SUMIFS('Diario Adm'!$E:$E,'Diario Adm'!$B:$B,G$4,'Diario Adm'!$C:$C,$A66)+SUMIFS('Diario Cali'!$E:$E,'Diario Cali'!$B:$B,G$4,'Diario Cali'!$C:$C,$A66)</f>
        <v>0</v>
      </c>
      <c r="H66" s="24">
        <f>SUMIFS('Diario Adm'!$E:$E,'Diario Adm'!$B:$B,H$4,'Diario Adm'!$C:$C,$A66)+SUMIFS('Diario Cali'!$E:$E,'Diario Cali'!$B:$B,H$4,'Diario Cali'!$C:$C,$A66)</f>
        <v>0</v>
      </c>
      <c r="I66" s="24">
        <f>SUMIFS('Diario Adm'!$E:$E,'Diario Adm'!$B:$B,I$4,'Diario Adm'!$C:$C,$A66)+SUMIFS('Diario Cali'!$E:$E,'Diario Cali'!$B:$B,I$4,'Diario Cali'!$C:$C,$A66)</f>
        <v>0</v>
      </c>
      <c r="J66" s="24">
        <f>SUMIFS('Diario Adm'!$E:$E,'Diario Adm'!$B:$B,J$4,'Diario Adm'!$C:$C,$A66)+SUMIFS('Diario Cali'!$E:$E,'Diario Cali'!$B:$B,J$4,'Diario Cali'!$C:$C,$A66)</f>
        <v>0</v>
      </c>
      <c r="K66" s="24">
        <f>SUMIFS('Diario Adm'!$E:$E,'Diario Adm'!$B:$B,K$4,'Diario Adm'!$C:$C,$A66)+SUMIFS('Diario Cali'!$E:$E,'Diario Cali'!$B:$B,K$4,'Diario Cali'!$C:$C,$A66)</f>
        <v>0</v>
      </c>
      <c r="L66" s="24">
        <f>SUMIFS('Diario Adm'!$E:$E,'Diario Adm'!$B:$B,L$4,'Diario Adm'!$C:$C,$A66)+SUMIFS('Diario Cali'!$E:$E,'Diario Cali'!$B:$B,L$4,'Diario Cali'!$C:$C,$A66)</f>
        <v>229250</v>
      </c>
      <c r="M66" s="24">
        <f>SUMIFS('Diario Adm'!$E:$E,'Diario Adm'!$B:$B,M$4,'Diario Adm'!$C:$C,$A66)+SUMIFS('Diario Cali'!$E:$E,'Diario Cali'!$B:$B,M$4,'Diario Cali'!$C:$C,$A66)</f>
        <v>0</v>
      </c>
      <c r="N66" s="24">
        <f>SUMIFS('Diario Adm'!$E:$E,'Diario Adm'!$B:$B,N$4,'Diario Adm'!$C:$C,$A66)+SUMIFS('Diario Cali'!$E:$E,'Diario Cali'!$B:$B,N$4,'Diario Cali'!$C:$C,$A66)</f>
        <v>0</v>
      </c>
      <c r="O66" s="28"/>
      <c r="P66" s="138">
        <f t="shared" si="10"/>
        <v>229250</v>
      </c>
      <c r="Q66" s="28"/>
      <c r="R66" s="140">
        <f t="shared" si="11"/>
        <v>22925</v>
      </c>
    </row>
    <row r="67" spans="1:18" ht="13.6" x14ac:dyDescent="0.25">
      <c r="A67" s="170">
        <v>4420</v>
      </c>
      <c r="B67" s="128" t="str">
        <f>VLOOKUP(A67,Plan!A:B,2,0)</f>
        <v>Aseo y Limpieza</v>
      </c>
      <c r="C67" s="24">
        <f>SUMIFS('Diario Adm'!$E:$E,'Diario Adm'!$B:$B,C$4,'Diario Adm'!$C:$C,$A67)+SUMIFS('Diario Cali'!$E:$E,'Diario Cali'!$B:$B,C$4,'Diario Cali'!$C:$C,$A67)</f>
        <v>0</v>
      </c>
      <c r="D67" s="24">
        <f>SUMIFS('Diario Adm'!$E:$E,'Diario Adm'!$B:$B,D$4,'Diario Adm'!$C:$C,$A67)+SUMIFS('Diario Cali'!$E:$E,'Diario Cali'!$B:$B,D$4,'Diario Cali'!$C:$C,$A67)</f>
        <v>0</v>
      </c>
      <c r="E67" s="24">
        <f>SUMIFS('Diario Adm'!$E:$E,'Diario Adm'!$B:$B,E$4,'Diario Adm'!$C:$C,$A67)+SUMIFS('Diario Cali'!$E:$E,'Diario Cali'!$B:$B,E$4,'Diario Cali'!$C:$C,$A67)</f>
        <v>0</v>
      </c>
      <c r="F67" s="24">
        <f>SUMIFS('Diario Adm'!$E:$E,'Diario Adm'!$B:$B,F$4,'Diario Adm'!$C:$C,$A67)+SUMIFS('Diario Cali'!$E:$E,'Diario Cali'!$B:$B,F$4,'Diario Cali'!$C:$C,$A67)</f>
        <v>0</v>
      </c>
      <c r="G67" s="24">
        <f>SUMIFS('Diario Adm'!$E:$E,'Diario Adm'!$B:$B,G$4,'Diario Adm'!$C:$C,$A67)+SUMIFS('Diario Cali'!$E:$E,'Diario Cali'!$B:$B,G$4,'Diario Cali'!$C:$C,$A67)</f>
        <v>20000</v>
      </c>
      <c r="H67" s="24">
        <f>SUMIFS('Diario Adm'!$E:$E,'Diario Adm'!$B:$B,H$4,'Diario Adm'!$C:$C,$A67)+SUMIFS('Diario Cali'!$E:$E,'Diario Cali'!$B:$B,H$4,'Diario Cali'!$C:$C,$A67)</f>
        <v>0</v>
      </c>
      <c r="I67" s="24">
        <f>SUMIFS('Diario Adm'!$E:$E,'Diario Adm'!$B:$B,I$4,'Diario Adm'!$C:$C,$A67)+SUMIFS('Diario Cali'!$E:$E,'Diario Cali'!$B:$B,I$4,'Diario Cali'!$C:$C,$A67)</f>
        <v>0</v>
      </c>
      <c r="J67" s="24">
        <f>SUMIFS('Diario Adm'!$E:$E,'Diario Adm'!$B:$B,J$4,'Diario Adm'!$C:$C,$A67)+SUMIFS('Diario Cali'!$E:$E,'Diario Cali'!$B:$B,J$4,'Diario Cali'!$C:$C,$A67)</f>
        <v>0</v>
      </c>
      <c r="K67" s="24">
        <f>SUMIFS('Diario Adm'!$E:$E,'Diario Adm'!$B:$B,K$4,'Diario Adm'!$C:$C,$A67)+SUMIFS('Diario Cali'!$E:$E,'Diario Cali'!$B:$B,K$4,'Diario Cali'!$C:$C,$A67)</f>
        <v>20320</v>
      </c>
      <c r="L67" s="24">
        <f>SUMIFS('Diario Adm'!$E:$E,'Diario Adm'!$B:$B,L$4,'Diario Adm'!$C:$C,$A67)+SUMIFS('Diario Cali'!$E:$E,'Diario Cali'!$B:$B,L$4,'Diario Cali'!$C:$C,$A67)</f>
        <v>30000</v>
      </c>
      <c r="M67" s="24">
        <f>SUMIFS('Diario Adm'!$E:$E,'Diario Adm'!$B:$B,M$4,'Diario Adm'!$C:$C,$A67)+SUMIFS('Diario Cali'!$E:$E,'Diario Cali'!$B:$B,M$4,'Diario Cali'!$C:$C,$A67)</f>
        <v>0</v>
      </c>
      <c r="N67" s="24">
        <f>SUMIFS('Diario Adm'!$E:$E,'Diario Adm'!$B:$B,N$4,'Diario Adm'!$C:$C,$A67)+SUMIFS('Diario Cali'!$E:$E,'Diario Cali'!$B:$B,N$4,'Diario Cali'!$C:$C,$A67)</f>
        <v>0</v>
      </c>
      <c r="O67" s="28"/>
      <c r="P67" s="138">
        <f t="shared" si="10"/>
        <v>70320</v>
      </c>
      <c r="Q67" s="28"/>
      <c r="R67" s="140">
        <f t="shared" si="11"/>
        <v>7032</v>
      </c>
    </row>
    <row r="68" spans="1:18" ht="13.6" x14ac:dyDescent="0.25">
      <c r="A68" s="170">
        <v>4430</v>
      </c>
      <c r="B68" s="128" t="str">
        <f>VLOOKUP(A68,Plan!A:B,2,0)</f>
        <v>Varios</v>
      </c>
      <c r="C68" s="24">
        <f>SUMIFS('Diario Adm'!$E:$E,'Diario Adm'!$B:$B,C$4,'Diario Adm'!$C:$C,$A68)+SUMIFS('Diario Cali'!$E:$E,'Diario Cali'!$B:$B,C$4,'Diario Cali'!$C:$C,$A68)</f>
        <v>0</v>
      </c>
      <c r="D68" s="24">
        <f>SUMIFS('Diario Adm'!$E:$E,'Diario Adm'!$B:$B,D$4,'Diario Adm'!$C:$C,$A68)+SUMIFS('Diario Cali'!$E:$E,'Diario Cali'!$B:$B,D$4,'Diario Cali'!$C:$C,$A68)</f>
        <v>0</v>
      </c>
      <c r="E68" s="24">
        <f>SUMIFS('Diario Adm'!$E:$E,'Diario Adm'!$B:$B,E$4,'Diario Adm'!$C:$C,$A68)+SUMIFS('Diario Cali'!$E:$E,'Diario Cali'!$B:$B,E$4,'Diario Cali'!$C:$C,$A68)</f>
        <v>0</v>
      </c>
      <c r="F68" s="24">
        <f>SUMIFS('Diario Adm'!$E:$E,'Diario Adm'!$B:$B,F$4,'Diario Adm'!$C:$C,$A68)+SUMIFS('Diario Cali'!$E:$E,'Diario Cali'!$B:$B,F$4,'Diario Cali'!$C:$C,$A68)</f>
        <v>0</v>
      </c>
      <c r="G68" s="24">
        <f>SUMIFS('Diario Adm'!$E:$E,'Diario Adm'!$B:$B,G$4,'Diario Adm'!$C:$C,$A68)+SUMIFS('Diario Cali'!$E:$E,'Diario Cali'!$B:$B,G$4,'Diario Cali'!$C:$C,$A68)</f>
        <v>54999</v>
      </c>
      <c r="H68" s="24">
        <f>SUMIFS('Diario Adm'!$E:$E,'Diario Adm'!$B:$B,H$4,'Diario Adm'!$C:$C,$A68)+SUMIFS('Diario Cali'!$E:$E,'Diario Cali'!$B:$B,H$4,'Diario Cali'!$C:$C,$A68)</f>
        <v>0</v>
      </c>
      <c r="I68" s="24">
        <f>SUMIFS('Diario Adm'!$E:$E,'Diario Adm'!$B:$B,I$4,'Diario Adm'!$C:$C,$A68)+SUMIFS('Diario Cali'!$E:$E,'Diario Cali'!$B:$B,I$4,'Diario Cali'!$C:$C,$A68)</f>
        <v>0</v>
      </c>
      <c r="J68" s="24">
        <f>SUMIFS('Diario Adm'!$E:$E,'Diario Adm'!$B:$B,J$4,'Diario Adm'!$C:$C,$A68)+SUMIFS('Diario Cali'!$E:$E,'Diario Cali'!$B:$B,J$4,'Diario Cali'!$C:$C,$A68)</f>
        <v>30290</v>
      </c>
      <c r="K68" s="24">
        <f>SUMIFS('Diario Adm'!$E:$E,'Diario Adm'!$B:$B,K$4,'Diario Adm'!$C:$C,$A68)+SUMIFS('Diario Cali'!$E:$E,'Diario Cali'!$B:$B,K$4,'Diario Cali'!$C:$C,$A68)</f>
        <v>0</v>
      </c>
      <c r="L68" s="24">
        <f>SUMIFS('Diario Adm'!$E:$E,'Diario Adm'!$B:$B,L$4,'Diario Adm'!$C:$C,$A68)+SUMIFS('Diario Cali'!$E:$E,'Diario Cali'!$B:$B,L$4,'Diario Cali'!$C:$C,$A68)</f>
        <v>0</v>
      </c>
      <c r="M68" s="24">
        <f>SUMIFS('Diario Adm'!$E:$E,'Diario Adm'!$B:$B,M$4,'Diario Adm'!$C:$C,$A68)+SUMIFS('Diario Cali'!$E:$E,'Diario Cali'!$B:$B,M$4,'Diario Cali'!$C:$C,$A68)</f>
        <v>0</v>
      </c>
      <c r="N68" s="24">
        <f>SUMIFS('Diario Adm'!$E:$E,'Diario Adm'!$B:$B,N$4,'Diario Adm'!$C:$C,$A68)+SUMIFS('Diario Cali'!$E:$E,'Diario Cali'!$B:$B,N$4,'Diario Cali'!$C:$C,$A68)</f>
        <v>329990</v>
      </c>
      <c r="O68" s="28"/>
      <c r="P68" s="138">
        <f t="shared" si="10"/>
        <v>415279</v>
      </c>
      <c r="Q68" s="28"/>
      <c r="R68" s="140">
        <f t="shared" si="11"/>
        <v>41527.9</v>
      </c>
    </row>
    <row r="69" spans="1:18" ht="13.6" x14ac:dyDescent="0.25">
      <c r="A69" s="162">
        <v>4510</v>
      </c>
      <c r="B69" s="128" t="str">
        <f>VLOOKUP(A69,Plan!A:B,2,0)</f>
        <v>Oficina Parroquial</v>
      </c>
      <c r="C69" s="24">
        <f>SUMIFS('Diario Adm'!$E:$E,'Diario Adm'!$B:$B,C$4,'Diario Adm'!$C:$C,$A69)+SUMIFS('Diario Cali'!$E:$E,'Diario Cali'!$B:$B,C$4,'Diario Cali'!$C:$C,$A69)</f>
        <v>0</v>
      </c>
      <c r="D69" s="24">
        <f>SUMIFS('Diario Adm'!$E:$E,'Diario Adm'!$B:$B,D$4,'Diario Adm'!$C:$C,$A69)+SUMIFS('Diario Cali'!$E:$E,'Diario Cali'!$B:$B,D$4,'Diario Cali'!$C:$C,$A69)</f>
        <v>0</v>
      </c>
      <c r="E69" s="24">
        <f>SUMIFS('Diario Adm'!$E:$E,'Diario Adm'!$B:$B,E$4,'Diario Adm'!$C:$C,$A69)+SUMIFS('Diario Cali'!$E:$E,'Diario Cali'!$B:$B,E$4,'Diario Cali'!$C:$C,$A69)</f>
        <v>0</v>
      </c>
      <c r="F69" s="24">
        <f>SUMIFS('Diario Adm'!$E:$E,'Diario Adm'!$B:$B,F$4,'Diario Adm'!$C:$C,$A69)+SUMIFS('Diario Cali'!$E:$E,'Diario Cali'!$B:$B,F$4,'Diario Cali'!$C:$C,$A69)</f>
        <v>0</v>
      </c>
      <c r="G69" s="24">
        <f>SUMIFS('Diario Adm'!$E:$E,'Diario Adm'!$B:$B,G$4,'Diario Adm'!$C:$C,$A69)+SUMIFS('Diario Cali'!$E:$E,'Diario Cali'!$B:$B,G$4,'Diario Cali'!$C:$C,$A69)</f>
        <v>0</v>
      </c>
      <c r="H69" s="24">
        <f>SUMIFS('Diario Adm'!$E:$E,'Diario Adm'!$B:$B,H$4,'Diario Adm'!$C:$C,$A69)+SUMIFS('Diario Cali'!$E:$E,'Diario Cali'!$B:$B,H$4,'Diario Cali'!$C:$C,$A69)</f>
        <v>0</v>
      </c>
      <c r="I69" s="24">
        <f>SUMIFS('Diario Adm'!$E:$E,'Diario Adm'!$B:$B,I$4,'Diario Adm'!$C:$C,$A69)+SUMIFS('Diario Cali'!$E:$E,'Diario Cali'!$B:$B,I$4,'Diario Cali'!$C:$C,$A69)</f>
        <v>0</v>
      </c>
      <c r="J69" s="24">
        <f>SUMIFS('Diario Adm'!$E:$E,'Diario Adm'!$B:$B,J$4,'Diario Adm'!$C:$C,$A69)+SUMIFS('Diario Cali'!$E:$E,'Diario Cali'!$B:$B,J$4,'Diario Cali'!$C:$C,$A69)</f>
        <v>0</v>
      </c>
      <c r="K69" s="24">
        <f>SUMIFS('Diario Adm'!$E:$E,'Diario Adm'!$B:$B,K$4,'Diario Adm'!$C:$C,$A69)+SUMIFS('Diario Cali'!$E:$E,'Diario Cali'!$B:$B,K$4,'Diario Cali'!$C:$C,$A69)</f>
        <v>0</v>
      </c>
      <c r="L69" s="24">
        <f>SUMIFS('Diario Adm'!$E:$E,'Diario Adm'!$B:$B,L$4,'Diario Adm'!$C:$C,$A69)+SUMIFS('Diario Cali'!$E:$E,'Diario Cali'!$B:$B,L$4,'Diario Cali'!$C:$C,$A69)</f>
        <v>0</v>
      </c>
      <c r="M69" s="24">
        <f>SUMIFS('Diario Adm'!$E:$E,'Diario Adm'!$B:$B,M$4,'Diario Adm'!$C:$C,$A69)+SUMIFS('Diario Cali'!$E:$E,'Diario Cali'!$B:$B,M$4,'Diario Cali'!$C:$C,$A69)</f>
        <v>0</v>
      </c>
      <c r="N69" s="24">
        <f>SUMIFS('Diario Adm'!$E:$E,'Diario Adm'!$B:$B,N$4,'Diario Adm'!$C:$C,$A69)+SUMIFS('Diario Cali'!$E:$E,'Diario Cali'!$B:$B,N$4,'Diario Cali'!$C:$C,$A69)</f>
        <v>460761</v>
      </c>
      <c r="O69" s="28"/>
      <c r="P69" s="138">
        <f t="shared" si="10"/>
        <v>460761</v>
      </c>
      <c r="Q69" s="28"/>
      <c r="R69" s="140">
        <f t="shared" si="11"/>
        <v>46076.1</v>
      </c>
    </row>
    <row r="70" spans="1:18" ht="13.6" x14ac:dyDescent="0.25">
      <c r="A70" s="162">
        <v>4520</v>
      </c>
      <c r="B70" s="128" t="str">
        <f>VLOOKUP(A70,Plan!A:B,2,0)</f>
        <v>Templo</v>
      </c>
      <c r="C70" s="24">
        <f>SUMIFS('Diario Adm'!$E:$E,'Diario Adm'!$B:$B,C$4,'Diario Adm'!$C:$C,$A70)+SUMIFS('Diario Cali'!$E:$E,'Diario Cali'!$B:$B,C$4,'Diario Cali'!$C:$C,$A70)</f>
        <v>0</v>
      </c>
      <c r="D70" s="24">
        <f>SUMIFS('Diario Adm'!$E:$E,'Diario Adm'!$B:$B,D$4,'Diario Adm'!$C:$C,$A70)+SUMIFS('Diario Cali'!$E:$E,'Diario Cali'!$B:$B,D$4,'Diario Cali'!$C:$C,$A70)</f>
        <v>0</v>
      </c>
      <c r="E70" s="24">
        <f>SUMIFS('Diario Adm'!$E:$E,'Diario Adm'!$B:$B,E$4,'Diario Adm'!$C:$C,$A70)+SUMIFS('Diario Cali'!$E:$E,'Diario Cali'!$B:$B,E$4,'Diario Cali'!$C:$C,$A70)</f>
        <v>0</v>
      </c>
      <c r="F70" s="24">
        <f>SUMIFS('Diario Adm'!$E:$E,'Diario Adm'!$B:$B,F$4,'Diario Adm'!$C:$C,$A70)+SUMIFS('Diario Cali'!$E:$E,'Diario Cali'!$B:$B,F$4,'Diario Cali'!$C:$C,$A70)</f>
        <v>0</v>
      </c>
      <c r="G70" s="24">
        <f>SUMIFS('Diario Adm'!$E:$E,'Diario Adm'!$B:$B,G$4,'Diario Adm'!$C:$C,$A70)+SUMIFS('Diario Cali'!$E:$E,'Diario Cali'!$B:$B,G$4,'Diario Cali'!$C:$C,$A70)</f>
        <v>0</v>
      </c>
      <c r="H70" s="24">
        <f>SUMIFS('Diario Adm'!$E:$E,'Diario Adm'!$B:$B,H$4,'Diario Adm'!$C:$C,$A70)+SUMIFS('Diario Cali'!$E:$E,'Diario Cali'!$B:$B,H$4,'Diario Cali'!$C:$C,$A70)</f>
        <v>0</v>
      </c>
      <c r="I70" s="24">
        <f>SUMIFS('Diario Adm'!$E:$E,'Diario Adm'!$B:$B,I$4,'Diario Adm'!$C:$C,$A70)+SUMIFS('Diario Cali'!$E:$E,'Diario Cali'!$B:$B,I$4,'Diario Cali'!$C:$C,$A70)</f>
        <v>0</v>
      </c>
      <c r="J70" s="24">
        <f>SUMIFS('Diario Adm'!$E:$E,'Diario Adm'!$B:$B,J$4,'Diario Adm'!$C:$C,$A70)+SUMIFS('Diario Cali'!$E:$E,'Diario Cali'!$B:$B,J$4,'Diario Cali'!$C:$C,$A70)</f>
        <v>0</v>
      </c>
      <c r="K70" s="24">
        <f>SUMIFS('Diario Adm'!$E:$E,'Diario Adm'!$B:$B,K$4,'Diario Adm'!$C:$C,$A70)+SUMIFS('Diario Cali'!$E:$E,'Diario Cali'!$B:$B,K$4,'Diario Cali'!$C:$C,$A70)</f>
        <v>0</v>
      </c>
      <c r="L70" s="24">
        <f>SUMIFS('Diario Adm'!$E:$E,'Diario Adm'!$B:$B,L$4,'Diario Adm'!$C:$C,$A70)+SUMIFS('Diario Cali'!$E:$E,'Diario Cali'!$B:$B,L$4,'Diario Cali'!$C:$C,$A70)</f>
        <v>0</v>
      </c>
      <c r="M70" s="24">
        <f>SUMIFS('Diario Adm'!$E:$E,'Diario Adm'!$B:$B,M$4,'Diario Adm'!$C:$C,$A70)+SUMIFS('Diario Cali'!$E:$E,'Diario Cali'!$B:$B,M$4,'Diario Cali'!$C:$C,$A70)</f>
        <v>0</v>
      </c>
      <c r="N70" s="24">
        <f>SUMIFS('Diario Adm'!$E:$E,'Diario Adm'!$B:$B,N$4,'Diario Adm'!$C:$C,$A70)+SUMIFS('Diario Cali'!$E:$E,'Diario Cali'!$B:$B,N$4,'Diario Cali'!$C:$C,$A70)</f>
        <v>0</v>
      </c>
      <c r="O70" s="28"/>
      <c r="P70" s="138">
        <f t="shared" si="10"/>
        <v>0</v>
      </c>
      <c r="Q70" s="28"/>
      <c r="R70" s="140">
        <f t="shared" si="11"/>
        <v>0</v>
      </c>
    </row>
    <row r="71" spans="1:18" ht="13.6" x14ac:dyDescent="0.25">
      <c r="A71" s="162">
        <v>4530</v>
      </c>
      <c r="B71" s="128" t="str">
        <f>VLOOKUP(A71,Plan!A:B,2,0)</f>
        <v>Casa Sacerdote</v>
      </c>
      <c r="C71" s="24">
        <f>SUMIFS('Diario Adm'!$E:$E,'Diario Adm'!$B:$B,C$4,'Diario Adm'!$C:$C,$A71)+SUMIFS('Diario Cali'!$E:$E,'Diario Cali'!$B:$B,C$4,'Diario Cali'!$C:$C,$A71)</f>
        <v>0</v>
      </c>
      <c r="D71" s="24">
        <f>SUMIFS('Diario Adm'!$E:$E,'Diario Adm'!$B:$B,D$4,'Diario Adm'!$C:$C,$A71)+SUMIFS('Diario Cali'!$E:$E,'Diario Cali'!$B:$B,D$4,'Diario Cali'!$C:$C,$A71)</f>
        <v>0</v>
      </c>
      <c r="E71" s="24">
        <f>SUMIFS('Diario Adm'!$E:$E,'Diario Adm'!$B:$B,E$4,'Diario Adm'!$C:$C,$A71)+SUMIFS('Diario Cali'!$E:$E,'Diario Cali'!$B:$B,E$4,'Diario Cali'!$C:$C,$A71)</f>
        <v>0</v>
      </c>
      <c r="F71" s="24">
        <f>SUMIFS('Diario Adm'!$E:$E,'Diario Adm'!$B:$B,F$4,'Diario Adm'!$C:$C,$A71)+SUMIFS('Diario Cali'!$E:$E,'Diario Cali'!$B:$B,F$4,'Diario Cali'!$C:$C,$A71)</f>
        <v>0</v>
      </c>
      <c r="G71" s="24">
        <f>SUMIFS('Diario Adm'!$E:$E,'Diario Adm'!$B:$B,G$4,'Diario Adm'!$C:$C,$A71)+SUMIFS('Diario Cali'!$E:$E,'Diario Cali'!$B:$B,G$4,'Diario Cali'!$C:$C,$A71)</f>
        <v>0</v>
      </c>
      <c r="H71" s="24">
        <f>SUMIFS('Diario Adm'!$E:$E,'Diario Adm'!$B:$B,H$4,'Diario Adm'!$C:$C,$A71)+SUMIFS('Diario Cali'!$E:$E,'Diario Cali'!$B:$B,H$4,'Diario Cali'!$C:$C,$A71)</f>
        <v>0</v>
      </c>
      <c r="I71" s="24">
        <f>SUMIFS('Diario Adm'!$E:$E,'Diario Adm'!$B:$B,I$4,'Diario Adm'!$C:$C,$A71)+SUMIFS('Diario Cali'!$E:$E,'Diario Cali'!$B:$B,I$4,'Diario Cali'!$C:$C,$A71)</f>
        <v>0</v>
      </c>
      <c r="J71" s="24">
        <f>SUMIFS('Diario Adm'!$E:$E,'Diario Adm'!$B:$B,J$4,'Diario Adm'!$C:$C,$A71)+SUMIFS('Diario Cali'!$E:$E,'Diario Cali'!$B:$B,J$4,'Diario Cali'!$C:$C,$A71)</f>
        <v>0</v>
      </c>
      <c r="K71" s="24">
        <f>SUMIFS('Diario Adm'!$E:$E,'Diario Adm'!$B:$B,K$4,'Diario Adm'!$C:$C,$A71)+SUMIFS('Diario Cali'!$E:$E,'Diario Cali'!$B:$B,K$4,'Diario Cali'!$C:$C,$A71)</f>
        <v>0</v>
      </c>
      <c r="L71" s="24">
        <f>SUMIFS('Diario Adm'!$E:$E,'Diario Adm'!$B:$B,L$4,'Diario Adm'!$C:$C,$A71)+SUMIFS('Diario Cali'!$E:$E,'Diario Cali'!$B:$B,L$4,'Diario Cali'!$C:$C,$A71)</f>
        <v>0</v>
      </c>
      <c r="M71" s="24">
        <f>SUMIFS('Diario Adm'!$E:$E,'Diario Adm'!$B:$B,M$4,'Diario Adm'!$C:$C,$A71)+SUMIFS('Diario Cali'!$E:$E,'Diario Cali'!$B:$B,M$4,'Diario Cali'!$C:$C,$A71)</f>
        <v>0</v>
      </c>
      <c r="N71" s="24">
        <f>SUMIFS('Diario Adm'!$E:$E,'Diario Adm'!$B:$B,N$4,'Diario Adm'!$C:$C,$A71)+SUMIFS('Diario Cali'!$E:$E,'Diario Cali'!$B:$B,N$4,'Diario Cali'!$C:$C,$A71)</f>
        <v>0</v>
      </c>
      <c r="O71" s="28"/>
      <c r="P71" s="138">
        <f>SUM(C71:N71)</f>
        <v>0</v>
      </c>
      <c r="Q71" s="28"/>
      <c r="R71" s="140">
        <f>+P71/$R$4</f>
        <v>0</v>
      </c>
    </row>
    <row r="72" spans="1:18" ht="13.6" x14ac:dyDescent="0.25">
      <c r="A72" s="162">
        <v>4610</v>
      </c>
      <c r="B72" s="128" t="str">
        <f>VLOOKUP(A72,Plan!A:B,2,0)</f>
        <v>Pastoral Familiar</v>
      </c>
      <c r="C72" s="24">
        <f>SUMIFS('Diario Adm'!$E:$E,'Diario Adm'!$B:$B,C$4,'Diario Adm'!$C:$C,$A72)+SUMIFS('Diario Cali'!$E:$E,'Diario Cali'!$B:$B,C$4,'Diario Cali'!$C:$C,$A72)</f>
        <v>0</v>
      </c>
      <c r="D72" s="24">
        <f>SUMIFS('Diario Adm'!$E:$E,'Diario Adm'!$B:$B,D$4,'Diario Adm'!$C:$C,$A72)+SUMIFS('Diario Cali'!$E:$E,'Diario Cali'!$B:$B,D$4,'Diario Cali'!$C:$C,$A72)</f>
        <v>0</v>
      </c>
      <c r="E72" s="24">
        <f>SUMIFS('Diario Adm'!$E:$E,'Diario Adm'!$B:$B,E$4,'Diario Adm'!$C:$C,$A72)+SUMIFS('Diario Cali'!$E:$E,'Diario Cali'!$B:$B,E$4,'Diario Cali'!$C:$C,$A72)</f>
        <v>0</v>
      </c>
      <c r="F72" s="24">
        <f>SUMIFS('Diario Adm'!$E:$E,'Diario Adm'!$B:$B,F$4,'Diario Adm'!$C:$C,$A72)+SUMIFS('Diario Cali'!$E:$E,'Diario Cali'!$B:$B,F$4,'Diario Cali'!$C:$C,$A72)</f>
        <v>0</v>
      </c>
      <c r="G72" s="24">
        <f>SUMIFS('Diario Adm'!$E:$E,'Diario Adm'!$B:$B,G$4,'Diario Adm'!$C:$C,$A72)+SUMIFS('Diario Cali'!$E:$E,'Diario Cali'!$B:$B,G$4,'Diario Cali'!$C:$C,$A72)</f>
        <v>0</v>
      </c>
      <c r="H72" s="24">
        <f>SUMIFS('Diario Adm'!$E:$E,'Diario Adm'!$B:$B,H$4,'Diario Adm'!$C:$C,$A72)+SUMIFS('Diario Cali'!$E:$E,'Diario Cali'!$B:$B,H$4,'Diario Cali'!$C:$C,$A72)</f>
        <v>0</v>
      </c>
      <c r="I72" s="24">
        <f>SUMIFS('Diario Adm'!$E:$E,'Diario Adm'!$B:$B,I$4,'Diario Adm'!$C:$C,$A72)+SUMIFS('Diario Cali'!$E:$E,'Diario Cali'!$B:$B,I$4,'Diario Cali'!$C:$C,$A72)</f>
        <v>0</v>
      </c>
      <c r="J72" s="24">
        <f>SUMIFS('Diario Adm'!$E:$E,'Diario Adm'!$B:$B,J$4,'Diario Adm'!$C:$C,$A72)+SUMIFS('Diario Cali'!$E:$E,'Diario Cali'!$B:$B,J$4,'Diario Cali'!$C:$C,$A72)</f>
        <v>0</v>
      </c>
      <c r="K72" s="24">
        <f>SUMIFS('Diario Adm'!$E:$E,'Diario Adm'!$B:$B,K$4,'Diario Adm'!$C:$C,$A72)+SUMIFS('Diario Cali'!$E:$E,'Diario Cali'!$B:$B,K$4,'Diario Cali'!$C:$C,$A72)</f>
        <v>0</v>
      </c>
      <c r="L72" s="24">
        <f>SUMIFS('Diario Adm'!$E:$E,'Diario Adm'!$B:$B,L$4,'Diario Adm'!$C:$C,$A72)+SUMIFS('Diario Cali'!$E:$E,'Diario Cali'!$B:$B,L$4,'Diario Cali'!$C:$C,$A72)</f>
        <v>0</v>
      </c>
      <c r="M72" s="24">
        <f>SUMIFS('Diario Adm'!$E:$E,'Diario Adm'!$B:$B,M$4,'Diario Adm'!$C:$C,$A72)+SUMIFS('Diario Cali'!$E:$E,'Diario Cali'!$B:$B,M$4,'Diario Cali'!$C:$C,$A72)</f>
        <v>0</v>
      </c>
      <c r="N72" s="24">
        <f>SUMIFS('Diario Adm'!$E:$E,'Diario Adm'!$B:$B,N$4,'Diario Adm'!$C:$C,$A72)+SUMIFS('Diario Cali'!$E:$E,'Diario Cali'!$B:$B,N$4,'Diario Cali'!$C:$C,$A72)</f>
        <v>0</v>
      </c>
      <c r="O72" s="28"/>
      <c r="P72" s="138">
        <f t="shared" si="10"/>
        <v>0</v>
      </c>
      <c r="Q72" s="28"/>
      <c r="R72" s="140">
        <f t="shared" si="11"/>
        <v>0</v>
      </c>
    </row>
    <row r="73" spans="1:18" ht="13.6" x14ac:dyDescent="0.25">
      <c r="A73" s="162">
        <v>4620</v>
      </c>
      <c r="B73" s="128" t="str">
        <f>VLOOKUP(A73,Plan!A:B,2,0)</f>
        <v>Pastoral Novios</v>
      </c>
      <c r="C73" s="24">
        <f>SUMIFS('Diario Adm'!$E:$E,'Diario Adm'!$B:$B,C$4,'Diario Adm'!$C:$C,$A73)+SUMIFS('Diario Cali'!$E:$E,'Diario Cali'!$B:$B,C$4,'Diario Cali'!$C:$C,$A73)</f>
        <v>0</v>
      </c>
      <c r="D73" s="24">
        <f>SUMIFS('Diario Adm'!$E:$E,'Diario Adm'!$B:$B,D$4,'Diario Adm'!$C:$C,$A73)+SUMIFS('Diario Cali'!$E:$E,'Diario Cali'!$B:$B,D$4,'Diario Cali'!$C:$C,$A73)</f>
        <v>0</v>
      </c>
      <c r="E73" s="24">
        <f>SUMIFS('Diario Adm'!$E:$E,'Diario Adm'!$B:$B,E$4,'Diario Adm'!$C:$C,$A73)+SUMIFS('Diario Cali'!$E:$E,'Diario Cali'!$B:$B,E$4,'Diario Cali'!$C:$C,$A73)</f>
        <v>0</v>
      </c>
      <c r="F73" s="24">
        <f>SUMIFS('Diario Adm'!$E:$E,'Diario Adm'!$B:$B,F$4,'Diario Adm'!$C:$C,$A73)+SUMIFS('Diario Cali'!$E:$E,'Diario Cali'!$B:$B,F$4,'Diario Cali'!$C:$C,$A73)</f>
        <v>0</v>
      </c>
      <c r="G73" s="24">
        <f>SUMIFS('Diario Adm'!$E:$E,'Diario Adm'!$B:$B,G$4,'Diario Adm'!$C:$C,$A73)+SUMIFS('Diario Cali'!$E:$E,'Diario Cali'!$B:$B,G$4,'Diario Cali'!$C:$C,$A73)</f>
        <v>0</v>
      </c>
      <c r="H73" s="24">
        <f>SUMIFS('Diario Adm'!$E:$E,'Diario Adm'!$B:$B,H$4,'Diario Adm'!$C:$C,$A73)+SUMIFS('Diario Cali'!$E:$E,'Diario Cali'!$B:$B,H$4,'Diario Cali'!$C:$C,$A73)</f>
        <v>0</v>
      </c>
      <c r="I73" s="24">
        <f>SUMIFS('Diario Adm'!$E:$E,'Diario Adm'!$B:$B,I$4,'Diario Adm'!$C:$C,$A73)+SUMIFS('Diario Cali'!$E:$E,'Diario Cali'!$B:$B,I$4,'Diario Cali'!$C:$C,$A73)</f>
        <v>0</v>
      </c>
      <c r="J73" s="24">
        <f>SUMIFS('Diario Adm'!$E:$E,'Diario Adm'!$B:$B,J$4,'Diario Adm'!$C:$C,$A73)+SUMIFS('Diario Cali'!$E:$E,'Diario Cali'!$B:$B,J$4,'Diario Cali'!$C:$C,$A73)</f>
        <v>0</v>
      </c>
      <c r="K73" s="24">
        <f>SUMIFS('Diario Adm'!$E:$E,'Diario Adm'!$B:$B,K$4,'Diario Adm'!$C:$C,$A73)+SUMIFS('Diario Cali'!$E:$E,'Diario Cali'!$B:$B,K$4,'Diario Cali'!$C:$C,$A73)</f>
        <v>0</v>
      </c>
      <c r="L73" s="24">
        <f>SUMIFS('Diario Adm'!$E:$E,'Diario Adm'!$B:$B,L$4,'Diario Adm'!$C:$C,$A73)+SUMIFS('Diario Cali'!$E:$E,'Diario Cali'!$B:$B,L$4,'Diario Cali'!$C:$C,$A73)</f>
        <v>0</v>
      </c>
      <c r="M73" s="24">
        <f>SUMIFS('Diario Adm'!$E:$E,'Diario Adm'!$B:$B,M$4,'Diario Adm'!$C:$C,$A73)+SUMIFS('Diario Cali'!$E:$E,'Diario Cali'!$B:$B,M$4,'Diario Cali'!$C:$C,$A73)</f>
        <v>0</v>
      </c>
      <c r="N73" s="24">
        <f>SUMIFS('Diario Adm'!$E:$E,'Diario Adm'!$B:$B,N$4,'Diario Adm'!$C:$C,$A73)+SUMIFS('Diario Cali'!$E:$E,'Diario Cali'!$B:$B,N$4,'Diario Cali'!$C:$C,$A73)</f>
        <v>0</v>
      </c>
      <c r="O73" s="28"/>
      <c r="P73" s="138">
        <f t="shared" si="10"/>
        <v>0</v>
      </c>
      <c r="Q73" s="28"/>
      <c r="R73" s="140">
        <f t="shared" si="11"/>
        <v>0</v>
      </c>
    </row>
    <row r="74" spans="1:18" ht="13.6" x14ac:dyDescent="0.25">
      <c r="A74" s="162">
        <v>4630</v>
      </c>
      <c r="B74" s="128" t="str">
        <f>VLOOKUP(A74,Plan!A:B,2,0)</f>
        <v>Pastoral Bautismal</v>
      </c>
      <c r="C74" s="24">
        <f>SUMIFS('Diario Adm'!$E:$E,'Diario Adm'!$B:$B,C$4,'Diario Adm'!$C:$C,$A74)+SUMIFS('Diario Cali'!$E:$E,'Diario Cali'!$B:$B,C$4,'Diario Cali'!$C:$C,$A74)</f>
        <v>0</v>
      </c>
      <c r="D74" s="24">
        <f>SUMIFS('Diario Adm'!$E:$E,'Diario Adm'!$B:$B,D$4,'Diario Adm'!$C:$C,$A74)+SUMIFS('Diario Cali'!$E:$E,'Diario Cali'!$B:$B,D$4,'Diario Cali'!$C:$C,$A74)</f>
        <v>0</v>
      </c>
      <c r="E74" s="24">
        <f>SUMIFS('Diario Adm'!$E:$E,'Diario Adm'!$B:$B,E$4,'Diario Adm'!$C:$C,$A74)+SUMIFS('Diario Cali'!$E:$E,'Diario Cali'!$B:$B,E$4,'Diario Cali'!$C:$C,$A74)</f>
        <v>0</v>
      </c>
      <c r="F74" s="24">
        <f>SUMIFS('Diario Adm'!$E:$E,'Diario Adm'!$B:$B,F$4,'Diario Adm'!$C:$C,$A74)+SUMIFS('Diario Cali'!$E:$E,'Diario Cali'!$B:$B,F$4,'Diario Cali'!$C:$C,$A74)</f>
        <v>0</v>
      </c>
      <c r="G74" s="24">
        <f>SUMIFS('Diario Adm'!$E:$E,'Diario Adm'!$B:$B,G$4,'Diario Adm'!$C:$C,$A74)+SUMIFS('Diario Cali'!$E:$E,'Diario Cali'!$B:$B,G$4,'Diario Cali'!$C:$C,$A74)</f>
        <v>0</v>
      </c>
      <c r="H74" s="24">
        <f>SUMIFS('Diario Adm'!$E:$E,'Diario Adm'!$B:$B,H$4,'Diario Adm'!$C:$C,$A74)+SUMIFS('Diario Cali'!$E:$E,'Diario Cali'!$B:$B,H$4,'Diario Cali'!$C:$C,$A74)</f>
        <v>0</v>
      </c>
      <c r="I74" s="24">
        <f>SUMIFS('Diario Adm'!$E:$E,'Diario Adm'!$B:$B,I$4,'Diario Adm'!$C:$C,$A74)+SUMIFS('Diario Cali'!$E:$E,'Diario Cali'!$B:$B,I$4,'Diario Cali'!$C:$C,$A74)</f>
        <v>0</v>
      </c>
      <c r="J74" s="24">
        <f>SUMIFS('Diario Adm'!$E:$E,'Diario Adm'!$B:$B,J$4,'Diario Adm'!$C:$C,$A74)+SUMIFS('Diario Cali'!$E:$E,'Diario Cali'!$B:$B,J$4,'Diario Cali'!$C:$C,$A74)</f>
        <v>0</v>
      </c>
      <c r="K74" s="24">
        <f>SUMIFS('Diario Adm'!$E:$E,'Diario Adm'!$B:$B,K$4,'Diario Adm'!$C:$C,$A74)+SUMIFS('Diario Cali'!$E:$E,'Diario Cali'!$B:$B,K$4,'Diario Cali'!$C:$C,$A74)</f>
        <v>0</v>
      </c>
      <c r="L74" s="24">
        <f>SUMIFS('Diario Adm'!$E:$E,'Diario Adm'!$B:$B,L$4,'Diario Adm'!$C:$C,$A74)+SUMIFS('Diario Cali'!$E:$E,'Diario Cali'!$B:$B,L$4,'Diario Cali'!$C:$C,$A74)</f>
        <v>0</v>
      </c>
      <c r="M74" s="24">
        <f>SUMIFS('Diario Adm'!$E:$E,'Diario Adm'!$B:$B,M$4,'Diario Adm'!$C:$C,$A74)+SUMIFS('Diario Cali'!$E:$E,'Diario Cali'!$B:$B,M$4,'Diario Cali'!$C:$C,$A74)</f>
        <v>0</v>
      </c>
      <c r="N74" s="24">
        <f>SUMIFS('Diario Adm'!$E:$E,'Diario Adm'!$B:$B,N$4,'Diario Adm'!$C:$C,$A74)+SUMIFS('Diario Cali'!$E:$E,'Diario Cali'!$B:$B,N$4,'Diario Cali'!$C:$C,$A74)</f>
        <v>0</v>
      </c>
      <c r="O74" s="28"/>
      <c r="P74" s="138">
        <f t="shared" si="10"/>
        <v>0</v>
      </c>
      <c r="Q74" s="28"/>
      <c r="R74" s="140">
        <f t="shared" si="11"/>
        <v>0</v>
      </c>
    </row>
    <row r="75" spans="1:18" ht="13.6" x14ac:dyDescent="0.25">
      <c r="A75" s="162">
        <v>4640</v>
      </c>
      <c r="B75" s="128" t="str">
        <f>VLOOKUP(A75,Plan!A:B,2,0)</f>
        <v>Pastoral Liturgia</v>
      </c>
      <c r="C75" s="24">
        <f>SUMIFS('Diario Adm'!$E:$E,'Diario Adm'!$B:$B,C$4,'Diario Adm'!$C:$C,$A75)+SUMIFS('Diario Cali'!$E:$E,'Diario Cali'!$B:$B,C$4,'Diario Cali'!$C:$C,$A75)</f>
        <v>0</v>
      </c>
      <c r="D75" s="24">
        <f>SUMIFS('Diario Adm'!$E:$E,'Diario Adm'!$B:$B,D$4,'Diario Adm'!$C:$C,$A75)+SUMIFS('Diario Cali'!$E:$E,'Diario Cali'!$B:$B,D$4,'Diario Cali'!$C:$C,$A75)</f>
        <v>0</v>
      </c>
      <c r="E75" s="24">
        <f>SUMIFS('Diario Adm'!$E:$E,'Diario Adm'!$B:$B,E$4,'Diario Adm'!$C:$C,$A75)+SUMIFS('Diario Cali'!$E:$E,'Diario Cali'!$B:$B,E$4,'Diario Cali'!$C:$C,$A75)</f>
        <v>0</v>
      </c>
      <c r="F75" s="24">
        <f>SUMIFS('Diario Adm'!$E:$E,'Diario Adm'!$B:$B,F$4,'Diario Adm'!$C:$C,$A75)+SUMIFS('Diario Cali'!$E:$E,'Diario Cali'!$B:$B,F$4,'Diario Cali'!$C:$C,$A75)</f>
        <v>0</v>
      </c>
      <c r="G75" s="24">
        <f>SUMIFS('Diario Adm'!$E:$E,'Diario Adm'!$B:$B,G$4,'Diario Adm'!$C:$C,$A75)+SUMIFS('Diario Cali'!$E:$E,'Diario Cali'!$B:$B,G$4,'Diario Cali'!$C:$C,$A75)</f>
        <v>0</v>
      </c>
      <c r="H75" s="24">
        <f>SUMIFS('Diario Adm'!$E:$E,'Diario Adm'!$B:$B,H$4,'Diario Adm'!$C:$C,$A75)+SUMIFS('Diario Cali'!$E:$E,'Diario Cali'!$B:$B,H$4,'Diario Cali'!$C:$C,$A75)</f>
        <v>0</v>
      </c>
      <c r="I75" s="24">
        <f>SUMIFS('Diario Adm'!$E:$E,'Diario Adm'!$B:$B,I$4,'Diario Adm'!$C:$C,$A75)+SUMIFS('Diario Cali'!$E:$E,'Diario Cali'!$B:$B,I$4,'Diario Cali'!$C:$C,$A75)</f>
        <v>0</v>
      </c>
      <c r="J75" s="24">
        <f>SUMIFS('Diario Adm'!$E:$E,'Diario Adm'!$B:$B,J$4,'Diario Adm'!$C:$C,$A75)+SUMIFS('Diario Cali'!$E:$E,'Diario Cali'!$B:$B,J$4,'Diario Cali'!$C:$C,$A75)</f>
        <v>0</v>
      </c>
      <c r="K75" s="24">
        <f>SUMIFS('Diario Adm'!$E:$E,'Diario Adm'!$B:$B,K$4,'Diario Adm'!$C:$C,$A75)+SUMIFS('Diario Cali'!$E:$E,'Diario Cali'!$B:$B,K$4,'Diario Cali'!$C:$C,$A75)</f>
        <v>0</v>
      </c>
      <c r="L75" s="24">
        <f>SUMIFS('Diario Adm'!$E:$E,'Diario Adm'!$B:$B,L$4,'Diario Adm'!$C:$C,$A75)+SUMIFS('Diario Cali'!$E:$E,'Diario Cali'!$B:$B,L$4,'Diario Cali'!$C:$C,$A75)</f>
        <v>0</v>
      </c>
      <c r="M75" s="24">
        <f>SUMIFS('Diario Adm'!$E:$E,'Diario Adm'!$B:$B,M$4,'Diario Adm'!$C:$C,$A75)+SUMIFS('Diario Cali'!$E:$E,'Diario Cali'!$B:$B,M$4,'Diario Cali'!$C:$C,$A75)</f>
        <v>0</v>
      </c>
      <c r="N75" s="24">
        <f>SUMIFS('Diario Adm'!$E:$E,'Diario Adm'!$B:$B,N$4,'Diario Adm'!$C:$C,$A75)+SUMIFS('Diario Cali'!$E:$E,'Diario Cali'!$B:$B,N$4,'Diario Cali'!$C:$C,$A75)</f>
        <v>0</v>
      </c>
      <c r="O75" s="28"/>
      <c r="P75" s="138">
        <f t="shared" si="10"/>
        <v>0</v>
      </c>
      <c r="Q75" s="28"/>
      <c r="R75" s="140">
        <f t="shared" si="11"/>
        <v>0</v>
      </c>
    </row>
    <row r="76" spans="1:18" ht="13.6" x14ac:dyDescent="0.25">
      <c r="A76" s="162">
        <v>4641</v>
      </c>
      <c r="B76" s="128" t="str">
        <f>VLOOKUP(A76,Plan!A:B,2,0)</f>
        <v xml:space="preserve">             Capellanías </v>
      </c>
      <c r="C76" s="24">
        <f>SUMIFS('Diario Adm'!$E:$E,'Diario Adm'!$B:$B,C$4,'Diario Adm'!$C:$C,$A76)+SUMIFS('Diario Cali'!$E:$E,'Diario Cali'!$B:$B,C$4,'Diario Cali'!$C:$C,$A76)</f>
        <v>0</v>
      </c>
      <c r="D76" s="24">
        <f>SUMIFS('Diario Adm'!$E:$E,'Diario Adm'!$B:$B,D$4,'Diario Adm'!$C:$C,$A76)+SUMIFS('Diario Cali'!$E:$E,'Diario Cali'!$B:$B,D$4,'Diario Cali'!$C:$C,$A76)</f>
        <v>455000</v>
      </c>
      <c r="E76" s="24">
        <f>SUMIFS('Diario Adm'!$E:$E,'Diario Adm'!$B:$B,E$4,'Diario Adm'!$C:$C,$A76)+SUMIFS('Diario Cali'!$E:$E,'Diario Cali'!$B:$B,E$4,'Diario Cali'!$C:$C,$A76)</f>
        <v>203390</v>
      </c>
      <c r="F76" s="24">
        <f>SUMIFS('Diario Adm'!$E:$E,'Diario Adm'!$B:$B,F$4,'Diario Adm'!$C:$C,$A76)+SUMIFS('Diario Cali'!$E:$E,'Diario Cali'!$B:$B,F$4,'Diario Cali'!$C:$C,$A76)</f>
        <v>0</v>
      </c>
      <c r="G76" s="24">
        <f>SUMIFS('Diario Adm'!$E:$E,'Diario Adm'!$B:$B,G$4,'Diario Adm'!$C:$C,$A76)+SUMIFS('Diario Cali'!$E:$E,'Diario Cali'!$B:$B,G$4,'Diario Cali'!$C:$C,$A76)</f>
        <v>0</v>
      </c>
      <c r="H76" s="24">
        <f>SUMIFS('Diario Adm'!$E:$E,'Diario Adm'!$B:$B,H$4,'Diario Adm'!$C:$C,$A76)+SUMIFS('Diario Cali'!$E:$E,'Diario Cali'!$B:$B,H$4,'Diario Cali'!$C:$C,$A76)</f>
        <v>0</v>
      </c>
      <c r="I76" s="24">
        <f>SUMIFS('Diario Adm'!$E:$E,'Diario Adm'!$B:$B,I$4,'Diario Adm'!$C:$C,$A76)+SUMIFS('Diario Cali'!$E:$E,'Diario Cali'!$B:$B,I$4,'Diario Cali'!$C:$C,$A76)</f>
        <v>60000</v>
      </c>
      <c r="J76" s="24">
        <f>SUMIFS('Diario Adm'!$E:$E,'Diario Adm'!$B:$B,J$4,'Diario Adm'!$C:$C,$A76)+SUMIFS('Diario Cali'!$E:$E,'Diario Cali'!$B:$B,J$4,'Diario Cali'!$C:$C,$A76)</f>
        <v>635000</v>
      </c>
      <c r="K76" s="24">
        <f>SUMIFS('Diario Adm'!$E:$E,'Diario Adm'!$B:$B,K$4,'Diario Adm'!$C:$C,$A76)+SUMIFS('Diario Cali'!$E:$E,'Diario Cali'!$B:$B,K$4,'Diario Cali'!$C:$C,$A76)</f>
        <v>140000</v>
      </c>
      <c r="L76" s="24">
        <f>SUMIFS('Diario Adm'!$E:$E,'Diario Adm'!$B:$B,L$4,'Diario Adm'!$C:$C,$A76)+SUMIFS('Diario Cali'!$E:$E,'Diario Cali'!$B:$B,L$4,'Diario Cali'!$C:$C,$A76)</f>
        <v>125000</v>
      </c>
      <c r="M76" s="24">
        <f>SUMIFS('Diario Adm'!$E:$E,'Diario Adm'!$B:$B,M$4,'Diario Adm'!$C:$C,$A76)+SUMIFS('Diario Cali'!$E:$E,'Diario Cali'!$B:$B,M$4,'Diario Cali'!$C:$C,$A76)</f>
        <v>80000</v>
      </c>
      <c r="N76" s="24">
        <f>SUMIFS('Diario Adm'!$E:$E,'Diario Adm'!$B:$B,N$4,'Diario Adm'!$C:$C,$A76)+SUMIFS('Diario Cali'!$E:$E,'Diario Cali'!$B:$B,N$4,'Diario Cali'!$C:$C,$A76)</f>
        <v>50000</v>
      </c>
      <c r="O76" s="28"/>
      <c r="P76" s="138">
        <f t="shared" si="10"/>
        <v>1748390</v>
      </c>
      <c r="Q76" s="28"/>
      <c r="R76" s="140">
        <f t="shared" si="11"/>
        <v>174839</v>
      </c>
    </row>
    <row r="77" spans="1:18" ht="13.6" x14ac:dyDescent="0.25">
      <c r="A77" s="162">
        <v>4642</v>
      </c>
      <c r="B77" s="128" t="str">
        <f>VLOOKUP(A77,Plan!A:B,2,0)</f>
        <v xml:space="preserve">             Misas (Hojas, vino, hostias, coro)</v>
      </c>
      <c r="C77" s="24">
        <f>SUMIFS('Diario Adm'!$E:$E,'Diario Adm'!$B:$B,C$4,'Diario Adm'!$C:$C,$A77)+SUMIFS('Diario Cali'!$E:$E,'Diario Cali'!$B:$B,C$4,'Diario Cali'!$C:$C,$A77)</f>
        <v>0</v>
      </c>
      <c r="D77" s="24">
        <f>SUMIFS('Diario Adm'!$E:$E,'Diario Adm'!$B:$B,D$4,'Diario Adm'!$C:$C,$A77)+SUMIFS('Diario Cali'!$E:$E,'Diario Cali'!$B:$B,D$4,'Diario Cali'!$C:$C,$A77)</f>
        <v>0</v>
      </c>
      <c r="E77" s="24">
        <f>SUMIFS('Diario Adm'!$E:$E,'Diario Adm'!$B:$B,E$4,'Diario Adm'!$C:$C,$A77)+SUMIFS('Diario Cali'!$E:$E,'Diario Cali'!$B:$B,E$4,'Diario Cali'!$C:$C,$A77)</f>
        <v>0</v>
      </c>
      <c r="F77" s="24">
        <f>SUMIFS('Diario Adm'!$E:$E,'Diario Adm'!$B:$B,F$4,'Diario Adm'!$C:$C,$A77)+SUMIFS('Diario Cali'!$E:$E,'Diario Cali'!$B:$B,F$4,'Diario Cali'!$C:$C,$A77)</f>
        <v>0</v>
      </c>
      <c r="G77" s="24">
        <f>SUMIFS('Diario Adm'!$E:$E,'Diario Adm'!$B:$B,G$4,'Diario Adm'!$C:$C,$A77)+SUMIFS('Diario Cali'!$E:$E,'Diario Cali'!$B:$B,G$4,'Diario Cali'!$C:$C,$A77)</f>
        <v>0</v>
      </c>
      <c r="H77" s="24">
        <f>SUMIFS('Diario Adm'!$E:$E,'Diario Adm'!$B:$B,H$4,'Diario Adm'!$C:$C,$A77)+SUMIFS('Diario Cali'!$E:$E,'Diario Cali'!$B:$B,H$4,'Diario Cali'!$C:$C,$A77)</f>
        <v>0</v>
      </c>
      <c r="I77" s="24">
        <f>SUMIFS('Diario Adm'!$E:$E,'Diario Adm'!$B:$B,I$4,'Diario Adm'!$C:$C,$A77)+SUMIFS('Diario Cali'!$E:$E,'Diario Cali'!$B:$B,I$4,'Diario Cali'!$C:$C,$A77)</f>
        <v>0</v>
      </c>
      <c r="J77" s="24">
        <f>SUMIFS('Diario Adm'!$E:$E,'Diario Adm'!$B:$B,J$4,'Diario Adm'!$C:$C,$A77)+SUMIFS('Diario Cali'!$E:$E,'Diario Cali'!$B:$B,J$4,'Diario Cali'!$C:$C,$A77)</f>
        <v>0</v>
      </c>
      <c r="K77" s="24">
        <f>SUMIFS('Diario Adm'!$E:$E,'Diario Adm'!$B:$B,K$4,'Diario Adm'!$C:$C,$A77)+SUMIFS('Diario Cali'!$E:$E,'Diario Cali'!$B:$B,K$4,'Diario Cali'!$C:$C,$A77)</f>
        <v>0</v>
      </c>
      <c r="L77" s="24">
        <f>SUMIFS('Diario Adm'!$E:$E,'Diario Adm'!$B:$B,L$4,'Diario Adm'!$C:$C,$A77)+SUMIFS('Diario Cali'!$E:$E,'Diario Cali'!$B:$B,L$4,'Diario Cali'!$C:$C,$A77)</f>
        <v>35000</v>
      </c>
      <c r="M77" s="24">
        <f>SUMIFS('Diario Adm'!$E:$E,'Diario Adm'!$B:$B,M$4,'Diario Adm'!$C:$C,$A77)+SUMIFS('Diario Cali'!$E:$E,'Diario Cali'!$B:$B,M$4,'Diario Cali'!$C:$C,$A77)</f>
        <v>120000</v>
      </c>
      <c r="N77" s="24">
        <f>SUMIFS('Diario Adm'!$E:$E,'Diario Adm'!$B:$B,N$4,'Diario Adm'!$C:$C,$A77)+SUMIFS('Diario Cali'!$E:$E,'Diario Cali'!$B:$B,N$4,'Diario Cali'!$C:$C,$A77)</f>
        <v>0</v>
      </c>
      <c r="O77" s="28"/>
      <c r="P77" s="138">
        <f t="shared" si="10"/>
        <v>155000</v>
      </c>
      <c r="Q77" s="28"/>
      <c r="R77" s="140">
        <f t="shared" si="11"/>
        <v>15500</v>
      </c>
    </row>
    <row r="78" spans="1:18" ht="13.6" x14ac:dyDescent="0.25">
      <c r="A78" s="162">
        <v>4643</v>
      </c>
      <c r="B78" s="128" t="str">
        <f>VLOOKUP(A78,Plan!A:B,2,0)</f>
        <v xml:space="preserve">             Otros</v>
      </c>
      <c r="C78" s="24">
        <f>SUMIFS('Diario Adm'!$E:$E,'Diario Adm'!$B:$B,C$4,'Diario Adm'!$C:$C,$A78)+SUMIFS('Diario Cali'!$E:$E,'Diario Cali'!$B:$B,C$4,'Diario Cali'!$C:$C,$A78)</f>
        <v>100000</v>
      </c>
      <c r="D78" s="24">
        <f>SUMIFS('Diario Adm'!$E:$E,'Diario Adm'!$B:$B,D$4,'Diario Adm'!$C:$C,$A78)+SUMIFS('Diario Cali'!$E:$E,'Diario Cali'!$B:$B,D$4,'Diario Cali'!$C:$C,$A78)</f>
        <v>0</v>
      </c>
      <c r="E78" s="24">
        <f>SUMIFS('Diario Adm'!$E:$E,'Diario Adm'!$B:$B,E$4,'Diario Adm'!$C:$C,$A78)+SUMIFS('Diario Cali'!$E:$E,'Diario Cali'!$B:$B,E$4,'Diario Cali'!$C:$C,$A78)</f>
        <v>0</v>
      </c>
      <c r="F78" s="24">
        <f>SUMIFS('Diario Adm'!$E:$E,'Diario Adm'!$B:$B,F$4,'Diario Adm'!$C:$C,$A78)+SUMIFS('Diario Cali'!$E:$E,'Diario Cali'!$B:$B,F$4,'Diario Cali'!$C:$C,$A78)</f>
        <v>0</v>
      </c>
      <c r="G78" s="24">
        <f>SUMIFS('Diario Adm'!$E:$E,'Diario Adm'!$B:$B,G$4,'Diario Adm'!$C:$C,$A78)+SUMIFS('Diario Cali'!$E:$E,'Diario Cali'!$B:$B,G$4,'Diario Cali'!$C:$C,$A78)</f>
        <v>40000</v>
      </c>
      <c r="H78" s="24">
        <f>SUMIFS('Diario Adm'!$E:$E,'Diario Adm'!$B:$B,H$4,'Diario Adm'!$C:$C,$A78)+SUMIFS('Diario Cali'!$E:$E,'Diario Cali'!$B:$B,H$4,'Diario Cali'!$C:$C,$A78)</f>
        <v>260000</v>
      </c>
      <c r="I78" s="24">
        <f>SUMIFS('Diario Adm'!$E:$E,'Diario Adm'!$B:$B,I$4,'Diario Adm'!$C:$C,$A78)+SUMIFS('Diario Cali'!$E:$E,'Diario Cali'!$B:$B,I$4,'Diario Cali'!$C:$C,$A78)</f>
        <v>340000</v>
      </c>
      <c r="J78" s="24">
        <f>SUMIFS('Diario Adm'!$E:$E,'Diario Adm'!$B:$B,J$4,'Diario Adm'!$C:$C,$A78)+SUMIFS('Diario Cali'!$E:$E,'Diario Cali'!$B:$B,J$4,'Diario Cali'!$C:$C,$A78)</f>
        <v>80000</v>
      </c>
      <c r="K78" s="24">
        <f>SUMIFS('Diario Adm'!$E:$E,'Diario Adm'!$B:$B,K$4,'Diario Adm'!$C:$C,$A78)+SUMIFS('Diario Cali'!$E:$E,'Diario Cali'!$B:$B,K$4,'Diario Cali'!$C:$C,$A78)</f>
        <v>120000</v>
      </c>
      <c r="L78" s="24">
        <f>SUMIFS('Diario Adm'!$E:$E,'Diario Adm'!$B:$B,L$4,'Diario Adm'!$C:$C,$A78)+SUMIFS('Diario Cali'!$E:$E,'Diario Cali'!$B:$B,L$4,'Diario Cali'!$C:$C,$A78)</f>
        <v>160000</v>
      </c>
      <c r="M78" s="24">
        <f>SUMIFS('Diario Adm'!$E:$E,'Diario Adm'!$B:$B,M$4,'Diario Adm'!$C:$C,$A78)+SUMIFS('Diario Cali'!$E:$E,'Diario Cali'!$B:$B,M$4,'Diario Cali'!$C:$C,$A78)</f>
        <v>572994</v>
      </c>
      <c r="N78" s="24">
        <f>SUMIFS('Diario Adm'!$E:$E,'Diario Adm'!$B:$B,N$4,'Diario Adm'!$C:$C,$A78)+SUMIFS('Diario Cali'!$E:$E,'Diario Cali'!$B:$B,N$4,'Diario Cali'!$C:$C,$A78)</f>
        <v>285300</v>
      </c>
      <c r="O78" s="28"/>
      <c r="P78" s="138">
        <f t="shared" si="10"/>
        <v>1958294</v>
      </c>
      <c r="Q78" s="28"/>
      <c r="R78" s="140">
        <f t="shared" si="11"/>
        <v>195829.4</v>
      </c>
    </row>
    <row r="79" spans="1:18" ht="13.6" x14ac:dyDescent="0.25">
      <c r="A79" s="162">
        <v>4650</v>
      </c>
      <c r="B79" s="128" t="str">
        <f>VLOOKUP(A79,Plan!A:B,2,0)</f>
        <v>Pastoral Social</v>
      </c>
      <c r="C79" s="24">
        <f>SUMIFS('Diario Adm'!$E:$E,'Diario Adm'!$B:$B,C$4,'Diario Adm'!$C:$C,$A79)+SUMIFS('Diario Cali'!$E:$E,'Diario Cali'!$B:$B,C$4,'Diario Cali'!$C:$C,$A79)</f>
        <v>420000</v>
      </c>
      <c r="D79" s="24">
        <f>SUMIFS('Diario Adm'!$E:$E,'Diario Adm'!$B:$B,D$4,'Diario Adm'!$C:$C,$A79)+SUMIFS('Diario Cali'!$E:$E,'Diario Cali'!$B:$B,D$4,'Diario Cali'!$C:$C,$A79)</f>
        <v>0</v>
      </c>
      <c r="E79" s="24">
        <f>SUMIFS('Diario Adm'!$E:$E,'Diario Adm'!$B:$B,E$4,'Diario Adm'!$C:$C,$A79)+SUMIFS('Diario Cali'!$E:$E,'Diario Cali'!$B:$B,E$4,'Diario Cali'!$C:$C,$A79)</f>
        <v>150000</v>
      </c>
      <c r="F79" s="24">
        <f>SUMIFS('Diario Adm'!$E:$E,'Diario Adm'!$B:$B,F$4,'Diario Adm'!$C:$C,$A79)+SUMIFS('Diario Cali'!$E:$E,'Diario Cali'!$B:$B,F$4,'Diario Cali'!$C:$C,$A79)</f>
        <v>2280000</v>
      </c>
      <c r="G79" s="24">
        <f>SUMIFS('Diario Adm'!$E:$E,'Diario Adm'!$B:$B,G$4,'Diario Adm'!$C:$C,$A79)+SUMIFS('Diario Cali'!$E:$E,'Diario Cali'!$B:$B,G$4,'Diario Cali'!$C:$C,$A79)</f>
        <v>2350000</v>
      </c>
      <c r="H79" s="24">
        <f>SUMIFS('Diario Adm'!$E:$E,'Diario Adm'!$B:$B,H$4,'Diario Adm'!$C:$C,$A79)+SUMIFS('Diario Cali'!$E:$E,'Diario Cali'!$B:$B,H$4,'Diario Cali'!$C:$C,$A79)</f>
        <v>2350000</v>
      </c>
      <c r="I79" s="24">
        <f>SUMIFS('Diario Adm'!$E:$E,'Diario Adm'!$B:$B,I$4,'Diario Adm'!$C:$C,$A79)+SUMIFS('Diario Cali'!$E:$E,'Diario Cali'!$B:$B,I$4,'Diario Cali'!$C:$C,$A79)</f>
        <v>1950000</v>
      </c>
      <c r="J79" s="24">
        <f>SUMIFS('Diario Adm'!$E:$E,'Diario Adm'!$B:$B,J$4,'Diario Adm'!$C:$C,$A79)+SUMIFS('Diario Cali'!$E:$E,'Diario Cali'!$B:$B,J$4,'Diario Cali'!$C:$C,$A79)</f>
        <v>1315242</v>
      </c>
      <c r="K79" s="24">
        <f>SUMIFS('Diario Adm'!$E:$E,'Diario Adm'!$B:$B,K$4,'Diario Adm'!$C:$C,$A79)+SUMIFS('Diario Cali'!$E:$E,'Diario Cali'!$B:$B,K$4,'Diario Cali'!$C:$C,$A79)</f>
        <v>195000</v>
      </c>
      <c r="L79" s="24">
        <f>SUMIFS('Diario Adm'!$E:$E,'Diario Adm'!$B:$B,L$4,'Diario Adm'!$C:$C,$A79)+SUMIFS('Diario Cali'!$E:$E,'Diario Cali'!$B:$B,L$4,'Diario Cali'!$C:$C,$A79)</f>
        <v>0</v>
      </c>
      <c r="M79" s="24">
        <f>SUMIFS('Diario Adm'!$E:$E,'Diario Adm'!$B:$B,M$4,'Diario Adm'!$C:$C,$A79)+SUMIFS('Diario Cali'!$E:$E,'Diario Cali'!$B:$B,M$4,'Diario Cali'!$C:$C,$A79)</f>
        <v>-2076559</v>
      </c>
      <c r="N79" s="24">
        <f>SUMIFS('Diario Adm'!$E:$E,'Diario Adm'!$B:$B,N$4,'Diario Adm'!$C:$C,$A79)+SUMIFS('Diario Cali'!$E:$E,'Diario Cali'!$B:$B,N$4,'Diario Cali'!$C:$C,$A79)</f>
        <v>1587495</v>
      </c>
      <c r="O79" s="28"/>
      <c r="P79" s="138">
        <f>SUM(C79:N79)</f>
        <v>10521178</v>
      </c>
      <c r="Q79" s="28"/>
      <c r="R79" s="140">
        <f>+P79/$R$4</f>
        <v>1052117.8</v>
      </c>
    </row>
    <row r="80" spans="1:18" ht="13.6" x14ac:dyDescent="0.25">
      <c r="A80" s="162">
        <v>4651</v>
      </c>
      <c r="B80" s="128" t="str">
        <f>VLOOKUP(A80,Plan!A:B,2,0)</f>
        <v xml:space="preserve">             Becas</v>
      </c>
      <c r="C80" s="24">
        <f>SUMIFS('Diario Adm'!$E:$E,'Diario Adm'!$B:$B,C$4,'Diario Adm'!$C:$C,$A80)+SUMIFS('Diario Cali'!$E:$E,'Diario Cali'!$B:$B,C$4,'Diario Cali'!$C:$C,$A80)</f>
        <v>0</v>
      </c>
      <c r="D80" s="24">
        <f>SUMIFS('Diario Adm'!$E:$E,'Diario Adm'!$B:$B,D$4,'Diario Adm'!$C:$C,$A80)+SUMIFS('Diario Cali'!$E:$E,'Diario Cali'!$B:$B,D$4,'Diario Cali'!$C:$C,$A80)</f>
        <v>0</v>
      </c>
      <c r="E80" s="24">
        <f>SUMIFS('Diario Adm'!$E:$E,'Diario Adm'!$B:$B,E$4,'Diario Adm'!$C:$C,$A80)+SUMIFS('Diario Cali'!$E:$E,'Diario Cali'!$B:$B,E$4,'Diario Cali'!$C:$C,$A80)</f>
        <v>0</v>
      </c>
      <c r="F80" s="24">
        <f>SUMIFS('Diario Adm'!$E:$E,'Diario Adm'!$B:$B,F$4,'Diario Adm'!$C:$C,$A80)+SUMIFS('Diario Cali'!$E:$E,'Diario Cali'!$B:$B,F$4,'Diario Cali'!$C:$C,$A80)</f>
        <v>0</v>
      </c>
      <c r="G80" s="24">
        <f>SUMIFS('Diario Adm'!$E:$E,'Diario Adm'!$B:$B,G$4,'Diario Adm'!$C:$C,$A80)+SUMIFS('Diario Cali'!$E:$E,'Diario Cali'!$B:$B,G$4,'Diario Cali'!$C:$C,$A80)</f>
        <v>0</v>
      </c>
      <c r="H80" s="24">
        <f>SUMIFS('Diario Adm'!$E:$E,'Diario Adm'!$B:$B,H$4,'Diario Adm'!$C:$C,$A80)+SUMIFS('Diario Cali'!$E:$E,'Diario Cali'!$B:$B,H$4,'Diario Cali'!$C:$C,$A80)</f>
        <v>0</v>
      </c>
      <c r="I80" s="24">
        <f>SUMIFS('Diario Adm'!$E:$E,'Diario Adm'!$B:$B,I$4,'Diario Adm'!$C:$C,$A80)+SUMIFS('Diario Cali'!$E:$E,'Diario Cali'!$B:$B,I$4,'Diario Cali'!$C:$C,$A80)</f>
        <v>0</v>
      </c>
      <c r="J80" s="24">
        <f>SUMIFS('Diario Adm'!$E:$E,'Diario Adm'!$B:$B,J$4,'Diario Adm'!$C:$C,$A80)+SUMIFS('Diario Cali'!$E:$E,'Diario Cali'!$B:$B,J$4,'Diario Cali'!$C:$C,$A80)</f>
        <v>0</v>
      </c>
      <c r="K80" s="24">
        <f>SUMIFS('Diario Adm'!$E:$E,'Diario Adm'!$B:$B,K$4,'Diario Adm'!$C:$C,$A80)+SUMIFS('Diario Cali'!$E:$E,'Diario Cali'!$B:$B,K$4,'Diario Cali'!$C:$C,$A80)</f>
        <v>0</v>
      </c>
      <c r="L80" s="24">
        <f>SUMIFS('Diario Adm'!$E:$E,'Diario Adm'!$B:$B,L$4,'Diario Adm'!$C:$C,$A80)+SUMIFS('Diario Cali'!$E:$E,'Diario Cali'!$B:$B,L$4,'Diario Cali'!$C:$C,$A80)</f>
        <v>0</v>
      </c>
      <c r="M80" s="24">
        <f>SUMIFS('Diario Adm'!$E:$E,'Diario Adm'!$B:$B,M$4,'Diario Adm'!$C:$C,$A80)+SUMIFS('Diario Cali'!$E:$E,'Diario Cali'!$B:$B,M$4,'Diario Cali'!$C:$C,$A80)</f>
        <v>0</v>
      </c>
      <c r="N80" s="24">
        <f>SUMIFS('Diario Adm'!$E:$E,'Diario Adm'!$B:$B,N$4,'Diario Adm'!$C:$C,$A80)+SUMIFS('Diario Cali'!$E:$E,'Diario Cali'!$B:$B,N$4,'Diario Cali'!$C:$C,$A80)</f>
        <v>0</v>
      </c>
      <c r="O80" s="28"/>
      <c r="P80" s="138">
        <f>SUM(C80:N80)</f>
        <v>0</v>
      </c>
      <c r="Q80" s="28"/>
      <c r="R80" s="140">
        <f>+P80/$R$4</f>
        <v>0</v>
      </c>
    </row>
    <row r="81" spans="1:18" ht="13.6" x14ac:dyDescent="0.25">
      <c r="A81" s="162">
        <v>4652</v>
      </c>
      <c r="B81" s="128" t="str">
        <f>VLOOKUP(A81,Plan!A:B,2,0)</f>
        <v xml:space="preserve">             Cerro Navia </v>
      </c>
      <c r="C81" s="24">
        <f>SUMIFS('Diario Adm'!$E:$E,'Diario Adm'!$B:$B,C$4,'Diario Adm'!$C:$C,$A81)+SUMIFS('Diario Cali'!$E:$E,'Diario Cali'!$B:$B,C$4,'Diario Cali'!$C:$C,$A81)</f>
        <v>0</v>
      </c>
      <c r="D81" s="24">
        <f>SUMIFS('Diario Adm'!$E:$E,'Diario Adm'!$B:$B,D$4,'Diario Adm'!$C:$C,$A81)+SUMIFS('Diario Cali'!$E:$E,'Diario Cali'!$B:$B,D$4,'Diario Cali'!$C:$C,$A81)</f>
        <v>0</v>
      </c>
      <c r="E81" s="24">
        <f>SUMIFS('Diario Adm'!$E:$E,'Diario Adm'!$B:$B,E$4,'Diario Adm'!$C:$C,$A81)+SUMIFS('Diario Cali'!$E:$E,'Diario Cali'!$B:$B,E$4,'Diario Cali'!$C:$C,$A81)</f>
        <v>0</v>
      </c>
      <c r="F81" s="24">
        <f>SUMIFS('Diario Adm'!$E:$E,'Diario Adm'!$B:$B,F$4,'Diario Adm'!$C:$C,$A81)+SUMIFS('Diario Cali'!$E:$E,'Diario Cali'!$B:$B,F$4,'Diario Cali'!$C:$C,$A81)</f>
        <v>0</v>
      </c>
      <c r="G81" s="24">
        <f>SUMIFS('Diario Adm'!$E:$E,'Diario Adm'!$B:$B,G$4,'Diario Adm'!$C:$C,$A81)+SUMIFS('Diario Cali'!$E:$E,'Diario Cali'!$B:$B,G$4,'Diario Cali'!$C:$C,$A81)</f>
        <v>0</v>
      </c>
      <c r="H81" s="24">
        <f>SUMIFS('Diario Adm'!$E:$E,'Diario Adm'!$B:$B,H$4,'Diario Adm'!$C:$C,$A81)+SUMIFS('Diario Cali'!$E:$E,'Diario Cali'!$B:$B,H$4,'Diario Cali'!$C:$C,$A81)</f>
        <v>0</v>
      </c>
      <c r="I81" s="24">
        <f>SUMIFS('Diario Adm'!$E:$E,'Diario Adm'!$B:$B,I$4,'Diario Adm'!$C:$C,$A81)+SUMIFS('Diario Cali'!$E:$E,'Diario Cali'!$B:$B,I$4,'Diario Cali'!$C:$C,$A81)</f>
        <v>0</v>
      </c>
      <c r="J81" s="24">
        <f>SUMIFS('Diario Adm'!$E:$E,'Diario Adm'!$B:$B,J$4,'Diario Adm'!$C:$C,$A81)+SUMIFS('Diario Cali'!$E:$E,'Diario Cali'!$B:$B,J$4,'Diario Cali'!$C:$C,$A81)</f>
        <v>0</v>
      </c>
      <c r="K81" s="24">
        <f>SUMIFS('Diario Adm'!$E:$E,'Diario Adm'!$B:$B,K$4,'Diario Adm'!$C:$C,$A81)+SUMIFS('Diario Cali'!$E:$E,'Diario Cali'!$B:$B,K$4,'Diario Cali'!$C:$C,$A81)</f>
        <v>0</v>
      </c>
      <c r="L81" s="24">
        <f>SUMIFS('Diario Adm'!$E:$E,'Diario Adm'!$B:$B,L$4,'Diario Adm'!$C:$C,$A81)+SUMIFS('Diario Cali'!$E:$E,'Diario Cali'!$B:$B,L$4,'Diario Cali'!$C:$C,$A81)</f>
        <v>0</v>
      </c>
      <c r="M81" s="24">
        <f>SUMIFS('Diario Adm'!$E:$E,'Diario Adm'!$B:$B,M$4,'Diario Adm'!$C:$C,$A81)+SUMIFS('Diario Cali'!$E:$E,'Diario Cali'!$B:$B,M$4,'Diario Cali'!$C:$C,$A81)</f>
        <v>0</v>
      </c>
      <c r="N81" s="24">
        <f>SUMIFS('Diario Adm'!$E:$E,'Diario Adm'!$B:$B,N$4,'Diario Adm'!$C:$C,$A81)+SUMIFS('Diario Cali'!$E:$E,'Diario Cali'!$B:$B,N$4,'Diario Cali'!$C:$C,$A81)</f>
        <v>0</v>
      </c>
      <c r="O81" s="28"/>
      <c r="P81" s="138">
        <f t="shared" si="10"/>
        <v>0</v>
      </c>
      <c r="Q81" s="28"/>
      <c r="R81" s="140">
        <f t="shared" si="11"/>
        <v>0</v>
      </c>
    </row>
    <row r="82" spans="1:18" ht="13.6" x14ac:dyDescent="0.25">
      <c r="A82" s="162">
        <v>4653</v>
      </c>
      <c r="B82" s="128" t="str">
        <f>VLOOKUP(A82,Plan!A:B,2,0)</f>
        <v xml:space="preserve">            Ayuda Solidaria</v>
      </c>
      <c r="C82" s="24">
        <f>SUMIFS('Diario Adm'!$E:$E,'Diario Adm'!$B:$B,C$4,'Diario Adm'!$C:$C,$A82)+SUMIFS('Diario Cali'!$E:$E,'Diario Cali'!$B:$B,C$4,'Diario Cali'!$C:$C,$A82)</f>
        <v>0</v>
      </c>
      <c r="D82" s="24">
        <f>SUMIFS('Diario Adm'!$E:$E,'Diario Adm'!$B:$B,D$4,'Diario Adm'!$C:$C,$A82)+SUMIFS('Diario Cali'!$E:$E,'Diario Cali'!$B:$B,D$4,'Diario Cali'!$C:$C,$A82)</f>
        <v>0</v>
      </c>
      <c r="E82" s="24">
        <f>SUMIFS('Diario Adm'!$E:$E,'Diario Adm'!$B:$B,E$4,'Diario Adm'!$C:$C,$A82)+SUMIFS('Diario Cali'!$E:$E,'Diario Cali'!$B:$B,E$4,'Diario Cali'!$C:$C,$A82)</f>
        <v>0</v>
      </c>
      <c r="F82" s="24">
        <f>SUMIFS('Diario Adm'!$E:$E,'Diario Adm'!$B:$B,F$4,'Diario Adm'!$C:$C,$A82)+SUMIFS('Diario Cali'!$E:$E,'Diario Cali'!$B:$B,F$4,'Diario Cali'!$C:$C,$A82)</f>
        <v>0</v>
      </c>
      <c r="G82" s="24">
        <f>SUMIFS('Diario Adm'!$E:$E,'Diario Adm'!$B:$B,G$4,'Diario Adm'!$C:$C,$A82)+SUMIFS('Diario Cali'!$E:$E,'Diario Cali'!$B:$B,G$4,'Diario Cali'!$C:$C,$A82)</f>
        <v>0</v>
      </c>
      <c r="H82" s="24">
        <f>SUMIFS('Diario Adm'!$E:$E,'Diario Adm'!$B:$B,H$4,'Diario Adm'!$C:$C,$A82)+SUMIFS('Diario Cali'!$E:$E,'Diario Cali'!$B:$B,H$4,'Diario Cali'!$C:$C,$A82)</f>
        <v>0</v>
      </c>
      <c r="I82" s="24">
        <f>SUMIFS('Diario Adm'!$E:$E,'Diario Adm'!$B:$B,I$4,'Diario Adm'!$C:$C,$A82)+SUMIFS('Diario Cali'!$E:$E,'Diario Cali'!$B:$B,I$4,'Diario Cali'!$C:$C,$A82)</f>
        <v>0</v>
      </c>
      <c r="J82" s="24">
        <f>SUMIFS('Diario Adm'!$E:$E,'Diario Adm'!$B:$B,J$4,'Diario Adm'!$C:$C,$A82)+SUMIFS('Diario Cali'!$E:$E,'Diario Cali'!$B:$B,J$4,'Diario Cali'!$C:$C,$A82)</f>
        <v>0</v>
      </c>
      <c r="K82" s="24">
        <f>SUMIFS('Diario Adm'!$E:$E,'Diario Adm'!$B:$B,K$4,'Diario Adm'!$C:$C,$A82)+SUMIFS('Diario Cali'!$E:$E,'Diario Cali'!$B:$B,K$4,'Diario Cali'!$C:$C,$A82)</f>
        <v>0</v>
      </c>
      <c r="L82" s="24">
        <f>SUMIFS('Diario Adm'!$E:$E,'Diario Adm'!$B:$B,L$4,'Diario Adm'!$C:$C,$A82)+SUMIFS('Diario Cali'!$E:$E,'Diario Cali'!$B:$B,L$4,'Diario Cali'!$C:$C,$A82)</f>
        <v>0</v>
      </c>
      <c r="M82" s="24">
        <f>SUMIFS('Diario Adm'!$E:$E,'Diario Adm'!$B:$B,M$4,'Diario Adm'!$C:$C,$A82)+SUMIFS('Diario Cali'!$E:$E,'Diario Cali'!$B:$B,M$4,'Diario Cali'!$C:$C,$A82)</f>
        <v>0</v>
      </c>
      <c r="N82" s="24">
        <f>SUMIFS('Diario Adm'!$E:$E,'Diario Adm'!$B:$B,N$4,'Diario Adm'!$C:$C,$A82)+SUMIFS('Diario Cali'!$E:$E,'Diario Cali'!$B:$B,N$4,'Diario Cali'!$C:$C,$A82)</f>
        <v>0</v>
      </c>
      <c r="O82" s="28"/>
      <c r="P82" s="138">
        <f t="shared" si="10"/>
        <v>0</v>
      </c>
      <c r="Q82" s="28"/>
      <c r="R82" s="140">
        <f t="shared" si="11"/>
        <v>0</v>
      </c>
    </row>
    <row r="83" spans="1:18" ht="13.6" x14ac:dyDescent="0.25">
      <c r="A83" s="162">
        <v>4660</v>
      </c>
      <c r="B83" s="128" t="str">
        <f>VLOOKUP(A83,Plan!A:B,2,0)</f>
        <v>Pastoral Salud</v>
      </c>
      <c r="C83" s="24">
        <f>SUMIFS('Diario Adm'!$E:$E,'Diario Adm'!$B:$B,C$4,'Diario Adm'!$C:$C,$A83)+SUMIFS('Diario Cali'!$E:$E,'Diario Cali'!$B:$B,C$4,'Diario Cali'!$C:$C,$A83)</f>
        <v>0</v>
      </c>
      <c r="D83" s="24">
        <f>SUMIFS('Diario Adm'!$E:$E,'Diario Adm'!$B:$B,D$4,'Diario Adm'!$C:$C,$A83)+SUMIFS('Diario Cali'!$E:$E,'Diario Cali'!$B:$B,D$4,'Diario Cali'!$C:$C,$A83)</f>
        <v>0</v>
      </c>
      <c r="E83" s="24">
        <f>SUMIFS('Diario Adm'!$E:$E,'Diario Adm'!$B:$B,E$4,'Diario Adm'!$C:$C,$A83)+SUMIFS('Diario Cali'!$E:$E,'Diario Cali'!$B:$B,E$4,'Diario Cali'!$C:$C,$A83)</f>
        <v>0</v>
      </c>
      <c r="F83" s="24">
        <f>SUMIFS('Diario Adm'!$E:$E,'Diario Adm'!$B:$B,F$4,'Diario Adm'!$C:$C,$A83)+SUMIFS('Diario Cali'!$E:$E,'Diario Cali'!$B:$B,F$4,'Diario Cali'!$C:$C,$A83)</f>
        <v>0</v>
      </c>
      <c r="G83" s="24">
        <f>SUMIFS('Diario Adm'!$E:$E,'Diario Adm'!$B:$B,G$4,'Diario Adm'!$C:$C,$A83)+SUMIFS('Diario Cali'!$E:$E,'Diario Cali'!$B:$B,G$4,'Diario Cali'!$C:$C,$A83)</f>
        <v>0</v>
      </c>
      <c r="H83" s="24">
        <f>SUMIFS('Diario Adm'!$E:$E,'Diario Adm'!$B:$B,H$4,'Diario Adm'!$C:$C,$A83)+SUMIFS('Diario Cali'!$E:$E,'Diario Cali'!$B:$B,H$4,'Diario Cali'!$C:$C,$A83)</f>
        <v>0</v>
      </c>
      <c r="I83" s="24">
        <f>SUMIFS('Diario Adm'!$E:$E,'Diario Adm'!$B:$B,I$4,'Diario Adm'!$C:$C,$A83)+SUMIFS('Diario Cali'!$E:$E,'Diario Cali'!$B:$B,I$4,'Diario Cali'!$C:$C,$A83)</f>
        <v>0</v>
      </c>
      <c r="J83" s="24">
        <f>SUMIFS('Diario Adm'!$E:$E,'Diario Adm'!$B:$B,J$4,'Diario Adm'!$C:$C,$A83)+SUMIFS('Diario Cali'!$E:$E,'Diario Cali'!$B:$B,J$4,'Diario Cali'!$C:$C,$A83)</f>
        <v>0</v>
      </c>
      <c r="K83" s="24">
        <f>SUMIFS('Diario Adm'!$E:$E,'Diario Adm'!$B:$B,K$4,'Diario Adm'!$C:$C,$A83)+SUMIFS('Diario Cali'!$E:$E,'Diario Cali'!$B:$B,K$4,'Diario Cali'!$C:$C,$A83)</f>
        <v>0</v>
      </c>
      <c r="L83" s="24">
        <f>SUMIFS('Diario Adm'!$E:$E,'Diario Adm'!$B:$B,L$4,'Diario Adm'!$C:$C,$A83)+SUMIFS('Diario Cali'!$E:$E,'Diario Cali'!$B:$B,L$4,'Diario Cali'!$C:$C,$A83)</f>
        <v>0</v>
      </c>
      <c r="M83" s="24">
        <f>SUMIFS('Diario Adm'!$E:$E,'Diario Adm'!$B:$B,M$4,'Diario Adm'!$C:$C,$A83)+SUMIFS('Diario Cali'!$E:$E,'Diario Cali'!$B:$B,M$4,'Diario Cali'!$C:$C,$A83)</f>
        <v>0</v>
      </c>
      <c r="N83" s="24">
        <f>SUMIFS('Diario Adm'!$E:$E,'Diario Adm'!$B:$B,N$4,'Diario Adm'!$C:$C,$A83)+SUMIFS('Diario Cali'!$E:$E,'Diario Cali'!$B:$B,N$4,'Diario Cali'!$C:$C,$A83)</f>
        <v>0</v>
      </c>
      <c r="O83" s="28"/>
      <c r="P83" s="138">
        <f>SUM(C83:N83)</f>
        <v>0</v>
      </c>
      <c r="Q83" s="28"/>
      <c r="R83" s="140">
        <f>+P83/$R$4</f>
        <v>0</v>
      </c>
    </row>
    <row r="84" spans="1:18" ht="13.6" x14ac:dyDescent="0.25">
      <c r="A84" s="162">
        <v>4670</v>
      </c>
      <c r="B84" s="128" t="str">
        <f>VLOOKUP(A84,Plan!A:B,2,0)</f>
        <v>Pastoral Juvenil</v>
      </c>
      <c r="C84" s="24">
        <f>SUMIFS('Diario Adm'!$E:$E,'Diario Adm'!$B:$B,C$4,'Diario Adm'!$C:$C,$A84)+SUMIFS('Diario Cali'!$E:$E,'Diario Cali'!$B:$B,C$4,'Diario Cali'!$C:$C,$A84)</f>
        <v>0</v>
      </c>
      <c r="D84" s="24">
        <f>SUMIFS('Diario Adm'!$E:$E,'Diario Adm'!$B:$B,D$4,'Diario Adm'!$C:$C,$A84)+SUMIFS('Diario Cali'!$E:$E,'Diario Cali'!$B:$B,D$4,'Diario Cali'!$C:$C,$A84)</f>
        <v>0</v>
      </c>
      <c r="E84" s="24">
        <f>SUMIFS('Diario Adm'!$E:$E,'Diario Adm'!$B:$B,E$4,'Diario Adm'!$C:$C,$A84)+SUMIFS('Diario Cali'!$E:$E,'Diario Cali'!$B:$B,E$4,'Diario Cali'!$C:$C,$A84)</f>
        <v>0</v>
      </c>
      <c r="F84" s="24">
        <f>SUMIFS('Diario Adm'!$E:$E,'Diario Adm'!$B:$B,F$4,'Diario Adm'!$C:$C,$A84)+SUMIFS('Diario Cali'!$E:$E,'Diario Cali'!$B:$B,F$4,'Diario Cali'!$C:$C,$A84)</f>
        <v>0</v>
      </c>
      <c r="G84" s="24">
        <f>SUMIFS('Diario Adm'!$E:$E,'Diario Adm'!$B:$B,G$4,'Diario Adm'!$C:$C,$A84)+SUMIFS('Diario Cali'!$E:$E,'Diario Cali'!$B:$B,G$4,'Diario Cali'!$C:$C,$A84)</f>
        <v>0</v>
      </c>
      <c r="H84" s="24">
        <f>SUMIFS('Diario Adm'!$E:$E,'Diario Adm'!$B:$B,H$4,'Diario Adm'!$C:$C,$A84)+SUMIFS('Diario Cali'!$E:$E,'Diario Cali'!$B:$B,H$4,'Diario Cali'!$C:$C,$A84)</f>
        <v>0</v>
      </c>
      <c r="I84" s="24">
        <f>SUMIFS('Diario Adm'!$E:$E,'Diario Adm'!$B:$B,I$4,'Diario Adm'!$C:$C,$A84)+SUMIFS('Diario Cali'!$E:$E,'Diario Cali'!$B:$B,I$4,'Diario Cali'!$C:$C,$A84)</f>
        <v>0</v>
      </c>
      <c r="J84" s="24">
        <f>SUMIFS('Diario Adm'!$E:$E,'Diario Adm'!$B:$B,J$4,'Diario Adm'!$C:$C,$A84)+SUMIFS('Diario Cali'!$E:$E,'Diario Cali'!$B:$B,J$4,'Diario Cali'!$C:$C,$A84)</f>
        <v>0</v>
      </c>
      <c r="K84" s="24">
        <f>SUMIFS('Diario Adm'!$E:$E,'Diario Adm'!$B:$B,K$4,'Diario Adm'!$C:$C,$A84)+SUMIFS('Diario Cali'!$E:$E,'Diario Cali'!$B:$B,K$4,'Diario Cali'!$C:$C,$A84)</f>
        <v>0</v>
      </c>
      <c r="L84" s="24">
        <f>SUMIFS('Diario Adm'!$E:$E,'Diario Adm'!$B:$B,L$4,'Diario Adm'!$C:$C,$A84)+SUMIFS('Diario Cali'!$E:$E,'Diario Cali'!$B:$B,L$4,'Diario Cali'!$C:$C,$A84)</f>
        <v>0</v>
      </c>
      <c r="M84" s="24">
        <f>SUMIFS('Diario Adm'!$E:$E,'Diario Adm'!$B:$B,M$4,'Diario Adm'!$C:$C,$A84)+SUMIFS('Diario Cali'!$E:$E,'Diario Cali'!$B:$B,M$4,'Diario Cali'!$C:$C,$A84)</f>
        <v>0</v>
      </c>
      <c r="N84" s="24">
        <f>SUMIFS('Diario Adm'!$E:$E,'Diario Adm'!$B:$B,N$4,'Diario Adm'!$C:$C,$A84)+SUMIFS('Diario Cali'!$E:$E,'Diario Cali'!$B:$B,N$4,'Diario Cali'!$C:$C,$A84)</f>
        <v>0</v>
      </c>
      <c r="O84" s="28"/>
      <c r="P84" s="138">
        <f>SUM(C84:N84)</f>
        <v>0</v>
      </c>
      <c r="Q84" s="28"/>
      <c r="R84" s="140">
        <f>+P84/$R$4</f>
        <v>0</v>
      </c>
    </row>
    <row r="85" spans="1:18" ht="13.6" x14ac:dyDescent="0.25">
      <c r="A85" s="162">
        <v>4680</v>
      </c>
      <c r="B85" s="128" t="str">
        <f>VLOOKUP(A85,Plan!A:B,2,0)</f>
        <v>Pastoral Comunicacional</v>
      </c>
      <c r="C85" s="24">
        <f>SUMIFS('Diario Adm'!$E:$E,'Diario Adm'!$B:$B,C$4,'Diario Adm'!$C:$C,$A85)+SUMIFS('Diario Cali'!$E:$E,'Diario Cali'!$B:$B,C$4,'Diario Cali'!$C:$C,$A85)</f>
        <v>477848</v>
      </c>
      <c r="D85" s="24">
        <f>SUMIFS('Diario Adm'!$E:$E,'Diario Adm'!$B:$B,D$4,'Diario Adm'!$C:$C,$A85)+SUMIFS('Diario Cali'!$E:$E,'Diario Cali'!$B:$B,D$4,'Diario Cali'!$C:$C,$A85)</f>
        <v>477893</v>
      </c>
      <c r="E85" s="24">
        <f>SUMIFS('Diario Adm'!$E:$E,'Diario Adm'!$B:$B,E$4,'Diario Adm'!$C:$C,$A85)+SUMIFS('Diario Cali'!$E:$E,'Diario Cali'!$B:$B,E$4,'Diario Cali'!$C:$C,$A85)</f>
        <v>478099</v>
      </c>
      <c r="F85" s="24">
        <f>SUMIFS('Diario Adm'!$E:$E,'Diario Adm'!$B:$B,F$4,'Diario Adm'!$C:$C,$A85)+SUMIFS('Diario Cali'!$E:$E,'Diario Cali'!$B:$B,F$4,'Diario Cali'!$C:$C,$A85)</f>
        <v>478498</v>
      </c>
      <c r="G85" s="24">
        <f>SUMIFS('Diario Adm'!$E:$E,'Diario Adm'!$B:$B,G$4,'Diario Adm'!$C:$C,$A85)+SUMIFS('Diario Cali'!$E:$E,'Diario Cali'!$B:$B,G$4,'Diario Cali'!$C:$C,$A85)</f>
        <v>478358</v>
      </c>
      <c r="H85" s="24">
        <f>SUMIFS('Diario Adm'!$E:$E,'Diario Adm'!$B:$B,H$4,'Diario Adm'!$C:$C,$A85)+SUMIFS('Diario Cali'!$E:$E,'Diario Cali'!$B:$B,H$4,'Diario Cali'!$C:$C,$A85)</f>
        <v>369248</v>
      </c>
      <c r="I85" s="24">
        <f>SUMIFS('Diario Adm'!$E:$E,'Diario Adm'!$B:$B,I$4,'Diario Adm'!$C:$C,$A85)+SUMIFS('Diario Cali'!$E:$E,'Diario Cali'!$B:$B,I$4,'Diario Cali'!$C:$C,$A85)</f>
        <v>423803</v>
      </c>
      <c r="J85" s="24">
        <f>SUMIFS('Diario Adm'!$E:$E,'Diario Adm'!$B:$B,J$4,'Diario Adm'!$C:$C,$A85)+SUMIFS('Diario Cali'!$E:$E,'Diario Cali'!$B:$B,J$4,'Diario Cali'!$C:$C,$A85)</f>
        <v>424803</v>
      </c>
      <c r="K85" s="24">
        <f>SUMIFS('Diario Adm'!$E:$E,'Diario Adm'!$B:$B,K$4,'Diario Adm'!$C:$C,$A85)+SUMIFS('Diario Cali'!$E:$E,'Diario Cali'!$B:$B,K$4,'Diario Cali'!$C:$C,$A85)</f>
        <v>423803</v>
      </c>
      <c r="L85" s="24">
        <f>SUMIFS('Diario Adm'!$E:$E,'Diario Adm'!$B:$B,L$4,'Diario Adm'!$C:$C,$A85)+SUMIFS('Diario Cali'!$E:$E,'Diario Cali'!$B:$B,L$4,'Diario Cali'!$C:$C,$A85)</f>
        <v>426538</v>
      </c>
      <c r="M85" s="24">
        <f>SUMIFS('Diario Adm'!$E:$E,'Diario Adm'!$B:$B,M$4,'Diario Adm'!$C:$C,$A85)+SUMIFS('Diario Cali'!$E:$E,'Diario Cali'!$B:$B,M$4,'Diario Cali'!$C:$C,$A85)</f>
        <v>425803</v>
      </c>
      <c r="N85" s="24">
        <f>SUMIFS('Diario Adm'!$E:$E,'Diario Adm'!$B:$B,N$4,'Diario Adm'!$C:$C,$A85)+SUMIFS('Diario Cali'!$E:$E,'Diario Cali'!$B:$B,N$4,'Diario Cali'!$C:$C,$A85)</f>
        <v>424762</v>
      </c>
      <c r="O85" s="28"/>
      <c r="P85" s="138">
        <f>SUM(C85:N85)</f>
        <v>5309456</v>
      </c>
      <c r="Q85" s="28"/>
      <c r="R85" s="140">
        <f>+P85/$R$4</f>
        <v>530945.6</v>
      </c>
    </row>
    <row r="86" spans="1:18" ht="13.6" x14ac:dyDescent="0.25">
      <c r="A86" s="170">
        <v>4810</v>
      </c>
      <c r="B86" s="128" t="str">
        <f>VLOOKUP(A86,Plan!A:B,2,0)</f>
        <v>Encuentros y convivencias</v>
      </c>
      <c r="C86" s="24">
        <f>SUMIFS('Diario Adm'!$E:$E,'Diario Adm'!$B:$B,C$4,'Diario Adm'!$C:$C,$A86)+SUMIFS('Diario Cali'!$E:$E,'Diario Cali'!$B:$B,C$4,'Diario Cali'!$C:$C,$A86)</f>
        <v>0</v>
      </c>
      <c r="D86" s="24">
        <f>SUMIFS('Diario Adm'!$E:$E,'Diario Adm'!$B:$B,D$4,'Diario Adm'!$C:$C,$A86)+SUMIFS('Diario Cali'!$E:$E,'Diario Cali'!$B:$B,D$4,'Diario Cali'!$C:$C,$A86)</f>
        <v>0</v>
      </c>
      <c r="E86" s="24">
        <f>SUMIFS('Diario Adm'!$E:$E,'Diario Adm'!$B:$B,E$4,'Diario Adm'!$C:$C,$A86)+SUMIFS('Diario Cali'!$E:$E,'Diario Cali'!$B:$B,E$4,'Diario Cali'!$C:$C,$A86)</f>
        <v>0</v>
      </c>
      <c r="F86" s="24">
        <f>SUMIFS('Diario Adm'!$E:$E,'Diario Adm'!$B:$B,F$4,'Diario Adm'!$C:$C,$A86)+SUMIFS('Diario Cali'!$E:$E,'Diario Cali'!$B:$B,F$4,'Diario Cali'!$C:$C,$A86)</f>
        <v>0</v>
      </c>
      <c r="G86" s="24">
        <f>SUMIFS('Diario Adm'!$E:$E,'Diario Adm'!$B:$B,G$4,'Diario Adm'!$C:$C,$A86)+SUMIFS('Diario Cali'!$E:$E,'Diario Cali'!$B:$B,G$4,'Diario Cali'!$C:$C,$A86)</f>
        <v>0</v>
      </c>
      <c r="H86" s="24">
        <f>SUMIFS('Diario Adm'!$E:$E,'Diario Adm'!$B:$B,H$4,'Diario Adm'!$C:$C,$A86)+SUMIFS('Diario Cali'!$E:$E,'Diario Cali'!$B:$B,H$4,'Diario Cali'!$C:$C,$A86)</f>
        <v>0</v>
      </c>
      <c r="I86" s="24">
        <f>SUMIFS('Diario Adm'!$E:$E,'Diario Adm'!$B:$B,I$4,'Diario Adm'!$C:$C,$A86)+SUMIFS('Diario Cali'!$E:$E,'Diario Cali'!$B:$B,I$4,'Diario Cali'!$C:$C,$A86)</f>
        <v>0</v>
      </c>
      <c r="J86" s="24">
        <f>SUMIFS('Diario Adm'!$E:$E,'Diario Adm'!$B:$B,J$4,'Diario Adm'!$C:$C,$A86)+SUMIFS('Diario Cali'!$E:$E,'Diario Cali'!$B:$B,J$4,'Diario Cali'!$C:$C,$A86)</f>
        <v>0</v>
      </c>
      <c r="K86" s="24">
        <f>SUMIFS('Diario Adm'!$E:$E,'Diario Adm'!$B:$B,K$4,'Diario Adm'!$C:$C,$A86)+SUMIFS('Diario Cali'!$E:$E,'Diario Cali'!$B:$B,K$4,'Diario Cali'!$C:$C,$A86)</f>
        <v>0</v>
      </c>
      <c r="L86" s="24">
        <f>SUMIFS('Diario Adm'!$E:$E,'Diario Adm'!$B:$B,L$4,'Diario Adm'!$C:$C,$A86)+SUMIFS('Diario Cali'!$E:$E,'Diario Cali'!$B:$B,L$4,'Diario Cali'!$C:$C,$A86)</f>
        <v>30900</v>
      </c>
      <c r="M86" s="24">
        <f>SUMIFS('Diario Adm'!$E:$E,'Diario Adm'!$B:$B,M$4,'Diario Adm'!$C:$C,$A86)+SUMIFS('Diario Cali'!$E:$E,'Diario Cali'!$B:$B,M$4,'Diario Cali'!$C:$C,$A86)</f>
        <v>0</v>
      </c>
      <c r="N86" s="24">
        <f>SUMIFS('Diario Adm'!$E:$E,'Diario Adm'!$B:$B,N$4,'Diario Adm'!$C:$C,$A86)+SUMIFS('Diario Cali'!$E:$E,'Diario Cali'!$B:$B,N$4,'Diario Cali'!$C:$C,$A86)</f>
        <v>0</v>
      </c>
      <c r="O86" s="28"/>
      <c r="P86" s="138">
        <f>SUM(C86:N86)</f>
        <v>30900</v>
      </c>
      <c r="Q86" s="28"/>
      <c r="R86" s="140">
        <f>+P86/$R$4</f>
        <v>3090</v>
      </c>
    </row>
    <row r="87" spans="1:18" ht="13.6" x14ac:dyDescent="0.25">
      <c r="A87" s="170">
        <v>4820</v>
      </c>
      <c r="B87" s="128" t="str">
        <f>VLOOKUP(A87,Plan!A:B,2,0)</f>
        <v>Navidad</v>
      </c>
      <c r="C87" s="24">
        <f>SUMIFS('Diario Adm'!$E:$E,'Diario Adm'!$B:$B,C$4,'Diario Adm'!$C:$C,$A87)+SUMIFS('Diario Cali'!$E:$E,'Diario Cali'!$B:$B,C$4,'Diario Cali'!$C:$C,$A87)</f>
        <v>0</v>
      </c>
      <c r="D87" s="24">
        <f>SUMIFS('Diario Adm'!$E:$E,'Diario Adm'!$B:$B,D$4,'Diario Adm'!$C:$C,$A87)+SUMIFS('Diario Cali'!$E:$E,'Diario Cali'!$B:$B,D$4,'Diario Cali'!$C:$C,$A87)</f>
        <v>0</v>
      </c>
      <c r="E87" s="24">
        <f>SUMIFS('Diario Adm'!$E:$E,'Diario Adm'!$B:$B,E$4,'Diario Adm'!$C:$C,$A87)+SUMIFS('Diario Cali'!$E:$E,'Diario Cali'!$B:$B,E$4,'Diario Cali'!$C:$C,$A87)</f>
        <v>0</v>
      </c>
      <c r="F87" s="24">
        <f>SUMIFS('Diario Adm'!$E:$E,'Diario Adm'!$B:$B,F$4,'Diario Adm'!$C:$C,$A87)+SUMIFS('Diario Cali'!$E:$E,'Diario Cali'!$B:$B,F$4,'Diario Cali'!$C:$C,$A87)</f>
        <v>0</v>
      </c>
      <c r="G87" s="24">
        <f>SUMIFS('Diario Adm'!$E:$E,'Diario Adm'!$B:$B,G$4,'Diario Adm'!$C:$C,$A87)+SUMIFS('Diario Cali'!$E:$E,'Diario Cali'!$B:$B,G$4,'Diario Cali'!$C:$C,$A87)</f>
        <v>0</v>
      </c>
      <c r="H87" s="24">
        <f>SUMIFS('Diario Adm'!$E:$E,'Diario Adm'!$B:$B,H$4,'Diario Adm'!$C:$C,$A87)+SUMIFS('Diario Cali'!$E:$E,'Diario Cali'!$B:$B,H$4,'Diario Cali'!$C:$C,$A87)</f>
        <v>0</v>
      </c>
      <c r="I87" s="24">
        <f>SUMIFS('Diario Adm'!$E:$E,'Diario Adm'!$B:$B,I$4,'Diario Adm'!$C:$C,$A87)+SUMIFS('Diario Cali'!$E:$E,'Diario Cali'!$B:$B,I$4,'Diario Cali'!$C:$C,$A87)</f>
        <v>0</v>
      </c>
      <c r="J87" s="24">
        <f>SUMIFS('Diario Adm'!$E:$E,'Diario Adm'!$B:$B,J$4,'Diario Adm'!$C:$C,$A87)+SUMIFS('Diario Cali'!$E:$E,'Diario Cali'!$B:$B,J$4,'Diario Cali'!$C:$C,$A87)</f>
        <v>0</v>
      </c>
      <c r="K87" s="24">
        <f>SUMIFS('Diario Adm'!$E:$E,'Diario Adm'!$B:$B,K$4,'Diario Adm'!$C:$C,$A87)+SUMIFS('Diario Cali'!$E:$E,'Diario Cali'!$B:$B,K$4,'Diario Cali'!$C:$C,$A87)</f>
        <v>0</v>
      </c>
      <c r="L87" s="24">
        <f>SUMIFS('Diario Adm'!$E:$E,'Diario Adm'!$B:$B,L$4,'Diario Adm'!$C:$C,$A87)+SUMIFS('Diario Cali'!$E:$E,'Diario Cali'!$B:$B,L$4,'Diario Cali'!$C:$C,$A87)</f>
        <v>0</v>
      </c>
      <c r="M87" s="24">
        <f>SUMIFS('Diario Adm'!$E:$E,'Diario Adm'!$B:$B,M$4,'Diario Adm'!$C:$C,$A87)+SUMIFS('Diario Cali'!$E:$E,'Diario Cali'!$B:$B,M$4,'Diario Cali'!$C:$C,$A87)</f>
        <v>0</v>
      </c>
      <c r="N87" s="24">
        <f>SUMIFS('Diario Adm'!$E:$E,'Diario Adm'!$B:$B,N$4,'Diario Adm'!$C:$C,$A87)+SUMIFS('Diario Cali'!$E:$E,'Diario Cali'!$B:$B,N$4,'Diario Cali'!$C:$C,$A87)</f>
        <v>1775408</v>
      </c>
      <c r="O87" s="28"/>
      <c r="P87" s="138">
        <f t="shared" si="10"/>
        <v>1775408</v>
      </c>
      <c r="Q87" s="28"/>
      <c r="R87" s="140">
        <f t="shared" si="11"/>
        <v>177540.8</v>
      </c>
    </row>
    <row r="88" spans="1:18" ht="13.6" x14ac:dyDescent="0.25">
      <c r="A88" s="170">
        <v>4822</v>
      </c>
      <c r="B88" s="128" t="str">
        <f>VLOOKUP(A88,Plan!A:B,2,0)</f>
        <v>Caja de Navidad</v>
      </c>
      <c r="C88" s="24">
        <f>SUMIFS('Diario Adm'!$E:$E,'Diario Adm'!$B:$B,C$4,'Diario Adm'!$C:$C,$A88)+SUMIFS('Diario Cali'!$E:$E,'Diario Cali'!$B:$B,C$4,'Diario Cali'!$C:$C,$A88)</f>
        <v>0</v>
      </c>
      <c r="D88" s="24">
        <f>SUMIFS('Diario Adm'!$E:$E,'Diario Adm'!$B:$B,D$4,'Diario Adm'!$C:$C,$A88)+SUMIFS('Diario Cali'!$E:$E,'Diario Cali'!$B:$B,D$4,'Diario Cali'!$C:$C,$A88)</f>
        <v>0</v>
      </c>
      <c r="E88" s="24">
        <f>SUMIFS('Diario Adm'!$E:$E,'Diario Adm'!$B:$B,E$4,'Diario Adm'!$C:$C,$A88)+SUMIFS('Diario Cali'!$E:$E,'Diario Cali'!$B:$B,E$4,'Diario Cali'!$C:$C,$A88)</f>
        <v>0</v>
      </c>
      <c r="F88" s="24">
        <f>SUMIFS('Diario Adm'!$E:$E,'Diario Adm'!$B:$B,F$4,'Diario Adm'!$C:$C,$A88)+SUMIFS('Diario Cali'!$E:$E,'Diario Cali'!$B:$B,F$4,'Diario Cali'!$C:$C,$A88)</f>
        <v>0</v>
      </c>
      <c r="G88" s="24">
        <f>SUMIFS('Diario Adm'!$E:$E,'Diario Adm'!$B:$B,G$4,'Diario Adm'!$C:$C,$A88)+SUMIFS('Diario Cali'!$E:$E,'Diario Cali'!$B:$B,G$4,'Diario Cali'!$C:$C,$A88)</f>
        <v>0</v>
      </c>
      <c r="H88" s="24">
        <f>SUMIFS('Diario Adm'!$E:$E,'Diario Adm'!$B:$B,H$4,'Diario Adm'!$C:$C,$A88)+SUMIFS('Diario Cali'!$E:$E,'Diario Cali'!$B:$B,H$4,'Diario Cali'!$C:$C,$A88)</f>
        <v>0</v>
      </c>
      <c r="I88" s="24">
        <f>SUMIFS('Diario Adm'!$E:$E,'Diario Adm'!$B:$B,I$4,'Diario Adm'!$C:$C,$A88)+SUMIFS('Diario Cali'!$E:$E,'Diario Cali'!$B:$B,I$4,'Diario Cali'!$C:$C,$A88)</f>
        <v>0</v>
      </c>
      <c r="J88" s="24">
        <f>SUMIFS('Diario Adm'!$E:$E,'Diario Adm'!$B:$B,J$4,'Diario Adm'!$C:$C,$A88)+SUMIFS('Diario Cali'!$E:$E,'Diario Cali'!$B:$B,J$4,'Diario Cali'!$C:$C,$A88)</f>
        <v>0</v>
      </c>
      <c r="K88" s="24">
        <f>SUMIFS('Diario Adm'!$E:$E,'Diario Adm'!$B:$B,K$4,'Diario Adm'!$C:$C,$A88)+SUMIFS('Diario Cali'!$E:$E,'Diario Cali'!$B:$B,K$4,'Diario Cali'!$C:$C,$A88)</f>
        <v>0</v>
      </c>
      <c r="L88" s="24">
        <f>SUMIFS('Diario Adm'!$E:$E,'Diario Adm'!$B:$B,L$4,'Diario Adm'!$C:$C,$A88)+SUMIFS('Diario Cali'!$E:$E,'Diario Cali'!$B:$B,L$4,'Diario Cali'!$C:$C,$A88)</f>
        <v>0</v>
      </c>
      <c r="M88" s="24">
        <f>SUMIFS('Diario Adm'!$E:$E,'Diario Adm'!$B:$B,M$4,'Diario Adm'!$C:$C,$A88)+SUMIFS('Diario Cali'!$E:$E,'Diario Cali'!$B:$B,M$4,'Diario Cali'!$C:$C,$A88)</f>
        <v>59000</v>
      </c>
      <c r="N88" s="24">
        <f>SUMIFS('Diario Adm'!$E:$E,'Diario Adm'!$B:$B,N$4,'Diario Adm'!$C:$C,$A88)+SUMIFS('Diario Cali'!$E:$E,'Diario Cali'!$B:$B,N$4,'Diario Cali'!$C:$C,$A88)</f>
        <v>19768000</v>
      </c>
      <c r="O88" s="28"/>
      <c r="P88" s="138">
        <f>SUM(C88:N88)</f>
        <v>19827000</v>
      </c>
      <c r="Q88" s="28"/>
      <c r="R88" s="140">
        <f>+P88/$R$4</f>
        <v>1982700</v>
      </c>
    </row>
    <row r="89" spans="1:18" ht="13.6" x14ac:dyDescent="0.25">
      <c r="A89" s="170">
        <v>4830</v>
      </c>
      <c r="B89" s="128" t="str">
        <f>VLOOKUP(A89,Plan!A:B,2,0)</f>
        <v>Dia San Alberto Hurtado</v>
      </c>
      <c r="C89" s="24">
        <f>SUMIFS('Diario Adm'!$E:$E,'Diario Adm'!$B:$B,C$4,'Diario Adm'!$C:$C,$A89)+SUMIFS('Diario Cali'!$E:$E,'Diario Cali'!$B:$B,C$4,'Diario Cali'!$C:$C,$A89)</f>
        <v>0</v>
      </c>
      <c r="D89" s="24">
        <f>SUMIFS('Diario Adm'!$E:$E,'Diario Adm'!$B:$B,D$4,'Diario Adm'!$C:$C,$A89)+SUMIFS('Diario Cali'!$E:$E,'Diario Cali'!$B:$B,D$4,'Diario Cali'!$C:$C,$A89)</f>
        <v>0</v>
      </c>
      <c r="E89" s="24">
        <f>SUMIFS('Diario Adm'!$E:$E,'Diario Adm'!$B:$B,E$4,'Diario Adm'!$C:$C,$A89)+SUMIFS('Diario Cali'!$E:$E,'Diario Cali'!$B:$B,E$4,'Diario Cali'!$C:$C,$A89)</f>
        <v>0</v>
      </c>
      <c r="F89" s="24">
        <f>SUMIFS('Diario Adm'!$E:$E,'Diario Adm'!$B:$B,F$4,'Diario Adm'!$C:$C,$A89)+SUMIFS('Diario Cali'!$E:$E,'Diario Cali'!$B:$B,F$4,'Diario Cali'!$C:$C,$A89)</f>
        <v>0</v>
      </c>
      <c r="G89" s="24">
        <f>SUMIFS('Diario Adm'!$E:$E,'Diario Adm'!$B:$B,G$4,'Diario Adm'!$C:$C,$A89)+SUMIFS('Diario Cali'!$E:$E,'Diario Cali'!$B:$B,G$4,'Diario Cali'!$C:$C,$A89)</f>
        <v>0</v>
      </c>
      <c r="H89" s="24">
        <f>SUMIFS('Diario Adm'!$E:$E,'Diario Adm'!$B:$B,H$4,'Diario Adm'!$C:$C,$A89)+SUMIFS('Diario Cali'!$E:$E,'Diario Cali'!$B:$B,H$4,'Diario Cali'!$C:$C,$A89)</f>
        <v>0</v>
      </c>
      <c r="I89" s="24">
        <f>SUMIFS('Diario Adm'!$E:$E,'Diario Adm'!$B:$B,I$4,'Diario Adm'!$C:$C,$A89)+SUMIFS('Diario Cali'!$E:$E,'Diario Cali'!$B:$B,I$4,'Diario Cali'!$C:$C,$A89)</f>
        <v>0</v>
      </c>
      <c r="J89" s="24">
        <f>SUMIFS('Diario Adm'!$E:$E,'Diario Adm'!$B:$B,J$4,'Diario Adm'!$C:$C,$A89)+SUMIFS('Diario Cali'!$E:$E,'Diario Cali'!$B:$B,J$4,'Diario Cali'!$C:$C,$A89)</f>
        <v>0</v>
      </c>
      <c r="K89" s="24">
        <f>SUMIFS('Diario Adm'!$E:$E,'Diario Adm'!$B:$B,K$4,'Diario Adm'!$C:$C,$A89)+SUMIFS('Diario Cali'!$E:$E,'Diario Cali'!$B:$B,K$4,'Diario Cali'!$C:$C,$A89)</f>
        <v>0</v>
      </c>
      <c r="L89" s="24">
        <f>SUMIFS('Diario Adm'!$E:$E,'Diario Adm'!$B:$B,L$4,'Diario Adm'!$C:$C,$A89)+SUMIFS('Diario Cali'!$E:$E,'Diario Cali'!$B:$B,L$4,'Diario Cali'!$C:$C,$A89)</f>
        <v>0</v>
      </c>
      <c r="M89" s="24">
        <f>SUMIFS('Diario Adm'!$E:$E,'Diario Adm'!$B:$B,M$4,'Diario Adm'!$C:$C,$A89)+SUMIFS('Diario Cali'!$E:$E,'Diario Cali'!$B:$B,M$4,'Diario Cali'!$C:$C,$A89)</f>
        <v>0</v>
      </c>
      <c r="N89" s="24">
        <f>SUMIFS('Diario Adm'!$E:$E,'Diario Adm'!$B:$B,N$4,'Diario Adm'!$C:$C,$A89)+SUMIFS('Diario Cali'!$E:$E,'Diario Cali'!$B:$B,N$4,'Diario Cali'!$C:$C,$A89)</f>
        <v>0</v>
      </c>
      <c r="O89" s="28"/>
      <c r="P89" s="138">
        <f t="shared" si="10"/>
        <v>0</v>
      </c>
      <c r="Q89" s="28"/>
      <c r="R89" s="140">
        <f t="shared" si="11"/>
        <v>0</v>
      </c>
    </row>
    <row r="90" spans="1:18" ht="13.6" x14ac:dyDescent="0.25">
      <c r="A90" s="170">
        <v>4840</v>
      </c>
      <c r="B90" s="128" t="str">
        <f>VLOOKUP(A90,Plan!A:B,2,0)</f>
        <v>Mes de Maria</v>
      </c>
      <c r="C90" s="24">
        <f>SUMIFS('Diario Adm'!$E:$E,'Diario Adm'!$B:$B,C$4,'Diario Adm'!$C:$C,$A90)+SUMIFS('Diario Cali'!$E:$E,'Diario Cali'!$B:$B,C$4,'Diario Cali'!$C:$C,$A90)</f>
        <v>0</v>
      </c>
      <c r="D90" s="24">
        <f>SUMIFS('Diario Adm'!$E:$E,'Diario Adm'!$B:$B,D$4,'Diario Adm'!$C:$C,$A90)+SUMIFS('Diario Cali'!$E:$E,'Diario Cali'!$B:$B,D$4,'Diario Cali'!$C:$C,$A90)</f>
        <v>0</v>
      </c>
      <c r="E90" s="24">
        <f>SUMIFS('Diario Adm'!$E:$E,'Diario Adm'!$B:$B,E$4,'Diario Adm'!$C:$C,$A90)+SUMIFS('Diario Cali'!$E:$E,'Diario Cali'!$B:$B,E$4,'Diario Cali'!$C:$C,$A90)</f>
        <v>0</v>
      </c>
      <c r="F90" s="24">
        <f>SUMIFS('Diario Adm'!$E:$E,'Diario Adm'!$B:$B,F$4,'Diario Adm'!$C:$C,$A90)+SUMIFS('Diario Cali'!$E:$E,'Diario Cali'!$B:$B,F$4,'Diario Cali'!$C:$C,$A90)</f>
        <v>0</v>
      </c>
      <c r="G90" s="24">
        <f>SUMIFS('Diario Adm'!$E:$E,'Diario Adm'!$B:$B,G$4,'Diario Adm'!$C:$C,$A90)+SUMIFS('Diario Cali'!$E:$E,'Diario Cali'!$B:$B,G$4,'Diario Cali'!$C:$C,$A90)</f>
        <v>0</v>
      </c>
      <c r="H90" s="24">
        <f>SUMIFS('Diario Adm'!$E:$E,'Diario Adm'!$B:$B,H$4,'Diario Adm'!$C:$C,$A90)+SUMIFS('Diario Cali'!$E:$E,'Diario Cali'!$B:$B,H$4,'Diario Cali'!$C:$C,$A90)</f>
        <v>0</v>
      </c>
      <c r="I90" s="24">
        <f>SUMIFS('Diario Adm'!$E:$E,'Diario Adm'!$B:$B,I$4,'Diario Adm'!$C:$C,$A90)+SUMIFS('Diario Cali'!$E:$E,'Diario Cali'!$B:$B,I$4,'Diario Cali'!$C:$C,$A90)</f>
        <v>0</v>
      </c>
      <c r="J90" s="24">
        <f>SUMIFS('Diario Adm'!$E:$E,'Diario Adm'!$B:$B,J$4,'Diario Adm'!$C:$C,$A90)+SUMIFS('Diario Cali'!$E:$E,'Diario Cali'!$B:$B,J$4,'Diario Cali'!$C:$C,$A90)</f>
        <v>0</v>
      </c>
      <c r="K90" s="24">
        <f>SUMIFS('Diario Adm'!$E:$E,'Diario Adm'!$B:$B,K$4,'Diario Adm'!$C:$C,$A90)+SUMIFS('Diario Cali'!$E:$E,'Diario Cali'!$B:$B,K$4,'Diario Cali'!$C:$C,$A90)</f>
        <v>0</v>
      </c>
      <c r="L90" s="24">
        <f>SUMIFS('Diario Adm'!$E:$E,'Diario Adm'!$B:$B,L$4,'Diario Adm'!$C:$C,$A90)+SUMIFS('Diario Cali'!$E:$E,'Diario Cali'!$B:$B,L$4,'Diario Cali'!$C:$C,$A90)</f>
        <v>0</v>
      </c>
      <c r="M90" s="24">
        <f>SUMIFS('Diario Adm'!$E:$E,'Diario Adm'!$B:$B,M$4,'Diario Adm'!$C:$C,$A90)+SUMIFS('Diario Cali'!$E:$E,'Diario Cali'!$B:$B,M$4,'Diario Cali'!$C:$C,$A90)</f>
        <v>0</v>
      </c>
      <c r="N90" s="24">
        <f>SUMIFS('Diario Adm'!$E:$E,'Diario Adm'!$B:$B,N$4,'Diario Adm'!$C:$C,$A90)+SUMIFS('Diario Cali'!$E:$E,'Diario Cali'!$B:$B,N$4,'Diario Cali'!$C:$C,$A90)</f>
        <v>0</v>
      </c>
      <c r="O90" s="28"/>
      <c r="P90" s="138">
        <f t="shared" ref="P90:P100" si="12">SUM(C90:N90)</f>
        <v>0</v>
      </c>
      <c r="Q90" s="28"/>
      <c r="R90" s="140">
        <f t="shared" ref="R90:R100" si="13">+P90/$R$4</f>
        <v>0</v>
      </c>
    </row>
    <row r="91" spans="1:18" ht="13.6" x14ac:dyDescent="0.25">
      <c r="A91" s="170">
        <v>4850</v>
      </c>
      <c r="B91" s="128" t="str">
        <f>VLOOKUP(A91,Plan!A:B,2,0)</f>
        <v>Semana Santa</v>
      </c>
      <c r="C91" s="24">
        <f>SUMIFS('Diario Adm'!$E:$E,'Diario Adm'!$B:$B,C$4,'Diario Adm'!$C:$C,$A91)+SUMIFS('Diario Cali'!$E:$E,'Diario Cali'!$B:$B,C$4,'Diario Cali'!$C:$C,$A91)</f>
        <v>0</v>
      </c>
      <c r="D91" s="24">
        <f>SUMIFS('Diario Adm'!$E:$E,'Diario Adm'!$B:$B,D$4,'Diario Adm'!$C:$C,$A91)+SUMIFS('Diario Cali'!$E:$E,'Diario Cali'!$B:$B,D$4,'Diario Cali'!$C:$C,$A91)</f>
        <v>0</v>
      </c>
      <c r="E91" s="24">
        <f>SUMIFS('Diario Adm'!$E:$E,'Diario Adm'!$B:$B,E$4,'Diario Adm'!$C:$C,$A91)+SUMIFS('Diario Cali'!$E:$E,'Diario Cali'!$B:$B,E$4,'Diario Cali'!$C:$C,$A91)</f>
        <v>0</v>
      </c>
      <c r="F91" s="24">
        <f>SUMIFS('Diario Adm'!$E:$E,'Diario Adm'!$B:$B,F$4,'Diario Adm'!$C:$C,$A91)+SUMIFS('Diario Cali'!$E:$E,'Diario Cali'!$B:$B,F$4,'Diario Cali'!$C:$C,$A91)</f>
        <v>0</v>
      </c>
      <c r="G91" s="24">
        <f>SUMIFS('Diario Adm'!$E:$E,'Diario Adm'!$B:$B,G$4,'Diario Adm'!$C:$C,$A91)+SUMIFS('Diario Cali'!$E:$E,'Diario Cali'!$B:$B,G$4,'Diario Cali'!$C:$C,$A91)</f>
        <v>0</v>
      </c>
      <c r="H91" s="24">
        <f>SUMIFS('Diario Adm'!$E:$E,'Diario Adm'!$B:$B,H$4,'Diario Adm'!$C:$C,$A91)+SUMIFS('Diario Cali'!$E:$E,'Diario Cali'!$B:$B,H$4,'Diario Cali'!$C:$C,$A91)</f>
        <v>0</v>
      </c>
      <c r="I91" s="24">
        <f>SUMIFS('Diario Adm'!$E:$E,'Diario Adm'!$B:$B,I$4,'Diario Adm'!$C:$C,$A91)+SUMIFS('Diario Cali'!$E:$E,'Diario Cali'!$B:$B,I$4,'Diario Cali'!$C:$C,$A91)</f>
        <v>0</v>
      </c>
      <c r="J91" s="24">
        <f>SUMIFS('Diario Adm'!$E:$E,'Diario Adm'!$B:$B,J$4,'Diario Adm'!$C:$C,$A91)+SUMIFS('Diario Cali'!$E:$E,'Diario Cali'!$B:$B,J$4,'Diario Cali'!$C:$C,$A91)</f>
        <v>0</v>
      </c>
      <c r="K91" s="24">
        <f>SUMIFS('Diario Adm'!$E:$E,'Diario Adm'!$B:$B,K$4,'Diario Adm'!$C:$C,$A91)+SUMIFS('Diario Cali'!$E:$E,'Diario Cali'!$B:$B,K$4,'Diario Cali'!$C:$C,$A91)</f>
        <v>0</v>
      </c>
      <c r="L91" s="24">
        <f>SUMIFS('Diario Adm'!$E:$E,'Diario Adm'!$B:$B,L$4,'Diario Adm'!$C:$C,$A91)+SUMIFS('Diario Cali'!$E:$E,'Diario Cali'!$B:$B,L$4,'Diario Cali'!$C:$C,$A91)</f>
        <v>0</v>
      </c>
      <c r="M91" s="24">
        <f>SUMIFS('Diario Adm'!$E:$E,'Diario Adm'!$B:$B,M$4,'Diario Adm'!$C:$C,$A91)+SUMIFS('Diario Cali'!$E:$E,'Diario Cali'!$B:$B,M$4,'Diario Cali'!$C:$C,$A91)</f>
        <v>0</v>
      </c>
      <c r="N91" s="24">
        <f>SUMIFS('Diario Adm'!$E:$E,'Diario Adm'!$B:$B,N$4,'Diario Adm'!$C:$C,$A91)+SUMIFS('Diario Cali'!$E:$E,'Diario Cali'!$B:$B,N$4,'Diario Cali'!$C:$C,$A91)</f>
        <v>0</v>
      </c>
      <c r="O91" s="28"/>
      <c r="P91" s="138">
        <f t="shared" si="12"/>
        <v>0</v>
      </c>
      <c r="Q91" s="28"/>
      <c r="R91" s="140">
        <f t="shared" si="13"/>
        <v>0</v>
      </c>
    </row>
    <row r="92" spans="1:18" ht="13.6" x14ac:dyDescent="0.25">
      <c r="A92" s="168">
        <v>4860</v>
      </c>
      <c r="B92" s="128" t="str">
        <f>VLOOKUP(A92,Plan!A:B,2,0)</f>
        <v>Otros</v>
      </c>
      <c r="C92" s="24">
        <f>SUMIFS('Diario Adm'!$E:$E,'Diario Adm'!$B:$B,C$4,'Diario Adm'!$C:$C,$A92)+SUMIFS('Diario Cali'!$E:$E,'Diario Cali'!$B:$B,C$4,'Diario Cali'!$C:$C,$A92)</f>
        <v>48709</v>
      </c>
      <c r="D92" s="24">
        <f>SUMIFS('Diario Adm'!$E:$E,'Diario Adm'!$B:$B,D$4,'Diario Adm'!$C:$C,$A92)+SUMIFS('Diario Cali'!$E:$E,'Diario Cali'!$B:$B,D$4,'Diario Cali'!$C:$C,$A92)</f>
        <v>5718</v>
      </c>
      <c r="E92" s="24">
        <f>SUMIFS('Diario Adm'!$E:$E,'Diario Adm'!$B:$B,E$4,'Diario Adm'!$C:$C,$A92)+SUMIFS('Diario Cali'!$E:$E,'Diario Cali'!$B:$B,E$4,'Diario Cali'!$C:$C,$A92)</f>
        <v>89169</v>
      </c>
      <c r="F92" s="24">
        <f>SUMIFS('Diario Adm'!$E:$E,'Diario Adm'!$B:$B,F$4,'Diario Adm'!$C:$C,$A92)+SUMIFS('Diario Cali'!$E:$E,'Diario Cali'!$B:$B,F$4,'Diario Cali'!$C:$C,$A92)</f>
        <v>3322</v>
      </c>
      <c r="G92" s="24">
        <f>SUMIFS('Diario Adm'!$E:$E,'Diario Adm'!$B:$B,G$4,'Diario Adm'!$C:$C,$A92)+SUMIFS('Diario Cali'!$E:$E,'Diario Cali'!$B:$B,G$4,'Diario Cali'!$C:$C,$A92)</f>
        <v>2457</v>
      </c>
      <c r="H92" s="24">
        <f>SUMIFS('Diario Adm'!$E:$E,'Diario Adm'!$B:$B,H$4,'Diario Adm'!$C:$C,$A92)+SUMIFS('Diario Cali'!$E:$E,'Diario Cali'!$B:$B,H$4,'Diario Cali'!$C:$C,$A92)</f>
        <v>4229</v>
      </c>
      <c r="I92" s="24">
        <f>SUMIFS('Diario Adm'!$E:$E,'Diario Adm'!$B:$B,I$4,'Diario Adm'!$C:$C,$A92)+SUMIFS('Diario Cali'!$E:$E,'Diario Cali'!$B:$B,I$4,'Diario Cali'!$C:$C,$A92)</f>
        <v>2829</v>
      </c>
      <c r="J92" s="24">
        <f>SUMIFS('Diario Adm'!$E:$E,'Diario Adm'!$B:$B,J$4,'Diario Adm'!$C:$C,$A92)+SUMIFS('Diario Cali'!$E:$E,'Diario Cali'!$B:$B,J$4,'Diario Cali'!$C:$C,$A92)</f>
        <v>4957</v>
      </c>
      <c r="K92" s="24">
        <f>SUMIFS('Diario Adm'!$E:$E,'Diario Adm'!$B:$B,K$4,'Diario Adm'!$C:$C,$A92)+SUMIFS('Diario Cali'!$E:$E,'Diario Cali'!$B:$B,K$4,'Diario Cali'!$C:$C,$A92)</f>
        <v>28126</v>
      </c>
      <c r="L92" s="24">
        <f>SUMIFS('Diario Adm'!$E:$E,'Diario Adm'!$B:$B,L$4,'Diario Adm'!$C:$C,$A92)+SUMIFS('Diario Cali'!$E:$E,'Diario Cali'!$B:$B,L$4,'Diario Cali'!$C:$C,$A92)</f>
        <v>21300</v>
      </c>
      <c r="M92" s="24">
        <f>SUMIFS('Diario Adm'!$E:$E,'Diario Adm'!$B:$B,M$4,'Diario Adm'!$C:$C,$A92)+SUMIFS('Diario Cali'!$E:$E,'Diario Cali'!$B:$B,M$4,'Diario Cali'!$C:$C,$A92)</f>
        <v>26363</v>
      </c>
      <c r="N92" s="24">
        <f>SUMIFS('Diario Adm'!$E:$E,'Diario Adm'!$B:$B,N$4,'Diario Adm'!$C:$C,$A92)+SUMIFS('Diario Cali'!$E:$E,'Diario Cali'!$B:$B,N$4,'Diario Cali'!$C:$C,$A92)</f>
        <v>592851</v>
      </c>
      <c r="O92" s="28"/>
      <c r="P92" s="138">
        <f t="shared" si="12"/>
        <v>830030</v>
      </c>
      <c r="Q92" s="28"/>
      <c r="R92" s="140">
        <f t="shared" si="13"/>
        <v>83003</v>
      </c>
    </row>
    <row r="93" spans="1:18" ht="13.6" x14ac:dyDescent="0.25">
      <c r="A93" s="168">
        <v>4861</v>
      </c>
      <c r="B93" s="128" t="str">
        <f>VLOOKUP(A93,Plan!A:B,2,0)</f>
        <v>Curso Biblia</v>
      </c>
      <c r="C93" s="24">
        <f>SUMIFS('Diario Adm'!$E:$E,'Diario Adm'!$B:$B,C$4,'Diario Adm'!$C:$C,$A93)+SUMIFS('Diario Cali'!$E:$E,'Diario Cali'!$B:$B,C$4,'Diario Cali'!$C:$C,$A93)</f>
        <v>0</v>
      </c>
      <c r="D93" s="24">
        <f>SUMIFS('Diario Adm'!$E:$E,'Diario Adm'!$B:$B,D$4,'Diario Adm'!$C:$C,$A93)+SUMIFS('Diario Cali'!$E:$E,'Diario Cali'!$B:$B,D$4,'Diario Cali'!$C:$C,$A93)</f>
        <v>0</v>
      </c>
      <c r="E93" s="24">
        <f>SUMIFS('Diario Adm'!$E:$E,'Diario Adm'!$B:$B,E$4,'Diario Adm'!$C:$C,$A93)+SUMIFS('Diario Cali'!$E:$E,'Diario Cali'!$B:$B,E$4,'Diario Cali'!$C:$C,$A93)</f>
        <v>0</v>
      </c>
      <c r="F93" s="24">
        <f>SUMIFS('Diario Adm'!$E:$E,'Diario Adm'!$B:$B,F$4,'Diario Adm'!$C:$C,$A93)+SUMIFS('Diario Cali'!$E:$E,'Diario Cali'!$B:$B,F$4,'Diario Cali'!$C:$C,$A93)</f>
        <v>245250</v>
      </c>
      <c r="G93" s="24">
        <f>SUMIFS('Diario Adm'!$E:$E,'Diario Adm'!$B:$B,G$4,'Diario Adm'!$C:$C,$A93)+SUMIFS('Diario Cali'!$E:$E,'Diario Cali'!$B:$B,G$4,'Diario Cali'!$C:$C,$A93)</f>
        <v>292750</v>
      </c>
      <c r="H93" s="24">
        <f>SUMIFS('Diario Adm'!$E:$E,'Diario Adm'!$B:$B,H$4,'Diario Adm'!$C:$C,$A93)+SUMIFS('Diario Cali'!$E:$E,'Diario Cali'!$B:$B,H$4,'Diario Cali'!$C:$C,$A93)</f>
        <v>0</v>
      </c>
      <c r="I93" s="24">
        <f>SUMIFS('Diario Adm'!$E:$E,'Diario Adm'!$B:$B,I$4,'Diario Adm'!$C:$C,$A93)+SUMIFS('Diario Cali'!$E:$E,'Diario Cali'!$B:$B,I$4,'Diario Cali'!$C:$C,$A93)</f>
        <v>0</v>
      </c>
      <c r="J93" s="24">
        <f>SUMIFS('Diario Adm'!$E:$E,'Diario Adm'!$B:$B,J$4,'Diario Adm'!$C:$C,$A93)+SUMIFS('Diario Cali'!$E:$E,'Diario Cali'!$B:$B,J$4,'Diario Cali'!$C:$C,$A93)</f>
        <v>500000</v>
      </c>
      <c r="K93" s="24">
        <f>SUMIFS('Diario Adm'!$E:$E,'Diario Adm'!$B:$B,K$4,'Diario Adm'!$C:$C,$A93)+SUMIFS('Diario Cali'!$E:$E,'Diario Cali'!$B:$B,K$4,'Diario Cali'!$C:$C,$A93)</f>
        <v>430000</v>
      </c>
      <c r="L93" s="24">
        <f>SUMIFS('Diario Adm'!$E:$E,'Diario Adm'!$B:$B,L$4,'Diario Adm'!$C:$C,$A93)+SUMIFS('Diario Cali'!$E:$E,'Diario Cali'!$B:$B,L$4,'Diario Cali'!$C:$C,$A93)</f>
        <v>0</v>
      </c>
      <c r="M93" s="24">
        <f>SUMIFS('Diario Adm'!$E:$E,'Diario Adm'!$B:$B,M$4,'Diario Adm'!$C:$C,$A93)+SUMIFS('Diario Cali'!$E:$E,'Diario Cali'!$B:$B,M$4,'Diario Cali'!$C:$C,$A93)</f>
        <v>0</v>
      </c>
      <c r="N93" s="24">
        <f>SUMIFS('Diario Adm'!$E:$E,'Diario Adm'!$B:$B,N$4,'Diario Adm'!$C:$C,$A93)+SUMIFS('Diario Cali'!$E:$E,'Diario Cali'!$B:$B,N$4,'Diario Cali'!$C:$C,$A93)</f>
        <v>705000</v>
      </c>
      <c r="O93" s="28"/>
      <c r="P93" s="138">
        <f>SUM(C93:N93)</f>
        <v>2173000</v>
      </c>
      <c r="Q93" s="28"/>
      <c r="R93" s="140">
        <f>+P93/$R$4</f>
        <v>217300</v>
      </c>
    </row>
    <row r="94" spans="1:18" ht="13.6" x14ac:dyDescent="0.25">
      <c r="A94" s="170">
        <v>4910</v>
      </c>
      <c r="B94" s="128" t="str">
        <f>VLOOKUP(A94,Plan!A:B,2,0)</f>
        <v>Casa de Dios</v>
      </c>
      <c r="C94" s="24">
        <f>SUMIFS('Diario Adm'!$E:$E,'Diario Adm'!$B:$B,C$4,'Diario Adm'!$C:$C,$A94)+SUMIFS('Diario Cali'!$E:$E,'Diario Cali'!$B:$B,C$4,'Diario Cali'!$C:$C,$A94)</f>
        <v>0</v>
      </c>
      <c r="D94" s="24">
        <f>SUMIFS('Diario Adm'!$E:$E,'Diario Adm'!$B:$B,D$4,'Diario Adm'!$C:$C,$A94)+SUMIFS('Diario Cali'!$E:$E,'Diario Cali'!$B:$B,D$4,'Diario Cali'!$C:$C,$A94)</f>
        <v>0</v>
      </c>
      <c r="E94" s="24">
        <f>SUMIFS('Diario Adm'!$E:$E,'Diario Adm'!$B:$B,E$4,'Diario Adm'!$C:$C,$A94)+SUMIFS('Diario Cali'!$E:$E,'Diario Cali'!$B:$B,E$4,'Diario Cali'!$C:$C,$A94)</f>
        <v>0</v>
      </c>
      <c r="F94" s="24">
        <f>SUMIFS('Diario Adm'!$E:$E,'Diario Adm'!$B:$B,F$4,'Diario Adm'!$C:$C,$A94)+SUMIFS('Diario Cali'!$E:$E,'Diario Cali'!$B:$B,F$4,'Diario Cali'!$C:$C,$A94)</f>
        <v>0</v>
      </c>
      <c r="G94" s="24">
        <f>SUMIFS('Diario Adm'!$E:$E,'Diario Adm'!$B:$B,G$4,'Diario Adm'!$C:$C,$A94)+SUMIFS('Diario Cali'!$E:$E,'Diario Cali'!$B:$B,G$4,'Diario Cali'!$C:$C,$A94)</f>
        <v>0</v>
      </c>
      <c r="H94" s="24">
        <f>SUMIFS('Diario Adm'!$E:$E,'Diario Adm'!$B:$B,H$4,'Diario Adm'!$C:$C,$A94)+SUMIFS('Diario Cali'!$E:$E,'Diario Cali'!$B:$B,H$4,'Diario Cali'!$C:$C,$A94)</f>
        <v>0</v>
      </c>
      <c r="I94" s="24">
        <f>SUMIFS('Diario Adm'!$E:$E,'Diario Adm'!$B:$B,I$4,'Diario Adm'!$C:$C,$A94)+SUMIFS('Diario Cali'!$E:$E,'Diario Cali'!$B:$B,I$4,'Diario Cali'!$C:$C,$A94)</f>
        <v>0</v>
      </c>
      <c r="J94" s="24">
        <f>SUMIFS('Diario Adm'!$E:$E,'Diario Adm'!$B:$B,J$4,'Diario Adm'!$C:$C,$A94)+SUMIFS('Diario Cali'!$E:$E,'Diario Cali'!$B:$B,J$4,'Diario Cali'!$C:$C,$A94)</f>
        <v>0</v>
      </c>
      <c r="K94" s="24">
        <f>SUMIFS('Diario Adm'!$E:$E,'Diario Adm'!$B:$B,K$4,'Diario Adm'!$C:$C,$A94)+SUMIFS('Diario Cali'!$E:$E,'Diario Cali'!$B:$B,K$4,'Diario Cali'!$C:$C,$A94)</f>
        <v>0</v>
      </c>
      <c r="L94" s="24">
        <f>SUMIFS('Diario Adm'!$E:$E,'Diario Adm'!$B:$B,L$4,'Diario Adm'!$C:$C,$A94)+SUMIFS('Diario Cali'!$E:$E,'Diario Cali'!$B:$B,L$4,'Diario Cali'!$C:$C,$A94)</f>
        <v>0</v>
      </c>
      <c r="M94" s="24">
        <f>SUMIFS('Diario Adm'!$E:$E,'Diario Adm'!$B:$B,M$4,'Diario Adm'!$C:$C,$A94)+SUMIFS('Diario Cali'!$E:$E,'Diario Cali'!$B:$B,M$4,'Diario Cali'!$C:$C,$A94)</f>
        <v>0</v>
      </c>
      <c r="N94" s="24">
        <f>SUMIFS('Diario Adm'!$E:$E,'Diario Adm'!$B:$B,N$4,'Diario Adm'!$C:$C,$A94)+SUMIFS('Diario Cali'!$E:$E,'Diario Cali'!$B:$B,N$4,'Diario Cali'!$C:$C,$A94)</f>
        <v>0</v>
      </c>
      <c r="O94" s="28"/>
      <c r="P94" s="138">
        <f t="shared" si="12"/>
        <v>0</v>
      </c>
      <c r="Q94" s="28"/>
      <c r="R94" s="140">
        <f t="shared" si="13"/>
        <v>0</v>
      </c>
    </row>
    <row r="95" spans="1:18" ht="13.6" x14ac:dyDescent="0.25">
      <c r="A95" s="170">
        <v>4920</v>
      </c>
      <c r="B95" s="128" t="str">
        <f>VLOOKUP(A95,Plan!A:B,2,0)</f>
        <v>Incami</v>
      </c>
      <c r="C95" s="24">
        <f>SUMIFS('Diario Adm'!$E:$E,'Diario Adm'!$B:$B,C$4,'Diario Adm'!$C:$C,$A95)+SUMIFS('Diario Cali'!$E:$E,'Diario Cali'!$B:$B,C$4,'Diario Cali'!$C:$C,$A95)</f>
        <v>0</v>
      </c>
      <c r="D95" s="24">
        <f>SUMIFS('Diario Adm'!$E:$E,'Diario Adm'!$B:$B,D$4,'Diario Adm'!$C:$C,$A95)+SUMIFS('Diario Cali'!$E:$E,'Diario Cali'!$B:$B,D$4,'Diario Cali'!$C:$C,$A95)</f>
        <v>0</v>
      </c>
      <c r="E95" s="24">
        <f>SUMIFS('Diario Adm'!$E:$E,'Diario Adm'!$B:$B,E$4,'Diario Adm'!$C:$C,$A95)+SUMIFS('Diario Cali'!$E:$E,'Diario Cali'!$B:$B,E$4,'Diario Cali'!$C:$C,$A95)</f>
        <v>0</v>
      </c>
      <c r="F95" s="24">
        <f>SUMIFS('Diario Adm'!$E:$E,'Diario Adm'!$B:$B,F$4,'Diario Adm'!$C:$C,$A95)+SUMIFS('Diario Cali'!$E:$E,'Diario Cali'!$B:$B,F$4,'Diario Cali'!$C:$C,$A95)</f>
        <v>0</v>
      </c>
      <c r="G95" s="24">
        <f>SUMIFS('Diario Adm'!$E:$E,'Diario Adm'!$B:$B,G$4,'Diario Adm'!$C:$C,$A95)+SUMIFS('Diario Cali'!$E:$E,'Diario Cali'!$B:$B,G$4,'Diario Cali'!$C:$C,$A95)</f>
        <v>0</v>
      </c>
      <c r="H95" s="24">
        <f>SUMIFS('Diario Adm'!$E:$E,'Diario Adm'!$B:$B,H$4,'Diario Adm'!$C:$C,$A95)+SUMIFS('Diario Cali'!$E:$E,'Diario Cali'!$B:$B,H$4,'Diario Cali'!$C:$C,$A95)</f>
        <v>0</v>
      </c>
      <c r="I95" s="24">
        <f>SUMIFS('Diario Adm'!$E:$E,'Diario Adm'!$B:$B,I$4,'Diario Adm'!$C:$C,$A95)+SUMIFS('Diario Cali'!$E:$E,'Diario Cali'!$B:$B,I$4,'Diario Cali'!$C:$C,$A95)</f>
        <v>0</v>
      </c>
      <c r="J95" s="24">
        <f>SUMIFS('Diario Adm'!$E:$E,'Diario Adm'!$B:$B,J$4,'Diario Adm'!$C:$C,$A95)+SUMIFS('Diario Cali'!$E:$E,'Diario Cali'!$B:$B,J$4,'Diario Cali'!$C:$C,$A95)</f>
        <v>0</v>
      </c>
      <c r="K95" s="24">
        <f>SUMIFS('Diario Adm'!$E:$E,'Diario Adm'!$B:$B,K$4,'Diario Adm'!$C:$C,$A95)+SUMIFS('Diario Cali'!$E:$E,'Diario Cali'!$B:$B,K$4,'Diario Cali'!$C:$C,$A95)</f>
        <v>0</v>
      </c>
      <c r="L95" s="24">
        <f>SUMIFS('Diario Adm'!$E:$E,'Diario Adm'!$B:$B,L$4,'Diario Adm'!$C:$C,$A95)+SUMIFS('Diario Cali'!$E:$E,'Diario Cali'!$B:$B,L$4,'Diario Cali'!$C:$C,$A95)</f>
        <v>0</v>
      </c>
      <c r="M95" s="24">
        <f>SUMIFS('Diario Adm'!$E:$E,'Diario Adm'!$B:$B,M$4,'Diario Adm'!$C:$C,$A95)+SUMIFS('Diario Cali'!$E:$E,'Diario Cali'!$B:$B,M$4,'Diario Cali'!$C:$C,$A95)</f>
        <v>0</v>
      </c>
      <c r="N95" s="24">
        <f>SUMIFS('Diario Adm'!$E:$E,'Diario Adm'!$B:$B,N$4,'Diario Adm'!$C:$C,$A95)+SUMIFS('Diario Cali'!$E:$E,'Diario Cali'!$B:$B,N$4,'Diario Cali'!$C:$C,$A95)</f>
        <v>0</v>
      </c>
      <c r="O95" s="28"/>
      <c r="P95" s="138">
        <f t="shared" si="12"/>
        <v>0</v>
      </c>
      <c r="Q95" s="28"/>
      <c r="R95" s="140">
        <f t="shared" si="13"/>
        <v>0</v>
      </c>
    </row>
    <row r="96" spans="1:18" ht="13.6" x14ac:dyDescent="0.25">
      <c r="A96" s="170">
        <v>4930</v>
      </c>
      <c r="B96" s="128" t="str">
        <f>VLOOKUP(A96,Plan!A:B,2,0)</f>
        <v>Obras Misionales</v>
      </c>
      <c r="C96" s="24">
        <f>SUMIFS('Diario Adm'!$E:$E,'Diario Adm'!$B:$B,C$4,'Diario Adm'!$C:$C,$A96)+SUMIFS('Diario Cali'!$E:$E,'Diario Cali'!$B:$B,C$4,'Diario Cali'!$C:$C,$A96)</f>
        <v>0</v>
      </c>
      <c r="D96" s="24">
        <f>SUMIFS('Diario Adm'!$E:$E,'Diario Adm'!$B:$B,D$4,'Diario Adm'!$C:$C,$A96)+SUMIFS('Diario Cali'!$E:$E,'Diario Cali'!$B:$B,D$4,'Diario Cali'!$C:$C,$A96)</f>
        <v>0</v>
      </c>
      <c r="E96" s="24">
        <f>SUMIFS('Diario Adm'!$E:$E,'Diario Adm'!$B:$B,E$4,'Diario Adm'!$C:$C,$A96)+SUMIFS('Diario Cali'!$E:$E,'Diario Cali'!$B:$B,E$4,'Diario Cali'!$C:$C,$A96)</f>
        <v>0</v>
      </c>
      <c r="F96" s="24">
        <f>SUMIFS('Diario Adm'!$E:$E,'Diario Adm'!$B:$B,F$4,'Diario Adm'!$C:$C,$A96)+SUMIFS('Diario Cali'!$E:$E,'Diario Cali'!$B:$B,F$4,'Diario Cali'!$C:$C,$A96)</f>
        <v>0</v>
      </c>
      <c r="G96" s="24">
        <f>SUMIFS('Diario Adm'!$E:$E,'Diario Adm'!$B:$B,G$4,'Diario Adm'!$C:$C,$A96)+SUMIFS('Diario Cali'!$E:$E,'Diario Cali'!$B:$B,G$4,'Diario Cali'!$C:$C,$A96)</f>
        <v>0</v>
      </c>
      <c r="H96" s="24">
        <f>SUMIFS('Diario Adm'!$E:$E,'Diario Adm'!$B:$B,H$4,'Diario Adm'!$C:$C,$A96)+SUMIFS('Diario Cali'!$E:$E,'Diario Cali'!$B:$B,H$4,'Diario Cali'!$C:$C,$A96)</f>
        <v>0</v>
      </c>
      <c r="I96" s="24">
        <f>SUMIFS('Diario Adm'!$E:$E,'Diario Adm'!$B:$B,I$4,'Diario Adm'!$C:$C,$A96)+SUMIFS('Diario Cali'!$E:$E,'Diario Cali'!$B:$B,I$4,'Diario Cali'!$C:$C,$A96)</f>
        <v>0</v>
      </c>
      <c r="J96" s="24">
        <f>SUMIFS('Diario Adm'!$E:$E,'Diario Adm'!$B:$B,J$4,'Diario Adm'!$C:$C,$A96)+SUMIFS('Diario Cali'!$E:$E,'Diario Cali'!$B:$B,J$4,'Diario Cali'!$C:$C,$A96)</f>
        <v>0</v>
      </c>
      <c r="K96" s="24">
        <f>SUMIFS('Diario Adm'!$E:$E,'Diario Adm'!$B:$B,K$4,'Diario Adm'!$C:$C,$A96)+SUMIFS('Diario Cali'!$E:$E,'Diario Cali'!$B:$B,K$4,'Diario Cali'!$C:$C,$A96)</f>
        <v>0</v>
      </c>
      <c r="L96" s="24">
        <f>SUMIFS('Diario Adm'!$E:$E,'Diario Adm'!$B:$B,L$4,'Diario Adm'!$C:$C,$A96)+SUMIFS('Diario Cali'!$E:$E,'Diario Cali'!$B:$B,L$4,'Diario Cali'!$C:$C,$A96)</f>
        <v>0</v>
      </c>
      <c r="M96" s="24">
        <f>SUMIFS('Diario Adm'!$E:$E,'Diario Adm'!$B:$B,M$4,'Diario Adm'!$C:$C,$A96)+SUMIFS('Diario Cali'!$E:$E,'Diario Cali'!$B:$B,M$4,'Diario Cali'!$C:$C,$A96)</f>
        <v>0</v>
      </c>
      <c r="N96" s="24">
        <f>SUMIFS('Diario Adm'!$E:$E,'Diario Adm'!$B:$B,N$4,'Diario Adm'!$C:$C,$A96)+SUMIFS('Diario Cali'!$E:$E,'Diario Cali'!$B:$B,N$4,'Diario Cali'!$C:$C,$A96)</f>
        <v>0</v>
      </c>
      <c r="O96" s="28"/>
      <c r="P96" s="138">
        <f t="shared" si="12"/>
        <v>0</v>
      </c>
      <c r="Q96" s="28"/>
      <c r="R96" s="140">
        <f t="shared" si="13"/>
        <v>0</v>
      </c>
    </row>
    <row r="97" spans="1:18" ht="13.6" x14ac:dyDescent="0.25">
      <c r="A97" s="170">
        <v>4940</v>
      </c>
      <c r="B97" s="128" t="str">
        <f>VLOOKUP(A97,Plan!A:B,2,0)</f>
        <v>Seminario Mayor</v>
      </c>
      <c r="C97" s="24">
        <f>SUMIFS('Diario Adm'!$E:$E,'Diario Adm'!$B:$B,C$4,'Diario Adm'!$C:$C,$A97)+SUMIFS('Diario Cali'!$E:$E,'Diario Cali'!$B:$B,C$4,'Diario Cali'!$C:$C,$A97)</f>
        <v>0</v>
      </c>
      <c r="D97" s="24">
        <f>SUMIFS('Diario Adm'!$E:$E,'Diario Adm'!$B:$B,D$4,'Diario Adm'!$C:$C,$A97)+SUMIFS('Diario Cali'!$E:$E,'Diario Cali'!$B:$B,D$4,'Diario Cali'!$C:$C,$A97)</f>
        <v>0</v>
      </c>
      <c r="E97" s="24">
        <f>SUMIFS('Diario Adm'!$E:$E,'Diario Adm'!$B:$B,E$4,'Diario Adm'!$C:$C,$A97)+SUMIFS('Diario Cali'!$E:$E,'Diario Cali'!$B:$B,E$4,'Diario Cali'!$C:$C,$A97)</f>
        <v>0</v>
      </c>
      <c r="F97" s="24">
        <f>SUMIFS('Diario Adm'!$E:$E,'Diario Adm'!$B:$B,F$4,'Diario Adm'!$C:$C,$A97)+SUMIFS('Diario Cali'!$E:$E,'Diario Cali'!$B:$B,F$4,'Diario Cali'!$C:$C,$A97)</f>
        <v>0</v>
      </c>
      <c r="G97" s="24">
        <f>SUMIFS('Diario Adm'!$E:$E,'Diario Adm'!$B:$B,G$4,'Diario Adm'!$C:$C,$A97)+SUMIFS('Diario Cali'!$E:$E,'Diario Cali'!$B:$B,G$4,'Diario Cali'!$C:$C,$A97)</f>
        <v>0</v>
      </c>
      <c r="H97" s="24">
        <f>SUMIFS('Diario Adm'!$E:$E,'Diario Adm'!$B:$B,H$4,'Diario Adm'!$C:$C,$A97)+SUMIFS('Diario Cali'!$E:$E,'Diario Cali'!$B:$B,H$4,'Diario Cali'!$C:$C,$A97)</f>
        <v>0</v>
      </c>
      <c r="I97" s="24">
        <f>SUMIFS('Diario Adm'!$E:$E,'Diario Adm'!$B:$B,I$4,'Diario Adm'!$C:$C,$A97)+SUMIFS('Diario Cali'!$E:$E,'Diario Cali'!$B:$B,I$4,'Diario Cali'!$C:$C,$A97)</f>
        <v>0</v>
      </c>
      <c r="J97" s="24">
        <f>SUMIFS('Diario Adm'!$E:$E,'Diario Adm'!$B:$B,J$4,'Diario Adm'!$C:$C,$A97)+SUMIFS('Diario Cali'!$E:$E,'Diario Cali'!$B:$B,J$4,'Diario Cali'!$C:$C,$A97)</f>
        <v>0</v>
      </c>
      <c r="K97" s="24">
        <f>SUMIFS('Diario Adm'!$E:$E,'Diario Adm'!$B:$B,K$4,'Diario Adm'!$C:$C,$A97)+SUMIFS('Diario Cali'!$E:$E,'Diario Cali'!$B:$B,K$4,'Diario Cali'!$C:$C,$A97)</f>
        <v>0</v>
      </c>
      <c r="L97" s="24">
        <f>SUMIFS('Diario Adm'!$E:$E,'Diario Adm'!$B:$B,L$4,'Diario Adm'!$C:$C,$A97)+SUMIFS('Diario Cali'!$E:$E,'Diario Cali'!$B:$B,L$4,'Diario Cali'!$C:$C,$A97)</f>
        <v>0</v>
      </c>
      <c r="M97" s="24">
        <f>SUMIFS('Diario Adm'!$E:$E,'Diario Adm'!$B:$B,M$4,'Diario Adm'!$C:$C,$A97)+SUMIFS('Diario Cali'!$E:$E,'Diario Cali'!$B:$B,M$4,'Diario Cali'!$C:$C,$A97)</f>
        <v>0</v>
      </c>
      <c r="N97" s="24">
        <f>SUMIFS('Diario Adm'!$E:$E,'Diario Adm'!$B:$B,N$4,'Diario Adm'!$C:$C,$A97)+SUMIFS('Diario Cali'!$E:$E,'Diario Cali'!$B:$B,N$4,'Diario Cali'!$C:$C,$A97)</f>
        <v>0</v>
      </c>
      <c r="O97" s="28"/>
      <c r="P97" s="138">
        <f t="shared" si="12"/>
        <v>0</v>
      </c>
      <c r="Q97" s="28"/>
      <c r="R97" s="140">
        <f t="shared" si="13"/>
        <v>0</v>
      </c>
    </row>
    <row r="98" spans="1:18" ht="13.6" x14ac:dyDescent="0.25">
      <c r="A98" s="170">
        <v>4941</v>
      </c>
      <c r="B98" s="128" t="str">
        <f>VLOOKUP(A98,Plan!A:B,2,0)</f>
        <v>Obolo de San Pedro</v>
      </c>
      <c r="C98" s="24">
        <f>SUMIFS('Diario Adm'!$E:$E,'Diario Adm'!$B:$B,C$4,'Diario Adm'!$C:$C,$A98)+SUMIFS('Diario Cali'!$E:$E,'Diario Cali'!$B:$B,C$4,'Diario Cali'!$C:$C,$A98)</f>
        <v>0</v>
      </c>
      <c r="D98" s="24">
        <f>SUMIFS('Diario Adm'!$E:$E,'Diario Adm'!$B:$B,D$4,'Diario Adm'!$C:$C,$A98)+SUMIFS('Diario Cali'!$E:$E,'Diario Cali'!$B:$B,D$4,'Diario Cali'!$C:$C,$A98)</f>
        <v>0</v>
      </c>
      <c r="E98" s="24">
        <f>SUMIFS('Diario Adm'!$E:$E,'Diario Adm'!$B:$B,E$4,'Diario Adm'!$C:$C,$A98)+SUMIFS('Diario Cali'!$E:$E,'Diario Cali'!$B:$B,E$4,'Diario Cali'!$C:$C,$A98)</f>
        <v>0</v>
      </c>
      <c r="F98" s="24">
        <f>SUMIFS('Diario Adm'!$E:$E,'Diario Adm'!$B:$B,F$4,'Diario Adm'!$C:$C,$A98)+SUMIFS('Diario Cali'!$E:$E,'Diario Cali'!$B:$B,F$4,'Diario Cali'!$C:$C,$A98)</f>
        <v>0</v>
      </c>
      <c r="G98" s="24">
        <f>SUMIFS('Diario Adm'!$E:$E,'Diario Adm'!$B:$B,G$4,'Diario Adm'!$C:$C,$A98)+SUMIFS('Diario Cali'!$E:$E,'Diario Cali'!$B:$B,G$4,'Diario Cali'!$C:$C,$A98)</f>
        <v>0</v>
      </c>
      <c r="H98" s="24">
        <f>SUMIFS('Diario Adm'!$E:$E,'Diario Adm'!$B:$B,H$4,'Diario Adm'!$C:$C,$A98)+SUMIFS('Diario Cali'!$E:$E,'Diario Cali'!$B:$B,H$4,'Diario Cali'!$C:$C,$A98)</f>
        <v>0</v>
      </c>
      <c r="I98" s="24">
        <f>SUMIFS('Diario Adm'!$E:$E,'Diario Adm'!$B:$B,I$4,'Diario Adm'!$C:$C,$A98)+SUMIFS('Diario Cali'!$E:$E,'Diario Cali'!$B:$B,I$4,'Diario Cali'!$C:$C,$A98)</f>
        <v>0</v>
      </c>
      <c r="J98" s="24">
        <f>SUMIFS('Diario Adm'!$E:$E,'Diario Adm'!$B:$B,J$4,'Diario Adm'!$C:$C,$A98)+SUMIFS('Diario Cali'!$E:$E,'Diario Cali'!$B:$B,J$4,'Diario Cali'!$C:$C,$A98)</f>
        <v>0</v>
      </c>
      <c r="K98" s="24">
        <f>SUMIFS('Diario Adm'!$E:$E,'Diario Adm'!$B:$B,K$4,'Diario Adm'!$C:$C,$A98)+SUMIFS('Diario Cali'!$E:$E,'Diario Cali'!$B:$B,K$4,'Diario Cali'!$C:$C,$A98)</f>
        <v>0</v>
      </c>
      <c r="L98" s="24">
        <f>SUMIFS('Diario Adm'!$E:$E,'Diario Adm'!$B:$B,L$4,'Diario Adm'!$C:$C,$A98)+SUMIFS('Diario Cali'!$E:$E,'Diario Cali'!$B:$B,L$4,'Diario Cali'!$C:$C,$A98)</f>
        <v>0</v>
      </c>
      <c r="M98" s="24">
        <f>SUMIFS('Diario Adm'!$E:$E,'Diario Adm'!$B:$B,M$4,'Diario Adm'!$C:$C,$A98)+SUMIFS('Diario Cali'!$E:$E,'Diario Cali'!$B:$B,M$4,'Diario Cali'!$C:$C,$A98)</f>
        <v>0</v>
      </c>
      <c r="N98" s="24">
        <f>SUMIFS('Diario Adm'!$E:$E,'Diario Adm'!$B:$B,N$4,'Diario Adm'!$C:$C,$A98)+SUMIFS('Diario Cali'!$E:$E,'Diario Cali'!$B:$B,N$4,'Diario Cali'!$C:$C,$A98)</f>
        <v>0</v>
      </c>
      <c r="O98" s="28"/>
      <c r="P98" s="138">
        <f>SUM(C98:N98)</f>
        <v>0</v>
      </c>
      <c r="Q98" s="28"/>
      <c r="R98" s="140">
        <f>+P98/$R$4</f>
        <v>0</v>
      </c>
    </row>
    <row r="99" spans="1:18" ht="13.6" x14ac:dyDescent="0.25">
      <c r="A99" s="170">
        <v>4950</v>
      </c>
      <c r="B99" s="128" t="str">
        <f>VLOOKUP(A99,Plan!A:B,2,0)</f>
        <v>Cuaresma</v>
      </c>
      <c r="C99" s="24">
        <f>SUMIFS('Diario Adm'!$E:$E,'Diario Adm'!$B:$B,C$4,'Diario Adm'!$C:$C,$A99)+SUMIFS('Diario Cali'!$E:$E,'Diario Cali'!$B:$B,C$4,'Diario Cali'!$C:$C,$A99)</f>
        <v>0</v>
      </c>
      <c r="D99" s="24">
        <f>SUMIFS('Diario Adm'!$E:$E,'Diario Adm'!$B:$B,D$4,'Diario Adm'!$C:$C,$A99)+SUMIFS('Diario Cali'!$E:$E,'Diario Cali'!$B:$B,D$4,'Diario Cali'!$C:$C,$A99)</f>
        <v>0</v>
      </c>
      <c r="E99" s="24">
        <f>SUMIFS('Diario Adm'!$E:$E,'Diario Adm'!$B:$B,E$4,'Diario Adm'!$C:$C,$A99)+SUMIFS('Diario Cali'!$E:$E,'Diario Cali'!$B:$B,E$4,'Diario Cali'!$C:$C,$A99)</f>
        <v>0</v>
      </c>
      <c r="F99" s="24">
        <f>SUMIFS('Diario Adm'!$E:$E,'Diario Adm'!$B:$B,F$4,'Diario Adm'!$C:$C,$A99)+SUMIFS('Diario Cali'!$E:$E,'Diario Cali'!$B:$B,F$4,'Diario Cali'!$C:$C,$A99)</f>
        <v>0</v>
      </c>
      <c r="G99" s="24">
        <f>SUMIFS('Diario Adm'!$E:$E,'Diario Adm'!$B:$B,G$4,'Diario Adm'!$C:$C,$A99)+SUMIFS('Diario Cali'!$E:$E,'Diario Cali'!$B:$B,G$4,'Diario Cali'!$C:$C,$A99)</f>
        <v>0</v>
      </c>
      <c r="H99" s="24">
        <f>SUMIFS('Diario Adm'!$E:$E,'Diario Adm'!$B:$B,H$4,'Diario Adm'!$C:$C,$A99)+SUMIFS('Diario Cali'!$E:$E,'Diario Cali'!$B:$B,H$4,'Diario Cali'!$C:$C,$A99)</f>
        <v>459057</v>
      </c>
      <c r="I99" s="24">
        <f>SUMIFS('Diario Adm'!$E:$E,'Diario Adm'!$B:$B,I$4,'Diario Adm'!$C:$C,$A99)+SUMIFS('Diario Cali'!$E:$E,'Diario Cali'!$B:$B,I$4,'Diario Cali'!$C:$C,$A99)</f>
        <v>0</v>
      </c>
      <c r="J99" s="24">
        <f>SUMIFS('Diario Adm'!$E:$E,'Diario Adm'!$B:$B,J$4,'Diario Adm'!$C:$C,$A99)+SUMIFS('Diario Cali'!$E:$E,'Diario Cali'!$B:$B,J$4,'Diario Cali'!$C:$C,$A99)</f>
        <v>0</v>
      </c>
      <c r="K99" s="24">
        <f>SUMIFS('Diario Adm'!$E:$E,'Diario Adm'!$B:$B,K$4,'Diario Adm'!$C:$C,$A99)+SUMIFS('Diario Cali'!$E:$E,'Diario Cali'!$B:$B,K$4,'Diario Cali'!$C:$C,$A99)</f>
        <v>0</v>
      </c>
      <c r="L99" s="24">
        <f>SUMIFS('Diario Adm'!$E:$E,'Diario Adm'!$B:$B,L$4,'Diario Adm'!$C:$C,$A99)+SUMIFS('Diario Cali'!$E:$E,'Diario Cali'!$B:$B,L$4,'Diario Cali'!$C:$C,$A99)</f>
        <v>0</v>
      </c>
      <c r="M99" s="24">
        <f>SUMIFS('Diario Adm'!$E:$E,'Diario Adm'!$B:$B,M$4,'Diario Adm'!$C:$C,$A99)+SUMIFS('Diario Cali'!$E:$E,'Diario Cali'!$B:$B,M$4,'Diario Cali'!$C:$C,$A99)</f>
        <v>0</v>
      </c>
      <c r="N99" s="24">
        <f>SUMIFS('Diario Adm'!$E:$E,'Diario Adm'!$B:$B,N$4,'Diario Adm'!$C:$C,$A99)+SUMIFS('Diario Cali'!$E:$E,'Diario Cali'!$B:$B,N$4,'Diario Cali'!$C:$C,$A99)</f>
        <v>0</v>
      </c>
      <c r="O99" s="28"/>
      <c r="P99" s="138">
        <f t="shared" si="12"/>
        <v>459057</v>
      </c>
      <c r="Q99" s="28"/>
      <c r="R99" s="140">
        <f t="shared" si="13"/>
        <v>45905.7</v>
      </c>
    </row>
    <row r="100" spans="1:18" ht="13.6" x14ac:dyDescent="0.25">
      <c r="A100" s="170">
        <v>4960</v>
      </c>
      <c r="B100" s="128" t="str">
        <f>VLOOKUP(A100,Plan!A:B,2,0)</f>
        <v>Fundacion San Carlos de Apoquindo</v>
      </c>
      <c r="C100" s="24">
        <f>SUMIFS('Diario Adm'!$E:$E,'Diario Adm'!$B:$B,C$4,'Diario Adm'!$C:$C,$A100)+SUMIFS('Diario Cali'!$E:$E,'Diario Cali'!$B:$B,C$4,'Diario Cali'!$C:$C,$A100)</f>
        <v>0</v>
      </c>
      <c r="D100" s="24">
        <f>SUMIFS('Diario Adm'!$E:$E,'Diario Adm'!$B:$B,D$4,'Diario Adm'!$C:$C,$A100)+SUMIFS('Diario Cali'!$E:$E,'Diario Cali'!$B:$B,D$4,'Diario Cali'!$C:$C,$A100)</f>
        <v>0</v>
      </c>
      <c r="E100" s="24">
        <f>SUMIFS('Diario Adm'!$E:$E,'Diario Adm'!$B:$B,E$4,'Diario Adm'!$C:$C,$A100)+SUMIFS('Diario Cali'!$E:$E,'Diario Cali'!$B:$B,E$4,'Diario Cali'!$C:$C,$A100)</f>
        <v>0</v>
      </c>
      <c r="F100" s="24">
        <f>SUMIFS('Diario Adm'!$E:$E,'Diario Adm'!$B:$B,F$4,'Diario Adm'!$C:$C,$A100)+SUMIFS('Diario Cali'!$E:$E,'Diario Cali'!$B:$B,F$4,'Diario Cali'!$C:$C,$A100)</f>
        <v>0</v>
      </c>
      <c r="G100" s="24">
        <f>SUMIFS('Diario Adm'!$E:$E,'Diario Adm'!$B:$B,G$4,'Diario Adm'!$C:$C,$A100)+SUMIFS('Diario Cali'!$E:$E,'Diario Cali'!$B:$B,G$4,'Diario Cali'!$C:$C,$A100)</f>
        <v>0</v>
      </c>
      <c r="H100" s="24">
        <f>SUMIFS('Diario Adm'!$E:$E,'Diario Adm'!$B:$B,H$4,'Diario Adm'!$C:$C,$A100)+SUMIFS('Diario Cali'!$E:$E,'Diario Cali'!$B:$B,H$4,'Diario Cali'!$C:$C,$A100)</f>
        <v>0</v>
      </c>
      <c r="I100" s="24">
        <f>SUMIFS('Diario Adm'!$E:$E,'Diario Adm'!$B:$B,I$4,'Diario Adm'!$C:$C,$A100)+SUMIFS('Diario Cali'!$E:$E,'Diario Cali'!$B:$B,I$4,'Diario Cali'!$C:$C,$A100)</f>
        <v>0</v>
      </c>
      <c r="J100" s="24">
        <f>SUMIFS('Diario Adm'!$E:$E,'Diario Adm'!$B:$B,J$4,'Diario Adm'!$C:$C,$A100)+SUMIFS('Diario Cali'!$E:$E,'Diario Cali'!$B:$B,J$4,'Diario Cali'!$C:$C,$A100)</f>
        <v>0</v>
      </c>
      <c r="K100" s="24">
        <f>SUMIFS('Diario Adm'!$E:$E,'Diario Adm'!$B:$B,K$4,'Diario Adm'!$C:$C,$A100)+SUMIFS('Diario Cali'!$E:$E,'Diario Cali'!$B:$B,K$4,'Diario Cali'!$C:$C,$A100)</f>
        <v>0</v>
      </c>
      <c r="L100" s="24">
        <f>SUMIFS('Diario Adm'!$E:$E,'Diario Adm'!$B:$B,L$4,'Diario Adm'!$C:$C,$A100)+SUMIFS('Diario Cali'!$E:$E,'Diario Cali'!$B:$B,L$4,'Diario Cali'!$C:$C,$A100)</f>
        <v>0</v>
      </c>
      <c r="M100" s="24">
        <f>SUMIFS('Diario Adm'!$E:$E,'Diario Adm'!$B:$B,M$4,'Diario Adm'!$C:$C,$A100)+SUMIFS('Diario Cali'!$E:$E,'Diario Cali'!$B:$B,M$4,'Diario Cali'!$C:$C,$A100)</f>
        <v>0</v>
      </c>
      <c r="N100" s="24">
        <f>SUMIFS('Diario Adm'!$E:$E,'Diario Adm'!$B:$B,N$4,'Diario Adm'!$C:$C,$A100)+SUMIFS('Diario Cali'!$E:$E,'Diario Cali'!$B:$B,N$4,'Diario Cali'!$C:$C,$A100)</f>
        <v>0</v>
      </c>
      <c r="O100" s="28"/>
      <c r="P100" s="138">
        <f t="shared" si="12"/>
        <v>0</v>
      </c>
      <c r="Q100" s="28"/>
      <c r="R100" s="140">
        <f t="shared" si="13"/>
        <v>0</v>
      </c>
    </row>
    <row r="101" spans="1:18" ht="13.6" x14ac:dyDescent="0.25">
      <c r="A101" s="170">
        <v>4970</v>
      </c>
      <c r="B101" s="128" t="str">
        <f>VLOOKUP(A101,Plan!A:B,2,0)</f>
        <v>Santos Lugares</v>
      </c>
      <c r="C101" s="24">
        <f>SUMIFS('Diario Adm'!$E:$E,'Diario Adm'!$B:$B,C$4,'Diario Adm'!$C:$C,$A101)+SUMIFS('Diario Cali'!$E:$E,'Diario Cali'!$B:$B,C$4,'Diario Cali'!$C:$C,$A101)</f>
        <v>0</v>
      </c>
      <c r="D101" s="24">
        <f>SUMIFS('Diario Adm'!$E:$E,'Diario Adm'!$B:$B,D$4,'Diario Adm'!$C:$C,$A101)+SUMIFS('Diario Cali'!$E:$E,'Diario Cali'!$B:$B,D$4,'Diario Cali'!$C:$C,$A101)</f>
        <v>0</v>
      </c>
      <c r="E101" s="24">
        <f>SUMIFS('Diario Adm'!$E:$E,'Diario Adm'!$B:$B,E$4,'Diario Adm'!$C:$C,$A101)+SUMIFS('Diario Cali'!$E:$E,'Diario Cali'!$B:$B,E$4,'Diario Cali'!$C:$C,$A101)</f>
        <v>0</v>
      </c>
      <c r="F101" s="24">
        <f>SUMIFS('Diario Adm'!$E:$E,'Diario Adm'!$B:$B,F$4,'Diario Adm'!$C:$C,$A101)+SUMIFS('Diario Cali'!$E:$E,'Diario Cali'!$B:$B,F$4,'Diario Cali'!$C:$C,$A101)</f>
        <v>0</v>
      </c>
      <c r="G101" s="24">
        <f>SUMIFS('Diario Adm'!$E:$E,'Diario Adm'!$B:$B,G$4,'Diario Adm'!$C:$C,$A101)+SUMIFS('Diario Cali'!$E:$E,'Diario Cali'!$B:$B,G$4,'Diario Cali'!$C:$C,$A101)</f>
        <v>0</v>
      </c>
      <c r="H101" s="24">
        <f>SUMIFS('Diario Adm'!$E:$E,'Diario Adm'!$B:$B,H$4,'Diario Adm'!$C:$C,$A101)+SUMIFS('Diario Cali'!$E:$E,'Diario Cali'!$B:$B,H$4,'Diario Cali'!$C:$C,$A101)</f>
        <v>0</v>
      </c>
      <c r="I101" s="24">
        <f>SUMIFS('Diario Adm'!$E:$E,'Diario Adm'!$B:$B,I$4,'Diario Adm'!$C:$C,$A101)+SUMIFS('Diario Cali'!$E:$E,'Diario Cali'!$B:$B,I$4,'Diario Cali'!$C:$C,$A101)</f>
        <v>0</v>
      </c>
      <c r="J101" s="24">
        <f>SUMIFS('Diario Adm'!$E:$E,'Diario Adm'!$B:$B,J$4,'Diario Adm'!$C:$C,$A101)+SUMIFS('Diario Cali'!$E:$E,'Diario Cali'!$B:$B,J$4,'Diario Cali'!$C:$C,$A101)</f>
        <v>0</v>
      </c>
      <c r="K101" s="24">
        <f>SUMIFS('Diario Adm'!$E:$E,'Diario Adm'!$B:$B,K$4,'Diario Adm'!$C:$C,$A101)+SUMIFS('Diario Cali'!$E:$E,'Diario Cali'!$B:$B,K$4,'Diario Cali'!$C:$C,$A101)</f>
        <v>0</v>
      </c>
      <c r="L101" s="24">
        <f>SUMIFS('Diario Adm'!$E:$E,'Diario Adm'!$B:$B,L$4,'Diario Adm'!$C:$C,$A101)+SUMIFS('Diario Cali'!$E:$E,'Diario Cali'!$B:$B,L$4,'Diario Cali'!$C:$C,$A101)</f>
        <v>0</v>
      </c>
      <c r="M101" s="24">
        <f>SUMIFS('Diario Adm'!$E:$E,'Diario Adm'!$B:$B,M$4,'Diario Adm'!$C:$C,$A101)+SUMIFS('Diario Cali'!$E:$E,'Diario Cali'!$B:$B,M$4,'Diario Cali'!$C:$C,$A101)</f>
        <v>0</v>
      </c>
      <c r="N101" s="24">
        <f>SUMIFS('Diario Adm'!$E:$E,'Diario Adm'!$B:$B,N$4,'Diario Adm'!$C:$C,$A101)+SUMIFS('Diario Cali'!$E:$E,'Diario Cali'!$B:$B,N$4,'Diario Cali'!$C:$C,$A101)</f>
        <v>0</v>
      </c>
      <c r="O101" s="28"/>
      <c r="P101" s="138">
        <f t="shared" ref="P101:P110" si="14">SUM(C101:N101)</f>
        <v>0</v>
      </c>
      <c r="Q101" s="28"/>
      <c r="R101" s="140">
        <f t="shared" ref="R101:R110" si="15">+P101/$R$4</f>
        <v>0</v>
      </c>
    </row>
    <row r="102" spans="1:18" ht="13.6" x14ac:dyDescent="0.25">
      <c r="A102" s="170">
        <v>4980</v>
      </c>
      <c r="B102" s="128" t="str">
        <f>VLOOKUP(A102,Plan!A:B,2,0)</f>
        <v>Colecta Obalo de San Pedro</v>
      </c>
      <c r="C102" s="24">
        <f>SUMIFS('Diario Adm'!$E:$E,'Diario Adm'!$B:$B,C$4,'Diario Adm'!$C:$C,$A102)+SUMIFS('Diario Cali'!$E:$E,'Diario Cali'!$B:$B,C$4,'Diario Cali'!$C:$C,$A102)</f>
        <v>0</v>
      </c>
      <c r="D102" s="24">
        <f>SUMIFS('Diario Adm'!$E:$E,'Diario Adm'!$B:$B,D$4,'Diario Adm'!$C:$C,$A102)+SUMIFS('Diario Cali'!$E:$E,'Diario Cali'!$B:$B,D$4,'Diario Cali'!$C:$C,$A102)</f>
        <v>0</v>
      </c>
      <c r="E102" s="24">
        <f>SUMIFS('Diario Adm'!$E:$E,'Diario Adm'!$B:$B,E$4,'Diario Adm'!$C:$C,$A102)+SUMIFS('Diario Cali'!$E:$E,'Diario Cali'!$B:$B,E$4,'Diario Cali'!$C:$C,$A102)</f>
        <v>0</v>
      </c>
      <c r="F102" s="24">
        <f>SUMIFS('Diario Adm'!$E:$E,'Diario Adm'!$B:$B,F$4,'Diario Adm'!$C:$C,$A102)+SUMIFS('Diario Cali'!$E:$E,'Diario Cali'!$B:$B,F$4,'Diario Cali'!$C:$C,$A102)</f>
        <v>0</v>
      </c>
      <c r="G102" s="24">
        <f>SUMIFS('Diario Adm'!$E:$E,'Diario Adm'!$B:$B,G$4,'Diario Adm'!$C:$C,$A102)+SUMIFS('Diario Cali'!$E:$E,'Diario Cali'!$B:$B,G$4,'Diario Cali'!$C:$C,$A102)</f>
        <v>0</v>
      </c>
      <c r="H102" s="24">
        <f>SUMIFS('Diario Adm'!$E:$E,'Diario Adm'!$B:$B,H$4,'Diario Adm'!$C:$C,$A102)+SUMIFS('Diario Cali'!$E:$E,'Diario Cali'!$B:$B,H$4,'Diario Cali'!$C:$C,$A102)</f>
        <v>0</v>
      </c>
      <c r="I102" s="24">
        <f>SUMIFS('Diario Adm'!$E:$E,'Diario Adm'!$B:$B,I$4,'Diario Adm'!$C:$C,$A102)+SUMIFS('Diario Cali'!$E:$E,'Diario Cali'!$B:$B,I$4,'Diario Cali'!$C:$C,$A102)</f>
        <v>0</v>
      </c>
      <c r="J102" s="24">
        <f>SUMIFS('Diario Adm'!$E:$E,'Diario Adm'!$B:$B,J$4,'Diario Adm'!$C:$C,$A102)+SUMIFS('Diario Cali'!$E:$E,'Diario Cali'!$B:$B,J$4,'Diario Cali'!$C:$C,$A102)</f>
        <v>0</v>
      </c>
      <c r="K102" s="24">
        <f>SUMIFS('Diario Adm'!$E:$E,'Diario Adm'!$B:$B,K$4,'Diario Adm'!$C:$C,$A102)+SUMIFS('Diario Cali'!$E:$E,'Diario Cali'!$B:$B,K$4,'Diario Cali'!$C:$C,$A102)</f>
        <v>0</v>
      </c>
      <c r="L102" s="24">
        <f>SUMIFS('Diario Adm'!$E:$E,'Diario Adm'!$B:$B,L$4,'Diario Adm'!$C:$C,$A102)+SUMIFS('Diario Cali'!$E:$E,'Diario Cali'!$B:$B,L$4,'Diario Cali'!$C:$C,$A102)</f>
        <v>0</v>
      </c>
      <c r="M102" s="24">
        <f>SUMIFS('Diario Adm'!$E:$E,'Diario Adm'!$B:$B,M$4,'Diario Adm'!$C:$C,$A102)+SUMIFS('Diario Cali'!$E:$E,'Diario Cali'!$B:$B,M$4,'Diario Cali'!$C:$C,$A102)</f>
        <v>0</v>
      </c>
      <c r="N102" s="24">
        <f>SUMIFS('Diario Adm'!$E:$E,'Diario Adm'!$B:$B,N$4,'Diario Adm'!$C:$C,$A102)+SUMIFS('Diario Cali'!$E:$E,'Diario Cali'!$B:$B,N$4,'Diario Cali'!$C:$C,$A102)</f>
        <v>0</v>
      </c>
      <c r="O102" s="28"/>
      <c r="P102" s="138">
        <f t="shared" si="14"/>
        <v>0</v>
      </c>
      <c r="Q102" s="28"/>
      <c r="R102" s="140">
        <f t="shared" si="15"/>
        <v>0</v>
      </c>
    </row>
    <row r="103" spans="1:18" ht="13.6" x14ac:dyDescent="0.25">
      <c r="A103" s="170">
        <v>4110</v>
      </c>
      <c r="B103" s="128" t="str">
        <f>VLOOKUP(A103,Plan!A:B,2,0)</f>
        <v>Aporte Papal</v>
      </c>
      <c r="C103" s="24">
        <f>SUMIFS('Diario Adm'!$E:$E,'Diario Adm'!$B:$B,C$4,'Diario Adm'!$C:$C,$A103)+SUMIFS('Diario Cali'!$E:$E,'Diario Cali'!$B:$B,C$4,'Diario Cali'!$C:$C,$A103)</f>
        <v>216859</v>
      </c>
      <c r="D103" s="24">
        <f>SUMIFS('Diario Adm'!$E:$E,'Diario Adm'!$B:$B,D$4,'Diario Adm'!$C:$C,$A103)+SUMIFS('Diario Cali'!$E:$E,'Diario Cali'!$B:$B,D$4,'Diario Cali'!$C:$C,$A103)</f>
        <v>200215</v>
      </c>
      <c r="E103" s="24">
        <f>SUMIFS('Diario Adm'!$E:$E,'Diario Adm'!$B:$B,E$4,'Diario Adm'!$C:$C,$A103)+SUMIFS('Diario Cali'!$E:$E,'Diario Cali'!$B:$B,E$4,'Diario Cali'!$C:$C,$A103)</f>
        <v>217857</v>
      </c>
      <c r="F103" s="24">
        <f>SUMIFS('Diario Adm'!$E:$E,'Diario Adm'!$B:$B,F$4,'Diario Adm'!$C:$C,$A103)+SUMIFS('Diario Cali'!$E:$E,'Diario Cali'!$B:$B,F$4,'Diario Cali'!$C:$C,$A103)</f>
        <v>226927</v>
      </c>
      <c r="G103" s="24">
        <f>SUMIFS('Diario Adm'!$E:$E,'Diario Adm'!$B:$B,G$4,'Diario Adm'!$C:$C,$A103)+SUMIFS('Diario Cali'!$E:$E,'Diario Cali'!$B:$B,G$4,'Diario Cali'!$C:$C,$A103)</f>
        <v>250575</v>
      </c>
      <c r="H103" s="24">
        <f>SUMIFS('Diario Adm'!$E:$E,'Diario Adm'!$B:$B,H$4,'Diario Adm'!$C:$C,$A103)+SUMIFS('Diario Cali'!$E:$E,'Diario Cali'!$B:$B,H$4,'Diario Cali'!$C:$C,$A103)</f>
        <v>228780</v>
      </c>
      <c r="I103" s="24">
        <f>SUMIFS('Diario Adm'!$E:$E,'Diario Adm'!$B:$B,I$4,'Diario Adm'!$C:$C,$A103)+SUMIFS('Diario Cali'!$E:$E,'Diario Cali'!$B:$B,I$4,'Diario Cali'!$C:$C,$A103)</f>
        <v>240491</v>
      </c>
      <c r="J103" s="24">
        <f>SUMIFS('Diario Adm'!$E:$E,'Diario Adm'!$B:$B,J$4,'Diario Adm'!$C:$C,$A103)+SUMIFS('Diario Cali'!$E:$E,'Diario Cali'!$B:$B,J$4,'Diario Cali'!$C:$C,$A103)</f>
        <v>253748</v>
      </c>
      <c r="K103" s="24">
        <f>SUMIFS('Diario Adm'!$E:$E,'Diario Adm'!$B:$B,K$4,'Diario Adm'!$C:$C,$A103)+SUMIFS('Diario Cali'!$E:$E,'Diario Cali'!$B:$B,K$4,'Diario Cali'!$C:$C,$A103)</f>
        <v>240091</v>
      </c>
      <c r="L103" s="24">
        <f>SUMIFS('Diario Adm'!$E:$E,'Diario Adm'!$B:$B,L$4,'Diario Adm'!$C:$C,$A103)+SUMIFS('Diario Cali'!$E:$E,'Diario Cali'!$B:$B,L$4,'Diario Cali'!$C:$C,$A103)</f>
        <v>254705</v>
      </c>
      <c r="M103" s="24">
        <f>SUMIFS('Diario Adm'!$E:$E,'Diario Adm'!$B:$B,M$4,'Diario Adm'!$C:$C,$A103)+SUMIFS('Diario Cali'!$E:$E,'Diario Cali'!$B:$B,M$4,'Diario Cali'!$C:$C,$A103)</f>
        <v>262543</v>
      </c>
      <c r="N103" s="24">
        <f>SUMIFS('Diario Adm'!$E:$E,'Diario Adm'!$B:$B,N$4,'Diario Adm'!$C:$C,$A103)+SUMIFS('Diario Cali'!$E:$E,'Diario Cali'!$B:$B,N$4,'Diario Cali'!$C:$C,$A103)</f>
        <v>253997</v>
      </c>
      <c r="O103" s="28"/>
      <c r="P103" s="138">
        <f t="shared" si="14"/>
        <v>2846788</v>
      </c>
      <c r="Q103" s="28"/>
      <c r="R103" s="140">
        <f t="shared" si="15"/>
        <v>284678.8</v>
      </c>
    </row>
    <row r="104" spans="1:18" ht="13.6" x14ac:dyDescent="0.25">
      <c r="A104" s="170">
        <v>4120</v>
      </c>
      <c r="B104" s="128" t="str">
        <f>VLOOKUP(A104,Plan!A:B,2,0)</f>
        <v>Aporte Arzobispado</v>
      </c>
      <c r="C104" s="24">
        <f>SUMIFS('Diario Adm'!$E:$E,'Diario Adm'!$B:$B,C$4,'Diario Adm'!$C:$C,$A104)+SUMIFS('Diario Cali'!$E:$E,'Diario Cali'!$B:$B,C$4,'Diario Cali'!$C:$C,$A104)</f>
        <v>6477398</v>
      </c>
      <c r="D104" s="24">
        <f>SUMIFS('Diario Adm'!$E:$E,'Diario Adm'!$B:$B,D$4,'Diario Adm'!$C:$C,$A104)+SUMIFS('Diario Cali'!$E:$E,'Diario Cali'!$B:$B,D$4,'Diario Cali'!$C:$C,$A104)</f>
        <v>6171865</v>
      </c>
      <c r="E104" s="24">
        <f>SUMIFS('Diario Adm'!$E:$E,'Diario Adm'!$B:$B,E$4,'Diario Adm'!$C:$C,$A104)+SUMIFS('Diario Cali'!$E:$E,'Diario Cali'!$B:$B,E$4,'Diario Cali'!$C:$C,$A104)</f>
        <v>5703876</v>
      </c>
      <c r="F104" s="24">
        <f>SUMIFS('Diario Adm'!$E:$E,'Diario Adm'!$B:$B,F$4,'Diario Adm'!$C:$C,$A104)+SUMIFS('Diario Cali'!$E:$E,'Diario Cali'!$B:$B,F$4,'Diario Cali'!$C:$C,$A104)</f>
        <v>6606834</v>
      </c>
      <c r="G104" s="24">
        <f>SUMIFS('Diario Adm'!$E:$E,'Diario Adm'!$B:$B,G$4,'Diario Adm'!$C:$C,$A104)+SUMIFS('Diario Cali'!$E:$E,'Diario Cali'!$B:$B,G$4,'Diario Cali'!$C:$C,$A104)</f>
        <v>7640041</v>
      </c>
      <c r="H104" s="24">
        <f>SUMIFS('Diario Adm'!$E:$E,'Diario Adm'!$B:$B,H$4,'Diario Adm'!$C:$C,$A104)+SUMIFS('Diario Cali'!$E:$E,'Diario Cali'!$B:$B,H$4,'Diario Cali'!$C:$C,$A104)</f>
        <v>6814079</v>
      </c>
      <c r="I104" s="24">
        <f>SUMIFS('Diario Adm'!$E:$E,'Diario Adm'!$B:$B,I$4,'Diario Adm'!$C:$C,$A104)+SUMIFS('Diario Cali'!$E:$E,'Diario Cali'!$B:$B,I$4,'Diario Cali'!$C:$C,$A104)</f>
        <v>6271125</v>
      </c>
      <c r="J104" s="24">
        <f>SUMIFS('Diario Adm'!$E:$E,'Diario Adm'!$B:$B,J$4,'Diario Adm'!$C:$C,$A104)+SUMIFS('Diario Cali'!$E:$E,'Diario Cali'!$B:$B,J$4,'Diario Cali'!$C:$C,$A104)</f>
        <v>6451848</v>
      </c>
      <c r="K104" s="24">
        <f>SUMIFS('Diario Adm'!$E:$E,'Diario Adm'!$B:$B,K$4,'Diario Adm'!$C:$C,$A104)+SUMIFS('Diario Cali'!$E:$E,'Diario Cali'!$B:$B,K$4,'Diario Cali'!$C:$C,$A104)</f>
        <v>6155053</v>
      </c>
      <c r="L104" s="24">
        <f>SUMIFS('Diario Adm'!$E:$E,'Diario Adm'!$B:$B,L$4,'Diario Adm'!$C:$C,$A104)+SUMIFS('Diario Cali'!$E:$E,'Diario Cali'!$B:$B,L$4,'Diario Cali'!$C:$C,$A104)</f>
        <v>6262798</v>
      </c>
      <c r="M104" s="24">
        <f>SUMIFS('Diario Adm'!$E:$E,'Diario Adm'!$B:$B,M$4,'Diario Adm'!$C:$C,$A104)+SUMIFS('Diario Cali'!$E:$E,'Diario Cali'!$B:$B,M$4,'Diario Cali'!$C:$C,$A104)</f>
        <v>6379451</v>
      </c>
      <c r="N104" s="24">
        <f>SUMIFS('Diario Adm'!$E:$E,'Diario Adm'!$B:$B,N$4,'Diario Adm'!$C:$C,$A104)+SUMIFS('Diario Cali'!$E:$E,'Diario Cali'!$B:$B,N$4,'Diario Cali'!$C:$C,$A104)</f>
        <v>6113529</v>
      </c>
      <c r="O104" s="28"/>
      <c r="P104" s="138">
        <f t="shared" si="14"/>
        <v>77047897</v>
      </c>
      <c r="Q104" s="28"/>
      <c r="R104" s="140">
        <f t="shared" si="15"/>
        <v>7704789.7000000002</v>
      </c>
    </row>
    <row r="105" spans="1:18" ht="13.6" x14ac:dyDescent="0.25">
      <c r="A105" s="170">
        <v>4130</v>
      </c>
      <c r="B105" s="128" t="str">
        <f>VLOOKUP(A105,Plan!A:B,2,0)</f>
        <v>Aporte Vicaria</v>
      </c>
      <c r="C105" s="24">
        <f>SUMIFS('Diario Adm'!$E:$E,'Diario Adm'!$B:$B,C$4,'Diario Adm'!$C:$C,$A105)+SUMIFS('Diario Cali'!$E:$E,'Diario Cali'!$B:$B,C$4,'Diario Cali'!$C:$C,$A105)</f>
        <v>20000</v>
      </c>
      <c r="D105" s="24">
        <f>SUMIFS('Diario Adm'!$E:$E,'Diario Adm'!$B:$B,D$4,'Diario Adm'!$C:$C,$A105)+SUMIFS('Diario Cali'!$E:$E,'Diario Cali'!$B:$B,D$4,'Diario Cali'!$C:$C,$A105)</f>
        <v>0</v>
      </c>
      <c r="E105" s="24">
        <f>SUMIFS('Diario Adm'!$E:$E,'Diario Adm'!$B:$B,E$4,'Diario Adm'!$C:$C,$A105)+SUMIFS('Diario Cali'!$E:$E,'Diario Cali'!$B:$B,E$4,'Diario Cali'!$C:$C,$A105)</f>
        <v>0</v>
      </c>
      <c r="F105" s="24">
        <f>SUMIFS('Diario Adm'!$E:$E,'Diario Adm'!$B:$B,F$4,'Diario Adm'!$C:$C,$A105)+SUMIFS('Diario Cali'!$E:$E,'Diario Cali'!$B:$B,F$4,'Diario Cali'!$C:$C,$A105)</f>
        <v>0</v>
      </c>
      <c r="G105" s="24">
        <f>SUMIFS('Diario Adm'!$E:$E,'Diario Adm'!$B:$B,G$4,'Diario Adm'!$C:$C,$A105)+SUMIFS('Diario Cali'!$E:$E,'Diario Cali'!$B:$B,G$4,'Diario Cali'!$C:$C,$A105)</f>
        <v>0</v>
      </c>
      <c r="H105" s="24">
        <f>SUMIFS('Diario Adm'!$E:$E,'Diario Adm'!$B:$B,H$4,'Diario Adm'!$C:$C,$A105)+SUMIFS('Diario Cali'!$E:$E,'Diario Cali'!$B:$B,H$4,'Diario Cali'!$C:$C,$A105)</f>
        <v>0</v>
      </c>
      <c r="I105" s="24">
        <f>SUMIFS('Diario Adm'!$E:$E,'Diario Adm'!$B:$B,I$4,'Diario Adm'!$C:$C,$A105)+SUMIFS('Diario Cali'!$E:$E,'Diario Cali'!$B:$B,I$4,'Diario Cali'!$C:$C,$A105)</f>
        <v>0</v>
      </c>
      <c r="J105" s="24">
        <f>SUMIFS('Diario Adm'!$E:$E,'Diario Adm'!$B:$B,J$4,'Diario Adm'!$C:$C,$A105)+SUMIFS('Diario Cali'!$E:$E,'Diario Cali'!$B:$B,J$4,'Diario Cali'!$C:$C,$A105)</f>
        <v>0</v>
      </c>
      <c r="K105" s="24">
        <f>SUMIFS('Diario Adm'!$E:$E,'Diario Adm'!$B:$B,K$4,'Diario Adm'!$C:$C,$A105)+SUMIFS('Diario Cali'!$E:$E,'Diario Cali'!$B:$B,K$4,'Diario Cali'!$C:$C,$A105)</f>
        <v>0</v>
      </c>
      <c r="L105" s="24">
        <f>SUMIFS('Diario Adm'!$E:$E,'Diario Adm'!$B:$B,L$4,'Diario Adm'!$C:$C,$A105)+SUMIFS('Diario Cali'!$E:$E,'Diario Cali'!$B:$B,L$4,'Diario Cali'!$C:$C,$A105)</f>
        <v>0</v>
      </c>
      <c r="M105" s="24">
        <f>SUMIFS('Diario Adm'!$E:$E,'Diario Adm'!$B:$B,M$4,'Diario Adm'!$C:$C,$A105)+SUMIFS('Diario Cali'!$E:$E,'Diario Cali'!$B:$B,M$4,'Diario Cali'!$C:$C,$A105)</f>
        <v>0</v>
      </c>
      <c r="N105" s="24">
        <f>SUMIFS('Diario Adm'!$E:$E,'Diario Adm'!$B:$B,N$4,'Diario Adm'!$C:$C,$A105)+SUMIFS('Diario Cali'!$E:$E,'Diario Cali'!$B:$B,N$4,'Diario Cali'!$C:$C,$A105)</f>
        <v>0</v>
      </c>
      <c r="O105" s="28"/>
      <c r="P105" s="138">
        <f t="shared" si="14"/>
        <v>20000</v>
      </c>
      <c r="Q105" s="28"/>
      <c r="R105" s="140">
        <f t="shared" si="15"/>
        <v>2000</v>
      </c>
    </row>
    <row r="106" spans="1:18" ht="13.6" x14ac:dyDescent="0.25">
      <c r="A106" s="170">
        <v>4140</v>
      </c>
      <c r="B106" s="128" t="str">
        <f>VLOOKUP(A106,Plan!A:B,2,0)</f>
        <v>Comisiones Cali Recaudadores</v>
      </c>
      <c r="C106" s="24">
        <f>SUMIFS('Diario Adm'!$E:$E,'Diario Adm'!$B:$B,C$4,'Diario Adm'!$C:$C,$A106)+SUMIFS('Diario Cali'!$E:$E,'Diario Cali'!$B:$B,C$4,'Diario Cali'!$C:$C,$A106)</f>
        <v>50280</v>
      </c>
      <c r="D106" s="24">
        <f>SUMIFS('Diario Adm'!$E:$E,'Diario Adm'!$B:$B,D$4,'Diario Adm'!$C:$C,$A106)+SUMIFS('Diario Cali'!$E:$E,'Diario Cali'!$B:$B,D$4,'Diario Cali'!$C:$C,$A106)</f>
        <v>57240</v>
      </c>
      <c r="E106" s="24">
        <f>SUMIFS('Diario Adm'!$E:$E,'Diario Adm'!$B:$B,E$4,'Diario Adm'!$C:$C,$A106)+SUMIFS('Diario Cali'!$E:$E,'Diario Cali'!$B:$B,E$4,'Diario Cali'!$C:$C,$A106)</f>
        <v>69840</v>
      </c>
      <c r="F106" s="24">
        <f>SUMIFS('Diario Adm'!$E:$E,'Diario Adm'!$B:$B,F$4,'Diario Adm'!$C:$C,$A106)+SUMIFS('Diario Cali'!$E:$E,'Diario Cali'!$B:$B,F$4,'Diario Cali'!$C:$C,$A106)</f>
        <v>66720</v>
      </c>
      <c r="G106" s="24">
        <f>SUMIFS('Diario Adm'!$E:$E,'Diario Adm'!$B:$B,G$4,'Diario Adm'!$C:$C,$A106)+SUMIFS('Diario Cali'!$E:$E,'Diario Cali'!$B:$B,G$4,'Diario Cali'!$C:$C,$A106)</f>
        <v>57360</v>
      </c>
      <c r="H106" s="24">
        <f>SUMIFS('Diario Adm'!$E:$E,'Diario Adm'!$B:$B,H$4,'Diario Adm'!$C:$C,$A106)+SUMIFS('Diario Cali'!$E:$E,'Diario Cali'!$B:$B,H$4,'Diario Cali'!$C:$C,$A106)</f>
        <v>68760</v>
      </c>
      <c r="I106" s="24">
        <f>SUMIFS('Diario Adm'!$E:$E,'Diario Adm'!$B:$B,I$4,'Diario Adm'!$C:$C,$A106)+SUMIFS('Diario Cali'!$E:$E,'Diario Cali'!$B:$B,I$4,'Diario Cali'!$C:$C,$A106)</f>
        <v>81480</v>
      </c>
      <c r="J106" s="24">
        <f>SUMIFS('Diario Adm'!$E:$E,'Diario Adm'!$B:$B,J$4,'Diario Adm'!$C:$C,$A106)+SUMIFS('Diario Cali'!$E:$E,'Diario Cali'!$B:$B,J$4,'Diario Cali'!$C:$C,$A106)</f>
        <v>72240</v>
      </c>
      <c r="K106" s="24">
        <f>SUMIFS('Diario Adm'!$E:$E,'Diario Adm'!$B:$B,K$4,'Diario Adm'!$C:$C,$A106)+SUMIFS('Diario Cali'!$E:$E,'Diario Cali'!$B:$B,K$4,'Diario Cali'!$C:$C,$A106)</f>
        <v>54840</v>
      </c>
      <c r="L106" s="24">
        <f>SUMIFS('Diario Adm'!$E:$E,'Diario Adm'!$B:$B,L$4,'Diario Adm'!$C:$C,$A106)+SUMIFS('Diario Cali'!$E:$E,'Diario Cali'!$B:$B,L$4,'Diario Cali'!$C:$C,$A106)</f>
        <v>67440</v>
      </c>
      <c r="M106" s="24">
        <f>SUMIFS('Diario Adm'!$E:$E,'Diario Adm'!$B:$B,M$4,'Diario Adm'!$C:$C,$A106)+SUMIFS('Diario Cali'!$E:$E,'Diario Cali'!$B:$B,M$4,'Diario Cali'!$C:$C,$A106)</f>
        <v>71040</v>
      </c>
      <c r="N106" s="24">
        <f>SUMIFS('Diario Adm'!$E:$E,'Diario Adm'!$B:$B,N$4,'Diario Adm'!$C:$C,$A106)+SUMIFS('Diario Cali'!$E:$E,'Diario Cali'!$B:$B,N$4,'Diario Cali'!$C:$C,$A106)</f>
        <v>75840</v>
      </c>
      <c r="O106" s="28"/>
      <c r="P106" s="138">
        <f t="shared" si="14"/>
        <v>793080</v>
      </c>
      <c r="Q106" s="28"/>
      <c r="R106" s="140">
        <f t="shared" si="15"/>
        <v>79308</v>
      </c>
    </row>
    <row r="107" spans="1:18" ht="13.6" x14ac:dyDescent="0.25">
      <c r="A107" s="170">
        <v>4150</v>
      </c>
      <c r="B107" s="128" t="str">
        <f>VLOOKUP(A107,Plan!A:B,2,0)</f>
        <v>Comisiones Cali Tarjetas de Creditos</v>
      </c>
      <c r="C107" s="24">
        <f>SUMIFS('Diario Adm'!$E:$E,'Diario Adm'!$B:$B,C$4,'Diario Adm'!$C:$C,$A107)+SUMIFS('Diario Cali'!$E:$E,'Diario Cali'!$B:$B,C$4,'Diario Cali'!$C:$C,$A107)</f>
        <v>148972</v>
      </c>
      <c r="D107" s="24">
        <f>SUMIFS('Diario Adm'!$E:$E,'Diario Adm'!$B:$B,D$4,'Diario Adm'!$C:$C,$A107)+SUMIFS('Diario Cali'!$E:$E,'Diario Cali'!$B:$B,D$4,'Diario Cali'!$C:$C,$A107)</f>
        <v>91997</v>
      </c>
      <c r="E107" s="24">
        <f>SUMIFS('Diario Adm'!$E:$E,'Diario Adm'!$B:$B,E$4,'Diario Adm'!$C:$C,$A107)+SUMIFS('Diario Cali'!$E:$E,'Diario Cali'!$B:$B,E$4,'Diario Cali'!$C:$C,$A107)</f>
        <v>244870</v>
      </c>
      <c r="F107" s="24">
        <f>SUMIFS('Diario Adm'!$E:$E,'Diario Adm'!$B:$B,F$4,'Diario Adm'!$C:$C,$A107)+SUMIFS('Diario Cali'!$E:$E,'Diario Cali'!$B:$B,F$4,'Diario Cali'!$C:$C,$A107)</f>
        <v>119867</v>
      </c>
      <c r="G107" s="24">
        <f>SUMIFS('Diario Adm'!$E:$E,'Diario Adm'!$B:$B,G$4,'Diario Adm'!$C:$C,$A107)+SUMIFS('Diario Cali'!$E:$E,'Diario Cali'!$B:$B,G$4,'Diario Cali'!$C:$C,$A107)</f>
        <v>129232</v>
      </c>
      <c r="H107" s="24">
        <f>SUMIFS('Diario Adm'!$E:$E,'Diario Adm'!$B:$B,H$4,'Diario Adm'!$C:$C,$A107)+SUMIFS('Diario Cali'!$E:$E,'Diario Cali'!$B:$B,H$4,'Diario Cali'!$C:$C,$A107)</f>
        <v>124115</v>
      </c>
      <c r="I107" s="24">
        <f>SUMIFS('Diario Adm'!$E:$E,'Diario Adm'!$B:$B,I$4,'Diario Adm'!$C:$C,$A107)+SUMIFS('Diario Cali'!$E:$E,'Diario Cali'!$B:$B,I$4,'Diario Cali'!$C:$C,$A107)</f>
        <v>139025</v>
      </c>
      <c r="J107" s="24">
        <f>SUMIFS('Diario Adm'!$E:$E,'Diario Adm'!$B:$B,J$4,'Diario Adm'!$C:$C,$A107)+SUMIFS('Diario Cali'!$E:$E,'Diario Cali'!$B:$B,J$4,'Diario Cali'!$C:$C,$A107)</f>
        <v>140572</v>
      </c>
      <c r="K107" s="24">
        <f>SUMIFS('Diario Adm'!$E:$E,'Diario Adm'!$B:$B,K$4,'Diario Adm'!$C:$C,$A107)+SUMIFS('Diario Cali'!$E:$E,'Diario Cali'!$B:$B,K$4,'Diario Cali'!$C:$C,$A107)</f>
        <v>395216</v>
      </c>
      <c r="L107" s="24">
        <f>SUMIFS('Diario Adm'!$E:$E,'Diario Adm'!$B:$B,L$4,'Diario Adm'!$C:$C,$A107)+SUMIFS('Diario Cali'!$E:$E,'Diario Cali'!$B:$B,L$4,'Diario Cali'!$C:$C,$A107)</f>
        <v>412922</v>
      </c>
      <c r="M107" s="24">
        <f>SUMIFS('Diario Adm'!$E:$E,'Diario Adm'!$B:$B,M$4,'Diario Adm'!$C:$C,$A107)+SUMIFS('Diario Cali'!$E:$E,'Diario Cali'!$B:$B,M$4,'Diario Cali'!$C:$C,$A107)</f>
        <v>416255</v>
      </c>
      <c r="N107" s="24">
        <f>SUMIFS('Diario Adm'!$E:$E,'Diario Adm'!$B:$B,N$4,'Diario Adm'!$C:$C,$A107)+SUMIFS('Diario Cali'!$E:$E,'Diario Cali'!$B:$B,N$4,'Diario Cali'!$C:$C,$A107)</f>
        <v>393197</v>
      </c>
      <c r="O107" s="28"/>
      <c r="P107" s="138">
        <f t="shared" si="14"/>
        <v>2756240</v>
      </c>
      <c r="Q107" s="28"/>
      <c r="R107" s="140">
        <f t="shared" si="15"/>
        <v>275624</v>
      </c>
    </row>
    <row r="108" spans="1:18" ht="13.6" x14ac:dyDescent="0.25">
      <c r="A108" s="170">
        <v>4160</v>
      </c>
      <c r="B108" s="128" t="str">
        <f>VLOOKUP(A108,Plan!A:B,2,0)</f>
        <v>Comisiones Cali Arzobispado</v>
      </c>
      <c r="C108" s="24">
        <f>SUMIFS('Diario Adm'!$E:$E,'Diario Adm'!$B:$B,C$4,'Diario Adm'!$C:$C,$A108)+SUMIFS('Diario Cali'!$E:$E,'Diario Cali'!$B:$B,C$4,'Diario Cali'!$C:$C,$A108)</f>
        <v>471556</v>
      </c>
      <c r="D108" s="24">
        <f>SUMIFS('Diario Adm'!$E:$E,'Diario Adm'!$B:$B,D$4,'Diario Adm'!$C:$C,$A108)+SUMIFS('Diario Cali'!$E:$E,'Diario Cali'!$B:$B,D$4,'Diario Cali'!$C:$C,$A108)</f>
        <v>465745</v>
      </c>
      <c r="E108" s="24">
        <f>SUMIFS('Diario Adm'!$E:$E,'Diario Adm'!$B:$B,E$4,'Diario Adm'!$C:$C,$A108)+SUMIFS('Diario Cali'!$E:$E,'Diario Cali'!$B:$B,E$4,'Diario Cali'!$C:$C,$A108)</f>
        <v>370935</v>
      </c>
      <c r="F108" s="24">
        <f>SUMIFS('Diario Adm'!$E:$E,'Diario Adm'!$B:$B,F$4,'Diario Adm'!$C:$C,$A108)+SUMIFS('Diario Cali'!$E:$E,'Diario Cali'!$B:$B,F$4,'Diario Cali'!$C:$C,$A108)</f>
        <v>461343</v>
      </c>
      <c r="G108" s="24">
        <f>SUMIFS('Diario Adm'!$E:$E,'Diario Adm'!$B:$B,G$4,'Diario Adm'!$C:$C,$A108)+SUMIFS('Diario Cali'!$E:$E,'Diario Cali'!$B:$B,G$4,'Diario Cali'!$C:$C,$A108)</f>
        <v>466451</v>
      </c>
      <c r="H108" s="24">
        <f>SUMIFS('Diario Adm'!$E:$E,'Diario Adm'!$B:$B,H$4,'Diario Adm'!$C:$C,$A108)+SUMIFS('Diario Cali'!$E:$E,'Diario Cali'!$B:$B,H$4,'Diario Cali'!$C:$C,$A108)</f>
        <v>448649</v>
      </c>
      <c r="I108" s="24">
        <f>SUMIFS('Diario Adm'!$E:$E,'Diario Adm'!$B:$B,I$4,'Diario Adm'!$C:$C,$A108)+SUMIFS('Diario Cali'!$E:$E,'Diario Cali'!$B:$B,I$4,'Diario Cali'!$C:$C,$A108)</f>
        <v>461920</v>
      </c>
      <c r="J108" s="24">
        <f>SUMIFS('Diario Adm'!$E:$E,'Diario Adm'!$B:$B,J$4,'Diario Adm'!$C:$C,$A108)+SUMIFS('Diario Cali'!$E:$E,'Diario Cali'!$B:$B,J$4,'Diario Cali'!$C:$C,$A108)</f>
        <v>473083</v>
      </c>
      <c r="K108" s="24">
        <f>SUMIFS('Diario Adm'!$E:$E,'Diario Adm'!$B:$B,K$4,'Diario Adm'!$C:$C,$A108)+SUMIFS('Diario Cali'!$E:$E,'Diario Cali'!$B:$B,K$4,'Diario Cali'!$C:$C,$A108)</f>
        <v>449884</v>
      </c>
      <c r="L108" s="24">
        <f>SUMIFS('Diario Adm'!$E:$E,'Diario Adm'!$B:$B,L$4,'Diario Adm'!$C:$C,$A108)+SUMIFS('Diario Cali'!$E:$E,'Diario Cali'!$B:$B,L$4,'Diario Cali'!$C:$C,$A108)</f>
        <v>469220</v>
      </c>
      <c r="M108" s="24">
        <f>SUMIFS('Diario Adm'!$E:$E,'Diario Adm'!$B:$B,M$4,'Diario Adm'!$C:$C,$A108)+SUMIFS('Diario Cali'!$E:$E,'Diario Cali'!$B:$B,M$4,'Diario Cali'!$C:$C,$A108)</f>
        <v>458498</v>
      </c>
      <c r="N108" s="24">
        <f>SUMIFS('Diario Adm'!$E:$E,'Diario Adm'!$B:$B,N$4,'Diario Adm'!$C:$C,$A108)+SUMIFS('Diario Cali'!$E:$E,'Diario Cali'!$B:$B,N$4,'Diario Cali'!$C:$C,$A108)</f>
        <v>442547</v>
      </c>
      <c r="O108" s="28"/>
      <c r="P108" s="138">
        <f t="shared" si="14"/>
        <v>5439831</v>
      </c>
      <c r="Q108" s="28"/>
      <c r="R108" s="140">
        <f t="shared" si="15"/>
        <v>543983.1</v>
      </c>
    </row>
    <row r="109" spans="1:18" ht="13.6" x14ac:dyDescent="0.25">
      <c r="A109" s="170">
        <v>7000</v>
      </c>
      <c r="B109" s="128" t="str">
        <f>VLOOKUP(A109,Plan!A:B,2,0)</f>
        <v>GASTOS CONSTRUCCION PARROQUIA</v>
      </c>
      <c r="C109" s="24">
        <f>SUMIFS('Diario Adm'!$E:$E,'Diario Adm'!$B:$B,C$4,'Diario Adm'!$C:$C,$A109)+SUMIFS('Diario Cali'!$E:$E,'Diario Cali'!$B:$B,C$4,'Diario Cali'!$C:$C,$A109)</f>
        <v>0</v>
      </c>
      <c r="D109" s="24">
        <f>SUMIFS('Diario Adm'!$E:$E,'Diario Adm'!$B:$B,D$4,'Diario Adm'!$C:$C,$A109)+SUMIFS('Diario Cali'!$E:$E,'Diario Cali'!$B:$B,D$4,'Diario Cali'!$C:$C,$A109)</f>
        <v>0</v>
      </c>
      <c r="E109" s="24">
        <f>SUMIFS('Diario Adm'!$E:$E,'Diario Adm'!$B:$B,E$4,'Diario Adm'!$C:$C,$A109)+SUMIFS('Diario Cali'!$E:$E,'Diario Cali'!$B:$B,E$4,'Diario Cali'!$C:$C,$A109)</f>
        <v>0</v>
      </c>
      <c r="F109" s="24">
        <f>SUMIFS('Diario Adm'!$E:$E,'Diario Adm'!$B:$B,F$4,'Diario Adm'!$C:$C,$A109)+SUMIFS('Diario Cali'!$E:$E,'Diario Cali'!$B:$B,F$4,'Diario Cali'!$C:$C,$A109)</f>
        <v>0</v>
      </c>
      <c r="G109" s="24">
        <f>SUMIFS('Diario Adm'!$E:$E,'Diario Adm'!$B:$B,G$4,'Diario Adm'!$C:$C,$A109)+SUMIFS('Diario Cali'!$E:$E,'Diario Cali'!$B:$B,G$4,'Diario Cali'!$C:$C,$A109)</f>
        <v>0</v>
      </c>
      <c r="H109" s="24">
        <f>SUMIFS('Diario Adm'!$E:$E,'Diario Adm'!$B:$B,H$4,'Diario Adm'!$C:$C,$A109)+SUMIFS('Diario Cali'!$E:$E,'Diario Cali'!$B:$B,H$4,'Diario Cali'!$C:$C,$A109)</f>
        <v>0</v>
      </c>
      <c r="I109" s="24">
        <f>SUMIFS('Diario Adm'!$E:$E,'Diario Adm'!$B:$B,I$4,'Diario Adm'!$C:$C,$A109)+SUMIFS('Diario Cali'!$E:$E,'Diario Cali'!$B:$B,I$4,'Diario Cali'!$C:$C,$A109)</f>
        <v>0</v>
      </c>
      <c r="J109" s="24">
        <f>SUMIFS('Diario Adm'!$E:$E,'Diario Adm'!$B:$B,J$4,'Diario Adm'!$C:$C,$A109)+SUMIFS('Diario Cali'!$E:$E,'Diario Cali'!$B:$B,J$4,'Diario Cali'!$C:$C,$A109)</f>
        <v>0</v>
      </c>
      <c r="K109" s="24">
        <f>SUMIFS('Diario Adm'!$E:$E,'Diario Adm'!$B:$B,K$4,'Diario Adm'!$C:$C,$A109)+SUMIFS('Diario Cali'!$E:$E,'Diario Cali'!$B:$B,K$4,'Diario Cali'!$C:$C,$A109)</f>
        <v>0</v>
      </c>
      <c r="L109" s="24">
        <f>SUMIFS('Diario Adm'!$E:$E,'Diario Adm'!$B:$B,L$4,'Diario Adm'!$C:$C,$A109)+SUMIFS('Diario Cali'!$E:$E,'Diario Cali'!$B:$B,L$4,'Diario Cali'!$C:$C,$A109)</f>
        <v>0</v>
      </c>
      <c r="M109" s="24">
        <f>SUMIFS('Diario Adm'!$E:$E,'Diario Adm'!$B:$B,M$4,'Diario Adm'!$C:$C,$A109)+SUMIFS('Diario Cali'!$E:$E,'Diario Cali'!$B:$B,M$4,'Diario Cali'!$C:$C,$A109)</f>
        <v>0</v>
      </c>
      <c r="N109" s="24">
        <f>SUMIFS('Diario Adm'!$E:$E,'Diario Adm'!$B:$B,N$4,'Diario Adm'!$C:$C,$A109)+SUMIFS('Diario Cali'!$E:$E,'Diario Cali'!$B:$B,N$4,'Diario Cali'!$C:$C,$A109)</f>
        <v>0</v>
      </c>
      <c r="O109" s="28"/>
      <c r="P109" s="138">
        <f t="shared" si="14"/>
        <v>0</v>
      </c>
      <c r="Q109" s="28"/>
      <c r="R109" s="140">
        <f t="shared" si="15"/>
        <v>0</v>
      </c>
    </row>
    <row r="110" spans="1:18" ht="13.6" x14ac:dyDescent="0.25">
      <c r="A110" s="170">
        <v>9011</v>
      </c>
      <c r="B110" s="128" t="str">
        <f>VLOOKUP(A110,Plan!A:B,2,0)</f>
        <v>Sueldo Sacerdotes</v>
      </c>
      <c r="C110" s="24">
        <f>SUMIFS('Diario Adm'!$E:$E,'Diario Adm'!$B:$B,C$4,'Diario Adm'!$C:$C,$A110)+SUMIFS('Diario Cali'!$E:$E,'Diario Cali'!$B:$B,C$4,'Diario Cali'!$C:$C,$A110)</f>
        <v>907876</v>
      </c>
      <c r="D110" s="24">
        <f>SUMIFS('Diario Adm'!$E:$E,'Diario Adm'!$B:$B,D$4,'Diario Adm'!$C:$C,$A110)+SUMIFS('Diario Cali'!$E:$E,'Diario Cali'!$B:$B,D$4,'Diario Cali'!$C:$C,$A110)</f>
        <v>908849</v>
      </c>
      <c r="E110" s="24">
        <f>SUMIFS('Diario Adm'!$E:$E,'Diario Adm'!$B:$B,E$4,'Diario Adm'!$C:$C,$A110)+SUMIFS('Diario Cali'!$E:$E,'Diario Cali'!$B:$B,E$4,'Diario Cali'!$C:$C,$A110)</f>
        <v>909484</v>
      </c>
      <c r="F110" s="24">
        <f>SUMIFS('Diario Adm'!$E:$E,'Diario Adm'!$B:$B,F$4,'Diario Adm'!$C:$C,$A110)+SUMIFS('Diario Cali'!$E:$E,'Diario Cali'!$B:$B,F$4,'Diario Cali'!$C:$C,$A110)</f>
        <v>907010</v>
      </c>
      <c r="G110" s="24">
        <f>SUMIFS('Diario Adm'!$E:$E,'Diario Adm'!$B:$B,G$4,'Diario Adm'!$C:$C,$A110)+SUMIFS('Diario Cali'!$E:$E,'Diario Cali'!$B:$B,G$4,'Diario Cali'!$C:$C,$A110)</f>
        <v>907706</v>
      </c>
      <c r="H110" s="24">
        <f>SUMIFS('Diario Adm'!$E:$E,'Diario Adm'!$B:$B,H$4,'Diario Adm'!$C:$C,$A110)+SUMIFS('Diario Cali'!$E:$E,'Diario Cali'!$B:$B,H$4,'Diario Cali'!$C:$C,$A110)</f>
        <v>908269</v>
      </c>
      <c r="I110" s="24">
        <f>SUMIFS('Diario Adm'!$E:$E,'Diario Adm'!$B:$B,I$4,'Diario Adm'!$C:$C,$A110)+SUMIFS('Diario Cali'!$E:$E,'Diario Cali'!$B:$B,I$4,'Diario Cali'!$C:$C,$A110)</f>
        <v>910865</v>
      </c>
      <c r="J110" s="24">
        <f>SUMIFS('Diario Adm'!$E:$E,'Diario Adm'!$B:$B,J$4,'Diario Adm'!$C:$C,$A110)+SUMIFS('Diario Cali'!$E:$E,'Diario Cali'!$B:$B,J$4,'Diario Cali'!$C:$C,$A110)</f>
        <v>911915</v>
      </c>
      <c r="K110" s="24">
        <f>SUMIFS('Diario Adm'!$E:$E,'Diario Adm'!$B:$B,K$4,'Diario Adm'!$C:$C,$A110)+SUMIFS('Diario Cali'!$E:$E,'Diario Cali'!$B:$B,K$4,'Diario Cali'!$C:$C,$A110)</f>
        <v>912822</v>
      </c>
      <c r="L110" s="24">
        <f>SUMIFS('Diario Adm'!$E:$E,'Diario Adm'!$B:$B,L$4,'Diario Adm'!$C:$C,$A110)+SUMIFS('Diario Cali'!$E:$E,'Diario Cali'!$B:$B,L$4,'Diario Cali'!$C:$C,$A110)</f>
        <v>914490</v>
      </c>
      <c r="M110" s="24">
        <f>SUMIFS('Diario Adm'!$E:$E,'Diario Adm'!$B:$B,M$4,'Diario Adm'!$C:$C,$A110)+SUMIFS('Diario Cali'!$E:$E,'Diario Cali'!$B:$B,M$4,'Diario Cali'!$C:$C,$A110)</f>
        <v>913611</v>
      </c>
      <c r="N110" s="24">
        <f>SUMIFS('Diario Adm'!$E:$E,'Diario Adm'!$B:$B,N$4,'Diario Adm'!$C:$C,$A110)+SUMIFS('Diario Cali'!$E:$E,'Diario Cali'!$B:$B,N$4,'Diario Cali'!$C:$C,$A110)</f>
        <v>914939</v>
      </c>
      <c r="O110" s="28"/>
      <c r="P110" s="138">
        <f t="shared" si="14"/>
        <v>10927836</v>
      </c>
      <c r="Q110" s="28"/>
      <c r="R110" s="140">
        <f t="shared" si="15"/>
        <v>1092783.6000000001</v>
      </c>
    </row>
    <row r="111" spans="1:18" ht="13.6" x14ac:dyDescent="0.25">
      <c r="A111" s="170">
        <v>9012</v>
      </c>
      <c r="B111" s="128" t="str">
        <f>VLOOKUP(A111,Plan!A:B,2,0)</f>
        <v>Sueldo Nana</v>
      </c>
      <c r="C111" s="24">
        <f>SUMIFS('Diario Adm'!$E:$E,'Diario Adm'!$B:$B,C$4,'Diario Adm'!$C:$C,$A111)+SUMIFS('Diario Cali'!$E:$E,'Diario Cali'!$B:$B,C$4,'Diario Cali'!$C:$C,$A111)</f>
        <v>0</v>
      </c>
      <c r="D111" s="24">
        <f>SUMIFS('Diario Adm'!$E:$E,'Diario Adm'!$B:$B,D$4,'Diario Adm'!$C:$C,$A111)+SUMIFS('Diario Cali'!$E:$E,'Diario Cali'!$B:$B,D$4,'Diario Cali'!$C:$C,$A111)</f>
        <v>0</v>
      </c>
      <c r="E111" s="24">
        <f>SUMIFS('Diario Adm'!$E:$E,'Diario Adm'!$B:$B,E$4,'Diario Adm'!$C:$C,$A111)+SUMIFS('Diario Cali'!$E:$E,'Diario Cali'!$B:$B,E$4,'Diario Cali'!$C:$C,$A111)</f>
        <v>0</v>
      </c>
      <c r="F111" s="24">
        <f>SUMIFS('Diario Adm'!$E:$E,'Diario Adm'!$B:$B,F$4,'Diario Adm'!$C:$C,$A111)+SUMIFS('Diario Cali'!$E:$E,'Diario Cali'!$B:$B,F$4,'Diario Cali'!$C:$C,$A111)</f>
        <v>0</v>
      </c>
      <c r="G111" s="24">
        <f>SUMIFS('Diario Adm'!$E:$E,'Diario Adm'!$B:$B,G$4,'Diario Adm'!$C:$C,$A111)+SUMIFS('Diario Cali'!$E:$E,'Diario Cali'!$B:$B,G$4,'Diario Cali'!$C:$C,$A111)</f>
        <v>0</v>
      </c>
      <c r="H111" s="24">
        <f>SUMIFS('Diario Adm'!$E:$E,'Diario Adm'!$B:$B,H$4,'Diario Adm'!$C:$C,$A111)+SUMIFS('Diario Cali'!$E:$E,'Diario Cali'!$B:$B,H$4,'Diario Cali'!$C:$C,$A111)</f>
        <v>0</v>
      </c>
      <c r="I111" s="24">
        <f>SUMIFS('Diario Adm'!$E:$E,'Diario Adm'!$B:$B,I$4,'Diario Adm'!$C:$C,$A111)+SUMIFS('Diario Cali'!$E:$E,'Diario Cali'!$B:$B,I$4,'Diario Cali'!$C:$C,$A111)</f>
        <v>0</v>
      </c>
      <c r="J111" s="24">
        <f>SUMIFS('Diario Adm'!$E:$E,'Diario Adm'!$B:$B,J$4,'Diario Adm'!$C:$C,$A111)+SUMIFS('Diario Cali'!$E:$E,'Diario Cali'!$B:$B,J$4,'Diario Cali'!$C:$C,$A111)</f>
        <v>0</v>
      </c>
      <c r="K111" s="24">
        <f>SUMIFS('Diario Adm'!$E:$E,'Diario Adm'!$B:$B,K$4,'Diario Adm'!$C:$C,$A111)+SUMIFS('Diario Cali'!$E:$E,'Diario Cali'!$B:$B,K$4,'Diario Cali'!$C:$C,$A111)</f>
        <v>0</v>
      </c>
      <c r="L111" s="24">
        <f>SUMIFS('Diario Adm'!$E:$E,'Diario Adm'!$B:$B,L$4,'Diario Adm'!$C:$C,$A111)+SUMIFS('Diario Cali'!$E:$E,'Diario Cali'!$B:$B,L$4,'Diario Cali'!$C:$C,$A111)</f>
        <v>0</v>
      </c>
      <c r="M111" s="24">
        <f>SUMIFS('Diario Adm'!$E:$E,'Diario Adm'!$B:$B,M$4,'Diario Adm'!$C:$C,$A111)+SUMIFS('Diario Cali'!$E:$E,'Diario Cali'!$B:$B,M$4,'Diario Cali'!$C:$C,$A111)</f>
        <v>0</v>
      </c>
      <c r="N111" s="24">
        <f>SUMIFS('Diario Adm'!$E:$E,'Diario Adm'!$B:$B,N$4,'Diario Adm'!$C:$C,$A111)+SUMIFS('Diario Cali'!$E:$E,'Diario Cali'!$B:$B,N$4,'Diario Cali'!$C:$C,$A111)</f>
        <v>0</v>
      </c>
      <c r="O111" s="28"/>
      <c r="P111" s="138">
        <f t="shared" ref="P111:P117" si="16">SUM(C111:N111)</f>
        <v>0</v>
      </c>
      <c r="Q111" s="28"/>
      <c r="R111" s="140">
        <f t="shared" ref="R111:R117" si="17">+P111/$R$4</f>
        <v>0</v>
      </c>
    </row>
    <row r="112" spans="1:18" ht="13.6" x14ac:dyDescent="0.25">
      <c r="A112" s="170">
        <v>9013</v>
      </c>
      <c r="B112" s="128" t="str">
        <f>VLOOKUP(A112,Plan!A:B,2,0)</f>
        <v>Sueldo Jardinero</v>
      </c>
      <c r="C112" s="24">
        <f>SUMIFS('Diario Adm'!$E:$E,'Diario Adm'!$B:$B,C$4,'Diario Adm'!$C:$C,$A112)+SUMIFS('Diario Cali'!$E:$E,'Diario Cali'!$B:$B,C$4,'Diario Cali'!$C:$C,$A112)</f>
        <v>0</v>
      </c>
      <c r="D112" s="24">
        <f>SUMIFS('Diario Adm'!$E:$E,'Diario Adm'!$B:$B,D$4,'Diario Adm'!$C:$C,$A112)+SUMIFS('Diario Cali'!$E:$E,'Diario Cali'!$B:$B,D$4,'Diario Cali'!$C:$C,$A112)</f>
        <v>0</v>
      </c>
      <c r="E112" s="24">
        <f>SUMIFS('Diario Adm'!$E:$E,'Diario Adm'!$B:$B,E$4,'Diario Adm'!$C:$C,$A112)+SUMIFS('Diario Cali'!$E:$E,'Diario Cali'!$B:$B,E$4,'Diario Cali'!$C:$C,$A112)</f>
        <v>0</v>
      </c>
      <c r="F112" s="24">
        <f>SUMIFS('Diario Adm'!$E:$E,'Diario Adm'!$B:$B,F$4,'Diario Adm'!$C:$C,$A112)+SUMIFS('Diario Cali'!$E:$E,'Diario Cali'!$B:$B,F$4,'Diario Cali'!$C:$C,$A112)</f>
        <v>0</v>
      </c>
      <c r="G112" s="24">
        <f>SUMIFS('Diario Adm'!$E:$E,'Diario Adm'!$B:$B,G$4,'Diario Adm'!$C:$C,$A112)+SUMIFS('Diario Cali'!$E:$E,'Diario Cali'!$B:$B,G$4,'Diario Cali'!$C:$C,$A112)</f>
        <v>0</v>
      </c>
      <c r="H112" s="24">
        <f>SUMIFS('Diario Adm'!$E:$E,'Diario Adm'!$B:$B,H$4,'Diario Adm'!$C:$C,$A112)+SUMIFS('Diario Cali'!$E:$E,'Diario Cali'!$B:$B,H$4,'Diario Cali'!$C:$C,$A112)</f>
        <v>0</v>
      </c>
      <c r="I112" s="24">
        <f>SUMIFS('Diario Adm'!$E:$E,'Diario Adm'!$B:$B,I$4,'Diario Adm'!$C:$C,$A112)+SUMIFS('Diario Cali'!$E:$E,'Diario Cali'!$B:$B,I$4,'Diario Cali'!$C:$C,$A112)</f>
        <v>0</v>
      </c>
      <c r="J112" s="24">
        <f>SUMIFS('Diario Adm'!$E:$E,'Diario Adm'!$B:$B,J$4,'Diario Adm'!$C:$C,$A112)+SUMIFS('Diario Cali'!$E:$E,'Diario Cali'!$B:$B,J$4,'Diario Cali'!$C:$C,$A112)</f>
        <v>0</v>
      </c>
      <c r="K112" s="24">
        <f>SUMIFS('Diario Adm'!$E:$E,'Diario Adm'!$B:$B,K$4,'Diario Adm'!$C:$C,$A112)+SUMIFS('Diario Cali'!$E:$E,'Diario Cali'!$B:$B,K$4,'Diario Cali'!$C:$C,$A112)</f>
        <v>0</v>
      </c>
      <c r="L112" s="24">
        <f>SUMIFS('Diario Adm'!$E:$E,'Diario Adm'!$B:$B,L$4,'Diario Adm'!$C:$C,$A112)+SUMIFS('Diario Cali'!$E:$E,'Diario Cali'!$B:$B,L$4,'Diario Cali'!$C:$C,$A112)</f>
        <v>0</v>
      </c>
      <c r="M112" s="24">
        <f>SUMIFS('Diario Adm'!$E:$E,'Diario Adm'!$B:$B,M$4,'Diario Adm'!$C:$C,$A112)+SUMIFS('Diario Cali'!$E:$E,'Diario Cali'!$B:$B,M$4,'Diario Cali'!$C:$C,$A112)</f>
        <v>0</v>
      </c>
      <c r="N112" s="24">
        <f>SUMIFS('Diario Adm'!$E:$E,'Diario Adm'!$B:$B,N$4,'Diario Adm'!$C:$C,$A112)+SUMIFS('Diario Cali'!$E:$E,'Diario Cali'!$B:$B,N$4,'Diario Cali'!$C:$C,$A112)</f>
        <v>0</v>
      </c>
      <c r="O112" s="28"/>
      <c r="P112" s="138">
        <f t="shared" si="16"/>
        <v>0</v>
      </c>
      <c r="Q112" s="28"/>
      <c r="R112" s="140">
        <f t="shared" si="17"/>
        <v>0</v>
      </c>
    </row>
    <row r="113" spans="1:19" ht="14.3" x14ac:dyDescent="0.25">
      <c r="A113" s="257">
        <v>9021</v>
      </c>
      <c r="B113" s="128" t="str">
        <f>VLOOKUP(A113,Plan!A:B,2,0)</f>
        <v>Luz</v>
      </c>
      <c r="C113" s="24">
        <f>SUMIFS('Diario Adm'!$E:$E,'Diario Adm'!$B:$B,C$4,'Diario Adm'!$C:$C,$A113)+SUMIFS('Diario Cali'!$E:$E,'Diario Cali'!$B:$B,C$4,'Diario Cali'!$C:$C,$A113)</f>
        <v>0</v>
      </c>
      <c r="D113" s="24">
        <f>SUMIFS('Diario Adm'!$E:$E,'Diario Adm'!$B:$B,D$4,'Diario Adm'!$C:$C,$A113)+SUMIFS('Diario Cali'!$E:$E,'Diario Cali'!$B:$B,D$4,'Diario Cali'!$C:$C,$A113)</f>
        <v>0</v>
      </c>
      <c r="E113" s="24">
        <f>SUMIFS('Diario Adm'!$E:$E,'Diario Adm'!$B:$B,E$4,'Diario Adm'!$C:$C,$A113)+SUMIFS('Diario Cali'!$E:$E,'Diario Cali'!$B:$B,E$4,'Diario Cali'!$C:$C,$A113)</f>
        <v>0</v>
      </c>
      <c r="F113" s="24">
        <f>SUMIFS('Diario Adm'!$E:$E,'Diario Adm'!$B:$B,F$4,'Diario Adm'!$C:$C,$A113)+SUMIFS('Diario Cali'!$E:$E,'Diario Cali'!$B:$B,F$4,'Diario Cali'!$C:$C,$A113)</f>
        <v>0</v>
      </c>
      <c r="G113" s="24">
        <f>SUMIFS('Diario Adm'!$E:$E,'Diario Adm'!$B:$B,G$4,'Diario Adm'!$C:$C,$A113)+SUMIFS('Diario Cali'!$E:$E,'Diario Cali'!$B:$B,G$4,'Diario Cali'!$C:$C,$A113)</f>
        <v>0</v>
      </c>
      <c r="H113" s="24">
        <f>SUMIFS('Diario Adm'!$E:$E,'Diario Adm'!$B:$B,H$4,'Diario Adm'!$C:$C,$A113)+SUMIFS('Diario Cali'!$E:$E,'Diario Cali'!$B:$B,H$4,'Diario Cali'!$C:$C,$A113)</f>
        <v>0</v>
      </c>
      <c r="I113" s="24">
        <f>SUMIFS('Diario Adm'!$E:$E,'Diario Adm'!$B:$B,I$4,'Diario Adm'!$C:$C,$A113)+SUMIFS('Diario Cali'!$E:$E,'Diario Cali'!$B:$B,I$4,'Diario Cali'!$C:$C,$A113)</f>
        <v>0</v>
      </c>
      <c r="J113" s="24">
        <f>SUMIFS('Diario Adm'!$E:$E,'Diario Adm'!$B:$B,J$4,'Diario Adm'!$C:$C,$A113)+SUMIFS('Diario Cali'!$E:$E,'Diario Cali'!$B:$B,J$4,'Diario Cali'!$C:$C,$A113)</f>
        <v>0</v>
      </c>
      <c r="K113" s="24">
        <f>SUMIFS('Diario Adm'!$E:$E,'Diario Adm'!$B:$B,K$4,'Diario Adm'!$C:$C,$A113)+SUMIFS('Diario Cali'!$E:$E,'Diario Cali'!$B:$B,K$4,'Diario Cali'!$C:$C,$A113)</f>
        <v>0</v>
      </c>
      <c r="L113" s="24">
        <f>SUMIFS('Diario Adm'!$E:$E,'Diario Adm'!$B:$B,L$4,'Diario Adm'!$C:$C,$A113)+SUMIFS('Diario Cali'!$E:$E,'Diario Cali'!$B:$B,L$4,'Diario Cali'!$C:$C,$A113)</f>
        <v>0</v>
      </c>
      <c r="M113" s="24">
        <f>SUMIFS('Diario Adm'!$E:$E,'Diario Adm'!$B:$B,M$4,'Diario Adm'!$C:$C,$A113)+SUMIFS('Diario Cali'!$E:$E,'Diario Cali'!$B:$B,M$4,'Diario Cali'!$C:$C,$A113)</f>
        <v>0</v>
      </c>
      <c r="N113" s="24">
        <f>SUMIFS('Diario Adm'!$E:$E,'Diario Adm'!$B:$B,N$4,'Diario Adm'!$C:$C,$A113)+SUMIFS('Diario Cali'!$E:$E,'Diario Cali'!$B:$B,N$4,'Diario Cali'!$C:$C,$A113)</f>
        <v>0</v>
      </c>
      <c r="O113" s="28"/>
      <c r="P113" s="138">
        <f t="shared" si="16"/>
        <v>0</v>
      </c>
      <c r="Q113" s="28"/>
      <c r="R113" s="140">
        <f t="shared" si="17"/>
        <v>0</v>
      </c>
    </row>
    <row r="114" spans="1:19" ht="14.3" x14ac:dyDescent="0.25">
      <c r="A114" s="257">
        <v>9022</v>
      </c>
      <c r="B114" s="128" t="str">
        <f>VLOOKUP(A114,Plan!A:B,2,0)</f>
        <v>Agua</v>
      </c>
      <c r="C114" s="24">
        <f>SUMIFS('Diario Adm'!$E:$E,'Diario Adm'!$B:$B,C$4,'Diario Adm'!$C:$C,$A114)+SUMIFS('Diario Cali'!$E:$E,'Diario Cali'!$B:$B,C$4,'Diario Cali'!$C:$C,$A114)</f>
        <v>0</v>
      </c>
      <c r="D114" s="24">
        <f>SUMIFS('Diario Adm'!$E:$E,'Diario Adm'!$B:$B,D$4,'Diario Adm'!$C:$C,$A114)+SUMIFS('Diario Cali'!$E:$E,'Diario Cali'!$B:$B,D$4,'Diario Cali'!$C:$C,$A114)</f>
        <v>0</v>
      </c>
      <c r="E114" s="24">
        <f>SUMIFS('Diario Adm'!$E:$E,'Diario Adm'!$B:$B,E$4,'Diario Adm'!$C:$C,$A114)+SUMIFS('Diario Cali'!$E:$E,'Diario Cali'!$B:$B,E$4,'Diario Cali'!$C:$C,$A114)</f>
        <v>0</v>
      </c>
      <c r="F114" s="24">
        <f>SUMIFS('Diario Adm'!$E:$E,'Diario Adm'!$B:$B,F$4,'Diario Adm'!$C:$C,$A114)+SUMIFS('Diario Cali'!$E:$E,'Diario Cali'!$B:$B,F$4,'Diario Cali'!$C:$C,$A114)</f>
        <v>0</v>
      </c>
      <c r="G114" s="24">
        <f>SUMIFS('Diario Adm'!$E:$E,'Diario Adm'!$B:$B,G$4,'Diario Adm'!$C:$C,$A114)+SUMIFS('Diario Cali'!$E:$E,'Diario Cali'!$B:$B,G$4,'Diario Cali'!$C:$C,$A114)</f>
        <v>0</v>
      </c>
      <c r="H114" s="24">
        <f>SUMIFS('Diario Adm'!$E:$E,'Diario Adm'!$B:$B,H$4,'Diario Adm'!$C:$C,$A114)+SUMIFS('Diario Cali'!$E:$E,'Diario Cali'!$B:$B,H$4,'Diario Cali'!$C:$C,$A114)</f>
        <v>0</v>
      </c>
      <c r="I114" s="24">
        <f>SUMIFS('Diario Adm'!$E:$E,'Diario Adm'!$B:$B,I$4,'Diario Adm'!$C:$C,$A114)+SUMIFS('Diario Cali'!$E:$E,'Diario Cali'!$B:$B,I$4,'Diario Cali'!$C:$C,$A114)</f>
        <v>0</v>
      </c>
      <c r="J114" s="24">
        <f>SUMIFS('Diario Adm'!$E:$E,'Diario Adm'!$B:$B,J$4,'Diario Adm'!$C:$C,$A114)+SUMIFS('Diario Cali'!$E:$E,'Diario Cali'!$B:$B,J$4,'Diario Cali'!$C:$C,$A114)</f>
        <v>0</v>
      </c>
      <c r="K114" s="24">
        <f>SUMIFS('Diario Adm'!$E:$E,'Diario Adm'!$B:$B,K$4,'Diario Adm'!$C:$C,$A114)+SUMIFS('Diario Cali'!$E:$E,'Diario Cali'!$B:$B,K$4,'Diario Cali'!$C:$C,$A114)</f>
        <v>0</v>
      </c>
      <c r="L114" s="24">
        <f>SUMIFS('Diario Adm'!$E:$E,'Diario Adm'!$B:$B,L$4,'Diario Adm'!$C:$C,$A114)+SUMIFS('Diario Cali'!$E:$E,'Diario Cali'!$B:$B,L$4,'Diario Cali'!$C:$C,$A114)</f>
        <v>0</v>
      </c>
      <c r="M114" s="24">
        <f>SUMIFS('Diario Adm'!$E:$E,'Diario Adm'!$B:$B,M$4,'Diario Adm'!$C:$C,$A114)+SUMIFS('Diario Cali'!$E:$E,'Diario Cali'!$B:$B,M$4,'Diario Cali'!$C:$C,$A114)</f>
        <v>0</v>
      </c>
      <c r="N114" s="24">
        <f>SUMIFS('Diario Adm'!$E:$E,'Diario Adm'!$B:$B,N$4,'Diario Adm'!$C:$C,$A114)+SUMIFS('Diario Cali'!$E:$E,'Diario Cali'!$B:$B,N$4,'Diario Cali'!$C:$C,$A114)</f>
        <v>0</v>
      </c>
      <c r="O114" s="28"/>
      <c r="P114" s="138">
        <f t="shared" si="16"/>
        <v>0</v>
      </c>
      <c r="Q114" s="28"/>
      <c r="R114" s="140">
        <f t="shared" si="17"/>
        <v>0</v>
      </c>
    </row>
    <row r="115" spans="1:19" ht="14.3" x14ac:dyDescent="0.25">
      <c r="A115" s="257">
        <v>9023</v>
      </c>
      <c r="B115" s="128" t="str">
        <f>VLOOKUP(A115,Plan!A:B,2,0)</f>
        <v>ADT</v>
      </c>
      <c r="C115" s="24">
        <f>SUMIFS('Diario Adm'!$E:$E,'Diario Adm'!$B:$B,C$4,'Diario Adm'!$C:$C,$A115)+SUMIFS('Diario Cali'!$E:$E,'Diario Cali'!$B:$B,C$4,'Diario Cali'!$C:$C,$A115)</f>
        <v>0</v>
      </c>
      <c r="D115" s="24">
        <f>SUMIFS('Diario Adm'!$E:$E,'Diario Adm'!$B:$B,D$4,'Diario Adm'!$C:$C,$A115)+SUMIFS('Diario Cali'!$E:$E,'Diario Cali'!$B:$B,D$4,'Diario Cali'!$C:$C,$A115)</f>
        <v>0</v>
      </c>
      <c r="E115" s="24">
        <f>SUMIFS('Diario Adm'!$E:$E,'Diario Adm'!$B:$B,E$4,'Diario Adm'!$C:$C,$A115)+SUMIFS('Diario Cali'!$E:$E,'Diario Cali'!$B:$B,E$4,'Diario Cali'!$C:$C,$A115)</f>
        <v>0</v>
      </c>
      <c r="F115" s="24">
        <f>SUMIFS('Diario Adm'!$E:$E,'Diario Adm'!$B:$B,F$4,'Diario Adm'!$C:$C,$A115)+SUMIFS('Diario Cali'!$E:$E,'Diario Cali'!$B:$B,F$4,'Diario Cali'!$C:$C,$A115)</f>
        <v>0</v>
      </c>
      <c r="G115" s="24">
        <f>SUMIFS('Diario Adm'!$E:$E,'Diario Adm'!$B:$B,G$4,'Diario Adm'!$C:$C,$A115)+SUMIFS('Diario Cali'!$E:$E,'Diario Cali'!$B:$B,G$4,'Diario Cali'!$C:$C,$A115)</f>
        <v>0</v>
      </c>
      <c r="H115" s="24">
        <f>SUMIFS('Diario Adm'!$E:$E,'Diario Adm'!$B:$B,H$4,'Diario Adm'!$C:$C,$A115)+SUMIFS('Diario Cali'!$E:$E,'Diario Cali'!$B:$B,H$4,'Diario Cali'!$C:$C,$A115)</f>
        <v>0</v>
      </c>
      <c r="I115" s="24">
        <f>SUMIFS('Diario Adm'!$E:$E,'Diario Adm'!$B:$B,I$4,'Diario Adm'!$C:$C,$A115)+SUMIFS('Diario Cali'!$E:$E,'Diario Cali'!$B:$B,I$4,'Diario Cali'!$C:$C,$A115)</f>
        <v>0</v>
      </c>
      <c r="J115" s="24">
        <f>SUMIFS('Diario Adm'!$E:$E,'Diario Adm'!$B:$B,J$4,'Diario Adm'!$C:$C,$A115)+SUMIFS('Diario Cali'!$E:$E,'Diario Cali'!$B:$B,J$4,'Diario Cali'!$C:$C,$A115)</f>
        <v>0</v>
      </c>
      <c r="K115" s="24">
        <f>SUMIFS('Diario Adm'!$E:$E,'Diario Adm'!$B:$B,K$4,'Diario Adm'!$C:$C,$A115)+SUMIFS('Diario Cali'!$E:$E,'Diario Cali'!$B:$B,K$4,'Diario Cali'!$C:$C,$A115)</f>
        <v>0</v>
      </c>
      <c r="L115" s="24">
        <f>SUMIFS('Diario Adm'!$E:$E,'Diario Adm'!$B:$B,L$4,'Diario Adm'!$C:$C,$A115)+SUMIFS('Diario Cali'!$E:$E,'Diario Cali'!$B:$B,L$4,'Diario Cali'!$C:$C,$A115)</f>
        <v>0</v>
      </c>
      <c r="M115" s="24">
        <f>SUMIFS('Diario Adm'!$E:$E,'Diario Adm'!$B:$B,M$4,'Diario Adm'!$C:$C,$A115)+SUMIFS('Diario Cali'!$E:$E,'Diario Cali'!$B:$B,M$4,'Diario Cali'!$C:$C,$A115)</f>
        <v>0</v>
      </c>
      <c r="N115" s="24">
        <f>SUMIFS('Diario Adm'!$E:$E,'Diario Adm'!$B:$B,N$4,'Diario Adm'!$C:$C,$A115)+SUMIFS('Diario Cali'!$E:$E,'Diario Cali'!$B:$B,N$4,'Diario Cali'!$C:$C,$A115)</f>
        <v>0</v>
      </c>
      <c r="O115" s="28"/>
      <c r="P115" s="138">
        <f t="shared" si="16"/>
        <v>0</v>
      </c>
      <c r="Q115" s="28"/>
      <c r="R115" s="140">
        <f t="shared" si="17"/>
        <v>0</v>
      </c>
    </row>
    <row r="116" spans="1:19" ht="14.3" x14ac:dyDescent="0.25">
      <c r="A116" s="257">
        <v>9024</v>
      </c>
      <c r="B116" s="128" t="str">
        <f>VLOOKUP(A116,Plan!A:B,2,0)</f>
        <v>VTR</v>
      </c>
      <c r="C116" s="24">
        <f>SUMIFS('Diario Adm'!$E:$E,'Diario Adm'!$B:$B,C$4,'Diario Adm'!$C:$C,$A116)+SUMIFS('Diario Cali'!$E:$E,'Diario Cali'!$B:$B,C$4,'Diario Cali'!$C:$C,$A116)</f>
        <v>0</v>
      </c>
      <c r="D116" s="24">
        <f>SUMIFS('Diario Adm'!$E:$E,'Diario Adm'!$B:$B,D$4,'Diario Adm'!$C:$C,$A116)+SUMIFS('Diario Cali'!$E:$E,'Diario Cali'!$B:$B,D$4,'Diario Cali'!$C:$C,$A116)</f>
        <v>0</v>
      </c>
      <c r="E116" s="24">
        <f>SUMIFS('Diario Adm'!$E:$E,'Diario Adm'!$B:$B,E$4,'Diario Adm'!$C:$C,$A116)+SUMIFS('Diario Cali'!$E:$E,'Diario Cali'!$B:$B,E$4,'Diario Cali'!$C:$C,$A116)</f>
        <v>0</v>
      </c>
      <c r="F116" s="24">
        <f>SUMIFS('Diario Adm'!$E:$E,'Diario Adm'!$B:$B,F$4,'Diario Adm'!$C:$C,$A116)+SUMIFS('Diario Cali'!$E:$E,'Diario Cali'!$B:$B,F$4,'Diario Cali'!$C:$C,$A116)</f>
        <v>0</v>
      </c>
      <c r="G116" s="24">
        <f>SUMIFS('Diario Adm'!$E:$E,'Diario Adm'!$B:$B,G$4,'Diario Adm'!$C:$C,$A116)+SUMIFS('Diario Cali'!$E:$E,'Diario Cali'!$B:$B,G$4,'Diario Cali'!$C:$C,$A116)</f>
        <v>0</v>
      </c>
      <c r="H116" s="24">
        <f>SUMIFS('Diario Adm'!$E:$E,'Diario Adm'!$B:$B,H$4,'Diario Adm'!$C:$C,$A116)+SUMIFS('Diario Cali'!$E:$E,'Diario Cali'!$B:$B,H$4,'Diario Cali'!$C:$C,$A116)</f>
        <v>0</v>
      </c>
      <c r="I116" s="24">
        <f>SUMIFS('Diario Adm'!$E:$E,'Diario Adm'!$B:$B,I$4,'Diario Adm'!$C:$C,$A116)+SUMIFS('Diario Cali'!$E:$E,'Diario Cali'!$B:$B,I$4,'Diario Cali'!$C:$C,$A116)</f>
        <v>0</v>
      </c>
      <c r="J116" s="24">
        <f>SUMIFS('Diario Adm'!$E:$E,'Diario Adm'!$B:$B,J$4,'Diario Adm'!$C:$C,$A116)+SUMIFS('Diario Cali'!$E:$E,'Diario Cali'!$B:$B,J$4,'Diario Cali'!$C:$C,$A116)</f>
        <v>0</v>
      </c>
      <c r="K116" s="24">
        <f>SUMIFS('Diario Adm'!$E:$E,'Diario Adm'!$B:$B,K$4,'Diario Adm'!$C:$C,$A116)+SUMIFS('Diario Cali'!$E:$E,'Diario Cali'!$B:$B,K$4,'Diario Cali'!$C:$C,$A116)</f>
        <v>0</v>
      </c>
      <c r="L116" s="24">
        <f>SUMIFS('Diario Adm'!$E:$E,'Diario Adm'!$B:$B,L$4,'Diario Adm'!$C:$C,$A116)+SUMIFS('Diario Cali'!$E:$E,'Diario Cali'!$B:$B,L$4,'Diario Cali'!$C:$C,$A116)</f>
        <v>0</v>
      </c>
      <c r="M116" s="24">
        <f>SUMIFS('Diario Adm'!$E:$E,'Diario Adm'!$B:$B,M$4,'Diario Adm'!$C:$C,$A116)+SUMIFS('Diario Cali'!$E:$E,'Diario Cali'!$B:$B,M$4,'Diario Cali'!$C:$C,$A116)</f>
        <v>0</v>
      </c>
      <c r="N116" s="24">
        <f>SUMIFS('Diario Adm'!$E:$E,'Diario Adm'!$B:$B,N$4,'Diario Adm'!$C:$C,$A116)+SUMIFS('Diario Cali'!$E:$E,'Diario Cali'!$B:$B,N$4,'Diario Cali'!$C:$C,$A116)</f>
        <v>0</v>
      </c>
      <c r="O116" s="28"/>
      <c r="P116" s="138">
        <f>SUM(C116:N116)</f>
        <v>0</v>
      </c>
      <c r="Q116" s="28"/>
      <c r="R116" s="140">
        <f>+P116/$R$4</f>
        <v>0</v>
      </c>
    </row>
    <row r="117" spans="1:19" ht="14.95" customHeight="1" x14ac:dyDescent="0.25">
      <c r="A117" s="257">
        <v>9025</v>
      </c>
      <c r="B117" s="128" t="str">
        <f>VLOOKUP(A117,Plan!A:B,2,0)</f>
        <v>Gas</v>
      </c>
      <c r="C117" s="24">
        <f>SUMIFS('Diario Adm'!$E:$E,'Diario Adm'!$B:$B,C$4,'Diario Adm'!$C:$C,$A117)+SUMIFS('Diario Cali'!$E:$E,'Diario Cali'!$B:$B,C$4,'Diario Cali'!$C:$C,$A117)</f>
        <v>0</v>
      </c>
      <c r="D117" s="24">
        <f>SUMIFS('Diario Adm'!$E:$E,'Diario Adm'!$B:$B,D$4,'Diario Adm'!$C:$C,$A117)+SUMIFS('Diario Cali'!$E:$E,'Diario Cali'!$B:$B,D$4,'Diario Cali'!$C:$C,$A117)</f>
        <v>0</v>
      </c>
      <c r="E117" s="24">
        <f>SUMIFS('Diario Adm'!$E:$E,'Diario Adm'!$B:$B,E$4,'Diario Adm'!$C:$C,$A117)+SUMIFS('Diario Cali'!$E:$E,'Diario Cali'!$B:$B,E$4,'Diario Cali'!$C:$C,$A117)</f>
        <v>0</v>
      </c>
      <c r="F117" s="24">
        <f>SUMIFS('Diario Adm'!$E:$E,'Diario Adm'!$B:$B,F$4,'Diario Adm'!$C:$C,$A117)+SUMIFS('Diario Cali'!$E:$E,'Diario Cali'!$B:$B,F$4,'Diario Cali'!$C:$C,$A117)</f>
        <v>0</v>
      </c>
      <c r="G117" s="24">
        <f>SUMIFS('Diario Adm'!$E:$E,'Diario Adm'!$B:$B,G$4,'Diario Adm'!$C:$C,$A117)+SUMIFS('Diario Cali'!$E:$E,'Diario Cali'!$B:$B,G$4,'Diario Cali'!$C:$C,$A117)</f>
        <v>0</v>
      </c>
      <c r="H117" s="24">
        <f>SUMIFS('Diario Adm'!$E:$E,'Diario Adm'!$B:$B,H$4,'Diario Adm'!$C:$C,$A117)+SUMIFS('Diario Cali'!$E:$E,'Diario Cali'!$B:$B,H$4,'Diario Cali'!$C:$C,$A117)</f>
        <v>0</v>
      </c>
      <c r="I117" s="24">
        <f>SUMIFS('Diario Adm'!$E:$E,'Diario Adm'!$B:$B,I$4,'Diario Adm'!$C:$C,$A117)+SUMIFS('Diario Cali'!$E:$E,'Diario Cali'!$B:$B,I$4,'Diario Cali'!$C:$C,$A117)</f>
        <v>0</v>
      </c>
      <c r="J117" s="24">
        <f>SUMIFS('Diario Adm'!$E:$E,'Diario Adm'!$B:$B,J$4,'Diario Adm'!$C:$C,$A117)+SUMIFS('Diario Cali'!$E:$E,'Diario Cali'!$B:$B,J$4,'Diario Cali'!$C:$C,$A117)</f>
        <v>0</v>
      </c>
      <c r="K117" s="24">
        <f>SUMIFS('Diario Adm'!$E:$E,'Diario Adm'!$B:$B,K$4,'Diario Adm'!$C:$C,$A117)+SUMIFS('Diario Cali'!$E:$E,'Diario Cali'!$B:$B,K$4,'Diario Cali'!$C:$C,$A117)</f>
        <v>0</v>
      </c>
      <c r="L117" s="24">
        <f>SUMIFS('Diario Adm'!$E:$E,'Diario Adm'!$B:$B,L$4,'Diario Adm'!$C:$C,$A117)+SUMIFS('Diario Cali'!$E:$E,'Diario Cali'!$B:$B,L$4,'Diario Cali'!$C:$C,$A117)</f>
        <v>0</v>
      </c>
      <c r="M117" s="24">
        <f>SUMIFS('Diario Adm'!$E:$E,'Diario Adm'!$B:$B,M$4,'Diario Adm'!$C:$C,$A117)+SUMIFS('Diario Cali'!$E:$E,'Diario Cali'!$B:$B,M$4,'Diario Cali'!$C:$C,$A117)</f>
        <v>0</v>
      </c>
      <c r="N117" s="24">
        <f>SUMIFS('Diario Adm'!$E:$E,'Diario Adm'!$B:$B,N$4,'Diario Adm'!$C:$C,$A117)+SUMIFS('Diario Cali'!$E:$E,'Diario Cali'!$B:$B,N$4,'Diario Cali'!$C:$C,$A117)</f>
        <v>0</v>
      </c>
      <c r="O117" s="28"/>
      <c r="P117" s="138">
        <f t="shared" si="16"/>
        <v>0</v>
      </c>
      <c r="Q117" s="28"/>
      <c r="R117" s="140">
        <f t="shared" si="17"/>
        <v>0</v>
      </c>
    </row>
    <row r="118" spans="1:19" ht="14.3" x14ac:dyDescent="0.25">
      <c r="A118" s="257">
        <v>9040</v>
      </c>
      <c r="B118" s="128" t="str">
        <f>VLOOKUP(A118,Plan!A:B,2,0)</f>
        <v>Mantención y arreglos</v>
      </c>
      <c r="C118" s="24">
        <f>SUMIFS('Diario Adm'!$E:$E,'Diario Adm'!$B:$B,C$4,'Diario Adm'!$C:$C,$A118)+SUMIFS('Diario Cali'!$E:$E,'Diario Cali'!$B:$B,C$4,'Diario Cali'!$C:$C,$A118)</f>
        <v>0</v>
      </c>
      <c r="D118" s="24">
        <f>SUMIFS('Diario Adm'!$E:$E,'Diario Adm'!$B:$B,D$4,'Diario Adm'!$C:$C,$A118)+SUMIFS('Diario Cali'!$E:$E,'Diario Cali'!$B:$B,D$4,'Diario Cali'!$C:$C,$A118)</f>
        <v>0</v>
      </c>
      <c r="E118" s="24">
        <f>SUMIFS('Diario Adm'!$E:$E,'Diario Adm'!$B:$B,E$4,'Diario Adm'!$C:$C,$A118)+SUMIFS('Diario Cali'!$E:$E,'Diario Cali'!$B:$B,E$4,'Diario Cali'!$C:$C,$A118)</f>
        <v>0</v>
      </c>
      <c r="F118" s="24">
        <f>SUMIFS('Diario Adm'!$E:$E,'Diario Adm'!$B:$B,F$4,'Diario Adm'!$C:$C,$A118)+SUMIFS('Diario Cali'!$E:$E,'Diario Cali'!$B:$B,F$4,'Diario Cali'!$C:$C,$A118)</f>
        <v>0</v>
      </c>
      <c r="G118" s="24">
        <f>SUMIFS('Diario Adm'!$E:$E,'Diario Adm'!$B:$B,G$4,'Diario Adm'!$C:$C,$A118)+SUMIFS('Diario Cali'!$E:$E,'Diario Cali'!$B:$B,G$4,'Diario Cali'!$C:$C,$A118)</f>
        <v>0</v>
      </c>
      <c r="H118" s="24">
        <f>SUMIFS('Diario Adm'!$E:$E,'Diario Adm'!$B:$B,H$4,'Diario Adm'!$C:$C,$A118)+SUMIFS('Diario Cali'!$E:$E,'Diario Cali'!$B:$B,H$4,'Diario Cali'!$C:$C,$A118)</f>
        <v>0</v>
      </c>
      <c r="I118" s="24">
        <f>SUMIFS('Diario Adm'!$E:$E,'Diario Adm'!$B:$B,I$4,'Diario Adm'!$C:$C,$A118)+SUMIFS('Diario Cali'!$E:$E,'Diario Cali'!$B:$B,I$4,'Diario Cali'!$C:$C,$A118)</f>
        <v>0</v>
      </c>
      <c r="J118" s="24">
        <f>SUMIFS('Diario Adm'!$E:$E,'Diario Adm'!$B:$B,J$4,'Diario Adm'!$C:$C,$A118)+SUMIFS('Diario Cali'!$E:$E,'Diario Cali'!$B:$B,J$4,'Diario Cali'!$C:$C,$A118)</f>
        <v>0</v>
      </c>
      <c r="K118" s="24">
        <f>SUMIFS('Diario Adm'!$E:$E,'Diario Adm'!$B:$B,K$4,'Diario Adm'!$C:$C,$A118)+SUMIFS('Diario Cali'!$E:$E,'Diario Cali'!$B:$B,K$4,'Diario Cali'!$C:$C,$A118)</f>
        <v>0</v>
      </c>
      <c r="L118" s="24">
        <f>SUMIFS('Diario Adm'!$E:$E,'Diario Adm'!$B:$B,L$4,'Diario Adm'!$C:$C,$A118)+SUMIFS('Diario Cali'!$E:$E,'Diario Cali'!$B:$B,L$4,'Diario Cali'!$C:$C,$A118)</f>
        <v>0</v>
      </c>
      <c r="M118" s="24">
        <f>SUMIFS('Diario Adm'!$E:$E,'Diario Adm'!$B:$B,M$4,'Diario Adm'!$C:$C,$A118)+SUMIFS('Diario Cali'!$E:$E,'Diario Cali'!$B:$B,M$4,'Diario Cali'!$C:$C,$A118)</f>
        <v>0</v>
      </c>
      <c r="N118" s="24">
        <f>SUMIFS('Diario Adm'!$E:$E,'Diario Adm'!$B:$B,N$4,'Diario Adm'!$C:$C,$A118)+SUMIFS('Diario Cali'!$E:$E,'Diario Cali'!$B:$B,N$4,'Diario Cali'!$C:$C,$A118)</f>
        <v>0</v>
      </c>
      <c r="O118" s="28"/>
      <c r="P118" s="138">
        <f>SUM(C118:N118)</f>
        <v>0</v>
      </c>
      <c r="Q118" s="28"/>
      <c r="R118" s="140">
        <f>+P118/$R$4</f>
        <v>0</v>
      </c>
    </row>
    <row r="119" spans="1:19" ht="14.3" x14ac:dyDescent="0.25">
      <c r="A119" s="257">
        <v>9041</v>
      </c>
      <c r="B119" s="128" t="str">
        <f>VLOOKUP(A119,Plan!A:B,2,0)</f>
        <v>Arriendo Casa Sacerdotes</v>
      </c>
      <c r="C119" s="24">
        <f>SUMIFS('Diario Adm'!$E:$E,'Diario Adm'!$B:$B,C$4,'Diario Adm'!$C:$C,$A119)+SUMIFS('Diario Cali'!$E:$E,'Diario Cali'!$B:$B,C$4,'Diario Cali'!$C:$C,$A119)</f>
        <v>0</v>
      </c>
      <c r="D119" s="24">
        <f>SUMIFS('Diario Adm'!$E:$E,'Diario Adm'!$B:$B,D$4,'Diario Adm'!$C:$C,$A119)+SUMIFS('Diario Cali'!$E:$E,'Diario Cali'!$B:$B,D$4,'Diario Cali'!$C:$C,$A119)</f>
        <v>0</v>
      </c>
      <c r="E119" s="24">
        <f>SUMIFS('Diario Adm'!$E:$E,'Diario Adm'!$B:$B,E$4,'Diario Adm'!$C:$C,$A119)+SUMIFS('Diario Cali'!$E:$E,'Diario Cali'!$B:$B,E$4,'Diario Cali'!$C:$C,$A119)</f>
        <v>0</v>
      </c>
      <c r="F119" s="24">
        <f>SUMIFS('Diario Adm'!$E:$E,'Diario Adm'!$B:$B,F$4,'Diario Adm'!$C:$C,$A119)+SUMIFS('Diario Cali'!$E:$E,'Diario Cali'!$B:$B,F$4,'Diario Cali'!$C:$C,$A119)</f>
        <v>0</v>
      </c>
      <c r="G119" s="24">
        <f>SUMIFS('Diario Adm'!$E:$E,'Diario Adm'!$B:$B,G$4,'Diario Adm'!$C:$C,$A119)+SUMIFS('Diario Cali'!$E:$E,'Diario Cali'!$B:$B,G$4,'Diario Cali'!$C:$C,$A119)</f>
        <v>0</v>
      </c>
      <c r="H119" s="24">
        <f>SUMIFS('Diario Adm'!$E:$E,'Diario Adm'!$B:$B,H$4,'Diario Adm'!$C:$C,$A119)+SUMIFS('Diario Cali'!$E:$E,'Diario Cali'!$B:$B,H$4,'Diario Cali'!$C:$C,$A119)</f>
        <v>0</v>
      </c>
      <c r="I119" s="24">
        <f>SUMIFS('Diario Adm'!$E:$E,'Diario Adm'!$B:$B,I$4,'Diario Adm'!$C:$C,$A119)+SUMIFS('Diario Cali'!$E:$E,'Diario Cali'!$B:$B,I$4,'Diario Cali'!$C:$C,$A119)</f>
        <v>0</v>
      </c>
      <c r="J119" s="24">
        <f>SUMIFS('Diario Adm'!$E:$E,'Diario Adm'!$B:$B,J$4,'Diario Adm'!$C:$C,$A119)+SUMIFS('Diario Cali'!$E:$E,'Diario Cali'!$B:$B,J$4,'Diario Cali'!$C:$C,$A119)</f>
        <v>0</v>
      </c>
      <c r="K119" s="24">
        <f>SUMIFS('Diario Adm'!$E:$E,'Diario Adm'!$B:$B,K$4,'Diario Adm'!$C:$C,$A119)+SUMIFS('Diario Cali'!$E:$E,'Diario Cali'!$B:$B,K$4,'Diario Cali'!$C:$C,$A119)</f>
        <v>0</v>
      </c>
      <c r="L119" s="24">
        <f>SUMIFS('Diario Adm'!$E:$E,'Diario Adm'!$B:$B,L$4,'Diario Adm'!$C:$C,$A119)+SUMIFS('Diario Cali'!$E:$E,'Diario Cali'!$B:$B,L$4,'Diario Cali'!$C:$C,$A119)</f>
        <v>0</v>
      </c>
      <c r="M119" s="24">
        <f>SUMIFS('Diario Adm'!$E:$E,'Diario Adm'!$B:$B,M$4,'Diario Adm'!$C:$C,$A119)+SUMIFS('Diario Cali'!$E:$E,'Diario Cali'!$B:$B,M$4,'Diario Cali'!$C:$C,$A119)</f>
        <v>0</v>
      </c>
      <c r="N119" s="24">
        <f>SUMIFS('Diario Adm'!$E:$E,'Diario Adm'!$B:$B,N$4,'Diario Adm'!$C:$C,$A119)+SUMIFS('Diario Cali'!$E:$E,'Diario Cali'!$B:$B,N$4,'Diario Cali'!$C:$C,$A119)</f>
        <v>0</v>
      </c>
      <c r="O119" s="28"/>
      <c r="P119" s="138">
        <f>SUM(C119:N119)</f>
        <v>0</v>
      </c>
      <c r="Q119" s="28"/>
      <c r="R119" s="140">
        <f>+P119/$R$4</f>
        <v>0</v>
      </c>
    </row>
    <row r="120" spans="1:19" ht="14.3" x14ac:dyDescent="0.25">
      <c r="A120" s="257">
        <v>9042</v>
      </c>
      <c r="B120" s="128" t="str">
        <f>VLOOKUP(A120,Plan!A:B,2,0)</f>
        <v>Aporte a Casa Sacerdotes</v>
      </c>
      <c r="C120" s="24">
        <f>SUMIFS('Diario Adm'!$E:$E,'Diario Adm'!$B:$B,C$4,'Diario Adm'!$C:$C,$A120)+SUMIFS('Diario Cali'!$E:$E,'Diario Cali'!$B:$B,C$4,'Diario Cali'!$C:$C,$A120)</f>
        <v>0</v>
      </c>
      <c r="D120" s="24">
        <f>SUMIFS('Diario Adm'!$E:$E,'Diario Adm'!$B:$B,D$4,'Diario Adm'!$C:$C,$A120)+SUMIFS('Diario Cali'!$E:$E,'Diario Cali'!$B:$B,D$4,'Diario Cali'!$C:$C,$A120)</f>
        <v>0</v>
      </c>
      <c r="E120" s="24">
        <f>SUMIFS('Diario Adm'!$E:$E,'Diario Adm'!$B:$B,E$4,'Diario Adm'!$C:$C,$A120)+SUMIFS('Diario Cali'!$E:$E,'Diario Cali'!$B:$B,E$4,'Diario Cali'!$C:$C,$A120)</f>
        <v>0</v>
      </c>
      <c r="F120" s="24">
        <f>SUMIFS('Diario Adm'!$E:$E,'Diario Adm'!$B:$B,F$4,'Diario Adm'!$C:$C,$A120)+SUMIFS('Diario Cali'!$E:$E,'Diario Cali'!$B:$B,F$4,'Diario Cali'!$C:$C,$A120)</f>
        <v>0</v>
      </c>
      <c r="G120" s="24">
        <f>SUMIFS('Diario Adm'!$E:$E,'Diario Adm'!$B:$B,G$4,'Diario Adm'!$C:$C,$A120)+SUMIFS('Diario Cali'!$E:$E,'Diario Cali'!$B:$B,G$4,'Diario Cali'!$C:$C,$A120)</f>
        <v>0</v>
      </c>
      <c r="H120" s="24">
        <f>SUMIFS('Diario Adm'!$E:$E,'Diario Adm'!$B:$B,H$4,'Diario Adm'!$C:$C,$A120)+SUMIFS('Diario Cali'!$E:$E,'Diario Cali'!$B:$B,H$4,'Diario Cali'!$C:$C,$A120)</f>
        <v>0</v>
      </c>
      <c r="I120" s="24">
        <f>SUMIFS('Diario Adm'!$E:$E,'Diario Adm'!$B:$B,I$4,'Diario Adm'!$C:$C,$A120)+SUMIFS('Diario Cali'!$E:$E,'Diario Cali'!$B:$B,I$4,'Diario Cali'!$C:$C,$A120)</f>
        <v>0</v>
      </c>
      <c r="J120" s="24">
        <f>SUMIFS('Diario Adm'!$E:$E,'Diario Adm'!$B:$B,J$4,'Diario Adm'!$C:$C,$A120)+SUMIFS('Diario Cali'!$E:$E,'Diario Cali'!$B:$B,J$4,'Diario Cali'!$C:$C,$A120)</f>
        <v>0</v>
      </c>
      <c r="K120" s="24">
        <f>SUMIFS('Diario Adm'!$E:$E,'Diario Adm'!$B:$B,K$4,'Diario Adm'!$C:$C,$A120)+SUMIFS('Diario Cali'!$E:$E,'Diario Cali'!$B:$B,K$4,'Diario Cali'!$C:$C,$A120)</f>
        <v>0</v>
      </c>
      <c r="L120" s="24">
        <f>SUMIFS('Diario Adm'!$E:$E,'Diario Adm'!$B:$B,L$4,'Diario Adm'!$C:$C,$A120)+SUMIFS('Diario Cali'!$E:$E,'Diario Cali'!$B:$B,L$4,'Diario Cali'!$C:$C,$A120)</f>
        <v>0</v>
      </c>
      <c r="M120" s="24">
        <f>SUMIFS('Diario Adm'!$E:$E,'Diario Adm'!$B:$B,M$4,'Diario Adm'!$C:$C,$A120)+SUMIFS('Diario Cali'!$E:$E,'Diario Cali'!$B:$B,M$4,'Diario Cali'!$C:$C,$A120)</f>
        <v>0</v>
      </c>
      <c r="N120" s="24">
        <f>SUMIFS('Diario Adm'!$E:$E,'Diario Adm'!$B:$B,N$4,'Diario Adm'!$C:$C,$A120)+SUMIFS('Diario Cali'!$E:$E,'Diario Cali'!$B:$B,N$4,'Diario Cali'!$C:$C,$A120)</f>
        <v>0</v>
      </c>
      <c r="O120" s="28"/>
      <c r="P120" s="138">
        <f>SUM(C120:N120)</f>
        <v>0</v>
      </c>
      <c r="Q120" s="28"/>
      <c r="R120" s="140">
        <f>+P120/$R$4</f>
        <v>0</v>
      </c>
    </row>
    <row r="121" spans="1:19" ht="13.6" x14ac:dyDescent="0.25">
      <c r="A121" s="170">
        <v>4170</v>
      </c>
      <c r="B121" s="128" t="str">
        <f>VLOOKUP(A121,Plan!A:B,2,0)</f>
        <v>Cali otros</v>
      </c>
      <c r="C121" s="24">
        <f>SUMIFS('Diario Adm'!$E:$E,'Diario Adm'!$B:$B,C$4,'Diario Adm'!$C:$C,$A121)+SUMIFS('Diario Cali'!$E:$E,'Diario Cali'!$B:$B,C$4,'Diario Cali'!$C:$C,$A121)</f>
        <v>271856</v>
      </c>
      <c r="D121" s="24">
        <f>SUMIFS('Diario Adm'!$E:$E,'Diario Adm'!$B:$B,D$4,'Diario Adm'!$C:$C,$A121)+SUMIFS('Diario Cali'!$E:$E,'Diario Cali'!$B:$B,D$4,'Diario Cali'!$C:$C,$A121)</f>
        <v>399361</v>
      </c>
      <c r="E121" s="24">
        <f>SUMIFS('Diario Adm'!$E:$E,'Diario Adm'!$B:$B,E$4,'Diario Adm'!$C:$C,$A121)+SUMIFS('Diario Cali'!$E:$E,'Diario Cali'!$B:$B,E$4,'Diario Cali'!$C:$C,$A121)</f>
        <v>1162821</v>
      </c>
      <c r="F121" s="24">
        <f>SUMIFS('Diario Adm'!$E:$E,'Diario Adm'!$B:$B,F$4,'Diario Adm'!$C:$C,$A121)+SUMIFS('Diario Cali'!$E:$E,'Diario Cali'!$B:$B,F$4,'Diario Cali'!$C:$C,$A121)</f>
        <v>730390</v>
      </c>
      <c r="G121" s="24">
        <f>SUMIFS('Diario Adm'!$E:$E,'Diario Adm'!$B:$B,G$4,'Diario Adm'!$C:$C,$A121)+SUMIFS('Diario Cali'!$E:$E,'Diario Cali'!$B:$B,G$4,'Diario Cali'!$C:$C,$A121)</f>
        <v>508475</v>
      </c>
      <c r="H121" s="24">
        <f>SUMIFS('Diario Adm'!$E:$E,'Diario Adm'!$B:$B,H$4,'Diario Adm'!$C:$C,$A121)+SUMIFS('Diario Cali'!$E:$E,'Diario Cali'!$B:$B,H$4,'Diario Cali'!$C:$C,$A121)</f>
        <v>338983</v>
      </c>
      <c r="I121" s="24">
        <f>SUMIFS('Diario Adm'!$E:$E,'Diario Adm'!$B:$B,I$4,'Diario Adm'!$C:$C,$A121)+SUMIFS('Diario Cali'!$E:$E,'Diario Cali'!$B:$B,I$4,'Diario Cali'!$C:$C,$A121)</f>
        <v>457629</v>
      </c>
      <c r="J121" s="24">
        <f>SUMIFS('Diario Adm'!$E:$E,'Diario Adm'!$B:$B,J$4,'Diario Adm'!$C:$C,$A121)+SUMIFS('Diario Cali'!$E:$E,'Diario Cali'!$B:$B,J$4,'Diario Cali'!$C:$C,$A121)</f>
        <v>357890</v>
      </c>
      <c r="K121" s="24">
        <f>SUMIFS('Diario Adm'!$E:$E,'Diario Adm'!$B:$B,K$4,'Diario Adm'!$C:$C,$A121)+SUMIFS('Diario Cali'!$E:$E,'Diario Cali'!$B:$B,K$4,'Diario Cali'!$C:$C,$A121)</f>
        <v>354840</v>
      </c>
      <c r="L121" s="24">
        <f>SUMIFS('Diario Adm'!$E:$E,'Diario Adm'!$B:$B,L$4,'Diario Adm'!$C:$C,$A121)+SUMIFS('Diario Cali'!$E:$E,'Diario Cali'!$B:$B,L$4,'Diario Cali'!$C:$C,$A121)</f>
        <v>354509</v>
      </c>
      <c r="M121" s="24">
        <f>SUMIFS('Diario Adm'!$E:$E,'Diario Adm'!$B:$B,M$4,'Diario Adm'!$C:$C,$A121)+SUMIFS('Diario Cali'!$E:$E,'Diario Cali'!$B:$B,M$4,'Diario Cali'!$C:$C,$A121)</f>
        <v>465963</v>
      </c>
      <c r="N121" s="24">
        <f>SUMIFS('Diario Adm'!$E:$E,'Diario Adm'!$B:$B,N$4,'Diario Adm'!$C:$C,$A121)+SUMIFS('Diario Cali'!$E:$E,'Diario Cali'!$B:$B,N$4,'Diario Cali'!$C:$C,$A121)</f>
        <v>773416</v>
      </c>
      <c r="O121" s="28"/>
      <c r="P121" s="138">
        <f>SUM(C121:N121)</f>
        <v>6176133</v>
      </c>
      <c r="Q121" s="28"/>
      <c r="R121" s="140">
        <f>+P121/$R$4</f>
        <v>617613.30000000005</v>
      </c>
    </row>
    <row r="122" spans="1:19" ht="13.6" x14ac:dyDescent="0.25">
      <c r="A122" s="172">
        <v>4171</v>
      </c>
      <c r="B122" s="128" t="str">
        <f>VLOOKUP(A122,Plan!A:B,2,0)</f>
        <v xml:space="preserve">        Campaña 1%</v>
      </c>
      <c r="C122" s="24">
        <f>SUMIFS('Diario Adm'!$E:$E,'Diario Adm'!$B:$B,C$4,'Diario Adm'!$C:$C,$A122)+SUMIFS('Diario Cali'!$E:$E,'Diario Cali'!$B:$B,C$4,'Diario Cali'!$C:$C,$A122)</f>
        <v>0</v>
      </c>
      <c r="D122" s="24">
        <f>SUMIFS('Diario Adm'!$E:$E,'Diario Adm'!$B:$B,D$4,'Diario Adm'!$C:$C,$A122)+SUMIFS('Diario Cali'!$E:$E,'Diario Cali'!$B:$B,D$4,'Diario Cali'!$C:$C,$A122)</f>
        <v>100000</v>
      </c>
      <c r="E122" s="24">
        <f>SUMIFS('Diario Adm'!$E:$E,'Diario Adm'!$B:$B,E$4,'Diario Adm'!$C:$C,$A122)+SUMIFS('Diario Cali'!$E:$E,'Diario Cali'!$B:$B,E$4,'Diario Cali'!$C:$C,$A122)</f>
        <v>0</v>
      </c>
      <c r="F122" s="24">
        <f>SUMIFS('Diario Adm'!$E:$E,'Diario Adm'!$B:$B,F$4,'Diario Adm'!$C:$C,$A122)+SUMIFS('Diario Cali'!$E:$E,'Diario Cali'!$B:$B,F$4,'Diario Cali'!$C:$C,$A122)</f>
        <v>0</v>
      </c>
      <c r="G122" s="24">
        <f>SUMIFS('Diario Adm'!$E:$E,'Diario Adm'!$B:$B,G$4,'Diario Adm'!$C:$C,$A122)+SUMIFS('Diario Cali'!$E:$E,'Diario Cali'!$B:$B,G$4,'Diario Cali'!$C:$C,$A122)</f>
        <v>862850</v>
      </c>
      <c r="H122" s="24">
        <f>SUMIFS('Diario Adm'!$E:$E,'Diario Adm'!$B:$B,H$4,'Diario Adm'!$C:$C,$A122)+SUMIFS('Diario Cali'!$E:$E,'Diario Cali'!$B:$B,H$4,'Diario Cali'!$C:$C,$A122)</f>
        <v>0</v>
      </c>
      <c r="I122" s="24">
        <f>SUMIFS('Diario Adm'!$E:$E,'Diario Adm'!$B:$B,I$4,'Diario Adm'!$C:$C,$A122)+SUMIFS('Diario Cali'!$E:$E,'Diario Cali'!$B:$B,I$4,'Diario Cali'!$C:$C,$A122)</f>
        <v>764996</v>
      </c>
      <c r="J122" s="24">
        <f>SUMIFS('Diario Adm'!$E:$E,'Diario Adm'!$B:$B,J$4,'Diario Adm'!$C:$C,$A122)+SUMIFS('Diario Cali'!$E:$E,'Diario Cali'!$B:$B,J$4,'Diario Cali'!$C:$C,$A122)</f>
        <v>502935</v>
      </c>
      <c r="K122" s="24">
        <f>SUMIFS('Diario Adm'!$E:$E,'Diario Adm'!$B:$B,K$4,'Diario Adm'!$C:$C,$A122)+SUMIFS('Diario Cali'!$E:$E,'Diario Cali'!$B:$B,K$4,'Diario Cali'!$C:$C,$A122)</f>
        <v>150000</v>
      </c>
      <c r="L122" s="24">
        <f>SUMIFS('Diario Adm'!$E:$E,'Diario Adm'!$B:$B,L$4,'Diario Adm'!$C:$C,$A122)+SUMIFS('Diario Cali'!$E:$E,'Diario Cali'!$B:$B,L$4,'Diario Cali'!$C:$C,$A122)</f>
        <v>0</v>
      </c>
      <c r="M122" s="24">
        <f>SUMIFS('Diario Adm'!$E:$E,'Diario Adm'!$B:$B,M$4,'Diario Adm'!$C:$C,$A122)+SUMIFS('Diario Cali'!$E:$E,'Diario Cali'!$B:$B,M$4,'Diario Cali'!$C:$C,$A122)</f>
        <v>0</v>
      </c>
      <c r="N122" s="24">
        <f>SUMIFS('Diario Adm'!$E:$E,'Diario Adm'!$B:$B,N$4,'Diario Adm'!$C:$C,$A122)+SUMIFS('Diario Cali'!$E:$E,'Diario Cali'!$B:$B,N$4,'Diario Cali'!$C:$C,$A122)</f>
        <v>0</v>
      </c>
      <c r="O122" s="28"/>
      <c r="P122" s="138">
        <f>SUM(C122:N122)</f>
        <v>2380781</v>
      </c>
      <c r="Q122" s="28"/>
      <c r="R122" s="140">
        <f>+P122/$R$4</f>
        <v>238078.1</v>
      </c>
    </row>
    <row r="123" spans="1:19" s="132" customFormat="1" ht="13.6" x14ac:dyDescent="0.25">
      <c r="A123" s="168"/>
      <c r="B123" s="131" t="s">
        <v>23</v>
      </c>
      <c r="C123" s="26">
        <f t="shared" ref="C123:N123" si="18">+C5-C36</f>
        <v>123410316</v>
      </c>
      <c r="D123" s="26">
        <f t="shared" si="18"/>
        <v>17739965</v>
      </c>
      <c r="E123" s="26">
        <f t="shared" si="18"/>
        <v>59238235</v>
      </c>
      <c r="F123" s="26">
        <f t="shared" si="18"/>
        <v>28519240</v>
      </c>
      <c r="G123" s="26">
        <f t="shared" si="18"/>
        <v>27474970</v>
      </c>
      <c r="H123" s="26">
        <f t="shared" si="18"/>
        <v>21777078</v>
      </c>
      <c r="I123" s="26">
        <f t="shared" si="18"/>
        <v>24191037</v>
      </c>
      <c r="J123" s="26">
        <f t="shared" si="18"/>
        <v>26140314</v>
      </c>
      <c r="K123" s="26">
        <f t="shared" si="18"/>
        <v>25560471</v>
      </c>
      <c r="L123" s="26">
        <f t="shared" si="18"/>
        <v>29104015</v>
      </c>
      <c r="M123" s="26">
        <f t="shared" si="18"/>
        <v>34925834</v>
      </c>
      <c r="N123" s="26">
        <f t="shared" si="18"/>
        <v>125521320</v>
      </c>
      <c r="O123" s="141"/>
      <c r="P123" s="137">
        <f>+P5-P36</f>
        <v>543602795</v>
      </c>
      <c r="Q123" s="30" t="s">
        <v>48</v>
      </c>
      <c r="R123" s="136">
        <f>+R5-R36</f>
        <v>54480513.699999988</v>
      </c>
      <c r="S123" s="123">
        <f>+'Resultado Admin.'!P100+'Resultado Cali'!P34-P123</f>
        <v>0</v>
      </c>
    </row>
    <row r="124" spans="1:19" ht="13.6" x14ac:dyDescent="0.25">
      <c r="A124" s="170"/>
      <c r="B124" s="116"/>
      <c r="C124" s="27"/>
      <c r="D124" s="27"/>
      <c r="E124" s="27"/>
      <c r="F124" s="27"/>
      <c r="G124" s="27"/>
      <c r="H124" s="28"/>
      <c r="I124" s="28"/>
      <c r="J124" s="28"/>
      <c r="K124" s="28"/>
      <c r="L124" s="28"/>
      <c r="M124" s="28"/>
      <c r="N124" s="28"/>
      <c r="O124" s="28"/>
      <c r="P124" s="142"/>
      <c r="Q124" s="28"/>
      <c r="R124" s="142"/>
      <c r="S124" s="3" t="s">
        <v>48</v>
      </c>
    </row>
    <row r="125" spans="1:19" s="5" customFormat="1" ht="13.6" x14ac:dyDescent="0.25">
      <c r="A125" s="170"/>
      <c r="B125" s="130" t="s">
        <v>7</v>
      </c>
      <c r="C125" s="26">
        <f t="shared" ref="C125:N125" si="19">SUM(C126:C128)</f>
        <v>10507</v>
      </c>
      <c r="D125" s="26">
        <f t="shared" si="19"/>
        <v>784701</v>
      </c>
      <c r="E125" s="26">
        <f t="shared" si="19"/>
        <v>656312</v>
      </c>
      <c r="F125" s="26">
        <f t="shared" si="19"/>
        <v>535559</v>
      </c>
      <c r="G125" s="26">
        <f t="shared" si="19"/>
        <v>533146</v>
      </c>
      <c r="H125" s="26">
        <f t="shared" si="19"/>
        <v>486360</v>
      </c>
      <c r="I125" s="26">
        <f t="shared" si="19"/>
        <v>230287</v>
      </c>
      <c r="J125" s="26">
        <f t="shared" si="19"/>
        <v>23143</v>
      </c>
      <c r="K125" s="26">
        <f t="shared" si="19"/>
        <v>381091</v>
      </c>
      <c r="L125" s="26">
        <f t="shared" si="19"/>
        <v>560000</v>
      </c>
      <c r="M125" s="26">
        <f t="shared" si="19"/>
        <v>1036000</v>
      </c>
      <c r="N125" s="26">
        <f t="shared" si="19"/>
        <v>14811966.682400003</v>
      </c>
      <c r="O125" s="30"/>
      <c r="P125" s="136">
        <f>SUM(C125:N125)</f>
        <v>20049072.682400003</v>
      </c>
      <c r="Q125" s="30"/>
      <c r="R125" s="136">
        <f>+R128</f>
        <v>1397964.6682400003</v>
      </c>
      <c r="S125" s="5" t="s">
        <v>48</v>
      </c>
    </row>
    <row r="126" spans="1:19" ht="13.6" x14ac:dyDescent="0.25">
      <c r="A126" s="170">
        <v>6002</v>
      </c>
      <c r="B126" s="128" t="str">
        <f>VLOOKUP(A126,Plan!A:B,2,0)</f>
        <v>Intereses Financieros Cali</v>
      </c>
      <c r="C126" s="29">
        <f>+'Resultado Cali'!C37</f>
        <v>10507</v>
      </c>
      <c r="D126" s="29">
        <f>+'Resultado Cali'!D37</f>
        <v>784701</v>
      </c>
      <c r="E126" s="29">
        <f>+'Resultado Cali'!E37</f>
        <v>656312</v>
      </c>
      <c r="F126" s="29">
        <f>+'Resultado Cali'!F37</f>
        <v>535559</v>
      </c>
      <c r="G126" s="29">
        <f>+'Resultado Cali'!G37</f>
        <v>533146</v>
      </c>
      <c r="H126" s="29">
        <f>+'Resultado Cali'!H37</f>
        <v>486360</v>
      </c>
      <c r="I126" s="29">
        <f>+'Resultado Cali'!I37</f>
        <v>230287</v>
      </c>
      <c r="J126" s="29">
        <f>+'Resultado Cali'!J37</f>
        <v>23143</v>
      </c>
      <c r="K126" s="29">
        <f>+'Resultado Cali'!K37</f>
        <v>381091</v>
      </c>
      <c r="L126" s="29">
        <f>+'Resultado Cali'!L37</f>
        <v>560000</v>
      </c>
      <c r="M126" s="29">
        <f>+'Resultado Cali'!M37</f>
        <v>1036000</v>
      </c>
      <c r="N126" s="29">
        <f>+'Resultado Cali'!N37</f>
        <v>832320</v>
      </c>
      <c r="O126" s="28"/>
      <c r="P126" s="143">
        <f>SUM(C126:N126)</f>
        <v>6069426</v>
      </c>
      <c r="Q126" s="28"/>
      <c r="R126" s="143">
        <f>+P126/$R$4</f>
        <v>606942.6</v>
      </c>
    </row>
    <row r="127" spans="1:19" ht="13.6" x14ac:dyDescent="0.25">
      <c r="A127" s="170">
        <v>6003</v>
      </c>
      <c r="B127" s="128" t="str">
        <f>VLOOKUP(A127,Plan!A:B,2,0)</f>
        <v>Donaciones No Cali</v>
      </c>
      <c r="C127" s="29">
        <f>+'Resultado Cali'!C38</f>
        <v>0</v>
      </c>
      <c r="D127" s="29">
        <f>+'Resultado Cali'!D38</f>
        <v>0</v>
      </c>
      <c r="E127" s="29">
        <f>+'Resultado Cali'!E38</f>
        <v>0</v>
      </c>
      <c r="F127" s="29">
        <f>+'Resultado Cali'!F38</f>
        <v>0</v>
      </c>
      <c r="G127" s="29">
        <f>+'Resultado Cali'!G38</f>
        <v>0</v>
      </c>
      <c r="H127" s="29">
        <f>+'Resultado Cali'!H38</f>
        <v>0</v>
      </c>
      <c r="I127" s="29">
        <f>+'Resultado Cali'!I38</f>
        <v>0</v>
      </c>
      <c r="J127" s="29">
        <f>+'Resultado Cali'!J38</f>
        <v>0</v>
      </c>
      <c r="K127" s="29">
        <f>+'Resultado Cali'!K38</f>
        <v>0</v>
      </c>
      <c r="L127" s="29">
        <f>+'Resultado Cali'!L38</f>
        <v>0</v>
      </c>
      <c r="M127" s="29">
        <f>+'Resultado Cali'!M38</f>
        <v>0</v>
      </c>
      <c r="N127" s="29">
        <f>+'Resultado Cali'!N38</f>
        <v>0</v>
      </c>
      <c r="O127" s="28"/>
      <c r="P127" s="143">
        <f>SUM(C127:N127)</f>
        <v>0</v>
      </c>
      <c r="Q127" s="28"/>
      <c r="R127" s="143">
        <f>+P127/$R$4</f>
        <v>0</v>
      </c>
    </row>
    <row r="128" spans="1:19" ht="13.6" x14ac:dyDescent="0.25">
      <c r="A128" s="170">
        <v>7001</v>
      </c>
      <c r="B128" s="128" t="str">
        <f>VLOOKUP(A128,Plan!A:B,2,0)</f>
        <v>Variación UF Anticipo y Retenciones</v>
      </c>
      <c r="C128" s="29">
        <f>+'Resultado Cali'!C39</f>
        <v>0</v>
      </c>
      <c r="D128" s="29">
        <f>+'Resultado Cali'!D39</f>
        <v>0</v>
      </c>
      <c r="E128" s="29">
        <f>+'Resultado Cali'!E39</f>
        <v>0</v>
      </c>
      <c r="F128" s="29">
        <f>+'Resultado Cali'!F39</f>
        <v>0</v>
      </c>
      <c r="G128" s="29">
        <f>+'Resultado Cali'!G39</f>
        <v>0</v>
      </c>
      <c r="H128" s="29">
        <f>+'Resultado Cali'!H39</f>
        <v>0</v>
      </c>
      <c r="I128" s="29">
        <f>+'Resultado Cali'!I39</f>
        <v>0</v>
      </c>
      <c r="J128" s="29">
        <f>+'Resultado Cali'!J39</f>
        <v>0</v>
      </c>
      <c r="K128" s="29">
        <f>+'Resultado Cali'!K39</f>
        <v>0</v>
      </c>
      <c r="L128" s="29">
        <f>+'Resultado Cali'!L39</f>
        <v>0</v>
      </c>
      <c r="M128" s="29">
        <f>+'Resultado Cali'!M39</f>
        <v>0</v>
      </c>
      <c r="N128" s="29">
        <f>+'Resultado Cali'!N39</f>
        <v>13979646.682400003</v>
      </c>
      <c r="O128" s="28"/>
      <c r="P128" s="143">
        <f>SUM(C128:N128)</f>
        <v>13979646.682400003</v>
      </c>
      <c r="Q128" s="28"/>
      <c r="R128" s="143">
        <f>+P128/$R$4</f>
        <v>1397964.6682400003</v>
      </c>
    </row>
    <row r="129" spans="1:18" ht="13.6" x14ac:dyDescent="0.25">
      <c r="A129" s="170"/>
      <c r="B129" s="116"/>
      <c r="C129" s="27"/>
      <c r="D129" s="27"/>
      <c r="E129" s="27"/>
      <c r="F129" s="27"/>
      <c r="G129" s="27"/>
      <c r="H129" s="28"/>
      <c r="I129" s="28"/>
      <c r="J129" s="28"/>
      <c r="K129" s="28"/>
      <c r="L129" s="28"/>
      <c r="M129" s="28"/>
      <c r="N129" s="28"/>
      <c r="O129" s="28"/>
      <c r="P129" s="142"/>
      <c r="Q129" s="28"/>
      <c r="R129" s="142"/>
    </row>
    <row r="130" spans="1:18" ht="13.6" x14ac:dyDescent="0.25">
      <c r="A130" s="170"/>
      <c r="B130" s="130" t="s">
        <v>98</v>
      </c>
      <c r="C130" s="26">
        <f>+C123+C125</f>
        <v>123420823</v>
      </c>
      <c r="D130" s="26">
        <f t="shared" ref="D130:R130" si="20">+D123+D125</f>
        <v>18524666</v>
      </c>
      <c r="E130" s="26">
        <f t="shared" si="20"/>
        <v>59894547</v>
      </c>
      <c r="F130" s="26">
        <f t="shared" si="20"/>
        <v>29054799</v>
      </c>
      <c r="G130" s="26">
        <f t="shared" si="20"/>
        <v>28008116</v>
      </c>
      <c r="H130" s="26">
        <f t="shared" si="20"/>
        <v>22263438</v>
      </c>
      <c r="I130" s="26">
        <f t="shared" si="20"/>
        <v>24421324</v>
      </c>
      <c r="J130" s="26">
        <f t="shared" si="20"/>
        <v>26163457</v>
      </c>
      <c r="K130" s="26">
        <f t="shared" si="20"/>
        <v>25941562</v>
      </c>
      <c r="L130" s="26">
        <f t="shared" si="20"/>
        <v>29664015</v>
      </c>
      <c r="M130" s="26">
        <f t="shared" si="20"/>
        <v>35961834</v>
      </c>
      <c r="N130" s="26">
        <f t="shared" si="20"/>
        <v>140333286.68239999</v>
      </c>
      <c r="O130" s="28"/>
      <c r="P130" s="26">
        <f t="shared" si="20"/>
        <v>563651867.68239999</v>
      </c>
      <c r="Q130" s="30" t="s">
        <v>48</v>
      </c>
      <c r="R130" s="26">
        <f t="shared" si="20"/>
        <v>55878478.368239991</v>
      </c>
    </row>
    <row r="131" spans="1:18" ht="13.6" x14ac:dyDescent="0.25">
      <c r="A131" s="170"/>
      <c r="B131" s="131" t="s">
        <v>244</v>
      </c>
      <c r="C131" s="26">
        <f t="shared" ref="C131:N131" si="21">SUM(C132:C133)</f>
        <v>0</v>
      </c>
      <c r="D131" s="26">
        <f t="shared" si="21"/>
        <v>0</v>
      </c>
      <c r="E131" s="26">
        <f t="shared" si="21"/>
        <v>0</v>
      </c>
      <c r="F131" s="26">
        <f t="shared" si="21"/>
        <v>0</v>
      </c>
      <c r="G131" s="26">
        <f t="shared" si="21"/>
        <v>0</v>
      </c>
      <c r="H131" s="26">
        <f t="shared" si="21"/>
        <v>0</v>
      </c>
      <c r="I131" s="26">
        <f t="shared" si="21"/>
        <v>0</v>
      </c>
      <c r="J131" s="26">
        <f t="shared" si="21"/>
        <v>0</v>
      </c>
      <c r="K131" s="26">
        <f t="shared" si="21"/>
        <v>0</v>
      </c>
      <c r="L131" s="26">
        <f t="shared" si="21"/>
        <v>0</v>
      </c>
      <c r="M131" s="26">
        <f t="shared" si="21"/>
        <v>0</v>
      </c>
      <c r="N131" s="26">
        <f t="shared" si="21"/>
        <v>0</v>
      </c>
      <c r="O131" s="30"/>
      <c r="P131" s="26">
        <f>SUM(P132:P133)</f>
        <v>0</v>
      </c>
      <c r="Q131" s="30"/>
      <c r="R131" s="26">
        <f>SUM(R132:R133)</f>
        <v>0</v>
      </c>
    </row>
    <row r="132" spans="1:18" x14ac:dyDescent="0.2">
      <c r="A132" s="2">
        <v>6001</v>
      </c>
      <c r="B132" s="128" t="str">
        <f>VLOOKUP(A132,Plan!A:B,2,0)</f>
        <v>Intereses Financieros Administración</v>
      </c>
      <c r="C132" s="29">
        <f>+'Resultado Admin.'!C102</f>
        <v>0</v>
      </c>
      <c r="D132" s="29">
        <f>+'Resultado Admin.'!D102</f>
        <v>0</v>
      </c>
      <c r="E132" s="29">
        <f>+'Resultado Admin.'!E102</f>
        <v>0</v>
      </c>
      <c r="F132" s="29">
        <f>+'Resultado Admin.'!F102</f>
        <v>0</v>
      </c>
      <c r="G132" s="29">
        <f>+'Resultado Admin.'!G102</f>
        <v>0</v>
      </c>
      <c r="H132" s="29">
        <f>+'Resultado Admin.'!H102</f>
        <v>0</v>
      </c>
      <c r="I132" s="29">
        <f>+'Resultado Admin.'!I102</f>
        <v>0</v>
      </c>
      <c r="J132" s="29">
        <f>+'Resultado Admin.'!J102</f>
        <v>0</v>
      </c>
      <c r="K132" s="29">
        <f>+'Resultado Admin.'!K102</f>
        <v>0</v>
      </c>
      <c r="L132" s="29">
        <f>+'Resultado Admin.'!L102</f>
        <v>0</v>
      </c>
      <c r="M132" s="29">
        <f>+'Resultado Admin.'!M102</f>
        <v>0</v>
      </c>
      <c r="N132" s="29">
        <f>+'Resultado Admin.'!N102</f>
        <v>0</v>
      </c>
      <c r="O132" s="28"/>
      <c r="P132" s="143">
        <f>SUM(C132:N132)</f>
        <v>0</v>
      </c>
      <c r="Q132" s="28"/>
      <c r="R132" s="143">
        <f>+P132/$R$4</f>
        <v>0</v>
      </c>
    </row>
    <row r="133" spans="1:18" x14ac:dyDescent="0.2">
      <c r="B133" s="128" t="e">
        <f>VLOOKUP(A133,Plan!A:B,2,0)</f>
        <v>#N/A</v>
      </c>
      <c r="C133" s="24">
        <f>SUMIFS('Diario Adm'!$E:$E,'Diario Adm'!$B:$B,C$4,'Diario Adm'!$C:$C,$A133)+SUMIFS('Diario Cali'!$E:$E,'Diario Cali'!$B:$B,C$4,'Diario Cali'!$C:$C,$A133)</f>
        <v>0</v>
      </c>
      <c r="D133" s="24">
        <f>SUMIFS('Diario Adm'!$E:$E,'Diario Adm'!$B:$B,D$4,'Diario Adm'!$C:$C,$A133)+SUMIFS('Diario Cali'!$E:$E,'Diario Cali'!$B:$B,D$4,'Diario Cali'!$C:$C,$A133)</f>
        <v>0</v>
      </c>
      <c r="E133" s="24">
        <f>SUMIFS('Diario Adm'!$E:$E,'Diario Adm'!$B:$B,E$4,'Diario Adm'!$C:$C,$A133)+SUMIFS('Diario Cali'!$E:$E,'Diario Cali'!$B:$B,E$4,'Diario Cali'!$C:$C,$A133)</f>
        <v>0</v>
      </c>
      <c r="F133" s="24">
        <f>SUMIFS('Diario Adm'!$E:$E,'Diario Adm'!$B:$B,F$4,'Diario Adm'!$C:$C,$A133)+SUMIFS('Diario Cali'!$E:$E,'Diario Cali'!$B:$B,F$4,'Diario Cali'!$C:$C,$A133)</f>
        <v>0</v>
      </c>
      <c r="G133" s="24">
        <f>SUMIFS('Diario Adm'!$E:$E,'Diario Adm'!$B:$B,G$4,'Diario Adm'!$C:$C,$A133)+SUMIFS('Diario Cali'!$E:$E,'Diario Cali'!$B:$B,G$4,'Diario Cali'!$C:$C,$A133)</f>
        <v>0</v>
      </c>
      <c r="H133" s="24">
        <f>SUMIFS('Diario Adm'!$E:$E,'Diario Adm'!$B:$B,H$4,'Diario Adm'!$C:$C,$A133)+SUMIFS('Diario Cali'!$E:$E,'Diario Cali'!$B:$B,H$4,'Diario Cali'!$C:$C,$A133)</f>
        <v>0</v>
      </c>
      <c r="I133" s="24">
        <f>SUMIFS('Diario Adm'!$E:$E,'Diario Adm'!$B:$B,I$4,'Diario Adm'!$C:$C,$A133)+SUMIFS('Diario Cali'!$E:$E,'Diario Cali'!$B:$B,I$4,'Diario Cali'!$C:$C,$A133)</f>
        <v>0</v>
      </c>
      <c r="J133" s="24">
        <f>SUMIFS('Diario Adm'!$E:$E,'Diario Adm'!$B:$B,J$4,'Diario Adm'!$C:$C,$A133)+SUMIFS('Diario Cali'!$E:$E,'Diario Cali'!$B:$B,J$4,'Diario Cali'!$C:$C,$A133)</f>
        <v>0</v>
      </c>
      <c r="K133" s="24">
        <f>SUMIFS('Diario Adm'!$E:$E,'Diario Adm'!$B:$B,K$4,'Diario Adm'!$C:$C,$A133)+SUMIFS('Diario Cali'!$E:$E,'Diario Cali'!$B:$B,K$4,'Diario Cali'!$C:$C,$A133)</f>
        <v>0</v>
      </c>
      <c r="L133" s="24">
        <f>SUMIFS('Diario Adm'!$E:$E,'Diario Adm'!$B:$B,L$4,'Diario Adm'!$C:$C,$A133)+SUMIFS('Diario Cali'!$E:$E,'Diario Cali'!$B:$B,L$4,'Diario Cali'!$C:$C,$A133)</f>
        <v>0</v>
      </c>
      <c r="M133" s="24">
        <f>SUMIFS('Diario Adm'!$E:$E,'Diario Adm'!$B:$B,M$4,'Diario Adm'!$C:$C,$A133)+SUMIFS('Diario Cali'!$E:$E,'Diario Cali'!$B:$B,M$4,'Diario Cali'!$C:$C,$A133)</f>
        <v>0</v>
      </c>
      <c r="N133" s="24">
        <f>SUMIFS('Diario Adm'!$E:$E,'Diario Adm'!$B:$B,N$4,'Diario Adm'!$C:$C,$A133)+SUMIFS('Diario Cali'!$E:$E,'Diario Cali'!$B:$B,N$4,'Diario Cali'!$C:$C,$A133)</f>
        <v>0</v>
      </c>
      <c r="O133" s="28"/>
      <c r="P133" s="143">
        <f>SUM(C133:N133)</f>
        <v>0</v>
      </c>
      <c r="Q133" s="28"/>
      <c r="R133" s="143">
        <f>+P133/$R$4</f>
        <v>0</v>
      </c>
    </row>
    <row r="134" spans="1:18" x14ac:dyDescent="0.2">
      <c r="B134" s="116"/>
      <c r="C134" s="27"/>
      <c r="D134" s="27"/>
      <c r="E134" s="27"/>
      <c r="F134" s="27"/>
      <c r="G134" s="27"/>
      <c r="H134" s="28"/>
      <c r="I134" s="28"/>
      <c r="J134" s="28"/>
      <c r="K134" s="28"/>
      <c r="L134" s="28"/>
      <c r="M134" s="28"/>
      <c r="N134" s="28"/>
      <c r="O134" s="28"/>
      <c r="P134" s="142"/>
      <c r="Q134" s="28"/>
      <c r="R134" s="142"/>
    </row>
    <row r="135" spans="1:18" x14ac:dyDescent="0.2">
      <c r="B135" s="130" t="s">
        <v>98</v>
      </c>
      <c r="C135" s="26">
        <f>+C130+C131</f>
        <v>123420823</v>
      </c>
      <c r="D135" s="26">
        <f>+D130+D131</f>
        <v>18524666</v>
      </c>
      <c r="E135" s="26">
        <f>+E130+E131</f>
        <v>59894547</v>
      </c>
      <c r="F135" s="26">
        <f t="shared" ref="F135:R135" si="22">+F130+F131</f>
        <v>29054799</v>
      </c>
      <c r="G135" s="26">
        <f t="shared" si="22"/>
        <v>28008116</v>
      </c>
      <c r="H135" s="26">
        <f t="shared" si="22"/>
        <v>22263438</v>
      </c>
      <c r="I135" s="26">
        <f t="shared" si="22"/>
        <v>24421324</v>
      </c>
      <c r="J135" s="26">
        <f t="shared" si="22"/>
        <v>26163457</v>
      </c>
      <c r="K135" s="26">
        <f t="shared" si="22"/>
        <v>25941562</v>
      </c>
      <c r="L135" s="26">
        <f t="shared" si="22"/>
        <v>29664015</v>
      </c>
      <c r="M135" s="26">
        <f t="shared" si="22"/>
        <v>35961834</v>
      </c>
      <c r="N135" s="26">
        <f t="shared" si="22"/>
        <v>140333286.68239999</v>
      </c>
      <c r="O135" s="28"/>
      <c r="P135" s="26">
        <f t="shared" si="22"/>
        <v>563651867.68239999</v>
      </c>
      <c r="Q135" s="30" t="s">
        <v>48</v>
      </c>
      <c r="R135" s="26">
        <f t="shared" si="22"/>
        <v>55878478.368239991</v>
      </c>
    </row>
    <row r="136" spans="1:18" ht="15.65" x14ac:dyDescent="0.25">
      <c r="C136" s="1" t="s">
        <v>48</v>
      </c>
      <c r="D136" s="1" t="s">
        <v>48</v>
      </c>
      <c r="F136" s="3"/>
      <c r="G136" s="3"/>
      <c r="P136" s="154"/>
    </row>
    <row r="137" spans="1:18" x14ac:dyDescent="0.2">
      <c r="F137" s="1"/>
      <c r="G137" s="1"/>
      <c r="H137" s="1"/>
      <c r="I137" s="1"/>
      <c r="J137" s="1"/>
    </row>
    <row r="138" spans="1:18" x14ac:dyDescent="0.2">
      <c r="F138" s="3"/>
      <c r="G138" s="3"/>
    </row>
    <row r="139" spans="1:18" x14ac:dyDescent="0.2">
      <c r="P139" s="3">
        <f>+'Bce Tributario'!J195</f>
        <v>563651867.68239999</v>
      </c>
    </row>
    <row r="140" spans="1:18" x14ac:dyDescent="0.2">
      <c r="P140" s="3">
        <f>+P135-P139</f>
        <v>0</v>
      </c>
    </row>
    <row r="142" spans="1:18" x14ac:dyDescent="0.2">
      <c r="P142" s="3">
        <f>+'Resultado Admin.'!P105</f>
        <v>-28258812</v>
      </c>
    </row>
    <row r="143" spans="1:18" x14ac:dyDescent="0.2">
      <c r="P143" s="3">
        <f>+'Resultado Cali'!P41</f>
        <v>591910679.68239999</v>
      </c>
    </row>
    <row r="144" spans="1:18" x14ac:dyDescent="0.2">
      <c r="P144" s="3">
        <f>SUM(P142:P143)</f>
        <v>563651867.68239999</v>
      </c>
    </row>
  </sheetData>
  <autoFilter ref="P3:P135" xr:uid="{00000000-0009-0000-0000-000021000000}"/>
  <phoneticPr fontId="6" type="noConversion"/>
  <pageMargins left="0.75" right="0.75" top="1" bottom="1" header="0" footer="0"/>
  <pageSetup scale="80" orientation="landscape" horizontalDpi="1200" verticalDpi="1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8"/>
  <dimension ref="B1:H43"/>
  <sheetViews>
    <sheetView zoomScaleNormal="100" zoomScaleSheetLayoutView="91" workbookViewId="0">
      <selection activeCell="E17" sqref="E17"/>
    </sheetView>
  </sheetViews>
  <sheetFormatPr baseColWidth="10" defaultColWidth="8.796875" defaultRowHeight="12.9" x14ac:dyDescent="0.2"/>
  <cols>
    <col min="1" max="1" width="14.796875" style="10" customWidth="1"/>
    <col min="2" max="2" width="22.796875" style="10" customWidth="1"/>
    <col min="3" max="3" width="15.19921875" style="10" bestFit="1" customWidth="1"/>
    <col min="4" max="4" width="7.69921875" style="10" customWidth="1"/>
    <col min="5" max="5" width="22.69921875" style="10" customWidth="1"/>
    <col min="6" max="6" width="14.69921875" style="10" bestFit="1" customWidth="1"/>
    <col min="7" max="16384" width="8.796875" style="10"/>
  </cols>
  <sheetData>
    <row r="1" spans="2:6" ht="13.6" x14ac:dyDescent="0.25">
      <c r="B1" s="599" t="s">
        <v>83</v>
      </c>
      <c r="C1" s="599"/>
      <c r="D1" s="599"/>
      <c r="E1" s="599"/>
      <c r="F1" s="599"/>
    </row>
    <row r="2" spans="2:6" ht="13.6" x14ac:dyDescent="0.25">
      <c r="E2" s="11"/>
    </row>
    <row r="3" spans="2:6" ht="13.6" x14ac:dyDescent="0.25">
      <c r="B3" s="599" t="s">
        <v>43</v>
      </c>
      <c r="C3" s="599"/>
      <c r="D3" s="599"/>
      <c r="E3" s="599"/>
      <c r="F3" s="599"/>
    </row>
    <row r="4" spans="2:6" ht="13.6" x14ac:dyDescent="0.25">
      <c r="E4" s="11"/>
    </row>
    <row r="5" spans="2:6" ht="13.6" x14ac:dyDescent="0.25">
      <c r="B5" s="599" t="s">
        <v>24</v>
      </c>
      <c r="C5" s="599"/>
      <c r="D5" s="599"/>
      <c r="E5" s="599"/>
      <c r="F5" s="599"/>
    </row>
    <row r="6" spans="2:6" ht="13.6" x14ac:dyDescent="0.25">
      <c r="B6" s="599" t="str">
        <f>+'Blce CALI mensual'!B6:F6</f>
        <v>al 31 de Diciembre de 2021</v>
      </c>
      <c r="C6" s="599"/>
      <c r="D6" s="599"/>
      <c r="E6" s="599"/>
      <c r="F6" s="599"/>
    </row>
    <row r="7" spans="2:6" ht="13.6" x14ac:dyDescent="0.25">
      <c r="B7" s="12"/>
      <c r="C7" s="12"/>
      <c r="D7" s="12"/>
      <c r="E7" s="12"/>
      <c r="F7" s="12"/>
    </row>
    <row r="8" spans="2:6" ht="13.6" x14ac:dyDescent="0.25">
      <c r="B8" s="12"/>
      <c r="C8" s="12"/>
      <c r="D8" s="12"/>
      <c r="E8" s="12"/>
      <c r="F8" s="12"/>
    </row>
    <row r="9" spans="2:6" ht="13.6" x14ac:dyDescent="0.25">
      <c r="B9" s="12"/>
      <c r="C9" s="12"/>
      <c r="D9" s="12"/>
      <c r="E9" s="12"/>
      <c r="F9" s="12"/>
    </row>
    <row r="10" spans="2:6" x14ac:dyDescent="0.2">
      <c r="E10" s="13"/>
    </row>
    <row r="11" spans="2:6" s="14" customFormat="1" ht="13.6" x14ac:dyDescent="0.25">
      <c r="B11" s="11" t="s">
        <v>25</v>
      </c>
      <c r="C11" s="15"/>
      <c r="D11" s="11"/>
      <c r="E11" s="11" t="s">
        <v>26</v>
      </c>
      <c r="F11" s="15"/>
    </row>
    <row r="12" spans="2:6" s="14" customFormat="1" ht="13.6" x14ac:dyDescent="0.25"/>
    <row r="13" spans="2:6" s="14" customFormat="1" ht="13.6" x14ac:dyDescent="0.25">
      <c r="B13" s="14" t="s">
        <v>28</v>
      </c>
      <c r="C13" s="11" t="s">
        <v>27</v>
      </c>
      <c r="E13" s="14" t="s">
        <v>29</v>
      </c>
      <c r="F13" s="11" t="s">
        <v>27</v>
      </c>
    </row>
    <row r="14" spans="2:6" x14ac:dyDescent="0.2">
      <c r="B14" s="16" t="s">
        <v>152</v>
      </c>
      <c r="C14" s="10">
        <f>+'Blce CALI mensual'!C14+'Blce Admin mensual'!C16</f>
        <v>0</v>
      </c>
      <c r="E14" s="16" t="s">
        <v>67</v>
      </c>
      <c r="F14" s="10">
        <f>+'Blce CALI mensual'!F14</f>
        <v>177466</v>
      </c>
    </row>
    <row r="15" spans="2:6" x14ac:dyDescent="0.2">
      <c r="B15" s="16" t="s">
        <v>30</v>
      </c>
      <c r="C15" s="10">
        <f>+'Blce Admin mensual'!C14+'Blce CALI mensual'!C15</f>
        <v>17722930</v>
      </c>
      <c r="E15" s="16" t="s">
        <v>42</v>
      </c>
      <c r="F15" s="10">
        <f>+'Blce CALI mensual'!F15</f>
        <v>2999368.5300000003</v>
      </c>
    </row>
    <row r="16" spans="2:6" x14ac:dyDescent="0.2">
      <c r="B16" s="16" t="s">
        <v>56</v>
      </c>
      <c r="C16" s="10">
        <f>+'Blce Admin mensual'!C15+'Blce CALI mensual'!C16</f>
        <v>248000000</v>
      </c>
      <c r="E16" s="16" t="s">
        <v>40</v>
      </c>
      <c r="F16" s="10">
        <f>+'Blce CALI mensual'!F16</f>
        <v>75768</v>
      </c>
    </row>
    <row r="17" spans="2:8" x14ac:dyDescent="0.2">
      <c r="B17" s="16" t="s">
        <v>77</v>
      </c>
      <c r="C17" s="10">
        <f>+'Blce CALI mensual'!C19</f>
        <v>240270367</v>
      </c>
      <c r="E17" s="16" t="s">
        <v>379</v>
      </c>
      <c r="F17" s="10">
        <f>+'Blce Admin mensual'!F14</f>
        <v>138437194</v>
      </c>
    </row>
    <row r="18" spans="2:8" x14ac:dyDescent="0.2">
      <c r="B18" s="16" t="s">
        <v>128</v>
      </c>
      <c r="C18" s="10">
        <f>+'Blce Admin mensual'!C18+'Blce Admin mensual'!C17</f>
        <v>590000</v>
      </c>
      <c r="E18" s="16" t="s">
        <v>404</v>
      </c>
      <c r="F18" s="10">
        <f>+'Blce Admin mensual'!F18</f>
        <v>3326618</v>
      </c>
    </row>
    <row r="19" spans="2:8" x14ac:dyDescent="0.2">
      <c r="B19" s="16" t="s">
        <v>452</v>
      </c>
      <c r="C19" s="10">
        <f>+'Blce CALI mensual'!C18</f>
        <v>0</v>
      </c>
      <c r="E19" s="16" t="s">
        <v>654</v>
      </c>
      <c r="F19" s="10">
        <f>+'Blce CALI mensual'!F19+'Balance mensual CALI'!N55</f>
        <v>120720265.3176</v>
      </c>
    </row>
    <row r="20" spans="2:8" ht="13.6" thickBot="1" x14ac:dyDescent="0.25">
      <c r="B20" s="16" t="s">
        <v>382</v>
      </c>
      <c r="C20" s="19">
        <f>+'Blce CALI mensual'!C17</f>
        <v>138437194</v>
      </c>
      <c r="E20" s="16" t="s">
        <v>74</v>
      </c>
      <c r="F20" s="19">
        <f>+'Blce Admin mensual'!F15+'Blce CALI mensual'!F17+'Blce Admin mensual'!F16+'Blce Admin mensual'!F17</f>
        <v>6762737</v>
      </c>
    </row>
    <row r="21" spans="2:8" ht="13.6" x14ac:dyDescent="0.25">
      <c r="B21" s="14" t="s">
        <v>46</v>
      </c>
      <c r="C21" s="10">
        <f>SUM(C14:C20)</f>
        <v>645020491</v>
      </c>
      <c r="E21" s="14" t="s">
        <v>47</v>
      </c>
      <c r="F21" s="10">
        <f>SUM(F14:F20)</f>
        <v>272499416.84759998</v>
      </c>
      <c r="G21" s="10" t="s">
        <v>48</v>
      </c>
    </row>
    <row r="22" spans="2:8" x14ac:dyDescent="0.2">
      <c r="C22" s="10" t="s">
        <v>48</v>
      </c>
    </row>
    <row r="24" spans="2:8" ht="13.6" x14ac:dyDescent="0.25">
      <c r="B24" s="14" t="s">
        <v>31</v>
      </c>
      <c r="C24" s="14"/>
      <c r="D24" s="14"/>
      <c r="E24" s="14" t="s">
        <v>32</v>
      </c>
    </row>
    <row r="25" spans="2:8" x14ac:dyDescent="0.2">
      <c r="B25" s="16" t="s">
        <v>58</v>
      </c>
      <c r="C25" s="10">
        <f>+'Blce Admin mensual'!C23</f>
        <v>0</v>
      </c>
      <c r="E25" s="10" t="s">
        <v>48</v>
      </c>
    </row>
    <row r="26" spans="2:8" x14ac:dyDescent="0.2">
      <c r="B26" s="16" t="s">
        <v>59</v>
      </c>
      <c r="C26" s="10">
        <f>+'Blce Admin mensual'!C24</f>
        <v>0</v>
      </c>
    </row>
    <row r="27" spans="2:8" ht="13.6" thickBot="1" x14ac:dyDescent="0.25">
      <c r="B27" s="16" t="s">
        <v>81</v>
      </c>
      <c r="C27" s="19">
        <f>+'Blce CALI mensual'!C23</f>
        <v>3106816303</v>
      </c>
      <c r="F27" s="19">
        <v>0</v>
      </c>
    </row>
    <row r="28" spans="2:8" ht="13.6" x14ac:dyDescent="0.25">
      <c r="B28" s="14" t="s">
        <v>34</v>
      </c>
      <c r="C28" s="10">
        <f>SUM(C25:C27)</f>
        <v>3106816303</v>
      </c>
      <c r="E28" s="14" t="s">
        <v>33</v>
      </c>
      <c r="F28" s="10">
        <f>SUM(F25:F26)</f>
        <v>0</v>
      </c>
    </row>
    <row r="29" spans="2:8" ht="13.6" x14ac:dyDescent="0.25">
      <c r="B29" s="14"/>
      <c r="E29" s="14"/>
    </row>
    <row r="30" spans="2:8" ht="13.6" x14ac:dyDescent="0.25">
      <c r="B30" s="14" t="s">
        <v>6</v>
      </c>
      <c r="E30" s="14" t="s">
        <v>0</v>
      </c>
    </row>
    <row r="31" spans="2:8" x14ac:dyDescent="0.2">
      <c r="B31" s="16" t="s">
        <v>103</v>
      </c>
      <c r="C31" s="10">
        <f>+'Blce Admin mensual'!C28</f>
        <v>0</v>
      </c>
      <c r="E31" s="16" t="s">
        <v>35</v>
      </c>
      <c r="F31" s="10">
        <f>+'Blce Admin mensual'!F28+'Blce CALI mensual'!F27</f>
        <v>695709483</v>
      </c>
    </row>
    <row r="32" spans="2:8" ht="13.6" thickBot="1" x14ac:dyDescent="0.25">
      <c r="B32" s="16" t="s">
        <v>104</v>
      </c>
      <c r="C32" s="19">
        <f>+'Blce Admin mensual'!C29</f>
        <v>0</v>
      </c>
      <c r="E32" s="16" t="s">
        <v>107</v>
      </c>
      <c r="F32" s="10">
        <f>+'Blce Admin mensual'!F29+'Blce CALI mensual'!F28</f>
        <v>2219976026</v>
      </c>
      <c r="H32" s="10" t="s">
        <v>48</v>
      </c>
    </row>
    <row r="33" spans="2:8" ht="13.6" x14ac:dyDescent="0.25">
      <c r="B33" s="14" t="s">
        <v>36</v>
      </c>
      <c r="C33" s="10">
        <f>SUM(C31:C32)</f>
        <v>0</v>
      </c>
      <c r="E33" s="16" t="s">
        <v>66</v>
      </c>
      <c r="F33" s="10">
        <f>+'Blce Admin mensual'!F30+'Blce CALI mensual'!F29</f>
        <v>563651867.68239999</v>
      </c>
      <c r="G33" s="10" t="s">
        <v>48</v>
      </c>
      <c r="H33" s="10" t="s">
        <v>48</v>
      </c>
    </row>
    <row r="34" spans="2:8" ht="13.6" thickBot="1" x14ac:dyDescent="0.25">
      <c r="E34" s="10" t="str">
        <f>+'Blce Admin mensual'!E31:F31</f>
        <v>- Depreciación acumulada</v>
      </c>
      <c r="F34" s="19">
        <f>+'Blce Admin mensual'!F31</f>
        <v>0</v>
      </c>
      <c r="G34" s="10" t="s">
        <v>48</v>
      </c>
      <c r="H34" s="10" t="s">
        <v>48</v>
      </c>
    </row>
    <row r="35" spans="2:8" ht="13.6" x14ac:dyDescent="0.25">
      <c r="E35" s="14" t="s">
        <v>37</v>
      </c>
      <c r="F35" s="10">
        <f>SUM(F31:F34)</f>
        <v>3479337376.6823997</v>
      </c>
      <c r="G35" s="10" t="s">
        <v>48</v>
      </c>
    </row>
    <row r="36" spans="2:8" ht="13.6" thickBot="1" x14ac:dyDescent="0.25">
      <c r="C36" s="19"/>
      <c r="F36" s="19"/>
    </row>
    <row r="37" spans="2:8" ht="14.3" thickBot="1" x14ac:dyDescent="0.3">
      <c r="B37" s="14" t="s">
        <v>38</v>
      </c>
      <c r="C37" s="21">
        <f>+C21+C28+C33</f>
        <v>3751836794</v>
      </c>
      <c r="D37" s="14"/>
      <c r="E37" s="14" t="s">
        <v>39</v>
      </c>
      <c r="F37" s="21">
        <f>+F21+F28+F35</f>
        <v>3751836793.5299997</v>
      </c>
      <c r="G37" s="10" t="s">
        <v>48</v>
      </c>
    </row>
    <row r="38" spans="2:8" x14ac:dyDescent="0.2">
      <c r="F38" s="10" t="s">
        <v>48</v>
      </c>
    </row>
    <row r="39" spans="2:8" x14ac:dyDescent="0.2">
      <c r="C39" s="10" t="s">
        <v>48</v>
      </c>
      <c r="F39" s="10">
        <f>+C37-F37</f>
        <v>0.47000026702880859</v>
      </c>
    </row>
    <row r="40" spans="2:8" x14ac:dyDescent="0.2">
      <c r="C40" s="10" t="s">
        <v>48</v>
      </c>
    </row>
    <row r="41" spans="2:8" x14ac:dyDescent="0.2">
      <c r="B41" s="10" t="s">
        <v>48</v>
      </c>
    </row>
    <row r="42" spans="2:8" x14ac:dyDescent="0.2">
      <c r="C42" s="10" t="s">
        <v>48</v>
      </c>
      <c r="F42" s="10" t="s">
        <v>48</v>
      </c>
    </row>
    <row r="43" spans="2:8" ht="12.1" customHeight="1" x14ac:dyDescent="0.2">
      <c r="F43" s="10" t="s">
        <v>48</v>
      </c>
    </row>
  </sheetData>
  <mergeCells count="4">
    <mergeCell ref="B1:F1"/>
    <mergeCell ref="B3:F3"/>
    <mergeCell ref="B6:F6"/>
    <mergeCell ref="B5:F5"/>
  </mergeCells>
  <phoneticPr fontId="6" type="noConversion"/>
  <pageMargins left="0.75" right="0.75" top="1" bottom="1" header="0" footer="0"/>
  <pageSetup scale="75" orientation="portrait" horizontalDpi="1200" verticalDpi="1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2">
    <tabColor rgb="FFFFFF00"/>
  </sheetPr>
  <dimension ref="A1:F35"/>
  <sheetViews>
    <sheetView zoomScaleNormal="100" workbookViewId="0">
      <selection activeCell="A2" sqref="A2:E2"/>
    </sheetView>
  </sheetViews>
  <sheetFormatPr baseColWidth="10" defaultColWidth="8.796875" defaultRowHeight="13.6" x14ac:dyDescent="0.25"/>
  <cols>
    <col min="1" max="1" width="8.796875" style="34" bestFit="1" customWidth="1"/>
    <col min="2" max="2" width="29.296875" style="34" customWidth="1"/>
    <col min="3" max="3" width="8.3984375" style="34" bestFit="1" customWidth="1"/>
    <col min="4" max="5" width="11.69921875" style="34" bestFit="1" customWidth="1"/>
    <col min="6" max="16384" width="8.796875" style="34"/>
  </cols>
  <sheetData>
    <row r="1" spans="1:6" ht="21.75" customHeight="1" x14ac:dyDescent="0.4">
      <c r="A1" s="587" t="s">
        <v>329</v>
      </c>
      <c r="B1" s="588"/>
      <c r="C1" s="588"/>
      <c r="D1" s="588"/>
      <c r="E1" s="589"/>
    </row>
    <row r="2" spans="1:6" ht="16.3" x14ac:dyDescent="0.3">
      <c r="A2" s="649" t="s">
        <v>83</v>
      </c>
      <c r="B2" s="650"/>
      <c r="C2" s="650"/>
      <c r="D2" s="650"/>
      <c r="E2" s="651"/>
    </row>
    <row r="3" spans="1:6" s="38" customFormat="1" x14ac:dyDescent="0.25">
      <c r="C3" s="35"/>
    </row>
    <row r="4" spans="1:6" s="38" customFormat="1" x14ac:dyDescent="0.25">
      <c r="C4" s="35"/>
    </row>
    <row r="5" spans="1:6" s="38" customFormat="1" ht="12.25" customHeight="1" x14ac:dyDescent="0.25">
      <c r="B5" s="38" t="s">
        <v>48</v>
      </c>
      <c r="C5" s="35" t="s">
        <v>27</v>
      </c>
      <c r="D5" s="35" t="s">
        <v>27</v>
      </c>
      <c r="E5" s="35" t="s">
        <v>27</v>
      </c>
    </row>
    <row r="6" spans="1:6" s="38" customFormat="1" ht="12.25" customHeight="1" x14ac:dyDescent="0.25">
      <c r="C6" s="35"/>
      <c r="D6" s="35"/>
      <c r="E6" s="35"/>
    </row>
    <row r="7" spans="1:6" s="38" customFormat="1" x14ac:dyDescent="0.25">
      <c r="A7" s="34" t="s">
        <v>63</v>
      </c>
      <c r="E7" s="34">
        <f>SUM(D8:D11)</f>
        <v>6445316</v>
      </c>
      <c r="F7" s="38" t="s">
        <v>48</v>
      </c>
    </row>
    <row r="8" spans="1:6" x14ac:dyDescent="0.25">
      <c r="B8" s="34" t="s">
        <v>52</v>
      </c>
      <c r="D8" s="34">
        <v>0</v>
      </c>
    </row>
    <row r="9" spans="1:6" x14ac:dyDescent="0.25">
      <c r="B9" s="16" t="s">
        <v>152</v>
      </c>
      <c r="C9" s="34">
        <f>+'Balance mensual administracion'!N19</f>
        <v>0</v>
      </c>
      <c r="D9" s="34">
        <f>+C9</f>
        <v>0</v>
      </c>
    </row>
    <row r="10" spans="1:6" x14ac:dyDescent="0.25">
      <c r="B10" s="34" t="s">
        <v>129</v>
      </c>
      <c r="C10" s="34">
        <f>+'Balance mensual administracion'!N16</f>
        <v>3900000</v>
      </c>
      <c r="D10" s="34">
        <f>+C10</f>
        <v>3900000</v>
      </c>
    </row>
    <row r="11" spans="1:6" x14ac:dyDescent="0.25">
      <c r="B11" s="34" t="s">
        <v>76</v>
      </c>
      <c r="C11" s="34">
        <f>+'Balance mensual administracion'!N11</f>
        <v>2545316</v>
      </c>
      <c r="D11" s="34">
        <f>+C11</f>
        <v>2545316</v>
      </c>
    </row>
    <row r="13" spans="1:6" x14ac:dyDescent="0.25">
      <c r="A13" s="34" t="s">
        <v>55</v>
      </c>
      <c r="B13" s="34" t="s">
        <v>48</v>
      </c>
      <c r="E13" s="34">
        <f>+D14</f>
        <v>0</v>
      </c>
      <c r="F13" s="34" t="s">
        <v>48</v>
      </c>
    </row>
    <row r="14" spans="1:6" x14ac:dyDescent="0.25">
      <c r="B14" s="34" t="s">
        <v>92</v>
      </c>
      <c r="C14" s="34">
        <f>+'Balance mensual administracion'!N13</f>
        <v>0</v>
      </c>
      <c r="D14" s="34">
        <f>+C14</f>
        <v>0</v>
      </c>
    </row>
    <row r="15" spans="1:6" x14ac:dyDescent="0.25">
      <c r="B15" s="34" t="s">
        <v>48</v>
      </c>
    </row>
    <row r="16" spans="1:6" x14ac:dyDescent="0.25">
      <c r="A16" s="34" t="s">
        <v>57</v>
      </c>
      <c r="B16" s="34" t="s">
        <v>48</v>
      </c>
      <c r="E16" s="34">
        <f>SUM(D17:D17)</f>
        <v>590000</v>
      </c>
    </row>
    <row r="17" spans="1:5" x14ac:dyDescent="0.25">
      <c r="B17" s="34" t="s">
        <v>78</v>
      </c>
      <c r="C17" s="34">
        <f>+'Balance mensual administracion'!N14</f>
        <v>590000</v>
      </c>
      <c r="D17" s="34">
        <f>+C17</f>
        <v>590000</v>
      </c>
    </row>
    <row r="18" spans="1:5" x14ac:dyDescent="0.25">
      <c r="A18" s="34" t="s">
        <v>70</v>
      </c>
      <c r="B18" s="34" t="s">
        <v>48</v>
      </c>
      <c r="C18" s="38"/>
      <c r="E18" s="34">
        <f>+D19+D23</f>
        <v>0</v>
      </c>
    </row>
    <row r="19" spans="1:5" x14ac:dyDescent="0.25">
      <c r="B19" s="34" t="s">
        <v>60</v>
      </c>
      <c r="C19" s="38"/>
      <c r="D19" s="34">
        <f>SUM(C20:C22)</f>
        <v>0</v>
      </c>
    </row>
    <row r="20" spans="1:5" x14ac:dyDescent="0.25">
      <c r="B20" s="34" t="s">
        <v>61</v>
      </c>
      <c r="C20" s="34">
        <v>0</v>
      </c>
    </row>
    <row r="21" spans="1:5" x14ac:dyDescent="0.25">
      <c r="B21" s="34" t="s">
        <v>100</v>
      </c>
      <c r="C21" s="34">
        <v>0</v>
      </c>
    </row>
    <row r="22" spans="1:5" x14ac:dyDescent="0.25">
      <c r="B22" s="34" t="s">
        <v>90</v>
      </c>
      <c r="C22" s="34">
        <v>0</v>
      </c>
    </row>
    <row r="23" spans="1:5" x14ac:dyDescent="0.25">
      <c r="B23" s="34" t="s">
        <v>62</v>
      </c>
      <c r="D23" s="34">
        <f>SUM(C24:C25)</f>
        <v>0</v>
      </c>
    </row>
    <row r="24" spans="1:5" x14ac:dyDescent="0.25">
      <c r="B24" s="34" t="s">
        <v>61</v>
      </c>
      <c r="C24" s="34">
        <v>0</v>
      </c>
    </row>
    <row r="25" spans="1:5" x14ac:dyDescent="0.25">
      <c r="B25" s="34" t="s">
        <v>90</v>
      </c>
      <c r="C25" s="34">
        <v>0</v>
      </c>
    </row>
    <row r="27" spans="1:5" x14ac:dyDescent="0.25">
      <c r="A27" s="34" t="s">
        <v>64</v>
      </c>
      <c r="E27" s="34">
        <f>+D28</f>
        <v>138437194</v>
      </c>
    </row>
    <row r="28" spans="1:5" x14ac:dyDescent="0.25">
      <c r="B28" s="34" t="s">
        <v>96</v>
      </c>
      <c r="C28" s="34">
        <f>+'Balance mensual administracion'!N37</f>
        <v>138437194</v>
      </c>
      <c r="D28" s="34">
        <f>+C28</f>
        <v>138437194</v>
      </c>
    </row>
    <row r="30" spans="1:5" x14ac:dyDescent="0.25">
      <c r="A30" s="34" t="s">
        <v>153</v>
      </c>
      <c r="E30" s="34">
        <f>+D31</f>
        <v>1587495</v>
      </c>
    </row>
    <row r="31" spans="1:5" x14ac:dyDescent="0.25">
      <c r="B31" s="34" t="s">
        <v>96</v>
      </c>
      <c r="C31" s="34">
        <f>+'Balance mensual administracion'!N47</f>
        <v>1587495</v>
      </c>
      <c r="D31" s="34">
        <f>+C31</f>
        <v>1587495</v>
      </c>
    </row>
    <row r="33" spans="1:5" x14ac:dyDescent="0.25">
      <c r="A33" s="34" t="s">
        <v>75</v>
      </c>
      <c r="E33" s="34">
        <f>SUM(D34:D35)</f>
        <v>0</v>
      </c>
    </row>
    <row r="34" spans="1:5" x14ac:dyDescent="0.25">
      <c r="B34" s="34" t="s">
        <v>80</v>
      </c>
      <c r="C34" s="34">
        <f>+'Balance mensual administracion'!N42-C35</f>
        <v>0</v>
      </c>
      <c r="D34" s="34">
        <f>+C34</f>
        <v>0</v>
      </c>
    </row>
    <row r="35" spans="1:5" x14ac:dyDescent="0.25">
      <c r="B35" s="34" t="s">
        <v>91</v>
      </c>
      <c r="D35" s="34">
        <f>+C35</f>
        <v>0</v>
      </c>
    </row>
  </sheetData>
  <mergeCells count="2">
    <mergeCell ref="A1:E1"/>
    <mergeCell ref="A2:E2"/>
  </mergeCells>
  <phoneticPr fontId="6" type="noConversion"/>
  <printOptions horizontalCentered="1"/>
  <pageMargins left="0.35433070866141736" right="0.35433070866141736" top="0.59055118110236227" bottom="0.59055118110236227" header="0" footer="0"/>
  <pageSetup orientation="landscape" horizontalDpi="1200" verticalDpi="1200" r:id="rId1"/>
  <headerFooter alignWithMargins="0">
    <oddFooter>&amp;L&amp;F&amp;R&amp;A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4">
    <tabColor rgb="FF00B0F0"/>
  </sheetPr>
  <dimension ref="A1:D36"/>
  <sheetViews>
    <sheetView workbookViewId="0">
      <selection activeCell="C15" sqref="C15"/>
    </sheetView>
  </sheetViews>
  <sheetFormatPr baseColWidth="10" defaultColWidth="8.796875" defaultRowHeight="13.6" x14ac:dyDescent="0.25"/>
  <cols>
    <col min="1" max="1" width="11.69921875" style="34" customWidth="1"/>
    <col min="2" max="2" width="38.3984375" style="34" customWidth="1"/>
    <col min="3" max="4" width="11" style="34" bestFit="1" customWidth="1"/>
    <col min="5" max="5" width="2.69921875" style="34" customWidth="1"/>
    <col min="6" max="16384" width="8.796875" style="34"/>
  </cols>
  <sheetData>
    <row r="1" spans="1:4" ht="23.8" x14ac:dyDescent="0.4">
      <c r="A1" s="630" t="s">
        <v>330</v>
      </c>
      <c r="B1" s="631"/>
      <c r="C1" s="631"/>
      <c r="D1" s="632"/>
    </row>
    <row r="2" spans="1:4" ht="16.3" x14ac:dyDescent="0.3">
      <c r="A2" s="652" t="s">
        <v>83</v>
      </c>
      <c r="B2" s="653"/>
      <c r="C2" s="653"/>
      <c r="D2" s="654"/>
    </row>
    <row r="3" spans="1:4" s="38" customFormat="1" x14ac:dyDescent="0.25"/>
    <row r="4" spans="1:4" s="38" customFormat="1" x14ac:dyDescent="0.25"/>
    <row r="5" spans="1:4" s="38" customFormat="1" ht="12.25" customHeight="1" x14ac:dyDescent="0.25">
      <c r="B5" s="38" t="s">
        <v>48</v>
      </c>
      <c r="C5" s="35" t="s">
        <v>27</v>
      </c>
      <c r="D5" s="35" t="s">
        <v>27</v>
      </c>
    </row>
    <row r="6" spans="1:4" s="38" customFormat="1" ht="12.25" customHeight="1" x14ac:dyDescent="0.25">
      <c r="C6" s="35"/>
      <c r="D6" s="35"/>
    </row>
    <row r="7" spans="1:4" s="38" customFormat="1" x14ac:dyDescent="0.25">
      <c r="A7" s="34" t="s">
        <v>63</v>
      </c>
      <c r="D7" s="34">
        <f>SUM(C8:C9)</f>
        <v>8800591</v>
      </c>
    </row>
    <row r="8" spans="1:4" s="38" customFormat="1" x14ac:dyDescent="0.25">
      <c r="A8" s="34"/>
      <c r="B8" s="34" t="s">
        <v>108</v>
      </c>
      <c r="C8" s="34">
        <f>+'Balance mensual CALI'!N11</f>
        <v>0</v>
      </c>
      <c r="D8" s="34"/>
    </row>
    <row r="9" spans="1:4" x14ac:dyDescent="0.25">
      <c r="B9" s="34" t="s">
        <v>53</v>
      </c>
      <c r="C9" s="34">
        <f>+'Balance mensual CALI'!N13</f>
        <v>8800591</v>
      </c>
    </row>
    <row r="10" spans="1:4" x14ac:dyDescent="0.25">
      <c r="C10" s="34" t="s">
        <v>48</v>
      </c>
    </row>
    <row r="11" spans="1:4" x14ac:dyDescent="0.25">
      <c r="A11" s="34" t="s">
        <v>55</v>
      </c>
      <c r="B11" s="34" t="s">
        <v>48</v>
      </c>
      <c r="D11" s="34" t="e">
        <f>+C12</f>
        <v>#REF!</v>
      </c>
    </row>
    <row r="12" spans="1:4" x14ac:dyDescent="0.25">
      <c r="B12" s="34" t="s">
        <v>87</v>
      </c>
      <c r="C12" s="34" t="e">
        <f>+'Balance mensual CALI'!#REF!</f>
        <v>#REF!</v>
      </c>
    </row>
    <row r="14" spans="1:4" x14ac:dyDescent="0.25">
      <c r="A14" s="34" t="s">
        <v>84</v>
      </c>
      <c r="D14" s="34">
        <f>SUM(C15:C15)</f>
        <v>0</v>
      </c>
    </row>
    <row r="15" spans="1:4" x14ac:dyDescent="0.25">
      <c r="B15" s="34" t="s">
        <v>88</v>
      </c>
      <c r="C15" s="34">
        <f>+'Balance mensual CALI'!N19</f>
        <v>0</v>
      </c>
    </row>
    <row r="16" spans="1:4" x14ac:dyDescent="0.25">
      <c r="A16" s="34" t="s">
        <v>85</v>
      </c>
      <c r="D16" s="34">
        <f>SUM(C18:C24)</f>
        <v>0</v>
      </c>
    </row>
    <row r="17" spans="1:4" x14ac:dyDescent="0.25">
      <c r="B17" s="34" t="s">
        <v>82</v>
      </c>
    </row>
    <row r="18" spans="1:4" x14ac:dyDescent="0.25">
      <c r="A18" s="153">
        <v>15211</v>
      </c>
      <c r="B18" s="34" t="s">
        <v>117</v>
      </c>
    </row>
    <row r="19" spans="1:4" x14ac:dyDescent="0.25">
      <c r="A19" s="153">
        <v>15311</v>
      </c>
      <c r="B19" s="34" t="s">
        <v>121</v>
      </c>
    </row>
    <row r="20" spans="1:4" x14ac:dyDescent="0.25">
      <c r="A20" s="153">
        <v>15317</v>
      </c>
      <c r="B20" s="34" t="s">
        <v>122</v>
      </c>
    </row>
    <row r="21" spans="1:4" x14ac:dyDescent="0.25">
      <c r="A21" s="153">
        <v>15318</v>
      </c>
      <c r="B21" s="34" t="s">
        <v>118</v>
      </c>
    </row>
    <row r="22" spans="1:4" x14ac:dyDescent="0.25">
      <c r="A22" s="153">
        <v>15911</v>
      </c>
      <c r="B22" s="34" t="s">
        <v>119</v>
      </c>
    </row>
    <row r="23" spans="1:4" x14ac:dyDescent="0.25">
      <c r="A23" s="153">
        <v>15915</v>
      </c>
      <c r="B23" s="34" t="s">
        <v>120</v>
      </c>
    </row>
    <row r="24" spans="1:4" x14ac:dyDescent="0.25">
      <c r="A24" s="153">
        <v>16916</v>
      </c>
      <c r="B24" s="34" t="s">
        <v>123</v>
      </c>
    </row>
    <row r="25" spans="1:4" x14ac:dyDescent="0.25">
      <c r="A25" s="153"/>
      <c r="B25" s="34" t="s">
        <v>48</v>
      </c>
    </row>
    <row r="26" spans="1:4" x14ac:dyDescent="0.25">
      <c r="A26" s="34" t="s">
        <v>71</v>
      </c>
      <c r="B26" s="34" t="s">
        <v>48</v>
      </c>
      <c r="D26" s="34">
        <f>SUM(C27:C27)</f>
        <v>177466</v>
      </c>
    </row>
    <row r="27" spans="1:4" x14ac:dyDescent="0.25">
      <c r="B27" s="34" t="s">
        <v>95</v>
      </c>
      <c r="C27" s="34">
        <f>+'Balance mensual CALI'!N45</f>
        <v>177466</v>
      </c>
    </row>
    <row r="28" spans="1:4" x14ac:dyDescent="0.25">
      <c r="B28" s="34" t="s">
        <v>51</v>
      </c>
      <c r="C28" s="34" t="s">
        <v>48</v>
      </c>
    </row>
    <row r="29" spans="1:4" x14ac:dyDescent="0.25">
      <c r="A29" s="34" t="s">
        <v>72</v>
      </c>
      <c r="D29" s="34">
        <f>SUM(C30:C30)</f>
        <v>2999368.5300000003</v>
      </c>
    </row>
    <row r="30" spans="1:4" x14ac:dyDescent="0.25">
      <c r="B30" s="34" t="s">
        <v>95</v>
      </c>
      <c r="C30" s="34">
        <f>+'Balance mensual CALI'!N46</f>
        <v>2999368.5300000003</v>
      </c>
    </row>
    <row r="32" spans="1:4" x14ac:dyDescent="0.25">
      <c r="A32" s="34" t="s">
        <v>73</v>
      </c>
      <c r="D32" s="34">
        <f>+C33</f>
        <v>75768</v>
      </c>
    </row>
    <row r="33" spans="1:4" x14ac:dyDescent="0.25">
      <c r="B33" s="34" t="s">
        <v>94</v>
      </c>
      <c r="C33" s="34">
        <f>+'Balance mensual CALI'!N47</f>
        <v>75768</v>
      </c>
    </row>
    <row r="34" spans="1:4" x14ac:dyDescent="0.25">
      <c r="B34" s="34" t="s">
        <v>48</v>
      </c>
      <c r="C34" s="34" t="s">
        <v>48</v>
      </c>
    </row>
    <row r="35" spans="1:4" x14ac:dyDescent="0.25">
      <c r="A35" s="34" t="s">
        <v>79</v>
      </c>
      <c r="D35" s="34">
        <f>+C36</f>
        <v>5955486</v>
      </c>
    </row>
    <row r="36" spans="1:4" x14ac:dyDescent="0.25">
      <c r="B36" s="34" t="s">
        <v>130</v>
      </c>
      <c r="C36" s="34">
        <f>+'Balance mensual CALI'!N57+'Balance mensual CALI'!N48</f>
        <v>5955486</v>
      </c>
    </row>
  </sheetData>
  <mergeCells count="2">
    <mergeCell ref="A1:D1"/>
    <mergeCell ref="A2:D2"/>
  </mergeCells>
  <phoneticPr fontId="6" type="noConversion"/>
  <printOptions horizontalCentered="1" verticalCentered="1"/>
  <pageMargins left="0.74803149606299213" right="0.74803149606299213" top="0.39370078740157483" bottom="0.39370078740157483" header="0" footer="0"/>
  <pageSetup orientation="landscape" horizontalDpi="1200" verticalDpi="1200" r:id="rId1"/>
  <headerFooter alignWithMargins="0">
    <oddFooter>&amp;L&amp;F&amp;R&amp;A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10"/>
  <dimension ref="A1:E61"/>
  <sheetViews>
    <sheetView workbookViewId="0">
      <selection sqref="A1:C1"/>
    </sheetView>
  </sheetViews>
  <sheetFormatPr baseColWidth="10" defaultColWidth="8.796875" defaultRowHeight="13.6" x14ac:dyDescent="0.25"/>
  <cols>
    <col min="1" max="1" width="8.796875" style="7" bestFit="1" customWidth="1"/>
    <col min="2" max="2" width="38.3984375" style="7" customWidth="1"/>
    <col min="3" max="3" width="7" style="7" bestFit="1" customWidth="1"/>
    <col min="4" max="5" width="9.296875" style="7" bestFit="1" customWidth="1"/>
    <col min="6" max="16384" width="8.796875" style="7"/>
  </cols>
  <sheetData>
    <row r="1" spans="1:5" x14ac:dyDescent="0.25">
      <c r="A1" s="655" t="s">
        <v>50</v>
      </c>
      <c r="B1" s="656"/>
      <c r="C1" s="656"/>
    </row>
    <row r="3" spans="1:5" s="8" customFormat="1" ht="12.9" x14ac:dyDescent="0.2">
      <c r="A3" s="8" t="s">
        <v>65</v>
      </c>
      <c r="C3" s="9"/>
    </row>
    <row r="4" spans="1:5" s="8" customFormat="1" ht="12.9" x14ac:dyDescent="0.2">
      <c r="C4" s="9"/>
    </row>
    <row r="5" spans="1:5" s="8" customFormat="1" ht="12.25" customHeight="1" x14ac:dyDescent="0.2">
      <c r="B5" s="8" t="s">
        <v>48</v>
      </c>
      <c r="C5" s="9" t="s">
        <v>27</v>
      </c>
      <c r="D5" s="9" t="s">
        <v>27</v>
      </c>
      <c r="E5" s="9" t="s">
        <v>27</v>
      </c>
    </row>
    <row r="6" spans="1:5" s="8" customFormat="1" ht="12.25" customHeight="1" x14ac:dyDescent="0.2">
      <c r="C6" s="9"/>
      <c r="D6" s="9"/>
      <c r="E6" s="9"/>
    </row>
    <row r="7" spans="1:5" s="8" customFormat="1" x14ac:dyDescent="0.25">
      <c r="A7" s="7" t="s">
        <v>63</v>
      </c>
      <c r="E7" s="7">
        <f>SUM(D8:D13)</f>
        <v>11345907</v>
      </c>
    </row>
    <row r="8" spans="1:5" x14ac:dyDescent="0.25">
      <c r="B8" s="7" t="s">
        <v>52</v>
      </c>
      <c r="D8" s="7">
        <f>+'Analisis Adm.'!D8</f>
        <v>0</v>
      </c>
    </row>
    <row r="9" spans="1:5" x14ac:dyDescent="0.25">
      <c r="B9" s="16" t="s">
        <v>152</v>
      </c>
      <c r="D9" s="7">
        <f>+'Analisis Adm.'!D9+'Analisis Cali'!C8</f>
        <v>0</v>
      </c>
    </row>
    <row r="10" spans="1:5" x14ac:dyDescent="0.25">
      <c r="B10" s="7" t="s">
        <v>54</v>
      </c>
      <c r="C10" s="7" t="s">
        <v>48</v>
      </c>
    </row>
    <row r="11" spans="1:5" x14ac:dyDescent="0.25">
      <c r="B11" s="7" t="s">
        <v>53</v>
      </c>
      <c r="D11" s="7">
        <f>+'Analisis Cali'!C9</f>
        <v>8800591</v>
      </c>
    </row>
    <row r="12" spans="1:5" x14ac:dyDescent="0.25">
      <c r="B12" s="7" t="s">
        <v>76</v>
      </c>
      <c r="D12" s="7">
        <f>+'Analisis Adm.'!D11</f>
        <v>2545316</v>
      </c>
    </row>
    <row r="14" spans="1:5" x14ac:dyDescent="0.25">
      <c r="A14" s="7" t="s">
        <v>55</v>
      </c>
      <c r="B14" s="7" t="s">
        <v>48</v>
      </c>
      <c r="E14" s="7">
        <f>+'Blce Consolidado'!C16</f>
        <v>248000000</v>
      </c>
    </row>
    <row r="15" spans="1:5" x14ac:dyDescent="0.25">
      <c r="B15" s="7" t="str">
        <f>+'Analisis Adm.'!B14</f>
        <v>Saldo fondo mutuo</v>
      </c>
      <c r="D15" s="7">
        <f>+'Analisis Adm.'!D14</f>
        <v>0</v>
      </c>
    </row>
    <row r="16" spans="1:5" x14ac:dyDescent="0.25">
      <c r="B16" s="7" t="str">
        <f>+'Analisis Cali'!B12</f>
        <v>Depositos a plazo</v>
      </c>
      <c r="D16" s="7" t="e">
        <f>+'Analisis Cali'!C12</f>
        <v>#REF!</v>
      </c>
    </row>
    <row r="18" spans="1:5" x14ac:dyDescent="0.25">
      <c r="A18" s="7" t="s">
        <v>69</v>
      </c>
      <c r="E18" s="7">
        <f>SUM(D19:D19)</f>
        <v>0</v>
      </c>
    </row>
    <row r="19" spans="1:5" x14ac:dyDescent="0.25">
      <c r="B19" s="7" t="s">
        <v>48</v>
      </c>
      <c r="D19" s="7" t="s">
        <v>48</v>
      </c>
    </row>
    <row r="20" spans="1:5" x14ac:dyDescent="0.25">
      <c r="A20" s="7" t="s">
        <v>57</v>
      </c>
      <c r="B20" s="7" t="s">
        <v>48</v>
      </c>
      <c r="E20" s="7">
        <f>SUM(D21:D21)</f>
        <v>590000</v>
      </c>
    </row>
    <row r="21" spans="1:5" x14ac:dyDescent="0.25">
      <c r="B21" s="7" t="s">
        <v>78</v>
      </c>
      <c r="C21" s="8"/>
      <c r="D21" s="7">
        <f>+'Analisis Adm.'!D17</f>
        <v>590000</v>
      </c>
    </row>
    <row r="22" spans="1:5" x14ac:dyDescent="0.25">
      <c r="C22" s="8"/>
    </row>
    <row r="23" spans="1:5" x14ac:dyDescent="0.25">
      <c r="A23" s="7" t="s">
        <v>70</v>
      </c>
      <c r="B23" s="7" t="s">
        <v>48</v>
      </c>
      <c r="C23" s="8"/>
      <c r="E23" s="7">
        <f>+D24+D28+D31</f>
        <v>0</v>
      </c>
    </row>
    <row r="24" spans="1:5" x14ac:dyDescent="0.25">
      <c r="B24" s="7" t="s">
        <v>60</v>
      </c>
      <c r="C24" s="8"/>
      <c r="D24" s="7">
        <f>SUM(C25:C27)</f>
        <v>0</v>
      </c>
    </row>
    <row r="25" spans="1:5" x14ac:dyDescent="0.25">
      <c r="B25" s="7" t="s">
        <v>61</v>
      </c>
      <c r="C25" s="7">
        <f>+'Analisis Adm.'!C20</f>
        <v>0</v>
      </c>
    </row>
    <row r="26" spans="1:5" x14ac:dyDescent="0.25">
      <c r="B26" s="7" t="str">
        <f>+'Analisis Adm.'!B21</f>
        <v xml:space="preserve">  Estufa</v>
      </c>
      <c r="C26" s="7">
        <f>+'Analisis Adm.'!C21</f>
        <v>0</v>
      </c>
    </row>
    <row r="27" spans="1:5" x14ac:dyDescent="0.25">
      <c r="B27" s="7" t="s">
        <v>90</v>
      </c>
      <c r="C27" s="7">
        <f>+'Analisis Adm.'!C22</f>
        <v>0</v>
      </c>
    </row>
    <row r="28" spans="1:5" x14ac:dyDescent="0.25">
      <c r="B28" s="7" t="s">
        <v>62</v>
      </c>
      <c r="D28" s="7">
        <f>SUM(C28:C30)</f>
        <v>0</v>
      </c>
    </row>
    <row r="29" spans="1:5" x14ac:dyDescent="0.25">
      <c r="B29" s="7" t="s">
        <v>61</v>
      </c>
      <c r="C29" s="7">
        <f>+'Analisis Adm.'!C24</f>
        <v>0</v>
      </c>
    </row>
    <row r="30" spans="1:5" x14ac:dyDescent="0.25">
      <c r="B30" s="7" t="s">
        <v>90</v>
      </c>
      <c r="C30" s="7">
        <f>+'Analisis Adm.'!C25</f>
        <v>0</v>
      </c>
    </row>
    <row r="31" spans="1:5" x14ac:dyDescent="0.25">
      <c r="B31" s="7" t="s">
        <v>82</v>
      </c>
      <c r="D31" s="7">
        <f>SUM(C32:C38)</f>
        <v>0</v>
      </c>
    </row>
    <row r="32" spans="1:5" x14ac:dyDescent="0.25">
      <c r="B32" s="34" t="s">
        <v>117</v>
      </c>
      <c r="C32" s="7">
        <f>+'Analisis Cali'!C18</f>
        <v>0</v>
      </c>
    </row>
    <row r="33" spans="1:5" x14ac:dyDescent="0.25">
      <c r="B33" s="34" t="s">
        <v>121</v>
      </c>
      <c r="C33" s="7">
        <f>+'Analisis Cali'!C19</f>
        <v>0</v>
      </c>
    </row>
    <row r="34" spans="1:5" x14ac:dyDescent="0.25">
      <c r="B34" s="34" t="s">
        <v>122</v>
      </c>
      <c r="C34" s="7">
        <f>+'Analisis Cali'!C20</f>
        <v>0</v>
      </c>
    </row>
    <row r="35" spans="1:5" x14ac:dyDescent="0.25">
      <c r="B35" s="34" t="s">
        <v>118</v>
      </c>
      <c r="C35" s="7">
        <f>+'Analisis Cali'!C21</f>
        <v>0</v>
      </c>
    </row>
    <row r="36" spans="1:5" x14ac:dyDescent="0.25">
      <c r="B36" s="34" t="s">
        <v>119</v>
      </c>
      <c r="C36" s="7">
        <f>+'Analisis Cali'!C22</f>
        <v>0</v>
      </c>
    </row>
    <row r="37" spans="1:5" x14ac:dyDescent="0.25">
      <c r="B37" s="34" t="s">
        <v>120</v>
      </c>
      <c r="C37" s="7">
        <f>+'Analisis Cali'!C23</f>
        <v>0</v>
      </c>
    </row>
    <row r="38" spans="1:5" x14ac:dyDescent="0.25">
      <c r="B38" s="34" t="s">
        <v>123</v>
      </c>
      <c r="C38" s="7">
        <f>+'Analisis Cali'!C24</f>
        <v>0</v>
      </c>
    </row>
    <row r="40" spans="1:5" x14ac:dyDescent="0.25">
      <c r="B40" s="7" t="s">
        <v>48</v>
      </c>
      <c r="C40" s="8"/>
    </row>
    <row r="41" spans="1:5" x14ac:dyDescent="0.25">
      <c r="A41" s="7" t="s">
        <v>71</v>
      </c>
      <c r="B41" s="7" t="s">
        <v>48</v>
      </c>
      <c r="E41" s="7">
        <f>SUM(D42:D42)</f>
        <v>177466</v>
      </c>
    </row>
    <row r="42" spans="1:5" x14ac:dyDescent="0.25">
      <c r="B42" s="7" t="str">
        <f>+'Analisis Cali'!B27</f>
        <v xml:space="preserve">Aporte </v>
      </c>
      <c r="D42" s="7">
        <f>+'Analisis Cali'!C27</f>
        <v>177466</v>
      </c>
    </row>
    <row r="43" spans="1:5" x14ac:dyDescent="0.25">
      <c r="B43" s="7" t="s">
        <v>51</v>
      </c>
      <c r="C43" s="8"/>
    </row>
    <row r="44" spans="1:5" x14ac:dyDescent="0.25">
      <c r="A44" s="7" t="s">
        <v>72</v>
      </c>
      <c r="E44" s="7">
        <f>SUM(D45:D45)</f>
        <v>2999368.5300000003</v>
      </c>
    </row>
    <row r="45" spans="1:5" x14ac:dyDescent="0.25">
      <c r="B45" s="7" t="str">
        <f>+'Analisis Cali'!B30</f>
        <v xml:space="preserve">Aporte </v>
      </c>
      <c r="D45" s="7">
        <f>+'Analisis Cali'!C30</f>
        <v>2999368.5300000003</v>
      </c>
    </row>
    <row r="47" spans="1:5" x14ac:dyDescent="0.25">
      <c r="A47" s="7" t="s">
        <v>73</v>
      </c>
      <c r="E47" s="7">
        <f>+D48</f>
        <v>75768</v>
      </c>
    </row>
    <row r="48" spans="1:5" x14ac:dyDescent="0.25">
      <c r="B48" s="7" t="s">
        <v>86</v>
      </c>
      <c r="D48" s="7">
        <f>+'Analisis Cali'!C33</f>
        <v>75768</v>
      </c>
    </row>
    <row r="50" spans="1:5" x14ac:dyDescent="0.25">
      <c r="A50" s="7" t="s">
        <v>64</v>
      </c>
      <c r="E50" s="7">
        <f>SUM(D51:D52)</f>
        <v>138437194</v>
      </c>
    </row>
    <row r="51" spans="1:5" x14ac:dyDescent="0.25">
      <c r="B51" s="7" t="s">
        <v>97</v>
      </c>
      <c r="D51" s="7">
        <f>+'Analisis Adm.'!D28</f>
        <v>138437194</v>
      </c>
    </row>
    <row r="52" spans="1:5" x14ac:dyDescent="0.25">
      <c r="B52" s="7" t="s">
        <v>48</v>
      </c>
      <c r="D52" s="7" t="s">
        <v>48</v>
      </c>
    </row>
    <row r="53" spans="1:5" x14ac:dyDescent="0.25">
      <c r="A53" s="7" t="s">
        <v>153</v>
      </c>
      <c r="E53" s="7">
        <f>SUM(D54:D55)</f>
        <v>1587495</v>
      </c>
    </row>
    <row r="54" spans="1:5" x14ac:dyDescent="0.25">
      <c r="B54" s="7" t="s">
        <v>97</v>
      </c>
      <c r="D54" s="7">
        <f>+'Analisis Adm.'!D31</f>
        <v>1587495</v>
      </c>
    </row>
    <row r="55" spans="1:5" x14ac:dyDescent="0.25">
      <c r="B55" s="7" t="s">
        <v>48</v>
      </c>
      <c r="D55" s="7" t="s">
        <v>48</v>
      </c>
    </row>
    <row r="56" spans="1:5" x14ac:dyDescent="0.25">
      <c r="A56" s="10" t="s">
        <v>75</v>
      </c>
      <c r="E56" s="7">
        <f>SUM(D57:D58)</f>
        <v>5955486</v>
      </c>
    </row>
    <row r="57" spans="1:5" x14ac:dyDescent="0.25">
      <c r="B57" s="7" t="s">
        <v>80</v>
      </c>
      <c r="D57" s="7">
        <f>+'Analisis Cali'!C36</f>
        <v>5955486</v>
      </c>
    </row>
    <row r="58" spans="1:5" x14ac:dyDescent="0.25">
      <c r="B58" s="7" t="str">
        <f>+'Analisis Adm.'!B35</f>
        <v>Honorarios por pagar</v>
      </c>
      <c r="D58" s="7">
        <f>+'Analisis Adm.'!D35</f>
        <v>0</v>
      </c>
    </row>
    <row r="60" spans="1:5" x14ac:dyDescent="0.25">
      <c r="E60" s="7">
        <f>+D61</f>
        <v>0</v>
      </c>
    </row>
    <row r="61" spans="1:5" x14ac:dyDescent="0.25">
      <c r="A61" s="10" t="s">
        <v>125</v>
      </c>
      <c r="D61" s="7">
        <f>+'Analisis Adm.'!D37</f>
        <v>0</v>
      </c>
    </row>
  </sheetData>
  <mergeCells count="1">
    <mergeCell ref="A1:C1"/>
  </mergeCells>
  <phoneticPr fontId="6" type="noConversion"/>
  <pageMargins left="0.75" right="0.75" top="1" bottom="1" header="0" footer="0"/>
  <pageSetup scale="75" orientation="portrait" horizontalDpi="1200" verticalDpi="1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27"/>
  <dimension ref="A1:N104"/>
  <sheetViews>
    <sheetView topLeftCell="A85" workbookViewId="0">
      <selection activeCell="F99" sqref="F99"/>
    </sheetView>
  </sheetViews>
  <sheetFormatPr baseColWidth="10" defaultRowHeight="15.65" x14ac:dyDescent="0.25"/>
  <cols>
    <col min="1" max="1" width="12.19921875" customWidth="1"/>
    <col min="2" max="2" width="3.69921875" bestFit="1" customWidth="1"/>
    <col min="3" max="3" width="5.59765625" bestFit="1" customWidth="1"/>
    <col min="4" max="4" width="7.796875" bestFit="1" customWidth="1"/>
    <col min="5" max="5" width="26.3984375" bestFit="1" customWidth="1"/>
    <col min="6" max="6" width="11.3984375" style="289" bestFit="1" customWidth="1"/>
    <col min="7" max="7" width="13" style="289" bestFit="1" customWidth="1"/>
    <col min="8" max="8" width="47" customWidth="1"/>
    <col min="9" max="9" width="3.796875" bestFit="1" customWidth="1"/>
    <col min="10" max="10" width="2.3984375" bestFit="1" customWidth="1"/>
    <col min="12" max="12" width="11.19921875" bestFit="1" customWidth="1"/>
    <col min="13" max="13" width="19.3984375" bestFit="1" customWidth="1"/>
  </cols>
  <sheetData>
    <row r="1" spans="1:14" x14ac:dyDescent="0.25">
      <c r="A1" s="288" t="s">
        <v>466</v>
      </c>
      <c r="B1" s="288"/>
      <c r="C1" s="288"/>
      <c r="D1" s="288"/>
    </row>
    <row r="2" spans="1:14" x14ac:dyDescent="0.25">
      <c r="A2" s="657" t="s">
        <v>467</v>
      </c>
      <c r="B2" s="657"/>
      <c r="C2" s="657"/>
      <c r="D2" s="657"/>
    </row>
    <row r="3" spans="1:14" ht="21.1" x14ac:dyDescent="0.35">
      <c r="A3" s="658" t="s">
        <v>468</v>
      </c>
      <c r="B3" s="658"/>
      <c r="C3" s="658"/>
      <c r="D3" s="658"/>
      <c r="E3" s="658"/>
      <c r="F3" s="658"/>
      <c r="G3" s="658"/>
      <c r="H3" s="658"/>
      <c r="I3" s="658"/>
    </row>
    <row r="5" spans="1:14" ht="16.3" thickBot="1" x14ac:dyDescent="0.3">
      <c r="A5" s="290" t="s">
        <v>111</v>
      </c>
      <c r="B5" s="291" t="s">
        <v>112</v>
      </c>
      <c r="C5" s="291" t="s">
        <v>124</v>
      </c>
      <c r="D5" s="291" t="s">
        <v>469</v>
      </c>
      <c r="E5" s="291" t="s">
        <v>113</v>
      </c>
      <c r="F5" s="292" t="s">
        <v>114</v>
      </c>
      <c r="G5" s="292" t="s">
        <v>298</v>
      </c>
      <c r="H5" s="291" t="s">
        <v>116</v>
      </c>
      <c r="I5" s="291"/>
      <c r="J5" s="291"/>
      <c r="N5" s="152"/>
    </row>
    <row r="6" spans="1:14" ht="16.3" thickTop="1" x14ac:dyDescent="0.25">
      <c r="A6" s="293">
        <v>40063</v>
      </c>
      <c r="B6" s="294">
        <v>7</v>
      </c>
      <c r="C6" s="294">
        <v>135</v>
      </c>
      <c r="D6" s="294">
        <v>15211</v>
      </c>
      <c r="E6" s="294" t="s">
        <v>117</v>
      </c>
      <c r="F6" s="295">
        <v>1277777</v>
      </c>
      <c r="G6" s="295">
        <v>1277777</v>
      </c>
      <c r="H6" s="294" t="s">
        <v>470</v>
      </c>
      <c r="I6" s="294" t="s">
        <v>131</v>
      </c>
      <c r="N6" s="152"/>
    </row>
    <row r="7" spans="1:14" x14ac:dyDescent="0.25">
      <c r="A7" s="293">
        <v>40119</v>
      </c>
      <c r="B7" s="294">
        <v>11</v>
      </c>
      <c r="C7" s="294">
        <v>135</v>
      </c>
      <c r="D7" s="294">
        <v>15211</v>
      </c>
      <c r="E7" s="294" t="s">
        <v>117</v>
      </c>
      <c r="F7" s="295">
        <v>1277778</v>
      </c>
      <c r="G7" s="295">
        <v>1277778</v>
      </c>
      <c r="H7" s="294" t="s">
        <v>471</v>
      </c>
      <c r="I7" s="294" t="s">
        <v>131</v>
      </c>
      <c r="N7" s="152"/>
    </row>
    <row r="8" spans="1:14" x14ac:dyDescent="0.25">
      <c r="E8" s="296" t="s">
        <v>472</v>
      </c>
      <c r="F8" s="297">
        <f>+F6+F7</f>
        <v>2555555</v>
      </c>
      <c r="G8" s="297">
        <f>+G6+G7</f>
        <v>2555555</v>
      </c>
    </row>
    <row r="9" spans="1:14" x14ac:dyDescent="0.25">
      <c r="A9" s="298">
        <v>40345</v>
      </c>
      <c r="B9" s="299">
        <v>6</v>
      </c>
      <c r="C9" s="299">
        <v>135</v>
      </c>
      <c r="D9" s="299">
        <v>15211</v>
      </c>
      <c r="E9" s="299" t="s">
        <v>117</v>
      </c>
      <c r="F9" s="300">
        <v>800000</v>
      </c>
      <c r="G9" s="300">
        <v>800000</v>
      </c>
      <c r="H9" s="299" t="s">
        <v>473</v>
      </c>
      <c r="I9" s="299" t="s">
        <v>131</v>
      </c>
      <c r="N9" s="152"/>
    </row>
    <row r="10" spans="1:14" x14ac:dyDescent="0.25">
      <c r="A10" s="298">
        <v>40345</v>
      </c>
      <c r="B10" s="299">
        <v>6</v>
      </c>
      <c r="C10" s="299">
        <v>135</v>
      </c>
      <c r="D10" s="299">
        <v>15211</v>
      </c>
      <c r="E10" s="299" t="s">
        <v>117</v>
      </c>
      <c r="F10" s="300">
        <v>800000</v>
      </c>
      <c r="G10" s="300">
        <v>800000</v>
      </c>
      <c r="H10" s="299" t="s">
        <v>474</v>
      </c>
      <c r="I10" s="299" t="s">
        <v>131</v>
      </c>
      <c r="N10" s="152"/>
    </row>
    <row r="11" spans="1:14" x14ac:dyDescent="0.25">
      <c r="A11" s="298">
        <v>40345</v>
      </c>
      <c r="B11" s="299">
        <v>6</v>
      </c>
      <c r="C11" s="299">
        <v>135</v>
      </c>
      <c r="D11" s="299">
        <v>15211</v>
      </c>
      <c r="E11" s="299" t="s">
        <v>117</v>
      </c>
      <c r="F11" s="300">
        <v>800000</v>
      </c>
      <c r="G11" s="300">
        <v>800000</v>
      </c>
      <c r="H11" s="299" t="s">
        <v>475</v>
      </c>
      <c r="I11" s="299" t="s">
        <v>131</v>
      </c>
      <c r="N11" s="152"/>
    </row>
    <row r="12" spans="1:14" x14ac:dyDescent="0.25">
      <c r="A12" s="298">
        <v>40352</v>
      </c>
      <c r="B12" s="299">
        <v>6</v>
      </c>
      <c r="C12" s="299">
        <v>135</v>
      </c>
      <c r="D12" s="299">
        <v>15211</v>
      </c>
      <c r="E12" s="299" t="s">
        <v>117</v>
      </c>
      <c r="F12" s="300">
        <v>2118242</v>
      </c>
      <c r="G12" s="300">
        <v>2118242</v>
      </c>
      <c r="H12" s="299" t="s">
        <v>476</v>
      </c>
      <c r="I12" s="299" t="s">
        <v>131</v>
      </c>
      <c r="N12" s="152"/>
    </row>
    <row r="13" spans="1:14" x14ac:dyDescent="0.25">
      <c r="A13" s="298">
        <v>40352</v>
      </c>
      <c r="B13" s="299">
        <v>6</v>
      </c>
      <c r="C13" s="299">
        <v>135</v>
      </c>
      <c r="D13" s="299">
        <v>15211</v>
      </c>
      <c r="E13" s="299" t="s">
        <v>117</v>
      </c>
      <c r="F13" s="300">
        <v>2118242</v>
      </c>
      <c r="G13" s="300">
        <v>2118242</v>
      </c>
      <c r="H13" s="299" t="s">
        <v>477</v>
      </c>
      <c r="I13" s="299" t="s">
        <v>131</v>
      </c>
      <c r="N13" s="152"/>
    </row>
    <row r="14" spans="1:14" x14ac:dyDescent="0.25">
      <c r="A14" s="298">
        <v>40505</v>
      </c>
      <c r="B14" s="299">
        <v>11</v>
      </c>
      <c r="C14" s="299">
        <v>135</v>
      </c>
      <c r="D14" s="299">
        <v>15211</v>
      </c>
      <c r="E14" s="299" t="s">
        <v>117</v>
      </c>
      <c r="F14" s="300">
        <v>52520</v>
      </c>
      <c r="G14" s="300">
        <v>52520</v>
      </c>
      <c r="H14" s="299" t="s">
        <v>478</v>
      </c>
      <c r="I14" s="299" t="s">
        <v>131</v>
      </c>
      <c r="N14" s="152"/>
    </row>
    <row r="15" spans="1:14" x14ac:dyDescent="0.25">
      <c r="A15" s="298">
        <v>40505</v>
      </c>
      <c r="B15" s="299">
        <v>11</v>
      </c>
      <c r="C15" s="299">
        <v>135</v>
      </c>
      <c r="D15" s="299">
        <v>15211</v>
      </c>
      <c r="E15" s="299" t="s">
        <v>117</v>
      </c>
      <c r="F15" s="300">
        <v>51950</v>
      </c>
      <c r="G15" s="300">
        <v>51950</v>
      </c>
      <c r="H15" s="299" t="s">
        <v>479</v>
      </c>
      <c r="I15" s="299" t="s">
        <v>131</v>
      </c>
      <c r="N15" s="152"/>
    </row>
    <row r="16" spans="1:14" x14ac:dyDescent="0.25">
      <c r="A16" s="298">
        <v>40527</v>
      </c>
      <c r="B16" s="299">
        <v>12</v>
      </c>
      <c r="C16" s="299">
        <v>135</v>
      </c>
      <c r="D16" s="299">
        <v>15211</v>
      </c>
      <c r="E16" s="299" t="s">
        <v>117</v>
      </c>
      <c r="F16" s="300">
        <v>391520</v>
      </c>
      <c r="G16" s="300">
        <v>391520</v>
      </c>
      <c r="H16" s="299" t="s">
        <v>480</v>
      </c>
      <c r="I16" s="299" t="s">
        <v>131</v>
      </c>
      <c r="N16" s="152"/>
    </row>
    <row r="17" spans="1:14" x14ac:dyDescent="0.25">
      <c r="A17" s="298">
        <v>40533</v>
      </c>
      <c r="B17" s="299">
        <v>12</v>
      </c>
      <c r="C17" s="299">
        <v>135</v>
      </c>
      <c r="D17" s="299">
        <v>15318</v>
      </c>
      <c r="E17" s="299" t="s">
        <v>117</v>
      </c>
      <c r="F17" s="300">
        <v>1225147</v>
      </c>
      <c r="G17" s="300">
        <v>1225147</v>
      </c>
      <c r="H17" s="299" t="s">
        <v>481</v>
      </c>
      <c r="I17" s="299" t="s">
        <v>131</v>
      </c>
      <c r="N17" s="152"/>
    </row>
    <row r="18" spans="1:14" x14ac:dyDescent="0.25">
      <c r="A18" s="298">
        <v>40541</v>
      </c>
      <c r="B18" s="299">
        <v>12</v>
      </c>
      <c r="C18" s="299">
        <v>135</v>
      </c>
      <c r="D18" s="299">
        <v>15211</v>
      </c>
      <c r="E18" s="299" t="s">
        <v>117</v>
      </c>
      <c r="F18" s="300">
        <v>59500</v>
      </c>
      <c r="G18" s="300">
        <v>59500</v>
      </c>
      <c r="H18" s="299" t="s">
        <v>482</v>
      </c>
      <c r="I18" s="299" t="s">
        <v>131</v>
      </c>
      <c r="N18" s="152"/>
    </row>
    <row r="19" spans="1:14" s="288" customFormat="1" ht="14.3" x14ac:dyDescent="0.25">
      <c r="E19" s="288" t="s">
        <v>483</v>
      </c>
      <c r="F19" s="301">
        <f>SUM(F9:F18)</f>
        <v>8417121</v>
      </c>
      <c r="G19" s="301">
        <f>SUM(G9:G18)</f>
        <v>8417121</v>
      </c>
      <c r="H19" s="301"/>
    </row>
    <row r="20" spans="1:14" x14ac:dyDescent="0.25">
      <c r="E20" s="296" t="s">
        <v>484</v>
      </c>
      <c r="F20" s="297">
        <f>+F8+F19</f>
        <v>10972676</v>
      </c>
      <c r="G20" s="297">
        <f>+G8+G19</f>
        <v>10972676</v>
      </c>
    </row>
    <row r="21" spans="1:14" x14ac:dyDescent="0.25">
      <c r="A21" s="302">
        <v>40575</v>
      </c>
      <c r="B21" s="303">
        <v>2</v>
      </c>
      <c r="C21" s="303">
        <v>135</v>
      </c>
      <c r="D21" s="303">
        <v>15311</v>
      </c>
      <c r="E21" s="303" t="s">
        <v>121</v>
      </c>
      <c r="F21" s="304">
        <v>971114</v>
      </c>
      <c r="G21" s="304">
        <v>971114</v>
      </c>
      <c r="H21" s="303" t="s">
        <v>485</v>
      </c>
      <c r="I21" s="303" t="s">
        <v>131</v>
      </c>
    </row>
    <row r="22" spans="1:14" x14ac:dyDescent="0.25">
      <c r="A22" s="302">
        <v>40653</v>
      </c>
      <c r="B22" s="303">
        <v>4</v>
      </c>
      <c r="C22" s="303">
        <v>135</v>
      </c>
      <c r="D22" s="303">
        <v>15317</v>
      </c>
      <c r="E22" s="303" t="s">
        <v>122</v>
      </c>
      <c r="F22" s="304">
        <v>3493877</v>
      </c>
      <c r="G22" s="304">
        <v>3493877</v>
      </c>
      <c r="H22" s="303" t="s">
        <v>486</v>
      </c>
      <c r="I22" s="303" t="s">
        <v>131</v>
      </c>
    </row>
    <row r="23" spans="1:14" x14ac:dyDescent="0.25">
      <c r="A23" s="302">
        <v>40673</v>
      </c>
      <c r="B23" s="303">
        <v>5</v>
      </c>
      <c r="C23" s="303">
        <v>135</v>
      </c>
      <c r="D23" s="303">
        <v>16916</v>
      </c>
      <c r="E23" s="303" t="s">
        <v>123</v>
      </c>
      <c r="F23" s="304">
        <v>1666000</v>
      </c>
      <c r="G23" s="304">
        <v>1666000</v>
      </c>
      <c r="H23" s="303" t="s">
        <v>487</v>
      </c>
      <c r="I23" s="303" t="s">
        <v>131</v>
      </c>
    </row>
    <row r="24" spans="1:14" x14ac:dyDescent="0.25">
      <c r="E24" s="288" t="s">
        <v>488</v>
      </c>
      <c r="F24" s="301">
        <f>SUM(F21:F23)</f>
        <v>6130991</v>
      </c>
      <c r="G24" s="301">
        <f>SUM(G21:G23)</f>
        <v>6130991</v>
      </c>
      <c r="H24" s="289"/>
    </row>
    <row r="25" spans="1:14" x14ac:dyDescent="0.25">
      <c r="E25" s="296" t="s">
        <v>489</v>
      </c>
      <c r="F25" s="297">
        <f>+F20+F24</f>
        <v>17103667</v>
      </c>
      <c r="G25" s="297">
        <f>+G20+G24</f>
        <v>17103667</v>
      </c>
    </row>
    <row r="26" spans="1:14" x14ac:dyDescent="0.25">
      <c r="A26" s="305">
        <v>42935</v>
      </c>
      <c r="B26" s="306">
        <v>7</v>
      </c>
      <c r="C26" s="306">
        <v>136</v>
      </c>
      <c r="D26" s="306"/>
      <c r="E26" s="306" t="s">
        <v>336</v>
      </c>
      <c r="F26" s="307">
        <v>826618</v>
      </c>
      <c r="G26" s="307">
        <v>826618</v>
      </c>
      <c r="H26" s="306" t="s">
        <v>490</v>
      </c>
      <c r="I26" s="306" t="s">
        <v>131</v>
      </c>
    </row>
    <row r="27" spans="1:14" x14ac:dyDescent="0.25">
      <c r="A27" s="305">
        <v>42970</v>
      </c>
      <c r="B27" s="306">
        <v>8</v>
      </c>
      <c r="C27" s="306">
        <v>136</v>
      </c>
      <c r="D27" s="306"/>
      <c r="E27" s="306" t="s">
        <v>336</v>
      </c>
      <c r="F27" s="307">
        <v>1649034</v>
      </c>
      <c r="G27" s="307">
        <v>1649034</v>
      </c>
      <c r="H27" s="306" t="s">
        <v>490</v>
      </c>
      <c r="I27" s="306" t="s">
        <v>131</v>
      </c>
    </row>
    <row r="28" spans="1:14" x14ac:dyDescent="0.25">
      <c r="A28" s="305">
        <v>42991</v>
      </c>
      <c r="B28" s="306">
        <v>9</v>
      </c>
      <c r="C28" s="306">
        <v>136</v>
      </c>
      <c r="D28" s="306"/>
      <c r="E28" s="306" t="s">
        <v>336</v>
      </c>
      <c r="F28" s="307">
        <v>1649454</v>
      </c>
      <c r="G28" s="307">
        <v>1649454</v>
      </c>
      <c r="H28" s="306" t="s">
        <v>490</v>
      </c>
      <c r="I28" s="306" t="s">
        <v>131</v>
      </c>
    </row>
    <row r="29" spans="1:14" x14ac:dyDescent="0.25">
      <c r="A29" s="305">
        <v>43019</v>
      </c>
      <c r="B29" s="306">
        <v>10</v>
      </c>
      <c r="C29" s="306">
        <v>136</v>
      </c>
      <c r="D29" s="306"/>
      <c r="E29" s="306" t="s">
        <v>336</v>
      </c>
      <c r="F29" s="307">
        <v>1652391</v>
      </c>
      <c r="G29" s="307">
        <v>1652391</v>
      </c>
      <c r="H29" s="306" t="s">
        <v>490</v>
      </c>
      <c r="I29" s="306" t="s">
        <v>131</v>
      </c>
    </row>
    <row r="30" spans="1:14" x14ac:dyDescent="0.25">
      <c r="A30" s="305">
        <v>43060</v>
      </c>
      <c r="B30" s="306">
        <v>11</v>
      </c>
      <c r="C30" s="306">
        <v>136</v>
      </c>
      <c r="D30" s="306"/>
      <c r="E30" s="306" t="s">
        <v>336</v>
      </c>
      <c r="F30" s="307">
        <v>8318519</v>
      </c>
      <c r="G30" s="307">
        <v>8318519</v>
      </c>
      <c r="H30" s="306" t="s">
        <v>491</v>
      </c>
      <c r="I30" s="306" t="s">
        <v>131</v>
      </c>
    </row>
    <row r="31" spans="1:14" x14ac:dyDescent="0.25">
      <c r="A31" s="305">
        <v>43081</v>
      </c>
      <c r="B31" s="306">
        <v>12</v>
      </c>
      <c r="C31" s="306">
        <v>136</v>
      </c>
      <c r="D31" s="306"/>
      <c r="E31" s="306" t="s">
        <v>336</v>
      </c>
      <c r="F31" s="307">
        <v>1657329</v>
      </c>
      <c r="G31" s="307">
        <v>1657329</v>
      </c>
      <c r="H31" s="306" t="s">
        <v>492</v>
      </c>
      <c r="I31" s="306" t="s">
        <v>131</v>
      </c>
    </row>
    <row r="32" spans="1:14" x14ac:dyDescent="0.25">
      <c r="E32" s="288" t="s">
        <v>493</v>
      </c>
      <c r="F32" s="301">
        <f>SUM(F26:F31)</f>
        <v>15753345</v>
      </c>
      <c r="G32" s="301">
        <f>SUM(G26:G31)</f>
        <v>15753345</v>
      </c>
    </row>
    <row r="33" spans="1:9" x14ac:dyDescent="0.25">
      <c r="E33" s="296" t="s">
        <v>494</v>
      </c>
      <c r="F33" s="297">
        <f>+F25+F32</f>
        <v>32857012</v>
      </c>
      <c r="G33" s="297">
        <f>+G25+G32</f>
        <v>32857012</v>
      </c>
    </row>
    <row r="34" spans="1:9" x14ac:dyDescent="0.25">
      <c r="A34" s="308">
        <v>43118</v>
      </c>
      <c r="B34" s="309">
        <v>1</v>
      </c>
      <c r="C34" s="309">
        <v>136</v>
      </c>
      <c r="D34" s="309"/>
      <c r="E34" s="309" t="s">
        <v>336</v>
      </c>
      <c r="F34" s="310">
        <v>830689</v>
      </c>
      <c r="G34" s="310">
        <v>830689</v>
      </c>
      <c r="H34" s="309" t="s">
        <v>495</v>
      </c>
      <c r="I34" s="309" t="s">
        <v>131</v>
      </c>
    </row>
    <row r="35" spans="1:9" x14ac:dyDescent="0.25">
      <c r="A35" s="308">
        <v>43172</v>
      </c>
      <c r="B35" s="309">
        <v>3</v>
      </c>
      <c r="C35" s="309">
        <v>136</v>
      </c>
      <c r="D35" s="309"/>
      <c r="E35" s="309" t="s">
        <v>336</v>
      </c>
      <c r="F35" s="310">
        <v>1651364</v>
      </c>
      <c r="G35" s="310">
        <v>1651364</v>
      </c>
      <c r="H35" s="309" t="s">
        <v>496</v>
      </c>
      <c r="I35" s="309" t="s">
        <v>131</v>
      </c>
    </row>
    <row r="36" spans="1:9" x14ac:dyDescent="0.25">
      <c r="A36" s="308">
        <v>43165</v>
      </c>
      <c r="B36" s="309">
        <v>3</v>
      </c>
      <c r="C36" s="309">
        <v>136</v>
      </c>
      <c r="D36" s="309"/>
      <c r="E36" s="309" t="s">
        <v>336</v>
      </c>
      <c r="F36" s="310">
        <v>6277441</v>
      </c>
      <c r="G36" s="310">
        <v>6277441</v>
      </c>
      <c r="H36" s="309" t="s">
        <v>497</v>
      </c>
      <c r="I36" s="309" t="s">
        <v>131</v>
      </c>
    </row>
    <row r="37" spans="1:9" x14ac:dyDescent="0.25">
      <c r="A37" s="308">
        <v>43165</v>
      </c>
      <c r="B37" s="309">
        <v>3</v>
      </c>
      <c r="C37" s="309">
        <v>136</v>
      </c>
      <c r="D37" s="309"/>
      <c r="E37" s="309" t="s">
        <v>336</v>
      </c>
      <c r="F37" s="310">
        <v>542389</v>
      </c>
      <c r="G37" s="310">
        <v>542389</v>
      </c>
      <c r="H37" s="309" t="s">
        <v>498</v>
      </c>
      <c r="I37" s="309" t="s">
        <v>131</v>
      </c>
    </row>
    <row r="38" spans="1:9" x14ac:dyDescent="0.25">
      <c r="A38" s="308">
        <v>43165</v>
      </c>
      <c r="B38" s="309">
        <v>3</v>
      </c>
      <c r="C38" s="309">
        <v>136</v>
      </c>
      <c r="D38" s="309"/>
      <c r="E38" s="309" t="s">
        <v>336</v>
      </c>
      <c r="F38" s="310">
        <v>1876536</v>
      </c>
      <c r="G38" s="310">
        <v>1876536</v>
      </c>
      <c r="H38" s="309" t="s">
        <v>499</v>
      </c>
      <c r="I38" s="309" t="s">
        <v>131</v>
      </c>
    </row>
    <row r="39" spans="1:9" x14ac:dyDescent="0.25">
      <c r="A39" s="308">
        <v>43165</v>
      </c>
      <c r="B39" s="309">
        <v>3</v>
      </c>
      <c r="C39" s="309">
        <v>136</v>
      </c>
      <c r="D39" s="309"/>
      <c r="E39" s="309" t="s">
        <v>336</v>
      </c>
      <c r="F39" s="310">
        <v>2005083</v>
      </c>
      <c r="G39" s="310">
        <v>2005083</v>
      </c>
      <c r="H39" s="309" t="s">
        <v>500</v>
      </c>
      <c r="I39" s="309" t="s">
        <v>131</v>
      </c>
    </row>
    <row r="40" spans="1:9" x14ac:dyDescent="0.25">
      <c r="A40" s="308">
        <v>43165</v>
      </c>
      <c r="B40" s="309">
        <v>3</v>
      </c>
      <c r="C40" s="309">
        <v>136</v>
      </c>
      <c r="D40" s="309"/>
      <c r="E40" s="309" t="s">
        <v>336</v>
      </c>
      <c r="F40" s="310">
        <v>729121</v>
      </c>
      <c r="G40" s="310">
        <v>729121</v>
      </c>
      <c r="H40" s="309" t="s">
        <v>501</v>
      </c>
      <c r="I40" s="309" t="s">
        <v>131</v>
      </c>
    </row>
    <row r="41" spans="1:9" x14ac:dyDescent="0.25">
      <c r="A41" s="308">
        <v>43165</v>
      </c>
      <c r="B41" s="309">
        <v>3</v>
      </c>
      <c r="C41" s="309">
        <v>136</v>
      </c>
      <c r="D41" s="309"/>
      <c r="E41" s="309" t="s">
        <v>336</v>
      </c>
      <c r="F41" s="310">
        <v>308199</v>
      </c>
      <c r="G41" s="310">
        <v>308199</v>
      </c>
      <c r="H41" s="309" t="s">
        <v>502</v>
      </c>
      <c r="I41" s="309" t="s">
        <v>131</v>
      </c>
    </row>
    <row r="42" spans="1:9" x14ac:dyDescent="0.25">
      <c r="A42" s="308">
        <v>43165</v>
      </c>
      <c r="B42" s="309">
        <v>3</v>
      </c>
      <c r="C42" s="309">
        <v>136</v>
      </c>
      <c r="D42" s="309"/>
      <c r="E42" s="309" t="s">
        <v>336</v>
      </c>
      <c r="F42" s="310">
        <v>767212</v>
      </c>
      <c r="G42" s="310">
        <v>767212</v>
      </c>
      <c r="H42" s="309" t="s">
        <v>503</v>
      </c>
      <c r="I42" s="309" t="s">
        <v>131</v>
      </c>
    </row>
    <row r="43" spans="1:9" x14ac:dyDescent="0.25">
      <c r="A43" s="308">
        <v>43165</v>
      </c>
      <c r="B43" s="309">
        <v>3</v>
      </c>
      <c r="C43" s="309">
        <v>136</v>
      </c>
      <c r="D43" s="309"/>
      <c r="E43" s="309" t="s">
        <v>336</v>
      </c>
      <c r="F43" s="310">
        <v>460750</v>
      </c>
      <c r="G43" s="310">
        <v>460750</v>
      </c>
      <c r="H43" s="309" t="s">
        <v>504</v>
      </c>
      <c r="I43" s="309" t="s">
        <v>131</v>
      </c>
    </row>
    <row r="44" spans="1:9" x14ac:dyDescent="0.25">
      <c r="A44" s="308">
        <v>43222</v>
      </c>
      <c r="B44" s="309">
        <v>5</v>
      </c>
      <c r="C44" s="309">
        <v>136</v>
      </c>
      <c r="D44" s="309"/>
      <c r="E44" s="309" t="s">
        <v>336</v>
      </c>
      <c r="F44" s="310">
        <v>347873</v>
      </c>
      <c r="G44" s="310">
        <v>347873</v>
      </c>
      <c r="H44" s="309" t="s">
        <v>505</v>
      </c>
      <c r="I44" s="309" t="s">
        <v>131</v>
      </c>
    </row>
    <row r="45" spans="1:9" x14ac:dyDescent="0.25">
      <c r="A45" s="308">
        <v>43245</v>
      </c>
      <c r="B45" s="309">
        <v>5</v>
      </c>
      <c r="C45" s="309">
        <v>136</v>
      </c>
      <c r="D45" s="309"/>
      <c r="E45" s="309" t="s">
        <v>336</v>
      </c>
      <c r="F45" s="310">
        <v>3101399</v>
      </c>
      <c r="G45" s="310">
        <v>3101399</v>
      </c>
      <c r="H45" s="309" t="s">
        <v>506</v>
      </c>
      <c r="I45" s="309" t="s">
        <v>131</v>
      </c>
    </row>
    <row r="46" spans="1:9" x14ac:dyDescent="0.25">
      <c r="A46" s="308">
        <v>43230</v>
      </c>
      <c r="B46" s="309">
        <v>5</v>
      </c>
      <c r="C46" s="309">
        <v>136</v>
      </c>
      <c r="D46" s="309"/>
      <c r="E46" s="309" t="s">
        <v>336</v>
      </c>
      <c r="F46" s="310">
        <v>123399</v>
      </c>
      <c r="G46" s="310">
        <v>123399</v>
      </c>
      <c r="H46" s="309" t="s">
        <v>507</v>
      </c>
      <c r="I46" s="309" t="s">
        <v>131</v>
      </c>
    </row>
    <row r="47" spans="1:9" x14ac:dyDescent="0.25">
      <c r="A47" s="308">
        <v>43263</v>
      </c>
      <c r="B47" s="309">
        <v>6</v>
      </c>
      <c r="C47" s="309">
        <v>136</v>
      </c>
      <c r="D47" s="309"/>
      <c r="E47" s="309" t="s">
        <v>336</v>
      </c>
      <c r="F47" s="310">
        <v>4304203</v>
      </c>
      <c r="G47" s="310">
        <v>4304203</v>
      </c>
      <c r="H47" s="309" t="s">
        <v>508</v>
      </c>
      <c r="I47" s="309" t="s">
        <v>131</v>
      </c>
    </row>
    <row r="48" spans="1:9" x14ac:dyDescent="0.25">
      <c r="A48" s="308">
        <v>43264</v>
      </c>
      <c r="B48" s="309">
        <v>6</v>
      </c>
      <c r="C48" s="309">
        <v>136</v>
      </c>
      <c r="D48" s="309"/>
      <c r="E48" s="309" t="s">
        <v>336</v>
      </c>
      <c r="F48" s="310">
        <v>1512843</v>
      </c>
      <c r="G48" s="310">
        <v>1512843</v>
      </c>
      <c r="H48" s="309" t="s">
        <v>508</v>
      </c>
      <c r="I48" s="309" t="s">
        <v>131</v>
      </c>
    </row>
    <row r="49" spans="1:11" x14ac:dyDescent="0.25">
      <c r="A49" s="308">
        <v>43271</v>
      </c>
      <c r="B49" s="309">
        <v>6</v>
      </c>
      <c r="C49" s="309">
        <v>136</v>
      </c>
      <c r="D49" s="309"/>
      <c r="E49" s="309" t="s">
        <v>336</v>
      </c>
      <c r="F49" s="310">
        <v>14924321</v>
      </c>
      <c r="G49" s="310">
        <v>14924321</v>
      </c>
      <c r="H49" s="309" t="s">
        <v>642</v>
      </c>
      <c r="I49" s="309" t="s">
        <v>131</v>
      </c>
      <c r="K49" t="s">
        <v>625</v>
      </c>
    </row>
    <row r="50" spans="1:11" x14ac:dyDescent="0.25">
      <c r="A50" s="308">
        <v>43271</v>
      </c>
      <c r="B50" s="309">
        <v>6</v>
      </c>
      <c r="C50" s="309">
        <v>136</v>
      </c>
      <c r="D50" s="309"/>
      <c r="E50" s="309" t="s">
        <v>336</v>
      </c>
      <c r="F50" s="310">
        <v>590321</v>
      </c>
      <c r="G50" s="310">
        <v>590321</v>
      </c>
      <c r="H50" s="309" t="s">
        <v>508</v>
      </c>
      <c r="I50" s="309" t="s">
        <v>131</v>
      </c>
    </row>
    <row r="51" spans="1:11" x14ac:dyDescent="0.25">
      <c r="A51" s="308">
        <v>43281</v>
      </c>
      <c r="B51" s="309">
        <v>6</v>
      </c>
      <c r="C51" s="309">
        <v>136</v>
      </c>
      <c r="D51" s="309"/>
      <c r="E51" s="309" t="s">
        <v>336</v>
      </c>
      <c r="F51" s="310">
        <v>299788</v>
      </c>
      <c r="G51" s="310">
        <v>299788</v>
      </c>
      <c r="H51" s="309" t="s">
        <v>509</v>
      </c>
      <c r="I51" s="309" t="s">
        <v>131</v>
      </c>
    </row>
    <row r="52" spans="1:11" x14ac:dyDescent="0.25">
      <c r="A52" s="152"/>
      <c r="E52" s="288" t="s">
        <v>510</v>
      </c>
      <c r="F52" s="301">
        <f>SUM(F34:F51)</f>
        <v>40652931</v>
      </c>
      <c r="G52" s="301">
        <f>SUM(G34:G51)</f>
        <v>40652931</v>
      </c>
    </row>
    <row r="53" spans="1:11" x14ac:dyDescent="0.25">
      <c r="A53" s="311" t="s">
        <v>511</v>
      </c>
      <c r="B53" s="312"/>
      <c r="C53" s="312"/>
      <c r="D53" s="312"/>
      <c r="E53" s="313" t="s">
        <v>512</v>
      </c>
      <c r="F53" s="314">
        <f>+F33+F52</f>
        <v>73509943</v>
      </c>
      <c r="G53" s="314">
        <f>+G33+G52</f>
        <v>73509943</v>
      </c>
      <c r="H53" s="312"/>
      <c r="I53" s="312"/>
    </row>
    <row r="54" spans="1:11" x14ac:dyDescent="0.25">
      <c r="A54" s="152"/>
    </row>
    <row r="55" spans="1:11" x14ac:dyDescent="0.25">
      <c r="A55" s="152">
        <v>43285</v>
      </c>
      <c r="B55">
        <v>7</v>
      </c>
      <c r="C55">
        <v>136</v>
      </c>
      <c r="E55" t="s">
        <v>336</v>
      </c>
      <c r="F55" s="289">
        <v>722222</v>
      </c>
      <c r="G55" s="289">
        <v>722222</v>
      </c>
      <c r="H55" t="s">
        <v>513</v>
      </c>
      <c r="I55" t="s">
        <v>131</v>
      </c>
    </row>
    <row r="56" spans="1:11" x14ac:dyDescent="0.25">
      <c r="A56" s="152">
        <v>43298</v>
      </c>
      <c r="B56">
        <v>7</v>
      </c>
      <c r="C56">
        <v>136</v>
      </c>
      <c r="E56" t="s">
        <v>336</v>
      </c>
      <c r="F56" s="289">
        <v>550784</v>
      </c>
      <c r="G56" s="289">
        <v>550784</v>
      </c>
      <c r="H56" t="s">
        <v>514</v>
      </c>
      <c r="I56" t="s">
        <v>131</v>
      </c>
    </row>
    <row r="57" spans="1:11" x14ac:dyDescent="0.25">
      <c r="A57" s="152">
        <v>43305</v>
      </c>
      <c r="B57">
        <v>7</v>
      </c>
      <c r="C57">
        <v>135</v>
      </c>
      <c r="E57" t="s">
        <v>117</v>
      </c>
      <c r="F57" s="289">
        <v>544444</v>
      </c>
      <c r="G57" s="289">
        <v>544444</v>
      </c>
      <c r="H57" t="s">
        <v>515</v>
      </c>
      <c r="I57" t="s">
        <v>131</v>
      </c>
    </row>
    <row r="58" spans="1:11" x14ac:dyDescent="0.25">
      <c r="A58" s="152">
        <v>43305</v>
      </c>
      <c r="B58">
        <v>7</v>
      </c>
      <c r="C58">
        <v>136</v>
      </c>
      <c r="E58" t="s">
        <v>336</v>
      </c>
      <c r="F58" s="289">
        <v>369243</v>
      </c>
      <c r="G58" s="289">
        <v>369243</v>
      </c>
      <c r="H58" t="s">
        <v>516</v>
      </c>
      <c r="I58" t="s">
        <v>131</v>
      </c>
    </row>
    <row r="59" spans="1:11" x14ac:dyDescent="0.25">
      <c r="A59" s="152">
        <v>43312</v>
      </c>
      <c r="B59">
        <v>7</v>
      </c>
      <c r="C59">
        <v>136</v>
      </c>
      <c r="E59" t="s">
        <v>336</v>
      </c>
      <c r="F59" s="289">
        <v>1207245</v>
      </c>
      <c r="G59" s="289">
        <v>1207245</v>
      </c>
      <c r="H59" t="s">
        <v>509</v>
      </c>
      <c r="I59" t="s">
        <v>131</v>
      </c>
    </row>
    <row r="60" spans="1:11" x14ac:dyDescent="0.25">
      <c r="A60" s="152">
        <v>43313</v>
      </c>
      <c r="B60">
        <v>8</v>
      </c>
      <c r="C60">
        <v>136</v>
      </c>
      <c r="E60" t="s">
        <v>336</v>
      </c>
      <c r="F60" s="289">
        <v>4242492</v>
      </c>
      <c r="G60" s="289">
        <v>4242492</v>
      </c>
      <c r="H60" t="s">
        <v>517</v>
      </c>
      <c r="I60" t="s">
        <v>131</v>
      </c>
    </row>
    <row r="61" spans="1:11" x14ac:dyDescent="0.25">
      <c r="A61" s="152">
        <v>43313</v>
      </c>
      <c r="B61">
        <v>8</v>
      </c>
      <c r="C61">
        <v>136</v>
      </c>
      <c r="E61" t="s">
        <v>336</v>
      </c>
      <c r="F61" s="289">
        <v>3384806</v>
      </c>
      <c r="G61" s="289">
        <v>3384806</v>
      </c>
      <c r="H61" t="s">
        <v>518</v>
      </c>
      <c r="I61" t="s">
        <v>131</v>
      </c>
    </row>
    <row r="62" spans="1:11" x14ac:dyDescent="0.25">
      <c r="A62" s="152">
        <v>43335</v>
      </c>
      <c r="B62">
        <v>8</v>
      </c>
      <c r="C62">
        <v>135</v>
      </c>
      <c r="E62" t="s">
        <v>117</v>
      </c>
      <c r="F62" s="289">
        <v>544444</v>
      </c>
      <c r="G62" s="289">
        <v>544444</v>
      </c>
      <c r="H62" t="s">
        <v>519</v>
      </c>
      <c r="I62" t="s">
        <v>131</v>
      </c>
    </row>
    <row r="63" spans="1:11" x14ac:dyDescent="0.25">
      <c r="A63" s="152">
        <v>43355</v>
      </c>
      <c r="B63">
        <v>9</v>
      </c>
      <c r="C63">
        <v>136</v>
      </c>
      <c r="E63" t="s">
        <v>336</v>
      </c>
      <c r="F63" s="289">
        <v>28560</v>
      </c>
      <c r="G63" s="289">
        <v>28560</v>
      </c>
      <c r="H63" t="s">
        <v>520</v>
      </c>
      <c r="I63" t="s">
        <v>131</v>
      </c>
    </row>
    <row r="64" spans="1:11" x14ac:dyDescent="0.25">
      <c r="A64" s="152">
        <v>43381</v>
      </c>
      <c r="B64">
        <v>10</v>
      </c>
      <c r="C64">
        <v>136</v>
      </c>
      <c r="E64" t="s">
        <v>336</v>
      </c>
      <c r="F64" s="289">
        <v>6767316</v>
      </c>
      <c r="G64" s="289">
        <v>6767316</v>
      </c>
      <c r="H64" t="s">
        <v>521</v>
      </c>
      <c r="I64" t="s">
        <v>131</v>
      </c>
    </row>
    <row r="65" spans="1:9" x14ac:dyDescent="0.25">
      <c r="A65" s="152">
        <v>43381</v>
      </c>
      <c r="B65">
        <v>10</v>
      </c>
      <c r="C65">
        <v>136</v>
      </c>
      <c r="E65" t="s">
        <v>336</v>
      </c>
      <c r="F65" s="289">
        <v>3001633</v>
      </c>
      <c r="G65" s="289">
        <v>3001633</v>
      </c>
      <c r="H65" t="s">
        <v>522</v>
      </c>
      <c r="I65" t="s">
        <v>131</v>
      </c>
    </row>
    <row r="66" spans="1:9" x14ac:dyDescent="0.25">
      <c r="A66" s="152">
        <v>43381</v>
      </c>
      <c r="B66">
        <v>10</v>
      </c>
      <c r="C66">
        <v>136</v>
      </c>
      <c r="E66" t="s">
        <v>336</v>
      </c>
      <c r="F66" s="289">
        <v>154545</v>
      </c>
      <c r="G66" s="289">
        <v>154545</v>
      </c>
      <c r="H66" t="s">
        <v>523</v>
      </c>
      <c r="I66" t="s">
        <v>131</v>
      </c>
    </row>
    <row r="67" spans="1:9" x14ac:dyDescent="0.25">
      <c r="A67" s="152">
        <v>43390</v>
      </c>
      <c r="B67">
        <v>10</v>
      </c>
      <c r="C67">
        <v>136</v>
      </c>
      <c r="E67" t="s">
        <v>336</v>
      </c>
      <c r="F67" s="289">
        <v>5959071</v>
      </c>
      <c r="G67" s="289">
        <v>5959071</v>
      </c>
      <c r="H67" t="s">
        <v>524</v>
      </c>
      <c r="I67" t="s">
        <v>131</v>
      </c>
    </row>
    <row r="68" spans="1:9" x14ac:dyDescent="0.25">
      <c r="A68" s="152">
        <v>43461</v>
      </c>
      <c r="B68">
        <v>12</v>
      </c>
      <c r="C68">
        <v>136</v>
      </c>
      <c r="E68" t="s">
        <v>336</v>
      </c>
      <c r="F68" s="289">
        <v>7004850</v>
      </c>
      <c r="G68" s="289">
        <v>7004850</v>
      </c>
      <c r="H68" t="s">
        <v>525</v>
      </c>
      <c r="I68" t="s">
        <v>131</v>
      </c>
    </row>
    <row r="69" spans="1:9" x14ac:dyDescent="0.25">
      <c r="E69" s="288" t="s">
        <v>526</v>
      </c>
      <c r="F69" s="301">
        <f>SUM(F55:F68)</f>
        <v>34481655</v>
      </c>
      <c r="G69" s="301">
        <f>SUM(G55:G68)</f>
        <v>34481655</v>
      </c>
    </row>
    <row r="70" spans="1:9" x14ac:dyDescent="0.25">
      <c r="E70" s="288" t="s">
        <v>527</v>
      </c>
      <c r="F70" s="301">
        <f>+F52+F69</f>
        <v>75134586</v>
      </c>
      <c r="G70" s="301">
        <f>+G52+G69</f>
        <v>75134586</v>
      </c>
    </row>
    <row r="71" spans="1:9" x14ac:dyDescent="0.25">
      <c r="E71" s="296" t="s">
        <v>528</v>
      </c>
      <c r="F71" s="297">
        <f>+F70+F33</f>
        <v>107991598</v>
      </c>
      <c r="G71" s="297">
        <f>+G70+G33</f>
        <v>107991598</v>
      </c>
    </row>
    <row r="72" spans="1:9" x14ac:dyDescent="0.25">
      <c r="A72" s="152">
        <v>43644</v>
      </c>
      <c r="B72">
        <v>6</v>
      </c>
      <c r="C72">
        <v>136</v>
      </c>
      <c r="E72" t="s">
        <v>336</v>
      </c>
      <c r="F72" s="289">
        <v>9722862</v>
      </c>
      <c r="G72" s="289">
        <v>9722862</v>
      </c>
      <c r="H72" t="s">
        <v>454</v>
      </c>
      <c r="I72" t="s">
        <v>131</v>
      </c>
    </row>
    <row r="73" spans="1:9" x14ac:dyDescent="0.25">
      <c r="A73" s="152">
        <v>43657</v>
      </c>
      <c r="B73" s="209">
        <v>7</v>
      </c>
      <c r="C73">
        <v>136</v>
      </c>
      <c r="E73" s="209" t="str">
        <f>VLOOKUP(C73,Plan!A:B,2,0)</f>
        <v>Obras en Construcción</v>
      </c>
      <c r="F73" s="289">
        <v>4125905</v>
      </c>
      <c r="G73" s="289">
        <v>4125905</v>
      </c>
      <c r="H73" t="s">
        <v>455</v>
      </c>
      <c r="I73" t="s">
        <v>131</v>
      </c>
    </row>
    <row r="74" spans="1:9" x14ac:dyDescent="0.25">
      <c r="A74" s="152">
        <v>43671</v>
      </c>
      <c r="B74">
        <v>7</v>
      </c>
      <c r="C74">
        <v>136</v>
      </c>
      <c r="E74" t="s">
        <v>336</v>
      </c>
      <c r="F74" s="289">
        <v>5265192</v>
      </c>
      <c r="G74" s="289">
        <v>5265192</v>
      </c>
      <c r="H74" t="s">
        <v>456</v>
      </c>
      <c r="I74" t="s">
        <v>131</v>
      </c>
    </row>
    <row r="75" spans="1:9" x14ac:dyDescent="0.25">
      <c r="A75" s="152">
        <v>43671</v>
      </c>
      <c r="B75">
        <v>7</v>
      </c>
      <c r="C75">
        <v>136</v>
      </c>
      <c r="E75" t="s">
        <v>336</v>
      </c>
      <c r="F75" s="289">
        <v>3038646</v>
      </c>
      <c r="G75" s="289">
        <v>3038646</v>
      </c>
      <c r="H75" t="s">
        <v>457</v>
      </c>
      <c r="I75" t="s">
        <v>131</v>
      </c>
    </row>
    <row r="76" spans="1:9" x14ac:dyDescent="0.25">
      <c r="A76" s="152">
        <v>43683</v>
      </c>
      <c r="B76">
        <v>8</v>
      </c>
      <c r="C76">
        <v>136</v>
      </c>
      <c r="E76" t="s">
        <v>336</v>
      </c>
      <c r="F76" s="289">
        <v>4125905</v>
      </c>
      <c r="G76" s="289">
        <v>4125905</v>
      </c>
      <c r="H76" t="s">
        <v>458</v>
      </c>
      <c r="I76" t="s">
        <v>131</v>
      </c>
    </row>
    <row r="77" spans="1:9" x14ac:dyDescent="0.25">
      <c r="A77" s="152">
        <v>43699</v>
      </c>
      <c r="B77">
        <v>8</v>
      </c>
      <c r="C77">
        <v>136</v>
      </c>
      <c r="E77" t="s">
        <v>336</v>
      </c>
      <c r="F77" s="289">
        <v>2016146</v>
      </c>
      <c r="G77" s="289">
        <v>2016146</v>
      </c>
      <c r="H77" t="s">
        <v>459</v>
      </c>
      <c r="I77" t="s">
        <v>131</v>
      </c>
    </row>
    <row r="78" spans="1:9" x14ac:dyDescent="0.25">
      <c r="A78" s="152">
        <v>43699</v>
      </c>
      <c r="B78">
        <v>8</v>
      </c>
      <c r="C78">
        <v>135</v>
      </c>
      <c r="E78" t="s">
        <v>117</v>
      </c>
      <c r="F78" s="289">
        <v>22362736</v>
      </c>
      <c r="G78" s="289">
        <v>22362736</v>
      </c>
      <c r="H78" t="s">
        <v>460</v>
      </c>
      <c r="I78" t="s">
        <v>131</v>
      </c>
    </row>
    <row r="79" spans="1:9" x14ac:dyDescent="0.25">
      <c r="A79" s="152">
        <v>43734</v>
      </c>
      <c r="B79">
        <v>9</v>
      </c>
      <c r="C79">
        <v>136</v>
      </c>
      <c r="E79" t="s">
        <v>336</v>
      </c>
      <c r="F79" s="289">
        <v>1735459</v>
      </c>
      <c r="G79" s="289">
        <v>1735459</v>
      </c>
      <c r="H79" t="s">
        <v>462</v>
      </c>
      <c r="I79" t="s">
        <v>131</v>
      </c>
    </row>
    <row r="80" spans="1:9" x14ac:dyDescent="0.25">
      <c r="A80" s="152">
        <v>43766</v>
      </c>
      <c r="B80">
        <v>10</v>
      </c>
      <c r="C80">
        <v>136</v>
      </c>
      <c r="E80" t="s">
        <v>336</v>
      </c>
      <c r="F80" s="289">
        <v>1738430</v>
      </c>
      <c r="G80" s="289">
        <v>1738430</v>
      </c>
      <c r="H80" t="s">
        <v>465</v>
      </c>
      <c r="I80" t="s">
        <v>131</v>
      </c>
    </row>
    <row r="81" spans="1:9" x14ac:dyDescent="0.25">
      <c r="A81" s="152">
        <v>43766</v>
      </c>
      <c r="B81" s="209">
        <v>10</v>
      </c>
      <c r="C81">
        <v>136</v>
      </c>
      <c r="E81" s="209" t="s">
        <v>336</v>
      </c>
      <c r="F81" s="289">
        <v>4191919</v>
      </c>
      <c r="G81" s="289">
        <v>4191919</v>
      </c>
      <c r="H81" s="156" t="s">
        <v>458</v>
      </c>
      <c r="I81" s="208" t="s">
        <v>131</v>
      </c>
    </row>
    <row r="82" spans="1:9" x14ac:dyDescent="0.25">
      <c r="A82" s="284">
        <v>44161</v>
      </c>
      <c r="B82" s="285">
        <v>11</v>
      </c>
      <c r="C82">
        <v>136</v>
      </c>
      <c r="E82" s="209" t="s">
        <v>336</v>
      </c>
      <c r="F82" s="327">
        <v>2353254</v>
      </c>
      <c r="G82" s="327">
        <v>2353254</v>
      </c>
      <c r="H82" s="287" t="s">
        <v>529</v>
      </c>
      <c r="I82" s="328" t="s">
        <v>131</v>
      </c>
    </row>
    <row r="83" spans="1:9" x14ac:dyDescent="0.25">
      <c r="A83" s="284">
        <v>44161</v>
      </c>
      <c r="B83" s="285">
        <v>11</v>
      </c>
      <c r="C83">
        <v>136</v>
      </c>
      <c r="E83" s="209" t="s">
        <v>336</v>
      </c>
      <c r="F83" s="327">
        <v>5051763</v>
      </c>
      <c r="G83" s="327">
        <v>5051763</v>
      </c>
      <c r="H83" s="287" t="s">
        <v>530</v>
      </c>
      <c r="I83" s="328" t="s">
        <v>131</v>
      </c>
    </row>
    <row r="84" spans="1:9" x14ac:dyDescent="0.25">
      <c r="A84" s="152">
        <v>43815</v>
      </c>
      <c r="B84" s="209">
        <v>12</v>
      </c>
      <c r="C84">
        <v>136</v>
      </c>
      <c r="E84" s="209" t="s">
        <v>336</v>
      </c>
      <c r="F84" s="327">
        <v>1262941</v>
      </c>
      <c r="G84" s="327">
        <v>1262941</v>
      </c>
      <c r="H84" s="287" t="s">
        <v>531</v>
      </c>
      <c r="I84" s="328" t="s">
        <v>131</v>
      </c>
    </row>
    <row r="85" spans="1:9" x14ac:dyDescent="0.25">
      <c r="A85" s="152">
        <v>43815</v>
      </c>
      <c r="B85" s="209">
        <v>12</v>
      </c>
      <c r="C85">
        <v>136</v>
      </c>
      <c r="E85" s="209" t="s">
        <v>336</v>
      </c>
      <c r="F85" s="327">
        <v>4191919</v>
      </c>
      <c r="G85" s="327">
        <v>4191919</v>
      </c>
      <c r="H85" s="287" t="s">
        <v>532</v>
      </c>
      <c r="I85" s="328" t="s">
        <v>131</v>
      </c>
    </row>
    <row r="86" spans="1:9" x14ac:dyDescent="0.25">
      <c r="E86" s="288" t="s">
        <v>543</v>
      </c>
      <c r="F86" s="301">
        <f>SUM(F72:F85)</f>
        <v>71183077</v>
      </c>
      <c r="G86" s="301">
        <f>SUM(G72:G85)</f>
        <v>71183077</v>
      </c>
    </row>
    <row r="87" spans="1:9" x14ac:dyDescent="0.25">
      <c r="E87" s="296" t="s">
        <v>544</v>
      </c>
      <c r="F87" s="297">
        <f>+F71+F86</f>
        <v>179174675</v>
      </c>
      <c r="G87" s="297">
        <f>+G71+G86</f>
        <v>179174675</v>
      </c>
    </row>
    <row r="88" spans="1:9" x14ac:dyDescent="0.25">
      <c r="A88" s="152">
        <v>43845</v>
      </c>
      <c r="B88" s="209">
        <v>1</v>
      </c>
      <c r="C88">
        <v>136</v>
      </c>
      <c r="D88" s="209"/>
      <c r="E88" s="209" t="s">
        <v>336</v>
      </c>
      <c r="F88" s="334">
        <v>558362048</v>
      </c>
      <c r="G88" s="334">
        <v>558362048</v>
      </c>
      <c r="H88" s="287" t="s">
        <v>555</v>
      </c>
      <c r="I88" s="328" t="s">
        <v>131</v>
      </c>
    </row>
    <row r="89" spans="1:9" x14ac:dyDescent="0.25">
      <c r="A89" s="152">
        <v>43851</v>
      </c>
      <c r="B89">
        <v>1</v>
      </c>
      <c r="C89">
        <v>136</v>
      </c>
      <c r="E89" t="s">
        <v>336</v>
      </c>
      <c r="F89" s="334">
        <v>283090</v>
      </c>
      <c r="G89" s="334">
        <v>283090</v>
      </c>
      <c r="H89" t="s">
        <v>556</v>
      </c>
      <c r="I89" s="328" t="s">
        <v>131</v>
      </c>
    </row>
    <row r="90" spans="1:9" x14ac:dyDescent="0.25">
      <c r="A90" s="152">
        <v>43851</v>
      </c>
      <c r="B90">
        <v>1</v>
      </c>
      <c r="C90">
        <v>136</v>
      </c>
      <c r="E90" t="s">
        <v>336</v>
      </c>
      <c r="F90" s="334">
        <v>5910103</v>
      </c>
      <c r="G90" s="334">
        <v>5910103</v>
      </c>
      <c r="H90" t="s">
        <v>557</v>
      </c>
      <c r="I90" t="s">
        <v>131</v>
      </c>
    </row>
    <row r="91" spans="1:9" x14ac:dyDescent="0.25">
      <c r="A91" s="284">
        <v>43894</v>
      </c>
      <c r="B91" s="285">
        <v>3</v>
      </c>
      <c r="C91">
        <v>135</v>
      </c>
      <c r="D91" s="209"/>
      <c r="E91" s="327" t="s">
        <v>117</v>
      </c>
      <c r="F91" s="334">
        <v>991883</v>
      </c>
      <c r="G91" s="334">
        <v>991883</v>
      </c>
      <c r="H91" s="287" t="s">
        <v>558</v>
      </c>
    </row>
    <row r="92" spans="1:9" x14ac:dyDescent="0.25">
      <c r="A92" s="284">
        <v>43909</v>
      </c>
      <c r="B92" s="285">
        <v>3</v>
      </c>
      <c r="C92">
        <v>136</v>
      </c>
      <c r="D92" s="209"/>
      <c r="E92" s="327" t="s">
        <v>336</v>
      </c>
      <c r="F92" s="334">
        <v>4124679</v>
      </c>
      <c r="G92" s="334">
        <v>4124679</v>
      </c>
      <c r="H92" s="287" t="s">
        <v>559</v>
      </c>
      <c r="I92" s="328" t="s">
        <v>131</v>
      </c>
    </row>
    <row r="93" spans="1:9" x14ac:dyDescent="0.25">
      <c r="A93" s="284">
        <v>43915</v>
      </c>
      <c r="B93">
        <v>3</v>
      </c>
      <c r="C93">
        <v>135</v>
      </c>
      <c r="E93" t="s">
        <v>117</v>
      </c>
      <c r="F93" s="334">
        <v>996625</v>
      </c>
      <c r="G93" s="334">
        <v>996625</v>
      </c>
      <c r="H93" t="s">
        <v>560</v>
      </c>
      <c r="I93" t="s">
        <v>131</v>
      </c>
    </row>
    <row r="94" spans="1:9" x14ac:dyDescent="0.25">
      <c r="A94" s="284">
        <v>43951</v>
      </c>
      <c r="B94">
        <v>4</v>
      </c>
      <c r="C94">
        <v>137</v>
      </c>
      <c r="E94" t="s">
        <v>610</v>
      </c>
      <c r="F94" s="334">
        <v>300513949</v>
      </c>
      <c r="G94" s="334">
        <v>300513949</v>
      </c>
      <c r="H94" t="s">
        <v>632</v>
      </c>
      <c r="I94" t="s">
        <v>131</v>
      </c>
    </row>
    <row r="95" spans="1:9" x14ac:dyDescent="0.25">
      <c r="A95" s="350">
        <v>43951</v>
      </c>
      <c r="B95" s="351">
        <v>4</v>
      </c>
      <c r="C95" s="338">
        <v>138</v>
      </c>
      <c r="D95" s="338"/>
      <c r="E95" s="340" t="s">
        <v>613</v>
      </c>
      <c r="F95" s="353">
        <v>4146632</v>
      </c>
      <c r="G95" s="353">
        <v>4146632</v>
      </c>
      <c r="H95" s="354" t="s">
        <v>630</v>
      </c>
      <c r="I95" s="355" t="s">
        <v>131</v>
      </c>
    </row>
    <row r="96" spans="1:9" x14ac:dyDescent="0.25">
      <c r="A96" s="284">
        <v>43951</v>
      </c>
      <c r="B96">
        <v>4</v>
      </c>
      <c r="C96">
        <v>135</v>
      </c>
      <c r="E96" t="s">
        <v>117</v>
      </c>
      <c r="F96" s="353">
        <v>1002470</v>
      </c>
      <c r="G96" s="353">
        <v>1002470</v>
      </c>
      <c r="H96" t="s">
        <v>631</v>
      </c>
      <c r="I96" t="s">
        <v>131</v>
      </c>
    </row>
    <row r="97" spans="1:7" x14ac:dyDescent="0.25">
      <c r="A97" s="284"/>
      <c r="F97" s="353"/>
      <c r="G97" s="353"/>
    </row>
    <row r="98" spans="1:7" x14ac:dyDescent="0.25">
      <c r="A98" s="284"/>
      <c r="F98" s="353"/>
      <c r="G98" s="353"/>
    </row>
    <row r="99" spans="1:7" x14ac:dyDescent="0.25">
      <c r="A99" s="284"/>
      <c r="F99" s="353"/>
      <c r="G99" s="353"/>
    </row>
    <row r="100" spans="1:7" x14ac:dyDescent="0.25">
      <c r="A100" s="284"/>
      <c r="F100" s="353"/>
      <c r="G100" s="353"/>
    </row>
    <row r="101" spans="1:7" x14ac:dyDescent="0.25">
      <c r="A101" s="284"/>
      <c r="F101" s="353"/>
      <c r="G101" s="353"/>
    </row>
    <row r="102" spans="1:7" x14ac:dyDescent="0.25">
      <c r="A102" s="284"/>
      <c r="F102" s="353"/>
      <c r="G102" s="353"/>
    </row>
    <row r="103" spans="1:7" x14ac:dyDescent="0.25">
      <c r="E103" s="288" t="s">
        <v>569</v>
      </c>
      <c r="F103" s="301">
        <f>SUM(F88:F96)</f>
        <v>876331479</v>
      </c>
      <c r="G103" s="301">
        <f>SUM(G88:G96)</f>
        <v>876331479</v>
      </c>
    </row>
    <row r="104" spans="1:7" x14ac:dyDescent="0.25">
      <c r="E104" s="296" t="s">
        <v>653</v>
      </c>
      <c r="F104" s="297">
        <f>+F87+F103</f>
        <v>1055506154</v>
      </c>
      <c r="G104" s="297">
        <f>+G87+G103</f>
        <v>1055506154</v>
      </c>
    </row>
  </sheetData>
  <mergeCells count="2">
    <mergeCell ref="A2:D2"/>
    <mergeCell ref="A3:I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20"/>
  <dimension ref="A1:P39"/>
  <sheetViews>
    <sheetView topLeftCell="G31" workbookViewId="0">
      <selection activeCell="H15" sqref="H15"/>
    </sheetView>
  </sheetViews>
  <sheetFormatPr baseColWidth="10" defaultColWidth="10.796875" defaultRowHeight="15.65" x14ac:dyDescent="0.25"/>
  <cols>
    <col min="1" max="1" width="33.796875" bestFit="1" customWidth="1"/>
    <col min="2" max="2" width="16.3984375" bestFit="1" customWidth="1"/>
    <col min="3" max="3" width="3.3984375" customWidth="1"/>
    <col min="4" max="4" width="16.3984375" bestFit="1" customWidth="1"/>
    <col min="5" max="5" width="20.69921875" bestFit="1" customWidth="1"/>
    <col min="6" max="6" width="3.69921875" customWidth="1"/>
    <col min="7" max="7" width="12.796875" bestFit="1" customWidth="1"/>
    <col min="8" max="8" width="17.69921875" bestFit="1" customWidth="1"/>
    <col min="9" max="9" width="3.296875" customWidth="1"/>
    <col min="10" max="10" width="11.3984375" bestFit="1" customWidth="1"/>
    <col min="11" max="11" width="16.3984375" bestFit="1" customWidth="1"/>
    <col min="12" max="12" width="3.296875" customWidth="1"/>
    <col min="16" max="16" width="12.3984375" bestFit="1" customWidth="1"/>
  </cols>
  <sheetData>
    <row r="1" spans="1:11" ht="20.399999999999999" x14ac:dyDescent="0.25">
      <c r="A1" s="192" t="s">
        <v>333</v>
      </c>
      <c r="B1" s="193" t="s">
        <v>299</v>
      </c>
      <c r="D1" s="192" t="s">
        <v>334</v>
      </c>
      <c r="E1" s="212" t="s">
        <v>299</v>
      </c>
      <c r="G1" s="192" t="s">
        <v>334</v>
      </c>
      <c r="H1" s="193" t="s">
        <v>299</v>
      </c>
      <c r="J1" s="192" t="s">
        <v>334</v>
      </c>
      <c r="K1" s="193" t="s">
        <v>299</v>
      </c>
    </row>
    <row r="2" spans="1:11" x14ac:dyDescent="0.25">
      <c r="A2" s="194" t="s">
        <v>300</v>
      </c>
      <c r="B2" s="195" t="s">
        <v>301</v>
      </c>
      <c r="D2" s="194" t="s">
        <v>300</v>
      </c>
      <c r="E2" s="213" t="s">
        <v>301</v>
      </c>
      <c r="G2" s="194" t="s">
        <v>300</v>
      </c>
      <c r="H2" s="195" t="s">
        <v>301</v>
      </c>
      <c r="J2" s="194" t="s">
        <v>300</v>
      </c>
      <c r="K2" s="195" t="s">
        <v>301</v>
      </c>
    </row>
    <row r="3" spans="1:11" ht="14.95" customHeight="1" x14ac:dyDescent="0.25">
      <c r="A3" s="196" t="s">
        <v>302</v>
      </c>
      <c r="B3" s="197">
        <v>43234</v>
      </c>
      <c r="D3" s="196" t="s">
        <v>302</v>
      </c>
      <c r="E3" s="214">
        <v>43234</v>
      </c>
      <c r="G3" s="196" t="s">
        <v>302</v>
      </c>
      <c r="H3" s="197">
        <v>43234</v>
      </c>
      <c r="J3" s="196" t="s">
        <v>302</v>
      </c>
      <c r="K3" s="197">
        <v>43234</v>
      </c>
    </row>
    <row r="4" spans="1:11" ht="14.95" customHeight="1" x14ac:dyDescent="0.25">
      <c r="A4" s="659" t="s">
        <v>303</v>
      </c>
      <c r="B4" s="660"/>
      <c r="D4" s="663" t="s">
        <v>303</v>
      </c>
      <c r="E4" s="664"/>
      <c r="G4" s="659" t="s">
        <v>303</v>
      </c>
      <c r="H4" s="660"/>
      <c r="J4" s="659" t="s">
        <v>303</v>
      </c>
      <c r="K4" s="660"/>
    </row>
    <row r="5" spans="1:11" ht="14.95" customHeight="1" x14ac:dyDescent="0.25">
      <c r="A5" s="661"/>
      <c r="B5" s="662"/>
      <c r="D5" s="665"/>
      <c r="E5" s="666"/>
      <c r="G5" s="661"/>
      <c r="H5" s="662"/>
      <c r="J5" s="661"/>
      <c r="K5" s="662"/>
    </row>
    <row r="6" spans="1:11" ht="20.399999999999999" x14ac:dyDescent="0.25">
      <c r="A6" s="198" t="s">
        <v>304</v>
      </c>
      <c r="B6" s="199" t="s">
        <v>331</v>
      </c>
      <c r="D6" s="198" t="s">
        <v>304</v>
      </c>
      <c r="E6" s="215" t="s">
        <v>331</v>
      </c>
      <c r="G6" s="198" t="s">
        <v>304</v>
      </c>
      <c r="H6" s="199" t="s">
        <v>305</v>
      </c>
      <c r="J6" s="198" t="s">
        <v>304</v>
      </c>
      <c r="K6" s="199" t="s">
        <v>305</v>
      </c>
    </row>
    <row r="7" spans="1:11" ht="20.399999999999999" x14ac:dyDescent="0.25">
      <c r="A7" s="198" t="s">
        <v>306</v>
      </c>
      <c r="B7" s="199" t="s">
        <v>339</v>
      </c>
      <c r="D7" s="198" t="s">
        <v>306</v>
      </c>
      <c r="E7" s="215" t="s">
        <v>340</v>
      </c>
      <c r="G7" s="198" t="s">
        <v>306</v>
      </c>
      <c r="H7" s="199" t="s">
        <v>341</v>
      </c>
      <c r="J7" s="198" t="s">
        <v>306</v>
      </c>
      <c r="K7" s="199" t="s">
        <v>342</v>
      </c>
    </row>
    <row r="8" spans="1:11" ht="20.399999999999999" x14ac:dyDescent="0.25">
      <c r="A8" s="198" t="s">
        <v>307</v>
      </c>
      <c r="B8" s="199" t="s">
        <v>308</v>
      </c>
      <c r="D8" s="198" t="s">
        <v>307</v>
      </c>
      <c r="E8" s="215" t="s">
        <v>308</v>
      </c>
      <c r="G8" s="198" t="s">
        <v>307</v>
      </c>
      <c r="H8" s="199" t="s">
        <v>308</v>
      </c>
      <c r="J8" s="198" t="s">
        <v>307</v>
      </c>
      <c r="K8" s="199" t="s">
        <v>308</v>
      </c>
    </row>
    <row r="9" spans="1:11" ht="20.399999999999999" x14ac:dyDescent="0.25">
      <c r="A9" s="198" t="s">
        <v>309</v>
      </c>
      <c r="B9" s="199" t="s">
        <v>310</v>
      </c>
      <c r="D9" s="198" t="s">
        <v>309</v>
      </c>
      <c r="E9" s="215" t="s">
        <v>310</v>
      </c>
      <c r="G9" s="198" t="s">
        <v>309</v>
      </c>
      <c r="H9" s="199" t="s">
        <v>310</v>
      </c>
      <c r="J9" s="198" t="s">
        <v>309</v>
      </c>
      <c r="K9" s="199" t="s">
        <v>310</v>
      </c>
    </row>
    <row r="10" spans="1:11" x14ac:dyDescent="0.25">
      <c r="A10" s="198" t="s">
        <v>311</v>
      </c>
      <c r="B10" s="199" t="s">
        <v>343</v>
      </c>
      <c r="D10" s="198" t="s">
        <v>311</v>
      </c>
      <c r="E10" s="215" t="s">
        <v>343</v>
      </c>
      <c r="G10" s="198" t="s">
        <v>311</v>
      </c>
      <c r="H10" s="199" t="s">
        <v>344</v>
      </c>
      <c r="J10" s="198" t="s">
        <v>311</v>
      </c>
      <c r="K10" s="199" t="s">
        <v>344</v>
      </c>
    </row>
    <row r="11" spans="1:11" x14ac:dyDescent="0.25">
      <c r="A11" s="198" t="s">
        <v>312</v>
      </c>
      <c r="B11" s="199" t="s">
        <v>313</v>
      </c>
      <c r="D11" s="198" t="s">
        <v>312</v>
      </c>
      <c r="E11" s="215" t="s">
        <v>313</v>
      </c>
      <c r="G11" s="198" t="s">
        <v>312</v>
      </c>
      <c r="H11" s="199" t="s">
        <v>313</v>
      </c>
      <c r="J11" s="198" t="s">
        <v>312</v>
      </c>
      <c r="K11" s="199" t="s">
        <v>313</v>
      </c>
    </row>
    <row r="12" spans="1:11" ht="20.399999999999999" x14ac:dyDescent="0.25">
      <c r="A12" s="198" t="s">
        <v>314</v>
      </c>
      <c r="B12" s="200">
        <v>43433</v>
      </c>
      <c r="D12" s="198" t="s">
        <v>314</v>
      </c>
      <c r="E12" s="216">
        <v>43439</v>
      </c>
      <c r="G12" s="198" t="s">
        <v>314</v>
      </c>
      <c r="H12" s="200">
        <v>43455</v>
      </c>
      <c r="J12" s="198" t="s">
        <v>314</v>
      </c>
      <c r="K12" s="200">
        <v>43455</v>
      </c>
    </row>
    <row r="13" spans="1:11" ht="20.399999999999999" x14ac:dyDescent="0.25">
      <c r="A13" s="198" t="s">
        <v>315</v>
      </c>
      <c r="B13" s="200">
        <v>43433</v>
      </c>
      <c r="D13" s="198" t="s">
        <v>315</v>
      </c>
      <c r="E13" s="216">
        <v>43439</v>
      </c>
      <c r="G13" s="198" t="s">
        <v>315</v>
      </c>
      <c r="H13" s="200">
        <v>43455</v>
      </c>
      <c r="J13" s="198" t="s">
        <v>315</v>
      </c>
      <c r="K13" s="200">
        <v>43455</v>
      </c>
    </row>
    <row r="14" spans="1:11" ht="20.399999999999999" x14ac:dyDescent="0.25">
      <c r="A14" s="198" t="s">
        <v>316</v>
      </c>
      <c r="B14" s="200">
        <v>43523</v>
      </c>
      <c r="D14" s="198" t="s">
        <v>316</v>
      </c>
      <c r="E14" s="216">
        <v>43529</v>
      </c>
      <c r="G14" s="198" t="s">
        <v>316</v>
      </c>
      <c r="H14" s="200">
        <v>43515</v>
      </c>
      <c r="J14" s="198" t="s">
        <v>316</v>
      </c>
      <c r="K14" s="200">
        <v>43486</v>
      </c>
    </row>
    <row r="15" spans="1:11" x14ac:dyDescent="0.25">
      <c r="A15" s="198" t="s">
        <v>317</v>
      </c>
      <c r="B15" s="210">
        <v>7461.1850000000004</v>
      </c>
      <c r="D15" s="198" t="s">
        <v>317</v>
      </c>
      <c r="E15" s="217">
        <v>6692.6170000000002</v>
      </c>
      <c r="G15" s="198" t="s">
        <v>317</v>
      </c>
      <c r="H15" s="210">
        <v>36290.586000000003</v>
      </c>
      <c r="J15" s="198" t="s">
        <v>317</v>
      </c>
      <c r="K15" s="210">
        <v>496135794</v>
      </c>
    </row>
    <row r="16" spans="1:11" ht="20.399999999999999" x14ac:dyDescent="0.25">
      <c r="A16" s="201" t="s">
        <v>318</v>
      </c>
      <c r="B16" s="211">
        <v>7499.424</v>
      </c>
      <c r="D16" s="201" t="s">
        <v>318</v>
      </c>
      <c r="E16" s="218">
        <v>6734.4459999999999</v>
      </c>
      <c r="G16" s="201" t="s">
        <v>318</v>
      </c>
      <c r="H16" s="211">
        <v>36440.284699999997</v>
      </c>
      <c r="J16" s="201" t="s">
        <v>318</v>
      </c>
      <c r="K16" s="211">
        <v>497419016</v>
      </c>
    </row>
    <row r="17" spans="1:14" x14ac:dyDescent="0.25">
      <c r="B17" s="156" t="s">
        <v>335</v>
      </c>
      <c r="E17" s="156" t="s">
        <v>335</v>
      </c>
      <c r="H17" s="156" t="s">
        <v>335</v>
      </c>
      <c r="K17" s="156" t="s">
        <v>27</v>
      </c>
    </row>
    <row r="18" spans="1:14" x14ac:dyDescent="0.25">
      <c r="A18" s="202" t="s">
        <v>319</v>
      </c>
      <c r="B18" s="202">
        <v>27565.79</v>
      </c>
    </row>
    <row r="19" spans="1:14" x14ac:dyDescent="0.25">
      <c r="A19" s="204">
        <v>43465</v>
      </c>
      <c r="B19" s="202">
        <f>+B16-B15</f>
        <v>38.238999999999578</v>
      </c>
      <c r="E19" s="202">
        <f>+E16-E15</f>
        <v>41.828999999999724</v>
      </c>
      <c r="H19" s="202">
        <f>+H16-H15</f>
        <v>149.69869999999355</v>
      </c>
      <c r="K19" s="202">
        <f>+K16-K15</f>
        <v>1283222</v>
      </c>
    </row>
    <row r="20" spans="1:14" x14ac:dyDescent="0.25">
      <c r="A20" s="204" t="s">
        <v>320</v>
      </c>
      <c r="B20" s="202">
        <f>+B14-B13</f>
        <v>90</v>
      </c>
      <c r="E20" s="202">
        <f>+E14-E13</f>
        <v>90</v>
      </c>
      <c r="H20" s="202">
        <f>+H14-H13</f>
        <v>60</v>
      </c>
      <c r="K20" s="202">
        <f>+K14-K13</f>
        <v>31</v>
      </c>
    </row>
    <row r="21" spans="1:14" x14ac:dyDescent="0.25">
      <c r="A21" s="204" t="s">
        <v>321</v>
      </c>
      <c r="B21" s="202">
        <f>+$A$19-B13</f>
        <v>32</v>
      </c>
      <c r="E21" s="202">
        <f>+$A$19-E13</f>
        <v>26</v>
      </c>
      <c r="H21" s="202">
        <f>+$A$19-H13</f>
        <v>10</v>
      </c>
      <c r="K21" s="202">
        <f>+$A$19-K13</f>
        <v>10</v>
      </c>
    </row>
    <row r="22" spans="1:14" x14ac:dyDescent="0.25">
      <c r="A22" s="202"/>
      <c r="B22" s="202"/>
    </row>
    <row r="23" spans="1:14" x14ac:dyDescent="0.25">
      <c r="A23" s="202"/>
      <c r="B23" s="160">
        <f>IF(B17="$",(+B19/B20*B21+B15)*1,(+B19/B20*B21+B15)*$B$18)</f>
        <v>206048245.79228246</v>
      </c>
      <c r="C23" s="160"/>
      <c r="E23" s="160">
        <f>IF(E17="$",(+E19/E20*E21+E15)*1,(+E19/E20*E21+E15)*$B$18)</f>
        <v>184820377.94107068</v>
      </c>
      <c r="H23" s="160">
        <f>IF(H17="$",(+H19/H20*H21+H15)*1,(+H19/H20*H21+H15)*$B$18)</f>
        <v>1001066433.1408522</v>
      </c>
      <c r="K23" s="160">
        <f>IF(K17="$",(+K19/K20*K21+K15)*1,(+K19/K20*K21+K15)*$B$18)</f>
        <v>496549736.58064514</v>
      </c>
    </row>
    <row r="24" spans="1:14" s="160" customFormat="1" x14ac:dyDescent="0.25">
      <c r="B24" s="160">
        <f>+B15*$B$18</f>
        <v>205673458.86115003</v>
      </c>
      <c r="E24" s="160">
        <f>+E15*$B$18</f>
        <v>184487274.77243</v>
      </c>
      <c r="H24" s="160">
        <f>+H15*$B$18</f>
        <v>1000378672.6529402</v>
      </c>
      <c r="K24" s="160">
        <f>+K15*1</f>
        <v>496135794</v>
      </c>
    </row>
    <row r="25" spans="1:14" s="160" customFormat="1" x14ac:dyDescent="0.25"/>
    <row r="26" spans="1:14" s="160" customFormat="1" x14ac:dyDescent="0.25">
      <c r="A26" s="203" t="s">
        <v>134</v>
      </c>
      <c r="B26" s="203">
        <f>SUM(23:23)</f>
        <v>1888484793.4548504</v>
      </c>
      <c r="D26" s="203">
        <f>SUM(24:24)</f>
        <v>1886675200.2865202</v>
      </c>
    </row>
    <row r="27" spans="1:14" s="160" customFormat="1" x14ac:dyDescent="0.25">
      <c r="B27" s="160">
        <f>+B26</f>
        <v>1888484793.4548504</v>
      </c>
      <c r="D27" s="160">
        <f>+B26-'Bce Tributario'!H19</f>
        <v>1888484793.4548504</v>
      </c>
      <c r="G27" s="160">
        <f>'Bce Tributario'!H19</f>
        <v>0</v>
      </c>
      <c r="H27" s="160">
        <f>+G27-B27</f>
        <v>-1888484793.4548504</v>
      </c>
    </row>
    <row r="28" spans="1:14" s="160" customFormat="1" x14ac:dyDescent="0.25"/>
    <row r="29" spans="1:14" s="160" customFormat="1" x14ac:dyDescent="0.25">
      <c r="A29" s="203"/>
      <c r="B29" s="203"/>
      <c r="C29" s="203"/>
      <c r="D29" s="203"/>
      <c r="E29" s="203"/>
      <c r="G29" s="160">
        <f>+'Bce Tributario'!H16</f>
        <v>0</v>
      </c>
      <c r="H29" s="160">
        <f>+E29-G29</f>
        <v>0</v>
      </c>
    </row>
    <row r="30" spans="1:14" s="160" customFormat="1" x14ac:dyDescent="0.25">
      <c r="A30" s="203"/>
      <c r="E30" s="207"/>
    </row>
    <row r="32" spans="1:14" s="264" customFormat="1" x14ac:dyDescent="0.25">
      <c r="A32" s="319"/>
      <c r="B32" s="320"/>
      <c r="E32" s="319"/>
      <c r="N32" s="152">
        <v>43830</v>
      </c>
    </row>
    <row r="33" spans="2:16" s="264" customFormat="1" x14ac:dyDescent="0.25">
      <c r="B33" s="321"/>
      <c r="D33" s="322" t="s">
        <v>298</v>
      </c>
      <c r="E33" s="322" t="s">
        <v>534</v>
      </c>
      <c r="G33" s="323" t="s">
        <v>535</v>
      </c>
      <c r="H33" s="324" t="s">
        <v>536</v>
      </c>
      <c r="J33" s="320" t="s">
        <v>537</v>
      </c>
      <c r="K33" s="320" t="s">
        <v>538</v>
      </c>
      <c r="M33" s="320" t="s">
        <v>539</v>
      </c>
      <c r="N33" s="320" t="s">
        <v>540</v>
      </c>
      <c r="O33" s="320" t="s">
        <v>541</v>
      </c>
      <c r="P33" s="320" t="s">
        <v>542</v>
      </c>
    </row>
    <row r="34" spans="2:16" s="264" customFormat="1" x14ac:dyDescent="0.25">
      <c r="D34" s="264">
        <v>420000000</v>
      </c>
      <c r="E34" s="152">
        <v>43810</v>
      </c>
      <c r="G34" s="152">
        <v>43840</v>
      </c>
      <c r="H34" s="264">
        <f>+G34-E34</f>
        <v>30</v>
      </c>
      <c r="J34" s="325">
        <v>1.4E-3</v>
      </c>
      <c r="K34" s="264">
        <f>+D34*J34/30*H34</f>
        <v>588000</v>
      </c>
      <c r="M34" s="264">
        <f>+K34+D34</f>
        <v>420588000</v>
      </c>
      <c r="N34" s="264">
        <f>+$N$32-E34</f>
        <v>20</v>
      </c>
      <c r="O34" s="264">
        <f>+D34*J34/30*N34</f>
        <v>392000</v>
      </c>
      <c r="P34" s="264">
        <f>+D34+O34</f>
        <v>420392000</v>
      </c>
    </row>
    <row r="35" spans="2:16" s="264" customFormat="1" x14ac:dyDescent="0.25">
      <c r="D35" s="264">
        <v>517165271</v>
      </c>
      <c r="E35" s="152">
        <v>43825</v>
      </c>
      <c r="G35" s="152">
        <v>43857</v>
      </c>
      <c r="H35" s="264">
        <f>+G35-E35</f>
        <v>32</v>
      </c>
      <c r="J35" s="156">
        <v>1.8600000000000001E-3</v>
      </c>
      <c r="K35" s="264">
        <f>+D35*J35/31*H35</f>
        <v>992957.32032000006</v>
      </c>
      <c r="M35" s="264">
        <f>+K35+D35</f>
        <v>518158228.32032001</v>
      </c>
      <c r="N35" s="264">
        <f>+$N$32-E35</f>
        <v>5</v>
      </c>
      <c r="O35" s="264">
        <f>+D35*J35/30*N35</f>
        <v>160321.23401000001</v>
      </c>
      <c r="P35" s="264">
        <f>+D35+O35</f>
        <v>517325592.23400998</v>
      </c>
    </row>
    <row r="36" spans="2:16" s="264" customFormat="1" x14ac:dyDescent="0.25">
      <c r="D36" s="264">
        <v>511467731</v>
      </c>
      <c r="E36" s="152">
        <v>43825</v>
      </c>
      <c r="G36" s="152">
        <v>43857</v>
      </c>
      <c r="H36" s="264">
        <f>+G36-E36</f>
        <v>32</v>
      </c>
      <c r="J36" s="156">
        <v>1.8600000000000001E-3</v>
      </c>
      <c r="K36" s="264">
        <f>+D36*J36/31*H36</f>
        <v>982018.04352000006</v>
      </c>
      <c r="M36" s="264">
        <f>+K36+D36</f>
        <v>512449749.04351997</v>
      </c>
      <c r="N36" s="264">
        <f>+$N$32-E36</f>
        <v>5</v>
      </c>
      <c r="O36" s="264">
        <f>+D36*J36/30*N36</f>
        <v>158554.99661000003</v>
      </c>
      <c r="P36" s="264">
        <f>+D36+O36</f>
        <v>511626285.99660999</v>
      </c>
    </row>
    <row r="37" spans="2:16" s="264" customFormat="1" x14ac:dyDescent="0.25">
      <c r="O37" s="319">
        <f>SUM(O34:O36)</f>
        <v>710876.23062000005</v>
      </c>
      <c r="P37" s="319">
        <f>SUM(P34:P36)</f>
        <v>1449343878.2306199</v>
      </c>
    </row>
    <row r="38" spans="2:16" x14ac:dyDescent="0.25">
      <c r="D38" s="264"/>
      <c r="P38" s="155">
        <f>+'Bce Tributario'!H19</f>
        <v>0</v>
      </c>
    </row>
    <row r="39" spans="2:16" x14ac:dyDescent="0.25">
      <c r="P39" s="155">
        <f>+P37-P38</f>
        <v>1449343878.2306199</v>
      </c>
    </row>
  </sheetData>
  <mergeCells count="4">
    <mergeCell ref="A4:B5"/>
    <mergeCell ref="D4:E5"/>
    <mergeCell ref="G4:H5"/>
    <mergeCell ref="J4:K5"/>
  </mergeCell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C5:K20"/>
  <sheetViews>
    <sheetView workbookViewId="0">
      <selection activeCell="G27" sqref="G27"/>
    </sheetView>
  </sheetViews>
  <sheetFormatPr baseColWidth="10" defaultRowHeight="15.65" x14ac:dyDescent="0.25"/>
  <cols>
    <col min="3" max="3" width="22.3984375" bestFit="1" customWidth="1"/>
  </cols>
  <sheetData>
    <row r="5" spans="3:11" x14ac:dyDescent="0.25">
      <c r="C5" s="156" t="s">
        <v>722</v>
      </c>
    </row>
    <row r="7" spans="3:11" x14ac:dyDescent="0.25">
      <c r="C7" s="156"/>
      <c r="D7" s="382"/>
      <c r="E7" s="156"/>
    </row>
    <row r="8" spans="3:11" x14ac:dyDescent="0.25">
      <c r="C8" s="379" t="s">
        <v>700</v>
      </c>
      <c r="D8" s="382">
        <v>2</v>
      </c>
      <c r="E8" s="156"/>
    </row>
    <row r="9" spans="3:11" x14ac:dyDescent="0.25">
      <c r="C9" s="156" t="s">
        <v>701</v>
      </c>
      <c r="D9" s="382">
        <v>3</v>
      </c>
      <c r="E9" s="156"/>
    </row>
    <row r="10" spans="3:11" x14ac:dyDescent="0.25">
      <c r="C10" s="156" t="s">
        <v>720</v>
      </c>
      <c r="D10" s="382">
        <v>1</v>
      </c>
      <c r="E10" s="156"/>
    </row>
    <row r="11" spans="3:11" x14ac:dyDescent="0.25">
      <c r="C11" s="379" t="s">
        <v>723</v>
      </c>
      <c r="D11" s="382">
        <v>4</v>
      </c>
      <c r="E11" s="156"/>
    </row>
    <row r="12" spans="3:11" x14ac:dyDescent="0.25">
      <c r="C12" s="379" t="s">
        <v>876</v>
      </c>
      <c r="D12" s="382">
        <v>7</v>
      </c>
      <c r="E12" s="156"/>
      <c r="I12" s="156" t="s">
        <v>713</v>
      </c>
      <c r="J12" s="180"/>
    </row>
    <row r="13" spans="3:11" x14ac:dyDescent="0.25">
      <c r="C13" s="379"/>
      <c r="D13" s="382"/>
      <c r="E13" s="156"/>
      <c r="I13" s="156" t="s">
        <v>296</v>
      </c>
      <c r="J13" s="180">
        <v>6</v>
      </c>
    </row>
    <row r="14" spans="3:11" x14ac:dyDescent="0.25">
      <c r="C14" s="379"/>
      <c r="D14" s="382"/>
      <c r="E14" s="156"/>
      <c r="I14" s="156" t="s">
        <v>131</v>
      </c>
      <c r="J14" s="180">
        <f>+D20-J13</f>
        <v>11</v>
      </c>
    </row>
    <row r="15" spans="3:11" x14ac:dyDescent="0.25">
      <c r="C15" s="156"/>
      <c r="D15" s="382"/>
      <c r="E15" s="156"/>
      <c r="K15" s="264"/>
    </row>
    <row r="16" spans="3:11" x14ac:dyDescent="0.25">
      <c r="C16" s="379"/>
      <c r="D16" s="382"/>
      <c r="E16" s="156"/>
      <c r="K16" s="264"/>
    </row>
    <row r="17" spans="3:11" x14ac:dyDescent="0.25">
      <c r="C17" s="379"/>
      <c r="D17" s="382"/>
      <c r="E17" s="156"/>
      <c r="K17" s="264"/>
    </row>
    <row r="18" spans="3:11" x14ac:dyDescent="0.25">
      <c r="C18" s="379"/>
      <c r="D18" s="382"/>
      <c r="E18" s="156"/>
      <c r="J18" s="180">
        <f>SUM(J13:J17)</f>
        <v>17</v>
      </c>
      <c r="K18" s="264">
        <f>+J18*29494.13</f>
        <v>501400.21</v>
      </c>
    </row>
    <row r="19" spans="3:11" x14ac:dyDescent="0.25">
      <c r="J19" s="180"/>
      <c r="K19" s="264"/>
    </row>
    <row r="20" spans="3:11" x14ac:dyDescent="0.25">
      <c r="C20" s="156" t="s">
        <v>721</v>
      </c>
      <c r="D20" s="382">
        <f>SUM(D8:D19)</f>
        <v>17</v>
      </c>
      <c r="I20" s="156"/>
      <c r="J20" s="180"/>
      <c r="K20" s="26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tabColor rgb="FFFFFF00"/>
  </sheetPr>
  <dimension ref="B1:AK45"/>
  <sheetViews>
    <sheetView zoomScale="70" zoomScaleNormal="70" workbookViewId="0">
      <selection activeCell="A30" sqref="A30"/>
    </sheetView>
  </sheetViews>
  <sheetFormatPr baseColWidth="10" defaultColWidth="10.796875" defaultRowHeight="15.65" x14ac:dyDescent="0.25"/>
  <cols>
    <col min="1" max="1" width="11.3984375" customWidth="1"/>
    <col min="2" max="2" width="11.3984375" style="180" customWidth="1"/>
    <col min="3" max="3" width="24.3984375" style="180" customWidth="1"/>
    <col min="4" max="5" width="11.3984375" style="180" customWidth="1"/>
    <col min="6" max="6" width="22.69921875" style="180" bestFit="1" customWidth="1"/>
    <col min="7" max="8" width="11.3984375" customWidth="1"/>
    <col min="9" max="9" width="22.69921875" bestFit="1" customWidth="1"/>
    <col min="10" max="11" width="11.3984375" customWidth="1"/>
    <col min="12" max="12" width="22.69921875" bestFit="1" customWidth="1"/>
    <col min="13" max="14" width="11.3984375" customWidth="1"/>
    <col min="15" max="15" width="28.796875" bestFit="1" customWidth="1"/>
    <col min="16" max="17" width="11.3984375" customWidth="1"/>
    <col min="18" max="18" width="24.3984375" bestFit="1" customWidth="1"/>
    <col min="19" max="20" width="11.3984375" customWidth="1"/>
    <col min="21" max="21" width="24.3984375" bestFit="1" customWidth="1"/>
    <col min="22" max="22" width="11" customWidth="1"/>
    <col min="23" max="23" width="11.3984375" customWidth="1"/>
    <col min="24" max="24" width="24.3984375" bestFit="1" customWidth="1"/>
    <col min="25" max="26" width="11.3984375" customWidth="1"/>
    <col min="27" max="27" width="24.3984375" bestFit="1" customWidth="1"/>
    <col min="28" max="29" width="11.3984375" customWidth="1"/>
    <col min="30" max="30" width="24.3984375" bestFit="1" customWidth="1"/>
    <col min="31" max="32" width="11.3984375" customWidth="1"/>
    <col min="33" max="33" width="24.3984375" bestFit="1" customWidth="1"/>
    <col min="34" max="35" width="11.3984375" customWidth="1"/>
    <col min="36" max="36" width="24.3984375" bestFit="1" customWidth="1"/>
  </cols>
  <sheetData>
    <row r="1" spans="3:37" x14ac:dyDescent="0.25">
      <c r="D1" s="180">
        <v>1</v>
      </c>
      <c r="G1">
        <v>2</v>
      </c>
      <c r="J1">
        <v>3</v>
      </c>
      <c r="M1">
        <v>4</v>
      </c>
      <c r="P1">
        <v>5</v>
      </c>
      <c r="S1">
        <v>6</v>
      </c>
      <c r="V1">
        <v>7</v>
      </c>
      <c r="Y1">
        <v>8</v>
      </c>
      <c r="AB1">
        <v>9</v>
      </c>
      <c r="AE1">
        <v>10</v>
      </c>
      <c r="AH1">
        <v>11</v>
      </c>
      <c r="AK1">
        <v>12</v>
      </c>
    </row>
    <row r="2" spans="3:37" ht="19.05" x14ac:dyDescent="0.35">
      <c r="C2" s="181" t="s">
        <v>293</v>
      </c>
      <c r="D2" s="182"/>
      <c r="F2" s="181" t="s">
        <v>293</v>
      </c>
      <c r="G2" s="182"/>
      <c r="I2" s="181" t="s">
        <v>293</v>
      </c>
      <c r="J2" s="182"/>
      <c r="L2" s="181" t="s">
        <v>293</v>
      </c>
      <c r="M2" s="182"/>
      <c r="O2" s="181" t="s">
        <v>293</v>
      </c>
      <c r="P2" s="182"/>
      <c r="R2" s="181" t="s">
        <v>293</v>
      </c>
      <c r="S2" s="182"/>
      <c r="U2" s="181" t="s">
        <v>293</v>
      </c>
      <c r="V2" s="182"/>
      <c r="X2" s="181" t="s">
        <v>293</v>
      </c>
      <c r="Y2" s="182"/>
      <c r="AA2" s="181" t="s">
        <v>293</v>
      </c>
      <c r="AB2" s="182"/>
      <c r="AD2" s="181" t="s">
        <v>293</v>
      </c>
      <c r="AE2" s="182"/>
      <c r="AG2" s="181" t="s">
        <v>293</v>
      </c>
      <c r="AH2" s="182"/>
      <c r="AJ2" s="181" t="s">
        <v>293</v>
      </c>
      <c r="AK2" s="182"/>
    </row>
    <row r="3" spans="3:37" x14ac:dyDescent="0.25">
      <c r="C3" s="157" t="s">
        <v>265</v>
      </c>
      <c r="D3" s="183">
        <f>SUMIFS('Diario Adm'!$E:$E,'Diario Adm'!$C:$C,110,'Diario Adm'!$B:$B,D1)</f>
        <v>4186298</v>
      </c>
      <c r="F3" s="157" t="s">
        <v>266</v>
      </c>
      <c r="G3" s="183">
        <f>SUMIFS('Diario Adm'!$E:$E,'Diario Adm'!$C:$C,110,'Diario Adm'!$B:$B,G1)+D3</f>
        <v>2191563</v>
      </c>
      <c r="I3" s="157" t="s">
        <v>267</v>
      </c>
      <c r="J3" s="183">
        <f>SUMIFS('Diario Adm'!$E:$E,'Diario Adm'!$C:$C,110,'Diario Adm'!$B:$B,J1)+G3</f>
        <v>1915565</v>
      </c>
      <c r="L3" s="157" t="s">
        <v>268</v>
      </c>
      <c r="M3" s="183">
        <f>SUMIFS('Diario Adm'!$E:$E,'Diario Adm'!$C:$C,110,'Diario Adm'!$B:$B,M1)+J3</f>
        <v>4358546</v>
      </c>
      <c r="O3" s="157" t="s">
        <v>269</v>
      </c>
      <c r="P3" s="183">
        <f>SUMIFS('Diario Adm'!$E:$E,'Diario Adm'!$C:$C,110,'Diario Adm'!$B:$B,P1)+M3</f>
        <v>3203290</v>
      </c>
      <c r="R3" s="157" t="s">
        <v>270</v>
      </c>
      <c r="S3" s="183">
        <f>SUMIFS('Diario Adm'!$E:$E,'Diario Adm'!$C:$C,110,'Diario Adm'!$B:$B,S1)+P3</f>
        <v>3576912</v>
      </c>
      <c r="U3" s="157" t="s">
        <v>271</v>
      </c>
      <c r="V3" s="183">
        <f>SUMIFS('Diario Adm'!$E:$E,'Diario Adm'!$C:$C,110,'Diario Adm'!$B:$B,V1)+S3</f>
        <v>1556343</v>
      </c>
      <c r="X3" s="157" t="s">
        <v>272</v>
      </c>
      <c r="Y3" s="183">
        <f>SUMIFS('Diario Adm'!$E:$E,'Diario Adm'!$C:$C,110,'Diario Adm'!$B:$B,Y1)+V3</f>
        <v>3670264</v>
      </c>
      <c r="AA3" s="157" t="s">
        <v>273</v>
      </c>
      <c r="AB3" s="183">
        <f>SUMIFS('Diario Adm'!$E:$E,'Diario Adm'!$C:$C,110,'Diario Adm'!$B:$B,AB1)+Y3</f>
        <v>4293192</v>
      </c>
      <c r="AD3" s="157" t="s">
        <v>274</v>
      </c>
      <c r="AE3" s="183">
        <f>SUMIFS('Diario Adm'!$E:$E,'Diario Adm'!$C:$C,110,'Diario Adm'!$B:$B,AE1)+AB3</f>
        <v>2225076</v>
      </c>
      <c r="AG3" s="157" t="s">
        <v>275</v>
      </c>
      <c r="AH3" s="183">
        <f>SUMIFS('Diario Adm'!$E:$E,'Diario Adm'!$C:$C,110,'Diario Adm'!$B:$B,AH1)+AE3</f>
        <v>9518979</v>
      </c>
      <c r="AJ3" s="157" t="s">
        <v>264</v>
      </c>
      <c r="AK3" s="183">
        <f>SUMIFS('Diario Adm'!$E:$E,'Diario Adm'!$C:$C,110,'Diario Adm'!$B:$B,AK1)+AH3</f>
        <v>2545316</v>
      </c>
    </row>
    <row r="4" spans="3:37" x14ac:dyDescent="0.25">
      <c r="C4" s="157" t="s">
        <v>277</v>
      </c>
      <c r="D4" s="183">
        <v>4186313</v>
      </c>
      <c r="F4" s="157" t="s">
        <v>278</v>
      </c>
      <c r="G4" s="183">
        <v>2191578</v>
      </c>
      <c r="I4" s="157" t="s">
        <v>279</v>
      </c>
      <c r="J4" s="183">
        <v>1915580</v>
      </c>
      <c r="K4" s="180"/>
      <c r="L4" s="157" t="s">
        <v>280</v>
      </c>
      <c r="M4" s="183">
        <v>4358561</v>
      </c>
      <c r="O4" s="157" t="s">
        <v>281</v>
      </c>
      <c r="P4" s="183">
        <v>3203305</v>
      </c>
      <c r="R4" s="157" t="s">
        <v>282</v>
      </c>
      <c r="S4" s="183">
        <v>3576927</v>
      </c>
      <c r="U4" s="157" t="s">
        <v>283</v>
      </c>
      <c r="V4" s="183">
        <v>1556358</v>
      </c>
      <c r="X4" s="157" t="s">
        <v>284</v>
      </c>
      <c r="Y4" s="183">
        <v>3670279</v>
      </c>
      <c r="AA4" s="157" t="s">
        <v>285</v>
      </c>
      <c r="AB4" s="183">
        <v>4293207</v>
      </c>
      <c r="AD4" s="157" t="s">
        <v>286</v>
      </c>
      <c r="AE4" s="183">
        <v>2225091</v>
      </c>
      <c r="AG4" s="157" t="s">
        <v>287</v>
      </c>
      <c r="AH4" s="516">
        <v>9518994</v>
      </c>
      <c r="AJ4" s="157" t="s">
        <v>276</v>
      </c>
      <c r="AK4" s="183">
        <v>2545316</v>
      </c>
    </row>
    <row r="5" spans="3:37" x14ac:dyDescent="0.25">
      <c r="C5" s="157" t="s">
        <v>288</v>
      </c>
      <c r="D5" s="184">
        <f>+D3-D4</f>
        <v>-15</v>
      </c>
      <c r="F5" s="157" t="s">
        <v>288</v>
      </c>
      <c r="G5" s="184">
        <f>+G3-G4</f>
        <v>-15</v>
      </c>
      <c r="I5" s="157" t="s">
        <v>288</v>
      </c>
      <c r="J5" s="184">
        <f>+J3-J4</f>
        <v>-15</v>
      </c>
      <c r="K5" s="180"/>
      <c r="L5" s="157" t="s">
        <v>288</v>
      </c>
      <c r="M5" s="184">
        <f>+M3-M4</f>
        <v>-15</v>
      </c>
      <c r="O5" s="157" t="s">
        <v>288</v>
      </c>
      <c r="P5" s="184">
        <f>+P3-P4</f>
        <v>-15</v>
      </c>
      <c r="R5" s="157" t="s">
        <v>288</v>
      </c>
      <c r="S5" s="184">
        <f>+S3-S4</f>
        <v>-15</v>
      </c>
      <c r="U5" s="157" t="s">
        <v>288</v>
      </c>
      <c r="V5" s="184">
        <f>+V3-V4</f>
        <v>-15</v>
      </c>
      <c r="X5" s="157" t="s">
        <v>288</v>
      </c>
      <c r="Y5" s="183">
        <f>+Y3-Y4</f>
        <v>-15</v>
      </c>
      <c r="AA5" s="157" t="s">
        <v>288</v>
      </c>
      <c r="AB5" s="184">
        <f>+AB3-AB4</f>
        <v>-15</v>
      </c>
      <c r="AD5" s="157" t="s">
        <v>288</v>
      </c>
      <c r="AE5" s="184">
        <f>+AE3-AE4</f>
        <v>-15</v>
      </c>
      <c r="AG5" s="157" t="s">
        <v>288</v>
      </c>
      <c r="AH5" s="184">
        <f>+AH3-AH4</f>
        <v>-15</v>
      </c>
      <c r="AJ5" s="157" t="s">
        <v>288</v>
      </c>
      <c r="AK5" s="184">
        <f>+AK3-AK4</f>
        <v>0</v>
      </c>
    </row>
    <row r="6" spans="3:37" x14ac:dyDescent="0.25">
      <c r="C6" s="157"/>
      <c r="D6" s="183"/>
      <c r="F6" s="157"/>
      <c r="G6" s="183">
        <f>+G5+15</f>
        <v>0</v>
      </c>
      <c r="I6" s="157"/>
      <c r="J6" s="183"/>
      <c r="L6" s="157"/>
      <c r="M6" s="183"/>
      <c r="O6" s="157"/>
      <c r="P6" s="183"/>
      <c r="R6" s="157"/>
      <c r="S6" s="183"/>
      <c r="U6" s="157"/>
      <c r="V6" s="183"/>
      <c r="X6" s="157"/>
      <c r="Y6" s="183"/>
      <c r="AA6" s="157"/>
      <c r="AB6" s="183"/>
      <c r="AD6" s="157"/>
      <c r="AE6" s="183"/>
      <c r="AG6" s="157"/>
      <c r="AH6" s="183"/>
      <c r="AJ6" s="157"/>
      <c r="AK6" s="183"/>
    </row>
    <row r="7" spans="3:37" x14ac:dyDescent="0.25">
      <c r="C7" s="157"/>
      <c r="D7" s="183"/>
      <c r="F7" s="157"/>
      <c r="G7" s="183">
        <f>+G6/2</f>
        <v>0</v>
      </c>
      <c r="I7" s="157"/>
      <c r="J7" s="183"/>
      <c r="L7" s="157"/>
      <c r="M7" s="183"/>
      <c r="O7" s="157"/>
      <c r="P7" s="183"/>
      <c r="R7" s="157"/>
      <c r="S7" s="183"/>
      <c r="U7" s="157"/>
      <c r="V7" s="183"/>
      <c r="X7" s="157"/>
      <c r="Y7" s="183"/>
      <c r="AA7" s="157"/>
      <c r="AB7" s="183"/>
      <c r="AD7" s="157"/>
      <c r="AE7" s="183"/>
      <c r="AG7" s="157"/>
      <c r="AH7" s="183"/>
      <c r="AJ7" s="157"/>
      <c r="AK7" s="183"/>
    </row>
    <row r="8" spans="3:37" x14ac:dyDescent="0.25">
      <c r="C8" s="157" t="s">
        <v>289</v>
      </c>
      <c r="D8" s="183"/>
      <c r="F8" s="157" t="s">
        <v>289</v>
      </c>
      <c r="G8" s="183"/>
      <c r="I8" s="157" t="s">
        <v>289</v>
      </c>
      <c r="J8" s="183"/>
      <c r="L8" s="157" t="s">
        <v>289</v>
      </c>
      <c r="M8" s="183"/>
      <c r="O8" s="157" t="s">
        <v>289</v>
      </c>
      <c r="P8" s="183"/>
      <c r="R8" s="157" t="s">
        <v>289</v>
      </c>
      <c r="S8" s="183"/>
      <c r="U8" s="157" t="s">
        <v>289</v>
      </c>
      <c r="V8" s="183"/>
      <c r="X8" s="157" t="s">
        <v>289</v>
      </c>
      <c r="Y8" s="183"/>
      <c r="AA8" s="157" t="s">
        <v>289</v>
      </c>
      <c r="AB8" s="183"/>
      <c r="AD8" s="157" t="s">
        <v>289</v>
      </c>
      <c r="AE8" s="183"/>
      <c r="AG8" s="157" t="s">
        <v>289</v>
      </c>
      <c r="AH8" s="183"/>
      <c r="AJ8" s="157" t="s">
        <v>289</v>
      </c>
      <c r="AK8" s="183"/>
    </row>
    <row r="9" spans="3:37" x14ac:dyDescent="0.25">
      <c r="C9" s="157"/>
      <c r="D9" s="183"/>
      <c r="F9" s="157"/>
      <c r="G9" s="183"/>
      <c r="I9" s="188"/>
      <c r="J9" s="183"/>
      <c r="L9" s="157"/>
      <c r="M9" s="183"/>
      <c r="O9" s="157"/>
      <c r="P9" s="183"/>
      <c r="R9" s="157"/>
      <c r="S9" s="183"/>
      <c r="U9" s="157"/>
      <c r="V9" s="183"/>
      <c r="X9" s="157"/>
      <c r="Y9" s="183"/>
      <c r="AA9" s="157"/>
      <c r="AB9" s="183"/>
      <c r="AD9" s="157"/>
      <c r="AE9" s="183"/>
      <c r="AG9" s="157"/>
      <c r="AH9" s="183"/>
      <c r="AJ9" s="157"/>
      <c r="AK9" s="183"/>
    </row>
    <row r="10" spans="3:37" x14ac:dyDescent="0.25">
      <c r="C10" s="157"/>
      <c r="D10" s="183"/>
      <c r="F10" s="157"/>
      <c r="G10" s="183"/>
      <c r="I10" s="188"/>
      <c r="J10" s="183"/>
      <c r="L10" s="157"/>
      <c r="M10" s="183"/>
      <c r="O10" s="157"/>
      <c r="P10" s="183"/>
      <c r="R10" s="157"/>
      <c r="S10" s="259"/>
      <c r="U10" s="157"/>
      <c r="V10" s="377"/>
      <c r="X10" s="157"/>
      <c r="Y10" s="377"/>
      <c r="AA10" s="157"/>
      <c r="AB10" s="377"/>
      <c r="AD10" s="157"/>
      <c r="AE10" s="377"/>
      <c r="AG10" s="157"/>
      <c r="AH10" s="377"/>
      <c r="AJ10" s="157"/>
      <c r="AK10" s="377"/>
    </row>
    <row r="11" spans="3:37" x14ac:dyDescent="0.25">
      <c r="C11" s="157"/>
      <c r="D11" s="183"/>
      <c r="F11" s="188"/>
      <c r="G11" s="183"/>
      <c r="I11" s="188"/>
      <c r="J11" s="183"/>
      <c r="L11" s="157"/>
      <c r="M11" s="183"/>
      <c r="O11" s="157"/>
      <c r="P11" s="183"/>
      <c r="R11" s="157"/>
      <c r="S11" s="259"/>
      <c r="U11" s="157"/>
      <c r="V11" s="377"/>
      <c r="X11" s="157"/>
      <c r="Y11" s="377"/>
      <c r="AA11" s="157"/>
      <c r="AB11" s="377"/>
      <c r="AD11" s="157"/>
      <c r="AE11" s="377"/>
      <c r="AG11" s="157"/>
      <c r="AH11" s="377"/>
      <c r="AJ11" s="157"/>
      <c r="AK11" s="377"/>
    </row>
    <row r="12" spans="3:37" x14ac:dyDescent="0.25">
      <c r="C12" s="157"/>
      <c r="D12" s="183"/>
      <c r="F12" s="157"/>
      <c r="G12" s="183"/>
      <c r="I12" s="188"/>
      <c r="J12" s="183"/>
      <c r="L12" s="157"/>
      <c r="M12" s="183"/>
      <c r="O12" s="157"/>
      <c r="P12" s="183"/>
      <c r="R12" s="157"/>
      <c r="S12" s="259"/>
      <c r="U12" s="157"/>
      <c r="V12" s="377"/>
      <c r="X12" s="157"/>
      <c r="Y12" s="183"/>
      <c r="AA12" s="188"/>
      <c r="AB12" s="183"/>
      <c r="AD12" s="188"/>
      <c r="AE12" s="183" t="s">
        <v>2193</v>
      </c>
      <c r="AG12" s="157"/>
      <c r="AH12" s="377"/>
      <c r="AJ12" s="157"/>
      <c r="AK12" s="377"/>
    </row>
    <row r="13" spans="3:37" x14ac:dyDescent="0.25">
      <c r="C13" s="157" t="s">
        <v>765</v>
      </c>
      <c r="D13" s="183">
        <v>0</v>
      </c>
      <c r="F13" s="157"/>
      <c r="G13" s="183"/>
      <c r="I13" s="188"/>
      <c r="J13" s="183"/>
      <c r="L13" s="157"/>
      <c r="M13" s="183"/>
      <c r="O13" s="157"/>
      <c r="P13" s="183"/>
      <c r="R13" s="157"/>
      <c r="S13" s="259"/>
      <c r="U13" s="157"/>
      <c r="V13" s="377"/>
      <c r="X13" s="157"/>
      <c r="Y13" s="183"/>
      <c r="AA13" s="157"/>
      <c r="AB13" s="183"/>
      <c r="AD13" s="188"/>
      <c r="AE13" s="183"/>
      <c r="AG13" s="157"/>
      <c r="AH13" s="377"/>
      <c r="AJ13" s="157"/>
      <c r="AK13" s="377"/>
    </row>
    <row r="14" spans="3:37" x14ac:dyDescent="0.25">
      <c r="C14" s="157"/>
      <c r="D14" s="183"/>
      <c r="F14" s="157"/>
      <c r="G14" s="183"/>
      <c r="I14" s="188"/>
      <c r="J14" s="183"/>
      <c r="L14" s="157"/>
      <c r="M14" s="183"/>
      <c r="O14" s="157"/>
      <c r="P14" s="183"/>
      <c r="R14" s="157"/>
      <c r="S14" s="259"/>
      <c r="U14" s="157"/>
      <c r="V14" s="259"/>
      <c r="X14" s="157"/>
      <c r="Y14" s="183"/>
      <c r="AA14" s="157"/>
      <c r="AB14" s="183"/>
      <c r="AD14" s="188"/>
      <c r="AE14" s="183"/>
      <c r="AG14" s="157"/>
      <c r="AH14" s="377"/>
      <c r="AJ14" s="157"/>
      <c r="AK14" s="377"/>
    </row>
    <row r="15" spans="3:37" x14ac:dyDescent="0.25">
      <c r="C15" s="157"/>
      <c r="D15" s="183"/>
      <c r="F15" s="157"/>
      <c r="G15" s="183"/>
      <c r="I15" s="188"/>
      <c r="J15" s="183"/>
      <c r="L15" s="157"/>
      <c r="M15" s="183"/>
      <c r="O15" s="188"/>
      <c r="P15" s="183"/>
      <c r="R15" s="157"/>
      <c r="S15" s="259"/>
      <c r="U15" s="157"/>
      <c r="V15" s="259"/>
      <c r="X15" s="157"/>
      <c r="Y15" s="183"/>
      <c r="AA15" s="157"/>
      <c r="AB15" s="183"/>
      <c r="AD15" s="157"/>
      <c r="AE15" s="378"/>
      <c r="AG15" s="157"/>
      <c r="AH15" s="377"/>
      <c r="AJ15" s="157"/>
      <c r="AK15" s="377"/>
    </row>
    <row r="16" spans="3:37" x14ac:dyDescent="0.25">
      <c r="C16" s="157"/>
      <c r="D16" s="183"/>
      <c r="F16" s="157"/>
      <c r="G16" s="183"/>
      <c r="I16" s="188"/>
      <c r="J16" s="183"/>
      <c r="L16" s="157"/>
      <c r="M16" s="183"/>
      <c r="O16" s="188"/>
      <c r="P16" s="183"/>
      <c r="R16" s="157"/>
      <c r="S16" s="259"/>
      <c r="U16" s="188"/>
      <c r="V16" s="259"/>
      <c r="X16" s="157"/>
      <c r="Y16" s="183"/>
      <c r="AA16" s="157"/>
      <c r="AB16" s="183"/>
      <c r="AD16" s="157"/>
      <c r="AE16" s="378"/>
      <c r="AG16" s="157"/>
      <c r="AH16" s="377"/>
      <c r="AJ16" s="157"/>
      <c r="AK16" s="377"/>
    </row>
    <row r="17" spans="3:37" x14ac:dyDescent="0.25">
      <c r="C17" s="157"/>
      <c r="D17" s="183"/>
      <c r="F17" s="157"/>
      <c r="G17" s="183"/>
      <c r="I17" s="188"/>
      <c r="J17" s="183"/>
      <c r="L17" s="157"/>
      <c r="M17" s="183"/>
      <c r="O17" s="188"/>
      <c r="P17" s="183"/>
      <c r="R17" s="157"/>
      <c r="S17" s="259"/>
      <c r="U17" s="188"/>
      <c r="V17" s="259"/>
      <c r="X17" s="157"/>
      <c r="Y17" s="183"/>
      <c r="AA17" s="157"/>
      <c r="AB17" s="183"/>
      <c r="AD17" s="157"/>
      <c r="AE17" s="378"/>
      <c r="AG17" s="157"/>
      <c r="AH17" s="377"/>
      <c r="AJ17" s="157"/>
      <c r="AK17" s="377"/>
    </row>
    <row r="18" spans="3:37" x14ac:dyDescent="0.25">
      <c r="C18" s="157"/>
      <c r="D18" s="183"/>
      <c r="F18" s="157"/>
      <c r="G18" s="183"/>
      <c r="I18" s="188"/>
      <c r="J18" s="183"/>
      <c r="L18" s="157"/>
      <c r="M18" s="183"/>
      <c r="O18" s="188"/>
      <c r="P18" s="183"/>
      <c r="R18" s="157"/>
      <c r="S18" s="259"/>
      <c r="U18" s="188"/>
      <c r="V18" s="259"/>
      <c r="X18" s="157"/>
      <c r="Y18" s="183"/>
      <c r="AA18" s="157"/>
      <c r="AB18" s="183"/>
      <c r="AD18" s="157"/>
      <c r="AE18" s="378"/>
      <c r="AG18" s="157"/>
      <c r="AH18" s="377"/>
      <c r="AJ18" s="157"/>
      <c r="AK18" s="377"/>
    </row>
    <row r="19" spans="3:37" x14ac:dyDescent="0.25">
      <c r="C19" s="157"/>
      <c r="D19" s="183"/>
      <c r="F19" s="157"/>
      <c r="G19" s="183"/>
      <c r="I19" s="188"/>
      <c r="J19" s="183"/>
      <c r="L19" s="157"/>
      <c r="M19" s="183"/>
      <c r="O19" s="188"/>
      <c r="P19" s="183"/>
      <c r="R19" s="188"/>
      <c r="S19" s="183"/>
      <c r="U19" s="157"/>
      <c r="V19" s="259"/>
      <c r="X19" s="157"/>
      <c r="Y19" s="259"/>
      <c r="AA19" s="157"/>
      <c r="AB19" s="183"/>
      <c r="AD19" s="157"/>
      <c r="AE19" s="183"/>
      <c r="AG19" s="157"/>
      <c r="AH19" s="377"/>
      <c r="AJ19" s="157"/>
      <c r="AK19" s="377"/>
    </row>
    <row r="20" spans="3:37" x14ac:dyDescent="0.25">
      <c r="C20" s="157"/>
      <c r="D20" s="183"/>
      <c r="F20" s="157"/>
      <c r="G20" s="183"/>
      <c r="I20" s="188"/>
      <c r="J20" s="183"/>
      <c r="L20" s="157"/>
      <c r="M20" s="183"/>
      <c r="O20" s="188"/>
      <c r="P20" s="183"/>
      <c r="R20" s="157"/>
      <c r="S20" s="259"/>
      <c r="U20" s="157"/>
      <c r="V20" s="378"/>
      <c r="X20" s="188"/>
      <c r="Y20" s="183"/>
      <c r="AA20" s="157"/>
      <c r="AB20" s="183"/>
      <c r="AD20" s="157"/>
      <c r="AE20" s="183"/>
      <c r="AG20" s="157"/>
      <c r="AH20" s="377"/>
      <c r="AJ20" s="157"/>
      <c r="AK20" s="377"/>
    </row>
    <row r="21" spans="3:37" x14ac:dyDescent="0.25">
      <c r="C21" s="157"/>
      <c r="D21" s="183"/>
      <c r="F21" s="157"/>
      <c r="G21" s="183"/>
      <c r="I21" s="188"/>
      <c r="J21" s="183"/>
      <c r="L21" s="157"/>
      <c r="M21" s="183"/>
      <c r="O21" s="188"/>
      <c r="P21" s="183"/>
      <c r="R21" s="188"/>
      <c r="S21" s="183"/>
      <c r="U21" s="157"/>
      <c r="V21" s="378"/>
      <c r="X21" s="157"/>
      <c r="Y21" s="259"/>
      <c r="AA21" s="188"/>
      <c r="AB21" s="183"/>
      <c r="AD21" s="188"/>
      <c r="AE21" s="183"/>
      <c r="AG21" s="157"/>
      <c r="AH21" s="377"/>
      <c r="AJ21" s="157"/>
      <c r="AK21" s="377"/>
    </row>
    <row r="22" spans="3:37" x14ac:dyDescent="0.25">
      <c r="C22" s="157"/>
      <c r="D22" s="183"/>
      <c r="F22" s="157"/>
      <c r="G22" s="183"/>
      <c r="I22" s="188"/>
      <c r="J22" s="183"/>
      <c r="L22" s="157"/>
      <c r="M22" s="183"/>
      <c r="O22" s="188"/>
      <c r="P22" s="183"/>
      <c r="R22" s="157"/>
      <c r="S22" s="183"/>
      <c r="U22" s="157"/>
      <c r="V22" s="183"/>
      <c r="X22" s="188"/>
      <c r="Y22" s="183"/>
      <c r="AA22" s="157"/>
      <c r="AB22" s="183"/>
      <c r="AD22" s="157"/>
      <c r="AE22" s="184"/>
      <c r="AG22" s="157"/>
      <c r="AH22" s="183"/>
      <c r="AJ22" s="157"/>
      <c r="AK22" s="377"/>
    </row>
    <row r="23" spans="3:37" x14ac:dyDescent="0.25">
      <c r="C23" s="157"/>
      <c r="D23" s="183"/>
      <c r="F23" s="157"/>
      <c r="G23" s="183"/>
      <c r="I23" s="188"/>
      <c r="J23" s="183"/>
      <c r="L23" s="157"/>
      <c r="M23" s="183"/>
      <c r="O23" s="188"/>
      <c r="P23" s="183"/>
      <c r="R23" s="157"/>
      <c r="S23" s="183"/>
      <c r="U23" s="157"/>
      <c r="V23" s="183"/>
      <c r="X23" s="157"/>
      <c r="Y23" s="183"/>
      <c r="AA23" s="157"/>
      <c r="AB23" s="183"/>
      <c r="AD23" s="157"/>
      <c r="AE23" s="184"/>
      <c r="AG23" s="157"/>
      <c r="AH23" s="183"/>
      <c r="AJ23" s="157"/>
      <c r="AK23" s="377"/>
    </row>
    <row r="24" spans="3:37" x14ac:dyDescent="0.25">
      <c r="C24" s="157"/>
      <c r="D24" s="183"/>
      <c r="F24" s="157"/>
      <c r="G24" s="183"/>
      <c r="I24" s="188"/>
      <c r="J24" s="183"/>
      <c r="L24" s="157"/>
      <c r="M24" s="183"/>
      <c r="O24" s="188"/>
      <c r="P24" s="183"/>
      <c r="R24" s="188"/>
      <c r="S24" s="183"/>
      <c r="U24" s="157"/>
      <c r="V24" s="183"/>
      <c r="X24" s="157"/>
      <c r="Y24" s="183"/>
      <c r="AA24" s="157"/>
      <c r="AB24" s="183"/>
      <c r="AD24" s="157"/>
      <c r="AE24" s="184"/>
      <c r="AG24" s="157"/>
      <c r="AH24" s="183"/>
      <c r="AJ24" s="157"/>
      <c r="AK24" s="377"/>
    </row>
    <row r="25" spans="3:37" x14ac:dyDescent="0.25">
      <c r="C25" s="157"/>
      <c r="D25" s="183"/>
      <c r="F25" s="157"/>
      <c r="G25" s="183"/>
      <c r="I25" s="157"/>
      <c r="J25" s="183"/>
      <c r="L25" s="157"/>
      <c r="M25" s="184"/>
      <c r="O25" s="157"/>
      <c r="P25" s="184"/>
      <c r="R25" s="157"/>
      <c r="S25" s="183"/>
      <c r="U25" s="157"/>
      <c r="V25" s="183"/>
      <c r="X25" s="157"/>
      <c r="Y25" s="183"/>
      <c r="AA25" s="157"/>
      <c r="AB25" s="183"/>
      <c r="AD25" s="157"/>
      <c r="AE25" s="183"/>
      <c r="AG25" s="157"/>
      <c r="AH25" s="183"/>
      <c r="AJ25" s="157"/>
      <c r="AK25" s="183"/>
    </row>
    <row r="26" spans="3:37" x14ac:dyDescent="0.25">
      <c r="C26" s="157" t="s">
        <v>291</v>
      </c>
      <c r="D26" s="183">
        <f>SUM(D8:D25)</f>
        <v>0</v>
      </c>
      <c r="F26" s="157" t="s">
        <v>291</v>
      </c>
      <c r="G26" s="183">
        <f>SUM(G8:G25)</f>
        <v>0</v>
      </c>
      <c r="I26" s="157" t="s">
        <v>291</v>
      </c>
      <c r="J26" s="183">
        <f>SUM(J8:J25)</f>
        <v>0</v>
      </c>
      <c r="L26" s="157" t="s">
        <v>291</v>
      </c>
      <c r="M26" s="183">
        <f>SUM(M8:M25)</f>
        <v>0</v>
      </c>
      <c r="O26" s="157" t="s">
        <v>291</v>
      </c>
      <c r="P26" s="183">
        <f>SUM(P9:P25)</f>
        <v>0</v>
      </c>
      <c r="R26" s="157" t="s">
        <v>291</v>
      </c>
      <c r="S26" s="184">
        <f>SUM(S9:S25)</f>
        <v>0</v>
      </c>
      <c r="U26" s="157" t="s">
        <v>291</v>
      </c>
      <c r="V26" s="184">
        <f>SUM(V9:V25)</f>
        <v>0</v>
      </c>
      <c r="X26" s="157" t="s">
        <v>291</v>
      </c>
      <c r="Y26" s="184">
        <f>SUM(Y9:Y25)</f>
        <v>0</v>
      </c>
      <c r="AA26" s="157" t="s">
        <v>291</v>
      </c>
      <c r="AB26" s="184">
        <f>SUM(AB9:AB25)</f>
        <v>0</v>
      </c>
      <c r="AD26" s="157" t="s">
        <v>291</v>
      </c>
      <c r="AE26" s="184">
        <f>SUM(AE9:AE25)</f>
        <v>0</v>
      </c>
      <c r="AG26" s="157" t="s">
        <v>291</v>
      </c>
      <c r="AH26" s="184">
        <f>SUM(AH9:AH25)</f>
        <v>0</v>
      </c>
      <c r="AJ26" s="157" t="s">
        <v>291</v>
      </c>
      <c r="AK26" s="184">
        <f>SUM(AK9:AK25)</f>
        <v>0</v>
      </c>
    </row>
    <row r="27" spans="3:37" x14ac:dyDescent="0.25">
      <c r="C27" s="157"/>
      <c r="D27" s="183"/>
      <c r="F27" s="157"/>
      <c r="G27" s="183"/>
      <c r="I27" s="157"/>
      <c r="J27" s="183"/>
      <c r="L27" s="157"/>
      <c r="M27" s="183"/>
      <c r="O27" s="157"/>
      <c r="P27" s="183"/>
      <c r="R27" s="157"/>
      <c r="S27" s="183"/>
      <c r="U27" s="157"/>
      <c r="V27" s="183"/>
      <c r="X27" s="157"/>
      <c r="Y27" s="183"/>
      <c r="AA27" s="157"/>
      <c r="AB27" s="183"/>
      <c r="AD27" s="157"/>
      <c r="AE27" s="183"/>
      <c r="AG27" s="157"/>
      <c r="AH27" s="183"/>
      <c r="AJ27" s="157"/>
      <c r="AK27" s="183"/>
    </row>
    <row r="28" spans="3:37" x14ac:dyDescent="0.25">
      <c r="C28" s="157"/>
      <c r="D28" s="183"/>
      <c r="F28" s="157"/>
      <c r="G28" s="183"/>
      <c r="I28" s="157"/>
      <c r="J28" s="183"/>
      <c r="L28" s="157"/>
      <c r="M28" s="183"/>
      <c r="O28" s="157"/>
      <c r="P28" s="183"/>
      <c r="R28" s="157"/>
      <c r="S28" s="183"/>
      <c r="U28" s="157"/>
      <c r="V28" s="183"/>
      <c r="X28" s="157"/>
      <c r="Y28" s="183"/>
      <c r="AA28" s="157"/>
      <c r="AB28" s="183"/>
      <c r="AD28" s="157"/>
      <c r="AE28" s="183"/>
      <c r="AG28" s="157"/>
      <c r="AH28" s="183"/>
      <c r="AJ28" s="157"/>
      <c r="AK28" s="183"/>
    </row>
    <row r="29" spans="3:37" x14ac:dyDescent="0.25">
      <c r="C29" s="185" t="s">
        <v>292</v>
      </c>
      <c r="D29" s="186">
        <f>+D5+D26</f>
        <v>-15</v>
      </c>
      <c r="F29" s="185" t="s">
        <v>292</v>
      </c>
      <c r="G29" s="186">
        <f>+G5+G26</f>
        <v>-15</v>
      </c>
      <c r="I29" s="185" t="s">
        <v>292</v>
      </c>
      <c r="J29" s="186">
        <f>+J5+J26</f>
        <v>-15</v>
      </c>
      <c r="K29" s="180"/>
      <c r="L29" s="185" t="s">
        <v>292</v>
      </c>
      <c r="M29" s="186">
        <f>+M5+M26</f>
        <v>-15</v>
      </c>
      <c r="O29" s="185" t="s">
        <v>292</v>
      </c>
      <c r="P29" s="186">
        <f>+P5+P26</f>
        <v>-15</v>
      </c>
      <c r="R29" s="185" t="s">
        <v>292</v>
      </c>
      <c r="S29" s="186">
        <f>+S5+S26</f>
        <v>-15</v>
      </c>
      <c r="U29" s="185" t="s">
        <v>292</v>
      </c>
      <c r="V29" s="186">
        <f>+V5+V26</f>
        <v>-15</v>
      </c>
      <c r="X29" s="185" t="s">
        <v>292</v>
      </c>
      <c r="Y29" s="186">
        <f>+Y5+Y26</f>
        <v>-15</v>
      </c>
      <c r="AA29" s="185" t="s">
        <v>292</v>
      </c>
      <c r="AB29" s="186">
        <f>+AB5+AB26</f>
        <v>-15</v>
      </c>
      <c r="AD29" s="185" t="s">
        <v>292</v>
      </c>
      <c r="AE29" s="186">
        <f>+AE5+AE26</f>
        <v>-15</v>
      </c>
      <c r="AG29" s="185" t="s">
        <v>292</v>
      </c>
      <c r="AH29" s="186">
        <f>+AH5+AH26</f>
        <v>-15</v>
      </c>
      <c r="AJ29" s="185" t="s">
        <v>292</v>
      </c>
      <c r="AK29" s="186">
        <f>+AK5+AK26</f>
        <v>0</v>
      </c>
    </row>
    <row r="30" spans="3:37" x14ac:dyDescent="0.25">
      <c r="C30" s="158"/>
      <c r="D30" s="187">
        <v>0</v>
      </c>
      <c r="F30" s="158"/>
      <c r="G30" s="187">
        <f>+D29-G29</f>
        <v>0</v>
      </c>
      <c r="I30" s="158"/>
      <c r="J30" s="187">
        <f>+G29-J29</f>
        <v>0</v>
      </c>
      <c r="L30" s="158"/>
      <c r="M30" s="187">
        <f>+J29-M29</f>
        <v>0</v>
      </c>
      <c r="O30" s="158"/>
      <c r="P30" s="187">
        <f>+M29-P29</f>
        <v>0</v>
      </c>
      <c r="R30" s="158"/>
      <c r="S30" s="187">
        <f>+P29-S29</f>
        <v>0</v>
      </c>
      <c r="U30" s="158"/>
      <c r="V30" s="187">
        <f>+S29-V29</f>
        <v>0</v>
      </c>
      <c r="X30" s="158"/>
      <c r="Y30" s="187">
        <f>+V29-Y29</f>
        <v>0</v>
      </c>
      <c r="AA30" s="158"/>
      <c r="AB30" s="187">
        <f>+Y29-AB29</f>
        <v>0</v>
      </c>
      <c r="AD30" s="158"/>
      <c r="AE30" s="187">
        <f>+AB29-AE29</f>
        <v>0</v>
      </c>
      <c r="AG30" s="158"/>
      <c r="AH30" s="187">
        <f>+AE29-AH29</f>
        <v>0</v>
      </c>
      <c r="AJ30" s="158"/>
      <c r="AK30" s="187">
        <f>+AH29-AK29</f>
        <v>-15</v>
      </c>
    </row>
    <row r="32" spans="3:37" x14ac:dyDescent="0.25">
      <c r="J32">
        <f>+J30/2</f>
        <v>0</v>
      </c>
    </row>
    <row r="33" spans="33:34" x14ac:dyDescent="0.25">
      <c r="AH33" s="180"/>
    </row>
    <row r="45" spans="33:34" x14ac:dyDescent="0.25">
      <c r="AG45">
        <f>+AE45*AF45</f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Q9323"/>
  <sheetViews>
    <sheetView zoomScale="70" zoomScaleNormal="70" workbookViewId="0">
      <pane xSplit="2" ySplit="1" topLeftCell="C7214" activePane="bottomRight" state="frozen"/>
      <selection pane="topRight" activeCell="C1" sqref="C1"/>
      <selection pane="bottomLeft" activeCell="A2" sqref="A2"/>
      <selection pane="bottomRight" activeCell="F7230" sqref="F7230"/>
    </sheetView>
  </sheetViews>
  <sheetFormatPr baseColWidth="10" defaultColWidth="10.8984375" defaultRowHeight="15.65" x14ac:dyDescent="0.25"/>
  <cols>
    <col min="1" max="1" width="11.3984375" style="339" customWidth="1"/>
    <col min="2" max="2" width="5.59765625" style="340" customWidth="1"/>
    <col min="3" max="3" width="7.296875" style="338" bestFit="1" customWidth="1"/>
    <col min="4" max="4" width="39.296875" style="340" bestFit="1" customWidth="1"/>
    <col min="5" max="5" width="13.59765625" style="341" bestFit="1" customWidth="1"/>
    <col min="6" max="6" width="17" style="345" customWidth="1"/>
    <col min="7" max="7" width="14.796875" style="345" customWidth="1"/>
    <col min="8" max="8" width="51.59765625" style="338" customWidth="1"/>
    <col min="9" max="9" width="12.796875" style="340" bestFit="1" customWidth="1"/>
    <col min="10" max="10" width="13.19921875" style="340" customWidth="1"/>
    <col min="11" max="11" width="16.19921875" style="209" customWidth="1"/>
    <col min="12" max="12" width="12.796875" style="340" customWidth="1"/>
    <col min="13" max="13" width="11.59765625" style="338" customWidth="1"/>
    <col min="14" max="14" width="34.3984375" bestFit="1" customWidth="1"/>
    <col min="15" max="15" width="35.59765625" style="338" bestFit="1" customWidth="1"/>
    <col min="16" max="16384" width="10.8984375" style="338"/>
  </cols>
  <sheetData>
    <row r="1" spans="1:16" x14ac:dyDescent="0.25">
      <c r="A1" s="336" t="s">
        <v>111</v>
      </c>
      <c r="B1" s="336" t="s">
        <v>112</v>
      </c>
      <c r="C1" s="336" t="s">
        <v>124</v>
      </c>
      <c r="D1" s="336" t="s">
        <v>113</v>
      </c>
      <c r="E1" s="337" t="s">
        <v>298</v>
      </c>
      <c r="F1" s="337" t="s">
        <v>114</v>
      </c>
      <c r="G1" s="337" t="s">
        <v>115</v>
      </c>
      <c r="H1" s="336" t="s">
        <v>116</v>
      </c>
      <c r="I1" s="336" t="s">
        <v>297</v>
      </c>
      <c r="J1" s="336" t="s">
        <v>573</v>
      </c>
      <c r="K1" s="363" t="s">
        <v>612</v>
      </c>
      <c r="L1" s="336" t="s">
        <v>609</v>
      </c>
      <c r="M1" s="336" t="s">
        <v>624</v>
      </c>
      <c r="N1" s="363" t="s">
        <v>448</v>
      </c>
      <c r="O1" s="524" t="s">
        <v>2346</v>
      </c>
      <c r="P1" s="524" t="s">
        <v>2347</v>
      </c>
    </row>
    <row r="2" spans="1:16" ht="14.95" customHeight="1" x14ac:dyDescent="0.25">
      <c r="A2" s="339">
        <v>44197</v>
      </c>
      <c r="B2" s="340">
        <v>1</v>
      </c>
      <c r="C2">
        <v>110</v>
      </c>
      <c r="D2" s="340" t="str">
        <f>VLOOKUP(C2,Plan!A$1:B$65542,2,0)</f>
        <v>Disponible Administración</v>
      </c>
      <c r="E2" s="359">
        <f>+Tabla_3[[#This Row],[Debe]]-Tabla_3[[#This Row],[Haber]]</f>
        <v>889379</v>
      </c>
      <c r="F2" s="342">
        <v>889379</v>
      </c>
      <c r="G2" s="338">
        <v>0</v>
      </c>
      <c r="H2" s="343" t="s">
        <v>725</v>
      </c>
      <c r="I2" s="401" t="s">
        <v>296</v>
      </c>
      <c r="J2" s="401"/>
      <c r="K2" s="208"/>
      <c r="L2" s="401"/>
    </row>
    <row r="3" spans="1:16" ht="14.95" customHeight="1" x14ac:dyDescent="0.25">
      <c r="A3" s="339">
        <v>44197</v>
      </c>
      <c r="B3" s="340">
        <v>1</v>
      </c>
      <c r="C3">
        <v>114</v>
      </c>
      <c r="D3" s="159" t="s">
        <v>258</v>
      </c>
      <c r="E3" s="359">
        <f t="shared" ref="E3:E21" si="0">+F3-G3</f>
        <v>200000</v>
      </c>
      <c r="F3" s="342">
        <v>200000</v>
      </c>
      <c r="G3" s="338">
        <v>0</v>
      </c>
      <c r="H3" s="343" t="s">
        <v>725</v>
      </c>
      <c r="I3" s="401" t="s">
        <v>296</v>
      </c>
      <c r="J3" s="401"/>
      <c r="K3" s="208"/>
      <c r="L3" s="401"/>
    </row>
    <row r="4" spans="1:16" ht="14.95" customHeight="1" x14ac:dyDescent="0.25">
      <c r="A4" s="339">
        <v>44197</v>
      </c>
      <c r="B4" s="340">
        <v>1</v>
      </c>
      <c r="C4">
        <v>120</v>
      </c>
      <c r="D4" s="159" t="s">
        <v>259</v>
      </c>
      <c r="E4" s="359">
        <f t="shared" si="0"/>
        <v>210</v>
      </c>
      <c r="F4" s="342">
        <v>210</v>
      </c>
      <c r="G4" s="338">
        <v>0</v>
      </c>
      <c r="H4" s="343" t="s">
        <v>725</v>
      </c>
      <c r="I4" s="401" t="s">
        <v>296</v>
      </c>
      <c r="J4" s="401"/>
      <c r="K4" s="208"/>
      <c r="L4" s="401"/>
    </row>
    <row r="5" spans="1:16" ht="14.95" customHeight="1" x14ac:dyDescent="0.25">
      <c r="A5" s="339">
        <v>44197</v>
      </c>
      <c r="B5" s="340">
        <v>1</v>
      </c>
      <c r="C5">
        <v>130</v>
      </c>
      <c r="D5" s="159" t="s">
        <v>261</v>
      </c>
      <c r="E5" s="359">
        <f t="shared" si="0"/>
        <v>590000</v>
      </c>
      <c r="F5" s="342">
        <v>590000</v>
      </c>
      <c r="G5" s="342">
        <v>0</v>
      </c>
      <c r="H5" s="343" t="s">
        <v>725</v>
      </c>
      <c r="I5" s="401" t="s">
        <v>296</v>
      </c>
      <c r="J5" s="401"/>
      <c r="K5" s="208"/>
      <c r="L5" s="401"/>
      <c r="N5" t="str">
        <f>IF(M5&lt;&gt;"",VLOOKUP(M5,Plan!F:G,2,0),"")</f>
        <v/>
      </c>
    </row>
    <row r="6" spans="1:16" ht="14.95" customHeight="1" x14ac:dyDescent="0.25">
      <c r="A6" s="339">
        <v>44197</v>
      </c>
      <c r="B6" s="340">
        <v>1</v>
      </c>
      <c r="C6">
        <v>132</v>
      </c>
      <c r="D6" s="159" t="s">
        <v>262</v>
      </c>
      <c r="E6" s="359">
        <f t="shared" si="0"/>
        <v>2748035</v>
      </c>
      <c r="F6" s="342">
        <v>2748035</v>
      </c>
      <c r="G6" s="342">
        <v>0</v>
      </c>
      <c r="H6" s="343" t="s">
        <v>725</v>
      </c>
      <c r="I6" s="401" t="s">
        <v>296</v>
      </c>
      <c r="J6" s="401"/>
      <c r="K6" s="208"/>
      <c r="L6" s="401"/>
      <c r="N6" t="str">
        <f>IF(M6&lt;&gt;"",VLOOKUP(M6,Plan!F:G,2,0),"")</f>
        <v/>
      </c>
      <c r="O6" s="342"/>
    </row>
    <row r="7" spans="1:16" ht="14.95" customHeight="1" x14ac:dyDescent="0.25">
      <c r="A7" s="339">
        <v>44197</v>
      </c>
      <c r="B7" s="340">
        <v>1</v>
      </c>
      <c r="C7">
        <v>140</v>
      </c>
      <c r="D7" s="159" t="s">
        <v>322</v>
      </c>
      <c r="E7" s="359">
        <f t="shared" si="0"/>
        <v>3900000</v>
      </c>
      <c r="F7" s="342">
        <v>3900000</v>
      </c>
      <c r="G7" s="342">
        <v>0</v>
      </c>
      <c r="H7" s="343" t="s">
        <v>725</v>
      </c>
      <c r="I7" s="401" t="s">
        <v>296</v>
      </c>
      <c r="J7" s="401"/>
      <c r="K7" s="208"/>
      <c r="L7" s="401"/>
      <c r="N7" t="str">
        <f>IF(M7&lt;&gt;"",VLOOKUP(M7,Plan!F:G,2,0),"")</f>
        <v/>
      </c>
    </row>
    <row r="8" spans="1:16" ht="14.95" customHeight="1" x14ac:dyDescent="0.25">
      <c r="A8" s="339">
        <v>44197</v>
      </c>
      <c r="B8" s="340">
        <v>1</v>
      </c>
      <c r="C8">
        <v>215</v>
      </c>
      <c r="D8" s="159" t="s">
        <v>377</v>
      </c>
      <c r="E8" s="359">
        <f t="shared" si="0"/>
        <v>-110822645</v>
      </c>
      <c r="F8" s="345">
        <v>0</v>
      </c>
      <c r="G8" s="342">
        <v>110822645</v>
      </c>
      <c r="H8" s="343" t="s">
        <v>725</v>
      </c>
      <c r="I8" s="340" t="s">
        <v>296</v>
      </c>
    </row>
    <row r="9" spans="1:16" ht="14.95" customHeight="1" x14ac:dyDescent="0.25">
      <c r="A9" s="339">
        <v>44197</v>
      </c>
      <c r="B9" s="340">
        <v>1</v>
      </c>
      <c r="C9">
        <v>220</v>
      </c>
      <c r="D9" s="159" t="s">
        <v>245</v>
      </c>
      <c r="E9" s="359">
        <f t="shared" si="0"/>
        <v>-878224</v>
      </c>
      <c r="F9" s="345">
        <v>0</v>
      </c>
      <c r="G9" s="345">
        <v>878224</v>
      </c>
      <c r="H9" s="343" t="s">
        <v>725</v>
      </c>
      <c r="I9" s="340" t="s">
        <v>296</v>
      </c>
    </row>
    <row r="10" spans="1:16" ht="14.95" customHeight="1" x14ac:dyDescent="0.25">
      <c r="A10" s="339">
        <v>44197</v>
      </c>
      <c r="B10" s="340">
        <v>1</v>
      </c>
      <c r="C10">
        <v>222</v>
      </c>
      <c r="D10" s="159" t="s">
        <v>447</v>
      </c>
      <c r="E10" s="359">
        <f t="shared" si="0"/>
        <v>-200817</v>
      </c>
      <c r="F10" s="342">
        <v>0</v>
      </c>
      <c r="G10" s="342">
        <v>200817</v>
      </c>
      <c r="H10" s="343" t="s">
        <v>725</v>
      </c>
      <c r="I10" s="401" t="s">
        <v>296</v>
      </c>
      <c r="J10" s="401"/>
      <c r="K10" s="208"/>
      <c r="L10" s="401"/>
      <c r="N10" t="str">
        <f>IF(M10&lt;&gt;"",VLOOKUP(M10,Plan!F:G,2,0),"")</f>
        <v/>
      </c>
    </row>
    <row r="11" spans="1:16" ht="14.95" customHeight="1" x14ac:dyDescent="0.25">
      <c r="A11" s="339">
        <v>44197</v>
      </c>
      <c r="B11" s="340">
        <v>1</v>
      </c>
      <c r="C11" s="370">
        <v>223</v>
      </c>
      <c r="D11" s="395" t="s">
        <v>445</v>
      </c>
      <c r="E11" s="359">
        <f t="shared" si="0"/>
        <v>-62898</v>
      </c>
      <c r="F11" s="342">
        <v>0</v>
      </c>
      <c r="G11" s="342">
        <v>62898</v>
      </c>
      <c r="H11" s="343" t="s">
        <v>725</v>
      </c>
      <c r="I11" s="401" t="s">
        <v>296</v>
      </c>
      <c r="J11" s="401"/>
      <c r="K11" s="208"/>
      <c r="L11" s="401"/>
      <c r="N11" t="str">
        <f>IF(M11&lt;&gt;"",VLOOKUP(M11,Plan!F:G,2,0),"")</f>
        <v/>
      </c>
    </row>
    <row r="12" spans="1:16" ht="14.95" customHeight="1" x14ac:dyDescent="0.25">
      <c r="A12" s="339">
        <v>44197</v>
      </c>
      <c r="B12" s="340">
        <v>1</v>
      </c>
      <c r="C12">
        <v>224</v>
      </c>
      <c r="D12" s="159" t="s">
        <v>371</v>
      </c>
      <c r="E12" s="359">
        <f t="shared" si="0"/>
        <v>-660747</v>
      </c>
      <c r="F12" s="345">
        <v>0</v>
      </c>
      <c r="G12" s="345">
        <v>660747</v>
      </c>
      <c r="H12" s="343" t="s">
        <v>725</v>
      </c>
      <c r="I12" s="340" t="s">
        <v>296</v>
      </c>
    </row>
    <row r="13" spans="1:16" ht="14.95" customHeight="1" x14ac:dyDescent="0.25">
      <c r="A13" s="339">
        <v>44197</v>
      </c>
      <c r="B13" s="340">
        <v>1</v>
      </c>
      <c r="C13">
        <v>225</v>
      </c>
      <c r="D13" s="159" t="s">
        <v>443</v>
      </c>
      <c r="E13" s="359">
        <f t="shared" si="0"/>
        <v>-2</v>
      </c>
      <c r="F13" s="342">
        <v>0</v>
      </c>
      <c r="G13" s="342">
        <v>2</v>
      </c>
      <c r="H13" s="343" t="s">
        <v>725</v>
      </c>
      <c r="I13" s="401" t="s">
        <v>296</v>
      </c>
      <c r="J13" s="401"/>
      <c r="K13" s="208"/>
      <c r="L13" s="401"/>
      <c r="N13" t="str">
        <f>IF(M13&lt;&gt;"",VLOOKUP(M13,Plan!F:G,2,0),"")</f>
        <v/>
      </c>
    </row>
    <row r="14" spans="1:16" ht="14.95" customHeight="1" x14ac:dyDescent="0.25">
      <c r="A14" s="339">
        <v>44197</v>
      </c>
      <c r="B14" s="340">
        <v>1</v>
      </c>
      <c r="C14">
        <v>229</v>
      </c>
      <c r="D14" s="159" t="s">
        <v>668</v>
      </c>
      <c r="E14" s="359">
        <f t="shared" si="0"/>
        <v>-951186</v>
      </c>
      <c r="F14" s="342">
        <v>0</v>
      </c>
      <c r="G14" s="342">
        <v>951186</v>
      </c>
      <c r="H14" s="343" t="s">
        <v>1263</v>
      </c>
      <c r="I14" s="401" t="s">
        <v>296</v>
      </c>
      <c r="J14" s="401"/>
      <c r="K14" s="208"/>
      <c r="L14" s="401"/>
      <c r="N14" t="str">
        <f>IF(M14&lt;&gt;"",VLOOKUP(M14,Plan!F:G,2,0),"")</f>
        <v/>
      </c>
    </row>
    <row r="15" spans="1:16" ht="14.95" customHeight="1" x14ac:dyDescent="0.25">
      <c r="A15" s="339">
        <v>44197</v>
      </c>
      <c r="B15" s="340">
        <v>1</v>
      </c>
      <c r="C15" s="418">
        <v>229</v>
      </c>
      <c r="D15" s="462" t="s">
        <v>668</v>
      </c>
      <c r="E15" s="359">
        <f t="shared" si="0"/>
        <v>-2289057</v>
      </c>
      <c r="F15" s="489">
        <v>0</v>
      </c>
      <c r="G15" s="489">
        <v>2289057</v>
      </c>
      <c r="H15" s="490" t="s">
        <v>1264</v>
      </c>
      <c r="I15" s="401" t="s">
        <v>296</v>
      </c>
      <c r="J15" s="401"/>
      <c r="K15" s="208"/>
      <c r="L15" s="401"/>
      <c r="N15" t="str">
        <f>IF(M15&lt;&gt;"",VLOOKUP(M15,Plan!F:G,2,0),"")</f>
        <v/>
      </c>
    </row>
    <row r="16" spans="1:16" ht="14.95" customHeight="1" x14ac:dyDescent="0.25">
      <c r="A16" s="339">
        <v>44197</v>
      </c>
      <c r="B16" s="340">
        <v>1</v>
      </c>
      <c r="C16">
        <v>229</v>
      </c>
      <c r="D16" s="159" t="s">
        <v>668</v>
      </c>
      <c r="E16" s="359">
        <f t="shared" si="0"/>
        <v>-214993</v>
      </c>
      <c r="F16" s="342">
        <v>0</v>
      </c>
      <c r="G16" s="342">
        <v>214993</v>
      </c>
      <c r="H16" s="343" t="s">
        <v>1265</v>
      </c>
      <c r="I16" s="401" t="s">
        <v>296</v>
      </c>
      <c r="J16" s="401"/>
      <c r="K16" s="208"/>
      <c r="L16" s="401"/>
      <c r="N16" t="str">
        <f>IF(M16&lt;&gt;"",VLOOKUP(M16,Plan!F:G,2,0),"")</f>
        <v/>
      </c>
    </row>
    <row r="17" spans="1:14" ht="14.95" customHeight="1" x14ac:dyDescent="0.25">
      <c r="A17" s="339">
        <v>44197</v>
      </c>
      <c r="B17" s="340">
        <v>1</v>
      </c>
      <c r="C17" s="418">
        <v>231</v>
      </c>
      <c r="D17" s="462" t="s">
        <v>247</v>
      </c>
      <c r="E17" s="359">
        <f t="shared" si="0"/>
        <v>-2076559</v>
      </c>
      <c r="F17" s="489">
        <v>0</v>
      </c>
      <c r="G17" s="489">
        <v>2076559</v>
      </c>
      <c r="H17" s="490" t="s">
        <v>725</v>
      </c>
      <c r="I17" s="398" t="s">
        <v>296</v>
      </c>
      <c r="J17" s="398"/>
      <c r="K17" s="399"/>
      <c r="L17" s="398"/>
      <c r="N17" t="str">
        <f>IF(M17&lt;&gt;"",VLOOKUP(M17,Plan!F:G,2,0),"")</f>
        <v/>
      </c>
    </row>
    <row r="18" spans="1:14" ht="14.95" customHeight="1" x14ac:dyDescent="0.25">
      <c r="A18" s="339">
        <v>44197</v>
      </c>
      <c r="B18" s="340">
        <v>1</v>
      </c>
      <c r="C18">
        <v>300</v>
      </c>
      <c r="D18" s="159" t="s">
        <v>251</v>
      </c>
      <c r="E18" s="359">
        <f t="shared" si="0"/>
        <v>-11530679</v>
      </c>
      <c r="F18" s="409">
        <v>0</v>
      </c>
      <c r="G18" s="409">
        <v>11530679</v>
      </c>
      <c r="H18" s="343" t="s">
        <v>725</v>
      </c>
      <c r="I18" s="398" t="s">
        <v>296</v>
      </c>
      <c r="J18" s="398"/>
      <c r="K18" s="399"/>
      <c r="L18" s="398"/>
      <c r="N18" t="str">
        <f>IF(M18&lt;&gt;"",VLOOKUP(M18,Plan!F:G,2,0),"")</f>
        <v/>
      </c>
    </row>
    <row r="19" spans="1:14" ht="14.95" customHeight="1" x14ac:dyDescent="0.25">
      <c r="A19" s="339">
        <v>44197</v>
      </c>
      <c r="B19" s="340">
        <v>1</v>
      </c>
      <c r="C19">
        <v>311</v>
      </c>
      <c r="D19" s="159" t="s">
        <v>253</v>
      </c>
      <c r="E19" s="359">
        <f t="shared" si="0"/>
        <v>118607614</v>
      </c>
      <c r="F19" s="409">
        <f>86287774+32319840</f>
        <v>118607614</v>
      </c>
      <c r="G19" s="409">
        <v>0</v>
      </c>
      <c r="H19" s="343" t="s">
        <v>725</v>
      </c>
      <c r="I19" s="398" t="s">
        <v>296</v>
      </c>
      <c r="J19" s="398"/>
      <c r="K19" s="399"/>
      <c r="L19" s="398"/>
      <c r="N19" t="str">
        <f>IF(M19&lt;&gt;"",VLOOKUP(M19,Plan!F:G,2,0),"")</f>
        <v/>
      </c>
    </row>
    <row r="20" spans="1:14" ht="14.95" customHeight="1" x14ac:dyDescent="0.25">
      <c r="A20" s="339">
        <v>44197</v>
      </c>
      <c r="B20" s="340">
        <v>1</v>
      </c>
      <c r="C20">
        <v>142</v>
      </c>
      <c r="D20" s="159" t="s">
        <v>643</v>
      </c>
      <c r="E20" s="359">
        <f t="shared" si="0"/>
        <v>2157569</v>
      </c>
      <c r="F20" s="342">
        <v>2157569</v>
      </c>
      <c r="G20" s="338">
        <v>0</v>
      </c>
      <c r="H20" s="343" t="s">
        <v>725</v>
      </c>
      <c r="I20" s="398" t="s">
        <v>296</v>
      </c>
      <c r="J20" s="401"/>
      <c r="K20" s="208"/>
      <c r="L20" s="401"/>
      <c r="N20" t="str">
        <f>IF(M20&lt;&gt;"",VLOOKUP(M20,Plan!F:G,2,0),"")</f>
        <v/>
      </c>
    </row>
    <row r="21" spans="1:14" ht="14.95" customHeight="1" x14ac:dyDescent="0.25">
      <c r="A21" s="339">
        <v>44197</v>
      </c>
      <c r="B21" s="340">
        <v>1</v>
      </c>
      <c r="C21">
        <v>143</v>
      </c>
      <c r="D21" s="159" t="s">
        <v>644</v>
      </c>
      <c r="E21" s="359">
        <f t="shared" si="0"/>
        <v>595000</v>
      </c>
      <c r="F21" s="345">
        <v>595000</v>
      </c>
      <c r="G21" s="345">
        <v>0</v>
      </c>
      <c r="H21" s="343" t="s">
        <v>725</v>
      </c>
      <c r="I21" s="398" t="s">
        <v>296</v>
      </c>
      <c r="J21" s="401"/>
      <c r="K21" s="208"/>
      <c r="L21" s="401"/>
    </row>
    <row r="22" spans="1:14" ht="14.95" customHeight="1" x14ac:dyDescent="0.25">
      <c r="C22"/>
      <c r="D22"/>
      <c r="E22" s="396"/>
      <c r="F22" s="397"/>
      <c r="G22" s="397"/>
      <c r="H22" s="347"/>
      <c r="I22" s="398"/>
      <c r="J22" s="398"/>
      <c r="K22" s="399"/>
      <c r="L22" s="398"/>
    </row>
    <row r="23" spans="1:14" ht="14.95" customHeight="1" x14ac:dyDescent="0.25">
      <c r="A23" s="339">
        <v>44200</v>
      </c>
      <c r="B23" s="340">
        <v>1</v>
      </c>
      <c r="C23" s="338">
        <v>110</v>
      </c>
      <c r="D23" s="340" t="str">
        <f>VLOOKUP(C23,Plan!A$1:B$65542,2,0)</f>
        <v>Disponible Administración</v>
      </c>
      <c r="E23" s="341">
        <f>+F23-G23</f>
        <v>791000</v>
      </c>
      <c r="F23" s="346">
        <v>791000</v>
      </c>
      <c r="G23" s="346">
        <v>0</v>
      </c>
      <c r="H23" s="343" t="s">
        <v>727</v>
      </c>
      <c r="I23" s="401" t="s">
        <v>296</v>
      </c>
      <c r="J23" s="398"/>
      <c r="K23" s="399"/>
      <c r="L23" s="398"/>
    </row>
    <row r="24" spans="1:14" ht="14.95" customHeight="1" x14ac:dyDescent="0.25">
      <c r="A24" s="339">
        <f>+A23</f>
        <v>44200</v>
      </c>
      <c r="B24" s="340">
        <f>+B23</f>
        <v>1</v>
      </c>
      <c r="C24" s="338">
        <v>3110</v>
      </c>
      <c r="D24" s="340" t="str">
        <f>VLOOKUP(C24,Plan!A$1:B$65542,2,0)</f>
        <v>Colectas Normales</v>
      </c>
      <c r="E24" s="341">
        <f>+F24-G24</f>
        <v>-791000</v>
      </c>
      <c r="F24" s="346"/>
      <c r="G24" s="346">
        <f>+F23</f>
        <v>791000</v>
      </c>
      <c r="H24" s="338" t="str">
        <f>+H23</f>
        <v>Colecta 29 Transferencias</v>
      </c>
      <c r="I24" s="401" t="s">
        <v>296</v>
      </c>
      <c r="J24" s="398"/>
      <c r="K24" s="399"/>
      <c r="L24" s="398"/>
    </row>
    <row r="25" spans="1:14" ht="14.95" customHeight="1" x14ac:dyDescent="0.25">
      <c r="C25"/>
      <c r="D25"/>
      <c r="E25" s="396"/>
      <c r="F25" s="397"/>
      <c r="G25" s="397"/>
      <c r="H25" s="347"/>
      <c r="I25" s="398"/>
      <c r="J25" s="398"/>
      <c r="K25" s="399"/>
      <c r="L25" s="398"/>
    </row>
    <row r="26" spans="1:14" ht="14.95" customHeight="1" x14ac:dyDescent="0.25">
      <c r="A26" s="339">
        <v>44200</v>
      </c>
      <c r="B26" s="340">
        <v>1</v>
      </c>
      <c r="C26" s="338">
        <v>110</v>
      </c>
      <c r="D26" s="340" t="str">
        <f>VLOOKUP(C26,Plan!A$1:B$65542,2,0)</f>
        <v>Disponible Administración</v>
      </c>
      <c r="E26" s="341">
        <f>+F26-G26</f>
        <v>20000</v>
      </c>
      <c r="F26" s="346">
        <v>20000</v>
      </c>
      <c r="G26" s="346">
        <v>0</v>
      </c>
      <c r="H26" s="343" t="s">
        <v>728</v>
      </c>
      <c r="I26" s="401" t="s">
        <v>296</v>
      </c>
      <c r="J26" s="398"/>
      <c r="K26" s="399"/>
      <c r="L26" s="398"/>
    </row>
    <row r="27" spans="1:14" ht="14.95" customHeight="1" x14ac:dyDescent="0.25">
      <c r="A27" s="339">
        <f>+A26</f>
        <v>44200</v>
      </c>
      <c r="B27" s="340">
        <f>+B26</f>
        <v>1</v>
      </c>
      <c r="C27" s="338">
        <v>3340</v>
      </c>
      <c r="D27" s="340" t="str">
        <f>VLOOKUP(C27,Plan!A$1:B$65542,2,0)</f>
        <v>Misas</v>
      </c>
      <c r="E27" s="341">
        <f>+F27-G27</f>
        <v>-20000</v>
      </c>
      <c r="F27" s="346"/>
      <c r="G27" s="346">
        <f>+F26</f>
        <v>20000</v>
      </c>
      <c r="H27" s="338" t="str">
        <f>+H26</f>
        <v>Misas 2 Transferencias</v>
      </c>
      <c r="I27" s="401" t="s">
        <v>296</v>
      </c>
      <c r="J27" s="398"/>
      <c r="K27" s="399"/>
      <c r="L27" s="398"/>
    </row>
    <row r="28" spans="1:14" ht="14.95" customHeight="1" x14ac:dyDescent="0.25">
      <c r="C28"/>
      <c r="D28"/>
      <c r="E28" s="396"/>
      <c r="F28" s="397"/>
      <c r="G28" s="397"/>
      <c r="H28" s="347"/>
      <c r="I28" s="398"/>
      <c r="J28" s="398"/>
      <c r="K28" s="399"/>
      <c r="L28" s="398"/>
    </row>
    <row r="29" spans="1:14" ht="14.95" customHeight="1" x14ac:dyDescent="0.25">
      <c r="A29" s="339">
        <v>44200</v>
      </c>
      <c r="B29" s="340">
        <v>1</v>
      </c>
      <c r="C29" s="338">
        <v>110</v>
      </c>
      <c r="D29" s="340" t="str">
        <f>VLOOKUP(C29,Plan!A$1:B$65542,2,0)</f>
        <v>Disponible Administración</v>
      </c>
      <c r="E29" s="341">
        <f>+F29-G29</f>
        <v>100000</v>
      </c>
      <c r="F29" s="346">
        <v>100000</v>
      </c>
      <c r="G29" s="346">
        <v>0</v>
      </c>
      <c r="H29" s="343" t="s">
        <v>729</v>
      </c>
      <c r="I29" s="401" t="s">
        <v>296</v>
      </c>
      <c r="J29" s="398"/>
      <c r="K29" s="399"/>
      <c r="L29" s="398"/>
    </row>
    <row r="30" spans="1:14" ht="14.95" customHeight="1" x14ac:dyDescent="0.25">
      <c r="A30" s="339">
        <f>+A29</f>
        <v>44200</v>
      </c>
      <c r="B30" s="340">
        <f>+B29</f>
        <v>1</v>
      </c>
      <c r="C30" s="338">
        <v>3450</v>
      </c>
      <c r="D30" s="340" t="str">
        <f>VLOOKUP(C30,Plan!A$1:B$65542,2,0)</f>
        <v>Pastoral Social</v>
      </c>
      <c r="E30" s="341">
        <f>+F30-G30</f>
        <v>-100000</v>
      </c>
      <c r="F30" s="346"/>
      <c r="G30" s="346">
        <f>+F29</f>
        <v>100000</v>
      </c>
      <c r="H30" s="338" t="str">
        <f>+H29</f>
        <v>Canastas 1 Transferencias</v>
      </c>
      <c r="I30" s="401" t="s">
        <v>296</v>
      </c>
      <c r="J30" s="398"/>
      <c r="K30" s="399"/>
      <c r="L30" s="398"/>
    </row>
    <row r="31" spans="1:14" ht="14.95" customHeight="1" x14ac:dyDescent="0.25">
      <c r="C31"/>
      <c r="D31"/>
      <c r="E31" s="396"/>
      <c r="F31" s="397"/>
      <c r="G31" s="397"/>
      <c r="H31" s="347"/>
      <c r="I31" s="398"/>
      <c r="J31" s="398"/>
      <c r="K31" s="399"/>
      <c r="L31" s="398"/>
    </row>
    <row r="32" spans="1:14" ht="14.95" customHeight="1" x14ac:dyDescent="0.25">
      <c r="A32" s="357">
        <v>44200</v>
      </c>
      <c r="B32" s="358">
        <v>1</v>
      </c>
      <c r="C32" s="358">
        <v>110</v>
      </c>
      <c r="D32" s="340" t="str">
        <f>VLOOKUP(C32,Plan!A$1:B$65542,2,0)</f>
        <v>Disponible Administración</v>
      </c>
      <c r="E32" s="359">
        <f>+F32-G32</f>
        <v>15000</v>
      </c>
      <c r="F32" s="361">
        <v>15000</v>
      </c>
      <c r="G32" s="361">
        <v>0</v>
      </c>
      <c r="H32" s="360" t="s">
        <v>688</v>
      </c>
      <c r="I32" s="360" t="s">
        <v>296</v>
      </c>
      <c r="J32" s="401"/>
      <c r="K32" s="208"/>
      <c r="L32" s="401"/>
      <c r="N32" t="str">
        <f>IF(M32&lt;&gt;"",VLOOKUP(M32,Plan!F:G,2,0),"")</f>
        <v/>
      </c>
    </row>
    <row r="33" spans="1:14" ht="14.95" customHeight="1" x14ac:dyDescent="0.25">
      <c r="A33" s="357">
        <f>+A32</f>
        <v>44200</v>
      </c>
      <c r="B33" s="358">
        <f>+B32</f>
        <v>1</v>
      </c>
      <c r="C33" s="358">
        <v>215</v>
      </c>
      <c r="D33" s="358" t="str">
        <f>VLOOKUP(C33,Plan!A$1:B$65542,2,0)</f>
        <v>Cuenta por Pagar a Cali</v>
      </c>
      <c r="E33" s="359">
        <f>+F33-G33</f>
        <v>-15000</v>
      </c>
      <c r="F33" s="361">
        <v>0</v>
      </c>
      <c r="G33" s="361">
        <f>+F32</f>
        <v>15000</v>
      </c>
      <c r="H33" s="358" t="str">
        <f>+H32</f>
        <v>María Elena de Castro Espinosa/249</v>
      </c>
      <c r="I33" s="360" t="s">
        <v>296</v>
      </c>
      <c r="J33" s="401"/>
      <c r="K33" s="208"/>
      <c r="L33" s="401"/>
      <c r="N33" t="str">
        <f>IF(M33&lt;&gt;"",VLOOKUP(M33,Plan!F:G,2,0),"")</f>
        <v/>
      </c>
    </row>
    <row r="34" spans="1:14" ht="14.95" customHeight="1" x14ac:dyDescent="0.25"/>
    <row r="35" spans="1:14" ht="14.95" customHeight="1" x14ac:dyDescent="0.25">
      <c r="A35" s="339">
        <v>44200</v>
      </c>
      <c r="B35" s="340">
        <v>1</v>
      </c>
      <c r="C35" s="338">
        <v>4321</v>
      </c>
      <c r="D35" s="340" t="str">
        <f>VLOOKUP(C35,Plan!A:B,2,0)</f>
        <v>Electricidad</v>
      </c>
      <c r="E35" s="341">
        <f>+F35-G35</f>
        <v>8495</v>
      </c>
      <c r="F35" s="346">
        <v>8495</v>
      </c>
      <c r="G35" s="346">
        <v>0</v>
      </c>
      <c r="H35" s="338" t="s">
        <v>730</v>
      </c>
      <c r="I35" s="401" t="s">
        <v>296</v>
      </c>
      <c r="J35" s="401"/>
      <c r="K35" s="208"/>
      <c r="L35" s="401"/>
      <c r="N35" t="str">
        <f>IF(M35&lt;&gt;"",VLOOKUP(M35,Plan!F:G,2,0),"")</f>
        <v/>
      </c>
    </row>
    <row r="36" spans="1:14" ht="14.95" customHeight="1" x14ac:dyDescent="0.25">
      <c r="A36" s="339">
        <f>+A35</f>
        <v>44200</v>
      </c>
      <c r="B36" s="340">
        <f>+B35</f>
        <v>1</v>
      </c>
      <c r="C36" s="338">
        <v>110</v>
      </c>
      <c r="D36" s="340" t="str">
        <f>VLOOKUP(C36,Plan!A$1:B$65542,2,0)</f>
        <v>Disponible Administración</v>
      </c>
      <c r="E36" s="341">
        <f>+F36-G36</f>
        <v>-8495</v>
      </c>
      <c r="F36" s="346"/>
      <c r="G36" s="346">
        <f>+F35</f>
        <v>8495</v>
      </c>
      <c r="H36" s="338" t="str">
        <f>+H35</f>
        <v>PAC Enel</v>
      </c>
      <c r="I36" s="401" t="s">
        <v>296</v>
      </c>
      <c r="J36" s="401"/>
      <c r="K36" s="208"/>
      <c r="L36" s="401"/>
      <c r="N36" t="str">
        <f>IF(M36&lt;&gt;"",VLOOKUP(M36,Plan!F:G,2,0),"")</f>
        <v/>
      </c>
    </row>
    <row r="37" spans="1:14" ht="14.95" customHeight="1" x14ac:dyDescent="0.25"/>
    <row r="38" spans="1:14" ht="14.95" customHeight="1" x14ac:dyDescent="0.25">
      <c r="A38" s="339">
        <v>44200</v>
      </c>
      <c r="B38" s="340">
        <v>1</v>
      </c>
      <c r="C38" s="338">
        <v>229</v>
      </c>
      <c r="D38" s="340" t="str">
        <f>VLOOKUP(C38,Plan!A:B,2,0)</f>
        <v>Provisiones Administración</v>
      </c>
      <c r="E38" s="341">
        <f>+F38-G38</f>
        <v>600000</v>
      </c>
      <c r="F38" s="346">
        <v>600000</v>
      </c>
      <c r="G38" s="346">
        <v>0</v>
      </c>
      <c r="H38" s="338" t="s">
        <v>731</v>
      </c>
      <c r="I38" s="401" t="s">
        <v>296</v>
      </c>
      <c r="J38" s="401"/>
      <c r="K38" s="208"/>
      <c r="L38" s="401"/>
      <c r="N38" t="str">
        <f>IF(M38&lt;&gt;"",VLOOKUP(M38,Plan!F:G,2,0),"")</f>
        <v/>
      </c>
    </row>
    <row r="39" spans="1:14" ht="14.95" customHeight="1" x14ac:dyDescent="0.25">
      <c r="A39" s="339">
        <f>+A38</f>
        <v>44200</v>
      </c>
      <c r="B39" s="340">
        <f>+B38</f>
        <v>1</v>
      </c>
      <c r="C39" s="338">
        <v>110</v>
      </c>
      <c r="D39" s="340" t="str">
        <f>VLOOKUP(C39,Plan!A$1:B$65542,2,0)</f>
        <v>Disponible Administración</v>
      </c>
      <c r="E39" s="341">
        <f>+F39-G39</f>
        <v>-600000</v>
      </c>
      <c r="F39" s="346"/>
      <c r="G39" s="346">
        <f>+F38</f>
        <v>600000</v>
      </c>
      <c r="H39" s="338" t="str">
        <f>+H38</f>
        <v>Aporte Especial Vicaria P.Social</v>
      </c>
      <c r="I39" s="401" t="s">
        <v>296</v>
      </c>
      <c r="J39" s="401"/>
      <c r="K39" s="208"/>
      <c r="L39" s="401"/>
      <c r="N39" t="str">
        <f>IF(M39&lt;&gt;"",VLOOKUP(M39,Plan!F:G,2,0),"")</f>
        <v/>
      </c>
    </row>
    <row r="40" spans="1:14" ht="14.95" customHeight="1" x14ac:dyDescent="0.25"/>
    <row r="41" spans="1:14" ht="14.95" customHeight="1" x14ac:dyDescent="0.25">
      <c r="A41" s="371">
        <v>44200</v>
      </c>
      <c r="B41" s="372">
        <v>1</v>
      </c>
      <c r="C41" s="372">
        <v>110</v>
      </c>
      <c r="D41" s="340" t="str">
        <f>VLOOKUP(C41,Plan!A$1:B$65542,2,0)</f>
        <v>Disponible Administración</v>
      </c>
      <c r="E41" s="373">
        <f>+F41-G41</f>
        <v>1464057</v>
      </c>
      <c r="F41" s="374">
        <v>1464057</v>
      </c>
      <c r="G41" s="374">
        <v>0</v>
      </c>
      <c r="H41" s="372" t="s">
        <v>732</v>
      </c>
      <c r="I41" s="375" t="s">
        <v>296</v>
      </c>
      <c r="J41" s="398"/>
      <c r="K41" s="399"/>
      <c r="L41" s="398"/>
      <c r="N41" t="str">
        <f>IF(M41&lt;&gt;"",VLOOKUP(M41,Plan!F:G,2,0),"")</f>
        <v/>
      </c>
    </row>
    <row r="42" spans="1:14" ht="14.95" customHeight="1" x14ac:dyDescent="0.25">
      <c r="A42" s="371">
        <f>+A41</f>
        <v>44200</v>
      </c>
      <c r="B42" s="372">
        <f>+B41</f>
        <v>1</v>
      </c>
      <c r="C42" s="372">
        <v>229</v>
      </c>
      <c r="D42" s="372" t="str">
        <f>VLOOKUP(C42,Plan!A:B,2,0)</f>
        <v>Provisiones Administración</v>
      </c>
      <c r="E42" s="373">
        <f>+F42-G42</f>
        <v>-1464057</v>
      </c>
      <c r="F42" s="374"/>
      <c r="G42" s="374">
        <f>+F41</f>
        <v>1464057</v>
      </c>
      <c r="H42" s="372" t="str">
        <f>+H41</f>
        <v>Dev. Pago pollos Error Cta.Cte.</v>
      </c>
      <c r="I42" s="375" t="s">
        <v>296</v>
      </c>
      <c r="J42" s="398"/>
      <c r="K42" s="399"/>
      <c r="L42" s="398"/>
      <c r="N42" t="str">
        <f>IF(M42&lt;&gt;"",VLOOKUP(M42,Plan!F:G,2,0),"")</f>
        <v/>
      </c>
    </row>
    <row r="43" spans="1:14" ht="14.95" customHeight="1" x14ac:dyDescent="0.25"/>
    <row r="44" spans="1:14" ht="14.95" customHeight="1" x14ac:dyDescent="0.25">
      <c r="A44" s="357">
        <v>44200</v>
      </c>
      <c r="B44" s="358">
        <v>1</v>
      </c>
      <c r="C44" s="358">
        <v>110</v>
      </c>
      <c r="D44" s="340" t="str">
        <f>VLOOKUP(C44,Plan!A$1:B$65542,2,0)</f>
        <v>Disponible Administración</v>
      </c>
      <c r="E44" s="359">
        <f>+F44-G44</f>
        <v>50000</v>
      </c>
      <c r="F44" s="361">
        <v>50000</v>
      </c>
      <c r="G44" s="361">
        <v>0</v>
      </c>
      <c r="H44" s="360" t="s">
        <v>733</v>
      </c>
      <c r="I44" s="360" t="s">
        <v>296</v>
      </c>
      <c r="J44" s="398"/>
      <c r="K44" s="399"/>
      <c r="L44" s="398"/>
      <c r="N44" t="str">
        <f>IF(M44&lt;&gt;"",VLOOKUP(M44,Plan!F:G,2,0),"")</f>
        <v/>
      </c>
    </row>
    <row r="45" spans="1:14" ht="14.95" customHeight="1" x14ac:dyDescent="0.25">
      <c r="A45" s="357">
        <f>+A44</f>
        <v>44200</v>
      </c>
      <c r="B45" s="358">
        <f>+B44</f>
        <v>1</v>
      </c>
      <c r="C45" s="358">
        <v>215</v>
      </c>
      <c r="D45" s="358" t="str">
        <f>VLOOKUP(C45,Plan!A$1:B$65542,2,0)</f>
        <v>Cuenta por Pagar a Cali</v>
      </c>
      <c r="E45" s="359">
        <f>+F45-G45</f>
        <v>-50000</v>
      </c>
      <c r="F45" s="361">
        <v>0</v>
      </c>
      <c r="G45" s="361">
        <f>+F44</f>
        <v>50000</v>
      </c>
      <c r="H45" s="358" t="str">
        <f>+H44</f>
        <v>Hilda Dougnac Rodríguez / Azul</v>
      </c>
      <c r="I45" s="360" t="s">
        <v>296</v>
      </c>
      <c r="J45" s="398"/>
      <c r="K45" s="399"/>
      <c r="L45" s="398"/>
      <c r="N45" t="str">
        <f>IF(M45&lt;&gt;"",VLOOKUP(M45,Plan!F:G,2,0),"")</f>
        <v/>
      </c>
    </row>
    <row r="46" spans="1:14" ht="14.95" customHeight="1" x14ac:dyDescent="0.25"/>
    <row r="47" spans="1:14" ht="14.95" customHeight="1" x14ac:dyDescent="0.25">
      <c r="A47" s="339">
        <v>44200</v>
      </c>
      <c r="B47" s="340">
        <v>1</v>
      </c>
      <c r="C47" s="338">
        <v>110</v>
      </c>
      <c r="D47" s="340" t="str">
        <f>VLOOKUP(C47,Plan!A$1:B$65542,2,0)</f>
        <v>Disponible Administración</v>
      </c>
      <c r="E47" s="341">
        <f>+F47-G47</f>
        <v>3000000</v>
      </c>
      <c r="F47" s="346">
        <v>3000000</v>
      </c>
      <c r="G47" s="346">
        <v>0</v>
      </c>
      <c r="H47" s="338" t="s">
        <v>734</v>
      </c>
      <c r="I47" s="401" t="s">
        <v>296</v>
      </c>
      <c r="J47" s="401"/>
      <c r="K47" s="208"/>
      <c r="L47" s="401"/>
      <c r="N47" t="str">
        <f>IF(M47&lt;&gt;"",VLOOKUP(M47,Plan!F:G,2,0),"")</f>
        <v/>
      </c>
    </row>
    <row r="48" spans="1:14" ht="14.95" customHeight="1" x14ac:dyDescent="0.25">
      <c r="A48" s="339">
        <f>+A47</f>
        <v>44200</v>
      </c>
      <c r="B48" s="340">
        <f>+B47</f>
        <v>1</v>
      </c>
      <c r="C48" s="338">
        <v>215</v>
      </c>
      <c r="D48" s="340" t="str">
        <f>VLOOKUP(C48,Plan!A$1:B$65542,2,0)</f>
        <v>Cuenta por Pagar a Cali</v>
      </c>
      <c r="E48" s="341">
        <f>+F48-G48</f>
        <v>-3000000</v>
      </c>
      <c r="F48" s="346">
        <v>0</v>
      </c>
      <c r="G48" s="346">
        <f>+F47</f>
        <v>3000000</v>
      </c>
      <c r="H48" s="338" t="str">
        <f>+H47</f>
        <v>Traspaso desde Cta. CALI</v>
      </c>
      <c r="I48" s="401" t="s">
        <v>296</v>
      </c>
      <c r="J48" s="401"/>
      <c r="K48" s="208"/>
      <c r="L48" s="401"/>
      <c r="N48" t="str">
        <f>IF(M48&lt;&gt;"",VLOOKUP(M48,Plan!F:G,2,0),"")</f>
        <v/>
      </c>
    </row>
    <row r="49" spans="1:12" ht="14.95" customHeight="1" x14ac:dyDescent="0.25"/>
    <row r="50" spans="1:12" ht="14.95" customHeight="1" x14ac:dyDescent="0.25">
      <c r="A50" s="339">
        <v>44201</v>
      </c>
      <c r="B50" s="340">
        <v>1</v>
      </c>
      <c r="C50" s="338">
        <v>110</v>
      </c>
      <c r="D50" s="340" t="str">
        <f>VLOOKUP(C50,Plan!A$1:B$65542,2,0)</f>
        <v>Disponible Administración</v>
      </c>
      <c r="E50" s="341">
        <f>+F50-G50</f>
        <v>142000</v>
      </c>
      <c r="F50" s="346">
        <v>142000</v>
      </c>
      <c r="G50" s="346">
        <v>0</v>
      </c>
      <c r="H50" s="343" t="s">
        <v>726</v>
      </c>
      <c r="I50" s="401" t="s">
        <v>296</v>
      </c>
      <c r="J50" s="401"/>
      <c r="K50" s="208"/>
      <c r="L50" s="401"/>
    </row>
    <row r="51" spans="1:12" ht="14.95" customHeight="1" x14ac:dyDescent="0.25">
      <c r="A51" s="339">
        <f>+A50</f>
        <v>44201</v>
      </c>
      <c r="B51" s="340">
        <f>+B50</f>
        <v>1</v>
      </c>
      <c r="C51" s="338">
        <v>3110</v>
      </c>
      <c r="D51" s="340" t="str">
        <f>VLOOKUP(C51,Plan!A$1:B$65542,2,0)</f>
        <v>Colectas Normales</v>
      </c>
      <c r="E51" s="341">
        <f>+F51-G51</f>
        <v>-142000</v>
      </c>
      <c r="F51" s="346"/>
      <c r="G51" s="346">
        <f>+F50</f>
        <v>142000</v>
      </c>
      <c r="H51" s="338" t="str">
        <f>+H50</f>
        <v>Colecta 7 Transferencias</v>
      </c>
      <c r="I51" s="401" t="s">
        <v>296</v>
      </c>
      <c r="J51" s="401"/>
      <c r="K51" s="208"/>
      <c r="L51" s="401"/>
    </row>
    <row r="52" spans="1:12" ht="14.95" customHeight="1" x14ac:dyDescent="0.25"/>
    <row r="53" spans="1:12" ht="14.95" customHeight="1" x14ac:dyDescent="0.25">
      <c r="A53" s="339">
        <v>44201</v>
      </c>
      <c r="B53" s="340">
        <v>1</v>
      </c>
      <c r="C53" s="338">
        <v>4321</v>
      </c>
      <c r="D53" s="340" t="str">
        <f>VLOOKUP(C53,Plan!A:B,2,0)</f>
        <v>Electricidad</v>
      </c>
      <c r="E53" s="341">
        <f>+F53-G53</f>
        <v>50567</v>
      </c>
      <c r="F53" s="346">
        <v>50567</v>
      </c>
      <c r="G53" s="346">
        <v>0</v>
      </c>
      <c r="H53" s="338" t="s">
        <v>735</v>
      </c>
      <c r="I53" s="401" t="s">
        <v>296</v>
      </c>
      <c r="J53" s="401"/>
      <c r="K53" s="208"/>
      <c r="L53" s="401"/>
    </row>
    <row r="54" spans="1:12" ht="14.95" customHeight="1" x14ac:dyDescent="0.25">
      <c r="A54" s="339">
        <f>+A53</f>
        <v>44201</v>
      </c>
      <c r="B54" s="340">
        <f>+B53</f>
        <v>1</v>
      </c>
      <c r="C54" s="338">
        <v>110</v>
      </c>
      <c r="D54" s="340" t="str">
        <f>VLOOKUP(C54,Plan!A$1:B$65542,2,0)</f>
        <v>Disponible Administración</v>
      </c>
      <c r="E54" s="341">
        <f>+F54-G54</f>
        <v>-50567</v>
      </c>
      <c r="F54" s="346"/>
      <c r="G54" s="346">
        <f>+F53</f>
        <v>50567</v>
      </c>
      <c r="H54" s="338" t="str">
        <f>+H53</f>
        <v>PAC Aguas Cordillera</v>
      </c>
      <c r="I54" s="401" t="s">
        <v>296</v>
      </c>
      <c r="J54" s="401"/>
      <c r="K54" s="208"/>
      <c r="L54" s="401"/>
    </row>
    <row r="55" spans="1:12" ht="14.95" customHeight="1" x14ac:dyDescent="0.25"/>
    <row r="56" spans="1:12" ht="14.95" customHeight="1" x14ac:dyDescent="0.25">
      <c r="A56" s="357">
        <v>44201</v>
      </c>
      <c r="B56" s="358">
        <v>1</v>
      </c>
      <c r="C56" s="358">
        <v>110</v>
      </c>
      <c r="D56" s="340" t="str">
        <f>VLOOKUP(C56,Plan!A$1:B$65542,2,0)</f>
        <v>Disponible Administración</v>
      </c>
      <c r="E56" s="359">
        <f>+F56-G56</f>
        <v>30000</v>
      </c>
      <c r="F56" s="361">
        <v>30000</v>
      </c>
      <c r="G56" s="361">
        <v>0</v>
      </c>
      <c r="H56" s="360" t="s">
        <v>736</v>
      </c>
      <c r="I56" s="360" t="s">
        <v>296</v>
      </c>
      <c r="J56" s="401"/>
      <c r="K56" s="208"/>
      <c r="L56" s="401"/>
    </row>
    <row r="57" spans="1:12" ht="14.95" customHeight="1" x14ac:dyDescent="0.25">
      <c r="A57" s="357">
        <f>+A56</f>
        <v>44201</v>
      </c>
      <c r="B57" s="358">
        <f>+B56</f>
        <v>1</v>
      </c>
      <c r="C57" s="358">
        <v>215</v>
      </c>
      <c r="D57" s="358" t="str">
        <f>VLOOKUP(C57,Plan!A$1:B$65542,2,0)</f>
        <v>Cuenta por Pagar a Cali</v>
      </c>
      <c r="E57" s="359">
        <f>+F57-G57</f>
        <v>-30000</v>
      </c>
      <c r="F57" s="361">
        <v>0</v>
      </c>
      <c r="G57" s="361">
        <f>+F56</f>
        <v>30000</v>
      </c>
      <c r="H57" s="358" t="str">
        <f>+H56</f>
        <v>Keryma Felmer Echeverria/Azul</v>
      </c>
      <c r="I57" s="360" t="s">
        <v>296</v>
      </c>
      <c r="J57" s="401"/>
      <c r="K57" s="208"/>
      <c r="L57" s="401"/>
    </row>
    <row r="58" spans="1:12" ht="14.95" customHeight="1" x14ac:dyDescent="0.25"/>
    <row r="59" spans="1:12" ht="14.95" customHeight="1" x14ac:dyDescent="0.25">
      <c r="A59" s="339">
        <v>44202</v>
      </c>
      <c r="B59" s="340">
        <v>1</v>
      </c>
      <c r="C59" s="338">
        <v>110</v>
      </c>
      <c r="D59" s="340" t="str">
        <f>VLOOKUP(C59,Plan!A$1:B$65542,2,0)</f>
        <v>Disponible Administración</v>
      </c>
      <c r="E59" s="341">
        <f>+F59-G59</f>
        <v>82000</v>
      </c>
      <c r="F59" s="346">
        <v>82000</v>
      </c>
      <c r="G59" s="346">
        <v>0</v>
      </c>
      <c r="H59" s="343" t="s">
        <v>673</v>
      </c>
      <c r="I59" s="401" t="s">
        <v>296</v>
      </c>
      <c r="J59" s="401"/>
      <c r="K59" s="208"/>
      <c r="L59" s="401"/>
    </row>
    <row r="60" spans="1:12" ht="14.95" customHeight="1" x14ac:dyDescent="0.25">
      <c r="A60" s="339">
        <f>+A59</f>
        <v>44202</v>
      </c>
      <c r="B60" s="340">
        <f>+B59</f>
        <v>1</v>
      </c>
      <c r="C60" s="338">
        <v>3110</v>
      </c>
      <c r="D60" s="340" t="str">
        <f>VLOOKUP(C60,Plan!A$1:B$65542,2,0)</f>
        <v>Colectas Normales</v>
      </c>
      <c r="E60" s="341">
        <f>+F60-G60</f>
        <v>-82000</v>
      </c>
      <c r="F60" s="346"/>
      <c r="G60" s="346">
        <f>+F59</f>
        <v>82000</v>
      </c>
      <c r="H60" s="338" t="str">
        <f>+H59</f>
        <v>Colecta 4 Transferencias</v>
      </c>
      <c r="I60" s="401" t="s">
        <v>296</v>
      </c>
      <c r="J60" s="401"/>
      <c r="K60" s="208"/>
      <c r="L60" s="401"/>
    </row>
    <row r="61" spans="1:12" ht="14.95" customHeight="1" x14ac:dyDescent="0.25"/>
    <row r="62" spans="1:12" ht="14.95" customHeight="1" x14ac:dyDescent="0.25">
      <c r="A62" s="357">
        <v>44202</v>
      </c>
      <c r="B62" s="358">
        <v>1</v>
      </c>
      <c r="C62" s="358">
        <v>110</v>
      </c>
      <c r="D62" s="340" t="str">
        <f>VLOOKUP(C62,Plan!A$1:B$65542,2,0)</f>
        <v>Disponible Administración</v>
      </c>
      <c r="E62" s="359">
        <f>+F62-G62</f>
        <v>30000</v>
      </c>
      <c r="F62" s="361">
        <v>30000</v>
      </c>
      <c r="G62" s="361">
        <v>0</v>
      </c>
      <c r="H62" s="360" t="s">
        <v>737</v>
      </c>
      <c r="I62" s="360" t="s">
        <v>296</v>
      </c>
      <c r="J62" s="401"/>
      <c r="K62" s="208"/>
      <c r="L62" s="401"/>
    </row>
    <row r="63" spans="1:12" ht="14.95" customHeight="1" x14ac:dyDescent="0.25">
      <c r="A63" s="357">
        <f>+A62</f>
        <v>44202</v>
      </c>
      <c r="B63" s="358">
        <f>+B62</f>
        <v>1</v>
      </c>
      <c r="C63" s="358">
        <v>215</v>
      </c>
      <c r="D63" s="358" t="str">
        <f>VLOOKUP(C63,Plan!A$1:B$65542,2,0)</f>
        <v>Cuenta por Pagar a Cali</v>
      </c>
      <c r="E63" s="359">
        <f>+F63-G63</f>
        <v>-30000</v>
      </c>
      <c r="F63" s="361">
        <v>0</v>
      </c>
      <c r="G63" s="361">
        <f>+F62</f>
        <v>30000</v>
      </c>
      <c r="H63" s="358" t="str">
        <f>+H62</f>
        <v>Jaime Andrés Court Viviani/249</v>
      </c>
      <c r="I63" s="360" t="s">
        <v>296</v>
      </c>
      <c r="J63" s="401"/>
      <c r="K63" s="208"/>
      <c r="L63" s="401"/>
    </row>
    <row r="64" spans="1:12" ht="14.95" customHeight="1" x14ac:dyDescent="0.25"/>
    <row r="65" spans="1:12" ht="14.95" customHeight="1" x14ac:dyDescent="0.25">
      <c r="A65" s="339">
        <v>44202</v>
      </c>
      <c r="B65" s="340">
        <v>1</v>
      </c>
      <c r="C65" s="338">
        <v>4860</v>
      </c>
      <c r="D65" s="340" t="str">
        <f>VLOOKUP(C65,Plan!A$1:B$65542,2,0)</f>
        <v>Otros</v>
      </c>
      <c r="E65" s="341">
        <f>+F65-G65</f>
        <v>4325</v>
      </c>
      <c r="F65" s="346">
        <v>4325</v>
      </c>
      <c r="G65" s="346">
        <v>0</v>
      </c>
      <c r="H65" s="338" t="s">
        <v>738</v>
      </c>
      <c r="I65" s="401" t="s">
        <v>296</v>
      </c>
      <c r="J65" s="401"/>
      <c r="K65" s="208"/>
      <c r="L65" s="401"/>
    </row>
    <row r="66" spans="1:12" ht="14.95" customHeight="1" x14ac:dyDescent="0.25">
      <c r="A66" s="339">
        <f>+A65</f>
        <v>44202</v>
      </c>
      <c r="B66" s="340">
        <f>+B65</f>
        <v>1</v>
      </c>
      <c r="C66" s="338">
        <v>110</v>
      </c>
      <c r="D66" s="340" t="str">
        <f>VLOOKUP(C66,Plan!A$1:B$65542,2,0)</f>
        <v>Disponible Administración</v>
      </c>
      <c r="E66" s="341">
        <f>+F66-G66</f>
        <v>-4325</v>
      </c>
      <c r="F66" s="346">
        <v>0</v>
      </c>
      <c r="G66" s="346">
        <f>+F65</f>
        <v>4325</v>
      </c>
      <c r="H66" s="338" t="str">
        <f>+H65</f>
        <v>Comisión Pagos Nom. Bco.Chile</v>
      </c>
      <c r="I66" s="401" t="s">
        <v>296</v>
      </c>
      <c r="J66" s="401"/>
      <c r="K66" s="208"/>
      <c r="L66" s="401"/>
    </row>
    <row r="67" spans="1:12" ht="14.95" customHeight="1" x14ac:dyDescent="0.25"/>
    <row r="68" spans="1:12" ht="14.95" customHeight="1" x14ac:dyDescent="0.25">
      <c r="A68" s="339">
        <v>44202</v>
      </c>
      <c r="B68" s="340">
        <v>1</v>
      </c>
      <c r="C68" s="338">
        <v>4860</v>
      </c>
      <c r="D68" s="340" t="str">
        <f>VLOOKUP(C68,Plan!A$1:B$65542,2,0)</f>
        <v>Otros</v>
      </c>
      <c r="E68" s="341">
        <f>+F68-G68</f>
        <v>1384</v>
      </c>
      <c r="F68" s="346">
        <v>1384</v>
      </c>
      <c r="G68" s="346">
        <v>0</v>
      </c>
      <c r="H68" s="338" t="s">
        <v>738</v>
      </c>
      <c r="I68" s="401" t="s">
        <v>296</v>
      </c>
      <c r="J68" s="401"/>
      <c r="K68" s="208"/>
      <c r="L68" s="401"/>
    </row>
    <row r="69" spans="1:12" ht="14.95" customHeight="1" x14ac:dyDescent="0.25">
      <c r="A69" s="339">
        <f>+A68</f>
        <v>44202</v>
      </c>
      <c r="B69" s="340">
        <f>+B68</f>
        <v>1</v>
      </c>
      <c r="C69" s="338">
        <v>110</v>
      </c>
      <c r="D69" s="340" t="str">
        <f>VLOOKUP(C69,Plan!A$1:B$65542,2,0)</f>
        <v>Disponible Administración</v>
      </c>
      <c r="E69" s="341">
        <f>+F69-G69</f>
        <v>-1384</v>
      </c>
      <c r="F69" s="346">
        <v>0</v>
      </c>
      <c r="G69" s="346">
        <f>+F68</f>
        <v>1384</v>
      </c>
      <c r="H69" s="338" t="str">
        <f>+H68</f>
        <v>Comisión Pagos Nom. Bco.Chile</v>
      </c>
      <c r="I69" s="401" t="s">
        <v>296</v>
      </c>
      <c r="J69" s="401"/>
      <c r="K69" s="208"/>
      <c r="L69" s="401"/>
    </row>
    <row r="70" spans="1:12" ht="14.95" customHeight="1" x14ac:dyDescent="0.25"/>
    <row r="71" spans="1:12" ht="14.95" customHeight="1" x14ac:dyDescent="0.25">
      <c r="A71" s="339">
        <v>44203</v>
      </c>
      <c r="B71" s="340">
        <v>1</v>
      </c>
      <c r="C71" s="338">
        <v>110</v>
      </c>
      <c r="D71" s="340" t="str">
        <f>VLOOKUP(C71,Plan!A$1:B$65542,2,0)</f>
        <v>Disponible Administración</v>
      </c>
      <c r="E71" s="341">
        <f>+F71-G71</f>
        <v>70000</v>
      </c>
      <c r="F71" s="346">
        <v>70000</v>
      </c>
      <c r="G71" s="346">
        <v>0</v>
      </c>
      <c r="H71" s="343" t="s">
        <v>676</v>
      </c>
      <c r="I71" s="401" t="s">
        <v>296</v>
      </c>
      <c r="J71" s="401"/>
      <c r="K71" s="208"/>
      <c r="L71" s="401"/>
    </row>
    <row r="72" spans="1:12" ht="14.95" customHeight="1" x14ac:dyDescent="0.25">
      <c r="A72" s="339">
        <f>+A71</f>
        <v>44203</v>
      </c>
      <c r="B72" s="340">
        <f>+B71</f>
        <v>1</v>
      </c>
      <c r="C72" s="338">
        <v>3110</v>
      </c>
      <c r="D72" s="340" t="str">
        <f>VLOOKUP(C72,Plan!A$1:B$65542,2,0)</f>
        <v>Colectas Normales</v>
      </c>
      <c r="E72" s="341">
        <f>+F72-G72</f>
        <v>-70000</v>
      </c>
      <c r="F72" s="346"/>
      <c r="G72" s="346">
        <f>+F71</f>
        <v>70000</v>
      </c>
      <c r="H72" s="338" t="str">
        <f>+H71</f>
        <v>Colecta 2 Transferencias</v>
      </c>
      <c r="I72" s="401" t="s">
        <v>296</v>
      </c>
      <c r="J72" s="401"/>
      <c r="K72" s="208"/>
      <c r="L72" s="401"/>
    </row>
    <row r="73" spans="1:12" ht="14.95" customHeight="1" x14ac:dyDescent="0.25"/>
    <row r="74" spans="1:12" ht="14.95" customHeight="1" x14ac:dyDescent="0.25">
      <c r="A74" s="339">
        <v>44203</v>
      </c>
      <c r="B74" s="340">
        <v>1</v>
      </c>
      <c r="C74" s="338">
        <v>110</v>
      </c>
      <c r="D74" s="340" t="str">
        <f>VLOOKUP(C74,Plan!A$1:B$65542,2,0)</f>
        <v>Disponible Administración</v>
      </c>
      <c r="E74" s="341">
        <f>+F74-G74</f>
        <v>15000</v>
      </c>
      <c r="F74" s="346">
        <v>15000</v>
      </c>
      <c r="G74" s="346">
        <v>0</v>
      </c>
      <c r="H74" s="343" t="s">
        <v>739</v>
      </c>
      <c r="I74" s="401" t="s">
        <v>296</v>
      </c>
      <c r="J74" s="401"/>
      <c r="K74" s="208"/>
      <c r="L74" s="401"/>
    </row>
    <row r="75" spans="1:12" ht="14.95" customHeight="1" x14ac:dyDescent="0.25">
      <c r="A75" s="339">
        <f>+A74</f>
        <v>44203</v>
      </c>
      <c r="B75" s="340">
        <f>+B74</f>
        <v>1</v>
      </c>
      <c r="C75" s="338">
        <v>3350</v>
      </c>
      <c r="D75" s="340" t="str">
        <f>VLOOKUP(C75,Plan!A$1:B$65542,2,0)</f>
        <v>Bautizos</v>
      </c>
      <c r="E75" s="341">
        <f>+F75-G75</f>
        <v>-15000</v>
      </c>
      <c r="F75" s="346"/>
      <c r="G75" s="346">
        <f>+F74</f>
        <v>15000</v>
      </c>
      <c r="H75" s="338" t="str">
        <f>+H74</f>
        <v>Don.Bautizos 1 Transferencias</v>
      </c>
      <c r="I75" s="401" t="s">
        <v>296</v>
      </c>
      <c r="J75" s="401"/>
      <c r="K75" s="208"/>
      <c r="L75" s="401"/>
    </row>
    <row r="76" spans="1:12" ht="14.95" customHeight="1" x14ac:dyDescent="0.25"/>
    <row r="77" spans="1:12" ht="14.95" customHeight="1" x14ac:dyDescent="0.25">
      <c r="A77" s="339">
        <v>44204</v>
      </c>
      <c r="B77" s="340">
        <v>1</v>
      </c>
      <c r="C77" s="338">
        <v>110</v>
      </c>
      <c r="D77" s="340" t="str">
        <f>VLOOKUP(C77,Plan!A$1:B$65542,2,0)</f>
        <v>Disponible Administración</v>
      </c>
      <c r="E77" s="341">
        <f>+F77-G77</f>
        <v>35000</v>
      </c>
      <c r="F77" s="346">
        <v>35000</v>
      </c>
      <c r="G77" s="346">
        <v>0</v>
      </c>
      <c r="H77" s="343" t="s">
        <v>676</v>
      </c>
      <c r="I77" s="401" t="s">
        <v>296</v>
      </c>
      <c r="J77" s="401"/>
      <c r="K77" s="208"/>
      <c r="L77" s="401"/>
    </row>
    <row r="78" spans="1:12" ht="14.95" customHeight="1" x14ac:dyDescent="0.25">
      <c r="A78" s="339">
        <f>+A77</f>
        <v>44204</v>
      </c>
      <c r="B78" s="340">
        <f>+B77</f>
        <v>1</v>
      </c>
      <c r="C78" s="338">
        <v>3110</v>
      </c>
      <c r="D78" s="340" t="str">
        <f>VLOOKUP(C78,Plan!A$1:B$65542,2,0)</f>
        <v>Colectas Normales</v>
      </c>
      <c r="E78" s="341">
        <f>+F78-G78</f>
        <v>-35000</v>
      </c>
      <c r="F78" s="346"/>
      <c r="G78" s="346">
        <f>+F77</f>
        <v>35000</v>
      </c>
      <c r="H78" s="338" t="str">
        <f>+H77</f>
        <v>Colecta 2 Transferencias</v>
      </c>
      <c r="I78" s="401" t="s">
        <v>296</v>
      </c>
      <c r="J78" s="401"/>
      <c r="K78" s="208"/>
      <c r="L78" s="401"/>
    </row>
    <row r="79" spans="1:12" ht="14.95" customHeight="1" x14ac:dyDescent="0.25"/>
    <row r="80" spans="1:12" ht="14.95" customHeight="1" x14ac:dyDescent="0.25">
      <c r="A80" s="339">
        <v>44204</v>
      </c>
      <c r="B80" s="340">
        <v>1</v>
      </c>
      <c r="C80" s="338">
        <v>110</v>
      </c>
      <c r="D80" s="340" t="str">
        <f>VLOOKUP(C80,Plan!A$1:B$65542,2,0)</f>
        <v>Disponible Administración</v>
      </c>
      <c r="E80" s="341">
        <f>+F80-G80</f>
        <v>20000</v>
      </c>
      <c r="F80" s="346">
        <v>20000</v>
      </c>
      <c r="G80" s="346">
        <v>0</v>
      </c>
      <c r="H80" s="343" t="s">
        <v>739</v>
      </c>
      <c r="I80" s="401" t="s">
        <v>296</v>
      </c>
      <c r="J80" s="401"/>
      <c r="K80" s="208"/>
      <c r="L80" s="401"/>
    </row>
    <row r="81" spans="1:12" ht="14.95" customHeight="1" x14ac:dyDescent="0.25">
      <c r="A81" s="339">
        <f>+A80</f>
        <v>44204</v>
      </c>
      <c r="B81" s="340">
        <f>+B80</f>
        <v>1</v>
      </c>
      <c r="C81" s="338">
        <v>3350</v>
      </c>
      <c r="D81" s="340" t="str">
        <f>VLOOKUP(C81,Plan!A$1:B$65542,2,0)</f>
        <v>Bautizos</v>
      </c>
      <c r="E81" s="341">
        <f>+F81-G81</f>
        <v>-20000</v>
      </c>
      <c r="F81" s="346"/>
      <c r="G81" s="346">
        <f>+F80</f>
        <v>20000</v>
      </c>
      <c r="H81" s="338" t="str">
        <f>+H80</f>
        <v>Don.Bautizos 1 Transferencias</v>
      </c>
      <c r="I81" s="401" t="s">
        <v>296</v>
      </c>
      <c r="J81" s="401"/>
      <c r="K81" s="208"/>
      <c r="L81" s="401"/>
    </row>
    <row r="82" spans="1:12" ht="14.95" customHeight="1" x14ac:dyDescent="0.25"/>
    <row r="83" spans="1:12" ht="14.95" customHeight="1" x14ac:dyDescent="0.25">
      <c r="A83" s="339">
        <v>44204</v>
      </c>
      <c r="B83" s="340">
        <v>1</v>
      </c>
      <c r="C83" s="338">
        <v>4310</v>
      </c>
      <c r="D83" s="340" t="str">
        <f>VLOOKUP(C83,Plan!A$1:B$65542,2,0)</f>
        <v>Arriendos / Dividendos</v>
      </c>
      <c r="E83" s="341">
        <f>+F83-G83</f>
        <v>783874</v>
      </c>
      <c r="F83" s="346">
        <v>783874</v>
      </c>
      <c r="G83" s="346">
        <v>0</v>
      </c>
      <c r="H83" s="343" t="s">
        <v>740</v>
      </c>
      <c r="I83" s="401" t="s">
        <v>296</v>
      </c>
      <c r="J83" s="401"/>
      <c r="K83" s="208"/>
      <c r="L83" s="401"/>
    </row>
    <row r="84" spans="1:12" ht="14.95" customHeight="1" x14ac:dyDescent="0.25">
      <c r="A84" s="339">
        <f>+A83</f>
        <v>44204</v>
      </c>
      <c r="B84" s="340">
        <f>+B83</f>
        <v>1</v>
      </c>
      <c r="C84" s="338">
        <v>110</v>
      </c>
      <c r="D84" s="340" t="str">
        <f>VLOOKUP(C84,Plan!A$1:B$65542,2,0)</f>
        <v>Disponible Administración</v>
      </c>
      <c r="E84" s="341">
        <f>+F84-G84</f>
        <v>-783874</v>
      </c>
      <c r="F84" s="346"/>
      <c r="G84" s="346">
        <f>+F83</f>
        <v>783874</v>
      </c>
      <c r="H84" s="338" t="str">
        <f>+H83</f>
        <v>Arriendo Enero Casa Pastoral</v>
      </c>
      <c r="I84" s="401" t="s">
        <v>296</v>
      </c>
      <c r="J84" s="401"/>
      <c r="K84" s="208"/>
      <c r="L84" s="401"/>
    </row>
    <row r="85" spans="1:12" ht="14.95" customHeight="1" x14ac:dyDescent="0.25"/>
    <row r="86" spans="1:12" ht="14.95" customHeight="1" x14ac:dyDescent="0.25">
      <c r="A86" s="339">
        <v>44204</v>
      </c>
      <c r="B86" s="340">
        <v>1</v>
      </c>
      <c r="C86" s="338">
        <v>4324</v>
      </c>
      <c r="D86" s="340" t="str">
        <f>VLOOKUP(C86,Plan!A$1:B$65542,2,0)</f>
        <v>Gas</v>
      </c>
      <c r="E86" s="341">
        <f>+F86-G86</f>
        <v>2813</v>
      </c>
      <c r="F86" s="346">
        <v>2813</v>
      </c>
      <c r="G86" s="346">
        <v>0</v>
      </c>
      <c r="H86" s="343" t="s">
        <v>741</v>
      </c>
      <c r="I86" s="401" t="s">
        <v>296</v>
      </c>
      <c r="J86" s="401"/>
      <c r="K86" s="208"/>
      <c r="L86" s="401"/>
    </row>
    <row r="87" spans="1:12" ht="14.95" customHeight="1" x14ac:dyDescent="0.25">
      <c r="A87" s="339">
        <f>+A86</f>
        <v>44204</v>
      </c>
      <c r="B87" s="340">
        <f>+B86</f>
        <v>1</v>
      </c>
      <c r="C87" s="338">
        <v>110</v>
      </c>
      <c r="D87" s="340" t="str">
        <f>VLOOKUP(C87,Plan!A$1:B$65542,2,0)</f>
        <v>Disponible Administración</v>
      </c>
      <c r="E87" s="341">
        <f>+F87-G87</f>
        <v>-2813</v>
      </c>
      <c r="F87" s="346"/>
      <c r="G87" s="346">
        <f>+F86</f>
        <v>2813</v>
      </c>
      <c r="H87" s="338" t="str">
        <f>+H86</f>
        <v>PAC Metrogas Oficina</v>
      </c>
      <c r="I87" s="401" t="s">
        <v>296</v>
      </c>
      <c r="J87" s="401"/>
      <c r="K87" s="208"/>
      <c r="L87" s="401"/>
    </row>
    <row r="88" spans="1:12" ht="14.95" customHeight="1" x14ac:dyDescent="0.25"/>
    <row r="89" spans="1:12" ht="14.95" customHeight="1" x14ac:dyDescent="0.25">
      <c r="A89" s="339">
        <v>44207</v>
      </c>
      <c r="B89" s="340">
        <v>1</v>
      </c>
      <c r="C89" s="338">
        <v>110</v>
      </c>
      <c r="D89" s="340" t="str">
        <f>VLOOKUP(C89,Plan!A$1:B$65542,2,0)</f>
        <v>Disponible Administración</v>
      </c>
      <c r="E89" s="341">
        <f>+F89-G89</f>
        <v>224000</v>
      </c>
      <c r="F89" s="346">
        <v>224000</v>
      </c>
      <c r="G89" s="346">
        <v>0</v>
      </c>
      <c r="H89" s="343" t="s">
        <v>742</v>
      </c>
      <c r="I89" s="401" t="s">
        <v>296</v>
      </c>
      <c r="J89" s="401"/>
      <c r="K89" s="208"/>
      <c r="L89" s="401"/>
    </row>
    <row r="90" spans="1:12" ht="14.95" customHeight="1" x14ac:dyDescent="0.25">
      <c r="A90" s="339">
        <f>+A89</f>
        <v>44207</v>
      </c>
      <c r="B90" s="340">
        <f>+B89</f>
        <v>1</v>
      </c>
      <c r="C90" s="338">
        <v>3110</v>
      </c>
      <c r="D90" s="340" t="str">
        <f>VLOOKUP(C90,Plan!A$1:B$65542,2,0)</f>
        <v>Colectas Normales</v>
      </c>
      <c r="E90" s="341">
        <f>+F90-G90</f>
        <v>-224000</v>
      </c>
      <c r="F90" s="346"/>
      <c r="G90" s="346">
        <f>+F89</f>
        <v>224000</v>
      </c>
      <c r="H90" s="338" t="str">
        <f>+H89</f>
        <v>Colecta 13 Transferencias</v>
      </c>
      <c r="I90" s="401" t="s">
        <v>296</v>
      </c>
      <c r="J90" s="401"/>
      <c r="K90" s="208"/>
      <c r="L90" s="401"/>
    </row>
    <row r="91" spans="1:12" ht="14.95" customHeight="1" x14ac:dyDescent="0.25"/>
    <row r="92" spans="1:12" ht="14.95" customHeight="1" x14ac:dyDescent="0.25">
      <c r="A92" s="357">
        <v>44207</v>
      </c>
      <c r="B92" s="358">
        <v>1</v>
      </c>
      <c r="C92" s="358">
        <v>110</v>
      </c>
      <c r="D92" s="340" t="str">
        <f>VLOOKUP(C92,Plan!A$1:B$65542,2,0)</f>
        <v>Disponible Administración</v>
      </c>
      <c r="E92" s="359">
        <f>+F92-G92</f>
        <v>100000</v>
      </c>
      <c r="F92" s="361">
        <v>100000</v>
      </c>
      <c r="G92" s="361">
        <v>0</v>
      </c>
      <c r="H92" s="360" t="s">
        <v>743</v>
      </c>
      <c r="I92" s="360" t="s">
        <v>296</v>
      </c>
      <c r="J92" s="401"/>
      <c r="K92" s="208"/>
      <c r="L92" s="401"/>
    </row>
    <row r="93" spans="1:12" ht="14.95" customHeight="1" x14ac:dyDescent="0.25">
      <c r="A93" s="357">
        <f>+A92</f>
        <v>44207</v>
      </c>
      <c r="B93" s="358">
        <f>+B92</f>
        <v>1</v>
      </c>
      <c r="C93" s="358">
        <v>215</v>
      </c>
      <c r="D93" s="358" t="str">
        <f>VLOOKUP(C93,Plan!A$1:B$65542,2,0)</f>
        <v>Cuenta por Pagar a Cali</v>
      </c>
      <c r="E93" s="359">
        <f>+F93-G93</f>
        <v>-100000</v>
      </c>
      <c r="F93" s="361">
        <v>0</v>
      </c>
      <c r="G93" s="361">
        <f>+F92</f>
        <v>100000</v>
      </c>
      <c r="H93" s="358" t="str">
        <f>+H92</f>
        <v>Hugo Rosende Álvarez / 249</v>
      </c>
      <c r="I93" s="360" t="s">
        <v>296</v>
      </c>
      <c r="J93" s="401"/>
      <c r="K93" s="208"/>
      <c r="L93" s="401"/>
    </row>
    <row r="94" spans="1:12" ht="14.95" customHeight="1" x14ac:dyDescent="0.25"/>
    <row r="95" spans="1:12" ht="14.95" customHeight="1" x14ac:dyDescent="0.25">
      <c r="A95" s="357">
        <v>44207</v>
      </c>
      <c r="B95" s="358">
        <v>1</v>
      </c>
      <c r="C95" s="358">
        <v>110</v>
      </c>
      <c r="D95" s="340" t="str">
        <f>VLOOKUP(C95,Plan!A$1:B$65542,2,0)</f>
        <v>Disponible Administración</v>
      </c>
      <c r="E95" s="359">
        <f>+F95-G95</f>
        <v>350000</v>
      </c>
      <c r="F95" s="361">
        <v>350000</v>
      </c>
      <c r="G95" s="361">
        <v>0</v>
      </c>
      <c r="H95" s="360" t="s">
        <v>744</v>
      </c>
      <c r="I95" s="360" t="s">
        <v>296</v>
      </c>
      <c r="J95" s="401"/>
      <c r="K95" s="208"/>
      <c r="L95" s="401"/>
    </row>
    <row r="96" spans="1:12" ht="14.95" customHeight="1" x14ac:dyDescent="0.25">
      <c r="A96" s="357">
        <f>+A95</f>
        <v>44207</v>
      </c>
      <c r="B96" s="358">
        <f>+B95</f>
        <v>1</v>
      </c>
      <c r="C96" s="358">
        <v>215</v>
      </c>
      <c r="D96" s="358" t="str">
        <f>VLOOKUP(C96,Plan!A$1:B$65542,2,0)</f>
        <v>Cuenta por Pagar a Cali</v>
      </c>
      <c r="E96" s="359">
        <f>+F96-G96</f>
        <v>-350000</v>
      </c>
      <c r="F96" s="361">
        <v>0</v>
      </c>
      <c r="G96" s="361">
        <f>+F95</f>
        <v>350000</v>
      </c>
      <c r="H96" s="358" t="str">
        <f>+H95</f>
        <v>Maria Muzio (Jul - Dic)</v>
      </c>
      <c r="I96" s="360" t="s">
        <v>296</v>
      </c>
      <c r="J96" s="401"/>
      <c r="K96" s="208"/>
      <c r="L96" s="401"/>
    </row>
    <row r="97" spans="1:12" ht="14.95" customHeight="1" x14ac:dyDescent="0.25"/>
    <row r="98" spans="1:12" ht="14.95" customHeight="1" x14ac:dyDescent="0.25">
      <c r="A98" s="339">
        <v>44207</v>
      </c>
      <c r="B98" s="358">
        <v>1</v>
      </c>
      <c r="C98" s="338">
        <v>215</v>
      </c>
      <c r="D98" s="338" t="s">
        <v>377</v>
      </c>
      <c r="E98" s="341">
        <f>+F98-G98</f>
        <v>326103</v>
      </c>
      <c r="F98" s="346">
        <v>326103</v>
      </c>
      <c r="G98" s="346">
        <v>0</v>
      </c>
      <c r="H98" s="338" t="s">
        <v>407</v>
      </c>
      <c r="I98" s="343" t="s">
        <v>296</v>
      </c>
    </row>
    <row r="99" spans="1:12" ht="14.95" customHeight="1" x14ac:dyDescent="0.25">
      <c r="A99" s="339">
        <f>+A98</f>
        <v>44207</v>
      </c>
      <c r="B99" s="358">
        <f>+B98</f>
        <v>1</v>
      </c>
      <c r="C99" s="338">
        <v>223</v>
      </c>
      <c r="D99" s="338" t="s">
        <v>445</v>
      </c>
      <c r="E99" s="341">
        <f>+F99-G99</f>
        <v>62898</v>
      </c>
      <c r="F99" s="346">
        <v>62898</v>
      </c>
      <c r="G99" s="346">
        <v>0</v>
      </c>
      <c r="H99" s="338" t="s">
        <v>407</v>
      </c>
      <c r="I99" s="343" t="s">
        <v>296</v>
      </c>
      <c r="J99" s="401"/>
      <c r="K99" s="208"/>
      <c r="L99" s="401"/>
    </row>
    <row r="100" spans="1:12" ht="14.95" customHeight="1" x14ac:dyDescent="0.25">
      <c r="A100" s="339">
        <f>+A99</f>
        <v>44207</v>
      </c>
      <c r="B100" s="358">
        <f>+B99</f>
        <v>1</v>
      </c>
      <c r="C100" s="338">
        <v>110</v>
      </c>
      <c r="D100" s="340" t="str">
        <f>VLOOKUP(C100,Plan!A$1:B$65542,2,0)</f>
        <v>Disponible Administración</v>
      </c>
      <c r="E100" s="341">
        <f>+F100-G100</f>
        <v>-389001</v>
      </c>
      <c r="F100" s="346">
        <v>0</v>
      </c>
      <c r="G100" s="346">
        <v>389001</v>
      </c>
      <c r="H100" s="338" t="s">
        <v>407</v>
      </c>
      <c r="I100" s="343" t="s">
        <v>296</v>
      </c>
      <c r="J100" s="401"/>
      <c r="K100" s="208"/>
      <c r="L100" s="401"/>
    </row>
    <row r="101" spans="1:12" ht="14.95" customHeight="1" x14ac:dyDescent="0.25"/>
    <row r="102" spans="1:12" ht="14.95" customHeight="1" x14ac:dyDescent="0.25">
      <c r="A102" s="339">
        <v>44207</v>
      </c>
      <c r="B102" s="340">
        <v>1</v>
      </c>
      <c r="C102" s="338">
        <v>224</v>
      </c>
      <c r="D102" s="340" t="str">
        <f>VLOOKUP(C102,Plan!A$1:B$65542,2,0)</f>
        <v>Cotizaciones por Pagar</v>
      </c>
      <c r="E102" s="341">
        <f>+F102-G102</f>
        <v>490789</v>
      </c>
      <c r="F102" s="346">
        <v>490789</v>
      </c>
      <c r="G102" s="346">
        <v>0</v>
      </c>
      <c r="H102" s="338" t="s">
        <v>405</v>
      </c>
      <c r="I102" s="401" t="s">
        <v>296</v>
      </c>
      <c r="J102" s="401"/>
      <c r="K102" s="208"/>
      <c r="L102" s="401"/>
    </row>
    <row r="103" spans="1:12" ht="14.95" customHeight="1" x14ac:dyDescent="0.25">
      <c r="A103" s="339">
        <f>+A102</f>
        <v>44207</v>
      </c>
      <c r="B103" s="340">
        <f>+B102</f>
        <v>1</v>
      </c>
      <c r="C103" s="338">
        <v>110</v>
      </c>
      <c r="D103" s="340" t="str">
        <f>VLOOKUP(C103,Plan!A$1:B$65542,2,0)</f>
        <v>Disponible Administración</v>
      </c>
      <c r="E103" s="341">
        <f>+F103-G103</f>
        <v>-490789</v>
      </c>
      <c r="F103" s="346">
        <v>0</v>
      </c>
      <c r="G103" s="346">
        <f>+F102</f>
        <v>490789</v>
      </c>
      <c r="H103" s="338" t="str">
        <f>+H102</f>
        <v>Previred EE.Parroquia</v>
      </c>
      <c r="I103" s="401" t="s">
        <v>296</v>
      </c>
      <c r="J103" s="401"/>
      <c r="K103" s="208"/>
      <c r="L103" s="401"/>
    </row>
    <row r="104" spans="1:12" ht="14.95" customHeight="1" x14ac:dyDescent="0.25"/>
    <row r="105" spans="1:12" ht="14.95" customHeight="1" x14ac:dyDescent="0.25">
      <c r="A105" s="339">
        <v>44207</v>
      </c>
      <c r="B105" s="340">
        <v>1</v>
      </c>
      <c r="C105" s="338">
        <v>224</v>
      </c>
      <c r="D105" s="340" t="str">
        <f>VLOOKUP(C105,Plan!A$1:B$65542,2,0)</f>
        <v>Cotizaciones por Pagar</v>
      </c>
      <c r="E105" s="341">
        <f>+F105-G105</f>
        <v>169958</v>
      </c>
      <c r="F105" s="346">
        <v>169958</v>
      </c>
      <c r="G105" s="346">
        <v>0</v>
      </c>
      <c r="H105" s="338" t="s">
        <v>406</v>
      </c>
      <c r="I105" s="401" t="s">
        <v>296</v>
      </c>
      <c r="J105" s="401"/>
      <c r="K105" s="208"/>
      <c r="L105" s="401"/>
    </row>
    <row r="106" spans="1:12" ht="14.95" customHeight="1" x14ac:dyDescent="0.25">
      <c r="A106" s="339">
        <f>+A105</f>
        <v>44207</v>
      </c>
      <c r="B106" s="340">
        <f>+B105</f>
        <v>1</v>
      </c>
      <c r="C106" s="338">
        <v>110</v>
      </c>
      <c r="D106" s="340" t="str">
        <f>VLOOKUP(C106,Plan!A$1:B$65542,2,0)</f>
        <v>Disponible Administración</v>
      </c>
      <c r="E106" s="341">
        <f>+F106-G106</f>
        <v>-169958</v>
      </c>
      <c r="F106" s="346">
        <v>0</v>
      </c>
      <c r="G106" s="346">
        <f>+F105</f>
        <v>169958</v>
      </c>
      <c r="H106" s="338" t="str">
        <f>+H105</f>
        <v>Previred P. Pedro</v>
      </c>
      <c r="I106" s="401" t="s">
        <v>296</v>
      </c>
      <c r="J106" s="401"/>
      <c r="K106" s="208"/>
      <c r="L106" s="401"/>
    </row>
    <row r="107" spans="1:12" ht="14.95" customHeight="1" x14ac:dyDescent="0.25"/>
    <row r="108" spans="1:12" ht="14.95" customHeight="1" x14ac:dyDescent="0.25">
      <c r="A108" s="339">
        <v>44208</v>
      </c>
      <c r="B108" s="340">
        <v>1</v>
      </c>
      <c r="C108" s="338">
        <v>110</v>
      </c>
      <c r="D108" s="340" t="str">
        <f>VLOOKUP(C108,Plan!A$1:B$65542,2,0)</f>
        <v>Disponible Administración</v>
      </c>
      <c r="E108" s="341">
        <f>+F108-G108</f>
        <v>160000</v>
      </c>
      <c r="F108" s="346">
        <v>160000</v>
      </c>
      <c r="G108" s="346">
        <v>0</v>
      </c>
      <c r="H108" s="343" t="s">
        <v>676</v>
      </c>
      <c r="I108" s="401" t="s">
        <v>296</v>
      </c>
      <c r="J108" s="401"/>
      <c r="K108" s="208"/>
      <c r="L108" s="401"/>
    </row>
    <row r="109" spans="1:12" ht="14.95" customHeight="1" x14ac:dyDescent="0.25">
      <c r="A109" s="339">
        <f>+A108</f>
        <v>44208</v>
      </c>
      <c r="B109" s="340">
        <f>+B108</f>
        <v>1</v>
      </c>
      <c r="C109" s="338">
        <v>3110</v>
      </c>
      <c r="D109" s="340" t="str">
        <f>VLOOKUP(C109,Plan!A$1:B$65542,2,0)</f>
        <v>Colectas Normales</v>
      </c>
      <c r="E109" s="341">
        <f>+F109-G109</f>
        <v>-160000</v>
      </c>
      <c r="F109" s="346"/>
      <c r="G109" s="346">
        <f>+F108</f>
        <v>160000</v>
      </c>
      <c r="H109" s="338" t="str">
        <f>+H108</f>
        <v>Colecta 2 Transferencias</v>
      </c>
      <c r="I109" s="401" t="s">
        <v>296</v>
      </c>
      <c r="J109" s="401"/>
      <c r="K109" s="208"/>
      <c r="L109" s="401"/>
    </row>
    <row r="110" spans="1:12" ht="14.95" customHeight="1" x14ac:dyDescent="0.25"/>
    <row r="111" spans="1:12" ht="14.95" customHeight="1" x14ac:dyDescent="0.25">
      <c r="A111" s="339">
        <v>44208</v>
      </c>
      <c r="B111" s="340">
        <v>1</v>
      </c>
      <c r="C111" s="338">
        <v>110</v>
      </c>
      <c r="D111" s="340" t="str">
        <f>VLOOKUP(C111,Plan!A$1:B$65542,2,0)</f>
        <v>Disponible Administración</v>
      </c>
      <c r="E111" s="341">
        <f>+F111-G111</f>
        <v>22000</v>
      </c>
      <c r="F111" s="346">
        <v>22000</v>
      </c>
      <c r="G111" s="346">
        <v>0</v>
      </c>
      <c r="H111" s="343" t="s">
        <v>745</v>
      </c>
      <c r="I111" s="401" t="s">
        <v>296</v>
      </c>
      <c r="J111" s="401"/>
      <c r="K111" s="208"/>
      <c r="L111" s="401"/>
    </row>
    <row r="112" spans="1:12" ht="14.95" customHeight="1" x14ac:dyDescent="0.25">
      <c r="A112" s="339">
        <f>+A111</f>
        <v>44208</v>
      </c>
      <c r="B112" s="340">
        <f>+B111</f>
        <v>1</v>
      </c>
      <c r="C112" s="338">
        <v>3350</v>
      </c>
      <c r="D112" s="340" t="str">
        <f>VLOOKUP(C112,Plan!A$1:B$65542,2,0)</f>
        <v>Bautizos</v>
      </c>
      <c r="E112" s="341">
        <f>+F112-G112</f>
        <v>-22000</v>
      </c>
      <c r="F112" s="346"/>
      <c r="G112" s="346">
        <f>+F111</f>
        <v>22000</v>
      </c>
      <c r="H112" s="338" t="str">
        <f>+H111</f>
        <v>Don.Bautizos 2 Transferencias</v>
      </c>
      <c r="I112" s="401" t="s">
        <v>296</v>
      </c>
      <c r="J112" s="401"/>
      <c r="K112" s="208"/>
      <c r="L112" s="401"/>
    </row>
    <row r="113" spans="1:12" ht="14.95" customHeight="1" x14ac:dyDescent="0.25"/>
    <row r="114" spans="1:12" ht="14.95" customHeight="1" x14ac:dyDescent="0.25">
      <c r="A114" s="339">
        <v>44208</v>
      </c>
      <c r="B114" s="340">
        <v>1</v>
      </c>
      <c r="C114" s="338">
        <v>4323</v>
      </c>
      <c r="D114" s="340" t="str">
        <f>VLOOKUP(C114,Plan!A$1:B$65542,2,0)</f>
        <v>Telefonía, Internet (VTR, Entel)</v>
      </c>
      <c r="E114" s="341">
        <f>+F114-G114</f>
        <v>56269</v>
      </c>
      <c r="F114" s="346">
        <v>56269</v>
      </c>
      <c r="G114" s="346">
        <v>0</v>
      </c>
      <c r="H114" s="343" t="s">
        <v>746</v>
      </c>
      <c r="I114" s="401" t="s">
        <v>296</v>
      </c>
      <c r="J114" s="401"/>
      <c r="K114" s="208"/>
      <c r="L114" s="401"/>
    </row>
    <row r="115" spans="1:12" ht="14.95" customHeight="1" x14ac:dyDescent="0.25">
      <c r="A115" s="339">
        <f>+A114</f>
        <v>44208</v>
      </c>
      <c r="B115" s="340">
        <f>+B114</f>
        <v>1</v>
      </c>
      <c r="C115" s="338">
        <v>110</v>
      </c>
      <c r="D115" s="340" t="str">
        <f>VLOOKUP(C115,Plan!A$1:B$65542,2,0)</f>
        <v>Disponible Administración</v>
      </c>
      <c r="E115" s="341">
        <f>+F115-G115</f>
        <v>-56269</v>
      </c>
      <c r="F115" s="346"/>
      <c r="G115" s="346">
        <f>+F114</f>
        <v>56269</v>
      </c>
      <c r="H115" s="338" t="str">
        <f>+H114</f>
        <v>PAC VTR,</v>
      </c>
      <c r="I115" s="401" t="s">
        <v>296</v>
      </c>
      <c r="J115" s="401"/>
      <c r="K115" s="208"/>
      <c r="L115" s="401"/>
    </row>
    <row r="116" spans="1:12" ht="14.95" customHeight="1" x14ac:dyDescent="0.25"/>
    <row r="117" spans="1:12" ht="14.95" customHeight="1" x14ac:dyDescent="0.25">
      <c r="A117" s="357">
        <v>44208</v>
      </c>
      <c r="B117" s="358">
        <v>1</v>
      </c>
      <c r="C117" s="358">
        <v>110</v>
      </c>
      <c r="D117" s="340" t="str">
        <f>VLOOKUP(C117,Plan!A$1:B$65542,2,0)</f>
        <v>Disponible Administración</v>
      </c>
      <c r="E117" s="359">
        <f>+F117-G117</f>
        <v>25000</v>
      </c>
      <c r="F117" s="361">
        <v>25000</v>
      </c>
      <c r="G117" s="361">
        <v>0</v>
      </c>
      <c r="H117" s="360" t="s">
        <v>747</v>
      </c>
      <c r="I117" s="360" t="s">
        <v>296</v>
      </c>
      <c r="J117" s="401"/>
      <c r="K117" s="208"/>
      <c r="L117" s="401"/>
    </row>
    <row r="118" spans="1:12" ht="14.95" customHeight="1" x14ac:dyDescent="0.25">
      <c r="A118" s="357">
        <f>+A117</f>
        <v>44208</v>
      </c>
      <c r="B118" s="358">
        <f>+B117</f>
        <v>1</v>
      </c>
      <c r="C118" s="358">
        <v>215</v>
      </c>
      <c r="D118" s="358" t="str">
        <f>VLOOKUP(C118,Plan!A$1:B$65542,2,0)</f>
        <v>Cuenta por Pagar a Cali</v>
      </c>
      <c r="E118" s="359">
        <f>+F118-G118</f>
        <v>-25000</v>
      </c>
      <c r="F118" s="361">
        <v>0</v>
      </c>
      <c r="G118" s="361">
        <f>+F117</f>
        <v>25000</v>
      </c>
      <c r="H118" s="358" t="str">
        <f>+H117</f>
        <v>Carlos Celis Celedón / Azul</v>
      </c>
      <c r="I118" s="360" t="s">
        <v>296</v>
      </c>
      <c r="J118" s="401"/>
      <c r="K118" s="208"/>
      <c r="L118" s="401"/>
    </row>
    <row r="119" spans="1:12" ht="14.95" customHeight="1" x14ac:dyDescent="0.25"/>
    <row r="120" spans="1:12" ht="14.95" customHeight="1" x14ac:dyDescent="0.25">
      <c r="A120" s="339">
        <v>44209</v>
      </c>
      <c r="B120" s="340">
        <v>1</v>
      </c>
      <c r="C120" s="338">
        <v>110</v>
      </c>
      <c r="D120" s="340" t="str">
        <f>VLOOKUP(C120,Plan!A$1:B$65542,2,0)</f>
        <v>Disponible Administración</v>
      </c>
      <c r="E120" s="341">
        <f>+F120-G120</f>
        <v>66000</v>
      </c>
      <c r="F120" s="346">
        <v>66000</v>
      </c>
      <c r="G120" s="346">
        <v>0</v>
      </c>
      <c r="H120" s="343" t="s">
        <v>673</v>
      </c>
      <c r="I120" s="401" t="s">
        <v>296</v>
      </c>
      <c r="J120" s="401"/>
      <c r="K120" s="208"/>
      <c r="L120" s="401"/>
    </row>
    <row r="121" spans="1:12" ht="14.95" customHeight="1" x14ac:dyDescent="0.25">
      <c r="A121" s="339">
        <f>+A120</f>
        <v>44209</v>
      </c>
      <c r="B121" s="340">
        <f>+B120</f>
        <v>1</v>
      </c>
      <c r="C121" s="338">
        <v>3110</v>
      </c>
      <c r="D121" s="340" t="str">
        <f>VLOOKUP(C121,Plan!A$1:B$65542,2,0)</f>
        <v>Colectas Normales</v>
      </c>
      <c r="E121" s="341">
        <f>+F121-G121</f>
        <v>-66000</v>
      </c>
      <c r="F121" s="346"/>
      <c r="G121" s="346">
        <f>+F120</f>
        <v>66000</v>
      </c>
      <c r="H121" s="338" t="str">
        <f>+H120</f>
        <v>Colecta 4 Transferencias</v>
      </c>
      <c r="I121" s="401" t="s">
        <v>296</v>
      </c>
      <c r="J121" s="401"/>
      <c r="K121" s="208"/>
      <c r="L121" s="401"/>
    </row>
    <row r="122" spans="1:12" ht="14.95" customHeight="1" x14ac:dyDescent="0.25"/>
    <row r="123" spans="1:12" ht="14.95" customHeight="1" x14ac:dyDescent="0.25">
      <c r="A123" s="339">
        <v>44209</v>
      </c>
      <c r="B123" s="340">
        <v>1</v>
      </c>
      <c r="C123" s="338">
        <v>110</v>
      </c>
      <c r="D123" s="340" t="str">
        <f>VLOOKUP(C123,Plan!A$1:B$65542,2,0)</f>
        <v>Disponible Administración</v>
      </c>
      <c r="E123" s="341">
        <f>+F123-G123</f>
        <v>60000</v>
      </c>
      <c r="F123" s="346">
        <v>60000</v>
      </c>
      <c r="G123" s="346">
        <v>0</v>
      </c>
      <c r="H123" s="343" t="s">
        <v>745</v>
      </c>
      <c r="I123" s="401" t="s">
        <v>296</v>
      </c>
      <c r="J123" s="401"/>
      <c r="K123" s="208"/>
      <c r="L123" s="401"/>
    </row>
    <row r="124" spans="1:12" ht="14.95" customHeight="1" x14ac:dyDescent="0.25">
      <c r="A124" s="339">
        <f>+A123</f>
        <v>44209</v>
      </c>
      <c r="B124" s="340">
        <f>+B123</f>
        <v>1</v>
      </c>
      <c r="C124" s="338">
        <v>3350</v>
      </c>
      <c r="D124" s="340" t="str">
        <f>VLOOKUP(C124,Plan!A$1:B$65542,2,0)</f>
        <v>Bautizos</v>
      </c>
      <c r="E124" s="341">
        <f>+F124-G124</f>
        <v>-60000</v>
      </c>
      <c r="F124" s="346"/>
      <c r="G124" s="346">
        <f>+F123</f>
        <v>60000</v>
      </c>
      <c r="H124" s="338" t="str">
        <f>+H123</f>
        <v>Don.Bautizos 2 Transferencias</v>
      </c>
      <c r="I124" s="401" t="s">
        <v>296</v>
      </c>
      <c r="J124" s="401"/>
      <c r="K124" s="208"/>
      <c r="L124" s="401"/>
    </row>
    <row r="125" spans="1:12" ht="14.95" customHeight="1" x14ac:dyDescent="0.25"/>
    <row r="126" spans="1:12" ht="14.95" customHeight="1" x14ac:dyDescent="0.25">
      <c r="A126" s="339">
        <v>44210</v>
      </c>
      <c r="B126" s="340">
        <v>1</v>
      </c>
      <c r="C126" s="338">
        <v>110</v>
      </c>
      <c r="D126" s="340" t="str">
        <f>VLOOKUP(C126,Plan!A$1:B$65542,2,0)</f>
        <v>Disponible Administración</v>
      </c>
      <c r="E126" s="341">
        <f>+F126-G126</f>
        <v>30000</v>
      </c>
      <c r="F126" s="346">
        <v>30000</v>
      </c>
      <c r="G126" s="346">
        <v>0</v>
      </c>
      <c r="H126" s="343" t="s">
        <v>674</v>
      </c>
      <c r="I126" s="401" t="s">
        <v>296</v>
      </c>
      <c r="J126" s="401"/>
      <c r="K126" s="208"/>
      <c r="L126" s="401"/>
    </row>
    <row r="127" spans="1:12" ht="14.95" customHeight="1" x14ac:dyDescent="0.25">
      <c r="A127" s="339">
        <f>+A126</f>
        <v>44210</v>
      </c>
      <c r="B127" s="340">
        <f>+B126</f>
        <v>1</v>
      </c>
      <c r="C127" s="338">
        <v>3110</v>
      </c>
      <c r="D127" s="340" t="str">
        <f>VLOOKUP(C127,Plan!A$1:B$65542,2,0)</f>
        <v>Colectas Normales</v>
      </c>
      <c r="E127" s="341">
        <f>+F127-G127</f>
        <v>-30000</v>
      </c>
      <c r="F127" s="346"/>
      <c r="G127" s="346">
        <f>+F126</f>
        <v>30000</v>
      </c>
      <c r="H127" s="338" t="str">
        <f>+H126</f>
        <v>Colecta 1 Transferencias</v>
      </c>
      <c r="I127" s="401" t="s">
        <v>296</v>
      </c>
      <c r="J127" s="401"/>
      <c r="K127" s="208"/>
      <c r="L127" s="401"/>
    </row>
    <row r="128" spans="1:12" ht="14.95" customHeight="1" x14ac:dyDescent="0.25"/>
    <row r="129" spans="1:12" ht="14.95" customHeight="1" x14ac:dyDescent="0.25">
      <c r="A129" s="339">
        <v>44210</v>
      </c>
      <c r="B129" s="340">
        <v>1</v>
      </c>
      <c r="C129" s="338">
        <v>110</v>
      </c>
      <c r="D129" s="340" t="str">
        <f>VLOOKUP(C129,Plan!A$1:B$65542,2,0)</f>
        <v>Disponible Administración</v>
      </c>
      <c r="E129" s="341">
        <f>+F129-G129</f>
        <v>50000</v>
      </c>
      <c r="F129" s="346">
        <v>50000</v>
      </c>
      <c r="G129" s="346">
        <v>0</v>
      </c>
      <c r="H129" s="343" t="s">
        <v>748</v>
      </c>
      <c r="I129" s="401" t="s">
        <v>296</v>
      </c>
      <c r="J129" s="401"/>
      <c r="K129" s="208"/>
      <c r="L129" s="401"/>
    </row>
    <row r="130" spans="1:12" ht="14.95" customHeight="1" x14ac:dyDescent="0.25">
      <c r="A130" s="339">
        <f>+A129</f>
        <v>44210</v>
      </c>
      <c r="B130" s="340">
        <f>+B129</f>
        <v>1</v>
      </c>
      <c r="C130" s="338">
        <v>3340</v>
      </c>
      <c r="D130" s="340" t="str">
        <f>VLOOKUP(C130,Plan!A$1:B$65542,2,0)</f>
        <v>Misas</v>
      </c>
      <c r="E130" s="341">
        <f>+F130-G130</f>
        <v>-50000</v>
      </c>
      <c r="F130" s="346"/>
      <c r="G130" s="346">
        <f>+F129</f>
        <v>50000</v>
      </c>
      <c r="H130" s="338" t="str">
        <f>+H129</f>
        <v>Misas 1 Transferencias</v>
      </c>
      <c r="I130" s="401" t="s">
        <v>296</v>
      </c>
      <c r="J130" s="401"/>
      <c r="K130" s="208"/>
      <c r="L130" s="401"/>
    </row>
    <row r="131" spans="1:12" ht="14.95" customHeight="1" x14ac:dyDescent="0.25"/>
    <row r="132" spans="1:12" ht="14.95" customHeight="1" x14ac:dyDescent="0.25">
      <c r="A132" s="339">
        <v>44210</v>
      </c>
      <c r="B132" s="340">
        <v>1</v>
      </c>
      <c r="C132" s="338">
        <v>110</v>
      </c>
      <c r="D132" s="340" t="str">
        <f>VLOOKUP(C132,Plan!A$1:B$65542,2,0)</f>
        <v>Disponible Administración</v>
      </c>
      <c r="E132" s="341">
        <f>+F132-G132</f>
        <v>25000</v>
      </c>
      <c r="F132" s="346">
        <v>25000</v>
      </c>
      <c r="G132" s="346">
        <v>0</v>
      </c>
      <c r="H132" s="343" t="s">
        <v>745</v>
      </c>
      <c r="I132" s="401" t="s">
        <v>296</v>
      </c>
      <c r="J132" s="401"/>
      <c r="K132" s="208"/>
      <c r="L132" s="401"/>
    </row>
    <row r="133" spans="1:12" ht="14.95" customHeight="1" x14ac:dyDescent="0.25">
      <c r="A133" s="339">
        <f>+A132</f>
        <v>44210</v>
      </c>
      <c r="B133" s="340">
        <f>+B132</f>
        <v>1</v>
      </c>
      <c r="C133" s="338">
        <v>3350</v>
      </c>
      <c r="D133" s="340" t="str">
        <f>VLOOKUP(C133,Plan!A$1:B$65542,2,0)</f>
        <v>Bautizos</v>
      </c>
      <c r="E133" s="341">
        <f>+F133-G133</f>
        <v>-25000</v>
      </c>
      <c r="F133" s="346"/>
      <c r="G133" s="346">
        <f>+F132</f>
        <v>25000</v>
      </c>
      <c r="H133" s="338" t="str">
        <f>+H132</f>
        <v>Don.Bautizos 2 Transferencias</v>
      </c>
      <c r="I133" s="401" t="s">
        <v>296</v>
      </c>
      <c r="J133" s="401"/>
      <c r="K133" s="208"/>
      <c r="L133" s="401"/>
    </row>
    <row r="134" spans="1:12" ht="14.95" customHeight="1" x14ac:dyDescent="0.25"/>
    <row r="135" spans="1:12" ht="14.95" customHeight="1" x14ac:dyDescent="0.25">
      <c r="A135" s="357">
        <v>44210</v>
      </c>
      <c r="B135" s="358">
        <v>1</v>
      </c>
      <c r="C135" s="358">
        <v>110</v>
      </c>
      <c r="D135" s="340" t="str">
        <f>VLOOKUP(C135,Plan!A$1:B$65542,2,0)</f>
        <v>Disponible Administración</v>
      </c>
      <c r="E135" s="359">
        <f>+F135-G135</f>
        <v>600000</v>
      </c>
      <c r="F135" s="361">
        <v>600000</v>
      </c>
      <c r="G135" s="361">
        <v>0</v>
      </c>
      <c r="H135" s="360" t="s">
        <v>749</v>
      </c>
      <c r="I135" s="360" t="s">
        <v>296</v>
      </c>
      <c r="J135" s="401"/>
      <c r="K135" s="208"/>
      <c r="L135" s="401"/>
    </row>
    <row r="136" spans="1:12" ht="14.95" customHeight="1" x14ac:dyDescent="0.25">
      <c r="A136" s="357">
        <f>+A135</f>
        <v>44210</v>
      </c>
      <c r="B136" s="358">
        <f>+B135</f>
        <v>1</v>
      </c>
      <c r="C136" s="358">
        <v>215</v>
      </c>
      <c r="D136" s="358" t="str">
        <f>VLOOKUP(C136,Plan!A$1:B$65542,2,0)</f>
        <v>Cuenta por Pagar a Cali</v>
      </c>
      <c r="E136" s="359">
        <f>+F136-G136</f>
        <v>-600000</v>
      </c>
      <c r="F136" s="361">
        <v>0</v>
      </c>
      <c r="G136" s="361">
        <f>+F135</f>
        <v>600000</v>
      </c>
      <c r="H136" s="358" t="str">
        <f>+H135</f>
        <v>Eugenio Camus /Azul</v>
      </c>
      <c r="I136" s="360" t="s">
        <v>296</v>
      </c>
      <c r="J136" s="401"/>
      <c r="K136" s="208"/>
      <c r="L136" s="401"/>
    </row>
    <row r="137" spans="1:12" ht="14.95" customHeight="1" x14ac:dyDescent="0.25"/>
    <row r="138" spans="1:12" ht="14.95" customHeight="1" x14ac:dyDescent="0.25">
      <c r="A138" s="339">
        <v>44211</v>
      </c>
      <c r="B138" s="340">
        <v>1</v>
      </c>
      <c r="C138" s="338">
        <v>4223</v>
      </c>
      <c r="D138" s="340" t="str">
        <f>VLOOKUP(C138,Plan!A$1:B$65542,2,0)</f>
        <v xml:space="preserve">         Comunicaciones</v>
      </c>
      <c r="E138" s="341">
        <f>+F138-G138</f>
        <v>672268</v>
      </c>
      <c r="F138" s="346">
        <v>672268</v>
      </c>
      <c r="G138" s="346">
        <v>0</v>
      </c>
      <c r="H138" s="343" t="s">
        <v>751</v>
      </c>
      <c r="I138" s="401" t="s">
        <v>296</v>
      </c>
    </row>
    <row r="139" spans="1:12" ht="14.95" customHeight="1" x14ac:dyDescent="0.25">
      <c r="A139" s="453">
        <f>+A138</f>
        <v>44211</v>
      </c>
      <c r="B139" s="340">
        <v>1</v>
      </c>
      <c r="C139" s="338">
        <v>223</v>
      </c>
      <c r="D139" s="340" t="str">
        <f>VLOOKUP(C139,Plan!A$1:B$65542,2,0)</f>
        <v>Ret. Hon.  e Impto. Unico Administración</v>
      </c>
      <c r="E139" s="341">
        <f>+F139-G139</f>
        <v>-77311</v>
      </c>
      <c r="F139" s="346"/>
      <c r="G139" s="346">
        <v>77311</v>
      </c>
      <c r="H139" s="338" t="str">
        <f>+H138</f>
        <v>BH23 Hon M.Jara Nov y Dic/2020</v>
      </c>
      <c r="I139" s="401" t="s">
        <v>296</v>
      </c>
    </row>
    <row r="140" spans="1:12" ht="14.95" customHeight="1" x14ac:dyDescent="0.25">
      <c r="A140" s="339">
        <f>+A138</f>
        <v>44211</v>
      </c>
      <c r="B140" s="340">
        <f>+B138</f>
        <v>1</v>
      </c>
      <c r="C140" s="338">
        <v>110</v>
      </c>
      <c r="D140" s="340" t="str">
        <f>VLOOKUP(C140,Plan!A$1:B$65542,2,0)</f>
        <v>Disponible Administración</v>
      </c>
      <c r="E140" s="341">
        <f>+F140-G140</f>
        <v>-594957</v>
      </c>
      <c r="F140" s="346"/>
      <c r="G140" s="346">
        <v>594957</v>
      </c>
      <c r="H140" s="338" t="str">
        <f>+H138</f>
        <v>BH23 Hon M.Jara Nov y Dic/2020</v>
      </c>
      <c r="I140" s="401" t="s">
        <v>296</v>
      </c>
    </row>
    <row r="141" spans="1:12" ht="14.95" customHeight="1" x14ac:dyDescent="0.25"/>
    <row r="142" spans="1:12" ht="14.95" customHeight="1" x14ac:dyDescent="0.25">
      <c r="A142" s="339">
        <v>44211</v>
      </c>
      <c r="B142" s="340">
        <v>1</v>
      </c>
      <c r="C142" s="338">
        <v>4860</v>
      </c>
      <c r="D142" s="340" t="str">
        <f>VLOOKUP(C142,Plan!A$1:B$65542,2,0)</f>
        <v>Otros</v>
      </c>
      <c r="E142" s="341">
        <f>+F142-G142</f>
        <v>43000</v>
      </c>
      <c r="F142" s="346">
        <v>43000</v>
      </c>
      <c r="G142" s="346">
        <v>0</v>
      </c>
      <c r="H142" s="343" t="s">
        <v>755</v>
      </c>
      <c r="I142" s="401" t="s">
        <v>296</v>
      </c>
    </row>
    <row r="143" spans="1:12" ht="14.95" customHeight="1" x14ac:dyDescent="0.25">
      <c r="A143" s="339">
        <f>+A142</f>
        <v>44211</v>
      </c>
      <c r="B143" s="340">
        <v>1</v>
      </c>
      <c r="C143" s="338">
        <v>223</v>
      </c>
      <c r="D143" s="340" t="str">
        <f>VLOOKUP(C143,Plan!A$1:B$65542,2,0)</f>
        <v>Ret. Hon.  e Impto. Unico Administración</v>
      </c>
      <c r="E143" s="341">
        <f>+F143-G143</f>
        <v>-4945</v>
      </c>
      <c r="F143" s="346"/>
      <c r="G143" s="346">
        <v>4945</v>
      </c>
      <c r="H143" s="338" t="str">
        <f>+H142</f>
        <v>BH  R,Vicuña Reparacion WC Ofic.</v>
      </c>
      <c r="I143" s="401" t="s">
        <v>296</v>
      </c>
    </row>
    <row r="144" spans="1:12" ht="14.95" customHeight="1" x14ac:dyDescent="0.25">
      <c r="A144" s="339">
        <f>+A142</f>
        <v>44211</v>
      </c>
      <c r="B144" s="340">
        <f>+B142</f>
        <v>1</v>
      </c>
      <c r="C144" s="338">
        <v>110</v>
      </c>
      <c r="D144" s="340" t="str">
        <f>VLOOKUP(C144,Plan!A$1:B$65542,2,0)</f>
        <v>Disponible Administración</v>
      </c>
      <c r="E144" s="341">
        <f>+F144-G144</f>
        <v>-38055</v>
      </c>
      <c r="F144" s="346"/>
      <c r="G144" s="346">
        <v>38055</v>
      </c>
      <c r="H144" s="338" t="str">
        <f>+H142</f>
        <v>BH  R,Vicuña Reparacion WC Ofic.</v>
      </c>
      <c r="I144" s="401" t="s">
        <v>296</v>
      </c>
    </row>
    <row r="145" spans="1:12" ht="14.95" customHeight="1" x14ac:dyDescent="0.25"/>
    <row r="146" spans="1:12" ht="14.95" customHeight="1" x14ac:dyDescent="0.25">
      <c r="A146" s="339">
        <v>44211</v>
      </c>
      <c r="B146" s="340">
        <v>1</v>
      </c>
      <c r="C146" s="338">
        <v>110</v>
      </c>
      <c r="D146" s="340" t="str">
        <f>VLOOKUP(C146,Plan!A$1:B$65542,2,0)</f>
        <v>Disponible Administración</v>
      </c>
      <c r="E146" s="341">
        <f>+F146-G146</f>
        <v>10000</v>
      </c>
      <c r="F146" s="346">
        <v>10000</v>
      </c>
      <c r="G146" s="346">
        <v>0</v>
      </c>
      <c r="H146" s="343" t="s">
        <v>674</v>
      </c>
      <c r="I146" s="401" t="s">
        <v>296</v>
      </c>
      <c r="J146" s="401"/>
      <c r="K146" s="208"/>
      <c r="L146" s="401"/>
    </row>
    <row r="147" spans="1:12" ht="14.95" customHeight="1" x14ac:dyDescent="0.25">
      <c r="A147" s="339">
        <f>+A146</f>
        <v>44211</v>
      </c>
      <c r="B147" s="340">
        <f>+B146</f>
        <v>1</v>
      </c>
      <c r="C147" s="338">
        <v>3110</v>
      </c>
      <c r="D147" s="340" t="str">
        <f>VLOOKUP(C147,Plan!A$1:B$65542,2,0)</f>
        <v>Colectas Normales</v>
      </c>
      <c r="E147" s="341">
        <f>+F147-G147</f>
        <v>-10000</v>
      </c>
      <c r="F147" s="346"/>
      <c r="G147" s="346">
        <f>+F146</f>
        <v>10000</v>
      </c>
      <c r="H147" s="338" t="str">
        <f>+H146</f>
        <v>Colecta 1 Transferencias</v>
      </c>
      <c r="I147" s="401" t="s">
        <v>296</v>
      </c>
      <c r="J147" s="401"/>
      <c r="K147" s="208"/>
      <c r="L147" s="401"/>
    </row>
    <row r="148" spans="1:12" ht="14.95" customHeight="1" x14ac:dyDescent="0.25"/>
    <row r="149" spans="1:12" ht="14.95" customHeight="1" x14ac:dyDescent="0.25">
      <c r="A149" s="339">
        <v>44211</v>
      </c>
      <c r="B149" s="340">
        <v>1</v>
      </c>
      <c r="C149" s="338">
        <v>215</v>
      </c>
      <c r="D149" s="340" t="str">
        <f>VLOOKUP(C149,Plan!A$1:B$65542,2,0)</f>
        <v>Cuenta por Pagar a Cali</v>
      </c>
      <c r="E149" s="341">
        <f>+F149-G149</f>
        <v>20000</v>
      </c>
      <c r="F149" s="346">
        <v>20000</v>
      </c>
      <c r="G149" s="346">
        <v>0</v>
      </c>
      <c r="H149" s="343" t="s">
        <v>778</v>
      </c>
      <c r="I149" s="401" t="s">
        <v>296</v>
      </c>
    </row>
    <row r="150" spans="1:12" ht="14.95" customHeight="1" x14ac:dyDescent="0.25">
      <c r="A150" s="339">
        <f>+A149</f>
        <v>44211</v>
      </c>
      <c r="B150" s="340">
        <f>+B149</f>
        <v>1</v>
      </c>
      <c r="C150" s="338">
        <v>110</v>
      </c>
      <c r="D150" s="340" t="str">
        <f>VLOOKUP(C150,Plan!A$1:B$65542,2,0)</f>
        <v>Disponible Administración</v>
      </c>
      <c r="E150" s="341">
        <f>+F150-G150</f>
        <v>-20000</v>
      </c>
      <c r="F150" s="346"/>
      <c r="G150" s="346">
        <f>+F149</f>
        <v>20000</v>
      </c>
      <c r="H150" s="338" t="str">
        <f>+H149</f>
        <v>Aporte Esc.de Verano Vic.Cordillera</v>
      </c>
      <c r="I150" s="401" t="s">
        <v>296</v>
      </c>
    </row>
    <row r="151" spans="1:12" ht="14.95" customHeight="1" x14ac:dyDescent="0.25"/>
    <row r="152" spans="1:12" ht="14.95" customHeight="1" x14ac:dyDescent="0.25">
      <c r="A152" s="339">
        <v>44211</v>
      </c>
      <c r="B152" s="340">
        <v>1</v>
      </c>
      <c r="C152" s="338">
        <v>4310</v>
      </c>
      <c r="D152" s="340" t="str">
        <f>VLOOKUP(C152,Plan!A$1:B$65542,2,0)</f>
        <v>Arriendos / Dividendos</v>
      </c>
      <c r="E152" s="341">
        <f>+F152-G152</f>
        <v>10000</v>
      </c>
      <c r="F152" s="346">
        <v>10000</v>
      </c>
      <c r="G152" s="346">
        <v>0</v>
      </c>
      <c r="H152" s="343" t="s">
        <v>779</v>
      </c>
      <c r="I152" s="401" t="s">
        <v>296</v>
      </c>
    </row>
    <row r="153" spans="1:12" ht="14.95" customHeight="1" x14ac:dyDescent="0.25">
      <c r="A153" s="339">
        <f>+A152</f>
        <v>44211</v>
      </c>
      <c r="B153" s="340">
        <f>+B152</f>
        <v>1</v>
      </c>
      <c r="C153" s="338">
        <v>110</v>
      </c>
      <c r="D153" s="340" t="str">
        <f>VLOOKUP(C153,Plan!A$1:B$65542,2,0)</f>
        <v>Disponible Administración</v>
      </c>
      <c r="E153" s="341">
        <f>+F153-G153</f>
        <v>-10000</v>
      </c>
      <c r="F153" s="346"/>
      <c r="G153" s="346">
        <f>+F152</f>
        <v>10000</v>
      </c>
      <c r="H153" s="338" t="str">
        <f>+H152</f>
        <v>Diferencia Arriendo Enero 2021</v>
      </c>
      <c r="I153" s="401" t="s">
        <v>296</v>
      </c>
    </row>
    <row r="154" spans="1:12" ht="14.95" customHeight="1" x14ac:dyDescent="0.25"/>
    <row r="155" spans="1:12" ht="14.95" customHeight="1" x14ac:dyDescent="0.25">
      <c r="A155" s="339">
        <v>44211</v>
      </c>
      <c r="B155" s="340">
        <v>1</v>
      </c>
      <c r="C155" s="338">
        <v>4323</v>
      </c>
      <c r="D155" s="340" t="str">
        <f>VLOOKUP(C155,Plan!A$1:B$65542,2,0)</f>
        <v>Telefonía, Internet (VTR, Entel)</v>
      </c>
      <c r="E155" s="341">
        <f>+F155-G155</f>
        <v>20990</v>
      </c>
      <c r="F155" s="346">
        <v>20990</v>
      </c>
      <c r="G155" s="346">
        <v>0</v>
      </c>
      <c r="H155" s="343" t="s">
        <v>669</v>
      </c>
      <c r="I155" s="401" t="s">
        <v>296</v>
      </c>
      <c r="J155" s="401"/>
      <c r="K155" s="208"/>
      <c r="L155" s="401"/>
    </row>
    <row r="156" spans="1:12" ht="14.95" customHeight="1" x14ac:dyDescent="0.25">
      <c r="A156" s="339">
        <f>+A155</f>
        <v>44211</v>
      </c>
      <c r="B156" s="340">
        <f>+B155</f>
        <v>1</v>
      </c>
      <c r="C156" s="338">
        <v>110</v>
      </c>
      <c r="D156" s="340" t="str">
        <f>VLOOKUP(C156,Plan!A$1:B$65542,2,0)</f>
        <v>Disponible Administración</v>
      </c>
      <c r="E156" s="341">
        <f>+F156-G156</f>
        <v>-20990</v>
      </c>
      <c r="F156" s="346"/>
      <c r="G156" s="346">
        <f>+F155</f>
        <v>20990</v>
      </c>
      <c r="H156" s="338" t="str">
        <f>+H155</f>
        <v>PAC Entel</v>
      </c>
      <c r="I156" s="401" t="s">
        <v>296</v>
      </c>
      <c r="J156" s="401"/>
      <c r="K156" s="208"/>
      <c r="L156" s="401"/>
    </row>
    <row r="157" spans="1:12" ht="14.95" customHeight="1" x14ac:dyDescent="0.25"/>
    <row r="158" spans="1:12" ht="14.95" customHeight="1" x14ac:dyDescent="0.25">
      <c r="A158" s="339">
        <v>44211</v>
      </c>
      <c r="B158" s="340">
        <v>1</v>
      </c>
      <c r="C158" s="338">
        <v>4325</v>
      </c>
      <c r="D158" s="340" t="str">
        <f>VLOOKUP(C158,Plan!A$1:B$65542,2,0)</f>
        <v>Alarma (ADT)</v>
      </c>
      <c r="E158" s="341">
        <f>+F158-G158</f>
        <v>42441</v>
      </c>
      <c r="F158" s="346">
        <v>42441</v>
      </c>
      <c r="G158" s="346">
        <v>0</v>
      </c>
      <c r="H158" s="343" t="s">
        <v>750</v>
      </c>
      <c r="I158" s="401" t="s">
        <v>296</v>
      </c>
      <c r="J158" s="401"/>
      <c r="K158" s="208"/>
      <c r="L158" s="401"/>
    </row>
    <row r="159" spans="1:12" ht="14.95" customHeight="1" x14ac:dyDescent="0.25">
      <c r="A159" s="339">
        <f>+A158</f>
        <v>44211</v>
      </c>
      <c r="B159" s="340">
        <f>+B158</f>
        <v>1</v>
      </c>
      <c r="C159" s="338">
        <v>110</v>
      </c>
      <c r="D159" s="340" t="str">
        <f>VLOOKUP(C159,Plan!A$1:B$65542,2,0)</f>
        <v>Disponible Administración</v>
      </c>
      <c r="E159" s="341">
        <f>+F159-G159</f>
        <v>-42441</v>
      </c>
      <c r="F159" s="346"/>
      <c r="G159" s="346">
        <f>+F158</f>
        <v>42441</v>
      </c>
      <c r="H159" s="338" t="str">
        <f>+H158</f>
        <v>PAC ADT</v>
      </c>
      <c r="I159" s="401" t="s">
        <v>296</v>
      </c>
      <c r="J159" s="401"/>
      <c r="K159" s="208"/>
      <c r="L159" s="401"/>
    </row>
    <row r="160" spans="1:12" ht="14.95" customHeight="1" x14ac:dyDescent="0.25"/>
    <row r="161" spans="1:17" ht="14.95" customHeight="1" x14ac:dyDescent="0.25">
      <c r="A161" s="371">
        <v>44211</v>
      </c>
      <c r="B161" s="372">
        <v>1</v>
      </c>
      <c r="C161" s="372">
        <v>229</v>
      </c>
      <c r="D161" s="372" t="str">
        <f>VLOOKUP(C161,Plan!A$1:B$65542,2,0)</f>
        <v>Provisiones Administración</v>
      </c>
      <c r="E161" s="373">
        <f>+F161-G161</f>
        <v>1464057</v>
      </c>
      <c r="F161" s="374">
        <v>1464057</v>
      </c>
      <c r="G161" s="374">
        <v>0</v>
      </c>
      <c r="H161" s="375" t="s">
        <v>753</v>
      </c>
      <c r="I161" s="375" t="s">
        <v>296</v>
      </c>
      <c r="J161" s="401"/>
      <c r="K161" s="208"/>
      <c r="L161" s="401"/>
    </row>
    <row r="162" spans="1:17" ht="14.95" customHeight="1" x14ac:dyDescent="0.25">
      <c r="A162" s="371">
        <f>+A161</f>
        <v>44211</v>
      </c>
      <c r="B162" s="372">
        <f>+B161</f>
        <v>1</v>
      </c>
      <c r="C162" s="372">
        <v>110</v>
      </c>
      <c r="D162" s="340" t="str">
        <f>VLOOKUP(C162,Plan!A$1:B$65542,2,0)</f>
        <v>Disponible Administración</v>
      </c>
      <c r="E162" s="373">
        <f>+F162-G162</f>
        <v>-1464057</v>
      </c>
      <c r="F162" s="374"/>
      <c r="G162" s="374">
        <f>+F161</f>
        <v>1464057</v>
      </c>
      <c r="H162" s="372" t="str">
        <f>+H161</f>
        <v>Enrique Torrealba x 450 pollos</v>
      </c>
      <c r="I162" s="375" t="s">
        <v>296</v>
      </c>
      <c r="J162" s="401"/>
      <c r="K162" s="208"/>
      <c r="L162" s="401"/>
    </row>
    <row r="163" spans="1:17" ht="14.95" customHeight="1" x14ac:dyDescent="0.25">
      <c r="F163" s="346"/>
      <c r="G163" s="346"/>
      <c r="I163" s="401"/>
      <c r="J163" s="401"/>
      <c r="K163" s="208"/>
      <c r="L163" s="401"/>
    </row>
    <row r="164" spans="1:17" ht="14.95" customHeight="1" x14ac:dyDescent="0.25">
      <c r="A164" s="371">
        <v>44211</v>
      </c>
      <c r="B164" s="372">
        <v>1</v>
      </c>
      <c r="C164" s="372">
        <v>229</v>
      </c>
      <c r="D164" s="372" t="str">
        <f>VLOOKUP(C164,Plan!A$1:B$65542,2,0)</f>
        <v>Provisiones Administración</v>
      </c>
      <c r="E164" s="373">
        <f>+F164-G164</f>
        <v>225000</v>
      </c>
      <c r="F164" s="374">
        <v>225000</v>
      </c>
      <c r="G164" s="374">
        <v>0</v>
      </c>
      <c r="H164" s="375" t="s">
        <v>752</v>
      </c>
      <c r="I164" s="375" t="s">
        <v>296</v>
      </c>
    </row>
    <row r="165" spans="1:17" ht="14.95" customHeight="1" x14ac:dyDescent="0.25">
      <c r="A165" s="371">
        <f>+A164</f>
        <v>44211</v>
      </c>
      <c r="B165" s="372">
        <f>+B164</f>
        <v>1</v>
      </c>
      <c r="C165" s="372">
        <v>110</v>
      </c>
      <c r="D165" s="340" t="str">
        <f>VLOOKUP(C165,Plan!A$1:B$65542,2,0)</f>
        <v>Disponible Administración</v>
      </c>
      <c r="E165" s="373">
        <f>+F165-G165</f>
        <v>-225000</v>
      </c>
      <c r="F165" s="374"/>
      <c r="G165" s="374">
        <f>+F164</f>
        <v>225000</v>
      </c>
      <c r="H165" s="372" t="str">
        <f>+H164</f>
        <v>Caritas Insumos Campaña CNH</v>
      </c>
      <c r="I165" s="375" t="s">
        <v>296</v>
      </c>
      <c r="J165" s="401"/>
      <c r="K165" s="208"/>
      <c r="L165" s="401"/>
    </row>
    <row r="166" spans="1:17" ht="14.95" customHeight="1" x14ac:dyDescent="0.25">
      <c r="C166" s="348"/>
      <c r="F166" s="349"/>
      <c r="G166" s="346"/>
      <c r="I166" s="401"/>
      <c r="J166" s="401"/>
      <c r="K166" s="208"/>
      <c r="L166" s="401"/>
    </row>
    <row r="167" spans="1:17" ht="14.95" customHeight="1" x14ac:dyDescent="0.25">
      <c r="A167" s="339">
        <v>44211</v>
      </c>
      <c r="B167" s="340">
        <v>1</v>
      </c>
      <c r="C167" s="338">
        <v>229</v>
      </c>
      <c r="D167" s="340" t="str">
        <f>VLOOKUP(C167,Plan!A$1:B$65542,2,0)</f>
        <v>Provisiones Administración</v>
      </c>
      <c r="E167" s="341">
        <f>+F167-G167</f>
        <v>980000</v>
      </c>
      <c r="F167" s="346">
        <v>980000</v>
      </c>
      <c r="G167" s="346">
        <v>0</v>
      </c>
      <c r="H167" s="343" t="s">
        <v>754</v>
      </c>
      <c r="I167" s="401" t="s">
        <v>296</v>
      </c>
      <c r="J167" s="401"/>
      <c r="K167" s="208"/>
      <c r="L167" s="401"/>
    </row>
    <row r="168" spans="1:17" ht="14.95" customHeight="1" x14ac:dyDescent="0.25">
      <c r="A168" s="339">
        <f>+A167</f>
        <v>44211</v>
      </c>
      <c r="B168" s="340">
        <f>+B167</f>
        <v>1</v>
      </c>
      <c r="C168" s="338">
        <v>110</v>
      </c>
      <c r="D168" s="340" t="str">
        <f>VLOOKUP(C168,Plan!A$1:B$65542,2,0)</f>
        <v>Disponible Administración</v>
      </c>
      <c r="E168" s="341">
        <f>+F168-G168</f>
        <v>-980000</v>
      </c>
      <c r="F168" s="346"/>
      <c r="G168" s="346">
        <f>+F167</f>
        <v>980000</v>
      </c>
      <c r="H168" s="338" t="str">
        <f>+H167</f>
        <v>Servicefood 46 Cajas 1alimentos</v>
      </c>
      <c r="I168" s="401" t="s">
        <v>296</v>
      </c>
      <c r="J168" s="401"/>
      <c r="K168" s="208"/>
      <c r="L168" s="401"/>
    </row>
    <row r="169" spans="1:17" ht="14.95" customHeight="1" x14ac:dyDescent="0.25">
      <c r="C169" s="348"/>
      <c r="F169" s="349"/>
      <c r="G169" s="346"/>
      <c r="I169" s="401"/>
      <c r="J169" s="401"/>
      <c r="K169" s="208"/>
      <c r="L169" s="401"/>
    </row>
    <row r="170" spans="1:17" ht="14.95" customHeight="1" x14ac:dyDescent="0.25">
      <c r="A170" s="339">
        <v>44211</v>
      </c>
      <c r="B170" s="340">
        <v>1</v>
      </c>
      <c r="C170" s="338">
        <v>222</v>
      </c>
      <c r="D170" s="340" t="str">
        <f>VLOOKUP(C170,Plan!A$1:B$65542,2,0)</f>
        <v>Honorarios por pagar Administración</v>
      </c>
      <c r="E170" s="341">
        <f>+F170-G170</f>
        <v>200812</v>
      </c>
      <c r="F170" s="346">
        <v>200812</v>
      </c>
      <c r="G170" s="346">
        <v>0</v>
      </c>
      <c r="H170" s="343" t="s">
        <v>780</v>
      </c>
      <c r="I170" s="401" t="s">
        <v>296</v>
      </c>
      <c r="J170" s="401"/>
      <c r="K170" s="208"/>
      <c r="L170" s="401"/>
    </row>
    <row r="171" spans="1:17" ht="14.95" customHeight="1" x14ac:dyDescent="0.25">
      <c r="A171" s="339">
        <f>+A170</f>
        <v>44211</v>
      </c>
      <c r="B171" s="340">
        <f>+B170</f>
        <v>1</v>
      </c>
      <c r="C171" s="338">
        <v>110</v>
      </c>
      <c r="D171" s="340" t="str">
        <f>VLOOKUP(C171,Plan!A$1:B$65542,2,0)</f>
        <v>Disponible Administración</v>
      </c>
      <c r="E171" s="341">
        <f>+F171-G171</f>
        <v>-200812</v>
      </c>
      <c r="F171" s="346"/>
      <c r="G171" s="346">
        <f>+F170</f>
        <v>200812</v>
      </c>
      <c r="H171" s="338" t="str">
        <f>+H170</f>
        <v>BH156 Rodrigo Vidal Curso Biblia  R,Vicuña Reparacion WC Ofic.</v>
      </c>
      <c r="I171" s="401" t="s">
        <v>296</v>
      </c>
      <c r="J171" s="401"/>
      <c r="K171" s="208"/>
      <c r="L171" s="401"/>
    </row>
    <row r="172" spans="1:17" ht="14.95" customHeight="1" x14ac:dyDescent="0.25">
      <c r="C172" s="348"/>
      <c r="F172" s="349"/>
      <c r="G172" s="346"/>
      <c r="I172" s="401"/>
      <c r="J172" s="401"/>
      <c r="K172" s="208"/>
      <c r="L172" s="401"/>
    </row>
    <row r="173" spans="1:17" ht="14.95" customHeight="1" x14ac:dyDescent="0.25">
      <c r="A173" s="339">
        <v>44214</v>
      </c>
      <c r="B173" s="340">
        <v>1</v>
      </c>
      <c r="C173" s="338">
        <v>110</v>
      </c>
      <c r="D173" s="340" t="str">
        <f>VLOOKUP(C173,Plan!A$1:B$65542,2,0)</f>
        <v>Disponible Administración</v>
      </c>
      <c r="E173" s="341">
        <f>+F173-G173</f>
        <v>85000</v>
      </c>
      <c r="F173" s="346">
        <v>85000</v>
      </c>
      <c r="G173" s="346">
        <v>0</v>
      </c>
      <c r="H173" s="343" t="s">
        <v>756</v>
      </c>
      <c r="I173" s="401" t="s">
        <v>296</v>
      </c>
      <c r="J173" s="401"/>
      <c r="K173" s="208"/>
      <c r="L173" s="401"/>
      <c r="O173" s="342"/>
      <c r="P173" s="342"/>
      <c r="Q173" s="342"/>
    </row>
    <row r="174" spans="1:17" ht="14.95" customHeight="1" x14ac:dyDescent="0.25">
      <c r="A174" s="339">
        <f>+A173</f>
        <v>44214</v>
      </c>
      <c r="B174" s="340">
        <f>+B173</f>
        <v>1</v>
      </c>
      <c r="C174" s="338">
        <v>3110</v>
      </c>
      <c r="D174" s="340" t="str">
        <f>VLOOKUP(C174,Plan!A$1:B$65542,2,0)</f>
        <v>Colectas Normales</v>
      </c>
      <c r="E174" s="341">
        <f>+F174-G174</f>
        <v>-85000</v>
      </c>
      <c r="F174" s="346"/>
      <c r="G174" s="346">
        <f>+F173</f>
        <v>85000</v>
      </c>
      <c r="H174" s="338" t="str">
        <f>+H173</f>
        <v>Colecta 8 Transferencias</v>
      </c>
      <c r="I174" s="401" t="s">
        <v>296</v>
      </c>
      <c r="J174" s="401"/>
      <c r="K174" s="208"/>
      <c r="L174" s="401"/>
      <c r="O174" s="342"/>
      <c r="P174" s="342"/>
      <c r="Q174" s="342"/>
    </row>
    <row r="175" spans="1:17" ht="14.95" customHeight="1" x14ac:dyDescent="0.25">
      <c r="C175" s="348"/>
      <c r="F175" s="342"/>
      <c r="G175" s="346"/>
      <c r="I175" s="401"/>
      <c r="J175" s="401"/>
      <c r="K175" s="208"/>
      <c r="L175" s="401"/>
      <c r="O175" s="342"/>
      <c r="P175" s="342"/>
      <c r="Q175" s="342"/>
    </row>
    <row r="176" spans="1:17" ht="14.95" customHeight="1" x14ac:dyDescent="0.25">
      <c r="A176" s="339">
        <v>44214</v>
      </c>
      <c r="B176" s="340">
        <v>1</v>
      </c>
      <c r="C176" s="338">
        <v>110</v>
      </c>
      <c r="D176" s="340" t="str">
        <f>VLOOKUP(C176,Plan!A$1:B$65542,2,0)</f>
        <v>Disponible Administración</v>
      </c>
      <c r="E176" s="341">
        <f>+F176-G176</f>
        <v>10000</v>
      </c>
      <c r="F176" s="346">
        <v>10000</v>
      </c>
      <c r="G176" s="346">
        <v>0</v>
      </c>
      <c r="H176" s="343" t="s">
        <v>748</v>
      </c>
      <c r="I176" s="401" t="s">
        <v>296</v>
      </c>
      <c r="J176" s="401"/>
      <c r="K176" s="208"/>
      <c r="L176" s="401"/>
      <c r="O176" s="342"/>
      <c r="P176" s="342"/>
      <c r="Q176" s="342"/>
    </row>
    <row r="177" spans="1:17" ht="14.95" customHeight="1" x14ac:dyDescent="0.25">
      <c r="A177" s="339">
        <f>+A176</f>
        <v>44214</v>
      </c>
      <c r="B177" s="340">
        <f>+B176</f>
        <v>1</v>
      </c>
      <c r="C177" s="338">
        <v>3340</v>
      </c>
      <c r="D177" s="340" t="str">
        <f>VLOOKUP(C177,Plan!A$1:B$65542,2,0)</f>
        <v>Misas</v>
      </c>
      <c r="E177" s="341">
        <f>+F177-G177</f>
        <v>-10000</v>
      </c>
      <c r="F177" s="346"/>
      <c r="G177" s="346">
        <f>+F176</f>
        <v>10000</v>
      </c>
      <c r="H177" s="338" t="str">
        <f>+H176</f>
        <v>Misas 1 Transferencias</v>
      </c>
      <c r="I177" s="401" t="s">
        <v>296</v>
      </c>
      <c r="J177" s="401"/>
      <c r="K177" s="208"/>
      <c r="L177" s="401"/>
      <c r="O177" s="342"/>
      <c r="P177" s="342"/>
      <c r="Q177" s="342"/>
    </row>
    <row r="178" spans="1:17" ht="14.95" customHeight="1" x14ac:dyDescent="0.25">
      <c r="C178" s="348"/>
      <c r="F178" s="342"/>
      <c r="G178" s="346"/>
      <c r="I178" s="401"/>
      <c r="J178" s="401"/>
      <c r="K178" s="208"/>
      <c r="L178" s="401"/>
      <c r="O178" s="342"/>
      <c r="P178" s="342"/>
      <c r="Q178" s="342"/>
    </row>
    <row r="179" spans="1:17" ht="14.95" customHeight="1" x14ac:dyDescent="0.25">
      <c r="A179" s="339">
        <v>44215</v>
      </c>
      <c r="B179" s="340">
        <v>1</v>
      </c>
      <c r="C179" s="338">
        <v>110</v>
      </c>
      <c r="D179" s="340" t="str">
        <f>VLOOKUP(C179,Plan!A$1:B$65542,2,0)</f>
        <v>Disponible Administración</v>
      </c>
      <c r="E179" s="341">
        <f>+F179-G179</f>
        <v>103926</v>
      </c>
      <c r="F179" s="346">
        <v>103926</v>
      </c>
      <c r="G179" s="346">
        <v>0</v>
      </c>
      <c r="H179" s="343" t="s">
        <v>757</v>
      </c>
      <c r="I179" s="401" t="s">
        <v>296</v>
      </c>
      <c r="J179" s="401"/>
      <c r="K179" s="208"/>
      <c r="L179" s="401"/>
      <c r="O179" s="342"/>
      <c r="P179" s="342"/>
      <c r="Q179" s="342"/>
    </row>
    <row r="180" spans="1:17" ht="14.95" customHeight="1" x14ac:dyDescent="0.25">
      <c r="A180" s="339">
        <f>+A179</f>
        <v>44215</v>
      </c>
      <c r="B180" s="340">
        <f>+B179</f>
        <v>1</v>
      </c>
      <c r="C180" s="338">
        <v>3110</v>
      </c>
      <c r="D180" s="340" t="str">
        <f>VLOOKUP(C180,Plan!A$1:B$65542,2,0)</f>
        <v>Colectas Normales</v>
      </c>
      <c r="E180" s="341">
        <f>+F180-G180</f>
        <v>-103926</v>
      </c>
      <c r="F180" s="346"/>
      <c r="G180" s="346">
        <f>+F179</f>
        <v>103926</v>
      </c>
      <c r="H180" s="338" t="str">
        <f>+H179</f>
        <v>Colecta 5 Transferencias</v>
      </c>
      <c r="I180" s="401" t="s">
        <v>296</v>
      </c>
      <c r="J180" s="401"/>
      <c r="K180" s="208"/>
      <c r="L180" s="401"/>
      <c r="O180" s="342"/>
      <c r="P180" s="342"/>
      <c r="Q180" s="342"/>
    </row>
    <row r="181" spans="1:17" ht="14.95" customHeight="1" x14ac:dyDescent="0.25">
      <c r="C181" s="348"/>
      <c r="F181" s="342"/>
      <c r="G181" s="346"/>
      <c r="I181" s="401"/>
      <c r="J181" s="401"/>
      <c r="K181" s="208"/>
      <c r="L181" s="401"/>
      <c r="O181" s="342"/>
      <c r="P181" s="342"/>
      <c r="Q181" s="342"/>
    </row>
    <row r="182" spans="1:17" ht="14.95" customHeight="1" x14ac:dyDescent="0.25">
      <c r="A182" s="339">
        <v>44215</v>
      </c>
      <c r="B182" s="340">
        <v>1</v>
      </c>
      <c r="C182" s="338">
        <v>110</v>
      </c>
      <c r="D182" s="340" t="str">
        <f>VLOOKUP(C182,Plan!A$1:B$65542,2,0)</f>
        <v>Disponible Administración</v>
      </c>
      <c r="E182" s="341">
        <f>+F182-G182</f>
        <v>5000</v>
      </c>
      <c r="F182" s="346">
        <v>5000</v>
      </c>
      <c r="G182" s="346">
        <v>0</v>
      </c>
      <c r="H182" s="343" t="s">
        <v>758</v>
      </c>
      <c r="I182" s="401" t="s">
        <v>296</v>
      </c>
      <c r="J182" s="401"/>
      <c r="K182" s="208"/>
      <c r="L182" s="401"/>
      <c r="P182" s="342"/>
      <c r="Q182" s="342"/>
    </row>
    <row r="183" spans="1:17" ht="14.95" customHeight="1" x14ac:dyDescent="0.25">
      <c r="A183" s="339">
        <f>+A182</f>
        <v>44215</v>
      </c>
      <c r="B183" s="340">
        <f>+B182</f>
        <v>1</v>
      </c>
      <c r="C183" s="338">
        <v>3320</v>
      </c>
      <c r="D183" s="340" t="str">
        <f>VLOOKUP(C183,Plan!A$1:B$65542,2,0)</f>
        <v>Matrimonios</v>
      </c>
      <c r="E183" s="341">
        <f>+F183-G183</f>
        <v>-5000</v>
      </c>
      <c r="F183" s="346"/>
      <c r="G183" s="346">
        <f>+F182</f>
        <v>5000</v>
      </c>
      <c r="H183" s="338" t="str">
        <f>+H182</f>
        <v>Don. Matrimonio</v>
      </c>
      <c r="I183" s="401" t="s">
        <v>296</v>
      </c>
      <c r="J183" s="401"/>
      <c r="K183" s="208"/>
      <c r="L183" s="401"/>
    </row>
    <row r="184" spans="1:17" ht="14.95" customHeight="1" x14ac:dyDescent="0.25"/>
    <row r="185" spans="1:17" ht="14.95" customHeight="1" x14ac:dyDescent="0.25">
      <c r="A185" s="339">
        <v>44215</v>
      </c>
      <c r="B185" s="340">
        <v>1</v>
      </c>
      <c r="C185" s="338">
        <v>110</v>
      </c>
      <c r="D185" s="340" t="str">
        <f>VLOOKUP(C185,Plan!A$1:B$65542,2,0)</f>
        <v>Disponible Administración</v>
      </c>
      <c r="E185" s="341">
        <f>+F185-G185</f>
        <v>20000</v>
      </c>
      <c r="F185" s="346">
        <v>20000</v>
      </c>
      <c r="G185" s="346">
        <v>0</v>
      </c>
      <c r="H185" s="343" t="s">
        <v>739</v>
      </c>
      <c r="I185" s="401" t="s">
        <v>296</v>
      </c>
      <c r="J185" s="401"/>
      <c r="K185" s="208"/>
      <c r="L185" s="401"/>
    </row>
    <row r="186" spans="1:17" ht="14.95" customHeight="1" x14ac:dyDescent="0.25">
      <c r="A186" s="339">
        <f>+A185</f>
        <v>44215</v>
      </c>
      <c r="B186" s="340">
        <f>+B185</f>
        <v>1</v>
      </c>
      <c r="C186" s="338">
        <v>3350</v>
      </c>
      <c r="D186" s="340" t="str">
        <f>VLOOKUP(C186,Plan!A$1:B$65542,2,0)</f>
        <v>Bautizos</v>
      </c>
      <c r="E186" s="341">
        <f>+F186-G186</f>
        <v>-20000</v>
      </c>
      <c r="F186" s="346"/>
      <c r="G186" s="346">
        <f>+F185</f>
        <v>20000</v>
      </c>
      <c r="H186" s="338" t="str">
        <f>+H185</f>
        <v>Don.Bautizos 1 Transferencias</v>
      </c>
      <c r="I186" s="401" t="s">
        <v>296</v>
      </c>
      <c r="J186" s="401"/>
      <c r="K186" s="208"/>
      <c r="L186" s="401"/>
    </row>
    <row r="187" spans="1:17" ht="14.95" customHeight="1" x14ac:dyDescent="0.25"/>
    <row r="188" spans="1:17" ht="14.95" customHeight="1" x14ac:dyDescent="0.25">
      <c r="A188" s="339">
        <v>44216</v>
      </c>
      <c r="B188" s="340">
        <v>1</v>
      </c>
      <c r="C188" s="338">
        <v>110</v>
      </c>
      <c r="D188" s="340" t="str">
        <f>VLOOKUP(C188,Plan!A$1:B$65542,2,0)</f>
        <v>Disponible Administración</v>
      </c>
      <c r="E188" s="341">
        <f>+F188-G188</f>
        <v>140000</v>
      </c>
      <c r="F188" s="346">
        <v>140000</v>
      </c>
      <c r="G188" s="346">
        <v>0</v>
      </c>
      <c r="H188" s="343" t="s">
        <v>759</v>
      </c>
      <c r="I188" s="401" t="s">
        <v>296</v>
      </c>
      <c r="J188" s="401"/>
      <c r="K188" s="208"/>
      <c r="L188" s="401"/>
    </row>
    <row r="189" spans="1:17" ht="14.95" customHeight="1" x14ac:dyDescent="0.25">
      <c r="A189" s="339">
        <f>+A188</f>
        <v>44216</v>
      </c>
      <c r="B189" s="340">
        <f>+B188</f>
        <v>1</v>
      </c>
      <c r="C189" s="338">
        <v>3110</v>
      </c>
      <c r="D189" s="340" t="str">
        <f>VLOOKUP(C189,Plan!A$1:B$65542,2,0)</f>
        <v>Colectas Normales</v>
      </c>
      <c r="E189" s="341">
        <f>+F189-G189</f>
        <v>-140000</v>
      </c>
      <c r="F189" s="346"/>
      <c r="G189" s="346">
        <f>+F188</f>
        <v>140000</v>
      </c>
      <c r="H189" s="338" t="str">
        <f>+H188</f>
        <v>Colecta 3 Transferencias</v>
      </c>
      <c r="I189" s="401" t="s">
        <v>296</v>
      </c>
      <c r="J189" s="401"/>
      <c r="K189" s="208"/>
      <c r="L189" s="401"/>
    </row>
    <row r="190" spans="1:17" ht="14.95" customHeight="1" x14ac:dyDescent="0.25"/>
    <row r="191" spans="1:17" ht="14.95" customHeight="1" x14ac:dyDescent="0.25">
      <c r="A191" s="339">
        <v>44217</v>
      </c>
      <c r="B191" s="340">
        <v>1</v>
      </c>
      <c r="C191" s="338">
        <v>110</v>
      </c>
      <c r="D191" s="340" t="str">
        <f>VLOOKUP(C191,Plan!A$1:B$65542,2,0)</f>
        <v>Disponible Administración</v>
      </c>
      <c r="E191" s="341">
        <f>+F191-G191</f>
        <v>165120</v>
      </c>
      <c r="F191" s="346">
        <v>165120</v>
      </c>
      <c r="G191" s="346">
        <v>0</v>
      </c>
      <c r="H191" s="343" t="s">
        <v>759</v>
      </c>
      <c r="I191" s="401" t="s">
        <v>296</v>
      </c>
      <c r="J191" s="401"/>
      <c r="K191" s="208"/>
      <c r="L191" s="401"/>
    </row>
    <row r="192" spans="1:17" ht="14.95" customHeight="1" x14ac:dyDescent="0.25">
      <c r="A192" s="339">
        <f>+A191</f>
        <v>44217</v>
      </c>
      <c r="B192" s="340">
        <f>+B191</f>
        <v>1</v>
      </c>
      <c r="C192" s="338">
        <v>3110</v>
      </c>
      <c r="D192" s="340" t="str">
        <f>VLOOKUP(C192,Plan!A$1:B$65542,2,0)</f>
        <v>Colectas Normales</v>
      </c>
      <c r="E192" s="341">
        <f>+F192-G192</f>
        <v>-165120</v>
      </c>
      <c r="F192" s="346"/>
      <c r="G192" s="346">
        <f>+F191</f>
        <v>165120</v>
      </c>
      <c r="H192" s="338" t="str">
        <f>+H191</f>
        <v>Colecta 3 Transferencias</v>
      </c>
      <c r="I192" s="401" t="s">
        <v>296</v>
      </c>
      <c r="J192" s="401"/>
      <c r="K192" s="208"/>
      <c r="L192" s="401"/>
    </row>
    <row r="193" spans="1:12" ht="14.95" customHeight="1" x14ac:dyDescent="0.25"/>
    <row r="194" spans="1:12" ht="14.95" customHeight="1" x14ac:dyDescent="0.25">
      <c r="A194" s="339">
        <v>44221</v>
      </c>
      <c r="B194" s="340">
        <v>1</v>
      </c>
      <c r="C194" s="338">
        <v>110</v>
      </c>
      <c r="D194" s="340" t="str">
        <f>VLOOKUP(C194,Plan!A$1:B$65542,2,0)</f>
        <v>Disponible Administración</v>
      </c>
      <c r="E194" s="341">
        <f>+F194-G194</f>
        <v>125869</v>
      </c>
      <c r="F194" s="346">
        <v>125869</v>
      </c>
      <c r="G194" s="346">
        <v>0</v>
      </c>
      <c r="H194" s="343" t="s">
        <v>760</v>
      </c>
      <c r="I194" s="401" t="s">
        <v>296</v>
      </c>
      <c r="J194" s="401"/>
      <c r="K194" s="208"/>
      <c r="L194" s="401"/>
    </row>
    <row r="195" spans="1:12" ht="14.95" customHeight="1" x14ac:dyDescent="0.25">
      <c r="A195" s="339">
        <f>+A194</f>
        <v>44221</v>
      </c>
      <c r="B195" s="340">
        <f>+B194</f>
        <v>1</v>
      </c>
      <c r="C195" s="338">
        <v>3110</v>
      </c>
      <c r="D195" s="340" t="str">
        <f>VLOOKUP(C195,Plan!A$1:B$65542,2,0)</f>
        <v>Colectas Normales</v>
      </c>
      <c r="E195" s="341">
        <f>+F195-G195</f>
        <v>-125869</v>
      </c>
      <c r="F195" s="346"/>
      <c r="G195" s="346">
        <f>+F194</f>
        <v>125869</v>
      </c>
      <c r="H195" s="338" t="str">
        <f>+H194</f>
        <v>Colecta 11 Transferencias</v>
      </c>
      <c r="I195" s="401" t="s">
        <v>296</v>
      </c>
      <c r="J195" s="401"/>
      <c r="K195" s="208"/>
      <c r="L195" s="401"/>
    </row>
    <row r="196" spans="1:12" ht="14.95" customHeight="1" x14ac:dyDescent="0.25"/>
    <row r="197" spans="1:12" ht="14.95" customHeight="1" x14ac:dyDescent="0.25">
      <c r="A197" s="339">
        <v>44221</v>
      </c>
      <c r="B197" s="340">
        <v>1</v>
      </c>
      <c r="C197" s="338">
        <v>4326</v>
      </c>
      <c r="D197" s="340" t="str">
        <f>VLOOKUP(C197,Plan!A$1:B$65542,2,0)</f>
        <v>Seguros</v>
      </c>
      <c r="E197" s="341">
        <f>+F197-G197</f>
        <v>49980</v>
      </c>
      <c r="F197" s="346">
        <v>49980</v>
      </c>
      <c r="G197" s="346">
        <v>0</v>
      </c>
      <c r="H197" s="343" t="s">
        <v>761</v>
      </c>
      <c r="I197" s="401" t="s">
        <v>296</v>
      </c>
      <c r="J197" s="401"/>
      <c r="K197" s="208"/>
      <c r="L197" s="401"/>
    </row>
    <row r="198" spans="1:12" ht="14.95" customHeight="1" x14ac:dyDescent="0.25">
      <c r="A198" s="339">
        <f>+A197</f>
        <v>44221</v>
      </c>
      <c r="B198" s="340">
        <f>+B197</f>
        <v>1</v>
      </c>
      <c r="C198" s="338">
        <v>110</v>
      </c>
      <c r="D198" s="340" t="str">
        <f>VLOOKUP(C198,Plan!A$1:B$65542,2,0)</f>
        <v>Disponible Administración</v>
      </c>
      <c r="E198" s="341">
        <f>+F198-G198</f>
        <v>-49980</v>
      </c>
      <c r="F198" s="346"/>
      <c r="G198" s="346">
        <f>+F197</f>
        <v>49980</v>
      </c>
      <c r="H198" s="338" t="str">
        <f>+H197</f>
        <v>PAC Aseguradora Porvenir</v>
      </c>
      <c r="I198" s="401" t="s">
        <v>296</v>
      </c>
      <c r="J198" s="401"/>
      <c r="K198" s="208"/>
      <c r="L198" s="401"/>
    </row>
    <row r="199" spans="1:12" ht="14.95" customHeight="1" x14ac:dyDescent="0.25"/>
    <row r="200" spans="1:12" ht="14.95" customHeight="1" x14ac:dyDescent="0.25">
      <c r="A200" s="339">
        <v>44222</v>
      </c>
      <c r="B200" s="340">
        <v>1</v>
      </c>
      <c r="C200" s="338">
        <v>110</v>
      </c>
      <c r="D200" s="340" t="str">
        <f>VLOOKUP(C200,Plan!A$1:B$65542,2,0)</f>
        <v>Disponible Administración</v>
      </c>
      <c r="E200" s="341">
        <f>+F200-G200</f>
        <v>16000</v>
      </c>
      <c r="F200" s="346">
        <v>16000</v>
      </c>
      <c r="G200" s="346">
        <v>0</v>
      </c>
      <c r="H200" s="343" t="s">
        <v>676</v>
      </c>
      <c r="I200" s="401" t="s">
        <v>296</v>
      </c>
      <c r="J200" s="401"/>
      <c r="K200" s="208"/>
      <c r="L200" s="401"/>
    </row>
    <row r="201" spans="1:12" ht="14.95" customHeight="1" x14ac:dyDescent="0.25">
      <c r="A201" s="339">
        <f>+A200</f>
        <v>44222</v>
      </c>
      <c r="B201" s="340">
        <f>+B200</f>
        <v>1</v>
      </c>
      <c r="C201" s="338">
        <v>3110</v>
      </c>
      <c r="D201" s="340" t="str">
        <f>VLOOKUP(C201,Plan!A$1:B$65542,2,0)</f>
        <v>Colectas Normales</v>
      </c>
      <c r="E201" s="341">
        <f>+F201-G201</f>
        <v>-16000</v>
      </c>
      <c r="F201" s="346"/>
      <c r="G201" s="346">
        <f>+F200</f>
        <v>16000</v>
      </c>
      <c r="H201" s="338" t="str">
        <f>+H200</f>
        <v>Colecta 2 Transferencias</v>
      </c>
      <c r="I201" s="401" t="s">
        <v>296</v>
      </c>
      <c r="J201" s="401"/>
      <c r="K201" s="208"/>
      <c r="L201" s="401"/>
    </row>
    <row r="202" spans="1:12" ht="14.95" customHeight="1" x14ac:dyDescent="0.25"/>
    <row r="203" spans="1:12" ht="14.95" customHeight="1" x14ac:dyDescent="0.25">
      <c r="A203" s="339">
        <v>44222</v>
      </c>
      <c r="B203" s="340">
        <v>1</v>
      </c>
      <c r="C203" s="338">
        <v>110</v>
      </c>
      <c r="D203" s="340" t="str">
        <f>VLOOKUP(C203,Plan!A$1:B$65542,2,0)</f>
        <v>Disponible Administración</v>
      </c>
      <c r="E203" s="341">
        <f>+F203-G203</f>
        <v>29788</v>
      </c>
      <c r="F203" s="346">
        <v>29788</v>
      </c>
      <c r="G203" s="346">
        <v>0</v>
      </c>
      <c r="H203" s="343" t="s">
        <v>762</v>
      </c>
      <c r="I203" s="401" t="s">
        <v>296</v>
      </c>
      <c r="J203" s="401"/>
      <c r="K203" s="208"/>
      <c r="L203" s="401"/>
    </row>
    <row r="204" spans="1:12" ht="14.95" customHeight="1" x14ac:dyDescent="0.25">
      <c r="A204" s="339">
        <f>+A203</f>
        <v>44222</v>
      </c>
      <c r="B204" s="340">
        <f>+B203</f>
        <v>1</v>
      </c>
      <c r="C204" s="338">
        <v>3340</v>
      </c>
      <c r="D204" s="340" t="str">
        <f>VLOOKUP(C204,Plan!A$1:B$65542,2,0)</f>
        <v>Misas</v>
      </c>
      <c r="E204" s="341">
        <f>+F204-G204</f>
        <v>-29788</v>
      </c>
      <c r="F204" s="346"/>
      <c r="G204" s="346">
        <f>+F203</f>
        <v>29788</v>
      </c>
      <c r="H204" s="338" t="str">
        <f>+H203</f>
        <v>Misas 3 Transferencias</v>
      </c>
      <c r="I204" s="401" t="s">
        <v>296</v>
      </c>
      <c r="J204" s="401"/>
      <c r="K204" s="208"/>
      <c r="L204" s="401"/>
    </row>
    <row r="205" spans="1:12" ht="14.95" customHeight="1" x14ac:dyDescent="0.25"/>
    <row r="206" spans="1:12" ht="14.95" customHeight="1" x14ac:dyDescent="0.25">
      <c r="A206" s="339">
        <v>44223</v>
      </c>
      <c r="B206" s="340">
        <v>1</v>
      </c>
      <c r="C206" s="338">
        <v>110</v>
      </c>
      <c r="D206" s="340" t="str">
        <f>VLOOKUP(C206,Plan!A$1:B$65542,2,0)</f>
        <v>Disponible Administración</v>
      </c>
      <c r="E206" s="341">
        <f>+F206-G206</f>
        <v>8000</v>
      </c>
      <c r="F206" s="346">
        <v>8000</v>
      </c>
      <c r="G206" s="346">
        <v>0</v>
      </c>
      <c r="H206" s="343" t="s">
        <v>674</v>
      </c>
      <c r="I206" s="401" t="s">
        <v>296</v>
      </c>
      <c r="J206" s="401"/>
      <c r="K206" s="208"/>
      <c r="L206" s="401"/>
    </row>
    <row r="207" spans="1:12" ht="14.95" customHeight="1" x14ac:dyDescent="0.25">
      <c r="A207" s="339">
        <f>+A206</f>
        <v>44223</v>
      </c>
      <c r="B207" s="340">
        <f>+B206</f>
        <v>1</v>
      </c>
      <c r="C207" s="338">
        <v>3110</v>
      </c>
      <c r="D207" s="340" t="str">
        <f>VLOOKUP(C207,Plan!A$1:B$65542,2,0)</f>
        <v>Colectas Normales</v>
      </c>
      <c r="E207" s="341">
        <f>+F207-G207</f>
        <v>-8000</v>
      </c>
      <c r="F207" s="346"/>
      <c r="G207" s="346">
        <f>+F206</f>
        <v>8000</v>
      </c>
      <c r="H207" s="338" t="str">
        <f>+H206</f>
        <v>Colecta 1 Transferencias</v>
      </c>
      <c r="I207" s="401" t="s">
        <v>296</v>
      </c>
      <c r="J207" s="401"/>
      <c r="K207" s="208"/>
      <c r="L207" s="401"/>
    </row>
    <row r="208" spans="1:12" ht="14.95" customHeight="1" x14ac:dyDescent="0.25"/>
    <row r="209" spans="1:12" ht="14.95" customHeight="1" x14ac:dyDescent="0.25">
      <c r="A209" s="339">
        <v>44223</v>
      </c>
      <c r="B209" s="340">
        <v>1</v>
      </c>
      <c r="C209" s="338">
        <v>110</v>
      </c>
      <c r="D209" s="340" t="str">
        <f>VLOOKUP(C209,Plan!A$1:B$65542,2,0)</f>
        <v>Disponible Administración</v>
      </c>
      <c r="E209" s="341">
        <f>+F209-G209</f>
        <v>4940</v>
      </c>
      <c r="F209" s="346">
        <v>4940</v>
      </c>
      <c r="G209" s="346">
        <v>0</v>
      </c>
      <c r="H209" s="343" t="s">
        <v>748</v>
      </c>
      <c r="I209" s="401" t="s">
        <v>296</v>
      </c>
      <c r="J209" s="401"/>
      <c r="K209" s="208"/>
      <c r="L209" s="401"/>
    </row>
    <row r="210" spans="1:12" ht="14.95" customHeight="1" x14ac:dyDescent="0.25">
      <c r="A210" s="339">
        <f>+A209</f>
        <v>44223</v>
      </c>
      <c r="B210" s="340">
        <f>+B209</f>
        <v>1</v>
      </c>
      <c r="C210" s="338">
        <v>3340</v>
      </c>
      <c r="D210" s="340" t="str">
        <f>VLOOKUP(C210,Plan!A$1:B$65542,2,0)</f>
        <v>Misas</v>
      </c>
      <c r="E210" s="341">
        <f>+F210-G210</f>
        <v>-4940</v>
      </c>
      <c r="F210" s="346"/>
      <c r="G210" s="346">
        <f>+F209</f>
        <v>4940</v>
      </c>
      <c r="H210" s="338" t="str">
        <f>+H209</f>
        <v>Misas 1 Transferencias</v>
      </c>
      <c r="I210" s="401" t="s">
        <v>296</v>
      </c>
      <c r="J210" s="401"/>
      <c r="K210" s="208"/>
      <c r="L210" s="401"/>
    </row>
    <row r="211" spans="1:12" ht="14.95" customHeight="1" x14ac:dyDescent="0.25"/>
    <row r="212" spans="1:12" ht="14.95" customHeight="1" x14ac:dyDescent="0.25">
      <c r="A212" s="357">
        <v>44223</v>
      </c>
      <c r="B212" s="358">
        <v>1</v>
      </c>
      <c r="C212" s="358">
        <v>110</v>
      </c>
      <c r="D212" s="340" t="str">
        <f>VLOOKUP(C212,Plan!A$1:B$65542,2,0)</f>
        <v>Disponible Administración</v>
      </c>
      <c r="E212" s="359">
        <f>+F212-G212</f>
        <v>100000</v>
      </c>
      <c r="F212" s="361">
        <v>100000</v>
      </c>
      <c r="G212" s="361">
        <v>0</v>
      </c>
      <c r="H212" s="360" t="s">
        <v>763</v>
      </c>
      <c r="I212" s="360" t="s">
        <v>296</v>
      </c>
      <c r="J212" s="401"/>
      <c r="K212" s="208"/>
      <c r="L212" s="401"/>
    </row>
    <row r="213" spans="1:12" ht="14.95" customHeight="1" x14ac:dyDescent="0.25">
      <c r="A213" s="357">
        <f>+A212</f>
        <v>44223</v>
      </c>
      <c r="B213" s="358">
        <f>+B212</f>
        <v>1</v>
      </c>
      <c r="C213" s="358">
        <v>215</v>
      </c>
      <c r="D213" s="358" t="str">
        <f>VLOOKUP(C213,Plan!A$1:B$65542,2,0)</f>
        <v>Cuenta por Pagar a Cali</v>
      </c>
      <c r="E213" s="359">
        <f>+F213-G213</f>
        <v>-100000</v>
      </c>
      <c r="F213" s="361">
        <v>0</v>
      </c>
      <c r="G213" s="361">
        <f>+F212</f>
        <v>100000</v>
      </c>
      <c r="H213" s="358" t="str">
        <f>+H212</f>
        <v>Juan Carlos Varela Morgan/Azul</v>
      </c>
      <c r="I213" s="360" t="s">
        <v>296</v>
      </c>
      <c r="J213" s="401"/>
      <c r="K213" s="208"/>
      <c r="L213" s="401"/>
    </row>
    <row r="214" spans="1:12" ht="14.95" customHeight="1" x14ac:dyDescent="0.25"/>
    <row r="215" spans="1:12" ht="14.95" customHeight="1" x14ac:dyDescent="0.25">
      <c r="A215" s="339">
        <v>44224</v>
      </c>
      <c r="B215" s="340">
        <v>1</v>
      </c>
      <c r="C215" s="338">
        <v>110</v>
      </c>
      <c r="D215" s="340" t="str">
        <f>VLOOKUP(C215,Plan!A$1:B$65542,2,0)</f>
        <v>Disponible Administración</v>
      </c>
      <c r="E215" s="341">
        <f>+F215-G215</f>
        <v>175000</v>
      </c>
      <c r="F215" s="346">
        <v>175000</v>
      </c>
      <c r="G215" s="346">
        <v>0</v>
      </c>
      <c r="H215" s="343" t="s">
        <v>757</v>
      </c>
      <c r="I215" s="401" t="s">
        <v>296</v>
      </c>
      <c r="J215" s="401"/>
      <c r="K215" s="208"/>
      <c r="L215" s="401"/>
    </row>
    <row r="216" spans="1:12" ht="14.95" customHeight="1" x14ac:dyDescent="0.25">
      <c r="A216" s="339">
        <f>+A215</f>
        <v>44224</v>
      </c>
      <c r="B216" s="340">
        <f>+B215</f>
        <v>1</v>
      </c>
      <c r="C216" s="338">
        <v>3110</v>
      </c>
      <c r="D216" s="340" t="str">
        <f>VLOOKUP(C216,Plan!A$1:B$65542,2,0)</f>
        <v>Colectas Normales</v>
      </c>
      <c r="E216" s="341">
        <f>+F216-G216</f>
        <v>-175000</v>
      </c>
      <c r="F216" s="346"/>
      <c r="G216" s="346">
        <f>+F215</f>
        <v>175000</v>
      </c>
      <c r="H216" s="338" t="str">
        <f>+H215</f>
        <v>Colecta 5 Transferencias</v>
      </c>
      <c r="I216" s="401" t="s">
        <v>296</v>
      </c>
      <c r="J216" s="401"/>
      <c r="K216" s="208"/>
      <c r="L216" s="401"/>
    </row>
    <row r="217" spans="1:12" ht="14.95" customHeight="1" x14ac:dyDescent="0.25"/>
    <row r="218" spans="1:12" ht="14.95" customHeight="1" x14ac:dyDescent="0.25">
      <c r="A218" s="357">
        <v>44224</v>
      </c>
      <c r="B218" s="358">
        <v>1</v>
      </c>
      <c r="C218" s="358">
        <v>110</v>
      </c>
      <c r="D218" s="340" t="str">
        <f>VLOOKUP(C218,Plan!A$1:B$65542,2,0)</f>
        <v>Disponible Administración</v>
      </c>
      <c r="E218" s="359">
        <f>+F218-G218</f>
        <v>30000</v>
      </c>
      <c r="F218" s="361">
        <v>30000</v>
      </c>
      <c r="G218" s="361">
        <v>0</v>
      </c>
      <c r="H218" s="358" t="s">
        <v>675</v>
      </c>
      <c r="I218" s="360" t="s">
        <v>296</v>
      </c>
      <c r="J218" s="401"/>
      <c r="K218" s="208"/>
      <c r="L218" s="401"/>
    </row>
    <row r="219" spans="1:12" ht="14.95" customHeight="1" x14ac:dyDescent="0.25">
      <c r="A219" s="357">
        <f>+A218</f>
        <v>44224</v>
      </c>
      <c r="B219" s="358">
        <f>+B218</f>
        <v>1</v>
      </c>
      <c r="C219" s="358">
        <v>215</v>
      </c>
      <c r="D219" s="358" t="str">
        <f>VLOOKUP(C219,Plan!A$1:B$65542,2,0)</f>
        <v>Cuenta por Pagar a Cali</v>
      </c>
      <c r="E219" s="359">
        <f>+F219-G219</f>
        <v>-30000</v>
      </c>
      <c r="F219" s="361">
        <v>0</v>
      </c>
      <c r="G219" s="361">
        <f>+F218</f>
        <v>30000</v>
      </c>
      <c r="H219" s="358" t="str">
        <f>+H218</f>
        <v>Yolanda Haase Baeza / 249</v>
      </c>
      <c r="I219" s="360" t="s">
        <v>296</v>
      </c>
      <c r="J219" s="401"/>
      <c r="K219" s="208"/>
      <c r="L219" s="401"/>
    </row>
    <row r="220" spans="1:12" ht="14.95" customHeight="1" x14ac:dyDescent="0.25"/>
    <row r="221" spans="1:12" ht="14.95" customHeight="1" x14ac:dyDescent="0.25">
      <c r="A221" s="339">
        <v>44224</v>
      </c>
      <c r="B221" s="340">
        <v>1</v>
      </c>
      <c r="C221" s="338">
        <v>110</v>
      </c>
      <c r="D221" s="340" t="str">
        <f>VLOOKUP(C221,Plan!A$1:B$65542,2,0)</f>
        <v>Disponible Administración</v>
      </c>
      <c r="E221" s="341">
        <f>+F221-G221</f>
        <v>5000000</v>
      </c>
      <c r="F221" s="346">
        <v>5000000</v>
      </c>
      <c r="G221" s="346">
        <v>0</v>
      </c>
      <c r="H221" s="338" t="s">
        <v>734</v>
      </c>
      <c r="I221" s="401" t="s">
        <v>296</v>
      </c>
      <c r="J221" s="401"/>
      <c r="K221" s="208"/>
      <c r="L221" s="401"/>
    </row>
    <row r="222" spans="1:12" ht="14.95" customHeight="1" x14ac:dyDescent="0.25">
      <c r="A222" s="339">
        <f>+A221</f>
        <v>44224</v>
      </c>
      <c r="B222" s="340">
        <f>+B221</f>
        <v>1</v>
      </c>
      <c r="C222" s="338">
        <v>215</v>
      </c>
      <c r="D222" s="340" t="str">
        <f>VLOOKUP(C222,Plan!A$1:B$65542,2,0)</f>
        <v>Cuenta por Pagar a Cali</v>
      </c>
      <c r="E222" s="341">
        <f>+F222-G222</f>
        <v>-5000000</v>
      </c>
      <c r="F222" s="346">
        <v>0</v>
      </c>
      <c r="G222" s="346">
        <f>+F221</f>
        <v>5000000</v>
      </c>
      <c r="H222" s="338" t="str">
        <f>+H221</f>
        <v>Traspaso desde Cta. CALI</v>
      </c>
      <c r="I222" s="401" t="s">
        <v>296</v>
      </c>
      <c r="J222" s="401"/>
      <c r="K222" s="208"/>
      <c r="L222" s="401"/>
    </row>
    <row r="223" spans="1:12" ht="14.95" customHeight="1" x14ac:dyDescent="0.25"/>
    <row r="224" spans="1:12" ht="14.95" customHeight="1" x14ac:dyDescent="0.25">
      <c r="A224" s="339">
        <v>44225</v>
      </c>
      <c r="B224" s="340">
        <v>1</v>
      </c>
      <c r="C224" s="338">
        <v>110</v>
      </c>
      <c r="D224" s="340" t="str">
        <f>VLOOKUP(C224,Plan!A$1:B$65542,2,0)</f>
        <v>Disponible Administración</v>
      </c>
      <c r="E224" s="341">
        <f>+F224-G224</f>
        <v>93000</v>
      </c>
      <c r="F224" s="346">
        <v>93000</v>
      </c>
      <c r="G224" s="346">
        <v>0</v>
      </c>
      <c r="H224" s="343" t="s">
        <v>673</v>
      </c>
      <c r="I224" s="401" t="s">
        <v>296</v>
      </c>
      <c r="J224" s="401"/>
      <c r="K224" s="208"/>
      <c r="L224" s="401"/>
    </row>
    <row r="225" spans="1:12" ht="14.95" customHeight="1" x14ac:dyDescent="0.25">
      <c r="A225" s="339">
        <f>+A224</f>
        <v>44225</v>
      </c>
      <c r="B225" s="340">
        <f>+B224</f>
        <v>1</v>
      </c>
      <c r="C225" s="338">
        <v>3110</v>
      </c>
      <c r="D225" s="340" t="str">
        <f>VLOOKUP(C225,Plan!A$1:B$65542,2,0)</f>
        <v>Colectas Normales</v>
      </c>
      <c r="E225" s="341">
        <f>+F225-G225</f>
        <v>-93000</v>
      </c>
      <c r="F225" s="346"/>
      <c r="G225" s="346">
        <f>+F224</f>
        <v>93000</v>
      </c>
      <c r="H225" s="338" t="str">
        <f>+H224</f>
        <v>Colecta 4 Transferencias</v>
      </c>
      <c r="I225" s="401" t="s">
        <v>296</v>
      </c>
      <c r="J225" s="401"/>
      <c r="K225" s="208"/>
      <c r="L225" s="401"/>
    </row>
    <row r="226" spans="1:12" ht="14.95" customHeight="1" x14ac:dyDescent="0.25"/>
    <row r="227" spans="1:12" ht="14.95" customHeight="1" x14ac:dyDescent="0.25">
      <c r="A227" s="339">
        <v>44225</v>
      </c>
      <c r="B227" s="340">
        <v>1</v>
      </c>
      <c r="C227" s="338">
        <v>4321</v>
      </c>
      <c r="D227" s="340" t="str">
        <f>VLOOKUP(C227,Plan!A$1:B$65542,2,0)</f>
        <v>Electricidad</v>
      </c>
      <c r="E227" s="341">
        <f>+F227-G227</f>
        <v>8495</v>
      </c>
      <c r="F227" s="346">
        <v>8495</v>
      </c>
      <c r="G227" s="346">
        <v>0</v>
      </c>
      <c r="H227" s="343" t="s">
        <v>730</v>
      </c>
      <c r="I227" s="401" t="s">
        <v>296</v>
      </c>
      <c r="J227" s="401"/>
      <c r="K227" s="208"/>
      <c r="L227" s="401"/>
    </row>
    <row r="228" spans="1:12" ht="14.95" customHeight="1" x14ac:dyDescent="0.25">
      <c r="A228" s="339">
        <f>+A227</f>
        <v>44225</v>
      </c>
      <c r="B228" s="340">
        <f>+B227</f>
        <v>1</v>
      </c>
      <c r="C228" s="338">
        <v>110</v>
      </c>
      <c r="D228" s="340" t="str">
        <f>VLOOKUP(C228,Plan!A$1:B$65542,2,0)</f>
        <v>Disponible Administración</v>
      </c>
      <c r="E228" s="341">
        <f>+F228-G228</f>
        <v>-8495</v>
      </c>
      <c r="F228" s="346"/>
      <c r="G228" s="346">
        <f>+F227</f>
        <v>8495</v>
      </c>
      <c r="H228" s="338" t="str">
        <f>+H227</f>
        <v>PAC Enel</v>
      </c>
      <c r="I228" s="401" t="s">
        <v>296</v>
      </c>
      <c r="J228" s="401"/>
      <c r="K228" s="208"/>
      <c r="L228" s="401"/>
    </row>
    <row r="229" spans="1:12" ht="14.95" customHeight="1" x14ac:dyDescent="0.25"/>
    <row r="230" spans="1:12" ht="14.95" customHeight="1" x14ac:dyDescent="0.25">
      <c r="A230" s="357">
        <v>44225</v>
      </c>
      <c r="B230" s="358">
        <v>1</v>
      </c>
      <c r="C230" s="358">
        <v>110</v>
      </c>
      <c r="D230" s="340" t="str">
        <f>VLOOKUP(C230,Plan!A$1:B$65542,2,0)</f>
        <v>Disponible Administración</v>
      </c>
      <c r="E230" s="359">
        <f>+F230-G230</f>
        <v>50000</v>
      </c>
      <c r="F230" s="361">
        <v>50000</v>
      </c>
      <c r="G230" s="361">
        <v>0</v>
      </c>
      <c r="H230" s="358" t="s">
        <v>764</v>
      </c>
      <c r="I230" s="360" t="s">
        <v>296</v>
      </c>
      <c r="J230" s="401"/>
      <c r="K230" s="208"/>
      <c r="L230" s="401"/>
    </row>
    <row r="231" spans="1:12" ht="14.95" customHeight="1" x14ac:dyDescent="0.25">
      <c r="A231" s="357">
        <f>+A230</f>
        <v>44225</v>
      </c>
      <c r="B231" s="358">
        <f>+B230</f>
        <v>1</v>
      </c>
      <c r="C231" s="358">
        <v>215</v>
      </c>
      <c r="D231" s="358" t="str">
        <f>VLOOKUP(C231,Plan!A$1:B$65542,2,0)</f>
        <v>Cuenta por Pagar a Cali</v>
      </c>
      <c r="E231" s="359">
        <f>+F231-G231</f>
        <v>-50000</v>
      </c>
      <c r="F231" s="361">
        <v>0</v>
      </c>
      <c r="G231" s="361">
        <f>+F230</f>
        <v>50000</v>
      </c>
      <c r="H231" s="358" t="str">
        <f>+H230</f>
        <v>Hilda Dougnac Rodriguez /Azul</v>
      </c>
      <c r="I231" s="360" t="s">
        <v>296</v>
      </c>
      <c r="J231" s="401"/>
      <c r="K231" s="208"/>
      <c r="L231" s="401"/>
    </row>
    <row r="232" spans="1:12" ht="14.95" customHeight="1" x14ac:dyDescent="0.25"/>
    <row r="233" spans="1:12" ht="14.95" customHeight="1" x14ac:dyDescent="0.25">
      <c r="A233" s="339">
        <v>44225</v>
      </c>
      <c r="B233" s="340">
        <v>1</v>
      </c>
      <c r="C233" s="358">
        <v>110</v>
      </c>
      <c r="D233" s="340" t="str">
        <f>VLOOKUP(C233,Plan!A$1:B$65542,2,0)</f>
        <v>Disponible Administración</v>
      </c>
      <c r="E233" s="359">
        <f>+F233-G233</f>
        <v>118015</v>
      </c>
      <c r="F233" s="361">
        <v>118015</v>
      </c>
      <c r="G233" s="361"/>
      <c r="H233" s="358" t="s">
        <v>765</v>
      </c>
      <c r="I233" s="360" t="s">
        <v>296</v>
      </c>
      <c r="J233" s="401"/>
      <c r="K233" s="208"/>
      <c r="L233" s="401"/>
    </row>
    <row r="234" spans="1:12" ht="14.95" customHeight="1" x14ac:dyDescent="0.25">
      <c r="A234" s="339">
        <f>+A233</f>
        <v>44225</v>
      </c>
      <c r="B234" s="340">
        <f>+B233</f>
        <v>1</v>
      </c>
      <c r="C234" s="358">
        <v>215</v>
      </c>
      <c r="D234" s="358" t="str">
        <f>VLOOKUP(C234,Plan!A$1:B$65542,2,0)</f>
        <v>Cuenta por Pagar a Cali</v>
      </c>
      <c r="E234" s="359">
        <f>+F234-G234</f>
        <v>-118015</v>
      </c>
      <c r="F234" s="361"/>
      <c r="G234" s="361">
        <f>+F233</f>
        <v>118015</v>
      </c>
      <c r="H234" s="358" t="str">
        <f>+H233</f>
        <v>Trasp.a Cta. Adm. Dev. Colectas</v>
      </c>
      <c r="I234" s="358" t="str">
        <f>+I233</f>
        <v>Administración</v>
      </c>
      <c r="J234" s="401"/>
      <c r="K234" s="208"/>
      <c r="L234" s="401"/>
    </row>
    <row r="235" spans="1:12" ht="14.95" customHeight="1" x14ac:dyDescent="0.25"/>
    <row r="236" spans="1:12" ht="14.95" customHeight="1" x14ac:dyDescent="0.25">
      <c r="A236" s="339">
        <v>44225</v>
      </c>
      <c r="B236" s="340">
        <v>1</v>
      </c>
      <c r="C236" s="358">
        <v>142</v>
      </c>
      <c r="D236" s="340" t="str">
        <f>VLOOKUP(C236,Plan!A$1:B$65542,2,0)</f>
        <v>Cuentas por Cobrar a CALI (Colectas)</v>
      </c>
      <c r="E236" s="359">
        <f>+F236-G236</f>
        <v>52015</v>
      </c>
      <c r="F236" s="361">
        <v>52015</v>
      </c>
      <c r="G236" s="361"/>
      <c r="H236" s="358" t="s">
        <v>802</v>
      </c>
      <c r="I236" s="360" t="s">
        <v>296</v>
      </c>
      <c r="J236" s="401"/>
      <c r="K236" s="208"/>
      <c r="L236" s="401"/>
    </row>
    <row r="237" spans="1:12" ht="14.95" customHeight="1" x14ac:dyDescent="0.25">
      <c r="A237" s="339">
        <f>+A236</f>
        <v>44225</v>
      </c>
      <c r="B237" s="340">
        <f>+B236</f>
        <v>1</v>
      </c>
      <c r="C237" s="358">
        <v>3110</v>
      </c>
      <c r="D237" s="358" t="str">
        <f>VLOOKUP(C237,Plan!A$1:B$65542,2,0)</f>
        <v>Colectas Normales</v>
      </c>
      <c r="E237" s="359">
        <f>+F237-G237</f>
        <v>-52015</v>
      </c>
      <c r="F237" s="361"/>
      <c r="G237" s="361">
        <f>+F236</f>
        <v>52015</v>
      </c>
      <c r="H237" s="358" t="str">
        <f>+H236</f>
        <v>Abono  TBK por DCT</v>
      </c>
      <c r="I237" s="358" t="str">
        <f>+I236</f>
        <v>Administración</v>
      </c>
      <c r="J237" s="401"/>
      <c r="K237" s="208"/>
      <c r="L237" s="401"/>
    </row>
    <row r="238" spans="1:12" ht="14.95" customHeight="1" x14ac:dyDescent="0.25"/>
    <row r="239" spans="1:12" ht="14.95" customHeight="1" x14ac:dyDescent="0.25">
      <c r="A239" s="339">
        <v>44225</v>
      </c>
      <c r="B239" s="340">
        <v>1</v>
      </c>
      <c r="C239" s="358">
        <v>142</v>
      </c>
      <c r="D239" s="340" t="str">
        <f>VLOOKUP(C239,Plan!A$1:B$65542,2,0)</f>
        <v>Cuentas por Cobrar a CALI (Colectas)</v>
      </c>
      <c r="E239" s="359">
        <f>+F239-G239</f>
        <v>35000</v>
      </c>
      <c r="F239" s="361">
        <v>35000</v>
      </c>
      <c r="G239" s="361"/>
      <c r="H239" s="358" t="s">
        <v>802</v>
      </c>
      <c r="I239" s="360" t="s">
        <v>296</v>
      </c>
      <c r="J239" s="401"/>
      <c r="K239" s="208"/>
      <c r="L239" s="401"/>
    </row>
    <row r="240" spans="1:12" ht="14.95" customHeight="1" x14ac:dyDescent="0.25">
      <c r="A240" s="339">
        <f>+A239</f>
        <v>44225</v>
      </c>
      <c r="B240" s="340">
        <f>+B239</f>
        <v>1</v>
      </c>
      <c r="C240" s="358">
        <v>3110</v>
      </c>
      <c r="D240" s="358" t="str">
        <f>VLOOKUP(C240,Plan!A$1:B$65542,2,0)</f>
        <v>Colectas Normales</v>
      </c>
      <c r="E240" s="359">
        <f>+F240-G240</f>
        <v>-35000</v>
      </c>
      <c r="F240" s="361"/>
      <c r="G240" s="361">
        <f>+F239</f>
        <v>35000</v>
      </c>
      <c r="H240" s="358" t="str">
        <f>+H239</f>
        <v>Abono  TBK por DCT</v>
      </c>
      <c r="I240" s="358" t="str">
        <f>+I239</f>
        <v>Administración</v>
      </c>
      <c r="J240" s="401"/>
      <c r="K240" s="208"/>
      <c r="L240" s="401"/>
    </row>
    <row r="241" spans="1:12" ht="14.95" customHeight="1" x14ac:dyDescent="0.25"/>
    <row r="242" spans="1:12" ht="14.95" customHeight="1" x14ac:dyDescent="0.25">
      <c r="A242" s="339">
        <v>44225</v>
      </c>
      <c r="B242" s="340">
        <v>1</v>
      </c>
      <c r="C242" s="358">
        <v>142</v>
      </c>
      <c r="D242" s="340" t="str">
        <f>VLOOKUP(C242,Plan!A$1:B$65542,2,0)</f>
        <v>Cuentas por Cobrar a CALI (Colectas)</v>
      </c>
      <c r="E242" s="359">
        <f>+F242-G242</f>
        <v>46000</v>
      </c>
      <c r="F242" s="361">
        <v>46000</v>
      </c>
      <c r="G242" s="361"/>
      <c r="H242" s="358" t="s">
        <v>802</v>
      </c>
      <c r="I242" s="360" t="s">
        <v>296</v>
      </c>
      <c r="J242" s="401"/>
      <c r="K242" s="208"/>
      <c r="L242" s="401"/>
    </row>
    <row r="243" spans="1:12" ht="14.95" customHeight="1" x14ac:dyDescent="0.25">
      <c r="A243" s="339">
        <f>+A242</f>
        <v>44225</v>
      </c>
      <c r="B243" s="340">
        <f>+B242</f>
        <v>1</v>
      </c>
      <c r="C243" s="358">
        <v>3110</v>
      </c>
      <c r="D243" s="358" t="str">
        <f>VLOOKUP(C243,Plan!A$1:B$65542,2,0)</f>
        <v>Colectas Normales</v>
      </c>
      <c r="E243" s="359">
        <f>+F243-G243</f>
        <v>-46000</v>
      </c>
      <c r="F243" s="361"/>
      <c r="G243" s="361">
        <f>+F242</f>
        <v>46000</v>
      </c>
      <c r="H243" s="358" t="str">
        <f>+H242</f>
        <v>Abono  TBK por DCT</v>
      </c>
      <c r="I243" s="358" t="str">
        <f>+I242</f>
        <v>Administración</v>
      </c>
      <c r="J243" s="401"/>
      <c r="K243" s="208"/>
      <c r="L243" s="401"/>
    </row>
    <row r="244" spans="1:12" ht="14.95" customHeight="1" x14ac:dyDescent="0.25"/>
    <row r="245" spans="1:12" ht="14.95" customHeight="1" x14ac:dyDescent="0.25">
      <c r="A245" s="339">
        <v>44225</v>
      </c>
      <c r="B245" s="340">
        <v>1</v>
      </c>
      <c r="C245" s="358">
        <v>229</v>
      </c>
      <c r="D245" s="340" t="str">
        <f>VLOOKUP(C245,Plan!A$1:B$65542,2,0)</f>
        <v>Provisiones Administración</v>
      </c>
      <c r="E245" s="359">
        <f>+F245-G245</f>
        <v>214500</v>
      </c>
      <c r="F245" s="361">
        <v>214500</v>
      </c>
      <c r="G245" s="361"/>
      <c r="H245" s="360" t="s">
        <v>1290</v>
      </c>
      <c r="I245" s="360" t="s">
        <v>296</v>
      </c>
      <c r="J245" s="401"/>
      <c r="K245" s="208"/>
      <c r="L245" s="401"/>
    </row>
    <row r="246" spans="1:12" ht="14.95" customHeight="1" x14ac:dyDescent="0.25">
      <c r="A246" s="339">
        <f>+A245</f>
        <v>44225</v>
      </c>
      <c r="B246" s="340">
        <f>+B245</f>
        <v>1</v>
      </c>
      <c r="C246" s="358">
        <v>142</v>
      </c>
      <c r="D246" s="358" t="str">
        <f>VLOOKUP(C246,Plan!A$1:B$65542,2,0)</f>
        <v>Cuentas por Cobrar a CALI (Colectas)</v>
      </c>
      <c r="E246" s="359">
        <f>+F246-G246</f>
        <v>-214500</v>
      </c>
      <c r="F246" s="361"/>
      <c r="G246" s="361">
        <f>+F245</f>
        <v>214500</v>
      </c>
      <c r="H246" s="358" t="str">
        <f>+H245</f>
        <v>Diferencia Atrastre Cali Administraciòn</v>
      </c>
      <c r="I246" s="358" t="str">
        <f>+I245</f>
        <v>Administración</v>
      </c>
      <c r="J246" s="401"/>
      <c r="K246" s="208"/>
      <c r="L246" s="401"/>
    </row>
    <row r="247" spans="1:12" ht="14.95" customHeight="1" x14ac:dyDescent="0.25"/>
    <row r="248" spans="1:12" ht="14.95" customHeight="1" x14ac:dyDescent="0.25">
      <c r="A248" s="339">
        <v>44225</v>
      </c>
      <c r="B248" s="340">
        <v>1</v>
      </c>
      <c r="C248" s="347">
        <v>225</v>
      </c>
      <c r="D248" s="347" t="str">
        <f>VLOOKUP(C248,Plan!A$1:B$65542,2,0)</f>
        <v>Sueldos por Pagar</v>
      </c>
      <c r="E248" s="396">
        <f t="shared" ref="E248:E253" si="1">+F248-G248</f>
        <v>780991</v>
      </c>
      <c r="F248" s="397">
        <v>780991</v>
      </c>
      <c r="G248" s="397">
        <v>0</v>
      </c>
      <c r="H248" s="347" t="s">
        <v>766</v>
      </c>
      <c r="I248" s="398" t="s">
        <v>296</v>
      </c>
      <c r="J248" s="401"/>
      <c r="K248" s="208"/>
      <c r="L248" s="401"/>
    </row>
    <row r="249" spans="1:12" ht="14.95" customHeight="1" x14ac:dyDescent="0.25">
      <c r="A249" s="369">
        <f t="shared" ref="A249:B252" si="2">+A248</f>
        <v>44225</v>
      </c>
      <c r="B249" s="347">
        <f t="shared" si="2"/>
        <v>1</v>
      </c>
      <c r="C249" s="347">
        <v>225</v>
      </c>
      <c r="D249" s="347" t="str">
        <f>VLOOKUP(C249,Plan!A$1:B$65542,2,0)</f>
        <v>Sueldos por Pagar</v>
      </c>
      <c r="E249" s="396">
        <f t="shared" si="1"/>
        <v>516648</v>
      </c>
      <c r="F249" s="397">
        <v>516648</v>
      </c>
      <c r="G249" s="397">
        <v>0</v>
      </c>
      <c r="H249" s="347" t="s">
        <v>767</v>
      </c>
      <c r="I249" s="398" t="s">
        <v>296</v>
      </c>
      <c r="J249" s="401"/>
      <c r="K249" s="208"/>
      <c r="L249" s="401"/>
    </row>
    <row r="250" spans="1:12" ht="14.95" customHeight="1" x14ac:dyDescent="0.25">
      <c r="A250" s="369">
        <f t="shared" si="2"/>
        <v>44225</v>
      </c>
      <c r="B250" s="347">
        <f t="shared" si="2"/>
        <v>1</v>
      </c>
      <c r="C250" s="347">
        <v>225</v>
      </c>
      <c r="D250" s="347" t="str">
        <f>VLOOKUP(C250,Plan!A$1:B$65542,2,0)</f>
        <v>Sueldos por Pagar</v>
      </c>
      <c r="E250" s="396">
        <f t="shared" si="1"/>
        <v>190199</v>
      </c>
      <c r="F250" s="397">
        <v>190199</v>
      </c>
      <c r="G250" s="397">
        <v>0</v>
      </c>
      <c r="H250" s="347" t="s">
        <v>768</v>
      </c>
      <c r="I250" s="398" t="s">
        <v>296</v>
      </c>
      <c r="K250" s="208"/>
    </row>
    <row r="251" spans="1:12" ht="14.95" customHeight="1" x14ac:dyDescent="0.25">
      <c r="A251" s="369">
        <f t="shared" si="2"/>
        <v>44225</v>
      </c>
      <c r="B251" s="347">
        <f t="shared" si="2"/>
        <v>1</v>
      </c>
      <c r="C251" s="347">
        <v>225</v>
      </c>
      <c r="D251" s="347" t="str">
        <f>VLOOKUP(C251,Plan!A$1:B$65542,2,0)</f>
        <v>Sueldos por Pagar</v>
      </c>
      <c r="E251" s="396">
        <f t="shared" si="1"/>
        <v>1062348</v>
      </c>
      <c r="F251" s="397">
        <v>1062348</v>
      </c>
      <c r="G251" s="397">
        <v>0</v>
      </c>
      <c r="H251" s="347" t="s">
        <v>769</v>
      </c>
      <c r="I251" s="398" t="s">
        <v>296</v>
      </c>
      <c r="J251" s="401"/>
      <c r="K251" s="208"/>
      <c r="L251" s="401"/>
    </row>
    <row r="252" spans="1:12" ht="14.95" customHeight="1" x14ac:dyDescent="0.25">
      <c r="A252" s="369">
        <f t="shared" si="2"/>
        <v>44225</v>
      </c>
      <c r="B252" s="347">
        <f t="shared" si="2"/>
        <v>1</v>
      </c>
      <c r="C252" s="347">
        <v>225</v>
      </c>
      <c r="D252" s="347" t="str">
        <f>VLOOKUP(C252,Plan!A$1:B$65542,2,0)</f>
        <v>Sueldos por Pagar</v>
      </c>
      <c r="E252" s="396">
        <f t="shared" si="1"/>
        <v>735000</v>
      </c>
      <c r="F252" s="397">
        <v>735000</v>
      </c>
      <c r="G252" s="397">
        <v>0</v>
      </c>
      <c r="H252" s="347" t="s">
        <v>770</v>
      </c>
      <c r="I252" s="398" t="s">
        <v>296</v>
      </c>
      <c r="J252" s="401"/>
      <c r="K252" s="208"/>
      <c r="L252" s="401"/>
    </row>
    <row r="253" spans="1:12" ht="14.95" customHeight="1" x14ac:dyDescent="0.25">
      <c r="A253" s="369">
        <f>+A252</f>
        <v>44225</v>
      </c>
      <c r="B253" s="347">
        <f>+B252</f>
        <v>1</v>
      </c>
      <c r="C253" s="347">
        <v>110</v>
      </c>
      <c r="D253" s="340" t="str">
        <f>VLOOKUP(C253,Plan!A$1:B$65542,2,0)</f>
        <v>Disponible Administración</v>
      </c>
      <c r="E253" s="396">
        <f t="shared" si="1"/>
        <v>-3285186</v>
      </c>
      <c r="F253" s="397">
        <v>0</v>
      </c>
      <c r="G253" s="397">
        <v>3285186</v>
      </c>
      <c r="H253" s="347" t="s">
        <v>777</v>
      </c>
      <c r="I253" s="398" t="s">
        <v>296</v>
      </c>
      <c r="K253" s="208"/>
    </row>
    <row r="254" spans="1:12" ht="14.95" customHeight="1" x14ac:dyDescent="0.25">
      <c r="F254" s="346"/>
      <c r="G254" s="346"/>
      <c r="I254" s="401"/>
      <c r="J254" s="401"/>
      <c r="K254" s="208"/>
      <c r="L254" s="401"/>
    </row>
    <row r="255" spans="1:12" ht="14.95" customHeight="1" x14ac:dyDescent="0.25">
      <c r="A255" s="339">
        <v>44225</v>
      </c>
      <c r="B255" s="340">
        <v>1</v>
      </c>
      <c r="C255" s="347">
        <v>4224</v>
      </c>
      <c r="D255" s="347" t="str">
        <f>VLOOKUP(C255,Plan!A$1:B$65542,2,0)</f>
        <v xml:space="preserve">         Jardinero</v>
      </c>
      <c r="E255" s="396">
        <f t="shared" ref="E255:E262" si="3">+F255-G255</f>
        <v>45198</v>
      </c>
      <c r="F255" s="436">
        <v>45198</v>
      </c>
      <c r="G255" s="397">
        <v>0</v>
      </c>
      <c r="H255" s="347" t="s">
        <v>771</v>
      </c>
      <c r="I255" s="398" t="s">
        <v>296</v>
      </c>
      <c r="J255" s="401"/>
      <c r="K255" s="208"/>
      <c r="L255" s="401"/>
    </row>
    <row r="256" spans="1:12" ht="14.95" customHeight="1" x14ac:dyDescent="0.25">
      <c r="A256" s="369">
        <f t="shared" ref="A256:B260" si="4">+A255</f>
        <v>44225</v>
      </c>
      <c r="B256" s="347">
        <f t="shared" si="4"/>
        <v>1</v>
      </c>
      <c r="C256" s="347">
        <v>4224</v>
      </c>
      <c r="D256" s="347" t="str">
        <f>VLOOKUP(C256,Plan!A$1:B$65542,2,0)</f>
        <v xml:space="preserve">         Jardinero</v>
      </c>
      <c r="E256" s="396">
        <f t="shared" si="3"/>
        <v>50848</v>
      </c>
      <c r="F256" s="436">
        <v>50848</v>
      </c>
      <c r="G256" s="397">
        <v>0</v>
      </c>
      <c r="H256" s="347" t="s">
        <v>772</v>
      </c>
      <c r="I256" s="398" t="s">
        <v>296</v>
      </c>
      <c r="K256" s="208"/>
    </row>
    <row r="257" spans="1:12" ht="14.95" customHeight="1" x14ac:dyDescent="0.25">
      <c r="A257" s="369">
        <f t="shared" si="4"/>
        <v>44225</v>
      </c>
      <c r="B257" s="347">
        <f t="shared" si="4"/>
        <v>1</v>
      </c>
      <c r="C257" s="347">
        <v>4643</v>
      </c>
      <c r="D257" s="347" t="str">
        <f>VLOOKUP(C257,Plan!A$1:B$65542,2,0)</f>
        <v xml:space="preserve">             Otros</v>
      </c>
      <c r="E257" s="396">
        <f t="shared" si="3"/>
        <v>100000</v>
      </c>
      <c r="F257" s="436">
        <v>100000</v>
      </c>
      <c r="G257" s="397">
        <v>0</v>
      </c>
      <c r="H257" s="347" t="s">
        <v>773</v>
      </c>
      <c r="I257" s="398" t="s">
        <v>296</v>
      </c>
      <c r="J257" s="401"/>
      <c r="K257" s="208"/>
      <c r="L257" s="401"/>
    </row>
    <row r="258" spans="1:12" ht="14.95" customHeight="1" x14ac:dyDescent="0.25">
      <c r="A258" s="369">
        <f t="shared" si="4"/>
        <v>44225</v>
      </c>
      <c r="B258" s="347">
        <f t="shared" si="4"/>
        <v>1</v>
      </c>
      <c r="C258" s="347">
        <v>4680</v>
      </c>
      <c r="D258" s="347" t="str">
        <f>VLOOKUP(C258,Plan!A$1:B$65542,2,0)</f>
        <v>Pastoral Comunicacional</v>
      </c>
      <c r="E258" s="396">
        <f t="shared" si="3"/>
        <v>477848</v>
      </c>
      <c r="F258" s="397">
        <v>477848</v>
      </c>
      <c r="G258" s="397">
        <v>0</v>
      </c>
      <c r="H258" s="347" t="s">
        <v>774</v>
      </c>
      <c r="I258" s="398" t="s">
        <v>296</v>
      </c>
      <c r="J258" s="401"/>
      <c r="K258" s="208"/>
      <c r="L258" s="401"/>
    </row>
    <row r="259" spans="1:12" ht="14.95" customHeight="1" x14ac:dyDescent="0.25">
      <c r="A259" s="369">
        <f t="shared" si="4"/>
        <v>44225</v>
      </c>
      <c r="B259" s="347">
        <f t="shared" si="4"/>
        <v>1</v>
      </c>
      <c r="C259" s="347">
        <v>4650</v>
      </c>
      <c r="D259" s="347" t="str">
        <f>VLOOKUP(C259,Plan!A$1:B$65542,2,0)</f>
        <v>Pastoral Social</v>
      </c>
      <c r="E259" s="396">
        <f t="shared" si="3"/>
        <v>420000</v>
      </c>
      <c r="F259" s="397">
        <v>420000</v>
      </c>
      <c r="G259" s="397">
        <v>0</v>
      </c>
      <c r="H259" s="347" t="s">
        <v>775</v>
      </c>
      <c r="I259" s="398" t="s">
        <v>296</v>
      </c>
      <c r="K259" s="208"/>
    </row>
    <row r="260" spans="1:12" ht="14.95" customHeight="1" x14ac:dyDescent="0.25">
      <c r="A260" s="369">
        <f t="shared" si="4"/>
        <v>44225</v>
      </c>
      <c r="B260" s="347">
        <f t="shared" si="4"/>
        <v>1</v>
      </c>
      <c r="C260" s="347">
        <v>223</v>
      </c>
      <c r="D260" s="347" t="str">
        <f>VLOOKUP(C260,Plan!A$1:B$65542,2,0)</f>
        <v>Ret. Hon.  e Impto. Unico Administración</v>
      </c>
      <c r="E260" s="396">
        <f>+F260-G260</f>
        <v>-22546</v>
      </c>
      <c r="F260" s="397">
        <v>0</v>
      </c>
      <c r="G260" s="397">
        <v>22546</v>
      </c>
      <c r="H260" s="398" t="s">
        <v>1252</v>
      </c>
      <c r="I260" s="398" t="s">
        <v>296</v>
      </c>
      <c r="K260" s="208"/>
    </row>
    <row r="261" spans="1:12" ht="14.95" customHeight="1" x14ac:dyDescent="0.25">
      <c r="A261" s="369">
        <f>+A258</f>
        <v>44225</v>
      </c>
      <c r="B261" s="347">
        <f>+B258</f>
        <v>1</v>
      </c>
      <c r="C261" s="347">
        <v>110</v>
      </c>
      <c r="D261" s="340" t="str">
        <f>VLOOKUP(C261,Plan!A$1:B$65542,2,0)</f>
        <v>Disponible Administración</v>
      </c>
      <c r="E261" s="396">
        <f>+F261-G261</f>
        <v>-897848</v>
      </c>
      <c r="F261" s="397">
        <v>0</v>
      </c>
      <c r="G261" s="397">
        <f>+F258+F259</f>
        <v>897848</v>
      </c>
      <c r="H261" s="347" t="s">
        <v>776</v>
      </c>
      <c r="I261" s="398" t="s">
        <v>296</v>
      </c>
      <c r="J261" s="401"/>
      <c r="K261" s="208"/>
      <c r="L261" s="401"/>
    </row>
    <row r="262" spans="1:12" ht="14.95" customHeight="1" x14ac:dyDescent="0.25">
      <c r="A262" s="369">
        <f>+A259</f>
        <v>44225</v>
      </c>
      <c r="B262" s="347">
        <f>+B259</f>
        <v>1</v>
      </c>
      <c r="C262" s="347">
        <v>222</v>
      </c>
      <c r="D262" s="340" t="str">
        <f>VLOOKUP(C262,Plan!A$1:B$65542,2,0)</f>
        <v>Honorarios por pagar Administración</v>
      </c>
      <c r="E262" s="396">
        <f t="shared" si="3"/>
        <v>-173500</v>
      </c>
      <c r="F262" s="397">
        <v>0</v>
      </c>
      <c r="G262" s="397">
        <v>173500</v>
      </c>
      <c r="H262" s="347" t="s">
        <v>776</v>
      </c>
      <c r="I262" s="398" t="s">
        <v>296</v>
      </c>
      <c r="J262" s="401"/>
      <c r="K262" s="208"/>
      <c r="L262" s="401"/>
    </row>
    <row r="263" spans="1:12" ht="14.95" customHeight="1" x14ac:dyDescent="0.25">
      <c r="F263" s="346"/>
      <c r="G263" s="346"/>
      <c r="I263" s="401"/>
      <c r="J263" s="401"/>
      <c r="K263" s="208"/>
      <c r="L263" s="401"/>
    </row>
    <row r="264" spans="1:12" ht="14.95" customHeight="1" x14ac:dyDescent="0.25">
      <c r="A264" s="339">
        <v>44225</v>
      </c>
      <c r="B264" s="340">
        <v>1</v>
      </c>
      <c r="C264" s="347">
        <v>222</v>
      </c>
      <c r="D264" s="347" t="str">
        <f>VLOOKUP(C264,Plan!A$1:B$65542,2,0)</f>
        <v>Honorarios por pagar Administración</v>
      </c>
      <c r="E264" s="396">
        <f>+F264-G264</f>
        <v>40000</v>
      </c>
      <c r="F264" s="397">
        <v>40000</v>
      </c>
      <c r="G264" s="397">
        <v>0</v>
      </c>
      <c r="H264" s="347" t="s">
        <v>771</v>
      </c>
      <c r="I264" s="398" t="s">
        <v>296</v>
      </c>
      <c r="J264" s="401"/>
      <c r="K264" s="208"/>
      <c r="L264" s="401"/>
    </row>
    <row r="265" spans="1:12" ht="14.95" customHeight="1" x14ac:dyDescent="0.25">
      <c r="A265" s="369">
        <f t="shared" ref="A265:B267" si="5">+A264</f>
        <v>44225</v>
      </c>
      <c r="B265" s="347">
        <f t="shared" si="5"/>
        <v>1</v>
      </c>
      <c r="C265" s="347">
        <v>222</v>
      </c>
      <c r="D265" s="347" t="str">
        <f>VLOOKUP(C265,Plan!A$1:B$65542,2,0)</f>
        <v>Honorarios por pagar Administración</v>
      </c>
      <c r="E265" s="396">
        <f>+F265-G265</f>
        <v>45000</v>
      </c>
      <c r="F265" s="397">
        <v>45000</v>
      </c>
      <c r="G265" s="397">
        <v>0</v>
      </c>
      <c r="H265" s="347" t="s">
        <v>772</v>
      </c>
      <c r="I265" s="398" t="s">
        <v>296</v>
      </c>
      <c r="K265" s="208"/>
    </row>
    <row r="266" spans="1:12" ht="14.95" customHeight="1" x14ac:dyDescent="0.25">
      <c r="A266" s="369">
        <f t="shared" si="5"/>
        <v>44225</v>
      </c>
      <c r="B266" s="347">
        <f t="shared" si="5"/>
        <v>1</v>
      </c>
      <c r="C266" s="347">
        <v>222</v>
      </c>
      <c r="D266" s="347" t="str">
        <f>VLOOKUP(C266,Plan!A$1:B$65542,2,0)</f>
        <v>Honorarios por pagar Administración</v>
      </c>
      <c r="E266" s="396">
        <f>+F266-G266</f>
        <v>88500</v>
      </c>
      <c r="F266" s="397">
        <v>88500</v>
      </c>
      <c r="G266" s="397">
        <v>0</v>
      </c>
      <c r="H266" s="347" t="s">
        <v>773</v>
      </c>
      <c r="I266" s="398" t="s">
        <v>296</v>
      </c>
      <c r="J266" s="401"/>
      <c r="K266" s="208"/>
      <c r="L266" s="401"/>
    </row>
    <row r="267" spans="1:12" ht="14.95" customHeight="1" x14ac:dyDescent="0.25">
      <c r="A267" s="369">
        <f t="shared" si="5"/>
        <v>44225</v>
      </c>
      <c r="B267" s="347">
        <f t="shared" si="5"/>
        <v>1</v>
      </c>
      <c r="C267" s="347">
        <v>110</v>
      </c>
      <c r="D267" s="340" t="str">
        <f>VLOOKUP(C267,Plan!A$1:B$65542,2,0)</f>
        <v>Disponible Administración</v>
      </c>
      <c r="E267" s="396">
        <f>+F267-G267</f>
        <v>-173500</v>
      </c>
      <c r="F267" s="397">
        <v>0</v>
      </c>
      <c r="G267" s="397">
        <v>173500</v>
      </c>
      <c r="H267" s="347" t="s">
        <v>776</v>
      </c>
      <c r="I267" s="398" t="s">
        <v>296</v>
      </c>
      <c r="J267" s="401"/>
      <c r="K267" s="208"/>
      <c r="L267" s="401"/>
    </row>
    <row r="268" spans="1:12" ht="14.95" customHeight="1" x14ac:dyDescent="0.25">
      <c r="F268" s="346"/>
      <c r="G268" s="346"/>
      <c r="I268" s="401"/>
      <c r="J268" s="401"/>
      <c r="K268" s="208"/>
      <c r="L268" s="401"/>
    </row>
    <row r="269" spans="1:12" ht="14.95" customHeight="1" x14ac:dyDescent="0.25">
      <c r="A269" s="339">
        <v>44227</v>
      </c>
      <c r="B269" s="340">
        <v>1</v>
      </c>
      <c r="C269" s="338">
        <v>4231</v>
      </c>
      <c r="D269" s="347" t="str">
        <f>VLOOKUP(C269,Plan!A$1:B$65542,2,0)</f>
        <v>Auxiliares, secretarias y administración</v>
      </c>
      <c r="E269" s="341">
        <f>+F269</f>
        <v>2990029</v>
      </c>
      <c r="F269" s="345">
        <v>2990029</v>
      </c>
      <c r="G269" s="346">
        <v>0</v>
      </c>
      <c r="H269" s="343" t="s">
        <v>410</v>
      </c>
      <c r="I269" s="401" t="s">
        <v>296</v>
      </c>
      <c r="K269" s="208"/>
    </row>
    <row r="270" spans="1:12" ht="14.95" customHeight="1" x14ac:dyDescent="0.25">
      <c r="A270" s="339">
        <f t="shared" ref="A270:B275" si="6">+A269</f>
        <v>44227</v>
      </c>
      <c r="B270" s="340">
        <f t="shared" si="6"/>
        <v>1</v>
      </c>
      <c r="C270" s="338">
        <v>9011</v>
      </c>
      <c r="D270" s="347" t="str">
        <f>VLOOKUP(C270,Plan!A$1:B$65542,2,0)</f>
        <v>Sueldo Sacerdotes</v>
      </c>
      <c r="E270" s="341">
        <f>+F270</f>
        <v>907876</v>
      </c>
      <c r="F270" s="345">
        <v>907876</v>
      </c>
      <c r="G270" s="346">
        <v>0</v>
      </c>
      <c r="H270" s="338" t="s">
        <v>410</v>
      </c>
      <c r="I270" s="401" t="s">
        <v>296</v>
      </c>
      <c r="J270" s="401"/>
      <c r="K270" s="208"/>
      <c r="L270" s="401"/>
    </row>
    <row r="271" spans="1:12" ht="14.95" customHeight="1" x14ac:dyDescent="0.25">
      <c r="A271" s="339">
        <f t="shared" si="6"/>
        <v>44227</v>
      </c>
      <c r="B271" s="340">
        <f t="shared" si="6"/>
        <v>1</v>
      </c>
      <c r="C271" s="338">
        <v>4231</v>
      </c>
      <c r="D271" s="347" t="str">
        <f>VLOOKUP(C271,Plan!A$1:B$65542,2,0)</f>
        <v>Auxiliares, secretarias y administración</v>
      </c>
      <c r="E271" s="341">
        <f>+F271</f>
        <v>51171</v>
      </c>
      <c r="F271" s="345">
        <v>51171</v>
      </c>
      <c r="G271" s="346">
        <v>0</v>
      </c>
      <c r="H271" s="338" t="s">
        <v>410</v>
      </c>
      <c r="I271" s="401" t="s">
        <v>296</v>
      </c>
      <c r="K271" s="208"/>
    </row>
    <row r="272" spans="1:12" ht="14.95" customHeight="1" x14ac:dyDescent="0.25">
      <c r="A272" s="339">
        <f t="shared" si="6"/>
        <v>44227</v>
      </c>
      <c r="B272" s="340">
        <f t="shared" si="6"/>
        <v>1</v>
      </c>
      <c r="C272" s="338">
        <v>225</v>
      </c>
      <c r="D272" s="347" t="str">
        <f>VLOOKUP(C272,Plan!A$1:B$65542,2,0)</f>
        <v>Sueldos por Pagar</v>
      </c>
      <c r="E272" s="341">
        <f>-G272</f>
        <v>-3285186</v>
      </c>
      <c r="F272" s="345">
        <v>0</v>
      </c>
      <c r="G272" s="346">
        <v>3285186</v>
      </c>
      <c r="H272" s="338" t="s">
        <v>410</v>
      </c>
      <c r="I272" s="401" t="s">
        <v>296</v>
      </c>
      <c r="K272" s="208"/>
    </row>
    <row r="273" spans="1:14" ht="14.95" customHeight="1" x14ac:dyDescent="0.25">
      <c r="A273" s="339">
        <f t="shared" si="6"/>
        <v>44227</v>
      </c>
      <c r="B273" s="340">
        <f t="shared" si="6"/>
        <v>1</v>
      </c>
      <c r="C273" s="338">
        <v>224</v>
      </c>
      <c r="D273" s="347" t="str">
        <f>VLOOKUP(C273,Plan!A$1:B$65542,2,0)</f>
        <v>Cotizaciones por Pagar</v>
      </c>
      <c r="E273" s="341">
        <f>-G273</f>
        <v>-476142</v>
      </c>
      <c r="F273" s="345">
        <v>0</v>
      </c>
      <c r="G273" s="346">
        <v>476142</v>
      </c>
      <c r="H273" s="338" t="s">
        <v>410</v>
      </c>
      <c r="I273" s="401" t="s">
        <v>296</v>
      </c>
      <c r="J273" s="401"/>
      <c r="K273" s="208"/>
      <c r="L273" s="401"/>
    </row>
    <row r="274" spans="1:14" ht="14.95" customHeight="1" x14ac:dyDescent="0.25">
      <c r="A274" s="339">
        <f t="shared" si="6"/>
        <v>44227</v>
      </c>
      <c r="B274" s="340">
        <f t="shared" si="6"/>
        <v>1</v>
      </c>
      <c r="C274" s="338">
        <v>224</v>
      </c>
      <c r="D274" s="347" t="str">
        <f>VLOOKUP(C274,Plan!A$1:B$65542,2,0)</f>
        <v>Cotizaciones por Pagar</v>
      </c>
      <c r="E274" s="341">
        <f>-G274</f>
        <v>-172876</v>
      </c>
      <c r="F274" s="345">
        <v>0</v>
      </c>
      <c r="G274" s="362">
        <v>172876</v>
      </c>
      <c r="H274" s="338" t="s">
        <v>410</v>
      </c>
      <c r="I274" s="401" t="s">
        <v>296</v>
      </c>
      <c r="J274" s="401"/>
      <c r="K274" s="208"/>
      <c r="L274" s="401"/>
    </row>
    <row r="275" spans="1:14" ht="14.95" customHeight="1" x14ac:dyDescent="0.25">
      <c r="A275" s="339">
        <f t="shared" si="6"/>
        <v>44227</v>
      </c>
      <c r="B275" s="340">
        <f t="shared" si="6"/>
        <v>1</v>
      </c>
      <c r="C275" s="338">
        <v>223</v>
      </c>
      <c r="D275" s="347" t="str">
        <f>VLOOKUP(C275,Plan!A$1:B$65542,2,0)</f>
        <v>Ret. Hon.  e Impto. Unico Administración</v>
      </c>
      <c r="E275" s="341">
        <f>-G275</f>
        <v>-14872</v>
      </c>
      <c r="F275" s="345">
        <v>0</v>
      </c>
      <c r="G275" s="346">
        <v>14872</v>
      </c>
      <c r="H275" s="338" t="s">
        <v>410</v>
      </c>
      <c r="I275" s="401" t="s">
        <v>296</v>
      </c>
      <c r="K275" s="208"/>
    </row>
    <row r="276" spans="1:14" ht="14.95" customHeight="1" x14ac:dyDescent="0.25">
      <c r="F276" s="346"/>
      <c r="G276" s="346"/>
      <c r="I276" s="401"/>
      <c r="J276" s="401"/>
      <c r="K276" s="208"/>
      <c r="L276" s="401"/>
    </row>
    <row r="277" spans="1:14" s="347" customFormat="1" x14ac:dyDescent="0.25">
      <c r="A277" s="369">
        <v>44228</v>
      </c>
      <c r="B277" s="347">
        <v>2</v>
      </c>
      <c r="C277" s="347">
        <v>110</v>
      </c>
      <c r="D277" s="340" t="str">
        <f>VLOOKUP(C277,Plan!A$1:B$65542,2,0)</f>
        <v>Disponible Administración</v>
      </c>
      <c r="E277" s="396">
        <v>40000</v>
      </c>
      <c r="F277" s="396">
        <v>40000</v>
      </c>
      <c r="G277" s="396">
        <v>0</v>
      </c>
      <c r="H277" s="347" t="s">
        <v>877</v>
      </c>
      <c r="I277" s="347" t="s">
        <v>296</v>
      </c>
      <c r="K277" s="370"/>
      <c r="N277" s="370"/>
    </row>
    <row r="278" spans="1:14" s="347" customFormat="1" x14ac:dyDescent="0.25">
      <c r="A278" s="369">
        <v>44228</v>
      </c>
      <c r="B278" s="347">
        <v>2</v>
      </c>
      <c r="C278" s="347">
        <v>3110</v>
      </c>
      <c r="D278" s="340" t="str">
        <f>VLOOKUP(C278,Plan!A$1:B$65542,2,0)</f>
        <v>Colectas Normales</v>
      </c>
      <c r="E278" s="396">
        <f>-G278</f>
        <v>-40000</v>
      </c>
      <c r="F278" s="396">
        <v>0</v>
      </c>
      <c r="G278" s="396">
        <v>40000</v>
      </c>
      <c r="H278" s="347" t="s">
        <v>877</v>
      </c>
      <c r="I278" s="347" t="s">
        <v>296</v>
      </c>
      <c r="K278" s="370"/>
      <c r="N278" s="370"/>
    </row>
    <row r="279" spans="1:14" s="347" customFormat="1" x14ac:dyDescent="0.25">
      <c r="A279" s="369"/>
      <c r="E279" s="396"/>
      <c r="F279" s="396"/>
      <c r="G279" s="396"/>
      <c r="K279" s="370"/>
      <c r="N279" s="370"/>
    </row>
    <row r="280" spans="1:14" s="347" customFormat="1" x14ac:dyDescent="0.25">
      <c r="A280" s="369">
        <v>44228</v>
      </c>
      <c r="B280" s="347">
        <v>2</v>
      </c>
      <c r="C280" s="347">
        <v>110</v>
      </c>
      <c r="D280" s="340" t="str">
        <f>VLOOKUP(C280,Plan!A$1:B$65542,2,0)</f>
        <v>Disponible Administración</v>
      </c>
      <c r="E280" s="396">
        <f>+F280</f>
        <v>20000</v>
      </c>
      <c r="F280" s="396">
        <v>20000</v>
      </c>
      <c r="G280" s="396">
        <v>0</v>
      </c>
      <c r="H280" s="347" t="s">
        <v>878</v>
      </c>
      <c r="I280" s="347" t="s">
        <v>296</v>
      </c>
      <c r="K280" s="370"/>
      <c r="N280" s="370"/>
    </row>
    <row r="281" spans="1:14" s="347" customFormat="1" x14ac:dyDescent="0.25">
      <c r="A281" s="369">
        <v>44228</v>
      </c>
      <c r="B281" s="347">
        <v>2</v>
      </c>
      <c r="C281" s="347">
        <v>3110</v>
      </c>
      <c r="D281" s="340" t="str">
        <f>VLOOKUP(C281,Plan!A$1:B$65542,2,0)</f>
        <v>Colectas Normales</v>
      </c>
      <c r="E281" s="396">
        <f>-G281</f>
        <v>-20000</v>
      </c>
      <c r="F281" s="396">
        <v>0</v>
      </c>
      <c r="G281" s="396">
        <v>20000</v>
      </c>
      <c r="H281" s="347" t="s">
        <v>878</v>
      </c>
      <c r="I281" s="347" t="s">
        <v>296</v>
      </c>
      <c r="K281" s="370"/>
      <c r="N281" s="370"/>
    </row>
    <row r="282" spans="1:14" s="347" customFormat="1" x14ac:dyDescent="0.25">
      <c r="A282" s="369"/>
      <c r="E282" s="396"/>
      <c r="F282" s="396"/>
      <c r="G282" s="396"/>
      <c r="K282" s="370"/>
      <c r="N282" s="370"/>
    </row>
    <row r="283" spans="1:14" s="347" customFormat="1" x14ac:dyDescent="0.25">
      <c r="A283" s="369">
        <v>44228</v>
      </c>
      <c r="B283" s="347">
        <v>2</v>
      </c>
      <c r="C283" s="347">
        <v>110</v>
      </c>
      <c r="D283" s="340" t="str">
        <f>VLOOKUP(C283,Plan!A$1:B$65542,2,0)</f>
        <v>Disponible Administración</v>
      </c>
      <c r="E283" s="396">
        <f>+F283</f>
        <v>16000</v>
      </c>
      <c r="F283" s="396">
        <v>16000</v>
      </c>
      <c r="G283" s="396">
        <v>0</v>
      </c>
      <c r="H283" s="347" t="s">
        <v>879</v>
      </c>
      <c r="I283" s="347" t="s">
        <v>296</v>
      </c>
      <c r="K283" s="370"/>
      <c r="N283" s="370"/>
    </row>
    <row r="284" spans="1:14" s="347" customFormat="1" x14ac:dyDescent="0.25">
      <c r="A284" s="369">
        <v>44228</v>
      </c>
      <c r="B284" s="347">
        <v>2</v>
      </c>
      <c r="C284" s="347">
        <v>3110</v>
      </c>
      <c r="D284" s="340" t="str">
        <f>VLOOKUP(C284,Plan!A$1:B$65542,2,0)</f>
        <v>Colectas Normales</v>
      </c>
      <c r="E284" s="396">
        <f>-G284</f>
        <v>-16000</v>
      </c>
      <c r="F284" s="396">
        <v>0</v>
      </c>
      <c r="G284" s="396">
        <v>16000</v>
      </c>
      <c r="H284" s="347" t="s">
        <v>879</v>
      </c>
      <c r="I284" s="347" t="s">
        <v>296</v>
      </c>
      <c r="K284" s="370"/>
      <c r="N284" s="370"/>
    </row>
    <row r="285" spans="1:14" s="347" customFormat="1" x14ac:dyDescent="0.25">
      <c r="A285" s="369"/>
      <c r="E285" s="396"/>
      <c r="F285" s="396"/>
      <c r="G285" s="396"/>
      <c r="K285" s="370"/>
      <c r="N285" s="370"/>
    </row>
    <row r="286" spans="1:14" s="347" customFormat="1" x14ac:dyDescent="0.25">
      <c r="A286" s="369">
        <v>44228</v>
      </c>
      <c r="B286" s="347">
        <v>2</v>
      </c>
      <c r="C286" s="347">
        <v>110</v>
      </c>
      <c r="D286" s="340" t="str">
        <f>VLOOKUP(C286,Plan!A$1:B$65542,2,0)</f>
        <v>Disponible Administración</v>
      </c>
      <c r="E286" s="396">
        <f>+F286</f>
        <v>10000</v>
      </c>
      <c r="F286" s="396">
        <v>10000</v>
      </c>
      <c r="G286" s="396">
        <v>0</v>
      </c>
      <c r="H286" s="347" t="s">
        <v>880</v>
      </c>
      <c r="I286" s="347" t="s">
        <v>296</v>
      </c>
      <c r="K286" s="370"/>
      <c r="N286" s="370"/>
    </row>
    <row r="287" spans="1:14" s="347" customFormat="1" x14ac:dyDescent="0.25">
      <c r="A287" s="369">
        <v>44228</v>
      </c>
      <c r="B287" s="347">
        <v>2</v>
      </c>
      <c r="C287" s="347">
        <v>3110</v>
      </c>
      <c r="D287" s="340" t="str">
        <f>VLOOKUP(C287,Plan!A$1:B$65542,2,0)</f>
        <v>Colectas Normales</v>
      </c>
      <c r="E287" s="396">
        <f>-G287</f>
        <v>-10000</v>
      </c>
      <c r="F287" s="396">
        <v>0</v>
      </c>
      <c r="G287" s="396">
        <v>10000</v>
      </c>
      <c r="H287" s="347" t="s">
        <v>880</v>
      </c>
      <c r="I287" s="347" t="s">
        <v>296</v>
      </c>
      <c r="K287" s="370"/>
      <c r="N287" s="370"/>
    </row>
    <row r="288" spans="1:14" s="347" customFormat="1" x14ac:dyDescent="0.25">
      <c r="A288" s="369"/>
      <c r="E288" s="396"/>
      <c r="F288" s="396"/>
      <c r="G288" s="396"/>
      <c r="K288" s="370"/>
      <c r="N288" s="370"/>
    </row>
    <row r="289" spans="1:14" s="347" customFormat="1" x14ac:dyDescent="0.25">
      <c r="A289" s="369">
        <v>44228</v>
      </c>
      <c r="B289" s="347">
        <v>2</v>
      </c>
      <c r="C289" s="347">
        <v>110</v>
      </c>
      <c r="D289" s="340" t="str">
        <f>VLOOKUP(C289,Plan!A$1:B$65542,2,0)</f>
        <v>Disponible Administración</v>
      </c>
      <c r="E289" s="396">
        <f>+F289</f>
        <v>200000</v>
      </c>
      <c r="F289" s="396">
        <v>200000</v>
      </c>
      <c r="G289" s="396">
        <v>0</v>
      </c>
      <c r="H289" s="347" t="s">
        <v>883</v>
      </c>
      <c r="I289" s="347" t="s">
        <v>296</v>
      </c>
      <c r="K289" s="370"/>
      <c r="N289" s="370"/>
    </row>
    <row r="290" spans="1:14" s="347" customFormat="1" x14ac:dyDescent="0.25">
      <c r="A290" s="369">
        <v>44228</v>
      </c>
      <c r="B290" s="347">
        <v>2</v>
      </c>
      <c r="C290" s="338">
        <v>215</v>
      </c>
      <c r="D290" s="340" t="str">
        <f>VLOOKUP(C290,Plan!A$1:B$65542,2,0)</f>
        <v>Cuenta por Pagar a Cali</v>
      </c>
      <c r="E290" s="396">
        <f>-G290</f>
        <v>-200000</v>
      </c>
      <c r="F290" s="396">
        <v>0</v>
      </c>
      <c r="G290" s="396">
        <v>200000</v>
      </c>
      <c r="H290" s="347" t="s">
        <v>883</v>
      </c>
      <c r="I290" s="347" t="s">
        <v>296</v>
      </c>
      <c r="K290" s="370"/>
      <c r="N290" s="370"/>
    </row>
    <row r="291" spans="1:14" s="347" customFormat="1" x14ac:dyDescent="0.25">
      <c r="A291" s="369"/>
      <c r="E291" s="396"/>
      <c r="F291" s="396"/>
      <c r="G291" s="396"/>
      <c r="K291" s="370"/>
      <c r="N291" s="370"/>
    </row>
    <row r="292" spans="1:14" s="347" customFormat="1" x14ac:dyDescent="0.25">
      <c r="A292" s="369">
        <v>44228</v>
      </c>
      <c r="B292" s="347">
        <v>2</v>
      </c>
      <c r="C292" s="347">
        <v>110</v>
      </c>
      <c r="D292" s="340" t="str">
        <f>VLOOKUP(C292,Plan!A$1:B$65542,2,0)</f>
        <v>Disponible Administración</v>
      </c>
      <c r="E292" s="396">
        <f>+F292</f>
        <v>10000</v>
      </c>
      <c r="F292" s="396">
        <v>10000</v>
      </c>
      <c r="G292" s="396">
        <v>0</v>
      </c>
      <c r="H292" s="347" t="s">
        <v>881</v>
      </c>
      <c r="I292" s="347" t="s">
        <v>296</v>
      </c>
      <c r="K292" s="370"/>
      <c r="N292" s="370"/>
    </row>
    <row r="293" spans="1:14" s="347" customFormat="1" x14ac:dyDescent="0.25">
      <c r="A293" s="369">
        <v>44228</v>
      </c>
      <c r="B293" s="347">
        <v>2</v>
      </c>
      <c r="C293" s="347">
        <v>3110</v>
      </c>
      <c r="D293" s="340" t="str">
        <f>VLOOKUP(C293,Plan!A$1:B$65542,2,0)</f>
        <v>Colectas Normales</v>
      </c>
      <c r="E293" s="396">
        <f>-G293</f>
        <v>-10000</v>
      </c>
      <c r="F293" s="396">
        <v>0</v>
      </c>
      <c r="G293" s="396">
        <v>10000</v>
      </c>
      <c r="H293" s="347" t="s">
        <v>881</v>
      </c>
      <c r="I293" s="347" t="s">
        <v>296</v>
      </c>
      <c r="K293" s="370"/>
      <c r="N293" s="370"/>
    </row>
    <row r="294" spans="1:14" s="347" customFormat="1" x14ac:dyDescent="0.25">
      <c r="A294" s="369"/>
      <c r="E294" s="396"/>
      <c r="F294" s="396"/>
      <c r="G294" s="396"/>
      <c r="K294" s="370"/>
      <c r="N294" s="370"/>
    </row>
    <row r="295" spans="1:14" s="347" customFormat="1" x14ac:dyDescent="0.25">
      <c r="A295" s="369">
        <v>44228</v>
      </c>
      <c r="B295" s="347">
        <v>2</v>
      </c>
      <c r="C295" s="347">
        <v>110</v>
      </c>
      <c r="D295" s="340" t="str">
        <f>VLOOKUP(C295,Plan!A$1:B$65542,2,0)</f>
        <v>Disponible Administración</v>
      </c>
      <c r="E295" s="396">
        <f>+F295</f>
        <v>3000</v>
      </c>
      <c r="F295" s="396">
        <v>3000</v>
      </c>
      <c r="G295" s="396">
        <v>0</v>
      </c>
      <c r="H295" s="347" t="s">
        <v>882</v>
      </c>
      <c r="I295" s="347" t="s">
        <v>296</v>
      </c>
      <c r="K295" s="370"/>
      <c r="N295" s="370"/>
    </row>
    <row r="296" spans="1:14" s="347" customFormat="1" x14ac:dyDescent="0.25">
      <c r="A296" s="369">
        <v>44228</v>
      </c>
      <c r="B296" s="347">
        <v>2</v>
      </c>
      <c r="C296" s="347">
        <v>3110</v>
      </c>
      <c r="D296" s="340" t="str">
        <f>VLOOKUP(C296,Plan!A$1:B$65542,2,0)</f>
        <v>Colectas Normales</v>
      </c>
      <c r="E296" s="396">
        <f>-G296</f>
        <v>-3000</v>
      </c>
      <c r="F296" s="396">
        <v>0</v>
      </c>
      <c r="G296" s="396">
        <v>3000</v>
      </c>
      <c r="H296" s="347" t="s">
        <v>882</v>
      </c>
      <c r="I296" s="347" t="s">
        <v>296</v>
      </c>
      <c r="K296" s="370"/>
      <c r="N296" s="370"/>
    </row>
    <row r="297" spans="1:14" s="347" customFormat="1" x14ac:dyDescent="0.25">
      <c r="A297" s="369"/>
      <c r="E297" s="396"/>
      <c r="F297" s="396"/>
      <c r="G297" s="396"/>
      <c r="K297" s="370"/>
      <c r="N297" s="370"/>
    </row>
    <row r="298" spans="1:14" s="347" customFormat="1" x14ac:dyDescent="0.25">
      <c r="A298" s="369">
        <v>44228</v>
      </c>
      <c r="B298" s="347">
        <v>2</v>
      </c>
      <c r="C298" s="347">
        <v>110</v>
      </c>
      <c r="D298" s="340" t="str">
        <f>VLOOKUP(C298,Plan!A$1:B$65542,2,0)</f>
        <v>Disponible Administración</v>
      </c>
      <c r="E298" s="396">
        <f>+F298</f>
        <v>15000</v>
      </c>
      <c r="F298" s="396">
        <v>15000</v>
      </c>
      <c r="G298" s="396">
        <v>0</v>
      </c>
      <c r="H298" s="347" t="s">
        <v>884</v>
      </c>
      <c r="I298" s="347" t="s">
        <v>296</v>
      </c>
      <c r="K298" s="370"/>
      <c r="N298" s="370"/>
    </row>
    <row r="299" spans="1:14" s="347" customFormat="1" x14ac:dyDescent="0.25">
      <c r="A299" s="369">
        <v>44228</v>
      </c>
      <c r="B299" s="347">
        <v>2</v>
      </c>
      <c r="C299" s="338">
        <v>215</v>
      </c>
      <c r="D299" s="340" t="str">
        <f>VLOOKUP(C299,Plan!A$1:B$65542,2,0)</f>
        <v>Cuenta por Pagar a Cali</v>
      </c>
      <c r="E299" s="396">
        <f>-G299</f>
        <v>-15000</v>
      </c>
      <c r="F299" s="396">
        <v>0</v>
      </c>
      <c r="G299" s="396">
        <v>15000</v>
      </c>
      <c r="H299" s="347" t="s">
        <v>884</v>
      </c>
      <c r="I299" s="347" t="s">
        <v>296</v>
      </c>
      <c r="K299" s="370"/>
      <c r="N299" s="370"/>
    </row>
    <row r="300" spans="1:14" s="347" customFormat="1" x14ac:dyDescent="0.25">
      <c r="A300" s="369"/>
      <c r="E300" s="396"/>
      <c r="F300" s="396"/>
      <c r="G300" s="414"/>
      <c r="K300" s="370"/>
      <c r="N300" s="370"/>
    </row>
    <row r="301" spans="1:14" s="347" customFormat="1" x14ac:dyDescent="0.25">
      <c r="A301" s="369">
        <v>44228</v>
      </c>
      <c r="B301" s="347">
        <v>2</v>
      </c>
      <c r="C301" s="347">
        <v>110</v>
      </c>
      <c r="D301" s="340" t="str">
        <f>VLOOKUP(C301,Plan!A$1:B$65542,2,0)</f>
        <v>Disponible Administración</v>
      </c>
      <c r="E301" s="396">
        <f>+F301</f>
        <v>10000</v>
      </c>
      <c r="F301" s="396">
        <v>10000</v>
      </c>
      <c r="G301" s="396">
        <v>0</v>
      </c>
      <c r="H301" s="347" t="s">
        <v>885</v>
      </c>
      <c r="I301" s="347" t="s">
        <v>296</v>
      </c>
      <c r="K301" s="370"/>
      <c r="N301" s="370"/>
    </row>
    <row r="302" spans="1:14" s="347" customFormat="1" x14ac:dyDescent="0.25">
      <c r="A302" s="369">
        <v>44228</v>
      </c>
      <c r="B302" s="347">
        <v>2</v>
      </c>
      <c r="C302" s="347">
        <v>3110</v>
      </c>
      <c r="D302" s="340" t="str">
        <f>VLOOKUP(C302,Plan!A$1:B$65542,2,0)</f>
        <v>Colectas Normales</v>
      </c>
      <c r="E302" s="396">
        <f>-G302</f>
        <v>-10000</v>
      </c>
      <c r="F302" s="396">
        <v>0</v>
      </c>
      <c r="G302" s="396">
        <v>10000</v>
      </c>
      <c r="H302" s="347" t="s">
        <v>885</v>
      </c>
      <c r="I302" s="347" t="s">
        <v>296</v>
      </c>
      <c r="K302" s="370"/>
      <c r="N302" s="370"/>
    </row>
    <row r="303" spans="1:14" s="347" customFormat="1" x14ac:dyDescent="0.25">
      <c r="A303" s="369"/>
      <c r="E303" s="396"/>
      <c r="F303" s="396"/>
      <c r="G303" s="396"/>
      <c r="K303" s="370"/>
      <c r="N303" s="370"/>
    </row>
    <row r="304" spans="1:14" s="347" customFormat="1" x14ac:dyDescent="0.25">
      <c r="A304" s="369">
        <v>44228</v>
      </c>
      <c r="B304" s="347">
        <v>2</v>
      </c>
      <c r="C304" s="347">
        <v>110</v>
      </c>
      <c r="D304" s="340" t="str">
        <f>VLOOKUP(C304,Plan!A$1:B$65542,2,0)</f>
        <v>Disponible Administración</v>
      </c>
      <c r="E304" s="396">
        <f>+F304</f>
        <v>100000</v>
      </c>
      <c r="F304" s="396">
        <v>100000</v>
      </c>
      <c r="G304" s="396">
        <v>0</v>
      </c>
      <c r="H304" s="347" t="s">
        <v>891</v>
      </c>
      <c r="I304" s="347" t="s">
        <v>296</v>
      </c>
      <c r="K304" s="370"/>
      <c r="N304" s="370"/>
    </row>
    <row r="305" spans="1:14" s="347" customFormat="1" x14ac:dyDescent="0.25">
      <c r="A305" s="369">
        <v>44228</v>
      </c>
      <c r="B305" s="347">
        <v>2</v>
      </c>
      <c r="C305" s="338">
        <v>215</v>
      </c>
      <c r="D305" s="340" t="str">
        <f>VLOOKUP(C305,Plan!A$1:B$65542,2,0)</f>
        <v>Cuenta por Pagar a Cali</v>
      </c>
      <c r="E305" s="396">
        <f>-G305</f>
        <v>-100000</v>
      </c>
      <c r="F305" s="396">
        <v>0</v>
      </c>
      <c r="G305" s="396">
        <v>100000</v>
      </c>
      <c r="H305" s="347" t="s">
        <v>891</v>
      </c>
      <c r="I305" s="347" t="s">
        <v>296</v>
      </c>
      <c r="K305" s="370"/>
      <c r="N305" s="370"/>
    </row>
    <row r="306" spans="1:14" s="347" customFormat="1" x14ac:dyDescent="0.25">
      <c r="A306" s="369"/>
      <c r="E306" s="396"/>
      <c r="F306" s="396"/>
      <c r="G306" s="396"/>
      <c r="K306" s="370"/>
      <c r="N306" s="370"/>
    </row>
    <row r="307" spans="1:14" s="347" customFormat="1" x14ac:dyDescent="0.25">
      <c r="A307" s="369">
        <v>44228</v>
      </c>
      <c r="B307" s="347">
        <v>2</v>
      </c>
      <c r="C307" s="347">
        <v>110</v>
      </c>
      <c r="D307" s="340" t="str">
        <f>VLOOKUP(C307,Plan!A$1:B$65542,2,0)</f>
        <v>Disponible Administración</v>
      </c>
      <c r="E307" s="396">
        <f>+F307</f>
        <v>8000</v>
      </c>
      <c r="F307" s="396">
        <v>8000</v>
      </c>
      <c r="G307" s="396">
        <v>0</v>
      </c>
      <c r="H307" s="347" t="s">
        <v>886</v>
      </c>
      <c r="I307" s="347" t="s">
        <v>296</v>
      </c>
      <c r="K307" s="370"/>
      <c r="N307" s="370"/>
    </row>
    <row r="308" spans="1:14" s="347" customFormat="1" x14ac:dyDescent="0.25">
      <c r="A308" s="369">
        <v>44228</v>
      </c>
      <c r="B308" s="347">
        <v>2</v>
      </c>
      <c r="C308" s="347">
        <v>3110</v>
      </c>
      <c r="D308" s="340" t="str">
        <f>VLOOKUP(C308,Plan!A$1:B$65542,2,0)</f>
        <v>Colectas Normales</v>
      </c>
      <c r="E308" s="396">
        <f>-G308</f>
        <v>-8000</v>
      </c>
      <c r="F308" s="396">
        <v>0</v>
      </c>
      <c r="G308" s="396">
        <v>8000</v>
      </c>
      <c r="H308" s="347" t="s">
        <v>886</v>
      </c>
      <c r="I308" s="347" t="s">
        <v>296</v>
      </c>
      <c r="K308" s="370"/>
      <c r="N308" s="370"/>
    </row>
    <row r="309" spans="1:14" s="347" customFormat="1" x14ac:dyDescent="0.25">
      <c r="A309" s="369"/>
      <c r="E309" s="396"/>
      <c r="F309" s="396"/>
      <c r="G309" s="396"/>
      <c r="K309" s="370"/>
      <c r="N309" s="370"/>
    </row>
    <row r="310" spans="1:14" s="347" customFormat="1" x14ac:dyDescent="0.25">
      <c r="A310" s="369">
        <v>44228</v>
      </c>
      <c r="B310" s="347">
        <v>2</v>
      </c>
      <c r="C310" s="347">
        <v>110</v>
      </c>
      <c r="D310" s="340" t="str">
        <f>VLOOKUP(C310,Plan!A$1:B$65542,2,0)</f>
        <v>Disponible Administración</v>
      </c>
      <c r="E310" s="396">
        <f>+F310</f>
        <v>100000</v>
      </c>
      <c r="F310" s="396">
        <v>100000</v>
      </c>
      <c r="G310" s="396">
        <v>0</v>
      </c>
      <c r="H310" s="347" t="s">
        <v>887</v>
      </c>
      <c r="I310" s="347" t="s">
        <v>296</v>
      </c>
      <c r="K310" s="370"/>
      <c r="N310" s="370"/>
    </row>
    <row r="311" spans="1:14" s="347" customFormat="1" x14ac:dyDescent="0.25">
      <c r="A311" s="369">
        <v>44228</v>
      </c>
      <c r="B311" s="347">
        <v>2</v>
      </c>
      <c r="C311" s="347">
        <v>3110</v>
      </c>
      <c r="D311" s="340" t="str">
        <f>VLOOKUP(C311,Plan!A$1:B$65542,2,0)</f>
        <v>Colectas Normales</v>
      </c>
      <c r="E311" s="396">
        <f>-G311</f>
        <v>-100000</v>
      </c>
      <c r="F311" s="396">
        <v>0</v>
      </c>
      <c r="G311" s="396">
        <v>100000</v>
      </c>
      <c r="H311" s="347" t="s">
        <v>887</v>
      </c>
      <c r="I311" s="347" t="s">
        <v>296</v>
      </c>
      <c r="K311" s="370"/>
      <c r="N311" s="370"/>
    </row>
    <row r="312" spans="1:14" s="347" customFormat="1" x14ac:dyDescent="0.25">
      <c r="A312" s="369"/>
      <c r="E312" s="396"/>
      <c r="F312" s="396"/>
      <c r="G312" s="396"/>
      <c r="K312" s="370"/>
      <c r="N312" s="370"/>
    </row>
    <row r="313" spans="1:14" s="347" customFormat="1" x14ac:dyDescent="0.25">
      <c r="A313" s="369">
        <v>44228</v>
      </c>
      <c r="B313" s="347">
        <v>2</v>
      </c>
      <c r="C313" s="347">
        <v>110</v>
      </c>
      <c r="D313" s="340" t="str">
        <f>VLOOKUP(C313,Plan!A$1:B$65542,2,0)</f>
        <v>Disponible Administración</v>
      </c>
      <c r="E313" s="396">
        <f>+F313</f>
        <v>15000</v>
      </c>
      <c r="F313" s="396">
        <v>15000</v>
      </c>
      <c r="G313" s="396">
        <v>0</v>
      </c>
      <c r="H313" s="347" t="s">
        <v>888</v>
      </c>
      <c r="I313" s="347" t="s">
        <v>296</v>
      </c>
      <c r="K313" s="370"/>
      <c r="N313" s="370"/>
    </row>
    <row r="314" spans="1:14" s="347" customFormat="1" x14ac:dyDescent="0.25">
      <c r="A314" s="369">
        <v>44228</v>
      </c>
      <c r="B314" s="347">
        <v>2</v>
      </c>
      <c r="C314" s="347">
        <v>3110</v>
      </c>
      <c r="D314" s="340" t="str">
        <f>VLOOKUP(C314,Plan!A$1:B$65542,2,0)</f>
        <v>Colectas Normales</v>
      </c>
      <c r="E314" s="396">
        <f>-G314</f>
        <v>-15000</v>
      </c>
      <c r="F314" s="396">
        <v>0</v>
      </c>
      <c r="G314" s="396">
        <v>15000</v>
      </c>
      <c r="H314" s="347" t="s">
        <v>888</v>
      </c>
      <c r="I314" s="347" t="s">
        <v>296</v>
      </c>
      <c r="K314" s="370"/>
      <c r="N314" s="370"/>
    </row>
    <row r="315" spans="1:14" s="347" customFormat="1" x14ac:dyDescent="0.25">
      <c r="A315" s="369"/>
      <c r="E315" s="396"/>
      <c r="F315" s="396"/>
      <c r="G315" s="396"/>
      <c r="K315" s="370"/>
      <c r="N315" s="370"/>
    </row>
    <row r="316" spans="1:14" s="347" customFormat="1" x14ac:dyDescent="0.25">
      <c r="A316" s="369">
        <v>44228</v>
      </c>
      <c r="B316" s="347">
        <v>2</v>
      </c>
      <c r="C316" s="347">
        <v>110</v>
      </c>
      <c r="D316" s="340" t="str">
        <f>VLOOKUP(C316,Plan!A$1:B$65542,2,0)</f>
        <v>Disponible Administración</v>
      </c>
      <c r="E316" s="396">
        <f>+F316</f>
        <v>12000</v>
      </c>
      <c r="F316" s="396">
        <v>12000</v>
      </c>
      <c r="G316" s="396">
        <v>0</v>
      </c>
      <c r="H316" s="347" t="s">
        <v>889</v>
      </c>
      <c r="I316" s="347" t="s">
        <v>296</v>
      </c>
      <c r="K316" s="370"/>
      <c r="N316" s="370"/>
    </row>
    <row r="317" spans="1:14" s="347" customFormat="1" x14ac:dyDescent="0.25">
      <c r="A317" s="369">
        <v>44228</v>
      </c>
      <c r="B317" s="347">
        <v>2</v>
      </c>
      <c r="C317" s="347">
        <v>3110</v>
      </c>
      <c r="D317" s="340" t="str">
        <f>VLOOKUP(C317,Plan!A$1:B$65542,2,0)</f>
        <v>Colectas Normales</v>
      </c>
      <c r="E317" s="396">
        <f>-G317</f>
        <v>-12000</v>
      </c>
      <c r="F317" s="396">
        <v>0</v>
      </c>
      <c r="G317" s="396">
        <v>12000</v>
      </c>
      <c r="H317" s="347" t="s">
        <v>889</v>
      </c>
      <c r="I317" s="347" t="s">
        <v>296</v>
      </c>
      <c r="K317" s="370"/>
      <c r="N317" s="370"/>
    </row>
    <row r="318" spans="1:14" s="347" customFormat="1" x14ac:dyDescent="0.25">
      <c r="A318" s="369"/>
      <c r="E318" s="396"/>
      <c r="F318" s="396"/>
      <c r="G318" s="396"/>
      <c r="K318" s="370"/>
      <c r="N318" s="370"/>
    </row>
    <row r="319" spans="1:14" s="347" customFormat="1" x14ac:dyDescent="0.25">
      <c r="A319" s="369">
        <v>44228</v>
      </c>
      <c r="B319" s="347">
        <v>2</v>
      </c>
      <c r="C319" s="347">
        <v>110</v>
      </c>
      <c r="D319" s="340" t="str">
        <f>VLOOKUP(C319,Plan!A$1:B$65542,2,0)</f>
        <v>Disponible Administración</v>
      </c>
      <c r="E319" s="396">
        <f>+F319</f>
        <v>2000</v>
      </c>
      <c r="F319" s="396">
        <v>2000</v>
      </c>
      <c r="G319" s="396">
        <v>0</v>
      </c>
      <c r="H319" s="347" t="s">
        <v>889</v>
      </c>
      <c r="I319" s="347" t="s">
        <v>296</v>
      </c>
      <c r="K319" s="370"/>
      <c r="N319" s="370"/>
    </row>
    <row r="320" spans="1:14" s="347" customFormat="1" x14ac:dyDescent="0.25">
      <c r="A320" s="369">
        <v>44228</v>
      </c>
      <c r="B320" s="347">
        <v>2</v>
      </c>
      <c r="C320" s="338">
        <v>3110</v>
      </c>
      <c r="D320" s="340" t="str">
        <f>VLOOKUP(C320,Plan!A$1:B$65542,2,0)</f>
        <v>Colectas Normales</v>
      </c>
      <c r="E320" s="396">
        <f>-G320</f>
        <v>-2000</v>
      </c>
      <c r="F320" s="396">
        <v>0</v>
      </c>
      <c r="G320" s="396">
        <v>2000</v>
      </c>
      <c r="H320" s="347" t="s">
        <v>889</v>
      </c>
      <c r="I320" s="347" t="s">
        <v>296</v>
      </c>
      <c r="K320" s="370"/>
      <c r="N320" s="370"/>
    </row>
    <row r="321" spans="1:14" s="347" customFormat="1" x14ac:dyDescent="0.25">
      <c r="A321" s="369"/>
      <c r="E321" s="396"/>
      <c r="F321" s="396"/>
      <c r="G321" s="396"/>
      <c r="K321" s="370"/>
      <c r="N321" s="370"/>
    </row>
    <row r="322" spans="1:14" s="347" customFormat="1" x14ac:dyDescent="0.25">
      <c r="A322" s="369">
        <v>44228</v>
      </c>
      <c r="B322" s="347">
        <v>2</v>
      </c>
      <c r="C322" s="347">
        <v>110</v>
      </c>
      <c r="D322" s="340" t="str">
        <f>VLOOKUP(C322,Plan!A$1:B$65542,2,0)</f>
        <v>Disponible Administración</v>
      </c>
      <c r="E322" s="396">
        <f>+F322</f>
        <v>29000</v>
      </c>
      <c r="F322" s="396">
        <v>29000</v>
      </c>
      <c r="G322" s="396">
        <v>0</v>
      </c>
      <c r="H322" t="s">
        <v>890</v>
      </c>
      <c r="I322" s="347" t="s">
        <v>296</v>
      </c>
      <c r="K322" s="370"/>
      <c r="N322" s="370"/>
    </row>
    <row r="323" spans="1:14" s="347" customFormat="1" x14ac:dyDescent="0.25">
      <c r="A323" s="369">
        <v>44228</v>
      </c>
      <c r="B323" s="347">
        <v>2</v>
      </c>
      <c r="C323" s="347">
        <v>3110</v>
      </c>
      <c r="D323" s="340" t="str">
        <f>VLOOKUP(C323,Plan!A$1:B$65542,2,0)</f>
        <v>Colectas Normales</v>
      </c>
      <c r="E323" s="396">
        <f>-G323</f>
        <v>-29000</v>
      </c>
      <c r="F323" s="396">
        <v>0</v>
      </c>
      <c r="G323" s="396">
        <v>29000</v>
      </c>
      <c r="H323" t="s">
        <v>890</v>
      </c>
      <c r="I323" s="347" t="s">
        <v>296</v>
      </c>
      <c r="K323" s="370"/>
      <c r="N323" s="370"/>
    </row>
    <row r="324" spans="1:14" s="347" customFormat="1" x14ac:dyDescent="0.25">
      <c r="A324" s="369"/>
      <c r="E324" s="396"/>
      <c r="F324" s="396"/>
      <c r="G324" s="396"/>
      <c r="K324" s="370"/>
      <c r="N324" s="370"/>
    </row>
    <row r="325" spans="1:14" s="347" customFormat="1" x14ac:dyDescent="0.25">
      <c r="A325" s="369">
        <v>44229</v>
      </c>
      <c r="B325" s="347">
        <v>2</v>
      </c>
      <c r="C325" s="347">
        <v>110</v>
      </c>
      <c r="D325" s="340" t="str">
        <f>VLOOKUP(C325,Plan!A$1:B$65542,2,0)</f>
        <v>Disponible Administración</v>
      </c>
      <c r="E325" s="396">
        <f>+F325</f>
        <v>50000</v>
      </c>
      <c r="F325" s="396">
        <v>50000</v>
      </c>
      <c r="G325" s="396">
        <v>0</v>
      </c>
      <c r="H325" s="347" t="s">
        <v>1814</v>
      </c>
      <c r="I325" s="347" t="s">
        <v>296</v>
      </c>
      <c r="K325" s="370"/>
      <c r="N325" s="370"/>
    </row>
    <row r="326" spans="1:14" s="347" customFormat="1" x14ac:dyDescent="0.25">
      <c r="A326" s="369">
        <v>44229</v>
      </c>
      <c r="B326" s="347">
        <v>2</v>
      </c>
      <c r="C326" s="338">
        <v>3340</v>
      </c>
      <c r="D326" s="340" t="str">
        <f>VLOOKUP(C326,Plan!A$1:B$65542,2,0)</f>
        <v>Misas</v>
      </c>
      <c r="E326" s="396">
        <f>-G326</f>
        <v>-50000</v>
      </c>
      <c r="F326" s="396">
        <v>0</v>
      </c>
      <c r="G326" s="396">
        <v>50000</v>
      </c>
      <c r="H326" s="347" t="s">
        <v>1814</v>
      </c>
      <c r="I326" s="347" t="s">
        <v>296</v>
      </c>
      <c r="K326" s="370"/>
      <c r="N326" s="370"/>
    </row>
    <row r="327" spans="1:14" s="347" customFormat="1" x14ac:dyDescent="0.25">
      <c r="A327" s="369"/>
      <c r="E327" s="396"/>
      <c r="F327" s="396"/>
      <c r="G327" s="396"/>
      <c r="K327" s="370"/>
      <c r="N327" s="370"/>
    </row>
    <row r="328" spans="1:14" s="347" customFormat="1" x14ac:dyDescent="0.25">
      <c r="A328" s="369">
        <v>44229</v>
      </c>
      <c r="B328" s="347">
        <v>2</v>
      </c>
      <c r="C328" s="347">
        <v>110</v>
      </c>
      <c r="D328" s="340" t="str">
        <f>VLOOKUP(C328,Plan!A$1:B$65542,2,0)</f>
        <v>Disponible Administración</v>
      </c>
      <c r="E328" s="396">
        <f>+F328</f>
        <v>10000</v>
      </c>
      <c r="F328" s="396">
        <v>10000</v>
      </c>
      <c r="G328" s="396">
        <v>0</v>
      </c>
      <c r="H328" s="347" t="s">
        <v>1114</v>
      </c>
      <c r="I328" s="347" t="s">
        <v>296</v>
      </c>
      <c r="K328" s="370"/>
      <c r="N328" s="370"/>
    </row>
    <row r="329" spans="1:14" s="347" customFormat="1" x14ac:dyDescent="0.25">
      <c r="A329" s="369">
        <v>44229</v>
      </c>
      <c r="B329" s="347">
        <v>2</v>
      </c>
      <c r="C329" s="338">
        <v>3340</v>
      </c>
      <c r="D329" s="340" t="str">
        <f>VLOOKUP(C329,Plan!A$1:B$65542,2,0)</f>
        <v>Misas</v>
      </c>
      <c r="E329" s="396">
        <f>-G329</f>
        <v>-10000</v>
      </c>
      <c r="F329" s="396">
        <v>0</v>
      </c>
      <c r="G329" s="396">
        <v>10000</v>
      </c>
      <c r="H329" s="347" t="s">
        <v>1114</v>
      </c>
      <c r="I329" s="347" t="s">
        <v>296</v>
      </c>
      <c r="K329" s="370"/>
      <c r="N329" s="370"/>
    </row>
    <row r="330" spans="1:14" s="347" customFormat="1" x14ac:dyDescent="0.25">
      <c r="A330" s="369"/>
      <c r="E330" s="396"/>
      <c r="F330" s="396"/>
      <c r="G330" s="396"/>
      <c r="K330" s="370"/>
      <c r="N330" s="370"/>
    </row>
    <row r="331" spans="1:14" s="347" customFormat="1" x14ac:dyDescent="0.25">
      <c r="A331" s="369">
        <v>44229</v>
      </c>
      <c r="B331" s="347">
        <v>2</v>
      </c>
      <c r="C331" s="347">
        <v>110</v>
      </c>
      <c r="D331" s="340" t="str">
        <f>VLOOKUP(C331,Plan!A$1:B$65542,2,0)</f>
        <v>Disponible Administración</v>
      </c>
      <c r="E331" s="396">
        <f>+F331</f>
        <v>70000</v>
      </c>
      <c r="F331" s="396">
        <v>70000</v>
      </c>
      <c r="G331" s="396">
        <v>0</v>
      </c>
      <c r="H331" s="347" t="s">
        <v>892</v>
      </c>
      <c r="I331" s="347" t="s">
        <v>296</v>
      </c>
      <c r="K331" s="370"/>
      <c r="N331" s="370"/>
    </row>
    <row r="332" spans="1:14" s="347" customFormat="1" x14ac:dyDescent="0.25">
      <c r="A332" s="369">
        <v>44229</v>
      </c>
      <c r="B332" s="347">
        <v>2</v>
      </c>
      <c r="C332" s="347">
        <v>3110</v>
      </c>
      <c r="D332" s="340" t="str">
        <f>VLOOKUP(C332,Plan!A$1:B$65542,2,0)</f>
        <v>Colectas Normales</v>
      </c>
      <c r="E332" s="396">
        <f>-G332</f>
        <v>-70000</v>
      </c>
      <c r="F332" s="396">
        <v>0</v>
      </c>
      <c r="G332" s="396">
        <v>70000</v>
      </c>
      <c r="H332" s="347" t="s">
        <v>892</v>
      </c>
      <c r="I332" s="347" t="s">
        <v>296</v>
      </c>
      <c r="K332" s="370"/>
      <c r="N332" s="370"/>
    </row>
    <row r="333" spans="1:14" s="347" customFormat="1" x14ac:dyDescent="0.25">
      <c r="A333" s="369"/>
      <c r="E333" s="396"/>
      <c r="F333" s="396"/>
      <c r="G333" s="396"/>
      <c r="K333" s="370"/>
      <c r="N333" s="370"/>
    </row>
    <row r="334" spans="1:14" s="347" customFormat="1" x14ac:dyDescent="0.25">
      <c r="A334" s="369">
        <v>44229</v>
      </c>
      <c r="B334" s="347">
        <v>2</v>
      </c>
      <c r="C334" s="347">
        <v>110</v>
      </c>
      <c r="D334" s="340" t="str">
        <f>VLOOKUP(C334,Plan!A$1:B$65542,2,0)</f>
        <v>Disponible Administración</v>
      </c>
      <c r="E334" s="396">
        <f>+F334</f>
        <v>100000</v>
      </c>
      <c r="F334" s="396">
        <v>100000</v>
      </c>
      <c r="G334" s="396">
        <v>0</v>
      </c>
      <c r="H334" s="347" t="s">
        <v>1424</v>
      </c>
      <c r="I334" s="347" t="s">
        <v>296</v>
      </c>
      <c r="K334" s="370"/>
      <c r="N334" s="370"/>
    </row>
    <row r="335" spans="1:14" s="347" customFormat="1" x14ac:dyDescent="0.25">
      <c r="A335" s="369">
        <v>44229</v>
      </c>
      <c r="B335" s="347">
        <v>2</v>
      </c>
      <c r="C335" s="338">
        <v>3450</v>
      </c>
      <c r="D335" s="340" t="str">
        <f>VLOOKUP(C335,Plan!A$1:B$65542,2,0)</f>
        <v>Pastoral Social</v>
      </c>
      <c r="E335" s="396">
        <f>-G335</f>
        <v>-100000</v>
      </c>
      <c r="F335" s="396">
        <v>0</v>
      </c>
      <c r="G335" s="396">
        <v>100000</v>
      </c>
      <c r="H335" s="347" t="s">
        <v>1424</v>
      </c>
      <c r="I335" s="347" t="s">
        <v>296</v>
      </c>
      <c r="K335" s="370"/>
      <c r="N335" s="370"/>
    </row>
    <row r="336" spans="1:14" s="347" customFormat="1" x14ac:dyDescent="0.25">
      <c r="A336" s="369"/>
      <c r="E336" s="396"/>
      <c r="F336" s="396"/>
      <c r="G336" s="396"/>
      <c r="K336" s="370"/>
      <c r="N336" s="370"/>
    </row>
    <row r="337" spans="1:14" s="347" customFormat="1" x14ac:dyDescent="0.25">
      <c r="A337" s="369">
        <v>44229</v>
      </c>
      <c r="B337" s="347">
        <v>2</v>
      </c>
      <c r="C337" s="347">
        <v>110</v>
      </c>
      <c r="D337" s="340" t="str">
        <f>VLOOKUP(C337,Plan!A$1:B$65542,2,0)</f>
        <v>Disponible Administración</v>
      </c>
      <c r="E337" s="396">
        <f>+F337</f>
        <v>5000</v>
      </c>
      <c r="F337" s="396">
        <v>5000</v>
      </c>
      <c r="G337" s="396">
        <v>0</v>
      </c>
      <c r="H337" s="347" t="s">
        <v>893</v>
      </c>
      <c r="I337" s="347" t="s">
        <v>296</v>
      </c>
      <c r="K337" s="370"/>
      <c r="N337" s="370"/>
    </row>
    <row r="338" spans="1:14" s="347" customFormat="1" x14ac:dyDescent="0.25">
      <c r="A338" s="369">
        <v>44229</v>
      </c>
      <c r="B338" s="347">
        <v>2</v>
      </c>
      <c r="C338" s="347">
        <v>3110</v>
      </c>
      <c r="D338" s="340" t="str">
        <f>VLOOKUP(C338,Plan!A$1:B$65542,2,0)</f>
        <v>Colectas Normales</v>
      </c>
      <c r="E338" s="396">
        <f>-G338</f>
        <v>-5000</v>
      </c>
      <c r="F338" s="396">
        <v>0</v>
      </c>
      <c r="G338" s="396">
        <v>5000</v>
      </c>
      <c r="H338" s="347" t="s">
        <v>893</v>
      </c>
      <c r="I338" s="347" t="s">
        <v>296</v>
      </c>
      <c r="K338" s="370"/>
      <c r="N338" s="370"/>
    </row>
    <row r="339" spans="1:14" s="347" customFormat="1" x14ac:dyDescent="0.25">
      <c r="A339" s="369"/>
      <c r="E339" s="396"/>
      <c r="F339" s="396"/>
      <c r="G339" s="396"/>
      <c r="K339" s="370"/>
      <c r="N339" s="370"/>
    </row>
    <row r="340" spans="1:14" s="347" customFormat="1" x14ac:dyDescent="0.25">
      <c r="A340" s="369">
        <v>44229</v>
      </c>
      <c r="B340" s="347">
        <v>2</v>
      </c>
      <c r="C340" s="347">
        <v>110</v>
      </c>
      <c r="D340" s="340" t="str">
        <f>VLOOKUP(C340,Plan!A$1:B$65542,2,0)</f>
        <v>Disponible Administración</v>
      </c>
      <c r="E340" s="396">
        <f>+F340</f>
        <v>40000</v>
      </c>
      <c r="F340" s="396">
        <v>40000</v>
      </c>
      <c r="G340" s="396">
        <v>0</v>
      </c>
      <c r="H340" s="347" t="s">
        <v>894</v>
      </c>
      <c r="I340" s="347" t="s">
        <v>296</v>
      </c>
      <c r="K340" s="370"/>
      <c r="N340" s="370"/>
    </row>
    <row r="341" spans="1:14" s="347" customFormat="1" x14ac:dyDescent="0.25">
      <c r="A341" s="369">
        <v>44229</v>
      </c>
      <c r="B341" s="347">
        <v>2</v>
      </c>
      <c r="C341" s="347">
        <v>3110</v>
      </c>
      <c r="D341" s="340" t="str">
        <f>VLOOKUP(C341,Plan!A$1:B$65542,2,0)</f>
        <v>Colectas Normales</v>
      </c>
      <c r="E341" s="396">
        <f>-G341</f>
        <v>-40000</v>
      </c>
      <c r="F341" s="396">
        <v>0</v>
      </c>
      <c r="G341" s="396">
        <v>40000</v>
      </c>
      <c r="H341" s="347" t="s">
        <v>894</v>
      </c>
      <c r="I341" s="347" t="s">
        <v>296</v>
      </c>
      <c r="K341" s="370"/>
      <c r="N341" s="370"/>
    </row>
    <row r="342" spans="1:14" s="347" customFormat="1" x14ac:dyDescent="0.25">
      <c r="A342" s="369"/>
      <c r="E342" s="396"/>
      <c r="F342" s="396"/>
      <c r="G342" s="396"/>
      <c r="K342" s="370"/>
      <c r="N342" s="370"/>
    </row>
    <row r="343" spans="1:14" s="347" customFormat="1" x14ac:dyDescent="0.25">
      <c r="A343" s="369">
        <v>44229</v>
      </c>
      <c r="B343" s="347">
        <v>2</v>
      </c>
      <c r="C343" s="347">
        <v>110</v>
      </c>
      <c r="D343" s="340" t="str">
        <f>VLOOKUP(C343,Plan!A$1:B$65542,2,0)</f>
        <v>Disponible Administración</v>
      </c>
      <c r="E343" s="396">
        <f>+F343</f>
        <v>20000</v>
      </c>
      <c r="F343" s="396">
        <v>20000</v>
      </c>
      <c r="G343" s="396">
        <v>0</v>
      </c>
      <c r="H343" s="347" t="s">
        <v>895</v>
      </c>
      <c r="I343" s="347" t="s">
        <v>296</v>
      </c>
      <c r="K343" s="370"/>
      <c r="N343" s="370"/>
    </row>
    <row r="344" spans="1:14" s="347" customFormat="1" x14ac:dyDescent="0.25">
      <c r="A344" s="369">
        <v>44229</v>
      </c>
      <c r="B344" s="347">
        <v>2</v>
      </c>
      <c r="C344" s="347">
        <v>3110</v>
      </c>
      <c r="D344" s="340" t="str">
        <f>VLOOKUP(C344,Plan!A$1:B$65542,2,0)</f>
        <v>Colectas Normales</v>
      </c>
      <c r="E344" s="396">
        <f>-G344</f>
        <v>-20000</v>
      </c>
      <c r="F344" s="396">
        <v>0</v>
      </c>
      <c r="G344" s="396">
        <v>20000</v>
      </c>
      <c r="H344" s="347" t="s">
        <v>895</v>
      </c>
      <c r="I344" s="347" t="s">
        <v>296</v>
      </c>
      <c r="K344" s="370"/>
      <c r="N344" s="370"/>
    </row>
    <row r="345" spans="1:14" s="347" customFormat="1" x14ac:dyDescent="0.25">
      <c r="A345" s="369"/>
      <c r="E345" s="396"/>
      <c r="F345" s="396"/>
      <c r="G345" s="396"/>
      <c r="K345" s="370"/>
      <c r="N345" s="370"/>
    </row>
    <row r="346" spans="1:14" s="347" customFormat="1" x14ac:dyDescent="0.25">
      <c r="A346" s="369">
        <v>44229</v>
      </c>
      <c r="B346" s="347">
        <v>2</v>
      </c>
      <c r="C346" s="347">
        <v>110</v>
      </c>
      <c r="D346" s="340" t="str">
        <f>VLOOKUP(C346,Plan!A$1:B$65542,2,0)</f>
        <v>Disponible Administración</v>
      </c>
      <c r="E346" s="396">
        <f>+F346</f>
        <v>50000</v>
      </c>
      <c r="F346" s="396">
        <v>50000</v>
      </c>
      <c r="G346" s="396">
        <v>0</v>
      </c>
      <c r="H346" s="347" t="s">
        <v>896</v>
      </c>
      <c r="I346" s="347" t="s">
        <v>296</v>
      </c>
      <c r="K346" s="370"/>
      <c r="N346" s="370"/>
    </row>
    <row r="347" spans="1:14" s="347" customFormat="1" x14ac:dyDescent="0.25">
      <c r="A347" s="369">
        <v>44229</v>
      </c>
      <c r="B347" s="347">
        <v>2</v>
      </c>
      <c r="C347" s="347">
        <v>3110</v>
      </c>
      <c r="D347" s="340" t="str">
        <f>VLOOKUP(C347,Plan!A$1:B$65542,2,0)</f>
        <v>Colectas Normales</v>
      </c>
      <c r="E347" s="396">
        <f>-G347</f>
        <v>-50000</v>
      </c>
      <c r="F347" s="396">
        <v>0</v>
      </c>
      <c r="G347" s="396">
        <v>50000</v>
      </c>
      <c r="H347" s="347" t="s">
        <v>896</v>
      </c>
      <c r="I347" s="347" t="s">
        <v>296</v>
      </c>
      <c r="K347" s="370"/>
      <c r="N347" s="370"/>
    </row>
    <row r="348" spans="1:14" s="347" customFormat="1" x14ac:dyDescent="0.25">
      <c r="A348" s="369"/>
      <c r="E348" s="396"/>
      <c r="F348" s="396"/>
      <c r="G348" s="396"/>
      <c r="K348" s="370"/>
      <c r="N348" s="370"/>
    </row>
    <row r="349" spans="1:14" s="347" customFormat="1" x14ac:dyDescent="0.25">
      <c r="A349" s="369">
        <v>44229</v>
      </c>
      <c r="B349" s="347">
        <v>2</v>
      </c>
      <c r="C349" s="347">
        <v>110</v>
      </c>
      <c r="D349" s="340" t="str">
        <f>VLOOKUP(C349,Plan!A$1:B$65542,2,0)</f>
        <v>Disponible Administración</v>
      </c>
      <c r="E349" s="396">
        <f>+F349</f>
        <v>5886</v>
      </c>
      <c r="F349" s="396">
        <v>5886</v>
      </c>
      <c r="G349" s="396">
        <v>0</v>
      </c>
      <c r="H349" s="347" t="s">
        <v>897</v>
      </c>
      <c r="I349" s="347" t="s">
        <v>296</v>
      </c>
      <c r="K349" s="370"/>
      <c r="N349" s="370"/>
    </row>
    <row r="350" spans="1:14" s="347" customFormat="1" x14ac:dyDescent="0.25">
      <c r="A350" s="369">
        <v>44229</v>
      </c>
      <c r="B350" s="347">
        <v>2</v>
      </c>
      <c r="C350" s="347">
        <v>3110</v>
      </c>
      <c r="D350" s="340" t="str">
        <f>VLOOKUP(C350,Plan!A$1:B$65542,2,0)</f>
        <v>Colectas Normales</v>
      </c>
      <c r="E350" s="396">
        <f>-G350</f>
        <v>-5886</v>
      </c>
      <c r="F350" s="396">
        <v>0</v>
      </c>
      <c r="G350" s="396">
        <v>5886</v>
      </c>
      <c r="H350" s="347" t="s">
        <v>897</v>
      </c>
      <c r="I350" s="347" t="s">
        <v>296</v>
      </c>
      <c r="K350" s="370"/>
      <c r="N350" s="370"/>
    </row>
    <row r="351" spans="1:14" s="347" customFormat="1" x14ac:dyDescent="0.25">
      <c r="A351" s="369"/>
      <c r="E351" s="396"/>
      <c r="F351" s="396"/>
      <c r="G351" s="396"/>
      <c r="K351" s="370"/>
      <c r="N351" s="370"/>
    </row>
    <row r="352" spans="1:14" s="347" customFormat="1" x14ac:dyDescent="0.25">
      <c r="A352" s="369">
        <v>44229</v>
      </c>
      <c r="B352" s="347">
        <v>2</v>
      </c>
      <c r="C352" s="347">
        <v>110</v>
      </c>
      <c r="D352" s="340" t="str">
        <f>VLOOKUP(C352,Plan!A$1:B$65542,2,0)</f>
        <v>Disponible Administración</v>
      </c>
      <c r="E352" s="396">
        <f>+F352</f>
        <v>10000</v>
      </c>
      <c r="F352" s="396">
        <v>10000</v>
      </c>
      <c r="G352" s="396">
        <v>0</v>
      </c>
      <c r="H352" s="347" t="s">
        <v>898</v>
      </c>
      <c r="I352" s="347" t="s">
        <v>296</v>
      </c>
      <c r="K352" s="370"/>
      <c r="N352" s="370"/>
    </row>
    <row r="353" spans="1:14" s="347" customFormat="1" x14ac:dyDescent="0.25">
      <c r="A353" s="369">
        <v>44229</v>
      </c>
      <c r="B353" s="347">
        <v>2</v>
      </c>
      <c r="C353" s="347">
        <v>3110</v>
      </c>
      <c r="D353" s="340" t="str">
        <f>VLOOKUP(C353,Plan!A$1:B$65542,2,0)</f>
        <v>Colectas Normales</v>
      </c>
      <c r="E353" s="396">
        <f>-G353</f>
        <v>-10000</v>
      </c>
      <c r="F353" s="396">
        <v>0</v>
      </c>
      <c r="G353" s="396">
        <v>10000</v>
      </c>
      <c r="H353" s="347" t="s">
        <v>898</v>
      </c>
      <c r="I353" s="347" t="s">
        <v>296</v>
      </c>
      <c r="K353" s="370"/>
      <c r="N353" s="370"/>
    </row>
    <row r="354" spans="1:14" s="347" customFormat="1" x14ac:dyDescent="0.25">
      <c r="A354" s="369"/>
      <c r="E354" s="396"/>
      <c r="F354" s="396"/>
      <c r="G354" s="396"/>
      <c r="K354" s="370"/>
      <c r="N354" s="370"/>
    </row>
    <row r="355" spans="1:14" s="347" customFormat="1" x14ac:dyDescent="0.25">
      <c r="A355" s="369">
        <v>44229</v>
      </c>
      <c r="B355" s="347">
        <v>2</v>
      </c>
      <c r="C355" s="347">
        <v>110</v>
      </c>
      <c r="D355" s="340" t="str">
        <f>VLOOKUP(C355,Plan!A$1:B$65542,2,0)</f>
        <v>Disponible Administración</v>
      </c>
      <c r="E355" s="396">
        <f>+F355</f>
        <v>10000</v>
      </c>
      <c r="F355" s="396">
        <v>10000</v>
      </c>
      <c r="G355" s="396">
        <v>0</v>
      </c>
      <c r="H355" s="347" t="s">
        <v>899</v>
      </c>
      <c r="I355" s="347" t="s">
        <v>296</v>
      </c>
      <c r="K355" s="370"/>
      <c r="N355" s="370"/>
    </row>
    <row r="356" spans="1:14" s="347" customFormat="1" x14ac:dyDescent="0.25">
      <c r="A356" s="369">
        <v>44229</v>
      </c>
      <c r="B356" s="347">
        <v>2</v>
      </c>
      <c r="C356" s="347">
        <v>3110</v>
      </c>
      <c r="D356" s="340" t="str">
        <f>VLOOKUP(C356,Plan!A$1:B$65542,2,0)</f>
        <v>Colectas Normales</v>
      </c>
      <c r="E356" s="396">
        <f>-G356</f>
        <v>-10000</v>
      </c>
      <c r="F356" s="396">
        <v>0</v>
      </c>
      <c r="G356" s="396">
        <v>10000</v>
      </c>
      <c r="H356" s="347" t="s">
        <v>899</v>
      </c>
      <c r="I356" s="347" t="s">
        <v>296</v>
      </c>
      <c r="K356" s="370"/>
      <c r="N356" s="370"/>
    </row>
    <row r="357" spans="1:14" s="347" customFormat="1" x14ac:dyDescent="0.25">
      <c r="A357" s="369"/>
      <c r="E357" s="396"/>
      <c r="F357" s="396"/>
      <c r="G357" s="396"/>
      <c r="K357" s="370"/>
      <c r="N357" s="370"/>
    </row>
    <row r="358" spans="1:14" s="347" customFormat="1" x14ac:dyDescent="0.25">
      <c r="A358" s="369">
        <v>44229</v>
      </c>
      <c r="B358" s="347">
        <v>2</v>
      </c>
      <c r="C358" s="347">
        <v>110</v>
      </c>
      <c r="D358" s="340" t="str">
        <f>VLOOKUP(C358,Plan!A$1:B$65542,2,0)</f>
        <v>Disponible Administración</v>
      </c>
      <c r="E358" s="396">
        <f>+F358</f>
        <v>10000</v>
      </c>
      <c r="F358" s="396">
        <v>10000</v>
      </c>
      <c r="G358" s="396">
        <v>0</v>
      </c>
      <c r="H358" s="347" t="s">
        <v>900</v>
      </c>
      <c r="I358" s="347" t="s">
        <v>296</v>
      </c>
      <c r="K358" s="370"/>
      <c r="N358" s="370"/>
    </row>
    <row r="359" spans="1:14" s="347" customFormat="1" x14ac:dyDescent="0.25">
      <c r="A359" s="369">
        <v>44229</v>
      </c>
      <c r="B359" s="347">
        <v>2</v>
      </c>
      <c r="C359" s="347">
        <v>3110</v>
      </c>
      <c r="D359" s="340" t="str">
        <f>VLOOKUP(C359,Plan!A$1:B$65542,2,0)</f>
        <v>Colectas Normales</v>
      </c>
      <c r="E359" s="396">
        <f>-G359</f>
        <v>-10000</v>
      </c>
      <c r="F359" s="396">
        <v>0</v>
      </c>
      <c r="G359" s="396">
        <v>10000</v>
      </c>
      <c r="H359" s="347" t="s">
        <v>900</v>
      </c>
      <c r="I359" s="347" t="s">
        <v>296</v>
      </c>
      <c r="K359" s="370"/>
      <c r="N359" s="370"/>
    </row>
    <row r="360" spans="1:14" s="347" customFormat="1" x14ac:dyDescent="0.25">
      <c r="A360" s="369"/>
      <c r="E360" s="396"/>
      <c r="F360" s="396"/>
      <c r="G360" s="396"/>
      <c r="K360" s="370"/>
      <c r="N360" s="370"/>
    </row>
    <row r="361" spans="1:14" s="347" customFormat="1" x14ac:dyDescent="0.25">
      <c r="A361" s="369">
        <v>44229</v>
      </c>
      <c r="B361" s="347">
        <v>2</v>
      </c>
      <c r="C361" s="347">
        <v>110</v>
      </c>
      <c r="D361" s="340" t="str">
        <f>VLOOKUP(C361,Plan!A$1:B$65542,2,0)</f>
        <v>Disponible Administración</v>
      </c>
      <c r="E361" s="396">
        <f>+F361</f>
        <v>10000</v>
      </c>
      <c r="F361" s="396">
        <v>10000</v>
      </c>
      <c r="G361" s="396">
        <v>0</v>
      </c>
      <c r="H361" s="347" t="s">
        <v>901</v>
      </c>
      <c r="I361" s="347" t="s">
        <v>296</v>
      </c>
      <c r="K361" s="370"/>
      <c r="N361" s="370"/>
    </row>
    <row r="362" spans="1:14" s="347" customFormat="1" x14ac:dyDescent="0.25">
      <c r="A362" s="369">
        <v>44229</v>
      </c>
      <c r="B362" s="347">
        <v>2</v>
      </c>
      <c r="C362" s="347">
        <v>3110</v>
      </c>
      <c r="D362" s="340" t="str">
        <f>VLOOKUP(C362,Plan!A$1:B$65542,2,0)</f>
        <v>Colectas Normales</v>
      </c>
      <c r="E362" s="396">
        <f>-G362</f>
        <v>-10000</v>
      </c>
      <c r="F362" s="396">
        <v>0</v>
      </c>
      <c r="G362" s="396">
        <v>10000</v>
      </c>
      <c r="H362" s="347" t="s">
        <v>901</v>
      </c>
      <c r="I362" s="347" t="s">
        <v>296</v>
      </c>
      <c r="K362" s="370"/>
      <c r="N362" s="370"/>
    </row>
    <row r="363" spans="1:14" s="347" customFormat="1" x14ac:dyDescent="0.25">
      <c r="A363" s="369"/>
      <c r="E363" s="396"/>
      <c r="F363" s="396"/>
      <c r="G363" s="396"/>
      <c r="K363" s="370"/>
      <c r="N363" s="370"/>
    </row>
    <row r="364" spans="1:14" s="347" customFormat="1" x14ac:dyDescent="0.25">
      <c r="A364" s="369">
        <v>44230</v>
      </c>
      <c r="B364" s="347">
        <v>2</v>
      </c>
      <c r="C364" s="347">
        <v>4322</v>
      </c>
      <c r="D364" s="347" t="s">
        <v>205</v>
      </c>
      <c r="E364" s="396">
        <f>+F364</f>
        <v>57577</v>
      </c>
      <c r="F364" s="396">
        <v>57577</v>
      </c>
      <c r="G364" s="396">
        <v>0</v>
      </c>
      <c r="H364" s="347" t="s">
        <v>902</v>
      </c>
      <c r="I364" s="347" t="s">
        <v>296</v>
      </c>
      <c r="K364" s="370"/>
      <c r="N364" s="370"/>
    </row>
    <row r="365" spans="1:14" s="347" customFormat="1" x14ac:dyDescent="0.25">
      <c r="A365" s="369">
        <v>44230</v>
      </c>
      <c r="B365" s="347">
        <v>2</v>
      </c>
      <c r="C365" s="347">
        <v>110</v>
      </c>
      <c r="D365" s="340" t="str">
        <f>VLOOKUP(C365,Plan!A$1:B$65542,2,0)</f>
        <v>Disponible Administración</v>
      </c>
      <c r="E365" s="396">
        <f>-G365</f>
        <v>-57577</v>
      </c>
      <c r="F365" s="396">
        <v>0</v>
      </c>
      <c r="G365" s="396">
        <v>57577</v>
      </c>
      <c r="H365" s="347" t="s">
        <v>902</v>
      </c>
      <c r="I365" s="347" t="s">
        <v>296</v>
      </c>
      <c r="K365" s="370"/>
      <c r="N365" s="370"/>
    </row>
    <row r="366" spans="1:14" s="347" customFormat="1" x14ac:dyDescent="0.25">
      <c r="A366" s="369"/>
      <c r="F366" s="396"/>
      <c r="G366" s="396"/>
      <c r="K366" s="370"/>
      <c r="N366" s="370"/>
    </row>
    <row r="367" spans="1:14" s="347" customFormat="1" x14ac:dyDescent="0.25">
      <c r="A367" s="369">
        <v>44230</v>
      </c>
      <c r="B367" s="347">
        <v>2</v>
      </c>
      <c r="C367" s="347">
        <v>110</v>
      </c>
      <c r="D367" s="340" t="str">
        <f>VLOOKUP(C367,Plan!A$1:B$65542,2,0)</f>
        <v>Disponible Administración</v>
      </c>
      <c r="E367" s="396">
        <f>+F367</f>
        <v>25000</v>
      </c>
      <c r="F367" s="396">
        <v>25000</v>
      </c>
      <c r="G367" s="396">
        <v>0</v>
      </c>
      <c r="H367" s="347" t="s">
        <v>903</v>
      </c>
      <c r="I367" s="347" t="s">
        <v>296</v>
      </c>
      <c r="K367" s="370"/>
      <c r="N367" s="370"/>
    </row>
    <row r="368" spans="1:14" s="347" customFormat="1" x14ac:dyDescent="0.25">
      <c r="A368" s="369">
        <v>44230</v>
      </c>
      <c r="B368" s="347">
        <v>2</v>
      </c>
      <c r="C368" s="347">
        <v>3110</v>
      </c>
      <c r="D368" s="340" t="str">
        <f>VLOOKUP(C368,Plan!A$1:B$65542,2,0)</f>
        <v>Colectas Normales</v>
      </c>
      <c r="E368" s="396">
        <f>-G368</f>
        <v>-25000</v>
      </c>
      <c r="F368" s="396">
        <v>0</v>
      </c>
      <c r="G368" s="396">
        <v>25000</v>
      </c>
      <c r="H368" s="347" t="s">
        <v>903</v>
      </c>
      <c r="I368" s="347" t="s">
        <v>296</v>
      </c>
      <c r="K368" s="370"/>
      <c r="N368" s="370"/>
    </row>
    <row r="369" spans="1:14" s="347" customFormat="1" x14ac:dyDescent="0.25">
      <c r="A369" s="369"/>
      <c r="E369" s="396"/>
      <c r="F369" s="396"/>
      <c r="G369" s="396"/>
      <c r="K369" s="370"/>
      <c r="N369" s="370"/>
    </row>
    <row r="370" spans="1:14" s="347" customFormat="1" x14ac:dyDescent="0.25">
      <c r="A370" s="369">
        <v>44230</v>
      </c>
      <c r="B370" s="347">
        <v>2</v>
      </c>
      <c r="C370" s="347">
        <v>110</v>
      </c>
      <c r="D370" s="340" t="str">
        <f>VLOOKUP(C370,Plan!A$1:B$65542,2,0)</f>
        <v>Disponible Administración</v>
      </c>
      <c r="E370" s="396">
        <f>+F370</f>
        <v>15000</v>
      </c>
      <c r="F370" s="396">
        <v>15000</v>
      </c>
      <c r="G370" s="396">
        <v>0</v>
      </c>
      <c r="H370" s="347" t="s">
        <v>904</v>
      </c>
      <c r="I370" s="347" t="s">
        <v>296</v>
      </c>
      <c r="K370" s="370"/>
      <c r="N370" s="370"/>
    </row>
    <row r="371" spans="1:14" s="347" customFormat="1" x14ac:dyDescent="0.25">
      <c r="A371" s="369">
        <v>44230</v>
      </c>
      <c r="B371" s="347">
        <v>2</v>
      </c>
      <c r="C371" s="347">
        <v>3110</v>
      </c>
      <c r="D371" s="340" t="str">
        <f>VLOOKUP(C371,Plan!A$1:B$65542,2,0)</f>
        <v>Colectas Normales</v>
      </c>
      <c r="E371" s="396">
        <f>-G371</f>
        <v>-15000</v>
      </c>
      <c r="F371" s="396">
        <v>0</v>
      </c>
      <c r="G371" s="396">
        <v>15000</v>
      </c>
      <c r="H371" s="347" t="s">
        <v>904</v>
      </c>
      <c r="I371" s="347" t="s">
        <v>296</v>
      </c>
      <c r="K371" s="370"/>
      <c r="N371" s="370"/>
    </row>
    <row r="372" spans="1:14" s="347" customFormat="1" x14ac:dyDescent="0.25">
      <c r="A372" s="369"/>
      <c r="E372" s="396"/>
      <c r="F372" s="396"/>
      <c r="G372" s="396"/>
      <c r="K372" s="370"/>
      <c r="N372" s="370"/>
    </row>
    <row r="373" spans="1:14" s="347" customFormat="1" x14ac:dyDescent="0.25">
      <c r="A373" s="369">
        <v>44231</v>
      </c>
      <c r="B373" s="347">
        <v>2</v>
      </c>
      <c r="C373" s="347">
        <v>110</v>
      </c>
      <c r="D373" s="340" t="str">
        <f>VLOOKUP(C373,Plan!A$1:B$65542,2,0)</f>
        <v>Disponible Administración</v>
      </c>
      <c r="E373" s="396">
        <f>+F373</f>
        <v>30000</v>
      </c>
      <c r="F373" s="396">
        <v>30000</v>
      </c>
      <c r="G373" s="396">
        <v>0</v>
      </c>
      <c r="H373" s="347" t="s">
        <v>737</v>
      </c>
      <c r="I373" s="347" t="s">
        <v>296</v>
      </c>
      <c r="K373" s="370"/>
      <c r="N373" s="370"/>
    </row>
    <row r="374" spans="1:14" s="347" customFormat="1" x14ac:dyDescent="0.25">
      <c r="A374" s="369">
        <v>44231</v>
      </c>
      <c r="B374" s="347">
        <v>2</v>
      </c>
      <c r="C374" s="338">
        <v>215</v>
      </c>
      <c r="D374" s="340" t="str">
        <f>VLOOKUP(C374,Plan!A$1:B$65542,2,0)</f>
        <v>Cuenta por Pagar a Cali</v>
      </c>
      <c r="E374" s="396">
        <f>-G374</f>
        <v>-30000</v>
      </c>
      <c r="F374" s="396">
        <v>0</v>
      </c>
      <c r="G374" s="396">
        <v>30000</v>
      </c>
      <c r="H374" s="347" t="s">
        <v>737</v>
      </c>
      <c r="I374" s="347" t="s">
        <v>296</v>
      </c>
      <c r="K374" s="370"/>
      <c r="N374" s="370"/>
    </row>
    <row r="375" spans="1:14" s="347" customFormat="1" x14ac:dyDescent="0.25">
      <c r="A375" s="369"/>
      <c r="E375" s="396"/>
      <c r="F375" s="396"/>
      <c r="G375" s="396"/>
      <c r="K375" s="370"/>
      <c r="N375" s="370"/>
    </row>
    <row r="376" spans="1:14" s="347" customFormat="1" x14ac:dyDescent="0.25">
      <c r="A376" s="369">
        <v>44231</v>
      </c>
      <c r="B376" s="347">
        <v>2</v>
      </c>
      <c r="C376" s="347">
        <v>110</v>
      </c>
      <c r="D376" s="340" t="str">
        <f>VLOOKUP(C376,Plan!A$1:B$65542,2,0)</f>
        <v>Disponible Administración</v>
      </c>
      <c r="E376" s="396">
        <f>+F376</f>
        <v>12000</v>
      </c>
      <c r="F376" s="396">
        <v>12000</v>
      </c>
      <c r="G376" s="396">
        <v>0</v>
      </c>
      <c r="H376" s="347" t="s">
        <v>905</v>
      </c>
      <c r="I376" s="347" t="s">
        <v>296</v>
      </c>
      <c r="K376" s="370"/>
      <c r="N376" s="370"/>
    </row>
    <row r="377" spans="1:14" s="347" customFormat="1" x14ac:dyDescent="0.25">
      <c r="A377" s="369">
        <v>44231</v>
      </c>
      <c r="B377" s="347">
        <v>2</v>
      </c>
      <c r="C377" s="347">
        <v>3110</v>
      </c>
      <c r="D377" s="340" t="str">
        <f>VLOOKUP(C377,Plan!A$1:B$65542,2,0)</f>
        <v>Colectas Normales</v>
      </c>
      <c r="E377" s="396">
        <f>-G377</f>
        <v>-12000</v>
      </c>
      <c r="F377" s="396">
        <v>0</v>
      </c>
      <c r="G377" s="396">
        <v>12000</v>
      </c>
      <c r="H377" s="347" t="s">
        <v>905</v>
      </c>
      <c r="I377" s="347" t="s">
        <v>296</v>
      </c>
      <c r="K377" s="370"/>
      <c r="N377" s="370"/>
    </row>
    <row r="378" spans="1:14" s="347" customFormat="1" x14ac:dyDescent="0.25">
      <c r="A378" s="369"/>
      <c r="E378" s="396"/>
      <c r="F378" s="396"/>
      <c r="G378" s="396"/>
      <c r="K378" s="370"/>
      <c r="N378" s="370"/>
    </row>
    <row r="379" spans="1:14" s="347" customFormat="1" x14ac:dyDescent="0.25">
      <c r="A379" s="369">
        <v>44231</v>
      </c>
      <c r="B379" s="347">
        <v>2</v>
      </c>
      <c r="C379" s="347">
        <v>110</v>
      </c>
      <c r="D379" s="340" t="str">
        <f>VLOOKUP(C379,Plan!A$1:B$65542,2,0)</f>
        <v>Disponible Administración</v>
      </c>
      <c r="E379" s="396">
        <f>+F379</f>
        <v>6000</v>
      </c>
      <c r="F379" s="396">
        <v>6000</v>
      </c>
      <c r="G379" s="396">
        <v>0</v>
      </c>
      <c r="H379" s="347" t="s">
        <v>905</v>
      </c>
      <c r="I379" s="347" t="s">
        <v>296</v>
      </c>
      <c r="K379" s="370"/>
      <c r="N379" s="370"/>
    </row>
    <row r="380" spans="1:14" s="347" customFormat="1" x14ac:dyDescent="0.25">
      <c r="A380" s="369">
        <v>44231</v>
      </c>
      <c r="B380" s="347">
        <v>2</v>
      </c>
      <c r="C380" s="347">
        <v>3110</v>
      </c>
      <c r="D380" s="340" t="str">
        <f>VLOOKUP(C380,Plan!A$1:B$65542,2,0)</f>
        <v>Colectas Normales</v>
      </c>
      <c r="E380" s="396">
        <f>-G380</f>
        <v>-6000</v>
      </c>
      <c r="F380" s="396">
        <v>0</v>
      </c>
      <c r="G380" s="396">
        <v>6000</v>
      </c>
      <c r="H380" s="347" t="s">
        <v>905</v>
      </c>
      <c r="I380" s="347" t="s">
        <v>296</v>
      </c>
      <c r="K380" s="370"/>
      <c r="N380" s="370"/>
    </row>
    <row r="381" spans="1:14" s="347" customFormat="1" x14ac:dyDescent="0.25">
      <c r="A381" s="369"/>
      <c r="E381" s="396"/>
      <c r="F381" s="396"/>
      <c r="G381" s="396"/>
      <c r="K381" s="370"/>
      <c r="N381" s="370"/>
    </row>
    <row r="382" spans="1:14" s="347" customFormat="1" x14ac:dyDescent="0.25">
      <c r="A382" s="369">
        <v>44231</v>
      </c>
      <c r="B382" s="347">
        <v>2</v>
      </c>
      <c r="C382" s="347">
        <v>110</v>
      </c>
      <c r="D382" s="340" t="str">
        <f>VLOOKUP(C382,Plan!A$1:B$65542,2,0)</f>
        <v>Disponible Administración</v>
      </c>
      <c r="E382" s="396">
        <f>+F382</f>
        <v>15000</v>
      </c>
      <c r="F382" s="396">
        <v>15000</v>
      </c>
      <c r="G382" s="396">
        <v>0</v>
      </c>
      <c r="H382" s="347" t="s">
        <v>906</v>
      </c>
      <c r="I382" s="347" t="s">
        <v>296</v>
      </c>
      <c r="K382" s="370"/>
      <c r="N382" s="370"/>
    </row>
    <row r="383" spans="1:14" s="347" customFormat="1" x14ac:dyDescent="0.25">
      <c r="A383" s="369">
        <v>44231</v>
      </c>
      <c r="B383" s="347">
        <v>2</v>
      </c>
      <c r="C383" s="347">
        <v>3110</v>
      </c>
      <c r="D383" s="340" t="str">
        <f>VLOOKUP(C383,Plan!A$1:B$65542,2,0)</f>
        <v>Colectas Normales</v>
      </c>
      <c r="E383" s="396">
        <f>-G383</f>
        <v>-15000</v>
      </c>
      <c r="F383" s="396">
        <v>0</v>
      </c>
      <c r="G383" s="396">
        <v>15000</v>
      </c>
      <c r="H383" s="347" t="s">
        <v>906</v>
      </c>
      <c r="I383" s="347" t="s">
        <v>296</v>
      </c>
      <c r="K383" s="370"/>
      <c r="N383" s="370"/>
    </row>
    <row r="384" spans="1:14" s="347" customFormat="1" x14ac:dyDescent="0.25">
      <c r="A384" s="369"/>
      <c r="E384" s="396"/>
      <c r="F384" s="396"/>
      <c r="G384" s="396"/>
      <c r="K384" s="370"/>
      <c r="N384" s="370"/>
    </row>
    <row r="385" spans="1:14" s="347" customFormat="1" x14ac:dyDescent="0.25">
      <c r="A385" s="339">
        <v>44231</v>
      </c>
      <c r="B385" s="340">
        <v>2</v>
      </c>
      <c r="C385" s="338">
        <v>110</v>
      </c>
      <c r="D385" s="340" t="str">
        <f>VLOOKUP(C385,Plan!A$1:B$65542,2,0)</f>
        <v>Disponible Administración</v>
      </c>
      <c r="E385" s="341">
        <f>+F385-G385</f>
        <v>40000</v>
      </c>
      <c r="F385" s="346">
        <v>40000</v>
      </c>
      <c r="G385" s="346">
        <v>0</v>
      </c>
      <c r="H385" s="343" t="s">
        <v>907</v>
      </c>
      <c r="I385" s="401" t="s">
        <v>296</v>
      </c>
      <c r="K385" s="370"/>
      <c r="N385" s="370"/>
    </row>
    <row r="386" spans="1:14" s="347" customFormat="1" x14ac:dyDescent="0.25">
      <c r="A386" s="339">
        <f>+A385</f>
        <v>44231</v>
      </c>
      <c r="B386" s="340">
        <v>2</v>
      </c>
      <c r="C386" s="338">
        <v>3320</v>
      </c>
      <c r="D386" s="340" t="str">
        <f>VLOOKUP(C386,Plan!A$1:B$65542,2,0)</f>
        <v>Matrimonios</v>
      </c>
      <c r="E386" s="341">
        <f>+F386-G386</f>
        <v>-40000</v>
      </c>
      <c r="F386" s="346"/>
      <c r="G386" s="346">
        <f>+F385</f>
        <v>40000</v>
      </c>
      <c r="H386" s="338" t="str">
        <f>+H385</f>
        <v>Don. Matrimonio Alfonso Ruiz-Tagle Cruz</v>
      </c>
      <c r="I386" s="401" t="s">
        <v>296</v>
      </c>
      <c r="K386" s="370"/>
      <c r="N386" s="370"/>
    </row>
    <row r="387" spans="1:14" s="347" customFormat="1" x14ac:dyDescent="0.25">
      <c r="A387" s="369"/>
      <c r="E387" s="396"/>
      <c r="F387" s="396"/>
      <c r="G387" s="396"/>
      <c r="K387" s="370"/>
      <c r="N387" s="370"/>
    </row>
    <row r="388" spans="1:14" s="347" customFormat="1" x14ac:dyDescent="0.25">
      <c r="A388" s="369">
        <v>44231</v>
      </c>
      <c r="B388" s="347">
        <v>2</v>
      </c>
      <c r="C388" s="347">
        <v>110</v>
      </c>
      <c r="D388" s="340" t="str">
        <f>VLOOKUP(C388,Plan!A$1:B$65542,2,0)</f>
        <v>Disponible Administración</v>
      </c>
      <c r="E388" s="396">
        <f>+F388</f>
        <v>4905</v>
      </c>
      <c r="F388" s="396">
        <v>4905</v>
      </c>
      <c r="G388" s="396">
        <v>0</v>
      </c>
      <c r="H388" s="347" t="s">
        <v>897</v>
      </c>
      <c r="I388" s="347" t="s">
        <v>296</v>
      </c>
      <c r="K388" s="370"/>
      <c r="N388" s="370"/>
    </row>
    <row r="389" spans="1:14" s="347" customFormat="1" x14ac:dyDescent="0.25">
      <c r="A389" s="369">
        <v>44231</v>
      </c>
      <c r="B389" s="347">
        <v>2</v>
      </c>
      <c r="C389" s="347">
        <v>3110</v>
      </c>
      <c r="D389" s="340" t="str">
        <f>VLOOKUP(C389,Plan!A$1:B$65542,2,0)</f>
        <v>Colectas Normales</v>
      </c>
      <c r="E389" s="396">
        <f>-G389</f>
        <v>-4905</v>
      </c>
      <c r="F389" s="396">
        <v>0</v>
      </c>
      <c r="G389" s="396">
        <v>4905</v>
      </c>
      <c r="H389" s="347" t="s">
        <v>897</v>
      </c>
      <c r="I389" s="347" t="s">
        <v>296</v>
      </c>
      <c r="K389" s="370"/>
      <c r="N389" s="370"/>
    </row>
    <row r="390" spans="1:14" s="347" customFormat="1" x14ac:dyDescent="0.25">
      <c r="A390" s="369"/>
      <c r="E390" s="396"/>
      <c r="F390" s="396"/>
      <c r="G390" s="396"/>
      <c r="K390" s="370"/>
      <c r="N390" s="370"/>
    </row>
    <row r="391" spans="1:14" s="347" customFormat="1" x14ac:dyDescent="0.25">
      <c r="A391" s="369">
        <v>44231</v>
      </c>
      <c r="B391" s="347">
        <v>2</v>
      </c>
      <c r="C391" s="347">
        <v>110</v>
      </c>
      <c r="D391" s="340" t="str">
        <f>VLOOKUP(C391,Plan!A$1:B$65542,2,0)</f>
        <v>Disponible Administración</v>
      </c>
      <c r="E391" s="396">
        <f>+F391</f>
        <v>5000</v>
      </c>
      <c r="F391" s="396">
        <v>5000</v>
      </c>
      <c r="G391" s="396">
        <v>0</v>
      </c>
      <c r="H391" s="347" t="s">
        <v>908</v>
      </c>
      <c r="I391" s="347" t="s">
        <v>296</v>
      </c>
      <c r="K391" s="370"/>
      <c r="N391" s="370"/>
    </row>
    <row r="392" spans="1:14" s="347" customFormat="1" x14ac:dyDescent="0.25">
      <c r="A392" s="369">
        <v>44231</v>
      </c>
      <c r="B392" s="347">
        <v>2</v>
      </c>
      <c r="C392" s="347">
        <v>3110</v>
      </c>
      <c r="D392" s="340" t="str">
        <f>VLOOKUP(C392,Plan!A$1:B$65542,2,0)</f>
        <v>Colectas Normales</v>
      </c>
      <c r="E392" s="396">
        <f>-G392</f>
        <v>-5000</v>
      </c>
      <c r="F392" s="396">
        <v>0</v>
      </c>
      <c r="G392" s="396">
        <v>5000</v>
      </c>
      <c r="H392" s="347" t="s">
        <v>908</v>
      </c>
      <c r="I392" s="347" t="s">
        <v>296</v>
      </c>
      <c r="K392" s="370"/>
      <c r="N392" s="370"/>
    </row>
    <row r="393" spans="1:14" s="347" customFormat="1" x14ac:dyDescent="0.25">
      <c r="A393" s="369"/>
      <c r="E393" s="396"/>
      <c r="F393" s="396"/>
      <c r="G393" s="396"/>
      <c r="K393" s="370"/>
      <c r="N393" s="370"/>
    </row>
    <row r="394" spans="1:14" s="347" customFormat="1" x14ac:dyDescent="0.25">
      <c r="A394" s="369">
        <v>44231</v>
      </c>
      <c r="B394" s="340">
        <v>2</v>
      </c>
      <c r="C394" s="338">
        <v>4860</v>
      </c>
      <c r="D394" s="340" t="str">
        <f>VLOOKUP(C394,Plan!A$1:B$65542,2,0)</f>
        <v>Otros</v>
      </c>
      <c r="E394" s="341">
        <f>+F394-G394</f>
        <v>4678</v>
      </c>
      <c r="F394" s="346">
        <v>4678</v>
      </c>
      <c r="G394" s="346">
        <v>0</v>
      </c>
      <c r="H394" s="338" t="s">
        <v>738</v>
      </c>
      <c r="I394" s="401" t="s">
        <v>296</v>
      </c>
      <c r="K394" s="370"/>
      <c r="N394" s="370"/>
    </row>
    <row r="395" spans="1:14" s="347" customFormat="1" x14ac:dyDescent="0.25">
      <c r="A395" s="369">
        <v>44231</v>
      </c>
      <c r="B395" s="340">
        <v>2</v>
      </c>
      <c r="C395" s="338">
        <v>110</v>
      </c>
      <c r="D395" s="340" t="str">
        <f>VLOOKUP(C395,Plan!A$1:B$65542,2,0)</f>
        <v>Disponible Administración</v>
      </c>
      <c r="E395" s="341">
        <f>+F395-G395</f>
        <v>-4678</v>
      </c>
      <c r="F395" s="346">
        <v>0</v>
      </c>
      <c r="G395" s="346">
        <v>4678</v>
      </c>
      <c r="H395" s="338" t="str">
        <f>+H394</f>
        <v>Comisión Pagos Nom. Bco.Chile</v>
      </c>
      <c r="I395" s="401" t="s">
        <v>296</v>
      </c>
      <c r="K395" s="370"/>
      <c r="N395" s="370"/>
    </row>
    <row r="396" spans="1:14" s="347" customFormat="1" x14ac:dyDescent="0.25">
      <c r="A396" s="369"/>
      <c r="E396" s="396"/>
      <c r="F396" s="396"/>
      <c r="G396" s="396"/>
      <c r="K396" s="370"/>
      <c r="N396" s="370"/>
    </row>
    <row r="397" spans="1:14" s="347" customFormat="1" x14ac:dyDescent="0.25">
      <c r="A397" s="369">
        <v>44231</v>
      </c>
      <c r="B397" s="340">
        <v>2</v>
      </c>
      <c r="C397" s="338">
        <v>4860</v>
      </c>
      <c r="D397" s="340" t="str">
        <f>VLOOKUP(C397,Plan!A$1:B$65542,2,0)</f>
        <v>Otros</v>
      </c>
      <c r="E397" s="341">
        <f>+F397-G397</f>
        <v>1040</v>
      </c>
      <c r="F397" s="346">
        <v>1040</v>
      </c>
      <c r="G397" s="346">
        <v>0</v>
      </c>
      <c r="H397" s="338" t="s">
        <v>738</v>
      </c>
      <c r="I397" s="401" t="s">
        <v>296</v>
      </c>
      <c r="K397" s="370"/>
      <c r="N397" s="370"/>
    </row>
    <row r="398" spans="1:14" s="347" customFormat="1" x14ac:dyDescent="0.25">
      <c r="A398" s="369">
        <v>44231</v>
      </c>
      <c r="B398" s="340">
        <v>2</v>
      </c>
      <c r="C398" s="338">
        <v>110</v>
      </c>
      <c r="D398" s="340" t="str">
        <f>VLOOKUP(C398,Plan!A$1:B$65542,2,0)</f>
        <v>Disponible Administración</v>
      </c>
      <c r="E398" s="341">
        <f>+F398-G398</f>
        <v>-1040</v>
      </c>
      <c r="F398" s="346">
        <v>0</v>
      </c>
      <c r="G398" s="346">
        <v>1040</v>
      </c>
      <c r="H398" s="338" t="str">
        <f>+H397</f>
        <v>Comisión Pagos Nom. Bco.Chile</v>
      </c>
      <c r="I398" s="401" t="s">
        <v>296</v>
      </c>
      <c r="K398" s="370"/>
      <c r="N398" s="370"/>
    </row>
    <row r="399" spans="1:14" s="347" customFormat="1" x14ac:dyDescent="0.25">
      <c r="A399" s="369"/>
      <c r="E399" s="396"/>
      <c r="F399" s="396"/>
      <c r="G399" s="396"/>
      <c r="K399" s="370"/>
      <c r="N399" s="370"/>
    </row>
    <row r="400" spans="1:14" s="347" customFormat="1" x14ac:dyDescent="0.25">
      <c r="A400" s="339">
        <v>44232</v>
      </c>
      <c r="B400" s="340">
        <v>2</v>
      </c>
      <c r="C400" s="338">
        <v>4310</v>
      </c>
      <c r="D400" s="340" t="str">
        <f>VLOOKUP(C400,Plan!A$1:B$65542,2,0)</f>
        <v>Arriendos / Dividendos</v>
      </c>
      <c r="E400" s="341">
        <f>+F400-G400</f>
        <v>793874</v>
      </c>
      <c r="F400" s="346">
        <v>793874</v>
      </c>
      <c r="G400" s="346">
        <v>0</v>
      </c>
      <c r="H400" s="343" t="s">
        <v>909</v>
      </c>
      <c r="I400" s="401" t="s">
        <v>296</v>
      </c>
      <c r="K400" s="370"/>
      <c r="N400" s="370"/>
    </row>
    <row r="401" spans="1:14" s="347" customFormat="1" x14ac:dyDescent="0.25">
      <c r="A401" s="339">
        <f>+A400</f>
        <v>44232</v>
      </c>
      <c r="B401" s="340">
        <v>2</v>
      </c>
      <c r="C401" s="338">
        <v>110</v>
      </c>
      <c r="D401" s="340" t="str">
        <f>VLOOKUP(C401,Plan!A$1:B$65542,2,0)</f>
        <v>Disponible Administración</v>
      </c>
      <c r="E401" s="341">
        <f>+F401-G401</f>
        <v>-793874</v>
      </c>
      <c r="F401" s="346"/>
      <c r="G401" s="346">
        <v>793874</v>
      </c>
      <c r="H401" s="343" t="s">
        <v>909</v>
      </c>
      <c r="I401" s="401" t="s">
        <v>296</v>
      </c>
      <c r="K401" s="370"/>
      <c r="N401" s="370"/>
    </row>
    <row r="402" spans="1:14" s="347" customFormat="1" x14ac:dyDescent="0.25">
      <c r="A402" s="369"/>
      <c r="E402" s="396"/>
      <c r="F402" s="396"/>
      <c r="G402" s="396"/>
      <c r="K402" s="370"/>
      <c r="N402" s="370"/>
    </row>
    <row r="403" spans="1:14" s="347" customFormat="1" x14ac:dyDescent="0.25">
      <c r="A403" s="339">
        <v>44232</v>
      </c>
      <c r="B403" s="358">
        <v>2</v>
      </c>
      <c r="C403" s="338">
        <v>215</v>
      </c>
      <c r="D403" s="338" t="s">
        <v>377</v>
      </c>
      <c r="E403" s="341">
        <f>+F403-G403</f>
        <v>28192</v>
      </c>
      <c r="F403" s="346">
        <f>+G406-F405-F404</f>
        <v>28192</v>
      </c>
      <c r="G403" s="346">
        <v>0</v>
      </c>
      <c r="H403" s="338" t="s">
        <v>407</v>
      </c>
      <c r="I403" s="343" t="s">
        <v>296</v>
      </c>
      <c r="K403" s="370"/>
      <c r="N403" s="370"/>
    </row>
    <row r="404" spans="1:14" s="347" customFormat="1" x14ac:dyDescent="0.25">
      <c r="A404" s="339">
        <f>+A403</f>
        <v>44232</v>
      </c>
      <c r="B404" s="358">
        <v>2</v>
      </c>
      <c r="C404" s="338">
        <v>229</v>
      </c>
      <c r="D404" s="340" t="str">
        <f>VLOOKUP(C404,Plan!A$1:B$65542,2,0)</f>
        <v>Provisiones Administración</v>
      </c>
      <c r="E404" s="341">
        <f>+F404-G404</f>
        <v>231949</v>
      </c>
      <c r="F404" s="346">
        <v>231949</v>
      </c>
      <c r="G404" s="346">
        <v>0</v>
      </c>
      <c r="H404" s="343" t="s">
        <v>1266</v>
      </c>
      <c r="I404" s="343" t="s">
        <v>296</v>
      </c>
      <c r="K404" s="370"/>
      <c r="N404" s="370"/>
    </row>
    <row r="405" spans="1:14" s="347" customFormat="1" x14ac:dyDescent="0.25">
      <c r="A405" s="339">
        <f>+A403</f>
        <v>44232</v>
      </c>
      <c r="B405" s="358">
        <f>+B403</f>
        <v>2</v>
      </c>
      <c r="C405" s="338">
        <v>223</v>
      </c>
      <c r="D405" s="338" t="s">
        <v>445</v>
      </c>
      <c r="E405" s="341">
        <f>+F405-G405</f>
        <v>119674</v>
      </c>
      <c r="F405" s="346">
        <v>119674</v>
      </c>
      <c r="G405" s="346">
        <v>0</v>
      </c>
      <c r="H405" s="338" t="s">
        <v>407</v>
      </c>
      <c r="I405" s="343" t="s">
        <v>296</v>
      </c>
      <c r="K405" s="370"/>
      <c r="N405" s="370"/>
    </row>
    <row r="406" spans="1:14" s="347" customFormat="1" x14ac:dyDescent="0.25">
      <c r="A406" s="339">
        <f>+A405</f>
        <v>44232</v>
      </c>
      <c r="B406" s="358">
        <f>+B405</f>
        <v>2</v>
      </c>
      <c r="C406" s="338">
        <v>110</v>
      </c>
      <c r="D406" s="340" t="str">
        <f>VLOOKUP(C406,Plan!A$1:B$65542,2,0)</f>
        <v>Disponible Administración</v>
      </c>
      <c r="E406" s="341">
        <f>+F406-G406</f>
        <v>-379815</v>
      </c>
      <c r="F406" s="346">
        <v>0</v>
      </c>
      <c r="G406" s="346">
        <v>379815</v>
      </c>
      <c r="H406" s="338" t="s">
        <v>407</v>
      </c>
      <c r="I406" s="343" t="s">
        <v>296</v>
      </c>
      <c r="K406" s="370"/>
      <c r="N406" s="370"/>
    </row>
    <row r="407" spans="1:14" s="347" customFormat="1" x14ac:dyDescent="0.25">
      <c r="A407" s="369"/>
      <c r="E407" s="396"/>
      <c r="F407" s="396"/>
      <c r="G407" s="396"/>
      <c r="K407" s="370"/>
      <c r="N407" s="370"/>
    </row>
    <row r="408" spans="1:14" s="347" customFormat="1" x14ac:dyDescent="0.25">
      <c r="A408" s="339">
        <v>44232</v>
      </c>
      <c r="B408" s="340">
        <v>2</v>
      </c>
      <c r="C408" s="338">
        <v>224</v>
      </c>
      <c r="D408" s="340" t="str">
        <f>VLOOKUP(C408,Plan!A$1:B$65542,2,0)</f>
        <v>Cotizaciones por Pagar</v>
      </c>
      <c r="E408" s="341">
        <f>+F408-G408</f>
        <v>476142</v>
      </c>
      <c r="F408" s="346">
        <v>476142</v>
      </c>
      <c r="G408" s="346">
        <v>0</v>
      </c>
      <c r="H408" s="338" t="s">
        <v>405</v>
      </c>
      <c r="I408" s="401" t="s">
        <v>296</v>
      </c>
      <c r="K408" s="370"/>
      <c r="N408" s="370"/>
    </row>
    <row r="409" spans="1:14" s="347" customFormat="1" x14ac:dyDescent="0.25">
      <c r="A409" s="339">
        <f>+A408</f>
        <v>44232</v>
      </c>
      <c r="B409" s="340">
        <f>+B408</f>
        <v>2</v>
      </c>
      <c r="C409" s="338">
        <v>110</v>
      </c>
      <c r="D409" s="340" t="str">
        <f>VLOOKUP(C409,Plan!A$1:B$65542,2,0)</f>
        <v>Disponible Administración</v>
      </c>
      <c r="E409" s="341">
        <f>+F409-G409</f>
        <v>-476142</v>
      </c>
      <c r="F409" s="346">
        <v>0</v>
      </c>
      <c r="G409" s="346">
        <f>+F408</f>
        <v>476142</v>
      </c>
      <c r="H409" s="338" t="str">
        <f>+H408</f>
        <v>Previred EE.Parroquia</v>
      </c>
      <c r="I409" s="401" t="s">
        <v>296</v>
      </c>
      <c r="K409" s="370"/>
      <c r="N409" s="370"/>
    </row>
    <row r="410" spans="1:14" s="347" customFormat="1" x14ac:dyDescent="0.25">
      <c r="A410" s="339"/>
      <c r="B410" s="340"/>
      <c r="C410" s="338"/>
      <c r="D410" s="340"/>
      <c r="E410" s="341"/>
      <c r="F410" s="345"/>
      <c r="G410" s="345"/>
      <c r="H410" s="338"/>
      <c r="I410" s="340"/>
      <c r="K410" s="370"/>
      <c r="N410" s="370"/>
    </row>
    <row r="411" spans="1:14" s="347" customFormat="1" x14ac:dyDescent="0.25">
      <c r="A411" s="339">
        <v>44232</v>
      </c>
      <c r="B411" s="340">
        <v>2</v>
      </c>
      <c r="C411" s="338">
        <v>224</v>
      </c>
      <c r="D411" s="340" t="str">
        <f>VLOOKUP(C411,Plan!A$1:B$65542,2,0)</f>
        <v>Cotizaciones por Pagar</v>
      </c>
      <c r="E411" s="341">
        <f>+F411-G411</f>
        <v>172876</v>
      </c>
      <c r="F411" s="346">
        <v>172876</v>
      </c>
      <c r="G411" s="346">
        <v>0</v>
      </c>
      <c r="H411" s="338" t="s">
        <v>406</v>
      </c>
      <c r="I411" s="401" t="s">
        <v>296</v>
      </c>
      <c r="K411" s="370"/>
      <c r="N411" s="370"/>
    </row>
    <row r="412" spans="1:14" s="347" customFormat="1" x14ac:dyDescent="0.25">
      <c r="A412" s="339">
        <v>44232</v>
      </c>
      <c r="B412" s="340">
        <f>+B411</f>
        <v>2</v>
      </c>
      <c r="C412" s="338">
        <v>110</v>
      </c>
      <c r="D412" s="340" t="str">
        <f>VLOOKUP(C412,Plan!A$1:B$65542,2,0)</f>
        <v>Disponible Administración</v>
      </c>
      <c r="E412" s="341">
        <f>+F412-G412</f>
        <v>-172876</v>
      </c>
      <c r="F412" s="346">
        <v>0</v>
      </c>
      <c r="G412" s="346">
        <f>+F411</f>
        <v>172876</v>
      </c>
      <c r="H412" s="338" t="str">
        <f>+H411</f>
        <v>Previred P. Pedro</v>
      </c>
      <c r="I412" s="401" t="s">
        <v>296</v>
      </c>
      <c r="K412" s="370"/>
      <c r="N412" s="370"/>
    </row>
    <row r="413" spans="1:14" s="347" customFormat="1" x14ac:dyDescent="0.25">
      <c r="A413" s="369"/>
      <c r="E413" s="396"/>
      <c r="F413" s="396"/>
      <c r="G413" s="396"/>
      <c r="K413" s="370"/>
      <c r="N413" s="370"/>
    </row>
    <row r="414" spans="1:14" s="347" customFormat="1" x14ac:dyDescent="0.25">
      <c r="A414" s="369">
        <v>44232</v>
      </c>
      <c r="B414" s="347">
        <v>2</v>
      </c>
      <c r="C414" s="347">
        <v>110</v>
      </c>
      <c r="D414" s="340" t="str">
        <f>VLOOKUP(C414,Plan!A$1:B$65542,2,0)</f>
        <v>Disponible Administración</v>
      </c>
      <c r="E414" s="396">
        <f>+F414</f>
        <v>40000</v>
      </c>
      <c r="F414" s="396">
        <v>40000</v>
      </c>
      <c r="G414" s="396">
        <v>0</v>
      </c>
      <c r="H414" s="347" t="s">
        <v>910</v>
      </c>
      <c r="I414" s="347" t="s">
        <v>296</v>
      </c>
      <c r="K414" s="370"/>
      <c r="N414" s="370"/>
    </row>
    <row r="415" spans="1:14" s="347" customFormat="1" x14ac:dyDescent="0.25">
      <c r="A415" s="369">
        <v>44232</v>
      </c>
      <c r="B415" s="347">
        <v>2</v>
      </c>
      <c r="C415" s="347">
        <v>3110</v>
      </c>
      <c r="D415" s="340" t="str">
        <f>VLOOKUP(C415,Plan!A$1:B$65542,2,0)</f>
        <v>Colectas Normales</v>
      </c>
      <c r="E415" s="396">
        <f>-G415</f>
        <v>-40000</v>
      </c>
      <c r="F415" s="396">
        <v>0</v>
      </c>
      <c r="G415" s="396">
        <v>40000</v>
      </c>
      <c r="H415" s="347" t="s">
        <v>910</v>
      </c>
      <c r="I415" s="347" t="s">
        <v>296</v>
      </c>
      <c r="K415" s="370"/>
      <c r="N415" s="370"/>
    </row>
    <row r="416" spans="1:14" s="347" customFormat="1" x14ac:dyDescent="0.25">
      <c r="A416" s="369"/>
      <c r="E416" s="396"/>
      <c r="F416" s="396"/>
      <c r="G416" s="396"/>
      <c r="K416" s="370"/>
      <c r="N416" s="370"/>
    </row>
    <row r="417" spans="1:14" s="347" customFormat="1" x14ac:dyDescent="0.25">
      <c r="A417" s="369">
        <v>44232</v>
      </c>
      <c r="B417" s="347">
        <v>2</v>
      </c>
      <c r="C417" s="347">
        <v>110</v>
      </c>
      <c r="D417" s="340" t="str">
        <f>VLOOKUP(C417,Plan!A$1:B$65542,2,0)</f>
        <v>Disponible Administración</v>
      </c>
      <c r="E417" s="396">
        <f>+F417</f>
        <v>2000</v>
      </c>
      <c r="F417" s="396">
        <v>2000</v>
      </c>
      <c r="G417" s="396">
        <v>0</v>
      </c>
      <c r="H417" s="347" t="s">
        <v>911</v>
      </c>
      <c r="I417" s="347" t="s">
        <v>296</v>
      </c>
      <c r="K417" s="370"/>
      <c r="N417" s="370"/>
    </row>
    <row r="418" spans="1:14" s="347" customFormat="1" x14ac:dyDescent="0.25">
      <c r="A418" s="369">
        <v>44232</v>
      </c>
      <c r="B418" s="347">
        <v>2</v>
      </c>
      <c r="C418" s="347">
        <v>3110</v>
      </c>
      <c r="D418" s="340" t="str">
        <f>VLOOKUP(C418,Plan!A$1:B$65542,2,0)</f>
        <v>Colectas Normales</v>
      </c>
      <c r="E418" s="396">
        <f>-G418</f>
        <v>-2000</v>
      </c>
      <c r="F418" s="396">
        <v>0</v>
      </c>
      <c r="G418" s="396">
        <v>2000</v>
      </c>
      <c r="H418" s="347" t="s">
        <v>911</v>
      </c>
      <c r="I418" s="347" t="s">
        <v>296</v>
      </c>
      <c r="K418" s="370"/>
      <c r="N418" s="370"/>
    </row>
    <row r="419" spans="1:14" s="347" customFormat="1" x14ac:dyDescent="0.25">
      <c r="A419" s="369"/>
      <c r="E419" s="396"/>
      <c r="F419" s="396"/>
      <c r="G419" s="396"/>
      <c r="K419" s="370"/>
      <c r="N419" s="370"/>
    </row>
    <row r="420" spans="1:14" s="347" customFormat="1" x14ac:dyDescent="0.25">
      <c r="A420" s="369">
        <v>44232</v>
      </c>
      <c r="B420" s="347">
        <v>2</v>
      </c>
      <c r="C420" s="347">
        <v>110</v>
      </c>
      <c r="D420" s="340" t="str">
        <f>VLOOKUP(C420,Plan!A$1:B$65542,2,0)</f>
        <v>Disponible Administración</v>
      </c>
      <c r="E420" s="396">
        <f>+F420</f>
        <v>40000</v>
      </c>
      <c r="F420" s="396">
        <v>40000</v>
      </c>
      <c r="G420" s="396">
        <v>0</v>
      </c>
      <c r="H420" s="347" t="s">
        <v>912</v>
      </c>
      <c r="I420" s="347" t="s">
        <v>296</v>
      </c>
      <c r="K420" s="370"/>
      <c r="N420" s="370"/>
    </row>
    <row r="421" spans="1:14" s="347" customFormat="1" x14ac:dyDescent="0.25">
      <c r="A421" s="369">
        <v>44232</v>
      </c>
      <c r="B421" s="347">
        <v>2</v>
      </c>
      <c r="C421" s="347">
        <v>3110</v>
      </c>
      <c r="D421" s="340" t="str">
        <f>VLOOKUP(C421,Plan!A$1:B$65542,2,0)</f>
        <v>Colectas Normales</v>
      </c>
      <c r="E421" s="396">
        <f>-G421</f>
        <v>-40000</v>
      </c>
      <c r="F421" s="396">
        <v>0</v>
      </c>
      <c r="G421" s="396">
        <v>40000</v>
      </c>
      <c r="H421" s="347" t="s">
        <v>912</v>
      </c>
      <c r="I421" s="347" t="s">
        <v>296</v>
      </c>
      <c r="K421" s="370"/>
      <c r="N421" s="370"/>
    </row>
    <row r="422" spans="1:14" s="347" customFormat="1" x14ac:dyDescent="0.25">
      <c r="A422" s="369"/>
      <c r="E422" s="396"/>
      <c r="F422" s="396"/>
      <c r="G422" s="396"/>
      <c r="K422" s="370"/>
      <c r="N422" s="370"/>
    </row>
    <row r="423" spans="1:14" s="347" customFormat="1" x14ac:dyDescent="0.25">
      <c r="A423" s="369">
        <v>44232</v>
      </c>
      <c r="B423" s="347">
        <v>2</v>
      </c>
      <c r="C423" s="347">
        <v>110</v>
      </c>
      <c r="D423" s="340" t="str">
        <f>VLOOKUP(C423,Plan!A$1:B$65542,2,0)</f>
        <v>Disponible Administración</v>
      </c>
      <c r="E423" s="396">
        <f>+F423</f>
        <v>49405</v>
      </c>
      <c r="F423" s="396">
        <v>49405</v>
      </c>
      <c r="G423" s="396">
        <v>0</v>
      </c>
      <c r="H423" s="347" t="s">
        <v>897</v>
      </c>
      <c r="I423" s="347" t="s">
        <v>296</v>
      </c>
      <c r="K423" s="370"/>
      <c r="N423" s="370"/>
    </row>
    <row r="424" spans="1:14" s="347" customFormat="1" x14ac:dyDescent="0.25">
      <c r="A424" s="369">
        <v>44232</v>
      </c>
      <c r="B424" s="347">
        <v>2</v>
      </c>
      <c r="C424" s="347">
        <v>3110</v>
      </c>
      <c r="D424" s="340" t="str">
        <f>VLOOKUP(C424,Plan!A$1:B$65542,2,0)</f>
        <v>Colectas Normales</v>
      </c>
      <c r="E424" s="396">
        <f>-G424</f>
        <v>-49405</v>
      </c>
      <c r="F424" s="396">
        <v>0</v>
      </c>
      <c r="G424" s="396">
        <v>49405</v>
      </c>
      <c r="H424" s="347" t="s">
        <v>897</v>
      </c>
      <c r="I424" s="347" t="s">
        <v>296</v>
      </c>
      <c r="K424" s="370"/>
      <c r="N424" s="370"/>
    </row>
    <row r="425" spans="1:14" s="347" customFormat="1" x14ac:dyDescent="0.25">
      <c r="A425" s="369"/>
      <c r="E425" s="396"/>
      <c r="F425" s="396"/>
      <c r="G425" s="396"/>
      <c r="K425" s="370"/>
      <c r="N425" s="370"/>
    </row>
    <row r="426" spans="1:14" s="347" customFormat="1" x14ac:dyDescent="0.25">
      <c r="A426" s="369">
        <v>44235</v>
      </c>
      <c r="B426" s="347">
        <v>2</v>
      </c>
      <c r="C426" s="347">
        <v>110</v>
      </c>
      <c r="D426" s="340" t="str">
        <f>VLOOKUP(C426,Plan!A$1:B$65542,2,0)</f>
        <v>Disponible Administración</v>
      </c>
      <c r="E426" s="396">
        <f>+F426</f>
        <v>20000</v>
      </c>
      <c r="F426" s="396">
        <v>20000</v>
      </c>
      <c r="G426" s="396">
        <v>0</v>
      </c>
      <c r="H426" s="347" t="s">
        <v>913</v>
      </c>
      <c r="I426" s="347" t="s">
        <v>296</v>
      </c>
      <c r="K426" s="370"/>
      <c r="N426" s="370"/>
    </row>
    <row r="427" spans="1:14" s="347" customFormat="1" x14ac:dyDescent="0.25">
      <c r="A427" s="369">
        <v>44235</v>
      </c>
      <c r="B427" s="347">
        <v>2</v>
      </c>
      <c r="C427" s="347">
        <v>3110</v>
      </c>
      <c r="D427" s="340" t="str">
        <f>VLOOKUP(C427,Plan!A$1:B$65542,2,0)</f>
        <v>Colectas Normales</v>
      </c>
      <c r="E427" s="396">
        <f>+F427-G427</f>
        <v>-20000</v>
      </c>
      <c r="F427" s="396">
        <v>0</v>
      </c>
      <c r="G427" s="396">
        <f>+F426</f>
        <v>20000</v>
      </c>
      <c r="H427" s="347" t="s">
        <v>913</v>
      </c>
      <c r="I427" s="347" t="s">
        <v>296</v>
      </c>
      <c r="K427" s="370"/>
      <c r="N427" s="370"/>
    </row>
    <row r="428" spans="1:14" s="347" customFormat="1" x14ac:dyDescent="0.25">
      <c r="A428" s="369"/>
      <c r="E428" s="396"/>
      <c r="F428" s="396"/>
      <c r="K428" s="370"/>
      <c r="N428" s="370"/>
    </row>
    <row r="429" spans="1:14" s="347" customFormat="1" x14ac:dyDescent="0.25">
      <c r="A429" s="369">
        <v>44235</v>
      </c>
      <c r="B429" s="347">
        <v>2</v>
      </c>
      <c r="C429" s="347">
        <v>110</v>
      </c>
      <c r="D429" s="340" t="str">
        <f>VLOOKUP(C429,Plan!A$1:B$65542,2,0)</f>
        <v>Disponible Administración</v>
      </c>
      <c r="E429" s="396">
        <f>+F429</f>
        <v>10000</v>
      </c>
      <c r="F429" s="396">
        <v>10000</v>
      </c>
      <c r="G429" s="396">
        <v>0</v>
      </c>
      <c r="H429" s="347" t="s">
        <v>881</v>
      </c>
      <c r="I429" s="347" t="s">
        <v>296</v>
      </c>
      <c r="K429" s="370"/>
      <c r="N429" s="370"/>
    </row>
    <row r="430" spans="1:14" s="347" customFormat="1" x14ac:dyDescent="0.25">
      <c r="A430" s="369">
        <v>44235</v>
      </c>
      <c r="B430" s="347">
        <v>2</v>
      </c>
      <c r="C430" s="347">
        <v>3110</v>
      </c>
      <c r="D430" s="340" t="str">
        <f>VLOOKUP(C430,Plan!A$1:B$65542,2,0)</f>
        <v>Colectas Normales</v>
      </c>
      <c r="E430" s="396">
        <f>-G430</f>
        <v>-10000</v>
      </c>
      <c r="F430" s="396">
        <v>0</v>
      </c>
      <c r="G430" s="396">
        <f>+F429</f>
        <v>10000</v>
      </c>
      <c r="H430" s="347" t="s">
        <v>881</v>
      </c>
      <c r="I430" s="347" t="s">
        <v>296</v>
      </c>
      <c r="K430" s="370"/>
      <c r="N430" s="370"/>
    </row>
    <row r="431" spans="1:14" s="347" customFormat="1" x14ac:dyDescent="0.25">
      <c r="A431" s="369"/>
      <c r="E431" s="396"/>
      <c r="F431" s="396"/>
      <c r="G431" s="396"/>
      <c r="K431" s="370"/>
      <c r="N431" s="370"/>
    </row>
    <row r="432" spans="1:14" s="347" customFormat="1" x14ac:dyDescent="0.25">
      <c r="A432" s="369">
        <v>44235</v>
      </c>
      <c r="B432" s="347">
        <v>2</v>
      </c>
      <c r="C432" s="347">
        <v>110</v>
      </c>
      <c r="D432" s="340" t="str">
        <f>VLOOKUP(C432,Plan!A$1:B$65542,2,0)</f>
        <v>Disponible Administración</v>
      </c>
      <c r="E432" s="396">
        <f>+F432</f>
        <v>10000</v>
      </c>
      <c r="F432" s="396">
        <v>10000</v>
      </c>
      <c r="G432" s="396">
        <v>0</v>
      </c>
      <c r="H432" s="347" t="s">
        <v>914</v>
      </c>
      <c r="I432" s="347" t="s">
        <v>296</v>
      </c>
      <c r="K432" s="370"/>
      <c r="N432" s="370"/>
    </row>
    <row r="433" spans="1:14" s="347" customFormat="1" x14ac:dyDescent="0.25">
      <c r="A433" s="369">
        <v>44235</v>
      </c>
      <c r="B433" s="347">
        <v>2</v>
      </c>
      <c r="C433" s="347">
        <v>3110</v>
      </c>
      <c r="D433" s="340" t="str">
        <f>VLOOKUP(C433,Plan!A$1:B$65542,2,0)</f>
        <v>Colectas Normales</v>
      </c>
      <c r="E433" s="396">
        <f>-G433</f>
        <v>-10000</v>
      </c>
      <c r="F433" s="396">
        <v>0</v>
      </c>
      <c r="G433" s="396">
        <f>+F432</f>
        <v>10000</v>
      </c>
      <c r="H433" s="347" t="s">
        <v>914</v>
      </c>
      <c r="I433" s="347" t="s">
        <v>296</v>
      </c>
      <c r="K433" s="370"/>
      <c r="N433" s="370"/>
    </row>
    <row r="434" spans="1:14" s="347" customFormat="1" x14ac:dyDescent="0.25">
      <c r="A434" s="369"/>
      <c r="E434" s="396"/>
      <c r="F434" s="396"/>
      <c r="G434" s="396"/>
      <c r="K434" s="370"/>
      <c r="N434" s="370"/>
    </row>
    <row r="435" spans="1:14" s="347" customFormat="1" x14ac:dyDescent="0.25">
      <c r="A435" s="369">
        <v>44235</v>
      </c>
      <c r="B435" s="347">
        <v>2</v>
      </c>
      <c r="C435" s="347">
        <v>110</v>
      </c>
      <c r="D435" s="340" t="str">
        <f>VLOOKUP(C435,Plan!A$1:B$65542,2,0)</f>
        <v>Disponible Administración</v>
      </c>
      <c r="E435" s="396">
        <f>+F435</f>
        <v>3000</v>
      </c>
      <c r="F435" s="396">
        <v>3000</v>
      </c>
      <c r="G435" s="396">
        <v>0</v>
      </c>
      <c r="H435" s="347" t="s">
        <v>915</v>
      </c>
      <c r="I435" s="347" t="s">
        <v>296</v>
      </c>
      <c r="K435" s="370"/>
      <c r="N435" s="370"/>
    </row>
    <row r="436" spans="1:14" s="347" customFormat="1" x14ac:dyDescent="0.25">
      <c r="A436" s="369">
        <v>44235</v>
      </c>
      <c r="B436" s="347">
        <v>2</v>
      </c>
      <c r="C436" s="347">
        <v>3110</v>
      </c>
      <c r="D436" s="340" t="str">
        <f>VLOOKUP(C436,Plan!A$1:B$65542,2,0)</f>
        <v>Colectas Normales</v>
      </c>
      <c r="E436" s="396">
        <f>-G436</f>
        <v>-3000</v>
      </c>
      <c r="F436" s="396">
        <v>0</v>
      </c>
      <c r="G436" s="396">
        <f>+F435</f>
        <v>3000</v>
      </c>
      <c r="H436" s="347" t="s">
        <v>915</v>
      </c>
      <c r="I436" s="347" t="s">
        <v>296</v>
      </c>
      <c r="K436" s="370"/>
      <c r="N436" s="370"/>
    </row>
    <row r="437" spans="1:14" s="347" customFormat="1" x14ac:dyDescent="0.25">
      <c r="A437" s="369"/>
      <c r="E437" s="396"/>
      <c r="F437" s="396"/>
      <c r="G437" s="396"/>
      <c r="K437" s="370"/>
      <c r="N437" s="370"/>
    </row>
    <row r="438" spans="1:14" s="347" customFormat="1" x14ac:dyDescent="0.25">
      <c r="A438" s="369">
        <v>44235</v>
      </c>
      <c r="B438" s="347">
        <v>2</v>
      </c>
      <c r="C438" s="347">
        <v>110</v>
      </c>
      <c r="D438" s="340" t="str">
        <f>VLOOKUP(C438,Plan!A$1:B$65542,2,0)</f>
        <v>Disponible Administración</v>
      </c>
      <c r="E438" s="396">
        <f>+F438</f>
        <v>10000</v>
      </c>
      <c r="F438" s="396">
        <v>10000</v>
      </c>
      <c r="G438" s="396">
        <v>0</v>
      </c>
      <c r="H438" s="347" t="s">
        <v>916</v>
      </c>
      <c r="I438" s="347" t="s">
        <v>296</v>
      </c>
      <c r="K438" s="370"/>
      <c r="N438" s="370"/>
    </row>
    <row r="439" spans="1:14" s="347" customFormat="1" x14ac:dyDescent="0.25">
      <c r="A439" s="369">
        <v>44235</v>
      </c>
      <c r="B439" s="347">
        <v>2</v>
      </c>
      <c r="C439" s="347">
        <v>3110</v>
      </c>
      <c r="D439" s="340" t="str">
        <f>VLOOKUP(C439,Plan!A$1:B$65542,2,0)</f>
        <v>Colectas Normales</v>
      </c>
      <c r="E439" s="396">
        <f>-G439</f>
        <v>-10000</v>
      </c>
      <c r="F439" s="396">
        <v>0</v>
      </c>
      <c r="G439" s="396">
        <f>+F438</f>
        <v>10000</v>
      </c>
      <c r="H439" s="347" t="s">
        <v>916</v>
      </c>
      <c r="I439" s="347" t="s">
        <v>296</v>
      </c>
      <c r="K439" s="370"/>
      <c r="N439" s="370"/>
    </row>
    <row r="440" spans="1:14" s="347" customFormat="1" x14ac:dyDescent="0.25">
      <c r="A440" s="369"/>
      <c r="E440" s="396"/>
      <c r="F440" s="396"/>
      <c r="G440" s="396"/>
      <c r="K440" s="370"/>
      <c r="N440" s="370"/>
    </row>
    <row r="441" spans="1:14" s="347" customFormat="1" x14ac:dyDescent="0.25">
      <c r="A441" s="369">
        <v>44235</v>
      </c>
      <c r="B441" s="347">
        <v>2</v>
      </c>
      <c r="C441" s="347">
        <v>110</v>
      </c>
      <c r="D441" s="340" t="str">
        <f>VLOOKUP(C441,Plan!A$1:B$65542,2,0)</f>
        <v>Disponible Administración</v>
      </c>
      <c r="E441" s="396">
        <f>+F441</f>
        <v>10000</v>
      </c>
      <c r="F441" s="396">
        <v>10000</v>
      </c>
      <c r="G441" s="396">
        <v>0</v>
      </c>
      <c r="H441" s="347" t="s">
        <v>917</v>
      </c>
      <c r="I441" s="347" t="s">
        <v>296</v>
      </c>
      <c r="K441" s="370"/>
      <c r="N441" s="370"/>
    </row>
    <row r="442" spans="1:14" s="347" customFormat="1" x14ac:dyDescent="0.25">
      <c r="A442" s="369">
        <v>44235</v>
      </c>
      <c r="B442" s="347">
        <v>2</v>
      </c>
      <c r="C442" s="347">
        <v>3110</v>
      </c>
      <c r="D442" s="340" t="str">
        <f>VLOOKUP(C442,Plan!A$1:B$65542,2,0)</f>
        <v>Colectas Normales</v>
      </c>
      <c r="E442" s="396">
        <f>-G442</f>
        <v>-10000</v>
      </c>
      <c r="F442" s="396">
        <v>0</v>
      </c>
      <c r="G442" s="396">
        <f>+F441</f>
        <v>10000</v>
      </c>
      <c r="H442" s="347" t="s">
        <v>917</v>
      </c>
      <c r="I442" s="347" t="s">
        <v>296</v>
      </c>
      <c r="K442" s="370"/>
      <c r="N442" s="370"/>
    </row>
    <row r="443" spans="1:14" s="347" customFormat="1" x14ac:dyDescent="0.25">
      <c r="A443" s="369"/>
      <c r="E443" s="396"/>
      <c r="F443" s="396"/>
      <c r="G443" s="396"/>
      <c r="K443" s="370"/>
      <c r="N443" s="370"/>
    </row>
    <row r="444" spans="1:14" s="347" customFormat="1" x14ac:dyDescent="0.25">
      <c r="A444" s="369">
        <v>44235</v>
      </c>
      <c r="B444" s="347">
        <v>2</v>
      </c>
      <c r="C444" s="347">
        <v>110</v>
      </c>
      <c r="D444" s="340" t="str">
        <f>VLOOKUP(C444,Plan!A$1:B$65542,2,0)</f>
        <v>Disponible Administración</v>
      </c>
      <c r="E444" s="396">
        <f>+F444</f>
        <v>20000</v>
      </c>
      <c r="F444" s="396">
        <v>20000</v>
      </c>
      <c r="G444" s="396">
        <v>0</v>
      </c>
      <c r="H444" s="347" t="s">
        <v>918</v>
      </c>
      <c r="I444" s="347" t="s">
        <v>296</v>
      </c>
      <c r="K444" s="370"/>
      <c r="N444" s="370"/>
    </row>
    <row r="445" spans="1:14" s="347" customFormat="1" x14ac:dyDescent="0.25">
      <c r="A445" s="369">
        <v>44235</v>
      </c>
      <c r="B445" s="347">
        <v>2</v>
      </c>
      <c r="C445" s="347">
        <v>3110</v>
      </c>
      <c r="D445" s="340" t="str">
        <f>VLOOKUP(C445,Plan!A$1:B$65542,2,0)</f>
        <v>Colectas Normales</v>
      </c>
      <c r="E445" s="396">
        <f>-G445</f>
        <v>-20000</v>
      </c>
      <c r="F445" s="396">
        <v>0</v>
      </c>
      <c r="G445" s="396">
        <f>+F444</f>
        <v>20000</v>
      </c>
      <c r="H445" s="347" t="s">
        <v>918</v>
      </c>
      <c r="I445" s="347" t="s">
        <v>296</v>
      </c>
      <c r="K445" s="370"/>
      <c r="N445" s="370"/>
    </row>
    <row r="446" spans="1:14" s="347" customFormat="1" x14ac:dyDescent="0.25">
      <c r="A446" s="369"/>
      <c r="E446" s="396"/>
      <c r="F446" s="396"/>
      <c r="G446" s="396"/>
      <c r="K446" s="370"/>
      <c r="N446" s="370"/>
    </row>
    <row r="447" spans="1:14" s="347" customFormat="1" x14ac:dyDescent="0.25">
      <c r="A447" s="369">
        <v>44235</v>
      </c>
      <c r="B447" s="347">
        <v>2</v>
      </c>
      <c r="C447" s="347">
        <v>110</v>
      </c>
      <c r="D447" s="340" t="str">
        <f>VLOOKUP(C447,Plan!A$1:B$65542,2,0)</f>
        <v>Disponible Administración</v>
      </c>
      <c r="E447" s="396">
        <f>+F447</f>
        <v>30000</v>
      </c>
      <c r="F447" s="396">
        <v>30000</v>
      </c>
      <c r="G447" s="396">
        <v>0</v>
      </c>
      <c r="H447" s="347" t="s">
        <v>919</v>
      </c>
      <c r="I447" s="347" t="s">
        <v>296</v>
      </c>
      <c r="K447" s="370"/>
      <c r="N447" s="370"/>
    </row>
    <row r="448" spans="1:14" s="347" customFormat="1" x14ac:dyDescent="0.25">
      <c r="A448" s="369">
        <v>44235</v>
      </c>
      <c r="B448" s="347">
        <v>2</v>
      </c>
      <c r="C448" s="347">
        <v>3110</v>
      </c>
      <c r="D448" s="340" t="str">
        <f>VLOOKUP(C448,Plan!A$1:B$65542,2,0)</f>
        <v>Colectas Normales</v>
      </c>
      <c r="E448" s="396">
        <f>-G448</f>
        <v>-30000</v>
      </c>
      <c r="F448" s="396">
        <v>0</v>
      </c>
      <c r="G448" s="396">
        <f>+F447</f>
        <v>30000</v>
      </c>
      <c r="H448" s="347" t="s">
        <v>919</v>
      </c>
      <c r="I448" s="347" t="s">
        <v>296</v>
      </c>
      <c r="K448" s="370"/>
      <c r="N448" s="370"/>
    </row>
    <row r="449" spans="1:14" s="347" customFormat="1" x14ac:dyDescent="0.25">
      <c r="A449" s="369"/>
      <c r="E449" s="396"/>
      <c r="F449" s="396"/>
      <c r="G449" s="396"/>
      <c r="K449" s="370"/>
      <c r="N449" s="370"/>
    </row>
    <row r="450" spans="1:14" s="347" customFormat="1" x14ac:dyDescent="0.25">
      <c r="A450" s="369">
        <v>44235</v>
      </c>
      <c r="B450" s="347">
        <v>2</v>
      </c>
      <c r="C450" s="347">
        <v>110</v>
      </c>
      <c r="D450" s="340" t="str">
        <f>VLOOKUP(C450,Plan!A$1:B$65542,2,0)</f>
        <v>Disponible Administración</v>
      </c>
      <c r="E450" s="396">
        <f>+F450</f>
        <v>10000</v>
      </c>
      <c r="F450" s="396">
        <v>10000</v>
      </c>
      <c r="G450" s="396">
        <v>0</v>
      </c>
      <c r="H450" s="347" t="s">
        <v>899</v>
      </c>
      <c r="I450" s="347" t="s">
        <v>296</v>
      </c>
      <c r="K450" s="370"/>
      <c r="N450" s="370"/>
    </row>
    <row r="451" spans="1:14" s="347" customFormat="1" x14ac:dyDescent="0.25">
      <c r="A451" s="369">
        <v>44235</v>
      </c>
      <c r="B451" s="347">
        <v>2</v>
      </c>
      <c r="C451" s="347">
        <v>3110</v>
      </c>
      <c r="D451" s="340" t="str">
        <f>VLOOKUP(C451,Plan!A$1:B$65542,2,0)</f>
        <v>Colectas Normales</v>
      </c>
      <c r="E451" s="396">
        <f>-G451</f>
        <v>-10000</v>
      </c>
      <c r="F451" s="396">
        <v>0</v>
      </c>
      <c r="G451" s="396">
        <f>+F450</f>
        <v>10000</v>
      </c>
      <c r="H451" s="347" t="s">
        <v>899</v>
      </c>
      <c r="I451" s="347" t="s">
        <v>296</v>
      </c>
      <c r="K451" s="370"/>
      <c r="N451" s="370"/>
    </row>
    <row r="452" spans="1:14" s="347" customFormat="1" x14ac:dyDescent="0.25">
      <c r="A452" s="369"/>
      <c r="E452" s="396"/>
      <c r="F452" s="396"/>
      <c r="G452" s="396"/>
      <c r="K452" s="370"/>
      <c r="N452" s="370"/>
    </row>
    <row r="453" spans="1:14" s="347" customFormat="1" x14ac:dyDescent="0.25">
      <c r="A453" s="369">
        <v>44235</v>
      </c>
      <c r="B453" s="347">
        <v>2</v>
      </c>
      <c r="C453" s="347">
        <v>110</v>
      </c>
      <c r="D453" s="340" t="str">
        <f>VLOOKUP(C453,Plan!A$1:B$65542,2,0)</f>
        <v>Disponible Administración</v>
      </c>
      <c r="E453" s="396">
        <f>+F453</f>
        <v>40000</v>
      </c>
      <c r="F453" s="396">
        <v>40000</v>
      </c>
      <c r="G453" s="396">
        <v>0</v>
      </c>
      <c r="H453" s="347" t="s">
        <v>920</v>
      </c>
      <c r="I453" s="347" t="s">
        <v>296</v>
      </c>
      <c r="K453" s="370"/>
      <c r="N453" s="370"/>
    </row>
    <row r="454" spans="1:14" s="347" customFormat="1" x14ac:dyDescent="0.25">
      <c r="A454" s="369">
        <v>44235</v>
      </c>
      <c r="B454" s="347">
        <v>2</v>
      </c>
      <c r="C454" s="347">
        <v>3110</v>
      </c>
      <c r="D454" s="340" t="str">
        <f>VLOOKUP(C454,Plan!A$1:B$65542,2,0)</f>
        <v>Colectas Normales</v>
      </c>
      <c r="E454" s="396">
        <f>-G454</f>
        <v>-40000</v>
      </c>
      <c r="F454" s="396">
        <v>0</v>
      </c>
      <c r="G454" s="396">
        <f>+F453</f>
        <v>40000</v>
      </c>
      <c r="H454" s="347" t="s">
        <v>920</v>
      </c>
      <c r="I454" s="347" t="s">
        <v>296</v>
      </c>
      <c r="K454" s="370"/>
      <c r="N454" s="370"/>
    </row>
    <row r="455" spans="1:14" s="347" customFormat="1" x14ac:dyDescent="0.25">
      <c r="A455" s="369"/>
      <c r="E455" s="396"/>
      <c r="F455" s="396"/>
      <c r="G455" s="396"/>
      <c r="K455" s="370"/>
      <c r="N455" s="370"/>
    </row>
    <row r="456" spans="1:14" s="347" customFormat="1" x14ac:dyDescent="0.25">
      <c r="A456" s="369">
        <v>44236</v>
      </c>
      <c r="B456" s="347">
        <v>2</v>
      </c>
      <c r="C456" s="347">
        <v>110</v>
      </c>
      <c r="D456" s="340" t="str">
        <f>VLOOKUP(C456,Plan!A$1:B$65542,2,0)</f>
        <v>Disponible Administración</v>
      </c>
      <c r="E456" s="396">
        <f>+F456</f>
        <v>200000</v>
      </c>
      <c r="F456" s="396">
        <v>200000</v>
      </c>
      <c r="G456" s="396">
        <v>0</v>
      </c>
      <c r="H456" s="347" t="s">
        <v>743</v>
      </c>
      <c r="I456" s="347" t="s">
        <v>296</v>
      </c>
      <c r="K456" s="370"/>
      <c r="N456" s="370"/>
    </row>
    <row r="457" spans="1:14" s="347" customFormat="1" x14ac:dyDescent="0.25">
      <c r="A457" s="369">
        <v>44236</v>
      </c>
      <c r="B457" s="347">
        <v>2</v>
      </c>
      <c r="C457" s="338">
        <v>215</v>
      </c>
      <c r="D457" s="340" t="str">
        <f>VLOOKUP(C457,Plan!A$1:B$65542,2,0)</f>
        <v>Cuenta por Pagar a Cali</v>
      </c>
      <c r="E457" s="396">
        <f>-G457</f>
        <v>-200000</v>
      </c>
      <c r="F457" s="396">
        <v>0</v>
      </c>
      <c r="G457" s="396">
        <v>200000</v>
      </c>
      <c r="H457" s="347" t="s">
        <v>743</v>
      </c>
      <c r="I457" s="347" t="s">
        <v>296</v>
      </c>
      <c r="K457" s="370"/>
      <c r="N457" s="370"/>
    </row>
    <row r="458" spans="1:14" s="347" customFormat="1" x14ac:dyDescent="0.25">
      <c r="A458" s="369"/>
      <c r="E458" s="396"/>
      <c r="F458" s="396"/>
      <c r="G458" s="396"/>
      <c r="K458" s="370"/>
      <c r="N458" s="370"/>
    </row>
    <row r="459" spans="1:14" s="347" customFormat="1" x14ac:dyDescent="0.25">
      <c r="A459" s="339">
        <v>44236</v>
      </c>
      <c r="B459" s="340">
        <v>2</v>
      </c>
      <c r="C459" s="338">
        <v>4324</v>
      </c>
      <c r="D459" s="340" t="str">
        <f>VLOOKUP(C459,Plan!A$1:B$65542,2,0)</f>
        <v>Gas</v>
      </c>
      <c r="E459" s="341">
        <f>+F459-G459</f>
        <v>4195</v>
      </c>
      <c r="F459" s="346">
        <v>4195</v>
      </c>
      <c r="G459" s="346">
        <v>0</v>
      </c>
      <c r="H459" s="343" t="s">
        <v>741</v>
      </c>
      <c r="I459" s="401" t="s">
        <v>296</v>
      </c>
      <c r="K459" s="370"/>
      <c r="N459" s="370"/>
    </row>
    <row r="460" spans="1:14" s="347" customFormat="1" x14ac:dyDescent="0.25">
      <c r="A460" s="339">
        <f>+A459</f>
        <v>44236</v>
      </c>
      <c r="B460" s="340">
        <v>2</v>
      </c>
      <c r="C460" s="338">
        <v>110</v>
      </c>
      <c r="D460" s="340" t="str">
        <f>VLOOKUP(C460,Plan!A$1:B$65542,2,0)</f>
        <v>Disponible Administración</v>
      </c>
      <c r="E460" s="341">
        <f>+F460-G460</f>
        <v>-4195</v>
      </c>
      <c r="F460" s="346"/>
      <c r="G460" s="346">
        <f>+F459</f>
        <v>4195</v>
      </c>
      <c r="H460" s="338" t="str">
        <f>+H459</f>
        <v>PAC Metrogas Oficina</v>
      </c>
      <c r="I460" s="401" t="s">
        <v>296</v>
      </c>
      <c r="K460" s="370"/>
      <c r="N460" s="370"/>
    </row>
    <row r="461" spans="1:14" s="347" customFormat="1" x14ac:dyDescent="0.25">
      <c r="A461" s="369"/>
      <c r="E461" s="396"/>
      <c r="F461" s="396"/>
      <c r="G461" s="396"/>
      <c r="K461" s="370"/>
      <c r="N461" s="370"/>
    </row>
    <row r="462" spans="1:14" s="347" customFormat="1" x14ac:dyDescent="0.25">
      <c r="A462" s="339">
        <v>44236</v>
      </c>
      <c r="B462" s="347">
        <v>2</v>
      </c>
      <c r="C462" s="347">
        <v>110</v>
      </c>
      <c r="D462" s="340" t="str">
        <f>VLOOKUP(C462,Plan!A$1:B$65542,2,0)</f>
        <v>Disponible Administración</v>
      </c>
      <c r="E462" s="396">
        <f>+F462</f>
        <v>981</v>
      </c>
      <c r="F462" s="396">
        <v>981</v>
      </c>
      <c r="G462" s="396">
        <v>0</v>
      </c>
      <c r="H462" s="347" t="s">
        <v>921</v>
      </c>
      <c r="I462" s="347" t="s">
        <v>296</v>
      </c>
      <c r="K462" s="370"/>
      <c r="N462" s="370"/>
    </row>
    <row r="463" spans="1:14" s="347" customFormat="1" x14ac:dyDescent="0.25">
      <c r="A463" s="339">
        <v>44236</v>
      </c>
      <c r="B463" s="347">
        <v>2</v>
      </c>
      <c r="C463" s="347">
        <v>3110</v>
      </c>
      <c r="D463" s="340" t="str">
        <f>VLOOKUP(C463,Plan!A$1:B$65542,2,0)</f>
        <v>Colectas Normales</v>
      </c>
      <c r="E463" s="396">
        <f>-G463</f>
        <v>-981</v>
      </c>
      <c r="F463" s="396">
        <v>0</v>
      </c>
      <c r="G463" s="396">
        <v>981</v>
      </c>
      <c r="H463" s="347" t="s">
        <v>921</v>
      </c>
      <c r="I463" s="347" t="s">
        <v>296</v>
      </c>
      <c r="K463" s="370"/>
      <c r="N463" s="370"/>
    </row>
    <row r="464" spans="1:14" s="347" customFormat="1" x14ac:dyDescent="0.25">
      <c r="E464" s="396"/>
      <c r="F464" s="396"/>
      <c r="G464" s="396"/>
      <c r="K464" s="370"/>
      <c r="N464" s="370"/>
    </row>
    <row r="465" spans="1:14" s="347" customFormat="1" x14ac:dyDescent="0.25">
      <c r="A465" s="369">
        <v>44236</v>
      </c>
      <c r="B465" s="347">
        <v>2</v>
      </c>
      <c r="C465" s="347">
        <v>110</v>
      </c>
      <c r="D465" s="340" t="str">
        <f>VLOOKUP(C465,Plan!A$1:B$65542,2,0)</f>
        <v>Disponible Administración</v>
      </c>
      <c r="E465" s="396">
        <f>+F465</f>
        <v>92000</v>
      </c>
      <c r="F465" s="396">
        <v>92000</v>
      </c>
      <c r="G465" s="396">
        <v>0</v>
      </c>
      <c r="H465" s="347" t="s">
        <v>922</v>
      </c>
      <c r="I465" s="347" t="s">
        <v>296</v>
      </c>
      <c r="K465" s="370"/>
      <c r="N465" s="370"/>
    </row>
    <row r="466" spans="1:14" s="347" customFormat="1" x14ac:dyDescent="0.25">
      <c r="A466" s="369">
        <v>44236</v>
      </c>
      <c r="B466" s="347">
        <v>2</v>
      </c>
      <c r="C466" s="347">
        <v>3110</v>
      </c>
      <c r="D466" s="340" t="str">
        <f>VLOOKUP(C466,Plan!A$1:B$65542,2,0)</f>
        <v>Colectas Normales</v>
      </c>
      <c r="E466" s="396">
        <f>-G466</f>
        <v>-92000</v>
      </c>
      <c r="F466" s="396">
        <v>0</v>
      </c>
      <c r="G466" s="396">
        <f>+F465</f>
        <v>92000</v>
      </c>
      <c r="H466" s="347" t="s">
        <v>922</v>
      </c>
      <c r="I466" s="347" t="s">
        <v>296</v>
      </c>
      <c r="K466" s="370"/>
      <c r="N466" s="370"/>
    </row>
    <row r="467" spans="1:14" s="347" customFormat="1" x14ac:dyDescent="0.25">
      <c r="A467" s="369"/>
      <c r="E467" s="396"/>
      <c r="F467" s="396"/>
      <c r="G467" s="396"/>
      <c r="K467" s="370"/>
      <c r="N467" s="370"/>
    </row>
    <row r="468" spans="1:14" s="347" customFormat="1" x14ac:dyDescent="0.25">
      <c r="A468" s="369">
        <v>44235</v>
      </c>
      <c r="B468" s="347">
        <v>2</v>
      </c>
      <c r="C468" s="347">
        <v>110</v>
      </c>
      <c r="D468" s="340" t="str">
        <f>VLOOKUP(C468,Plan!A$1:B$65542,2,0)</f>
        <v>Disponible Administración</v>
      </c>
      <c r="E468" s="396">
        <f>+F468</f>
        <v>10000</v>
      </c>
      <c r="F468" s="396">
        <v>10000</v>
      </c>
      <c r="G468" s="396">
        <v>0</v>
      </c>
      <c r="H468" s="347" t="s">
        <v>923</v>
      </c>
      <c r="I468" s="347" t="s">
        <v>296</v>
      </c>
      <c r="K468" s="370"/>
      <c r="N468" s="370"/>
    </row>
    <row r="469" spans="1:14" s="347" customFormat="1" x14ac:dyDescent="0.25">
      <c r="A469" s="369">
        <v>44235</v>
      </c>
      <c r="B469" s="347">
        <v>2</v>
      </c>
      <c r="C469" s="347">
        <v>3110</v>
      </c>
      <c r="D469" s="340" t="str">
        <f>VLOOKUP(C469,Plan!A$1:B$65542,2,0)</f>
        <v>Colectas Normales</v>
      </c>
      <c r="E469" s="396">
        <f>-G469</f>
        <v>-10000</v>
      </c>
      <c r="F469" s="396">
        <v>0</v>
      </c>
      <c r="G469" s="396">
        <f>+F468</f>
        <v>10000</v>
      </c>
      <c r="H469" s="347" t="s">
        <v>923</v>
      </c>
      <c r="I469" s="347" t="s">
        <v>296</v>
      </c>
      <c r="K469" s="370"/>
      <c r="N469" s="370"/>
    </row>
    <row r="470" spans="1:14" s="347" customFormat="1" x14ac:dyDescent="0.25">
      <c r="A470" s="369"/>
      <c r="E470" s="396"/>
      <c r="F470" s="396"/>
      <c r="G470" s="396"/>
      <c r="K470" s="370"/>
      <c r="N470" s="370"/>
    </row>
    <row r="471" spans="1:14" s="347" customFormat="1" x14ac:dyDescent="0.25">
      <c r="A471" s="339">
        <v>44237</v>
      </c>
      <c r="B471" s="340">
        <v>2</v>
      </c>
      <c r="C471" s="338">
        <v>4323</v>
      </c>
      <c r="D471" s="340" t="str">
        <f>VLOOKUP(C471,Plan!A$1:B$65542,2,0)</f>
        <v>Telefonía, Internet (VTR, Entel)</v>
      </c>
      <c r="E471" s="341">
        <f>+F471-G471</f>
        <v>57119</v>
      </c>
      <c r="F471" s="346">
        <v>57119</v>
      </c>
      <c r="G471" s="346">
        <v>0</v>
      </c>
      <c r="H471" s="343" t="s">
        <v>746</v>
      </c>
      <c r="I471" s="401" t="s">
        <v>296</v>
      </c>
      <c r="K471" s="370"/>
      <c r="N471" s="370"/>
    </row>
    <row r="472" spans="1:14" s="347" customFormat="1" x14ac:dyDescent="0.25">
      <c r="A472" s="339">
        <f>+A471</f>
        <v>44237</v>
      </c>
      <c r="B472" s="340">
        <v>2</v>
      </c>
      <c r="C472" s="338">
        <v>110</v>
      </c>
      <c r="D472" s="340" t="str">
        <f>VLOOKUP(C472,Plan!A$1:B$65542,2,0)</f>
        <v>Disponible Administración</v>
      </c>
      <c r="E472" s="341">
        <f>+F472-G472</f>
        <v>-57119</v>
      </c>
      <c r="F472" s="346"/>
      <c r="G472" s="346">
        <f>+F471</f>
        <v>57119</v>
      </c>
      <c r="H472" s="338" t="str">
        <f>+H471</f>
        <v>PAC VTR,</v>
      </c>
      <c r="I472" s="401" t="s">
        <v>296</v>
      </c>
      <c r="K472" s="370"/>
      <c r="N472" s="370"/>
    </row>
    <row r="473" spans="1:14" s="347" customFormat="1" x14ac:dyDescent="0.25">
      <c r="A473" s="369"/>
      <c r="E473" s="396"/>
      <c r="F473" s="396"/>
      <c r="G473" s="396"/>
      <c r="K473" s="370"/>
      <c r="N473" s="370"/>
    </row>
    <row r="474" spans="1:14" s="347" customFormat="1" x14ac:dyDescent="0.25">
      <c r="A474" s="369">
        <v>44238</v>
      </c>
      <c r="B474" s="347">
        <v>2</v>
      </c>
      <c r="C474" s="347">
        <v>110</v>
      </c>
      <c r="D474" s="340" t="str">
        <f>VLOOKUP(C474,Plan!A$1:B$65542,2,0)</f>
        <v>Disponible Administración</v>
      </c>
      <c r="E474" s="396">
        <f>+F474</f>
        <v>10000</v>
      </c>
      <c r="F474" s="396">
        <v>10000</v>
      </c>
      <c r="G474" s="396">
        <v>0</v>
      </c>
      <c r="H474" s="347" t="s">
        <v>924</v>
      </c>
      <c r="I474" s="347" t="s">
        <v>296</v>
      </c>
      <c r="K474" s="370"/>
      <c r="N474" s="370"/>
    </row>
    <row r="475" spans="1:14" s="347" customFormat="1" x14ac:dyDescent="0.25">
      <c r="A475" s="369">
        <v>44238</v>
      </c>
      <c r="B475" s="347">
        <v>2</v>
      </c>
      <c r="C475" s="347">
        <v>3110</v>
      </c>
      <c r="D475" s="340" t="str">
        <f>VLOOKUP(C475,Plan!A$1:B$65542,2,0)</f>
        <v>Colectas Normales</v>
      </c>
      <c r="E475" s="396">
        <f>-G475</f>
        <v>-10000</v>
      </c>
      <c r="F475" s="396">
        <v>0</v>
      </c>
      <c r="G475" s="396">
        <f>+F474</f>
        <v>10000</v>
      </c>
      <c r="H475" s="347" t="s">
        <v>924</v>
      </c>
      <c r="I475" s="347" t="s">
        <v>296</v>
      </c>
      <c r="K475" s="370"/>
      <c r="N475" s="370"/>
    </row>
    <row r="476" spans="1:14" s="347" customFormat="1" x14ac:dyDescent="0.25">
      <c r="A476" s="369"/>
      <c r="E476" s="396"/>
      <c r="F476" s="396"/>
      <c r="G476" s="396"/>
      <c r="K476" s="370"/>
      <c r="N476" s="370"/>
    </row>
    <row r="477" spans="1:14" s="347" customFormat="1" x14ac:dyDescent="0.25">
      <c r="A477" s="369">
        <v>44238</v>
      </c>
      <c r="B477" s="347">
        <v>2</v>
      </c>
      <c r="C477" s="347">
        <v>110</v>
      </c>
      <c r="D477" s="340" t="str">
        <f>VLOOKUP(C477,Plan!A$1:B$65542,2,0)</f>
        <v>Disponible Administración</v>
      </c>
      <c r="E477" s="396">
        <f>+F477</f>
        <v>5000</v>
      </c>
      <c r="F477" s="396">
        <v>5000</v>
      </c>
      <c r="G477" s="396">
        <v>0</v>
      </c>
      <c r="H477" s="347" t="s">
        <v>925</v>
      </c>
      <c r="I477" s="347" t="s">
        <v>296</v>
      </c>
      <c r="K477" s="370"/>
      <c r="N477" s="370"/>
    </row>
    <row r="478" spans="1:14" s="347" customFormat="1" x14ac:dyDescent="0.25">
      <c r="A478" s="369">
        <v>44238</v>
      </c>
      <c r="B478" s="347">
        <v>2</v>
      </c>
      <c r="C478" s="347">
        <v>3110</v>
      </c>
      <c r="D478" s="340" t="str">
        <f>VLOOKUP(C478,Plan!A$1:B$65542,2,0)</f>
        <v>Colectas Normales</v>
      </c>
      <c r="E478" s="396">
        <f>-G478</f>
        <v>-5000</v>
      </c>
      <c r="F478" s="396">
        <v>0</v>
      </c>
      <c r="G478" s="396">
        <f>+F477</f>
        <v>5000</v>
      </c>
      <c r="H478" s="347" t="s">
        <v>925</v>
      </c>
      <c r="I478" s="347" t="s">
        <v>296</v>
      </c>
      <c r="K478" s="370"/>
      <c r="N478" s="370"/>
    </row>
    <row r="479" spans="1:14" s="347" customFormat="1" x14ac:dyDescent="0.25">
      <c r="A479" s="369"/>
      <c r="E479" s="396"/>
      <c r="F479" s="396"/>
      <c r="G479" s="396"/>
      <c r="K479" s="370"/>
      <c r="N479" s="370"/>
    </row>
    <row r="480" spans="1:14" s="347" customFormat="1" x14ac:dyDescent="0.25">
      <c r="A480" s="369">
        <v>44239</v>
      </c>
      <c r="B480" s="347">
        <v>2</v>
      </c>
      <c r="C480" s="347">
        <v>110</v>
      </c>
      <c r="D480" s="340" t="str">
        <f>VLOOKUP(C480,Plan!A$1:B$65542,2,0)</f>
        <v>Disponible Administración</v>
      </c>
      <c r="E480" s="396">
        <f>+F480</f>
        <v>29643</v>
      </c>
      <c r="F480" s="396">
        <v>29643</v>
      </c>
      <c r="G480" s="396">
        <v>0</v>
      </c>
      <c r="H480" s="347" t="s">
        <v>897</v>
      </c>
      <c r="I480" s="347" t="s">
        <v>296</v>
      </c>
      <c r="K480" s="370"/>
      <c r="N480" s="370"/>
    </row>
    <row r="481" spans="1:14" s="347" customFormat="1" x14ac:dyDescent="0.25">
      <c r="A481" s="369">
        <v>44239</v>
      </c>
      <c r="B481" s="347">
        <v>2</v>
      </c>
      <c r="C481" s="347">
        <v>3110</v>
      </c>
      <c r="D481" s="340" t="str">
        <f>VLOOKUP(C481,Plan!A$1:B$65542,2,0)</f>
        <v>Colectas Normales</v>
      </c>
      <c r="E481" s="396">
        <f>-G481</f>
        <v>-29643</v>
      </c>
      <c r="F481" s="396">
        <v>0</v>
      </c>
      <c r="G481" s="396">
        <v>29643</v>
      </c>
      <c r="H481" s="347" t="s">
        <v>897</v>
      </c>
      <c r="I481" s="347" t="s">
        <v>296</v>
      </c>
      <c r="K481" s="370"/>
      <c r="N481" s="370"/>
    </row>
    <row r="482" spans="1:14" s="347" customFormat="1" x14ac:dyDescent="0.25">
      <c r="A482" s="369"/>
      <c r="E482" s="396"/>
      <c r="F482" s="396"/>
      <c r="G482" s="396"/>
      <c r="K482" s="370"/>
      <c r="N482" s="370"/>
    </row>
    <row r="483" spans="1:14" s="347" customFormat="1" x14ac:dyDescent="0.25">
      <c r="A483" s="369">
        <v>44239</v>
      </c>
      <c r="B483" s="347">
        <v>2</v>
      </c>
      <c r="C483" s="347">
        <v>110</v>
      </c>
      <c r="D483" s="340" t="str">
        <f>VLOOKUP(C483,Plan!A$1:B$65542,2,0)</f>
        <v>Disponible Administración</v>
      </c>
      <c r="E483" s="396">
        <f>+F483</f>
        <v>25000</v>
      </c>
      <c r="F483" s="396">
        <v>25000</v>
      </c>
      <c r="G483" s="396">
        <v>0</v>
      </c>
      <c r="H483" s="347" t="s">
        <v>926</v>
      </c>
      <c r="I483" s="347" t="s">
        <v>296</v>
      </c>
      <c r="K483" s="370"/>
      <c r="N483" s="370"/>
    </row>
    <row r="484" spans="1:14" s="347" customFormat="1" x14ac:dyDescent="0.25">
      <c r="A484" s="369">
        <v>44239</v>
      </c>
      <c r="B484" s="347">
        <v>2</v>
      </c>
      <c r="C484" s="347">
        <v>3110</v>
      </c>
      <c r="D484" s="340" t="str">
        <f>VLOOKUP(C484,Plan!A$1:B$65542,2,0)</f>
        <v>Colectas Normales</v>
      </c>
      <c r="E484" s="396">
        <f>-G484</f>
        <v>-25000</v>
      </c>
      <c r="F484" s="396">
        <v>0</v>
      </c>
      <c r="G484" s="396">
        <f>+F483</f>
        <v>25000</v>
      </c>
      <c r="H484" s="347" t="s">
        <v>926</v>
      </c>
      <c r="I484" s="347" t="s">
        <v>296</v>
      </c>
      <c r="K484" s="370"/>
      <c r="N484" s="370"/>
    </row>
    <row r="485" spans="1:14" s="347" customFormat="1" x14ac:dyDescent="0.25">
      <c r="A485" s="369"/>
      <c r="E485" s="396"/>
      <c r="F485" s="396"/>
      <c r="G485" s="396"/>
      <c r="K485" s="370"/>
      <c r="N485" s="370"/>
    </row>
    <row r="486" spans="1:14" s="347" customFormat="1" x14ac:dyDescent="0.25">
      <c r="A486" s="369">
        <v>44239</v>
      </c>
      <c r="B486" s="347">
        <v>2</v>
      </c>
      <c r="C486" s="347">
        <v>110</v>
      </c>
      <c r="D486" s="340" t="str">
        <f>VLOOKUP(C486,Plan!A$1:B$65542,2,0)</f>
        <v>Disponible Administración</v>
      </c>
      <c r="E486" s="396">
        <f>+F486</f>
        <v>20000</v>
      </c>
      <c r="F486" s="396">
        <v>20000</v>
      </c>
      <c r="G486" s="396">
        <v>0</v>
      </c>
      <c r="H486" s="347" t="s">
        <v>927</v>
      </c>
      <c r="I486" s="347" t="s">
        <v>296</v>
      </c>
      <c r="K486" s="370"/>
      <c r="N486" s="370"/>
    </row>
    <row r="487" spans="1:14" s="347" customFormat="1" x14ac:dyDescent="0.25">
      <c r="A487" s="369">
        <v>44239</v>
      </c>
      <c r="B487" s="347">
        <v>2</v>
      </c>
      <c r="C487" s="347">
        <v>3110</v>
      </c>
      <c r="D487" s="340" t="str">
        <f>VLOOKUP(C487,Plan!A$1:B$65542,2,0)</f>
        <v>Colectas Normales</v>
      </c>
      <c r="E487" s="396">
        <f>-G487</f>
        <v>-20000</v>
      </c>
      <c r="F487" s="396">
        <v>0</v>
      </c>
      <c r="G487" s="396">
        <f>+F486</f>
        <v>20000</v>
      </c>
      <c r="H487" s="347" t="s">
        <v>927</v>
      </c>
      <c r="I487" s="347" t="s">
        <v>296</v>
      </c>
      <c r="K487" s="370"/>
      <c r="N487" s="370"/>
    </row>
    <row r="488" spans="1:14" s="347" customFormat="1" x14ac:dyDescent="0.25">
      <c r="A488" s="369"/>
      <c r="E488" s="396"/>
      <c r="F488" s="396"/>
      <c r="G488" s="396"/>
      <c r="K488" s="370"/>
      <c r="N488" s="370"/>
    </row>
    <row r="489" spans="1:14" s="347" customFormat="1" x14ac:dyDescent="0.25">
      <c r="A489" s="369">
        <v>44242</v>
      </c>
      <c r="B489" s="347">
        <v>2</v>
      </c>
      <c r="C489" s="347">
        <v>110</v>
      </c>
      <c r="D489" s="340" t="str">
        <f>VLOOKUP(C489,Plan!A$1:B$65542,2,0)</f>
        <v>Disponible Administración</v>
      </c>
      <c r="E489" s="396">
        <f>+F489</f>
        <v>50000</v>
      </c>
      <c r="F489" s="396">
        <v>50000</v>
      </c>
      <c r="G489" s="396">
        <v>0</v>
      </c>
      <c r="H489" s="347" t="s">
        <v>1112</v>
      </c>
      <c r="I489" s="347" t="s">
        <v>296</v>
      </c>
      <c r="K489" s="370"/>
      <c r="N489" s="370"/>
    </row>
    <row r="490" spans="1:14" s="347" customFormat="1" x14ac:dyDescent="0.25">
      <c r="A490" s="369">
        <v>44242</v>
      </c>
      <c r="B490" s="347">
        <v>2</v>
      </c>
      <c r="C490" s="338">
        <v>3340</v>
      </c>
      <c r="D490" s="340" t="str">
        <f>VLOOKUP(C490,Plan!A$1:B$65542,2,0)</f>
        <v>Misas</v>
      </c>
      <c r="E490" s="396">
        <f>-G490</f>
        <v>-50000</v>
      </c>
      <c r="F490" s="396">
        <v>0</v>
      </c>
      <c r="G490" s="396">
        <v>50000</v>
      </c>
      <c r="H490" s="347" t="str">
        <f>+H489</f>
        <v>Misa M.de los Angeles Palma</v>
      </c>
      <c r="I490" s="347" t="s">
        <v>296</v>
      </c>
      <c r="K490" s="370"/>
      <c r="N490" s="370"/>
    </row>
    <row r="491" spans="1:14" s="347" customFormat="1" x14ac:dyDescent="0.25">
      <c r="A491" s="369"/>
      <c r="E491" s="396"/>
      <c r="F491" s="396"/>
      <c r="G491" s="396"/>
      <c r="K491" s="370"/>
      <c r="N491" s="370"/>
    </row>
    <row r="492" spans="1:14" s="347" customFormat="1" x14ac:dyDescent="0.25">
      <c r="A492" s="369">
        <v>44242</v>
      </c>
      <c r="B492" s="347">
        <v>2</v>
      </c>
      <c r="C492" s="347">
        <v>4641</v>
      </c>
      <c r="D492" s="340" t="str">
        <f>VLOOKUP(C492,Plan!A$1:B$65542,2,0)</f>
        <v xml:space="preserve">             Capellanías </v>
      </c>
      <c r="E492" s="396">
        <f>+F492</f>
        <v>255000</v>
      </c>
      <c r="F492" s="396">
        <v>255000</v>
      </c>
      <c r="G492" s="396">
        <v>0</v>
      </c>
      <c r="H492" s="347" t="s">
        <v>928</v>
      </c>
      <c r="I492" s="347" t="s">
        <v>296</v>
      </c>
      <c r="K492" s="370"/>
      <c r="N492" s="370"/>
    </row>
    <row r="493" spans="1:14" s="347" customFormat="1" x14ac:dyDescent="0.25">
      <c r="A493" s="369">
        <v>44242</v>
      </c>
      <c r="B493" s="347">
        <v>2</v>
      </c>
      <c r="C493" s="347">
        <v>110</v>
      </c>
      <c r="D493" s="340" t="str">
        <f>VLOOKUP(C493,Plan!A$1:B$65542,2,0)</f>
        <v>Disponible Administración</v>
      </c>
      <c r="E493" s="396">
        <f>-G493</f>
        <v>-255000</v>
      </c>
      <c r="F493" s="396">
        <v>0</v>
      </c>
      <c r="G493" s="396">
        <f>+F492</f>
        <v>255000</v>
      </c>
      <c r="H493" s="347" t="s">
        <v>928</v>
      </c>
      <c r="I493" s="347" t="s">
        <v>296</v>
      </c>
      <c r="K493" s="370"/>
      <c r="N493" s="370"/>
    </row>
    <row r="494" spans="1:14" s="347" customFormat="1" x14ac:dyDescent="0.25">
      <c r="A494" s="369"/>
      <c r="F494" s="396"/>
      <c r="G494" s="396"/>
      <c r="K494" s="370"/>
      <c r="N494" s="370"/>
    </row>
    <row r="495" spans="1:14" s="347" customFormat="1" x14ac:dyDescent="0.25">
      <c r="A495" s="369">
        <v>44242</v>
      </c>
      <c r="B495" s="347">
        <v>2</v>
      </c>
      <c r="C495" s="347">
        <v>4340</v>
      </c>
      <c r="D495" s="340" t="str">
        <f>VLOOKUP(C495,Plan!A$1:B$65542,2,0)</f>
        <v>Caja Chica</v>
      </c>
      <c r="E495" s="396">
        <f>+F495</f>
        <v>55360</v>
      </c>
      <c r="F495" s="396">
        <v>55360</v>
      </c>
      <c r="G495" s="396">
        <v>0</v>
      </c>
      <c r="H495" s="347" t="s">
        <v>929</v>
      </c>
      <c r="I495" s="347" t="s">
        <v>296</v>
      </c>
      <c r="K495" s="370"/>
      <c r="N495" s="370"/>
    </row>
    <row r="496" spans="1:14" s="347" customFormat="1" x14ac:dyDescent="0.25">
      <c r="A496" s="369">
        <v>44242</v>
      </c>
      <c r="B496" s="347">
        <v>2</v>
      </c>
      <c r="C496" s="347">
        <v>110</v>
      </c>
      <c r="D496" s="340" t="str">
        <f>VLOOKUP(C496,Plan!A$1:B$65542,2,0)</f>
        <v>Disponible Administración</v>
      </c>
      <c r="E496" s="396">
        <f>-G496</f>
        <v>-55360</v>
      </c>
      <c r="F496" s="396">
        <v>0</v>
      </c>
      <c r="G496" s="396">
        <f>+F495</f>
        <v>55360</v>
      </c>
      <c r="H496" s="347" t="s">
        <v>929</v>
      </c>
      <c r="I496" s="347" t="s">
        <v>296</v>
      </c>
      <c r="K496" s="370"/>
      <c r="N496" s="370"/>
    </row>
    <row r="497" spans="1:14" s="347" customFormat="1" x14ac:dyDescent="0.25">
      <c r="A497" s="369"/>
      <c r="F497" s="396"/>
      <c r="G497" s="396"/>
      <c r="K497" s="370"/>
      <c r="N497" s="370"/>
    </row>
    <row r="498" spans="1:14" s="347" customFormat="1" x14ac:dyDescent="0.25">
      <c r="A498" s="369">
        <v>44242</v>
      </c>
      <c r="B498" s="347">
        <v>2</v>
      </c>
      <c r="C498" s="347">
        <v>225</v>
      </c>
      <c r="D498" s="340" t="str">
        <f>VLOOKUP(C498,Plan!A$1:B$65542,2,0)</f>
        <v>Sueldos por Pagar</v>
      </c>
      <c r="E498" s="396">
        <f>+F498</f>
        <v>50000</v>
      </c>
      <c r="F498" s="396">
        <v>50000</v>
      </c>
      <c r="G498" s="396">
        <v>0</v>
      </c>
      <c r="H498" s="347" t="s">
        <v>930</v>
      </c>
      <c r="I498" s="347" t="s">
        <v>296</v>
      </c>
      <c r="K498" s="370"/>
      <c r="N498" s="370"/>
    </row>
    <row r="499" spans="1:14" s="347" customFormat="1" x14ac:dyDescent="0.25">
      <c r="A499" s="369">
        <v>44242</v>
      </c>
      <c r="B499" s="347">
        <v>2</v>
      </c>
      <c r="C499" s="347">
        <v>110</v>
      </c>
      <c r="D499" s="340" t="str">
        <f>VLOOKUP(C499,Plan!A$1:B$65542,2,0)</f>
        <v>Disponible Administración</v>
      </c>
      <c r="E499" s="396">
        <f>-G499</f>
        <v>-50000</v>
      </c>
      <c r="F499" s="396">
        <v>0</v>
      </c>
      <c r="G499" s="396">
        <f>+F498</f>
        <v>50000</v>
      </c>
      <c r="H499" s="347" t="s">
        <v>930</v>
      </c>
      <c r="I499" s="347" t="s">
        <v>296</v>
      </c>
      <c r="K499" s="370"/>
      <c r="N499" s="370"/>
    </row>
    <row r="500" spans="1:14" s="347" customFormat="1" x14ac:dyDescent="0.25">
      <c r="A500" s="369"/>
      <c r="E500" s="396"/>
      <c r="F500" s="396"/>
      <c r="G500" s="396"/>
      <c r="K500" s="370"/>
      <c r="N500" s="370"/>
    </row>
    <row r="501" spans="1:14" s="347" customFormat="1" x14ac:dyDescent="0.25">
      <c r="A501" s="369">
        <v>44242</v>
      </c>
      <c r="B501" s="347">
        <v>2</v>
      </c>
      <c r="C501" s="347">
        <v>110</v>
      </c>
      <c r="D501" s="340" t="str">
        <f>VLOOKUP(C501,Plan!A$1:B$65542,2,0)</f>
        <v>Disponible Administración</v>
      </c>
      <c r="E501" s="396">
        <f>+F501</f>
        <v>25000</v>
      </c>
      <c r="F501" s="396">
        <v>25000</v>
      </c>
      <c r="G501" s="396">
        <v>0</v>
      </c>
      <c r="H501" s="347" t="s">
        <v>931</v>
      </c>
      <c r="I501" s="347" t="s">
        <v>296</v>
      </c>
      <c r="K501" s="370"/>
      <c r="N501" s="370"/>
    </row>
    <row r="502" spans="1:14" s="347" customFormat="1" x14ac:dyDescent="0.25">
      <c r="A502" s="369">
        <v>44242</v>
      </c>
      <c r="B502" s="347">
        <v>2</v>
      </c>
      <c r="C502" s="347">
        <v>3110</v>
      </c>
      <c r="D502" s="340" t="str">
        <f>VLOOKUP(C502,Plan!A$1:B$65542,2,0)</f>
        <v>Colectas Normales</v>
      </c>
      <c r="E502" s="396">
        <f>-G502</f>
        <v>-25000</v>
      </c>
      <c r="F502" s="396">
        <v>0</v>
      </c>
      <c r="G502" s="396">
        <f>+F501</f>
        <v>25000</v>
      </c>
      <c r="H502" s="347" t="s">
        <v>931</v>
      </c>
      <c r="I502" s="347" t="s">
        <v>296</v>
      </c>
      <c r="K502" s="370"/>
      <c r="N502" s="370"/>
    </row>
    <row r="503" spans="1:14" s="347" customFormat="1" x14ac:dyDescent="0.25">
      <c r="A503" s="369"/>
      <c r="E503" s="396"/>
      <c r="F503" s="396"/>
      <c r="G503" s="396"/>
      <c r="K503" s="370"/>
      <c r="N503" s="370"/>
    </row>
    <row r="504" spans="1:14" s="347" customFormat="1" x14ac:dyDescent="0.25">
      <c r="A504" s="369">
        <v>44242</v>
      </c>
      <c r="B504" s="347">
        <v>2</v>
      </c>
      <c r="C504" s="347">
        <v>110</v>
      </c>
      <c r="D504" s="340" t="str">
        <f>VLOOKUP(C504,Plan!A$1:B$65542,2,0)</f>
        <v>Disponible Administración</v>
      </c>
      <c r="E504" s="396">
        <f>+F504</f>
        <v>20000</v>
      </c>
      <c r="F504" s="396">
        <v>20000</v>
      </c>
      <c r="G504" s="396">
        <v>0</v>
      </c>
      <c r="H504" s="347" t="s">
        <v>932</v>
      </c>
      <c r="I504" s="347" t="s">
        <v>296</v>
      </c>
      <c r="K504" s="370"/>
      <c r="N504" s="370"/>
    </row>
    <row r="505" spans="1:14" s="347" customFormat="1" x14ac:dyDescent="0.25">
      <c r="A505" s="369">
        <v>44242</v>
      </c>
      <c r="B505" s="347">
        <v>2</v>
      </c>
      <c r="C505" s="347">
        <v>3350</v>
      </c>
      <c r="D505" s="340" t="str">
        <f>VLOOKUP(C505,Plan!A$1:B$65542,2,0)</f>
        <v>Bautizos</v>
      </c>
      <c r="E505" s="396">
        <f>-G505</f>
        <v>-20000</v>
      </c>
      <c r="F505" s="396">
        <v>0</v>
      </c>
      <c r="G505" s="396">
        <v>20000</v>
      </c>
      <c r="H505" s="347" t="s">
        <v>932</v>
      </c>
      <c r="I505" s="347" t="s">
        <v>296</v>
      </c>
      <c r="K505" s="370"/>
      <c r="N505" s="370"/>
    </row>
    <row r="506" spans="1:14" s="347" customFormat="1" x14ac:dyDescent="0.25">
      <c r="A506" s="369"/>
      <c r="E506" s="396"/>
      <c r="F506" s="396"/>
      <c r="G506" s="396"/>
      <c r="K506" s="370"/>
      <c r="N506" s="370"/>
    </row>
    <row r="507" spans="1:14" s="347" customFormat="1" x14ac:dyDescent="0.25">
      <c r="A507" s="339">
        <v>44242</v>
      </c>
      <c r="B507" s="340">
        <v>2</v>
      </c>
      <c r="C507" s="338">
        <v>4325</v>
      </c>
      <c r="D507" s="340" t="str">
        <f>VLOOKUP(C507,Plan!A$1:B$65542,2,0)</f>
        <v>Alarma (ADT)</v>
      </c>
      <c r="E507" s="341">
        <f>+F507-G507</f>
        <v>42525</v>
      </c>
      <c r="F507" s="346">
        <v>42525</v>
      </c>
      <c r="G507" s="346">
        <v>0</v>
      </c>
      <c r="H507" s="343" t="s">
        <v>750</v>
      </c>
      <c r="I507" s="401" t="s">
        <v>296</v>
      </c>
      <c r="K507" s="370"/>
      <c r="N507" s="370"/>
    </row>
    <row r="508" spans="1:14" s="347" customFormat="1" x14ac:dyDescent="0.25">
      <c r="A508" s="339">
        <f>+A507</f>
        <v>44242</v>
      </c>
      <c r="B508" s="340">
        <v>2</v>
      </c>
      <c r="C508" s="338">
        <v>110</v>
      </c>
      <c r="D508" s="340" t="str">
        <f>VLOOKUP(C508,Plan!A$1:B$65542,2,0)</f>
        <v>Disponible Administración</v>
      </c>
      <c r="E508" s="341">
        <f>+F508-G508</f>
        <v>-42525</v>
      </c>
      <c r="F508" s="346"/>
      <c r="G508" s="346">
        <f>+F507</f>
        <v>42525</v>
      </c>
      <c r="H508" s="338" t="str">
        <f>+H507</f>
        <v>PAC ADT</v>
      </c>
      <c r="I508" s="401" t="s">
        <v>296</v>
      </c>
      <c r="K508" s="370"/>
      <c r="N508" s="370"/>
    </row>
    <row r="509" spans="1:14" s="347" customFormat="1" x14ac:dyDescent="0.25">
      <c r="A509" s="369"/>
      <c r="E509" s="396"/>
      <c r="F509" s="396"/>
      <c r="G509" s="396"/>
      <c r="K509" s="370"/>
      <c r="N509" s="370"/>
    </row>
    <row r="510" spans="1:14" s="347" customFormat="1" x14ac:dyDescent="0.25">
      <c r="A510" s="369">
        <v>44242</v>
      </c>
      <c r="B510" s="347">
        <v>2</v>
      </c>
      <c r="C510" s="347">
        <v>110</v>
      </c>
      <c r="D510" s="340" t="str">
        <f>VLOOKUP(C510,Plan!A$1:B$65542,2,0)</f>
        <v>Disponible Administración</v>
      </c>
      <c r="E510" s="396">
        <f>+F510</f>
        <v>50000</v>
      </c>
      <c r="F510" s="396">
        <v>50000</v>
      </c>
      <c r="G510" s="396">
        <v>0</v>
      </c>
      <c r="H510" s="347" t="s">
        <v>883</v>
      </c>
      <c r="I510" s="347" t="s">
        <v>296</v>
      </c>
      <c r="K510" s="370"/>
      <c r="N510" s="370"/>
    </row>
    <row r="511" spans="1:14" s="347" customFormat="1" x14ac:dyDescent="0.25">
      <c r="A511" s="369">
        <v>44242</v>
      </c>
      <c r="B511" s="347">
        <v>2</v>
      </c>
      <c r="C511" s="338">
        <v>215</v>
      </c>
      <c r="D511" s="340" t="str">
        <f>VLOOKUP(C511,Plan!A$1:B$65542,2,0)</f>
        <v>Cuenta por Pagar a Cali</v>
      </c>
      <c r="E511" s="396">
        <f>-G511</f>
        <v>-50000</v>
      </c>
      <c r="F511" s="396">
        <v>0</v>
      </c>
      <c r="G511" s="396">
        <v>50000</v>
      </c>
      <c r="H511" s="347" t="s">
        <v>883</v>
      </c>
      <c r="I511" s="347" t="s">
        <v>296</v>
      </c>
      <c r="K511" s="370"/>
      <c r="N511" s="370"/>
    </row>
    <row r="512" spans="1:14" s="347" customFormat="1" x14ac:dyDescent="0.25">
      <c r="A512" s="369"/>
      <c r="E512" s="396"/>
      <c r="F512" s="396"/>
      <c r="G512" s="396"/>
      <c r="K512" s="370"/>
      <c r="N512" s="370"/>
    </row>
    <row r="513" spans="1:14" s="347" customFormat="1" x14ac:dyDescent="0.25">
      <c r="A513" s="369">
        <v>44242</v>
      </c>
      <c r="B513" s="347">
        <v>2</v>
      </c>
      <c r="C513" s="347">
        <v>110</v>
      </c>
      <c r="D513" s="340" t="str">
        <f>VLOOKUP(C513,Plan!A$1:B$65542,2,0)</f>
        <v>Disponible Administración</v>
      </c>
      <c r="E513" s="396">
        <f>+F513</f>
        <v>10000</v>
      </c>
      <c r="F513" s="396">
        <v>10000</v>
      </c>
      <c r="G513" s="396">
        <v>0</v>
      </c>
      <c r="H513" s="347" t="s">
        <v>881</v>
      </c>
      <c r="I513" s="347" t="s">
        <v>296</v>
      </c>
      <c r="K513" s="370"/>
      <c r="N513" s="370"/>
    </row>
    <row r="514" spans="1:14" s="347" customFormat="1" x14ac:dyDescent="0.25">
      <c r="A514" s="369">
        <v>44242</v>
      </c>
      <c r="B514" s="347">
        <v>2</v>
      </c>
      <c r="C514" s="347">
        <v>3110</v>
      </c>
      <c r="D514" s="340" t="str">
        <f>VLOOKUP(C514,Plan!A$1:B$65542,2,0)</f>
        <v>Colectas Normales</v>
      </c>
      <c r="E514" s="396">
        <f>-G514</f>
        <v>-10000</v>
      </c>
      <c r="F514" s="396">
        <v>0</v>
      </c>
      <c r="G514" s="396">
        <f>+F513</f>
        <v>10000</v>
      </c>
      <c r="H514" s="347" t="s">
        <v>881</v>
      </c>
      <c r="I514" s="347" t="s">
        <v>296</v>
      </c>
      <c r="K514" s="370"/>
      <c r="N514" s="370"/>
    </row>
    <row r="515" spans="1:14" s="347" customFormat="1" x14ac:dyDescent="0.25">
      <c r="A515" s="369"/>
      <c r="E515" s="396"/>
      <c r="F515" s="396"/>
      <c r="G515" s="396"/>
      <c r="K515" s="370"/>
      <c r="N515" s="370"/>
    </row>
    <row r="516" spans="1:14" s="347" customFormat="1" x14ac:dyDescent="0.25">
      <c r="A516" s="369">
        <v>44242</v>
      </c>
      <c r="B516" s="347">
        <v>2</v>
      </c>
      <c r="C516" s="347">
        <v>110</v>
      </c>
      <c r="D516" s="340" t="str">
        <f>VLOOKUP(C516,Plan!A$1:B$65542,2,0)</f>
        <v>Disponible Administración</v>
      </c>
      <c r="E516" s="396">
        <f>+F516</f>
        <v>5000</v>
      </c>
      <c r="F516" s="396">
        <v>5000</v>
      </c>
      <c r="G516" s="396">
        <v>0</v>
      </c>
      <c r="H516" s="347" t="s">
        <v>933</v>
      </c>
      <c r="I516" s="347" t="s">
        <v>296</v>
      </c>
      <c r="K516" s="370"/>
      <c r="N516" s="370"/>
    </row>
    <row r="517" spans="1:14" s="347" customFormat="1" x14ac:dyDescent="0.25">
      <c r="A517" s="369">
        <v>44242</v>
      </c>
      <c r="B517" s="347">
        <v>2</v>
      </c>
      <c r="C517" s="347">
        <v>3110</v>
      </c>
      <c r="D517" s="340" t="str">
        <f>VLOOKUP(C517,Plan!A$1:B$65542,2,0)</f>
        <v>Colectas Normales</v>
      </c>
      <c r="E517" s="396">
        <f>-G517</f>
        <v>-5000</v>
      </c>
      <c r="F517" s="396">
        <v>0</v>
      </c>
      <c r="G517" s="396">
        <f>+F516</f>
        <v>5000</v>
      </c>
      <c r="H517" s="347" t="s">
        <v>933</v>
      </c>
      <c r="I517" s="347" t="s">
        <v>296</v>
      </c>
      <c r="K517" s="370"/>
      <c r="N517" s="370"/>
    </row>
    <row r="518" spans="1:14" s="347" customFormat="1" x14ac:dyDescent="0.25">
      <c r="A518" s="369"/>
      <c r="E518" s="396"/>
      <c r="F518" s="396"/>
      <c r="G518" s="396"/>
      <c r="K518" s="370"/>
      <c r="N518" s="370"/>
    </row>
    <row r="519" spans="1:14" s="347" customFormat="1" x14ac:dyDescent="0.25">
      <c r="A519" s="369">
        <v>44242</v>
      </c>
      <c r="B519" s="347">
        <v>2</v>
      </c>
      <c r="C519" s="347">
        <v>110</v>
      </c>
      <c r="D519" s="340" t="str">
        <f>VLOOKUP(C519,Plan!A$1:B$65542,2,0)</f>
        <v>Disponible Administración</v>
      </c>
      <c r="E519" s="396">
        <f>+F519</f>
        <v>10000</v>
      </c>
      <c r="F519" s="396">
        <v>10000</v>
      </c>
      <c r="G519" s="396">
        <v>0</v>
      </c>
      <c r="H519" s="347" t="s">
        <v>917</v>
      </c>
      <c r="I519" s="347" t="s">
        <v>296</v>
      </c>
      <c r="K519" s="370"/>
      <c r="N519" s="370"/>
    </row>
    <row r="520" spans="1:14" s="347" customFormat="1" x14ac:dyDescent="0.25">
      <c r="A520" s="369">
        <v>44242</v>
      </c>
      <c r="B520" s="347">
        <v>2</v>
      </c>
      <c r="C520" s="347">
        <v>3110</v>
      </c>
      <c r="D520" s="340" t="str">
        <f>VLOOKUP(C520,Plan!A$1:B$65542,2,0)</f>
        <v>Colectas Normales</v>
      </c>
      <c r="E520" s="396">
        <f>-G520</f>
        <v>-10000</v>
      </c>
      <c r="F520" s="396">
        <v>0</v>
      </c>
      <c r="G520" s="396">
        <f>+F519</f>
        <v>10000</v>
      </c>
      <c r="H520" s="347" t="s">
        <v>917</v>
      </c>
      <c r="I520" s="347" t="s">
        <v>296</v>
      </c>
      <c r="K520" s="370"/>
      <c r="N520" s="370"/>
    </row>
    <row r="521" spans="1:14" s="347" customFormat="1" x14ac:dyDescent="0.25">
      <c r="A521" s="369"/>
      <c r="E521" s="396"/>
      <c r="F521" s="396"/>
      <c r="G521" s="396"/>
      <c r="K521" s="370"/>
      <c r="N521" s="370"/>
    </row>
    <row r="522" spans="1:14" s="347" customFormat="1" x14ac:dyDescent="0.25">
      <c r="A522" s="369">
        <v>44242</v>
      </c>
      <c r="B522" s="347">
        <v>2</v>
      </c>
      <c r="C522" s="347">
        <v>110</v>
      </c>
      <c r="D522" s="340" t="str">
        <f>VLOOKUP(C522,Plan!A$1:B$65542,2,0)</f>
        <v>Disponible Administración</v>
      </c>
      <c r="E522" s="396">
        <f>+F522</f>
        <v>10000</v>
      </c>
      <c r="F522" s="396">
        <v>10000</v>
      </c>
      <c r="G522" s="396">
        <v>0</v>
      </c>
      <c r="H522" s="347" t="s">
        <v>934</v>
      </c>
      <c r="I522" s="347" t="s">
        <v>296</v>
      </c>
      <c r="K522" s="370"/>
      <c r="N522" s="370"/>
    </row>
    <row r="523" spans="1:14" s="347" customFormat="1" x14ac:dyDescent="0.25">
      <c r="A523" s="369">
        <v>44242</v>
      </c>
      <c r="B523" s="347">
        <v>2</v>
      </c>
      <c r="C523" s="347">
        <v>3110</v>
      </c>
      <c r="D523" s="340" t="str">
        <f>VLOOKUP(C523,Plan!A$1:B$65542,2,0)</f>
        <v>Colectas Normales</v>
      </c>
      <c r="E523" s="396">
        <f>-G523</f>
        <v>-10000</v>
      </c>
      <c r="F523" s="396">
        <v>0</v>
      </c>
      <c r="G523" s="396">
        <f>+F522</f>
        <v>10000</v>
      </c>
      <c r="H523" s="347" t="s">
        <v>934</v>
      </c>
      <c r="I523" s="347" t="s">
        <v>296</v>
      </c>
      <c r="K523" s="370"/>
      <c r="N523" s="370"/>
    </row>
    <row r="524" spans="1:14" s="347" customFormat="1" x14ac:dyDescent="0.25">
      <c r="A524" s="369"/>
      <c r="E524" s="396"/>
      <c r="F524" s="396"/>
      <c r="G524" s="396"/>
      <c r="K524" s="370"/>
      <c r="N524" s="370"/>
    </row>
    <row r="525" spans="1:14" s="347" customFormat="1" x14ac:dyDescent="0.25">
      <c r="A525" s="369">
        <v>44242</v>
      </c>
      <c r="B525" s="347">
        <v>2</v>
      </c>
      <c r="C525" s="347">
        <v>110</v>
      </c>
      <c r="D525" s="340" t="str">
        <f>VLOOKUP(C525,Plan!A$1:B$65542,2,0)</f>
        <v>Disponible Administración</v>
      </c>
      <c r="E525" s="396">
        <f>+F525</f>
        <v>16000</v>
      </c>
      <c r="F525" s="396">
        <v>16000</v>
      </c>
      <c r="G525" s="396">
        <v>0</v>
      </c>
      <c r="H525" s="347" t="s">
        <v>886</v>
      </c>
      <c r="I525" s="347" t="s">
        <v>296</v>
      </c>
      <c r="K525" s="370"/>
      <c r="N525" s="370"/>
    </row>
    <row r="526" spans="1:14" s="347" customFormat="1" x14ac:dyDescent="0.25">
      <c r="A526" s="369">
        <v>44242</v>
      </c>
      <c r="B526" s="347">
        <v>2</v>
      </c>
      <c r="C526" s="347">
        <v>3110</v>
      </c>
      <c r="D526" s="340" t="str">
        <f>VLOOKUP(C526,Plan!A$1:B$65542,2,0)</f>
        <v>Colectas Normales</v>
      </c>
      <c r="E526" s="396">
        <f>-G526</f>
        <v>-16000</v>
      </c>
      <c r="F526" s="396">
        <v>0</v>
      </c>
      <c r="G526" s="396">
        <f>+F525</f>
        <v>16000</v>
      </c>
      <c r="H526" s="347" t="s">
        <v>886</v>
      </c>
      <c r="I526" s="347" t="s">
        <v>296</v>
      </c>
      <c r="K526" s="370"/>
      <c r="N526" s="370"/>
    </row>
    <row r="527" spans="1:14" s="347" customFormat="1" x14ac:dyDescent="0.25">
      <c r="A527" s="369"/>
      <c r="E527" s="396"/>
      <c r="F527" s="396"/>
      <c r="G527" s="396"/>
      <c r="K527" s="370"/>
      <c r="N527" s="370"/>
    </row>
    <row r="528" spans="1:14" s="347" customFormat="1" x14ac:dyDescent="0.25">
      <c r="A528" s="369">
        <v>44242</v>
      </c>
      <c r="B528" s="347">
        <v>2</v>
      </c>
      <c r="C528" s="347">
        <v>110</v>
      </c>
      <c r="D528" s="340" t="str">
        <f>VLOOKUP(C528,Plan!A$1:B$65542,2,0)</f>
        <v>Disponible Administración</v>
      </c>
      <c r="E528" s="396">
        <f>+F528</f>
        <v>10000</v>
      </c>
      <c r="F528" s="396">
        <v>10000</v>
      </c>
      <c r="G528" s="396">
        <v>0</v>
      </c>
      <c r="H528" s="347" t="s">
        <v>899</v>
      </c>
      <c r="I528" s="347" t="s">
        <v>296</v>
      </c>
      <c r="K528" s="370"/>
      <c r="N528" s="370"/>
    </row>
    <row r="529" spans="1:14" s="347" customFormat="1" x14ac:dyDescent="0.25">
      <c r="A529" s="369">
        <v>44242</v>
      </c>
      <c r="B529" s="347">
        <v>2</v>
      </c>
      <c r="C529" s="347">
        <v>3110</v>
      </c>
      <c r="D529" s="340" t="str">
        <f>VLOOKUP(C529,Plan!A$1:B$65542,2,0)</f>
        <v>Colectas Normales</v>
      </c>
      <c r="E529" s="396">
        <f>-G529</f>
        <v>-10000</v>
      </c>
      <c r="F529" s="396">
        <v>0</v>
      </c>
      <c r="G529" s="396">
        <f>+F528</f>
        <v>10000</v>
      </c>
      <c r="H529" s="347" t="s">
        <v>899</v>
      </c>
      <c r="I529" s="347" t="s">
        <v>296</v>
      </c>
      <c r="K529" s="370"/>
      <c r="N529" s="370"/>
    </row>
    <row r="530" spans="1:14" s="347" customFormat="1" x14ac:dyDescent="0.25">
      <c r="A530" s="369"/>
      <c r="E530" s="396"/>
      <c r="F530" s="396"/>
      <c r="G530" s="396"/>
      <c r="K530" s="370"/>
      <c r="N530" s="370"/>
    </row>
    <row r="531" spans="1:14" s="347" customFormat="1" x14ac:dyDescent="0.25">
      <c r="A531" s="369">
        <v>44242</v>
      </c>
      <c r="B531" s="347">
        <v>2</v>
      </c>
      <c r="C531" s="347">
        <v>110</v>
      </c>
      <c r="D531" s="340" t="str">
        <f>VLOOKUP(C531,Plan!A$1:B$65542,2,0)</f>
        <v>Disponible Administración</v>
      </c>
      <c r="E531" s="396">
        <f>+F531</f>
        <v>128000</v>
      </c>
      <c r="F531" s="396">
        <v>128000</v>
      </c>
      <c r="G531" s="396">
        <v>0</v>
      </c>
      <c r="H531" s="347" t="s">
        <v>935</v>
      </c>
      <c r="I531" s="347" t="s">
        <v>296</v>
      </c>
      <c r="K531" s="370"/>
      <c r="N531" s="370"/>
    </row>
    <row r="532" spans="1:14" s="347" customFormat="1" x14ac:dyDescent="0.25">
      <c r="A532" s="369">
        <v>44242</v>
      </c>
      <c r="B532" s="347">
        <v>2</v>
      </c>
      <c r="C532" s="347">
        <v>3120</v>
      </c>
      <c r="D532" s="340" t="str">
        <f>VLOOKUP(C532,Plan!A$1:B$65542,2,0)</f>
        <v>Colectas Especiales</v>
      </c>
      <c r="E532" s="396">
        <f>-G532</f>
        <v>-128000</v>
      </c>
      <c r="F532" s="396">
        <v>0</v>
      </c>
      <c r="G532" s="396">
        <f>+F531</f>
        <v>128000</v>
      </c>
      <c r="H532" s="347" t="s">
        <v>935</v>
      </c>
      <c r="I532" s="347" t="s">
        <v>296</v>
      </c>
      <c r="K532" s="370"/>
      <c r="N532" s="370"/>
    </row>
    <row r="533" spans="1:14" s="347" customFormat="1" x14ac:dyDescent="0.25">
      <c r="A533" s="369"/>
      <c r="E533" s="396"/>
      <c r="F533" s="396"/>
      <c r="G533" s="396"/>
      <c r="K533" s="370"/>
      <c r="N533" s="370"/>
    </row>
    <row r="534" spans="1:14" s="347" customFormat="1" x14ac:dyDescent="0.25">
      <c r="A534" s="369">
        <v>44243</v>
      </c>
      <c r="B534" s="347">
        <v>2</v>
      </c>
      <c r="C534" s="347">
        <v>110</v>
      </c>
      <c r="D534" s="340" t="str">
        <f>VLOOKUP(C534,Plan!A$1:B$65542,2,0)</f>
        <v>Disponible Administración</v>
      </c>
      <c r="E534" s="396">
        <f>+F534</f>
        <v>10000</v>
      </c>
      <c r="F534" s="396">
        <v>10000</v>
      </c>
      <c r="G534" s="396">
        <v>0</v>
      </c>
      <c r="H534" s="347" t="s">
        <v>893</v>
      </c>
      <c r="I534" s="347" t="s">
        <v>296</v>
      </c>
      <c r="K534" s="370"/>
      <c r="N534" s="370"/>
    </row>
    <row r="535" spans="1:14" s="347" customFormat="1" x14ac:dyDescent="0.25">
      <c r="A535" s="369">
        <v>44243</v>
      </c>
      <c r="B535" s="347">
        <v>2</v>
      </c>
      <c r="C535" s="347">
        <v>3110</v>
      </c>
      <c r="D535" s="340" t="str">
        <f>VLOOKUP(C535,Plan!A$1:B$65542,2,0)</f>
        <v>Colectas Normales</v>
      </c>
      <c r="E535" s="396">
        <f>-G535</f>
        <v>-10000</v>
      </c>
      <c r="F535" s="396">
        <v>0</v>
      </c>
      <c r="G535" s="396">
        <f>+F534</f>
        <v>10000</v>
      </c>
      <c r="H535" s="347" t="s">
        <v>893</v>
      </c>
      <c r="I535" s="347" t="s">
        <v>296</v>
      </c>
      <c r="K535" s="370"/>
      <c r="N535" s="370"/>
    </row>
    <row r="536" spans="1:14" s="347" customFormat="1" x14ac:dyDescent="0.25">
      <c r="A536" s="369"/>
      <c r="E536" s="396"/>
      <c r="F536" s="396"/>
      <c r="G536" s="396"/>
      <c r="K536" s="370"/>
      <c r="N536" s="370"/>
    </row>
    <row r="537" spans="1:14" s="347" customFormat="1" x14ac:dyDescent="0.25">
      <c r="A537" s="369">
        <v>44243</v>
      </c>
      <c r="B537" s="347">
        <v>2</v>
      </c>
      <c r="C537" s="347">
        <v>4323</v>
      </c>
      <c r="D537" s="340" t="str">
        <f>VLOOKUP(C537,Plan!A$1:B$65542,2,0)</f>
        <v>Telefonía, Internet (VTR, Entel)</v>
      </c>
      <c r="E537" s="396">
        <f>+F537</f>
        <v>20990</v>
      </c>
      <c r="F537" s="396">
        <v>20990</v>
      </c>
      <c r="G537" s="396">
        <v>0</v>
      </c>
      <c r="H537" s="347" t="s">
        <v>669</v>
      </c>
      <c r="I537" s="347" t="s">
        <v>296</v>
      </c>
      <c r="K537" s="370"/>
      <c r="N537" s="370"/>
    </row>
    <row r="538" spans="1:14" s="347" customFormat="1" x14ac:dyDescent="0.25">
      <c r="A538" s="369">
        <v>44243</v>
      </c>
      <c r="B538" s="347">
        <v>2</v>
      </c>
      <c r="C538" s="347">
        <v>110</v>
      </c>
      <c r="D538" s="340" t="str">
        <f>VLOOKUP(C538,Plan!A$1:B$65542,2,0)</f>
        <v>Disponible Administración</v>
      </c>
      <c r="E538" s="396">
        <f>-G538</f>
        <v>-20990</v>
      </c>
      <c r="F538" s="396">
        <v>0</v>
      </c>
      <c r="G538" s="396">
        <f>+F537</f>
        <v>20990</v>
      </c>
      <c r="H538" s="347" t="s">
        <v>669</v>
      </c>
      <c r="I538" s="347" t="s">
        <v>296</v>
      </c>
      <c r="K538" s="370"/>
      <c r="N538" s="370"/>
    </row>
    <row r="539" spans="1:14" s="347" customFormat="1" x14ac:dyDescent="0.25">
      <c r="A539" s="369"/>
      <c r="E539" s="396"/>
      <c r="F539" s="396"/>
      <c r="G539" s="396"/>
      <c r="K539" s="370"/>
      <c r="N539" s="370"/>
    </row>
    <row r="540" spans="1:14" s="347" customFormat="1" x14ac:dyDescent="0.25">
      <c r="A540" s="369">
        <v>44243</v>
      </c>
      <c r="B540" s="347">
        <v>2</v>
      </c>
      <c r="C540" s="347">
        <v>110</v>
      </c>
      <c r="D540" s="340" t="str">
        <f>VLOOKUP(C540,Plan!A$1:B$65542,2,0)</f>
        <v>Disponible Administración</v>
      </c>
      <c r="E540" s="396">
        <f>+F540</f>
        <v>42181</v>
      </c>
      <c r="F540" s="396">
        <v>42181</v>
      </c>
      <c r="G540" s="396">
        <v>0</v>
      </c>
      <c r="H540" s="347" t="s">
        <v>936</v>
      </c>
      <c r="I540" s="347" t="s">
        <v>296</v>
      </c>
      <c r="K540" s="370"/>
      <c r="N540" s="370"/>
    </row>
    <row r="541" spans="1:14" s="347" customFormat="1" x14ac:dyDescent="0.25">
      <c r="A541" s="369">
        <v>44243</v>
      </c>
      <c r="B541" s="347">
        <v>2</v>
      </c>
      <c r="C541" s="347">
        <v>3110</v>
      </c>
      <c r="D541" s="340" t="str">
        <f>VLOOKUP(C541,Plan!A$1:B$65542,2,0)</f>
        <v>Colectas Normales</v>
      </c>
      <c r="E541" s="396">
        <f>-G541</f>
        <v>-42181</v>
      </c>
      <c r="F541" s="396">
        <v>0</v>
      </c>
      <c r="G541" s="396">
        <f>+F540</f>
        <v>42181</v>
      </c>
      <c r="H541" s="347" t="s">
        <v>936</v>
      </c>
      <c r="I541" s="347" t="s">
        <v>296</v>
      </c>
      <c r="K541" s="370"/>
      <c r="N541" s="370"/>
    </row>
    <row r="542" spans="1:14" s="347" customFormat="1" x14ac:dyDescent="0.25">
      <c r="A542" s="369"/>
      <c r="E542" s="396"/>
      <c r="F542" s="396"/>
      <c r="G542" s="396"/>
      <c r="K542" s="370"/>
      <c r="N542" s="370"/>
    </row>
    <row r="543" spans="1:14" s="347" customFormat="1" x14ac:dyDescent="0.25">
      <c r="A543" s="369">
        <v>44244</v>
      </c>
      <c r="B543" s="347">
        <v>2</v>
      </c>
      <c r="C543" s="347">
        <v>110</v>
      </c>
      <c r="D543" s="340" t="str">
        <f>VLOOKUP(C543,Plan!A$1:B$65542,2,0)</f>
        <v>Disponible Administración</v>
      </c>
      <c r="E543" s="396">
        <f>+F543</f>
        <v>3000</v>
      </c>
      <c r="F543" s="396">
        <v>3000</v>
      </c>
      <c r="G543" s="396">
        <v>0</v>
      </c>
      <c r="H543" s="347" t="s">
        <v>915</v>
      </c>
      <c r="I543" s="347" t="s">
        <v>296</v>
      </c>
      <c r="K543" s="370"/>
      <c r="N543" s="370"/>
    </row>
    <row r="544" spans="1:14" s="347" customFormat="1" x14ac:dyDescent="0.25">
      <c r="A544" s="369">
        <v>44244</v>
      </c>
      <c r="B544" s="347">
        <v>2</v>
      </c>
      <c r="C544" s="347">
        <v>3110</v>
      </c>
      <c r="D544" s="340" t="str">
        <f>VLOOKUP(C544,Plan!A$1:B$65542,2,0)</f>
        <v>Colectas Normales</v>
      </c>
      <c r="E544" s="396">
        <f>-G544</f>
        <v>-3000</v>
      </c>
      <c r="F544" s="396">
        <v>0</v>
      </c>
      <c r="G544" s="396">
        <f>+F543</f>
        <v>3000</v>
      </c>
      <c r="H544" s="347" t="s">
        <v>915</v>
      </c>
      <c r="I544" s="347" t="s">
        <v>296</v>
      </c>
      <c r="K544" s="370"/>
      <c r="N544" s="370"/>
    </row>
    <row r="545" spans="1:14" s="347" customFormat="1" x14ac:dyDescent="0.25">
      <c r="A545" s="369"/>
      <c r="E545" s="396"/>
      <c r="F545" s="396"/>
      <c r="G545" s="396"/>
      <c r="K545" s="370"/>
      <c r="N545" s="370"/>
    </row>
    <row r="546" spans="1:14" s="347" customFormat="1" x14ac:dyDescent="0.25">
      <c r="A546" s="369">
        <v>44245</v>
      </c>
      <c r="B546" s="347">
        <v>2</v>
      </c>
      <c r="C546" s="347">
        <v>110</v>
      </c>
      <c r="D546" s="340" t="str">
        <f>VLOOKUP(C546,Plan!A$1:B$65542,2,0)</f>
        <v>Disponible Administración</v>
      </c>
      <c r="E546" s="396">
        <f>+F546</f>
        <v>19678</v>
      </c>
      <c r="F546" s="396">
        <v>19678</v>
      </c>
      <c r="G546" s="396">
        <v>0</v>
      </c>
      <c r="H546" s="347" t="s">
        <v>937</v>
      </c>
      <c r="I546" s="347" t="s">
        <v>296</v>
      </c>
      <c r="K546" s="370"/>
      <c r="N546" s="370"/>
    </row>
    <row r="547" spans="1:14" s="347" customFormat="1" x14ac:dyDescent="0.25">
      <c r="A547" s="369">
        <v>44245</v>
      </c>
      <c r="B547" s="347">
        <v>2</v>
      </c>
      <c r="C547" s="347">
        <v>3110</v>
      </c>
      <c r="D547" s="340" t="str">
        <f>VLOOKUP(C547,Plan!A$1:B$65542,2,0)</f>
        <v>Colectas Normales</v>
      </c>
      <c r="E547" s="396">
        <f>-G547</f>
        <v>-19678</v>
      </c>
      <c r="F547" s="396">
        <v>0</v>
      </c>
      <c r="G547" s="396">
        <f>+F546</f>
        <v>19678</v>
      </c>
      <c r="H547" s="347" t="s">
        <v>937</v>
      </c>
      <c r="I547" s="347" t="s">
        <v>296</v>
      </c>
      <c r="K547" s="370"/>
      <c r="N547" s="370"/>
    </row>
    <row r="548" spans="1:14" s="347" customFormat="1" x14ac:dyDescent="0.25">
      <c r="A548" s="369"/>
      <c r="E548" s="396"/>
      <c r="F548" s="396"/>
      <c r="G548" s="396"/>
      <c r="K548" s="370"/>
      <c r="N548" s="370"/>
    </row>
    <row r="549" spans="1:14" s="347" customFormat="1" x14ac:dyDescent="0.25">
      <c r="A549" s="369">
        <v>44245</v>
      </c>
      <c r="B549" s="347">
        <v>2</v>
      </c>
      <c r="C549" s="347">
        <v>110</v>
      </c>
      <c r="D549" s="340" t="str">
        <f>VLOOKUP(C549,Plan!A$1:B$65542,2,0)</f>
        <v>Disponible Administración</v>
      </c>
      <c r="E549" s="396">
        <f>+F549</f>
        <v>5000</v>
      </c>
      <c r="F549" s="396">
        <v>5000</v>
      </c>
      <c r="G549" s="396">
        <v>0</v>
      </c>
      <c r="H549" s="347" t="s">
        <v>923</v>
      </c>
      <c r="I549" s="347" t="s">
        <v>296</v>
      </c>
      <c r="K549" s="370"/>
      <c r="N549" s="370"/>
    </row>
    <row r="550" spans="1:14" s="347" customFormat="1" x14ac:dyDescent="0.25">
      <c r="A550" s="369">
        <v>44245</v>
      </c>
      <c r="B550" s="347">
        <v>2</v>
      </c>
      <c r="C550" s="347">
        <v>3110</v>
      </c>
      <c r="D550" s="340" t="str">
        <f>VLOOKUP(C550,Plan!A$1:B$65542,2,0)</f>
        <v>Colectas Normales</v>
      </c>
      <c r="E550" s="396">
        <f>-G550</f>
        <v>-5000</v>
      </c>
      <c r="F550" s="396">
        <v>0</v>
      </c>
      <c r="G550" s="396">
        <f>+F549</f>
        <v>5000</v>
      </c>
      <c r="H550" s="347" t="s">
        <v>923</v>
      </c>
      <c r="I550" s="347" t="s">
        <v>296</v>
      </c>
      <c r="K550" s="370"/>
      <c r="N550" s="370"/>
    </row>
    <row r="551" spans="1:14" s="347" customFormat="1" x14ac:dyDescent="0.25">
      <c r="A551" s="369"/>
      <c r="E551" s="396"/>
      <c r="F551" s="396"/>
      <c r="G551" s="396"/>
      <c r="K551" s="370"/>
      <c r="N551" s="370"/>
    </row>
    <row r="552" spans="1:14" s="347" customFormat="1" x14ac:dyDescent="0.25">
      <c r="A552" s="369">
        <v>44246</v>
      </c>
      <c r="B552" s="347">
        <v>2</v>
      </c>
      <c r="C552" s="347">
        <v>110</v>
      </c>
      <c r="D552" s="340" t="str">
        <f>VLOOKUP(C552,Plan!A$1:B$65542,2,0)</f>
        <v>Disponible Administración</v>
      </c>
      <c r="E552" s="396">
        <f>+F552</f>
        <v>20000</v>
      </c>
      <c r="F552" s="396">
        <v>20000</v>
      </c>
      <c r="G552" s="396">
        <v>0</v>
      </c>
      <c r="H552" s="347" t="s">
        <v>938</v>
      </c>
      <c r="I552" s="347" t="s">
        <v>296</v>
      </c>
      <c r="K552" s="370"/>
      <c r="N552" s="370"/>
    </row>
    <row r="553" spans="1:14" s="347" customFormat="1" x14ac:dyDescent="0.25">
      <c r="A553" s="369">
        <v>44246</v>
      </c>
      <c r="B553" s="347">
        <v>2</v>
      </c>
      <c r="C553" s="347">
        <v>3110</v>
      </c>
      <c r="D553" s="340" t="str">
        <f>VLOOKUP(C553,Plan!A$1:B$65542,2,0)</f>
        <v>Colectas Normales</v>
      </c>
      <c r="E553" s="396">
        <f>-G553</f>
        <v>-20000</v>
      </c>
      <c r="F553" s="396">
        <v>0</v>
      </c>
      <c r="G553" s="396">
        <f>+F552</f>
        <v>20000</v>
      </c>
      <c r="H553" s="347" t="s">
        <v>938</v>
      </c>
      <c r="I553" s="347" t="s">
        <v>296</v>
      </c>
      <c r="K553" s="370"/>
      <c r="N553" s="370"/>
    </row>
    <row r="554" spans="1:14" s="347" customFormat="1" x14ac:dyDescent="0.25">
      <c r="A554" s="369"/>
      <c r="E554" s="396"/>
      <c r="F554" s="396"/>
      <c r="G554" s="396"/>
      <c r="K554" s="370"/>
      <c r="N554" s="370"/>
    </row>
    <row r="555" spans="1:14" s="347" customFormat="1" x14ac:dyDescent="0.25">
      <c r="A555" s="369">
        <v>44246</v>
      </c>
      <c r="B555" s="347">
        <v>2</v>
      </c>
      <c r="C555" s="347">
        <v>110</v>
      </c>
      <c r="D555" s="340" t="str">
        <f>VLOOKUP(C555,Plan!A$1:B$65542,2,0)</f>
        <v>Disponible Administración</v>
      </c>
      <c r="E555" s="396">
        <f>+F555</f>
        <v>25000</v>
      </c>
      <c r="F555" s="396">
        <v>25000</v>
      </c>
      <c r="G555" s="396">
        <v>0</v>
      </c>
      <c r="H555" s="347" t="s">
        <v>939</v>
      </c>
      <c r="I555" s="347" t="s">
        <v>296</v>
      </c>
      <c r="K555" s="370"/>
      <c r="N555" s="370"/>
    </row>
    <row r="556" spans="1:14" s="347" customFormat="1" x14ac:dyDescent="0.25">
      <c r="A556" s="369">
        <v>44246</v>
      </c>
      <c r="B556" s="347">
        <v>2</v>
      </c>
      <c r="C556" s="347">
        <v>3110</v>
      </c>
      <c r="D556" s="340" t="str">
        <f>VLOOKUP(C556,Plan!A$1:B$65542,2,0)</f>
        <v>Colectas Normales</v>
      </c>
      <c r="E556" s="396">
        <f>-G556</f>
        <v>-25000</v>
      </c>
      <c r="F556" s="396">
        <v>0</v>
      </c>
      <c r="G556" s="396">
        <f>+F555</f>
        <v>25000</v>
      </c>
      <c r="H556" s="347" t="s">
        <v>939</v>
      </c>
      <c r="I556" s="347" t="s">
        <v>296</v>
      </c>
      <c r="K556" s="370"/>
      <c r="N556" s="370"/>
    </row>
    <row r="557" spans="1:14" s="347" customFormat="1" x14ac:dyDescent="0.25">
      <c r="A557" s="369"/>
      <c r="E557" s="396"/>
      <c r="F557" s="396"/>
      <c r="G557" s="396"/>
      <c r="K557" s="370"/>
      <c r="N557" s="370"/>
    </row>
    <row r="558" spans="1:14" s="347" customFormat="1" x14ac:dyDescent="0.25">
      <c r="A558" s="369">
        <v>44246</v>
      </c>
      <c r="B558" s="347">
        <v>2</v>
      </c>
      <c r="C558" s="347">
        <v>110</v>
      </c>
      <c r="D558" s="340" t="str">
        <f>VLOOKUP(C558,Plan!A$1:B$65542,2,0)</f>
        <v>Disponible Administración</v>
      </c>
      <c r="E558" s="396">
        <f>+F558</f>
        <v>15000</v>
      </c>
      <c r="F558" s="396">
        <v>15000</v>
      </c>
      <c r="G558" s="396">
        <v>0</v>
      </c>
      <c r="H558" s="347" t="s">
        <v>940</v>
      </c>
      <c r="I558" s="347" t="s">
        <v>296</v>
      </c>
      <c r="K558" s="370"/>
      <c r="N558" s="370"/>
    </row>
    <row r="559" spans="1:14" s="347" customFormat="1" x14ac:dyDescent="0.25">
      <c r="A559" s="369">
        <v>44246</v>
      </c>
      <c r="B559" s="347">
        <v>2</v>
      </c>
      <c r="C559" s="338">
        <v>215</v>
      </c>
      <c r="D559" s="340" t="str">
        <f>VLOOKUP(C559,Plan!A$1:B$65542,2,0)</f>
        <v>Cuenta por Pagar a Cali</v>
      </c>
      <c r="E559" s="396">
        <f>-G559</f>
        <v>-15000</v>
      </c>
      <c r="F559" s="396">
        <v>0</v>
      </c>
      <c r="G559" s="396">
        <v>15000</v>
      </c>
      <c r="H559" s="347" t="s">
        <v>940</v>
      </c>
      <c r="I559" s="347" t="s">
        <v>296</v>
      </c>
      <c r="K559" s="370"/>
      <c r="N559" s="370"/>
    </row>
    <row r="560" spans="1:14" s="347" customFormat="1" x14ac:dyDescent="0.25">
      <c r="A560" s="369"/>
      <c r="E560" s="396"/>
      <c r="F560" s="396"/>
      <c r="G560" s="396"/>
      <c r="K560" s="370"/>
      <c r="N560" s="370"/>
    </row>
    <row r="561" spans="1:14" s="347" customFormat="1" x14ac:dyDescent="0.25">
      <c r="A561" s="369">
        <v>44246</v>
      </c>
      <c r="B561" s="347">
        <v>2</v>
      </c>
      <c r="C561" s="347">
        <v>110</v>
      </c>
      <c r="D561" s="340" t="str">
        <f>VLOOKUP(C561,Plan!A$1:B$65542,2,0)</f>
        <v>Disponible Administración</v>
      </c>
      <c r="E561" s="396">
        <f>+F561</f>
        <v>15000</v>
      </c>
      <c r="F561" s="396">
        <v>15000</v>
      </c>
      <c r="G561" s="396">
        <v>0</v>
      </c>
      <c r="H561" s="347" t="s">
        <v>941</v>
      </c>
      <c r="I561" s="347" t="s">
        <v>296</v>
      </c>
      <c r="K561" s="370"/>
      <c r="N561" s="370"/>
    </row>
    <row r="562" spans="1:14" s="347" customFormat="1" x14ac:dyDescent="0.25">
      <c r="A562" s="369">
        <v>44246</v>
      </c>
      <c r="B562" s="347">
        <v>2</v>
      </c>
      <c r="C562" s="338">
        <v>215</v>
      </c>
      <c r="D562" s="340" t="str">
        <f>VLOOKUP(C562,Plan!A$1:B$65542,2,0)</f>
        <v>Cuenta por Pagar a Cali</v>
      </c>
      <c r="E562" s="396">
        <f>-G562</f>
        <v>-15000</v>
      </c>
      <c r="F562" s="396">
        <v>0</v>
      </c>
      <c r="G562" s="396">
        <v>15000</v>
      </c>
      <c r="H562" s="347" t="s">
        <v>941</v>
      </c>
      <c r="I562" s="347" t="s">
        <v>296</v>
      </c>
      <c r="K562" s="370"/>
      <c r="N562" s="370"/>
    </row>
    <row r="563" spans="1:14" s="347" customFormat="1" x14ac:dyDescent="0.25">
      <c r="A563" s="369"/>
      <c r="E563" s="396"/>
      <c r="F563" s="396"/>
      <c r="G563" s="396"/>
      <c r="K563" s="370"/>
      <c r="N563" s="370"/>
    </row>
    <row r="564" spans="1:14" s="347" customFormat="1" x14ac:dyDescent="0.25">
      <c r="A564" s="369">
        <v>44249</v>
      </c>
      <c r="B564" s="347">
        <v>2</v>
      </c>
      <c r="C564" s="347">
        <v>110</v>
      </c>
      <c r="D564" s="340" t="str">
        <f>VLOOKUP(C564,Plan!A$1:B$65542,2,0)</f>
        <v>Disponible Administración</v>
      </c>
      <c r="E564" s="396">
        <f>+F564</f>
        <v>15000</v>
      </c>
      <c r="F564" s="396">
        <v>15000</v>
      </c>
      <c r="G564" s="396">
        <v>0</v>
      </c>
      <c r="H564" s="347" t="s">
        <v>942</v>
      </c>
      <c r="I564" s="347" t="s">
        <v>296</v>
      </c>
      <c r="K564" s="370"/>
      <c r="N564" s="370"/>
    </row>
    <row r="565" spans="1:14" s="347" customFormat="1" x14ac:dyDescent="0.25">
      <c r="A565" s="369">
        <v>44249</v>
      </c>
      <c r="B565" s="347">
        <v>2</v>
      </c>
      <c r="C565" s="347">
        <v>3110</v>
      </c>
      <c r="D565" s="340" t="str">
        <f>VLOOKUP(C565,Plan!A$1:B$65542,2,0)</f>
        <v>Colectas Normales</v>
      </c>
      <c r="E565" s="396">
        <f>-G565</f>
        <v>-15000</v>
      </c>
      <c r="F565" s="396">
        <v>0</v>
      </c>
      <c r="G565" s="396">
        <v>15000</v>
      </c>
      <c r="H565" s="347" t="s">
        <v>942</v>
      </c>
      <c r="I565" s="347" t="s">
        <v>296</v>
      </c>
      <c r="K565" s="370"/>
      <c r="N565" s="370"/>
    </row>
    <row r="566" spans="1:14" s="347" customFormat="1" x14ac:dyDescent="0.25">
      <c r="A566" s="369"/>
      <c r="E566" s="396"/>
      <c r="F566" s="396"/>
      <c r="G566" s="396"/>
      <c r="K566" s="370"/>
      <c r="N566" s="370"/>
    </row>
    <row r="567" spans="1:14" s="347" customFormat="1" x14ac:dyDescent="0.25">
      <c r="A567" s="369">
        <v>44249</v>
      </c>
      <c r="B567" s="347">
        <v>2</v>
      </c>
      <c r="C567" s="347">
        <v>110</v>
      </c>
      <c r="D567" s="340" t="str">
        <f>VLOOKUP(C567,Plan!A$1:B$65542,2,0)</f>
        <v>Disponible Administración</v>
      </c>
      <c r="E567" s="396">
        <f>+F567</f>
        <v>15000</v>
      </c>
      <c r="F567" s="396">
        <v>15000</v>
      </c>
      <c r="G567" s="396">
        <v>0</v>
      </c>
      <c r="H567" s="347" t="s">
        <v>943</v>
      </c>
      <c r="I567" s="347" t="s">
        <v>296</v>
      </c>
      <c r="K567" s="370"/>
      <c r="N567" s="370"/>
    </row>
    <row r="568" spans="1:14" s="347" customFormat="1" x14ac:dyDescent="0.25">
      <c r="A568" s="369">
        <v>44249</v>
      </c>
      <c r="B568" s="347">
        <v>2</v>
      </c>
      <c r="C568" s="347">
        <v>3110</v>
      </c>
      <c r="D568" s="340" t="str">
        <f>VLOOKUP(C568,Plan!A$1:B$65542,2,0)</f>
        <v>Colectas Normales</v>
      </c>
      <c r="E568" s="396">
        <f>-G568</f>
        <v>-15000</v>
      </c>
      <c r="F568" s="396">
        <v>0</v>
      </c>
      <c r="G568" s="396">
        <v>15000</v>
      </c>
      <c r="H568" s="347" t="s">
        <v>943</v>
      </c>
      <c r="I568" s="347" t="s">
        <v>296</v>
      </c>
      <c r="K568" s="370"/>
      <c r="N568" s="370"/>
    </row>
    <row r="569" spans="1:14" s="347" customFormat="1" x14ac:dyDescent="0.25">
      <c r="A569" s="369"/>
      <c r="E569" s="396"/>
      <c r="F569" s="396"/>
      <c r="G569" s="396"/>
      <c r="K569" s="370"/>
      <c r="N569" s="370"/>
    </row>
    <row r="570" spans="1:14" s="347" customFormat="1" x14ac:dyDescent="0.25">
      <c r="A570" s="369">
        <v>44249</v>
      </c>
      <c r="B570" s="347">
        <v>2</v>
      </c>
      <c r="C570" s="347">
        <v>110</v>
      </c>
      <c r="D570" s="340" t="str">
        <f>VLOOKUP(C570,Plan!A$1:B$65542,2,0)</f>
        <v>Disponible Administración</v>
      </c>
      <c r="E570" s="396">
        <f>+F570</f>
        <v>10000</v>
      </c>
      <c r="F570" s="396">
        <v>10000</v>
      </c>
      <c r="G570" s="396">
        <v>0</v>
      </c>
      <c r="H570" s="347" t="s">
        <v>881</v>
      </c>
      <c r="I570" s="347" t="s">
        <v>296</v>
      </c>
      <c r="K570" s="370"/>
      <c r="N570" s="370"/>
    </row>
    <row r="571" spans="1:14" s="347" customFormat="1" x14ac:dyDescent="0.25">
      <c r="A571" s="369">
        <v>44249</v>
      </c>
      <c r="B571" s="347">
        <v>2</v>
      </c>
      <c r="C571" s="347">
        <v>3110</v>
      </c>
      <c r="D571" s="340" t="str">
        <f>VLOOKUP(C571,Plan!A$1:B$65542,2,0)</f>
        <v>Colectas Normales</v>
      </c>
      <c r="E571" s="396">
        <f>-G571</f>
        <v>-10000</v>
      </c>
      <c r="F571" s="396">
        <v>0</v>
      </c>
      <c r="G571" s="396">
        <f>+F570</f>
        <v>10000</v>
      </c>
      <c r="H571" s="347" t="s">
        <v>881</v>
      </c>
      <c r="I571" s="347" t="s">
        <v>296</v>
      </c>
      <c r="K571" s="370"/>
      <c r="N571" s="370"/>
    </row>
    <row r="572" spans="1:14" s="347" customFormat="1" x14ac:dyDescent="0.25">
      <c r="A572" s="369"/>
      <c r="E572" s="396"/>
      <c r="F572" s="396"/>
      <c r="G572" s="396"/>
      <c r="K572" s="370"/>
      <c r="N572" s="370"/>
    </row>
    <row r="573" spans="1:14" s="347" customFormat="1" x14ac:dyDescent="0.25">
      <c r="A573" s="369">
        <v>44249</v>
      </c>
      <c r="B573" s="347">
        <v>2</v>
      </c>
      <c r="C573" s="347">
        <v>110</v>
      </c>
      <c r="D573" s="340" t="str">
        <f>VLOOKUP(C573,Plan!A$1:B$65542,2,0)</f>
        <v>Disponible Administración</v>
      </c>
      <c r="E573" s="396">
        <f>+F573</f>
        <v>10000</v>
      </c>
      <c r="F573" s="396">
        <v>10000</v>
      </c>
      <c r="G573" s="396">
        <v>0</v>
      </c>
      <c r="H573" s="347" t="s">
        <v>917</v>
      </c>
      <c r="I573" s="347" t="s">
        <v>296</v>
      </c>
      <c r="K573" s="370"/>
      <c r="N573" s="370"/>
    </row>
    <row r="574" spans="1:14" s="347" customFormat="1" x14ac:dyDescent="0.25">
      <c r="A574" s="369">
        <v>44249</v>
      </c>
      <c r="B574" s="347">
        <v>2</v>
      </c>
      <c r="C574" s="347">
        <v>3110</v>
      </c>
      <c r="D574" s="340" t="str">
        <f>VLOOKUP(C574,Plan!A$1:B$65542,2,0)</f>
        <v>Colectas Normales</v>
      </c>
      <c r="E574" s="396">
        <f>-G574</f>
        <v>-10000</v>
      </c>
      <c r="F574" s="396">
        <v>0</v>
      </c>
      <c r="G574" s="396">
        <f>+F573</f>
        <v>10000</v>
      </c>
      <c r="H574" s="347" t="s">
        <v>917</v>
      </c>
      <c r="I574" s="347" t="s">
        <v>296</v>
      </c>
      <c r="K574" s="370"/>
      <c r="N574" s="370"/>
    </row>
    <row r="575" spans="1:14" s="347" customFormat="1" x14ac:dyDescent="0.25">
      <c r="A575" s="369"/>
      <c r="E575" s="396"/>
      <c r="F575" s="396"/>
      <c r="G575" s="396"/>
      <c r="K575" s="370"/>
      <c r="N575" s="370"/>
    </row>
    <row r="576" spans="1:14" s="347" customFormat="1" x14ac:dyDescent="0.25">
      <c r="A576" s="369">
        <v>44249</v>
      </c>
      <c r="B576" s="347">
        <v>2</v>
      </c>
      <c r="C576" s="347">
        <v>110</v>
      </c>
      <c r="D576" s="340" t="str">
        <f>VLOOKUP(C576,Plan!A$1:B$65542,2,0)</f>
        <v>Disponible Administración</v>
      </c>
      <c r="E576" s="396">
        <f>+F576</f>
        <v>10000</v>
      </c>
      <c r="F576" s="396">
        <v>10000</v>
      </c>
      <c r="G576" s="396">
        <v>0</v>
      </c>
      <c r="H576" s="347" t="s">
        <v>944</v>
      </c>
      <c r="I576" s="347" t="s">
        <v>296</v>
      </c>
      <c r="K576" s="370"/>
      <c r="N576" s="370"/>
    </row>
    <row r="577" spans="1:14" s="347" customFormat="1" x14ac:dyDescent="0.25">
      <c r="A577" s="369">
        <v>44249</v>
      </c>
      <c r="B577" s="347">
        <v>2</v>
      </c>
      <c r="C577" s="347">
        <v>3110</v>
      </c>
      <c r="D577" s="340" t="str">
        <f>VLOOKUP(C577,Plan!A$1:B$65542,2,0)</f>
        <v>Colectas Normales</v>
      </c>
      <c r="E577" s="396">
        <f>-G577</f>
        <v>-10000</v>
      </c>
      <c r="F577" s="396">
        <v>0</v>
      </c>
      <c r="G577" s="396">
        <f>+F576</f>
        <v>10000</v>
      </c>
      <c r="H577" s="347" t="s">
        <v>944</v>
      </c>
      <c r="I577" s="347" t="s">
        <v>296</v>
      </c>
      <c r="K577" s="370"/>
      <c r="N577" s="370"/>
    </row>
    <row r="578" spans="1:14" s="347" customFormat="1" x14ac:dyDescent="0.25">
      <c r="A578" s="369"/>
      <c r="E578" s="396"/>
      <c r="F578" s="396"/>
      <c r="G578" s="396"/>
      <c r="K578" s="370"/>
      <c r="N578" s="370"/>
    </row>
    <row r="579" spans="1:14" s="347" customFormat="1" x14ac:dyDescent="0.25">
      <c r="A579" s="369">
        <v>44249</v>
      </c>
      <c r="B579" s="347">
        <v>2</v>
      </c>
      <c r="C579" s="347">
        <v>110</v>
      </c>
      <c r="D579" s="340" t="str">
        <f>VLOOKUP(C579,Plan!A$1:B$65542,2,0)</f>
        <v>Disponible Administración</v>
      </c>
      <c r="E579" s="396">
        <f>+F579</f>
        <v>5000</v>
      </c>
      <c r="F579" s="396">
        <v>5000</v>
      </c>
      <c r="G579" s="396">
        <v>0</v>
      </c>
      <c r="H579" s="347" t="s">
        <v>933</v>
      </c>
      <c r="I579" s="347" t="s">
        <v>296</v>
      </c>
      <c r="K579" s="370"/>
      <c r="N579" s="370"/>
    </row>
    <row r="580" spans="1:14" s="347" customFormat="1" x14ac:dyDescent="0.25">
      <c r="A580" s="369">
        <v>44249</v>
      </c>
      <c r="B580" s="347">
        <v>2</v>
      </c>
      <c r="C580" s="347">
        <v>3110</v>
      </c>
      <c r="D580" s="340" t="str">
        <f>VLOOKUP(C580,Plan!A$1:B$65542,2,0)</f>
        <v>Colectas Normales</v>
      </c>
      <c r="E580" s="396">
        <f>-G580</f>
        <v>-5000</v>
      </c>
      <c r="F580" s="396">
        <v>0</v>
      </c>
      <c r="G580" s="396">
        <f>+F579</f>
        <v>5000</v>
      </c>
      <c r="H580" s="347" t="s">
        <v>933</v>
      </c>
      <c r="I580" s="347" t="s">
        <v>296</v>
      </c>
      <c r="K580" s="370"/>
      <c r="N580" s="370"/>
    </row>
    <row r="581" spans="1:14" s="347" customFormat="1" x14ac:dyDescent="0.25">
      <c r="A581" s="369"/>
      <c r="E581" s="396"/>
      <c r="F581" s="396"/>
      <c r="G581" s="396"/>
      <c r="K581" s="370"/>
      <c r="N581" s="370"/>
    </row>
    <row r="582" spans="1:14" s="347" customFormat="1" x14ac:dyDescent="0.25">
      <c r="A582" s="369">
        <v>44249</v>
      </c>
      <c r="B582" s="347">
        <v>2</v>
      </c>
      <c r="C582" s="347">
        <v>110</v>
      </c>
      <c r="D582" s="340" t="str">
        <f>VLOOKUP(C582,Plan!A$1:B$65542,2,0)</f>
        <v>Disponible Administración</v>
      </c>
      <c r="E582" s="396">
        <f>+F582</f>
        <v>10000</v>
      </c>
      <c r="F582" s="396">
        <v>10000</v>
      </c>
      <c r="G582" s="396">
        <v>0</v>
      </c>
      <c r="H582" s="347" t="s">
        <v>945</v>
      </c>
      <c r="I582" s="347" t="s">
        <v>296</v>
      </c>
      <c r="K582" s="370"/>
      <c r="N582" s="370"/>
    </row>
    <row r="583" spans="1:14" s="347" customFormat="1" x14ac:dyDescent="0.25">
      <c r="A583" s="369">
        <v>44249</v>
      </c>
      <c r="B583" s="347">
        <v>2</v>
      </c>
      <c r="C583" s="347">
        <v>3110</v>
      </c>
      <c r="D583" s="340" t="str">
        <f>VLOOKUP(C583,Plan!A$1:B$65542,2,0)</f>
        <v>Colectas Normales</v>
      </c>
      <c r="E583" s="396">
        <f>-G583</f>
        <v>-10000</v>
      </c>
      <c r="F583" s="396">
        <v>0</v>
      </c>
      <c r="G583" s="396">
        <f>+F582</f>
        <v>10000</v>
      </c>
      <c r="H583" s="347" t="s">
        <v>945</v>
      </c>
      <c r="I583" s="347" t="s">
        <v>296</v>
      </c>
      <c r="K583" s="370"/>
      <c r="N583" s="370"/>
    </row>
    <row r="584" spans="1:14" s="347" customFormat="1" x14ac:dyDescent="0.25">
      <c r="A584" s="369"/>
      <c r="E584" s="396"/>
      <c r="F584" s="396"/>
      <c r="G584" s="396"/>
      <c r="K584" s="370"/>
      <c r="N584" s="370"/>
    </row>
    <row r="585" spans="1:14" s="347" customFormat="1" x14ac:dyDescent="0.25">
      <c r="A585" s="369">
        <v>44249</v>
      </c>
      <c r="B585" s="347">
        <v>2</v>
      </c>
      <c r="C585" s="347">
        <v>110</v>
      </c>
      <c r="D585" s="340" t="str">
        <f>VLOOKUP(C585,Plan!A$1:B$65542,2,0)</f>
        <v>Disponible Administración</v>
      </c>
      <c r="E585" s="396">
        <f>+F585</f>
        <v>8000</v>
      </c>
      <c r="F585" s="396">
        <v>8000</v>
      </c>
      <c r="G585" s="396">
        <v>0</v>
      </c>
      <c r="H585" s="347" t="s">
        <v>946</v>
      </c>
      <c r="I585" s="347" t="s">
        <v>296</v>
      </c>
      <c r="K585" s="370"/>
      <c r="N585" s="370"/>
    </row>
    <row r="586" spans="1:14" s="347" customFormat="1" x14ac:dyDescent="0.25">
      <c r="A586" s="369">
        <v>44249</v>
      </c>
      <c r="B586" s="347">
        <v>2</v>
      </c>
      <c r="C586" s="347">
        <v>3110</v>
      </c>
      <c r="D586" s="340" t="str">
        <f>VLOOKUP(C586,Plan!A$1:B$65542,2,0)</f>
        <v>Colectas Normales</v>
      </c>
      <c r="E586" s="396">
        <f>-G586</f>
        <v>-8000</v>
      </c>
      <c r="F586" s="396">
        <v>0</v>
      </c>
      <c r="G586" s="396">
        <f>+F585</f>
        <v>8000</v>
      </c>
      <c r="H586" s="347" t="s">
        <v>946</v>
      </c>
      <c r="I586" s="347" t="s">
        <v>296</v>
      </c>
      <c r="K586" s="370"/>
      <c r="N586" s="370"/>
    </row>
    <row r="587" spans="1:14" s="347" customFormat="1" x14ac:dyDescent="0.25">
      <c r="A587" s="369"/>
      <c r="E587" s="396"/>
      <c r="F587" s="396"/>
      <c r="G587" s="396"/>
      <c r="K587" s="370"/>
      <c r="N587" s="370"/>
    </row>
    <row r="588" spans="1:14" s="347" customFormat="1" x14ac:dyDescent="0.25">
      <c r="A588" s="369">
        <v>44249</v>
      </c>
      <c r="B588" s="347">
        <v>2</v>
      </c>
      <c r="C588" s="347">
        <v>110</v>
      </c>
      <c r="D588" s="340" t="str">
        <f>VLOOKUP(C588,Plan!A$1:B$65542,2,0)</f>
        <v>Disponible Administración</v>
      </c>
      <c r="E588" s="396">
        <f>+F588</f>
        <v>30000</v>
      </c>
      <c r="F588" s="396">
        <v>30000</v>
      </c>
      <c r="G588" s="396">
        <v>0</v>
      </c>
      <c r="H588" s="347" t="s">
        <v>947</v>
      </c>
      <c r="I588" s="347" t="s">
        <v>296</v>
      </c>
      <c r="K588" s="370"/>
      <c r="N588" s="370"/>
    </row>
    <row r="589" spans="1:14" s="347" customFormat="1" x14ac:dyDescent="0.25">
      <c r="A589" s="369">
        <v>44249</v>
      </c>
      <c r="B589" s="347">
        <v>2</v>
      </c>
      <c r="C589" s="347">
        <v>3110</v>
      </c>
      <c r="D589" s="340" t="str">
        <f>VLOOKUP(C589,Plan!A$1:B$65542,2,0)</f>
        <v>Colectas Normales</v>
      </c>
      <c r="E589" s="396">
        <f>-G589</f>
        <v>-30000</v>
      </c>
      <c r="F589" s="396">
        <v>0</v>
      </c>
      <c r="G589" s="396">
        <f>+F588</f>
        <v>30000</v>
      </c>
      <c r="H589" s="347" t="s">
        <v>947</v>
      </c>
      <c r="I589" s="347" t="s">
        <v>296</v>
      </c>
      <c r="K589" s="370"/>
      <c r="N589" s="370"/>
    </row>
    <row r="590" spans="1:14" s="347" customFormat="1" x14ac:dyDescent="0.25">
      <c r="A590" s="369"/>
      <c r="E590" s="396"/>
      <c r="F590" s="396"/>
      <c r="G590" s="396"/>
      <c r="K590" s="370"/>
      <c r="N590" s="370"/>
    </row>
    <row r="591" spans="1:14" s="347" customFormat="1" x14ac:dyDescent="0.25">
      <c r="A591" s="369">
        <v>44249</v>
      </c>
      <c r="B591" s="347">
        <v>2</v>
      </c>
      <c r="C591" s="347">
        <v>110</v>
      </c>
      <c r="D591" s="340" t="str">
        <f>VLOOKUP(C591,Plan!A$1:B$65542,2,0)</f>
        <v>Disponible Administración</v>
      </c>
      <c r="E591" s="396">
        <f>+F591</f>
        <v>5000</v>
      </c>
      <c r="F591" s="396">
        <v>5000</v>
      </c>
      <c r="G591" s="396">
        <v>0</v>
      </c>
      <c r="H591" s="347" t="s">
        <v>908</v>
      </c>
      <c r="I591" s="347" t="s">
        <v>296</v>
      </c>
      <c r="K591" s="370"/>
      <c r="N591" s="370"/>
    </row>
    <row r="592" spans="1:14" s="347" customFormat="1" x14ac:dyDescent="0.25">
      <c r="A592" s="369">
        <v>44249</v>
      </c>
      <c r="B592" s="347">
        <v>2</v>
      </c>
      <c r="C592" s="347">
        <v>3110</v>
      </c>
      <c r="D592" s="340" t="str">
        <f>VLOOKUP(C592,Plan!A$1:B$65542,2,0)</f>
        <v>Colectas Normales</v>
      </c>
      <c r="E592" s="396">
        <f>-G592</f>
        <v>-5000</v>
      </c>
      <c r="F592" s="396">
        <v>0</v>
      </c>
      <c r="G592" s="396">
        <v>5000</v>
      </c>
      <c r="H592" s="347" t="s">
        <v>908</v>
      </c>
      <c r="I592" s="347" t="s">
        <v>296</v>
      </c>
      <c r="K592" s="370"/>
      <c r="N592" s="370"/>
    </row>
    <row r="593" spans="1:14" s="347" customFormat="1" x14ac:dyDescent="0.25">
      <c r="A593" s="369"/>
      <c r="E593" s="396"/>
      <c r="F593" s="396"/>
      <c r="G593" s="396"/>
      <c r="K593" s="370"/>
      <c r="N593" s="370"/>
    </row>
    <row r="594" spans="1:14" s="347" customFormat="1" x14ac:dyDescent="0.25">
      <c r="A594" s="369">
        <v>44250</v>
      </c>
      <c r="B594" s="347">
        <v>2</v>
      </c>
      <c r="C594" s="347">
        <v>110</v>
      </c>
      <c r="D594" s="340" t="str">
        <f>VLOOKUP(C594,Plan!A$1:B$65542,2,0)</f>
        <v>Disponible Administración</v>
      </c>
      <c r="E594" s="396">
        <f>+F594</f>
        <v>206000</v>
      </c>
      <c r="F594" s="396">
        <v>206000</v>
      </c>
      <c r="G594" s="396">
        <v>0</v>
      </c>
      <c r="H594" s="347" t="s">
        <v>948</v>
      </c>
      <c r="I594" s="347" t="s">
        <v>296</v>
      </c>
      <c r="K594" s="370"/>
      <c r="N594" s="370"/>
    </row>
    <row r="595" spans="1:14" s="347" customFormat="1" x14ac:dyDescent="0.25">
      <c r="A595" s="369">
        <v>44250</v>
      </c>
      <c r="B595" s="347">
        <v>2</v>
      </c>
      <c r="C595" s="347">
        <v>3110</v>
      </c>
      <c r="D595" s="340" t="str">
        <f>VLOOKUP(C595,Plan!A$1:B$65542,2,0)</f>
        <v>Colectas Normales</v>
      </c>
      <c r="E595" s="396">
        <f>-G595</f>
        <v>-206000</v>
      </c>
      <c r="F595" s="396">
        <v>0</v>
      </c>
      <c r="G595" s="396">
        <f>+F594</f>
        <v>206000</v>
      </c>
      <c r="H595" s="347" t="s">
        <v>948</v>
      </c>
      <c r="I595" s="347" t="s">
        <v>296</v>
      </c>
      <c r="K595" s="370"/>
      <c r="N595" s="370"/>
    </row>
    <row r="596" spans="1:14" s="347" customFormat="1" x14ac:dyDescent="0.25">
      <c r="A596" s="369"/>
      <c r="E596" s="396"/>
      <c r="F596" s="396"/>
      <c r="G596" s="396"/>
      <c r="K596" s="370"/>
      <c r="N596" s="370"/>
    </row>
    <row r="597" spans="1:14" s="347" customFormat="1" x14ac:dyDescent="0.25">
      <c r="A597" s="369">
        <v>44251</v>
      </c>
      <c r="B597" s="347">
        <v>2</v>
      </c>
      <c r="C597" s="347">
        <v>110</v>
      </c>
      <c r="D597" s="340" t="str">
        <f>VLOOKUP(C597,Plan!A$1:B$65542,2,0)</f>
        <v>Disponible Administración</v>
      </c>
      <c r="E597" s="396">
        <f>+F597</f>
        <v>59286</v>
      </c>
      <c r="F597" s="396">
        <v>59286</v>
      </c>
      <c r="G597" s="396">
        <v>0</v>
      </c>
      <c r="H597" s="347" t="s">
        <v>949</v>
      </c>
      <c r="I597" s="347" t="s">
        <v>296</v>
      </c>
      <c r="K597" s="370"/>
      <c r="N597" s="370"/>
    </row>
    <row r="598" spans="1:14" s="347" customFormat="1" x14ac:dyDescent="0.25">
      <c r="A598" s="369">
        <v>44251</v>
      </c>
      <c r="B598" s="347">
        <v>2</v>
      </c>
      <c r="C598" s="347">
        <v>3110</v>
      </c>
      <c r="D598" s="340" t="str">
        <f>VLOOKUP(C598,Plan!A$1:B$65542,2,0)</f>
        <v>Colectas Normales</v>
      </c>
      <c r="E598" s="396">
        <f>-G598</f>
        <v>-59286</v>
      </c>
      <c r="F598" s="396">
        <v>0</v>
      </c>
      <c r="G598" s="396">
        <f>+F597</f>
        <v>59286</v>
      </c>
      <c r="H598" s="347" t="s">
        <v>949</v>
      </c>
      <c r="I598" s="347" t="s">
        <v>296</v>
      </c>
      <c r="K598" s="370"/>
      <c r="N598" s="370"/>
    </row>
    <row r="599" spans="1:14" s="347" customFormat="1" x14ac:dyDescent="0.25">
      <c r="A599" s="369"/>
      <c r="E599" s="396"/>
      <c r="F599" s="396"/>
      <c r="G599" s="396"/>
      <c r="K599" s="370"/>
      <c r="N599" s="370"/>
    </row>
    <row r="600" spans="1:14" s="347" customFormat="1" x14ac:dyDescent="0.25">
      <c r="A600" s="369">
        <v>44252</v>
      </c>
      <c r="B600" s="347">
        <v>2</v>
      </c>
      <c r="C600" s="347">
        <v>4326</v>
      </c>
      <c r="D600" s="340" t="str">
        <f>VLOOKUP(C600,Plan!A$1:B$65542,2,0)</f>
        <v>Seguros</v>
      </c>
      <c r="E600" s="396">
        <f>+F600</f>
        <v>50253</v>
      </c>
      <c r="F600" s="396">
        <v>50253</v>
      </c>
      <c r="G600" s="396">
        <v>0</v>
      </c>
      <c r="H600" s="347" t="s">
        <v>950</v>
      </c>
      <c r="I600" s="347" t="s">
        <v>296</v>
      </c>
      <c r="K600" s="370"/>
      <c r="N600" s="370"/>
    </row>
    <row r="601" spans="1:14" s="347" customFormat="1" x14ac:dyDescent="0.25">
      <c r="A601" s="369">
        <v>44252</v>
      </c>
      <c r="B601" s="347">
        <v>2</v>
      </c>
      <c r="C601" s="347">
        <v>110</v>
      </c>
      <c r="D601" s="340" t="str">
        <f>VLOOKUP(C601,Plan!A$1:B$65542,2,0)</f>
        <v>Disponible Administración</v>
      </c>
      <c r="E601" s="396">
        <f>-G601</f>
        <v>-50253</v>
      </c>
      <c r="F601" s="396">
        <v>0</v>
      </c>
      <c r="G601" s="396">
        <f>+F600</f>
        <v>50253</v>
      </c>
      <c r="H601" s="347" t="s">
        <v>950</v>
      </c>
      <c r="I601" s="347" t="s">
        <v>296</v>
      </c>
      <c r="K601" s="370"/>
      <c r="N601" s="370"/>
    </row>
    <row r="602" spans="1:14" s="347" customFormat="1" x14ac:dyDescent="0.25">
      <c r="A602" s="369"/>
      <c r="E602" s="396"/>
      <c r="F602" s="396"/>
      <c r="G602" s="396"/>
      <c r="K602" s="370"/>
      <c r="N602" s="370"/>
    </row>
    <row r="603" spans="1:14" s="347" customFormat="1" x14ac:dyDescent="0.25">
      <c r="A603" s="369">
        <v>44252</v>
      </c>
      <c r="B603" s="347">
        <v>2</v>
      </c>
      <c r="C603" s="347">
        <v>110</v>
      </c>
      <c r="D603" s="340" t="str">
        <f>VLOOKUP(C603,Plan!A$1:B$65542,2,0)</f>
        <v>Disponible Administración</v>
      </c>
      <c r="E603" s="396">
        <f>+F603</f>
        <v>20000</v>
      </c>
      <c r="F603" s="396">
        <v>20000</v>
      </c>
      <c r="G603" s="396">
        <v>0</v>
      </c>
      <c r="H603" s="347" t="s">
        <v>951</v>
      </c>
      <c r="I603" s="347" t="s">
        <v>296</v>
      </c>
      <c r="K603" s="370"/>
      <c r="N603" s="370"/>
    </row>
    <row r="604" spans="1:14" s="347" customFormat="1" x14ac:dyDescent="0.25">
      <c r="A604" s="369">
        <v>44252</v>
      </c>
      <c r="B604" s="347">
        <v>2</v>
      </c>
      <c r="C604" s="347">
        <v>3110</v>
      </c>
      <c r="D604" s="340" t="str">
        <f>VLOOKUP(C604,Plan!A$1:B$65542,2,0)</f>
        <v>Colectas Normales</v>
      </c>
      <c r="E604" s="396">
        <f>-G604</f>
        <v>-20000</v>
      </c>
      <c r="F604" s="396">
        <v>0</v>
      </c>
      <c r="G604" s="396">
        <f>+F603</f>
        <v>20000</v>
      </c>
      <c r="H604" s="347" t="s">
        <v>951</v>
      </c>
      <c r="I604" s="347" t="s">
        <v>296</v>
      </c>
      <c r="K604" s="370"/>
      <c r="N604" s="370"/>
    </row>
    <row r="605" spans="1:14" s="347" customFormat="1" x14ac:dyDescent="0.25">
      <c r="A605" s="369"/>
      <c r="E605" s="396"/>
      <c r="F605" s="396"/>
      <c r="G605" s="396"/>
      <c r="K605" s="370"/>
      <c r="N605" s="370"/>
    </row>
    <row r="606" spans="1:14" s="347" customFormat="1" x14ac:dyDescent="0.25">
      <c r="A606" s="369">
        <v>44252</v>
      </c>
      <c r="B606" s="347">
        <v>2</v>
      </c>
      <c r="C606" s="347">
        <v>110</v>
      </c>
      <c r="D606" s="340" t="str">
        <f>VLOOKUP(C606,Plan!A$1:B$65542,2,0)</f>
        <v>Disponible Administración</v>
      </c>
      <c r="E606" s="396">
        <f>+F606</f>
        <v>2000000</v>
      </c>
      <c r="F606" s="396">
        <v>2000000</v>
      </c>
      <c r="G606" s="396">
        <v>0</v>
      </c>
      <c r="H606" s="347" t="s">
        <v>952</v>
      </c>
      <c r="I606" s="347" t="s">
        <v>296</v>
      </c>
      <c r="K606" s="370"/>
      <c r="N606" s="370"/>
    </row>
    <row r="607" spans="1:14" s="347" customFormat="1" x14ac:dyDescent="0.25">
      <c r="A607" s="369">
        <v>44252</v>
      </c>
      <c r="B607" s="347">
        <v>2</v>
      </c>
      <c r="C607" s="347">
        <v>215</v>
      </c>
      <c r="D607" s="340" t="str">
        <f>VLOOKUP(C607,Plan!A$1:B$65542,2,0)</f>
        <v>Cuenta por Pagar a Cali</v>
      </c>
      <c r="E607" s="396">
        <f>-G607</f>
        <v>-2000000</v>
      </c>
      <c r="F607" s="396">
        <v>0</v>
      </c>
      <c r="G607" s="396">
        <f>+F606</f>
        <v>2000000</v>
      </c>
      <c r="H607" s="347" t="s">
        <v>952</v>
      </c>
      <c r="I607" s="347" t="s">
        <v>296</v>
      </c>
      <c r="K607" s="370"/>
      <c r="N607" s="370"/>
    </row>
    <row r="608" spans="1:14" s="347" customFormat="1" x14ac:dyDescent="0.25">
      <c r="A608" s="369"/>
      <c r="E608" s="396"/>
      <c r="F608" s="396"/>
      <c r="G608" s="396"/>
      <c r="K608" s="370"/>
      <c r="N608" s="370"/>
    </row>
    <row r="609" spans="1:14" s="347" customFormat="1" x14ac:dyDescent="0.25">
      <c r="A609" s="369">
        <v>44253</v>
      </c>
      <c r="B609" s="347">
        <v>2</v>
      </c>
      <c r="C609" s="347">
        <v>4680</v>
      </c>
      <c r="D609" s="340" t="str">
        <f>VLOOKUP(C609,Plan!A$1:B$65542,2,0)</f>
        <v>Pastoral Comunicacional</v>
      </c>
      <c r="E609" s="396">
        <f>+F609</f>
        <v>477893</v>
      </c>
      <c r="F609" s="396">
        <v>477893</v>
      </c>
      <c r="G609" s="396">
        <v>0</v>
      </c>
      <c r="H609" s="347" t="s">
        <v>953</v>
      </c>
      <c r="I609" s="347" t="s">
        <v>296</v>
      </c>
      <c r="K609" s="370"/>
      <c r="N609" s="370"/>
    </row>
    <row r="610" spans="1:14" s="347" customFormat="1" x14ac:dyDescent="0.25">
      <c r="A610" s="369">
        <v>44253</v>
      </c>
      <c r="B610" s="347">
        <v>2</v>
      </c>
      <c r="C610" s="347">
        <v>110</v>
      </c>
      <c r="D610" s="340" t="str">
        <f>VLOOKUP(C610,Plan!A$1:B$65542,2,0)</f>
        <v>Disponible Administración</v>
      </c>
      <c r="E610" s="396">
        <f>-G610</f>
        <v>-477893</v>
      </c>
      <c r="F610" s="396">
        <v>0</v>
      </c>
      <c r="G610" s="396">
        <f>+F609</f>
        <v>477893</v>
      </c>
      <c r="H610" s="347" t="s">
        <v>953</v>
      </c>
      <c r="I610" s="347" t="s">
        <v>296</v>
      </c>
      <c r="K610" s="370"/>
      <c r="N610" s="370"/>
    </row>
    <row r="611" spans="1:14" s="347" customFormat="1" x14ac:dyDescent="0.25">
      <c r="A611" s="369"/>
      <c r="E611" s="396"/>
      <c r="F611" s="396"/>
      <c r="G611" s="396"/>
      <c r="K611" s="370"/>
      <c r="N611" s="370"/>
    </row>
    <row r="612" spans="1:14" s="347" customFormat="1" x14ac:dyDescent="0.25">
      <c r="A612" s="369">
        <v>44253</v>
      </c>
      <c r="B612" s="347">
        <v>2</v>
      </c>
      <c r="C612" s="347">
        <v>4641</v>
      </c>
      <c r="D612" s="340" t="str">
        <f>VLOOKUP(C612,Plan!A$1:B$65542,2,0)</f>
        <v xml:space="preserve">             Capellanías </v>
      </c>
      <c r="E612" s="396">
        <f>+F612</f>
        <v>200000</v>
      </c>
      <c r="F612" s="396">
        <v>200000</v>
      </c>
      <c r="G612" s="396">
        <v>0</v>
      </c>
      <c r="H612" s="347" t="s">
        <v>954</v>
      </c>
      <c r="I612" s="347" t="s">
        <v>296</v>
      </c>
      <c r="K612" s="370"/>
      <c r="N612" s="370"/>
    </row>
    <row r="613" spans="1:14" s="347" customFormat="1" x14ac:dyDescent="0.25">
      <c r="A613" s="369">
        <v>44253</v>
      </c>
      <c r="B613" s="347">
        <v>2</v>
      </c>
      <c r="C613" s="347">
        <v>110</v>
      </c>
      <c r="D613" s="340" t="str">
        <f>VLOOKUP(C613,Plan!A$1:B$65542,2,0)</f>
        <v>Disponible Administración</v>
      </c>
      <c r="E613" s="396">
        <f>-G613</f>
        <v>-200000</v>
      </c>
      <c r="F613" s="396">
        <v>0</v>
      </c>
      <c r="G613" s="396">
        <f>+F612</f>
        <v>200000</v>
      </c>
      <c r="H613" s="347" t="s">
        <v>954</v>
      </c>
      <c r="I613" s="347" t="s">
        <v>296</v>
      </c>
      <c r="K613" s="370"/>
      <c r="N613" s="370"/>
    </row>
    <row r="614" spans="1:14" s="347" customFormat="1" x14ac:dyDescent="0.25">
      <c r="A614" s="369"/>
      <c r="E614" s="396"/>
      <c r="F614" s="396"/>
      <c r="G614" s="396"/>
      <c r="K614" s="370"/>
      <c r="N614" s="370"/>
    </row>
    <row r="615" spans="1:14" s="347" customFormat="1" x14ac:dyDescent="0.25">
      <c r="A615" s="369">
        <v>44253</v>
      </c>
      <c r="B615" s="347">
        <v>2</v>
      </c>
      <c r="C615" s="347">
        <v>225</v>
      </c>
      <c r="D615" s="340" t="str">
        <f>VLOOKUP(C615,Plan!A$1:B$65542,2,0)</f>
        <v>Sueldos por Pagar</v>
      </c>
      <c r="E615" s="396">
        <f>+F615</f>
        <v>735000</v>
      </c>
      <c r="F615" s="396">
        <v>735000</v>
      </c>
      <c r="G615" s="396">
        <v>0</v>
      </c>
      <c r="H615" s="347" t="s">
        <v>955</v>
      </c>
      <c r="I615" s="347" t="s">
        <v>296</v>
      </c>
      <c r="K615" s="370"/>
      <c r="N615" s="370"/>
    </row>
    <row r="616" spans="1:14" s="347" customFormat="1" x14ac:dyDescent="0.25">
      <c r="A616" s="369">
        <v>44253</v>
      </c>
      <c r="B616" s="347">
        <v>2</v>
      </c>
      <c r="C616" s="347">
        <v>110</v>
      </c>
      <c r="D616" s="340" t="str">
        <f>VLOOKUP(C616,Plan!A$1:B$65542,2,0)</f>
        <v>Disponible Administración</v>
      </c>
      <c r="E616" s="396">
        <f>-G616</f>
        <v>-735000</v>
      </c>
      <c r="F616" s="396">
        <v>0</v>
      </c>
      <c r="G616" s="396">
        <f>+F615</f>
        <v>735000</v>
      </c>
      <c r="H616" s="347" t="s">
        <v>955</v>
      </c>
      <c r="I616" s="347" t="s">
        <v>296</v>
      </c>
      <c r="K616" s="370"/>
      <c r="N616" s="370"/>
    </row>
    <row r="617" spans="1:14" s="347" customFormat="1" x14ac:dyDescent="0.25">
      <c r="A617" s="369"/>
      <c r="E617" s="396"/>
      <c r="F617" s="396"/>
      <c r="G617" s="396"/>
      <c r="K617" s="370"/>
      <c r="N617" s="370"/>
    </row>
    <row r="618" spans="1:14" s="347" customFormat="1" x14ac:dyDescent="0.25">
      <c r="A618" s="369">
        <v>44253</v>
      </c>
      <c r="B618" s="347">
        <v>2</v>
      </c>
      <c r="C618" s="347">
        <v>225</v>
      </c>
      <c r="D618" s="340" t="str">
        <f>VLOOKUP(C618,Plan!A$1:B$65542,2,0)</f>
        <v>Sueldos por Pagar</v>
      </c>
      <c r="E618" s="396">
        <f>+F618</f>
        <v>780885</v>
      </c>
      <c r="F618" s="396">
        <v>780885</v>
      </c>
      <c r="G618" s="396">
        <v>0</v>
      </c>
      <c r="H618" s="347" t="s">
        <v>956</v>
      </c>
      <c r="I618" s="347" t="s">
        <v>296</v>
      </c>
      <c r="K618" s="370"/>
      <c r="N618" s="370"/>
    </row>
    <row r="619" spans="1:14" s="347" customFormat="1" x14ac:dyDescent="0.25">
      <c r="A619" s="369">
        <v>44253</v>
      </c>
      <c r="B619" s="347">
        <v>2</v>
      </c>
      <c r="C619" s="347">
        <v>110</v>
      </c>
      <c r="D619" s="340" t="str">
        <f>VLOOKUP(C619,Plan!A$1:B$65542,2,0)</f>
        <v>Disponible Administración</v>
      </c>
      <c r="E619" s="396">
        <f>-G619</f>
        <v>-780885</v>
      </c>
      <c r="F619" s="396">
        <v>0</v>
      </c>
      <c r="G619" s="396">
        <f>+F618</f>
        <v>780885</v>
      </c>
      <c r="H619" s="347" t="s">
        <v>956</v>
      </c>
      <c r="I619" s="347" t="s">
        <v>296</v>
      </c>
      <c r="K619" s="370"/>
      <c r="N619" s="370"/>
    </row>
    <row r="620" spans="1:14" s="347" customFormat="1" x14ac:dyDescent="0.25">
      <c r="A620" s="369"/>
      <c r="E620" s="396"/>
      <c r="F620" s="396"/>
      <c r="G620" s="396"/>
      <c r="K620" s="370"/>
      <c r="N620" s="370"/>
    </row>
    <row r="621" spans="1:14" s="347" customFormat="1" x14ac:dyDescent="0.25">
      <c r="A621" s="369">
        <v>44253</v>
      </c>
      <c r="B621" s="347">
        <v>2</v>
      </c>
      <c r="C621" s="347">
        <v>225</v>
      </c>
      <c r="D621" s="340" t="str">
        <f>VLOOKUP(C621,Plan!A$1:B$65542,2,0)</f>
        <v>Sueldos por Pagar</v>
      </c>
      <c r="E621" s="396">
        <f>+F621</f>
        <v>516342</v>
      </c>
      <c r="F621" s="396">
        <v>516342</v>
      </c>
      <c r="G621" s="396">
        <v>0</v>
      </c>
      <c r="H621" s="347" t="s">
        <v>957</v>
      </c>
      <c r="I621" s="347" t="s">
        <v>296</v>
      </c>
      <c r="K621" s="370"/>
      <c r="N621" s="370"/>
    </row>
    <row r="622" spans="1:14" s="347" customFormat="1" x14ac:dyDescent="0.25">
      <c r="A622" s="369">
        <v>44253</v>
      </c>
      <c r="B622" s="347">
        <v>2</v>
      </c>
      <c r="C622" s="347">
        <v>110</v>
      </c>
      <c r="D622" s="340" t="str">
        <f>VLOOKUP(C622,Plan!A$1:B$65542,2,0)</f>
        <v>Disponible Administración</v>
      </c>
      <c r="E622" s="396">
        <f>-G622</f>
        <v>-516342</v>
      </c>
      <c r="F622" s="396">
        <v>0</v>
      </c>
      <c r="G622" s="396">
        <f>+F621</f>
        <v>516342</v>
      </c>
      <c r="H622" s="347" t="s">
        <v>957</v>
      </c>
      <c r="I622" s="347" t="s">
        <v>296</v>
      </c>
      <c r="K622" s="370"/>
      <c r="N622" s="370"/>
    </row>
    <row r="623" spans="1:14" s="347" customFormat="1" x14ac:dyDescent="0.25">
      <c r="A623" s="369"/>
      <c r="E623" s="396"/>
      <c r="F623" s="396"/>
      <c r="G623" s="396"/>
      <c r="K623" s="370"/>
      <c r="N623" s="370"/>
    </row>
    <row r="624" spans="1:14" s="347" customFormat="1" x14ac:dyDescent="0.25">
      <c r="A624" s="369">
        <v>44253</v>
      </c>
      <c r="B624" s="347">
        <v>2</v>
      </c>
      <c r="C624" s="347">
        <v>225</v>
      </c>
      <c r="D624" s="340" t="str">
        <f>VLOOKUP(C624,Plan!A$1:B$65542,2,0)</f>
        <v>Sueldos por Pagar</v>
      </c>
      <c r="E624" s="396">
        <f>+F624</f>
        <v>247407</v>
      </c>
      <c r="F624" s="396">
        <v>247407</v>
      </c>
      <c r="G624" s="396">
        <v>0</v>
      </c>
      <c r="H624" s="347" t="s">
        <v>958</v>
      </c>
      <c r="I624" s="347" t="s">
        <v>296</v>
      </c>
      <c r="K624" s="370"/>
      <c r="N624" s="370"/>
    </row>
    <row r="625" spans="1:14" s="347" customFormat="1" x14ac:dyDescent="0.25">
      <c r="A625" s="369">
        <v>44253</v>
      </c>
      <c r="B625" s="347">
        <v>2</v>
      </c>
      <c r="C625" s="347">
        <v>110</v>
      </c>
      <c r="D625" s="340" t="str">
        <f>VLOOKUP(C625,Plan!A$1:B$65542,2,0)</f>
        <v>Disponible Administración</v>
      </c>
      <c r="E625" s="396">
        <f>-G625</f>
        <v>-247407</v>
      </c>
      <c r="F625" s="396">
        <v>0</v>
      </c>
      <c r="G625" s="396">
        <f>+F624</f>
        <v>247407</v>
      </c>
      <c r="H625" s="347" t="s">
        <v>958</v>
      </c>
      <c r="I625" s="347" t="s">
        <v>296</v>
      </c>
      <c r="K625" s="370"/>
      <c r="N625" s="370"/>
    </row>
    <row r="626" spans="1:14" s="347" customFormat="1" x14ac:dyDescent="0.25">
      <c r="A626" s="369"/>
      <c r="E626" s="396"/>
      <c r="F626" s="396"/>
      <c r="G626" s="396"/>
      <c r="K626" s="370"/>
      <c r="N626" s="370"/>
    </row>
    <row r="627" spans="1:14" s="347" customFormat="1" x14ac:dyDescent="0.25">
      <c r="A627" s="369">
        <v>44253</v>
      </c>
      <c r="B627" s="347">
        <v>2</v>
      </c>
      <c r="C627" s="347">
        <v>225</v>
      </c>
      <c r="D627" s="340" t="str">
        <f>VLOOKUP(C627,Plan!A$1:B$65542,2,0)</f>
        <v>Sueldos por Pagar</v>
      </c>
      <c r="E627" s="396">
        <f>+F627</f>
        <v>1118729</v>
      </c>
      <c r="F627" s="396">
        <v>1118729</v>
      </c>
      <c r="G627" s="396">
        <v>0</v>
      </c>
      <c r="H627" s="347" t="s">
        <v>959</v>
      </c>
      <c r="I627" s="347" t="s">
        <v>296</v>
      </c>
      <c r="K627" s="370"/>
      <c r="N627" s="370"/>
    </row>
    <row r="628" spans="1:14" s="347" customFormat="1" x14ac:dyDescent="0.25">
      <c r="A628" s="369">
        <v>44253</v>
      </c>
      <c r="B628" s="347">
        <v>2</v>
      </c>
      <c r="C628" s="347">
        <v>110</v>
      </c>
      <c r="D628" s="340" t="str">
        <f>VLOOKUP(C628,Plan!A$1:B$65542,2,0)</f>
        <v>Disponible Administración</v>
      </c>
      <c r="E628" s="396">
        <f>-G628</f>
        <v>-1118729</v>
      </c>
      <c r="F628" s="396">
        <v>0</v>
      </c>
      <c r="G628" s="396">
        <f>+F627</f>
        <v>1118729</v>
      </c>
      <c r="H628" s="347" t="s">
        <v>959</v>
      </c>
      <c r="I628" s="347" t="s">
        <v>296</v>
      </c>
      <c r="K628" s="370"/>
      <c r="N628" s="370"/>
    </row>
    <row r="629" spans="1:14" s="347" customFormat="1" x14ac:dyDescent="0.25">
      <c r="A629" s="369"/>
      <c r="E629" s="396"/>
      <c r="F629" s="396"/>
      <c r="G629" s="396"/>
      <c r="K629" s="370"/>
      <c r="N629" s="370"/>
    </row>
    <row r="630" spans="1:14" s="347" customFormat="1" x14ac:dyDescent="0.25">
      <c r="A630" s="369">
        <v>44253</v>
      </c>
      <c r="B630" s="347">
        <v>2</v>
      </c>
      <c r="C630" s="347">
        <v>110</v>
      </c>
      <c r="D630" s="340" t="str">
        <f>VLOOKUP(C630,Plan!A$1:B$65542,2,0)</f>
        <v>Disponible Administración</v>
      </c>
      <c r="E630" s="396">
        <f>+F630</f>
        <v>20000</v>
      </c>
      <c r="F630" s="396">
        <v>20000</v>
      </c>
      <c r="G630" s="396">
        <v>0</v>
      </c>
      <c r="H630" s="347" t="s">
        <v>962</v>
      </c>
      <c r="I630" s="347" t="s">
        <v>296</v>
      </c>
      <c r="K630" s="370"/>
      <c r="N630" s="370"/>
    </row>
    <row r="631" spans="1:14" s="347" customFormat="1" x14ac:dyDescent="0.25">
      <c r="A631" s="369">
        <v>44253</v>
      </c>
      <c r="B631" s="347">
        <v>2</v>
      </c>
      <c r="C631" s="347">
        <v>3110</v>
      </c>
      <c r="D631" s="340" t="str">
        <f>VLOOKUP(C631,Plan!A$1:B$65542,2,0)</f>
        <v>Colectas Normales</v>
      </c>
      <c r="E631" s="396">
        <f>-G631</f>
        <v>-20000</v>
      </c>
      <c r="F631" s="396">
        <v>0</v>
      </c>
      <c r="G631" s="396">
        <f>+F630</f>
        <v>20000</v>
      </c>
      <c r="H631" s="347" t="s">
        <v>962</v>
      </c>
      <c r="I631" s="347" t="s">
        <v>296</v>
      </c>
      <c r="K631" s="370"/>
      <c r="N631" s="370"/>
    </row>
    <row r="632" spans="1:14" s="347" customFormat="1" x14ac:dyDescent="0.25">
      <c r="A632" s="369"/>
      <c r="E632" s="396"/>
      <c r="F632" s="396"/>
      <c r="G632" s="396"/>
      <c r="K632" s="370"/>
      <c r="N632" s="370"/>
    </row>
    <row r="633" spans="1:14" s="347" customFormat="1" x14ac:dyDescent="0.25">
      <c r="A633" s="369">
        <v>44253</v>
      </c>
      <c r="B633" s="347">
        <v>2</v>
      </c>
      <c r="C633" s="347">
        <v>110</v>
      </c>
      <c r="D633" s="340" t="str">
        <f>VLOOKUP(C633,Plan!A$1:B$65542,2,0)</f>
        <v>Disponible Administración</v>
      </c>
      <c r="E633" s="396">
        <f>+F633</f>
        <v>20000</v>
      </c>
      <c r="F633" s="396">
        <v>20000</v>
      </c>
      <c r="G633" s="396">
        <v>0</v>
      </c>
      <c r="H633" s="347" t="s">
        <v>961</v>
      </c>
      <c r="I633" s="347" t="s">
        <v>296</v>
      </c>
      <c r="K633" s="370"/>
      <c r="N633" s="370"/>
    </row>
    <row r="634" spans="1:14" s="347" customFormat="1" x14ac:dyDescent="0.25">
      <c r="A634" s="369">
        <v>44253</v>
      </c>
      <c r="B634" s="347">
        <v>2</v>
      </c>
      <c r="C634" s="347">
        <v>3110</v>
      </c>
      <c r="D634" s="340" t="str">
        <f>VLOOKUP(C634,Plan!A$1:B$65542,2,0)</f>
        <v>Colectas Normales</v>
      </c>
      <c r="E634" s="396">
        <f>-G634</f>
        <v>-20000</v>
      </c>
      <c r="F634" s="396">
        <v>0</v>
      </c>
      <c r="G634" s="396">
        <f>+F633</f>
        <v>20000</v>
      </c>
      <c r="H634" s="347" t="s">
        <v>961</v>
      </c>
      <c r="I634" s="347" t="s">
        <v>296</v>
      </c>
      <c r="K634" s="370"/>
      <c r="N634" s="370"/>
    </row>
    <row r="635" spans="1:14" s="347" customFormat="1" x14ac:dyDescent="0.25">
      <c r="A635" s="369"/>
      <c r="E635" s="396"/>
      <c r="F635" s="396"/>
      <c r="G635" s="396"/>
      <c r="K635" s="370"/>
      <c r="N635" s="370"/>
    </row>
    <row r="636" spans="1:14" s="347" customFormat="1" x14ac:dyDescent="0.25">
      <c r="A636" s="369">
        <v>44253</v>
      </c>
      <c r="B636" s="347">
        <v>2</v>
      </c>
      <c r="C636" s="347">
        <v>110</v>
      </c>
      <c r="D636" s="340" t="str">
        <f>VLOOKUP(C636,Plan!A$1:B$65542,2,0)</f>
        <v>Disponible Administración</v>
      </c>
      <c r="E636" s="396">
        <f>+F636</f>
        <v>50000</v>
      </c>
      <c r="F636" s="396">
        <v>50000</v>
      </c>
      <c r="G636" s="396">
        <v>0</v>
      </c>
      <c r="H636" s="347" t="s">
        <v>960</v>
      </c>
      <c r="I636" s="347" t="s">
        <v>296</v>
      </c>
      <c r="K636" s="370"/>
      <c r="N636" s="370"/>
    </row>
    <row r="637" spans="1:14" s="347" customFormat="1" x14ac:dyDescent="0.25">
      <c r="A637" s="369">
        <v>44253</v>
      </c>
      <c r="B637" s="347">
        <v>2</v>
      </c>
      <c r="C637" s="347">
        <v>3110</v>
      </c>
      <c r="D637" s="340" t="str">
        <f>VLOOKUP(C637,Plan!A$1:B$65542,2,0)</f>
        <v>Colectas Normales</v>
      </c>
      <c r="E637" s="396">
        <f>-G637</f>
        <v>-50000</v>
      </c>
      <c r="F637" s="396">
        <v>0</v>
      </c>
      <c r="G637" s="396">
        <f>+F636</f>
        <v>50000</v>
      </c>
      <c r="H637" s="347" t="s">
        <v>960</v>
      </c>
      <c r="I637" s="347" t="s">
        <v>296</v>
      </c>
      <c r="K637" s="370"/>
      <c r="N637" s="370"/>
    </row>
    <row r="638" spans="1:14" s="347" customFormat="1" x14ac:dyDescent="0.25">
      <c r="A638" s="369"/>
      <c r="E638" s="396"/>
      <c r="F638" s="396"/>
      <c r="G638" s="396"/>
      <c r="K638" s="370"/>
      <c r="N638" s="370"/>
    </row>
    <row r="639" spans="1:14" s="347" customFormat="1" x14ac:dyDescent="0.25">
      <c r="A639" s="369">
        <v>44253</v>
      </c>
      <c r="B639" s="347">
        <v>2</v>
      </c>
      <c r="C639" s="347">
        <v>142</v>
      </c>
      <c r="D639" s="340" t="str">
        <f>VLOOKUP(C639,Plan!A$1:B$65542,2,0)</f>
        <v>Cuentas por Cobrar a CALI (Colectas)</v>
      </c>
      <c r="E639" s="396">
        <f>+F639-G639</f>
        <v>12000</v>
      </c>
      <c r="F639" s="264">
        <v>12000</v>
      </c>
      <c r="G639" s="396">
        <v>0</v>
      </c>
      <c r="H639" t="s">
        <v>982</v>
      </c>
      <c r="I639" s="347" t="s">
        <v>296</v>
      </c>
      <c r="K639" s="370"/>
      <c r="N639" s="370"/>
    </row>
    <row r="640" spans="1:14" s="347" customFormat="1" x14ac:dyDescent="0.25">
      <c r="A640" s="369">
        <v>44253</v>
      </c>
      <c r="B640" s="347">
        <v>2</v>
      </c>
      <c r="C640" s="347">
        <v>142</v>
      </c>
      <c r="D640" s="340" t="str">
        <f>VLOOKUP(C640,Plan!A$1:B$65542,2,0)</f>
        <v>Cuentas por Cobrar a CALI (Colectas)</v>
      </c>
      <c r="E640" s="396">
        <f t="shared" ref="E640:E648" si="7">+F640-G640</f>
        <v>5000</v>
      </c>
      <c r="F640" s="264">
        <v>5000</v>
      </c>
      <c r="G640" s="396">
        <f>+F631</f>
        <v>0</v>
      </c>
      <c r="H640" t="s">
        <v>1029</v>
      </c>
      <c r="I640" s="347" t="s">
        <v>296</v>
      </c>
      <c r="K640" s="370"/>
      <c r="N640" s="370"/>
    </row>
    <row r="641" spans="1:14" s="347" customFormat="1" x14ac:dyDescent="0.25">
      <c r="A641" s="369">
        <v>44253</v>
      </c>
      <c r="B641" s="347">
        <v>2</v>
      </c>
      <c r="C641" s="347">
        <v>142</v>
      </c>
      <c r="D641" s="340" t="str">
        <f>VLOOKUP(C641,Plan!A$1:B$65542,2,0)</f>
        <v>Cuentas por Cobrar a CALI (Colectas)</v>
      </c>
      <c r="E641" s="396">
        <f t="shared" si="7"/>
        <v>42000</v>
      </c>
      <c r="F641" s="264">
        <v>42000</v>
      </c>
      <c r="G641" s="396">
        <f>+F632</f>
        <v>0</v>
      </c>
      <c r="H641" t="s">
        <v>986</v>
      </c>
      <c r="I641" s="347" t="s">
        <v>296</v>
      </c>
      <c r="K641" s="370"/>
      <c r="N641" s="370"/>
    </row>
    <row r="642" spans="1:14" s="347" customFormat="1" x14ac:dyDescent="0.25">
      <c r="A642" s="369">
        <v>44253</v>
      </c>
      <c r="B642" s="347">
        <v>2</v>
      </c>
      <c r="C642" s="347">
        <v>142</v>
      </c>
      <c r="D642" s="340" t="str">
        <f>VLOOKUP(C642,Plan!A$1:B$65542,2,0)</f>
        <v>Cuentas por Cobrar a CALI (Colectas)</v>
      </c>
      <c r="E642" s="396">
        <f t="shared" si="7"/>
        <v>30000</v>
      </c>
      <c r="F642" s="264">
        <v>30000</v>
      </c>
      <c r="G642" s="396">
        <v>0</v>
      </c>
      <c r="H642" t="s">
        <v>971</v>
      </c>
      <c r="I642" s="347" t="s">
        <v>296</v>
      </c>
      <c r="K642" s="370"/>
      <c r="N642" s="370"/>
    </row>
    <row r="643" spans="1:14" s="347" customFormat="1" x14ac:dyDescent="0.25">
      <c r="A643" s="369">
        <v>44253</v>
      </c>
      <c r="B643" s="347">
        <v>2</v>
      </c>
      <c r="C643" s="347">
        <v>142</v>
      </c>
      <c r="D643" s="340" t="str">
        <f>VLOOKUP(C643,Plan!A$1:B$65542,2,0)</f>
        <v>Cuentas por Cobrar a CALI (Colectas)</v>
      </c>
      <c r="E643" s="396">
        <f t="shared" si="7"/>
        <v>3000</v>
      </c>
      <c r="F643" s="264">
        <v>3000</v>
      </c>
      <c r="G643" s="396">
        <f>+F634</f>
        <v>0</v>
      </c>
      <c r="H643" t="s">
        <v>1010</v>
      </c>
      <c r="I643" s="347" t="s">
        <v>296</v>
      </c>
      <c r="K643" s="370"/>
      <c r="N643" s="370"/>
    </row>
    <row r="644" spans="1:14" s="347" customFormat="1" x14ac:dyDescent="0.25">
      <c r="A644" s="369">
        <v>44253</v>
      </c>
      <c r="B644" s="347">
        <v>2</v>
      </c>
      <c r="C644" s="347">
        <v>3110</v>
      </c>
      <c r="D644" s="340" t="str">
        <f>VLOOKUP(C644,Plan!A$1:B$65542,2,0)</f>
        <v>Colectas Normales</v>
      </c>
      <c r="E644" s="396">
        <f t="shared" si="7"/>
        <v>-12000</v>
      </c>
      <c r="F644" s="396">
        <v>0</v>
      </c>
      <c r="G644" s="264">
        <v>12000</v>
      </c>
      <c r="H644" t="s">
        <v>982</v>
      </c>
      <c r="I644" s="347" t="s">
        <v>296</v>
      </c>
      <c r="K644" s="370"/>
      <c r="N644" s="370"/>
    </row>
    <row r="645" spans="1:14" s="347" customFormat="1" x14ac:dyDescent="0.25">
      <c r="A645" s="369">
        <v>44253</v>
      </c>
      <c r="B645" s="347">
        <v>2</v>
      </c>
      <c r="C645" s="347">
        <v>3110</v>
      </c>
      <c r="D645" s="340" t="str">
        <f>VLOOKUP(C645,Plan!A$1:B$65542,2,0)</f>
        <v>Colectas Normales</v>
      </c>
      <c r="E645" s="396">
        <f t="shared" si="7"/>
        <v>-5000</v>
      </c>
      <c r="F645" s="396">
        <v>0</v>
      </c>
      <c r="G645" s="264">
        <v>5000</v>
      </c>
      <c r="H645" t="s">
        <v>1029</v>
      </c>
      <c r="I645" s="347" t="s">
        <v>296</v>
      </c>
      <c r="K645" s="370"/>
      <c r="N645" s="370"/>
    </row>
    <row r="646" spans="1:14" s="347" customFormat="1" x14ac:dyDescent="0.25">
      <c r="A646" s="369">
        <v>44253</v>
      </c>
      <c r="B646" s="347">
        <v>2</v>
      </c>
      <c r="C646" s="347">
        <v>3110</v>
      </c>
      <c r="D646" s="340" t="str">
        <f>VLOOKUP(C646,Plan!A$1:B$65542,2,0)</f>
        <v>Colectas Normales</v>
      </c>
      <c r="E646" s="396">
        <f t="shared" si="7"/>
        <v>-42000</v>
      </c>
      <c r="F646" s="396">
        <v>0</v>
      </c>
      <c r="G646" s="264">
        <v>42000</v>
      </c>
      <c r="H646" t="s">
        <v>986</v>
      </c>
      <c r="I646" s="347" t="s">
        <v>296</v>
      </c>
      <c r="K646" s="370"/>
      <c r="N646" s="370"/>
    </row>
    <row r="647" spans="1:14" s="347" customFormat="1" x14ac:dyDescent="0.25">
      <c r="A647" s="369">
        <v>44253</v>
      </c>
      <c r="B647" s="347">
        <v>2</v>
      </c>
      <c r="C647" s="347">
        <v>3110</v>
      </c>
      <c r="D647" s="340" t="str">
        <f>VLOOKUP(C647,Plan!A$1:B$65542,2,0)</f>
        <v>Colectas Normales</v>
      </c>
      <c r="E647" s="396">
        <f t="shared" si="7"/>
        <v>-30000</v>
      </c>
      <c r="F647" s="396">
        <v>0</v>
      </c>
      <c r="G647" s="264">
        <v>30000</v>
      </c>
      <c r="H647" t="s">
        <v>971</v>
      </c>
      <c r="I647" s="347" t="s">
        <v>296</v>
      </c>
      <c r="K647" s="370"/>
      <c r="N647" s="370"/>
    </row>
    <row r="648" spans="1:14" s="347" customFormat="1" x14ac:dyDescent="0.25">
      <c r="A648" s="369">
        <v>44253</v>
      </c>
      <c r="B648" s="347">
        <v>2</v>
      </c>
      <c r="C648" s="347">
        <v>3110</v>
      </c>
      <c r="D648" s="340" t="str">
        <f>VLOOKUP(C648,Plan!A$1:B$65542,2,0)</f>
        <v>Colectas Normales</v>
      </c>
      <c r="E648" s="396">
        <f t="shared" si="7"/>
        <v>-3000</v>
      </c>
      <c r="F648" s="396">
        <v>0</v>
      </c>
      <c r="G648" s="264">
        <v>3000</v>
      </c>
      <c r="H648" t="s">
        <v>1010</v>
      </c>
      <c r="I648" s="347" t="s">
        <v>296</v>
      </c>
      <c r="K648" s="370"/>
      <c r="N648" s="370"/>
    </row>
    <row r="649" spans="1:14" s="347" customFormat="1" x14ac:dyDescent="0.25">
      <c r="A649" s="369"/>
      <c r="E649" s="396"/>
      <c r="F649" s="396"/>
      <c r="G649" s="396"/>
      <c r="K649" s="370"/>
      <c r="N649" s="370"/>
    </row>
    <row r="650" spans="1:14" s="347" customFormat="1" x14ac:dyDescent="0.25">
      <c r="A650" s="369">
        <v>44255</v>
      </c>
      <c r="B650" s="340">
        <f>+MONTH(A650)</f>
        <v>2</v>
      </c>
      <c r="C650" s="347">
        <v>4223</v>
      </c>
      <c r="D650" s="340" t="str">
        <f>VLOOKUP(C650,Plan!A$1:B$65542,2,0)</f>
        <v xml:space="preserve">         Comunicaciones</v>
      </c>
      <c r="E650" s="396">
        <f>+F650</f>
        <v>338983</v>
      </c>
      <c r="F650" s="396">
        <v>338983</v>
      </c>
      <c r="G650" s="396">
        <v>0</v>
      </c>
      <c r="H650" s="156" t="s">
        <v>1262</v>
      </c>
      <c r="I650" s="347" t="s">
        <v>296</v>
      </c>
      <c r="K650" s="370"/>
      <c r="N650" s="370"/>
    </row>
    <row r="651" spans="1:14" s="347" customFormat="1" x14ac:dyDescent="0.25">
      <c r="A651" s="369">
        <f>+A650</f>
        <v>44255</v>
      </c>
      <c r="B651" s="347">
        <f>+B650</f>
        <v>2</v>
      </c>
      <c r="C651" s="347">
        <v>223</v>
      </c>
      <c r="D651" s="340" t="str">
        <f>VLOOKUP(C651,Plan!A$1:B$65542,2,0)</f>
        <v>Ret. Hon.  e Impto. Unico Administración</v>
      </c>
      <c r="E651" s="396">
        <f>-G651</f>
        <v>-38983</v>
      </c>
      <c r="F651" s="396">
        <v>0</v>
      </c>
      <c r="G651" s="396">
        <v>38983</v>
      </c>
      <c r="H651" s="347" t="str">
        <f>+H650</f>
        <v xml:space="preserve">BH Nº24 MARIA INES JARA LAMAS </v>
      </c>
      <c r="I651" s="347" t="s">
        <v>296</v>
      </c>
      <c r="K651" s="370"/>
      <c r="N651" s="370"/>
    </row>
    <row r="652" spans="1:14" s="347" customFormat="1" x14ac:dyDescent="0.25">
      <c r="A652" s="369">
        <f>+A651</f>
        <v>44255</v>
      </c>
      <c r="B652" s="340">
        <f>+MONTH(A652)</f>
        <v>2</v>
      </c>
      <c r="C652" s="347">
        <v>110</v>
      </c>
      <c r="D652" s="340" t="str">
        <f>VLOOKUP(C652,Plan!A$1:B$65542,2,0)</f>
        <v>Disponible Administración</v>
      </c>
      <c r="E652" s="341">
        <f>+F652-G652</f>
        <v>-300000</v>
      </c>
      <c r="F652" s="396">
        <v>0</v>
      </c>
      <c r="G652" s="396">
        <v>300000</v>
      </c>
      <c r="H652" t="str">
        <f>+H651</f>
        <v xml:space="preserve">BH Nº24 MARIA INES JARA LAMAS </v>
      </c>
      <c r="I652" s="347" t="s">
        <v>296</v>
      </c>
      <c r="K652" s="370"/>
      <c r="N652" s="370"/>
    </row>
    <row r="653" spans="1:14" s="347" customFormat="1" x14ac:dyDescent="0.25">
      <c r="A653" s="369"/>
      <c r="E653" s="396"/>
      <c r="F653" s="396"/>
      <c r="G653" s="396"/>
      <c r="K653" s="370"/>
      <c r="N653" s="370"/>
    </row>
    <row r="654" spans="1:14" s="347" customFormat="1" x14ac:dyDescent="0.25">
      <c r="A654" s="357">
        <v>44255</v>
      </c>
      <c r="B654" s="340">
        <v>2</v>
      </c>
      <c r="C654" s="338">
        <v>4231</v>
      </c>
      <c r="D654" s="347" t="str">
        <f>VLOOKUP(C654,Plan!A$1:B$65542,2,0)</f>
        <v>Auxiliares, secretarias y administración</v>
      </c>
      <c r="E654" s="341">
        <f>+F654</f>
        <v>3097237</v>
      </c>
      <c r="F654" s="345">
        <v>3097237</v>
      </c>
      <c r="G654" s="346">
        <v>0</v>
      </c>
      <c r="H654" s="343" t="s">
        <v>410</v>
      </c>
      <c r="I654" s="401" t="s">
        <v>296</v>
      </c>
      <c r="K654" s="370"/>
      <c r="N654" s="370"/>
    </row>
    <row r="655" spans="1:14" s="347" customFormat="1" x14ac:dyDescent="0.25">
      <c r="A655" s="357">
        <v>44255</v>
      </c>
      <c r="B655" s="340">
        <v>2</v>
      </c>
      <c r="C655" s="338">
        <v>9011</v>
      </c>
      <c r="D655" s="347" t="str">
        <f>VLOOKUP(C655,Plan!A$1:B$65542,2,0)</f>
        <v>Sueldo Sacerdotes</v>
      </c>
      <c r="E655" s="341">
        <f>+F655</f>
        <v>908849</v>
      </c>
      <c r="F655" s="345">
        <v>908849</v>
      </c>
      <c r="G655" s="346">
        <v>0</v>
      </c>
      <c r="H655" s="338" t="s">
        <v>410</v>
      </c>
      <c r="I655" s="401" t="s">
        <v>296</v>
      </c>
      <c r="K655" s="370"/>
      <c r="N655" s="370"/>
    </row>
    <row r="656" spans="1:14" s="347" customFormat="1" x14ac:dyDescent="0.25">
      <c r="A656" s="357">
        <v>44255</v>
      </c>
      <c r="B656" s="340">
        <v>2</v>
      </c>
      <c r="C656" s="338">
        <v>4231</v>
      </c>
      <c r="D656" s="347" t="str">
        <f>VLOOKUP(C656,Plan!A$1:B$65542,2,0)</f>
        <v>Auxiliares, secretarias y administración</v>
      </c>
      <c r="E656" s="341">
        <f>+F656</f>
        <v>51171</v>
      </c>
      <c r="F656" s="345">
        <v>51171</v>
      </c>
      <c r="G656" s="346">
        <v>0</v>
      </c>
      <c r="H656" s="338" t="s">
        <v>410</v>
      </c>
      <c r="I656" s="401" t="s">
        <v>296</v>
      </c>
      <c r="K656" s="370"/>
      <c r="N656" s="370"/>
    </row>
    <row r="657" spans="1:14" s="347" customFormat="1" x14ac:dyDescent="0.25">
      <c r="A657" s="357">
        <v>44255</v>
      </c>
      <c r="B657" s="340">
        <f>+B656</f>
        <v>2</v>
      </c>
      <c r="C657" s="338">
        <v>225</v>
      </c>
      <c r="D657" s="347" t="str">
        <f>VLOOKUP(C657,Plan!A$1:B$65542,2,0)</f>
        <v>Sueldos por Pagar</v>
      </c>
      <c r="E657" s="341">
        <f t="shared" ref="E657:E662" si="8">-G657</f>
        <v>-3398363</v>
      </c>
      <c r="F657" s="345">
        <v>0</v>
      </c>
      <c r="G657" s="346">
        <v>3398363</v>
      </c>
      <c r="H657" s="338" t="s">
        <v>410</v>
      </c>
      <c r="I657" s="401" t="s">
        <v>296</v>
      </c>
      <c r="K657" s="370"/>
      <c r="N657" s="370"/>
    </row>
    <row r="658" spans="1:14" s="347" customFormat="1" x14ac:dyDescent="0.25">
      <c r="A658" s="357">
        <v>44255</v>
      </c>
      <c r="B658" s="340">
        <f>+B657</f>
        <v>2</v>
      </c>
      <c r="C658" s="338">
        <v>224</v>
      </c>
      <c r="D658" s="347" t="str">
        <f>VLOOKUP(C658,Plan!A$1:B$65542,2,0)</f>
        <v>Cotizaciones por Pagar</v>
      </c>
      <c r="E658" s="341">
        <f t="shared" si="8"/>
        <v>-405523</v>
      </c>
      <c r="F658" s="345">
        <v>0</v>
      </c>
      <c r="G658" s="346">
        <f>418403-12880</f>
        <v>405523</v>
      </c>
      <c r="H658" s="338" t="s">
        <v>410</v>
      </c>
      <c r="I658" s="401" t="s">
        <v>296</v>
      </c>
      <c r="K658" s="370"/>
      <c r="N658" s="370"/>
    </row>
    <row r="659" spans="1:14" s="347" customFormat="1" x14ac:dyDescent="0.25">
      <c r="A659" s="357">
        <v>44255</v>
      </c>
      <c r="B659" s="340">
        <f>+B658</f>
        <v>2</v>
      </c>
      <c r="C659" s="338">
        <v>224</v>
      </c>
      <c r="D659" s="347" t="str">
        <f>VLOOKUP(C659,Plan!A$1:B$65542,2,0)</f>
        <v>Cotizaciones por Pagar</v>
      </c>
      <c r="E659" s="341">
        <f t="shared" si="8"/>
        <v>-173849</v>
      </c>
      <c r="F659" s="345">
        <v>0</v>
      </c>
      <c r="G659" s="362">
        <v>173849</v>
      </c>
      <c r="H659" s="338" t="s">
        <v>410</v>
      </c>
      <c r="I659" s="401" t="s">
        <v>296</v>
      </c>
      <c r="K659" s="370"/>
      <c r="N659" s="370"/>
    </row>
    <row r="660" spans="1:14" s="347" customFormat="1" x14ac:dyDescent="0.25">
      <c r="A660" s="357">
        <v>44255</v>
      </c>
      <c r="B660" s="340">
        <f>+B659</f>
        <v>2</v>
      </c>
      <c r="C660" s="338">
        <v>223</v>
      </c>
      <c r="D660" s="347" t="str">
        <f>VLOOKUP(C660,Plan!A$1:B$65542,2,0)</f>
        <v>Ret. Hon.  e Impto. Unico Administración</v>
      </c>
      <c r="E660" s="341">
        <f t="shared" si="8"/>
        <v>-16642</v>
      </c>
      <c r="F660" s="345">
        <v>0</v>
      </c>
      <c r="G660" s="346">
        <v>16642</v>
      </c>
      <c r="H660" s="338" t="s">
        <v>410</v>
      </c>
      <c r="I660" s="401" t="s">
        <v>296</v>
      </c>
      <c r="K660" s="370"/>
      <c r="N660" s="370"/>
    </row>
    <row r="661" spans="1:14" s="347" customFormat="1" x14ac:dyDescent="0.25">
      <c r="A661" s="357">
        <v>44255</v>
      </c>
      <c r="B661" s="340">
        <f>+B660</f>
        <v>2</v>
      </c>
      <c r="C661" s="338">
        <v>4231</v>
      </c>
      <c r="D661" s="347" t="str">
        <f>VLOOKUP(C661,Plan!A$1:B$65542,2,0)</f>
        <v>Auxiliares, secretarias y administración</v>
      </c>
      <c r="E661" s="341">
        <f t="shared" si="8"/>
        <v>-12880</v>
      </c>
      <c r="F661" s="345">
        <v>0</v>
      </c>
      <c r="G661" s="346">
        <v>12880</v>
      </c>
      <c r="H661" s="343" t="s">
        <v>1267</v>
      </c>
      <c r="I661" s="401" t="s">
        <v>296</v>
      </c>
      <c r="K661" s="370"/>
      <c r="N661" s="370"/>
    </row>
    <row r="662" spans="1:14" s="347" customFormat="1" x14ac:dyDescent="0.25">
      <c r="A662" s="357">
        <v>44255</v>
      </c>
      <c r="B662" s="347">
        <v>2</v>
      </c>
      <c r="C662" s="347">
        <v>225</v>
      </c>
      <c r="D662" s="347" t="str">
        <f>VLOOKUP(C662,Plan!A$1:B$65542,2,0)</f>
        <v>Sueldos por Pagar</v>
      </c>
      <c r="E662" s="341">
        <f t="shared" si="8"/>
        <v>-50000</v>
      </c>
      <c r="F662" s="396"/>
      <c r="G662" s="396">
        <v>50000</v>
      </c>
      <c r="H662" s="338" t="s">
        <v>410</v>
      </c>
      <c r="I662" s="401" t="s">
        <v>296</v>
      </c>
      <c r="K662" s="370"/>
      <c r="N662" s="370"/>
    </row>
    <row r="663" spans="1:14" s="347" customFormat="1" x14ac:dyDescent="0.25">
      <c r="A663" s="369"/>
      <c r="E663" s="396"/>
      <c r="F663" s="396"/>
      <c r="G663" s="396"/>
      <c r="K663" s="370"/>
      <c r="N663" s="370"/>
    </row>
    <row r="664" spans="1:14" s="347" customFormat="1" x14ac:dyDescent="0.25">
      <c r="A664" s="339">
        <v>44256</v>
      </c>
      <c r="B664" s="340">
        <f>+MONTH(A664)</f>
        <v>3</v>
      </c>
      <c r="C664" s="338">
        <v>4321</v>
      </c>
      <c r="D664" s="340" t="str">
        <f>VLOOKUP(C664,Plan!A$1:B$65542,2,0)</f>
        <v>Electricidad</v>
      </c>
      <c r="E664" s="341">
        <f>+F664-G664</f>
        <v>8495</v>
      </c>
      <c r="F664" s="346">
        <v>8495</v>
      </c>
      <c r="G664" s="346">
        <v>0</v>
      </c>
      <c r="H664" s="343" t="s">
        <v>730</v>
      </c>
      <c r="I664" s="401" t="s">
        <v>296</v>
      </c>
      <c r="K664" s="370"/>
      <c r="N664" s="370"/>
    </row>
    <row r="665" spans="1:14" s="347" customFormat="1" x14ac:dyDescent="0.25">
      <c r="A665" s="339">
        <f>+A664</f>
        <v>44256</v>
      </c>
      <c r="B665" s="340">
        <f>+B664</f>
        <v>3</v>
      </c>
      <c r="C665" s="338">
        <v>110</v>
      </c>
      <c r="D665" s="340" t="str">
        <f>VLOOKUP(C665,Plan!A$1:B$65542,2,0)</f>
        <v>Disponible Administración</v>
      </c>
      <c r="E665" s="341">
        <f>+F665-G665</f>
        <v>-8495</v>
      </c>
      <c r="F665" s="346"/>
      <c r="G665" s="346">
        <f>+F664</f>
        <v>8495</v>
      </c>
      <c r="H665" s="338" t="str">
        <f>+H664</f>
        <v>PAC Enel</v>
      </c>
      <c r="I665" s="401" t="s">
        <v>296</v>
      </c>
      <c r="K665" s="370"/>
      <c r="N665" s="370"/>
    </row>
    <row r="666" spans="1:14" s="347" customFormat="1" x14ac:dyDescent="0.25">
      <c r="A666" s="369"/>
      <c r="E666" s="396"/>
      <c r="F666" s="396"/>
      <c r="G666" s="396"/>
      <c r="K666" s="370"/>
      <c r="N666" s="370"/>
    </row>
    <row r="667" spans="1:14" s="347" customFormat="1" x14ac:dyDescent="0.25">
      <c r="A667" s="369">
        <v>44256</v>
      </c>
      <c r="B667" s="340">
        <f>+MONTH(A667)</f>
        <v>3</v>
      </c>
      <c r="C667" s="347">
        <v>110</v>
      </c>
      <c r="D667" s="340" t="str">
        <f>VLOOKUP(C667,Plan!A$1:B$65542,2,0)</f>
        <v>Disponible Administración</v>
      </c>
      <c r="E667" s="341">
        <f>+F667-G667</f>
        <v>30000</v>
      </c>
      <c r="F667" s="396">
        <v>30000</v>
      </c>
      <c r="G667" s="396">
        <v>0</v>
      </c>
      <c r="H667" s="347" t="s">
        <v>877</v>
      </c>
      <c r="I667" s="347" t="s">
        <v>296</v>
      </c>
      <c r="K667" s="370"/>
      <c r="N667" s="370"/>
    </row>
    <row r="668" spans="1:14" s="347" customFormat="1" x14ac:dyDescent="0.25">
      <c r="A668" s="369">
        <f>+A667</f>
        <v>44256</v>
      </c>
      <c r="B668" s="347">
        <f>+B667</f>
        <v>3</v>
      </c>
      <c r="C668" s="347">
        <v>3110</v>
      </c>
      <c r="D668" s="340" t="str">
        <f>VLOOKUP(C668,Plan!A$1:B$65542,2,0)</f>
        <v>Colectas Normales</v>
      </c>
      <c r="E668" s="396">
        <f>-G668</f>
        <v>-30000</v>
      </c>
      <c r="F668" s="396">
        <v>0</v>
      </c>
      <c r="G668" s="396">
        <f>+F667</f>
        <v>30000</v>
      </c>
      <c r="H668" s="347" t="str">
        <f>+H667</f>
        <v>Colecta Manuel Uzal C</v>
      </c>
      <c r="I668" s="347" t="s">
        <v>296</v>
      </c>
      <c r="K668" s="370"/>
      <c r="N668" s="370"/>
    </row>
    <row r="669" spans="1:14" s="347" customFormat="1" x14ac:dyDescent="0.25">
      <c r="A669" s="369"/>
      <c r="E669" s="396"/>
      <c r="F669" s="396"/>
      <c r="G669" s="396"/>
      <c r="K669" s="370"/>
      <c r="N669" s="370"/>
    </row>
    <row r="670" spans="1:14" s="347" customFormat="1" x14ac:dyDescent="0.25">
      <c r="A670" s="369">
        <v>44256</v>
      </c>
      <c r="B670" s="340">
        <f>+MONTH(A670)</f>
        <v>3</v>
      </c>
      <c r="C670" s="347">
        <v>110</v>
      </c>
      <c r="D670" s="340" t="str">
        <f>VLOOKUP(C670,Plan!A$1:B$65542,2,0)</f>
        <v>Disponible Administración</v>
      </c>
      <c r="E670" s="341">
        <f>+F670-G670</f>
        <v>10000</v>
      </c>
      <c r="F670" s="396">
        <v>10000</v>
      </c>
      <c r="G670" s="396">
        <v>0</v>
      </c>
      <c r="H670" s="347" t="s">
        <v>881</v>
      </c>
      <c r="I670" s="347" t="s">
        <v>296</v>
      </c>
      <c r="K670" s="370"/>
      <c r="N670" s="370"/>
    </row>
    <row r="671" spans="1:14" s="347" customFormat="1" x14ac:dyDescent="0.25">
      <c r="A671" s="369">
        <f>+A670</f>
        <v>44256</v>
      </c>
      <c r="B671" s="347">
        <f>+B670</f>
        <v>3</v>
      </c>
      <c r="C671" s="347">
        <v>3110</v>
      </c>
      <c r="D671" s="340" t="str">
        <f>VLOOKUP(C671,Plan!A$1:B$65542,2,0)</f>
        <v>Colectas Normales</v>
      </c>
      <c r="E671" s="396">
        <f>-G671</f>
        <v>-10000</v>
      </c>
      <c r="F671" s="396">
        <v>0</v>
      </c>
      <c r="G671" s="396">
        <f>+F670</f>
        <v>10000</v>
      </c>
      <c r="H671" s="347" t="str">
        <f>+H670</f>
        <v>Colecta Rafael Marin Jordan</v>
      </c>
      <c r="I671" s="347" t="s">
        <v>296</v>
      </c>
      <c r="K671" s="370"/>
      <c r="N671" s="370"/>
    </row>
    <row r="672" spans="1:14" s="347" customFormat="1" x14ac:dyDescent="0.25">
      <c r="A672" s="369"/>
      <c r="E672" s="396"/>
      <c r="F672" s="396"/>
      <c r="G672" s="396"/>
      <c r="K672" s="370"/>
      <c r="N672" s="370"/>
    </row>
    <row r="673" spans="1:14" s="347" customFormat="1" x14ac:dyDescent="0.25">
      <c r="A673" s="369">
        <v>44256</v>
      </c>
      <c r="B673" s="340">
        <f>+MONTH(A673)</f>
        <v>3</v>
      </c>
      <c r="C673" s="347">
        <v>110</v>
      </c>
      <c r="D673" s="340" t="str">
        <f>VLOOKUP(C673,Plan!A$1:B$65542,2,0)</f>
        <v>Disponible Administración</v>
      </c>
      <c r="E673" s="341">
        <f>+F673-G673</f>
        <v>3000</v>
      </c>
      <c r="F673" s="396">
        <v>3000</v>
      </c>
      <c r="G673" s="396">
        <v>0</v>
      </c>
      <c r="H673" s="347" t="s">
        <v>1106</v>
      </c>
      <c r="I673" s="347" t="s">
        <v>296</v>
      </c>
      <c r="K673" s="370"/>
      <c r="N673" s="370"/>
    </row>
    <row r="674" spans="1:14" s="347" customFormat="1" x14ac:dyDescent="0.25">
      <c r="A674" s="369">
        <f>+A673</f>
        <v>44256</v>
      </c>
      <c r="B674" s="347">
        <f>+B673</f>
        <v>3</v>
      </c>
      <c r="C674" s="347">
        <v>3110</v>
      </c>
      <c r="D674" s="340" t="str">
        <f>VLOOKUP(C674,Plan!A$1:B$65542,2,0)</f>
        <v>Colectas Normales</v>
      </c>
      <c r="E674" s="396">
        <f>-G674</f>
        <v>-3000</v>
      </c>
      <c r="F674" s="396">
        <v>0</v>
      </c>
      <c r="G674" s="396">
        <f>+F673</f>
        <v>3000</v>
      </c>
      <c r="H674" s="347" t="s">
        <v>1106</v>
      </c>
      <c r="I674" s="347" t="s">
        <v>296</v>
      </c>
      <c r="K674" s="370"/>
      <c r="N674" s="370"/>
    </row>
    <row r="675" spans="1:14" s="347" customFormat="1" x14ac:dyDescent="0.25">
      <c r="A675" s="369"/>
      <c r="E675" s="396"/>
      <c r="F675" s="396"/>
      <c r="G675" s="396"/>
      <c r="K675" s="370"/>
      <c r="N675" s="370"/>
    </row>
    <row r="676" spans="1:14" s="347" customFormat="1" x14ac:dyDescent="0.25">
      <c r="A676" s="369">
        <v>44256</v>
      </c>
      <c r="B676" s="340">
        <f>+MONTH(A676)</f>
        <v>3</v>
      </c>
      <c r="C676" s="347">
        <v>110</v>
      </c>
      <c r="D676" s="340" t="str">
        <f>VLOOKUP(C676,Plan!A$1:B$65542,2,0)</f>
        <v>Disponible Administración</v>
      </c>
      <c r="E676" s="341">
        <f>+F676-G676</f>
        <v>65000</v>
      </c>
      <c r="F676" s="396">
        <v>65000</v>
      </c>
      <c r="G676" s="396">
        <v>0</v>
      </c>
      <c r="H676" s="347" t="s">
        <v>892</v>
      </c>
      <c r="I676" s="347" t="s">
        <v>296</v>
      </c>
      <c r="K676" s="370"/>
      <c r="N676" s="370"/>
    </row>
    <row r="677" spans="1:14" s="347" customFormat="1" x14ac:dyDescent="0.25">
      <c r="A677" s="369">
        <f>+A676</f>
        <v>44256</v>
      </c>
      <c r="B677" s="347">
        <f>+B676</f>
        <v>3</v>
      </c>
      <c r="C677" s="347">
        <v>3110</v>
      </c>
      <c r="D677" s="340" t="str">
        <f>VLOOKUP(C677,Plan!A$1:B$65542,2,0)</f>
        <v>Colectas Normales</v>
      </c>
      <c r="E677" s="396">
        <f>-G677</f>
        <v>-65000</v>
      </c>
      <c r="F677" s="396">
        <v>0</v>
      </c>
      <c r="G677" s="396">
        <f>+F676</f>
        <v>65000</v>
      </c>
      <c r="H677" s="347" t="s">
        <v>892</v>
      </c>
      <c r="I677" s="347" t="s">
        <v>296</v>
      </c>
      <c r="K677" s="370"/>
      <c r="N677" s="370"/>
    </row>
    <row r="678" spans="1:14" s="347" customFormat="1" x14ac:dyDescent="0.25">
      <c r="A678" s="369"/>
      <c r="E678" s="396"/>
      <c r="F678" s="396"/>
      <c r="G678" s="396"/>
      <c r="K678" s="370"/>
      <c r="N678" s="370"/>
    </row>
    <row r="679" spans="1:14" s="347" customFormat="1" x14ac:dyDescent="0.25">
      <c r="A679" s="369">
        <v>44256</v>
      </c>
      <c r="B679" s="340">
        <f>+MONTH(A679)</f>
        <v>3</v>
      </c>
      <c r="C679" s="347">
        <v>110</v>
      </c>
      <c r="D679" s="340" t="str">
        <f>VLOOKUP(C679,Plan!A$1:B$65542,2,0)</f>
        <v>Disponible Administración</v>
      </c>
      <c r="E679" s="341">
        <f>+F679-G679</f>
        <v>100000</v>
      </c>
      <c r="F679" s="396">
        <v>100000</v>
      </c>
      <c r="G679" s="396">
        <v>0</v>
      </c>
      <c r="H679" s="347" t="s">
        <v>1424</v>
      </c>
      <c r="I679" s="347" t="s">
        <v>296</v>
      </c>
      <c r="K679" s="370"/>
      <c r="N679" s="370"/>
    </row>
    <row r="680" spans="1:14" s="347" customFormat="1" x14ac:dyDescent="0.25">
      <c r="A680" s="369">
        <f>+A679</f>
        <v>44256</v>
      </c>
      <c r="B680" s="347">
        <f>+B679</f>
        <v>3</v>
      </c>
      <c r="C680" s="338">
        <v>3450</v>
      </c>
      <c r="D680" s="340" t="str">
        <f>VLOOKUP(C680,Plan!A$1:B$65542,2,0)</f>
        <v>Pastoral Social</v>
      </c>
      <c r="E680" s="396">
        <f>-G680</f>
        <v>-100000</v>
      </c>
      <c r="F680" s="396">
        <v>0</v>
      </c>
      <c r="G680" s="396">
        <v>100000</v>
      </c>
      <c r="H680" s="347" t="s">
        <v>1424</v>
      </c>
      <c r="I680" s="347" t="s">
        <v>296</v>
      </c>
      <c r="K680" s="370"/>
      <c r="N680" s="370"/>
    </row>
    <row r="681" spans="1:14" s="347" customFormat="1" x14ac:dyDescent="0.25">
      <c r="A681" s="369"/>
      <c r="E681" s="396"/>
      <c r="F681" s="396"/>
      <c r="G681" s="396"/>
      <c r="K681" s="370"/>
      <c r="N681" s="370"/>
    </row>
    <row r="682" spans="1:14" s="347" customFormat="1" x14ac:dyDescent="0.25">
      <c r="A682" s="369">
        <v>44256</v>
      </c>
      <c r="B682" s="340">
        <f>+MONTH(A682)</f>
        <v>3</v>
      </c>
      <c r="C682" s="347">
        <v>110</v>
      </c>
      <c r="D682" s="340" t="str">
        <f>VLOOKUP(C682,Plan!A$1:B$65542,2,0)</f>
        <v>Disponible Administración</v>
      </c>
      <c r="E682" s="341">
        <f>+F682-G682</f>
        <v>8000</v>
      </c>
      <c r="F682" s="396">
        <v>8000</v>
      </c>
      <c r="G682" s="396">
        <v>0</v>
      </c>
      <c r="H682" s="347" t="s">
        <v>886</v>
      </c>
      <c r="I682" s="347" t="s">
        <v>296</v>
      </c>
      <c r="K682" s="370"/>
      <c r="N682" s="370"/>
    </row>
    <row r="683" spans="1:14" s="347" customFormat="1" x14ac:dyDescent="0.25">
      <c r="A683" s="369">
        <f>+A682</f>
        <v>44256</v>
      </c>
      <c r="B683" s="347">
        <f>+B682</f>
        <v>3</v>
      </c>
      <c r="C683" s="347">
        <v>3110</v>
      </c>
      <c r="D683" s="340" t="str">
        <f>VLOOKUP(C683,Plan!A$1:B$65542,2,0)</f>
        <v>Colectas Normales</v>
      </c>
      <c r="E683" s="396">
        <f>-G683</f>
        <v>-8000</v>
      </c>
      <c r="F683" s="396">
        <v>0</v>
      </c>
      <c r="G683" s="396">
        <f>+F682</f>
        <v>8000</v>
      </c>
      <c r="H683" s="347" t="str">
        <f>+H682</f>
        <v>Colecta Maria Magdalena Castillo Vial</v>
      </c>
      <c r="I683" s="347" t="s">
        <v>296</v>
      </c>
      <c r="K683" s="370"/>
      <c r="N683" s="370"/>
    </row>
    <row r="684" spans="1:14" s="347" customFormat="1" x14ac:dyDescent="0.25">
      <c r="A684" s="369"/>
      <c r="E684" s="396"/>
      <c r="F684" s="396"/>
      <c r="G684" s="396"/>
      <c r="K684" s="370"/>
      <c r="N684" s="370"/>
    </row>
    <row r="685" spans="1:14" s="347" customFormat="1" x14ac:dyDescent="0.25">
      <c r="A685" s="369">
        <v>44256</v>
      </c>
      <c r="B685" s="340">
        <f>+MONTH(A685)</f>
        <v>3</v>
      </c>
      <c r="C685" s="347">
        <v>110</v>
      </c>
      <c r="D685" s="340" t="str">
        <f>VLOOKUP(C685,Plan!A$1:B$65542,2,0)</f>
        <v>Disponible Administración</v>
      </c>
      <c r="E685" s="341">
        <f>+F685-G685</f>
        <v>100000</v>
      </c>
      <c r="F685" s="396">
        <v>100000</v>
      </c>
      <c r="G685" s="396">
        <v>0</v>
      </c>
      <c r="H685" s="347" t="s">
        <v>1107</v>
      </c>
      <c r="I685" s="347" t="s">
        <v>296</v>
      </c>
      <c r="K685" s="370"/>
      <c r="N685" s="370"/>
    </row>
    <row r="686" spans="1:14" s="347" customFormat="1" x14ac:dyDescent="0.25">
      <c r="A686" s="369">
        <f>+A685</f>
        <v>44256</v>
      </c>
      <c r="B686" s="347">
        <f>+B685</f>
        <v>3</v>
      </c>
      <c r="C686" s="347">
        <v>3110</v>
      </c>
      <c r="D686" s="340" t="str">
        <f>VLOOKUP(C686,Plan!A$1:B$65542,2,0)</f>
        <v>Colectas Normales</v>
      </c>
      <c r="E686" s="396">
        <f>-G686</f>
        <v>-100000</v>
      </c>
      <c r="F686" s="396">
        <v>0</v>
      </c>
      <c r="G686" s="396">
        <f>+F685</f>
        <v>100000</v>
      </c>
      <c r="H686" s="347" t="str">
        <f>+H685</f>
        <v>Colecta Francisco Guillen</v>
      </c>
      <c r="I686" s="347" t="s">
        <v>296</v>
      </c>
      <c r="K686" s="370"/>
      <c r="N686" s="370"/>
    </row>
    <row r="687" spans="1:14" s="347" customFormat="1" x14ac:dyDescent="0.25">
      <c r="A687" s="369"/>
      <c r="E687" s="396"/>
      <c r="F687" s="396"/>
      <c r="G687" s="396"/>
      <c r="K687" s="370"/>
      <c r="N687" s="370"/>
    </row>
    <row r="688" spans="1:14" s="347" customFormat="1" x14ac:dyDescent="0.25">
      <c r="A688" s="369">
        <v>44256</v>
      </c>
      <c r="B688" s="340">
        <f>+MONTH(A688)</f>
        <v>3</v>
      </c>
      <c r="C688" s="347">
        <v>110</v>
      </c>
      <c r="D688" s="340" t="str">
        <f>VLOOKUP(C688,Plan!A$1:B$65542,2,0)</f>
        <v>Disponible Administración</v>
      </c>
      <c r="E688" s="341">
        <f>+F688-G688</f>
        <v>5000</v>
      </c>
      <c r="F688" s="396">
        <v>5000</v>
      </c>
      <c r="G688" s="396">
        <v>0</v>
      </c>
      <c r="H688" s="347" t="s">
        <v>1108</v>
      </c>
      <c r="I688" s="347" t="s">
        <v>296</v>
      </c>
      <c r="K688" s="370"/>
      <c r="N688" s="370"/>
    </row>
    <row r="689" spans="1:14" s="347" customFormat="1" x14ac:dyDescent="0.25">
      <c r="A689" s="369">
        <f>+A688</f>
        <v>44256</v>
      </c>
      <c r="B689" s="347">
        <f>+B688</f>
        <v>3</v>
      </c>
      <c r="C689" s="347">
        <v>3110</v>
      </c>
      <c r="D689" s="340" t="str">
        <f>VLOOKUP(C689,Plan!A$1:B$65542,2,0)</f>
        <v>Colectas Normales</v>
      </c>
      <c r="E689" s="396">
        <f>-G689</f>
        <v>-5000</v>
      </c>
      <c r="F689" s="396">
        <v>0</v>
      </c>
      <c r="G689" s="396">
        <f>+F688</f>
        <v>5000</v>
      </c>
      <c r="H689" s="347" t="str">
        <f>+H688</f>
        <v>Colecta Ricardo Fernandez</v>
      </c>
      <c r="I689" s="347" t="s">
        <v>296</v>
      </c>
      <c r="K689" s="370"/>
      <c r="N689" s="370"/>
    </row>
    <row r="690" spans="1:14" s="347" customFormat="1" x14ac:dyDescent="0.25">
      <c r="A690" s="369"/>
      <c r="E690" s="396"/>
      <c r="F690" s="396"/>
      <c r="G690" s="396"/>
      <c r="K690" s="370"/>
      <c r="N690" s="370"/>
    </row>
    <row r="691" spans="1:14" s="347" customFormat="1" x14ac:dyDescent="0.25">
      <c r="A691" s="369">
        <v>44256</v>
      </c>
      <c r="B691" s="340">
        <f>+MONTH(A691)</f>
        <v>3</v>
      </c>
      <c r="C691" s="347">
        <v>110</v>
      </c>
      <c r="D691" s="340" t="str">
        <f>VLOOKUP(C691,Plan!A$1:B$65542,2,0)</f>
        <v>Disponible Administración</v>
      </c>
      <c r="E691" s="341">
        <f>+F691-G691</f>
        <v>10000</v>
      </c>
      <c r="F691" s="396">
        <v>10000</v>
      </c>
      <c r="G691" s="396">
        <v>0</v>
      </c>
      <c r="H691" s="347" t="s">
        <v>914</v>
      </c>
      <c r="I691" s="347" t="s">
        <v>296</v>
      </c>
      <c r="K691" s="370"/>
      <c r="N691" s="370"/>
    </row>
    <row r="692" spans="1:14" s="347" customFormat="1" x14ac:dyDescent="0.25">
      <c r="A692" s="369">
        <f>+A691</f>
        <v>44256</v>
      </c>
      <c r="B692" s="347">
        <f>+B691</f>
        <v>3</v>
      </c>
      <c r="C692" s="347">
        <v>3110</v>
      </c>
      <c r="D692" s="340" t="str">
        <f>VLOOKUP(C692,Plan!A$1:B$65542,2,0)</f>
        <v>Colectas Normales</v>
      </c>
      <c r="E692" s="396">
        <f>-G692</f>
        <v>-10000</v>
      </c>
      <c r="F692" s="396">
        <v>0</v>
      </c>
      <c r="G692" s="396">
        <f>+F691</f>
        <v>10000</v>
      </c>
      <c r="H692" s="347" t="str">
        <f>+H691</f>
        <v xml:space="preserve">Colecta Sebastian Rios </v>
      </c>
      <c r="I692" s="347" t="s">
        <v>296</v>
      </c>
      <c r="K692" s="370"/>
      <c r="N692" s="370"/>
    </row>
    <row r="693" spans="1:14" s="347" customFormat="1" x14ac:dyDescent="0.25">
      <c r="A693" s="369"/>
      <c r="E693" s="396"/>
      <c r="F693" s="396"/>
      <c r="G693" s="396"/>
      <c r="K693" s="370"/>
      <c r="N693" s="370"/>
    </row>
    <row r="694" spans="1:14" s="347" customFormat="1" x14ac:dyDescent="0.25">
      <c r="A694" s="369">
        <v>44256</v>
      </c>
      <c r="B694" s="340">
        <f>+MONTH(A694)</f>
        <v>3</v>
      </c>
      <c r="C694" s="347">
        <v>110</v>
      </c>
      <c r="D694" s="340" t="str">
        <f>VLOOKUP(C694,Plan!A$1:B$65542,2,0)</f>
        <v>Disponible Administración</v>
      </c>
      <c r="E694" s="341">
        <f>+F694-G694</f>
        <v>300000</v>
      </c>
      <c r="F694" s="396">
        <v>300000</v>
      </c>
      <c r="G694" s="396">
        <v>0</v>
      </c>
      <c r="H694" s="347" t="s">
        <v>1109</v>
      </c>
      <c r="I694" s="347" t="s">
        <v>296</v>
      </c>
      <c r="K694" s="370"/>
      <c r="N694" s="370"/>
    </row>
    <row r="695" spans="1:14" s="347" customFormat="1" x14ac:dyDescent="0.25">
      <c r="A695" s="369">
        <f>+A694</f>
        <v>44256</v>
      </c>
      <c r="B695" s="347">
        <f>+B694</f>
        <v>3</v>
      </c>
      <c r="C695" s="347">
        <v>3110</v>
      </c>
      <c r="D695" s="340" t="str">
        <f>VLOOKUP(C695,Plan!A$1:B$65542,2,0)</f>
        <v>Colectas Normales</v>
      </c>
      <c r="E695" s="396">
        <f>-G695</f>
        <v>-300000</v>
      </c>
      <c r="F695" s="396">
        <v>0</v>
      </c>
      <c r="G695" s="396">
        <f>+F694</f>
        <v>300000</v>
      </c>
      <c r="H695" s="347" t="s">
        <v>1109</v>
      </c>
      <c r="I695" s="347" t="s">
        <v>296</v>
      </c>
      <c r="K695" s="370"/>
      <c r="N695" s="370"/>
    </row>
    <row r="696" spans="1:14" s="347" customFormat="1" x14ac:dyDescent="0.25">
      <c r="A696" s="369"/>
      <c r="E696" s="396"/>
      <c r="F696" s="396"/>
      <c r="G696" s="396"/>
      <c r="K696" s="370"/>
      <c r="N696" s="370"/>
    </row>
    <row r="697" spans="1:14" s="347" customFormat="1" x14ac:dyDescent="0.25">
      <c r="A697" s="369">
        <v>44256</v>
      </c>
      <c r="B697" s="340">
        <f>+MONTH(A697)</f>
        <v>3</v>
      </c>
      <c r="C697" s="347">
        <v>110</v>
      </c>
      <c r="D697" s="340" t="str">
        <f>VLOOKUP(C697,Plan!A$1:B$65542,2,0)</f>
        <v>Disponible Administración</v>
      </c>
      <c r="E697" s="341">
        <f>+F697-G697</f>
        <v>5000</v>
      </c>
      <c r="F697" s="396">
        <v>5000</v>
      </c>
      <c r="G697" s="396">
        <v>0</v>
      </c>
      <c r="H697" s="347" t="s">
        <v>933</v>
      </c>
      <c r="I697" s="347" t="s">
        <v>296</v>
      </c>
      <c r="K697" s="370"/>
      <c r="N697" s="370"/>
    </row>
    <row r="698" spans="1:14" s="347" customFormat="1" x14ac:dyDescent="0.25">
      <c r="A698" s="369">
        <f>+A697</f>
        <v>44256</v>
      </c>
      <c r="B698" s="347">
        <f>+B697</f>
        <v>3</v>
      </c>
      <c r="C698" s="347">
        <v>3110</v>
      </c>
      <c r="D698" s="340" t="str">
        <f>VLOOKUP(C698,Plan!A$1:B$65542,2,0)</f>
        <v>Colectas Normales</v>
      </c>
      <c r="E698" s="396">
        <f>-G698</f>
        <v>-5000</v>
      </c>
      <c r="F698" s="396">
        <v>0</v>
      </c>
      <c r="G698" s="396">
        <f>+F697</f>
        <v>5000</v>
      </c>
      <c r="H698" s="347" t="str">
        <f>+H697</f>
        <v>Colecta Edita Gonzalez Marquez</v>
      </c>
      <c r="I698" s="347" t="s">
        <v>296</v>
      </c>
      <c r="K698" s="370"/>
      <c r="N698" s="370"/>
    </row>
    <row r="699" spans="1:14" s="347" customFormat="1" x14ac:dyDescent="0.25">
      <c r="A699" s="369"/>
      <c r="E699" s="396"/>
      <c r="F699" s="396"/>
      <c r="G699" s="396"/>
      <c r="K699" s="370"/>
      <c r="N699" s="370"/>
    </row>
    <row r="700" spans="1:14" s="347" customFormat="1" x14ac:dyDescent="0.25">
      <c r="A700" s="369">
        <v>44256</v>
      </c>
      <c r="B700" s="340">
        <f>+MONTH(A700)</f>
        <v>3</v>
      </c>
      <c r="C700" s="347">
        <v>110</v>
      </c>
      <c r="D700" s="340" t="str">
        <f>VLOOKUP(C700,Plan!A$1:B$65542,2,0)</f>
        <v>Disponible Administración</v>
      </c>
      <c r="E700" s="341">
        <f>+F700-G700</f>
        <v>100000</v>
      </c>
      <c r="F700" s="396">
        <v>100000</v>
      </c>
      <c r="G700" s="396">
        <v>0</v>
      </c>
      <c r="H700" s="347" t="s">
        <v>887</v>
      </c>
      <c r="I700" s="347" t="s">
        <v>296</v>
      </c>
      <c r="K700" s="370"/>
      <c r="N700" s="370"/>
    </row>
    <row r="701" spans="1:14" s="347" customFormat="1" x14ac:dyDescent="0.25">
      <c r="A701" s="369">
        <f>+A700</f>
        <v>44256</v>
      </c>
      <c r="B701" s="347">
        <f>+B700</f>
        <v>3</v>
      </c>
      <c r="C701" s="347">
        <v>3110</v>
      </c>
      <c r="D701" s="340" t="str">
        <f>VLOOKUP(C701,Plan!A$1:B$65542,2,0)</f>
        <v>Colectas Normales</v>
      </c>
      <c r="E701" s="396">
        <f>-G701</f>
        <v>-100000</v>
      </c>
      <c r="F701" s="396">
        <v>0</v>
      </c>
      <c r="G701" s="396">
        <f>+F700</f>
        <v>100000</v>
      </c>
      <c r="H701" s="347" t="str">
        <f>+H700</f>
        <v>Colecta Fernando Varela</v>
      </c>
      <c r="I701" s="347" t="s">
        <v>296</v>
      </c>
      <c r="K701" s="370"/>
      <c r="N701" s="370"/>
    </row>
    <row r="702" spans="1:14" s="347" customFormat="1" x14ac:dyDescent="0.25">
      <c r="A702" s="369"/>
      <c r="E702" s="396"/>
      <c r="F702" s="396"/>
      <c r="G702" s="396"/>
      <c r="K702" s="370"/>
      <c r="N702" s="370"/>
    </row>
    <row r="703" spans="1:14" s="347" customFormat="1" x14ac:dyDescent="0.25">
      <c r="A703" s="369">
        <v>44256</v>
      </c>
      <c r="B703" s="340">
        <f>+MONTH(A703)</f>
        <v>3</v>
      </c>
      <c r="C703" s="347">
        <v>110</v>
      </c>
      <c r="D703" s="340" t="str">
        <f>VLOOKUP(C703,Plan!A$1:B$65542,2,0)</f>
        <v>Disponible Administración</v>
      </c>
      <c r="E703" s="341">
        <f>+F703-G703</f>
        <v>12000</v>
      </c>
      <c r="F703" s="396">
        <v>12000</v>
      </c>
      <c r="G703" s="396">
        <v>0</v>
      </c>
      <c r="H703" s="347" t="s">
        <v>889</v>
      </c>
      <c r="I703" s="347" t="s">
        <v>296</v>
      </c>
      <c r="K703" s="370"/>
      <c r="N703" s="370"/>
    </row>
    <row r="704" spans="1:14" s="347" customFormat="1" x14ac:dyDescent="0.25">
      <c r="A704" s="369">
        <f>+A703</f>
        <v>44256</v>
      </c>
      <c r="B704" s="347">
        <f>+B703</f>
        <v>3</v>
      </c>
      <c r="C704" s="347">
        <v>3110</v>
      </c>
      <c r="D704" s="340" t="str">
        <f>VLOOKUP(C704,Plan!A$1:B$65542,2,0)</f>
        <v>Colectas Normales</v>
      </c>
      <c r="E704" s="396">
        <f>-G704</f>
        <v>-12000</v>
      </c>
      <c r="F704" s="396">
        <v>0</v>
      </c>
      <c r="G704" s="396">
        <f>+F703</f>
        <v>12000</v>
      </c>
      <c r="H704" s="347" t="str">
        <f>+H703</f>
        <v>Colecta Keryma Felmer Echeverria</v>
      </c>
      <c r="I704" s="347" t="s">
        <v>296</v>
      </c>
      <c r="K704" s="370"/>
      <c r="N704" s="370"/>
    </row>
    <row r="705" spans="1:14" s="347" customFormat="1" x14ac:dyDescent="0.25">
      <c r="K705" s="370"/>
      <c r="N705" s="370"/>
    </row>
    <row r="706" spans="1:14" s="347" customFormat="1" x14ac:dyDescent="0.25">
      <c r="A706" s="369">
        <v>44256</v>
      </c>
      <c r="B706" s="340">
        <f>+MONTH(A706)</f>
        <v>3</v>
      </c>
      <c r="C706" s="347">
        <v>110</v>
      </c>
      <c r="D706" s="340" t="str">
        <f>VLOOKUP(C706,Plan!A$1:B$65542,2,0)</f>
        <v>Disponible Administración</v>
      </c>
      <c r="E706" s="341">
        <f>+F706-G706</f>
        <v>15000</v>
      </c>
      <c r="F706" s="396">
        <v>15000</v>
      </c>
      <c r="G706" s="396">
        <v>0</v>
      </c>
      <c r="H706" s="347" t="s">
        <v>888</v>
      </c>
      <c r="I706" s="347" t="s">
        <v>296</v>
      </c>
      <c r="K706" s="370"/>
      <c r="N706" s="370"/>
    </row>
    <row r="707" spans="1:14" s="347" customFormat="1" x14ac:dyDescent="0.25">
      <c r="A707" s="369">
        <f>+A706</f>
        <v>44256</v>
      </c>
      <c r="B707" s="347">
        <f>+B706</f>
        <v>3</v>
      </c>
      <c r="C707" s="347">
        <v>3110</v>
      </c>
      <c r="D707" s="340" t="str">
        <f>VLOOKUP(C707,Plan!A$1:B$65542,2,0)</f>
        <v>Colectas Normales</v>
      </c>
      <c r="E707" s="396">
        <f>-G707</f>
        <v>-15000</v>
      </c>
      <c r="F707" s="396">
        <v>0</v>
      </c>
      <c r="G707" s="396">
        <f>+F706</f>
        <v>15000</v>
      </c>
      <c r="H707" s="347" t="str">
        <f>+H706</f>
        <v>Colecta Gonzalo Contardo M</v>
      </c>
      <c r="I707" s="347" t="s">
        <v>296</v>
      </c>
      <c r="K707" s="370"/>
      <c r="N707" s="370"/>
    </row>
    <row r="708" spans="1:14" s="347" customFormat="1" x14ac:dyDescent="0.25">
      <c r="A708" s="369"/>
      <c r="E708" s="396"/>
      <c r="F708" s="396"/>
      <c r="G708" s="396"/>
      <c r="K708" s="370"/>
      <c r="N708" s="370"/>
    </row>
    <row r="709" spans="1:14" s="347" customFormat="1" x14ac:dyDescent="0.25">
      <c r="A709" s="369">
        <v>44256</v>
      </c>
      <c r="B709" s="340">
        <f>+MONTH(A709)</f>
        <v>3</v>
      </c>
      <c r="C709" s="347">
        <v>110</v>
      </c>
      <c r="D709" s="340" t="str">
        <f>VLOOKUP(C709,Plan!A$1:B$65542,2,0)</f>
        <v>Disponible Administración</v>
      </c>
      <c r="E709" s="341">
        <f>+F709-G709</f>
        <v>20000</v>
      </c>
      <c r="F709" s="396">
        <v>20000</v>
      </c>
      <c r="G709" s="396">
        <v>0</v>
      </c>
      <c r="H709" s="347" t="s">
        <v>1110</v>
      </c>
      <c r="I709" s="347" t="s">
        <v>296</v>
      </c>
      <c r="K709" s="370"/>
      <c r="N709" s="370"/>
    </row>
    <row r="710" spans="1:14" s="347" customFormat="1" x14ac:dyDescent="0.25">
      <c r="A710" s="369">
        <f>+A709</f>
        <v>44256</v>
      </c>
      <c r="B710" s="347">
        <f>+B709</f>
        <v>3</v>
      </c>
      <c r="C710" s="347">
        <v>215</v>
      </c>
      <c r="D710" s="340" t="str">
        <f>VLOOKUP(C710,Plan!A$1:B$65542,2,0)</f>
        <v>Cuenta por Pagar a Cali</v>
      </c>
      <c r="E710" s="396">
        <f>-G710</f>
        <v>-20000</v>
      </c>
      <c r="F710" s="396">
        <v>0</v>
      </c>
      <c r="G710" s="396">
        <f>+F709</f>
        <v>20000</v>
      </c>
      <c r="H710" s="347" t="str">
        <f>+H709</f>
        <v>Colecta Sebastian Lagos Valdivieso/Azul</v>
      </c>
      <c r="I710" s="347" t="s">
        <v>296</v>
      </c>
      <c r="K710" s="370"/>
      <c r="N710" s="370"/>
    </row>
    <row r="711" spans="1:14" s="347" customFormat="1" x14ac:dyDescent="0.25">
      <c r="A711" s="369"/>
      <c r="E711" s="396"/>
      <c r="F711" s="396"/>
      <c r="G711" s="396"/>
      <c r="K711" s="370"/>
      <c r="N711" s="370"/>
    </row>
    <row r="712" spans="1:14" s="347" customFormat="1" x14ac:dyDescent="0.25">
      <c r="A712" s="369">
        <v>44256</v>
      </c>
      <c r="B712" s="340">
        <f>+MONTH(A712)</f>
        <v>3</v>
      </c>
      <c r="C712" s="347">
        <v>110</v>
      </c>
      <c r="D712" s="340" t="str">
        <f>VLOOKUP(C712,Plan!A$1:B$65542,2,0)</f>
        <v>Disponible Administración</v>
      </c>
      <c r="E712" s="341">
        <f>+F712-G712</f>
        <v>5000</v>
      </c>
      <c r="F712" s="396">
        <v>5000</v>
      </c>
      <c r="G712" s="396">
        <v>0</v>
      </c>
      <c r="H712" s="347" t="s">
        <v>2526</v>
      </c>
      <c r="I712" s="347" t="s">
        <v>296</v>
      </c>
      <c r="K712" s="370"/>
      <c r="N712" s="370"/>
    </row>
    <row r="713" spans="1:14" s="347" customFormat="1" x14ac:dyDescent="0.25">
      <c r="A713" s="369">
        <f>+A712</f>
        <v>44256</v>
      </c>
      <c r="B713" s="347">
        <f>+B712</f>
        <v>3</v>
      </c>
      <c r="C713" s="347">
        <v>3350</v>
      </c>
      <c r="D713" s="340" t="str">
        <f>VLOOKUP(C713,Plan!A$1:B$65542,2,0)</f>
        <v>Bautizos</v>
      </c>
      <c r="E713" s="396">
        <f>-G713</f>
        <v>-5000</v>
      </c>
      <c r="F713" s="396">
        <v>0</v>
      </c>
      <c r="G713" s="396">
        <f>+F712</f>
        <v>5000</v>
      </c>
      <c r="H713" s="347" t="str">
        <f>+H712</f>
        <v>Bautizo M.Eugenia Juarez</v>
      </c>
      <c r="I713" s="347" t="s">
        <v>296</v>
      </c>
      <c r="K713" s="370"/>
      <c r="N713" s="370"/>
    </row>
    <row r="714" spans="1:14" s="347" customFormat="1" x14ac:dyDescent="0.25">
      <c r="A714" s="369"/>
      <c r="E714" s="396"/>
      <c r="F714" s="396"/>
      <c r="G714" s="396"/>
      <c r="K714" s="370"/>
      <c r="N714" s="370"/>
    </row>
    <row r="715" spans="1:14" s="347" customFormat="1" x14ac:dyDescent="0.25">
      <c r="A715" s="369">
        <v>44256</v>
      </c>
      <c r="B715" s="340">
        <f>+MONTH(A715)</f>
        <v>3</v>
      </c>
      <c r="C715" s="347">
        <v>110</v>
      </c>
      <c r="D715" s="340" t="str">
        <f>VLOOKUP(C715,Plan!A$1:B$65542,2,0)</f>
        <v>Disponible Administración</v>
      </c>
      <c r="E715" s="341">
        <f>+F715-G715</f>
        <v>5000</v>
      </c>
      <c r="F715" s="396">
        <v>5000</v>
      </c>
      <c r="G715" s="396">
        <v>0</v>
      </c>
      <c r="H715" s="347" t="s">
        <v>2527</v>
      </c>
      <c r="I715" s="347" t="s">
        <v>296</v>
      </c>
      <c r="K715" s="370"/>
      <c r="N715" s="370"/>
    </row>
    <row r="716" spans="1:14" s="347" customFormat="1" x14ac:dyDescent="0.25">
      <c r="A716" s="369">
        <f>+A715</f>
        <v>44256</v>
      </c>
      <c r="B716" s="347">
        <f>+B715</f>
        <v>3</v>
      </c>
      <c r="C716" s="347">
        <v>3350</v>
      </c>
      <c r="D716" s="340" t="str">
        <f>VLOOKUP(C716,Plan!A$1:B$65542,2,0)</f>
        <v>Bautizos</v>
      </c>
      <c r="E716" s="396">
        <f>-G716</f>
        <v>-5000</v>
      </c>
      <c r="F716" s="396">
        <v>0</v>
      </c>
      <c r="G716" s="396">
        <f>+F715</f>
        <v>5000</v>
      </c>
      <c r="H716" s="347" t="str">
        <f>+H715</f>
        <v>Bautizo M.Jose Campama D</v>
      </c>
      <c r="I716" s="347" t="s">
        <v>296</v>
      </c>
      <c r="K716" s="370"/>
      <c r="N716" s="370"/>
    </row>
    <row r="717" spans="1:14" s="347" customFormat="1" x14ac:dyDescent="0.25">
      <c r="A717" s="369"/>
      <c r="E717" s="396"/>
      <c r="F717" s="396"/>
      <c r="G717" s="396"/>
      <c r="K717" s="370"/>
      <c r="N717" s="370"/>
    </row>
    <row r="718" spans="1:14" s="347" customFormat="1" x14ac:dyDescent="0.25">
      <c r="A718" s="369">
        <v>44256</v>
      </c>
      <c r="B718" s="340">
        <f>+MONTH(A718)</f>
        <v>3</v>
      </c>
      <c r="C718" s="347">
        <v>110</v>
      </c>
      <c r="D718" s="340" t="str">
        <f>VLOOKUP(C718,Plan!A$1:B$65542,2,0)</f>
        <v>Disponible Administración</v>
      </c>
      <c r="E718" s="341">
        <f>+F718-G718</f>
        <v>2000</v>
      </c>
      <c r="F718" s="396">
        <v>2000</v>
      </c>
      <c r="G718" s="396">
        <v>0</v>
      </c>
      <c r="H718" s="347" t="s">
        <v>2529</v>
      </c>
      <c r="I718" s="347" t="s">
        <v>296</v>
      </c>
      <c r="K718" s="370"/>
      <c r="N718" s="370"/>
    </row>
    <row r="719" spans="1:14" s="347" customFormat="1" x14ac:dyDescent="0.25">
      <c r="A719" s="369">
        <f>+A718</f>
        <v>44256</v>
      </c>
      <c r="B719" s="347">
        <f>+B718</f>
        <v>3</v>
      </c>
      <c r="C719" s="347">
        <v>3350</v>
      </c>
      <c r="D719" s="340" t="str">
        <f>VLOOKUP(C719,Plan!A$1:B$65542,2,0)</f>
        <v>Bautizos</v>
      </c>
      <c r="E719" s="396">
        <f>-G719</f>
        <v>-2000</v>
      </c>
      <c r="F719" s="396">
        <v>0</v>
      </c>
      <c r="G719" s="396">
        <f>+F718</f>
        <v>2000</v>
      </c>
      <c r="H719" s="347" t="str">
        <f>+H718</f>
        <v>Bautizo Matias Galvez</v>
      </c>
      <c r="I719" s="347" t="s">
        <v>296</v>
      </c>
      <c r="K719" s="370"/>
      <c r="N719" s="370"/>
    </row>
    <row r="720" spans="1:14" s="347" customFormat="1" x14ac:dyDescent="0.25">
      <c r="A720" s="369"/>
      <c r="E720" s="396"/>
      <c r="F720" s="396"/>
      <c r="G720" s="396"/>
      <c r="K720" s="370"/>
      <c r="N720" s="370"/>
    </row>
    <row r="721" spans="1:14" s="347" customFormat="1" x14ac:dyDescent="0.25">
      <c r="A721" s="369">
        <v>44256</v>
      </c>
      <c r="B721" s="340">
        <f>+MONTH(A721)</f>
        <v>3</v>
      </c>
      <c r="C721" s="347">
        <v>110</v>
      </c>
      <c r="D721" s="340" t="str">
        <f>VLOOKUP(C721,Plan!A$1:B$65542,2,0)</f>
        <v>Disponible Administración</v>
      </c>
      <c r="E721" s="341">
        <f>+F721-G721</f>
        <v>345310</v>
      </c>
      <c r="F721" s="396">
        <v>345310</v>
      </c>
      <c r="G721" s="396">
        <v>0</v>
      </c>
      <c r="H721" t="s">
        <v>1111</v>
      </c>
      <c r="I721" s="347" t="s">
        <v>296</v>
      </c>
      <c r="K721" s="370"/>
      <c r="N721" s="370"/>
    </row>
    <row r="722" spans="1:14" s="347" customFormat="1" x14ac:dyDescent="0.25">
      <c r="A722" s="369">
        <f>+A721</f>
        <v>44256</v>
      </c>
      <c r="B722" s="347">
        <f>+B721</f>
        <v>3</v>
      </c>
      <c r="C722" s="347">
        <v>3110</v>
      </c>
      <c r="D722" s="340" t="str">
        <f>VLOOKUP(C722,Plan!A$1:B$65542,2,0)</f>
        <v>Colectas Normales</v>
      </c>
      <c r="E722" s="396">
        <f>-G722</f>
        <v>-345310</v>
      </c>
      <c r="F722" s="396">
        <v>0</v>
      </c>
      <c r="G722" s="396">
        <f>+F721</f>
        <v>345310</v>
      </c>
      <c r="H722" s="347" t="str">
        <f>+H721</f>
        <v>Dep. Colecta 22 al 28/02 Col Cordillera</v>
      </c>
      <c r="I722" s="347" t="s">
        <v>296</v>
      </c>
      <c r="K722" s="370"/>
      <c r="N722" s="370"/>
    </row>
    <row r="723" spans="1:14" s="347" customFormat="1" x14ac:dyDescent="0.25">
      <c r="A723" s="369"/>
      <c r="E723" s="396"/>
      <c r="F723" s="396"/>
      <c r="G723" s="396"/>
      <c r="K723" s="370"/>
      <c r="N723" s="370"/>
    </row>
    <row r="724" spans="1:14" s="347" customFormat="1" x14ac:dyDescent="0.25">
      <c r="A724" s="369">
        <v>44256</v>
      </c>
      <c r="B724" s="340">
        <f>+MONTH(A724)</f>
        <v>3</v>
      </c>
      <c r="C724" s="347">
        <v>110</v>
      </c>
      <c r="D724" s="340" t="str">
        <f>VLOOKUP(C724,Plan!A$1:B$65542,2,0)</f>
        <v>Disponible Administración</v>
      </c>
      <c r="E724" s="341">
        <f>+F724-G724</f>
        <v>5000</v>
      </c>
      <c r="F724" s="396">
        <v>5000</v>
      </c>
      <c r="G724" s="396">
        <v>0</v>
      </c>
      <c r="H724" t="s">
        <v>1112</v>
      </c>
      <c r="I724" s="347" t="s">
        <v>296</v>
      </c>
      <c r="K724" s="370"/>
      <c r="N724" s="370"/>
    </row>
    <row r="725" spans="1:14" s="347" customFormat="1" x14ac:dyDescent="0.25">
      <c r="A725" s="369">
        <f>+A724</f>
        <v>44256</v>
      </c>
      <c r="B725" s="347">
        <f>+B724</f>
        <v>3</v>
      </c>
      <c r="C725" s="347">
        <v>3340</v>
      </c>
      <c r="D725" s="340" t="str">
        <f>VLOOKUP(C725,Plan!A$1:B$65542,2,0)</f>
        <v>Misas</v>
      </c>
      <c r="E725" s="396">
        <f>-G725</f>
        <v>-5000</v>
      </c>
      <c r="F725" s="396">
        <v>0</v>
      </c>
      <c r="G725" s="396">
        <f>+F724</f>
        <v>5000</v>
      </c>
      <c r="H725" s="347" t="str">
        <f>+H724</f>
        <v>Misa M.de los Angeles Palma</v>
      </c>
      <c r="I725" s="347" t="s">
        <v>296</v>
      </c>
      <c r="K725" s="370"/>
      <c r="N725" s="370"/>
    </row>
    <row r="726" spans="1:14" s="347" customFormat="1" x14ac:dyDescent="0.25">
      <c r="A726" s="369"/>
      <c r="E726" s="396"/>
      <c r="F726" s="396"/>
      <c r="G726" s="396"/>
      <c r="K726" s="370"/>
      <c r="N726" s="370"/>
    </row>
    <row r="727" spans="1:14" s="347" customFormat="1" x14ac:dyDescent="0.25">
      <c r="A727" s="369">
        <v>44257</v>
      </c>
      <c r="B727" s="340">
        <f>+MONTH(A727)</f>
        <v>3</v>
      </c>
      <c r="C727" s="347">
        <v>110</v>
      </c>
      <c r="D727" s="340" t="str">
        <f>VLOOKUP(C727,Plan!A$1:B$65542,2,0)</f>
        <v>Disponible Administración</v>
      </c>
      <c r="E727" s="341">
        <f>+F727-G727</f>
        <v>19600</v>
      </c>
      <c r="F727" s="396">
        <v>19600</v>
      </c>
      <c r="G727" s="396">
        <v>0</v>
      </c>
      <c r="H727" t="s">
        <v>1113</v>
      </c>
      <c r="I727" s="347" t="s">
        <v>296</v>
      </c>
      <c r="K727" s="370"/>
      <c r="N727" s="370"/>
    </row>
    <row r="728" spans="1:14" s="347" customFormat="1" x14ac:dyDescent="0.25">
      <c r="A728" s="369">
        <f>+A727</f>
        <v>44257</v>
      </c>
      <c r="B728" s="347">
        <f>+B727</f>
        <v>3</v>
      </c>
      <c r="C728" s="347">
        <v>3340</v>
      </c>
      <c r="D728" s="340" t="str">
        <f>VLOOKUP(C728,Plan!A$1:B$65542,2,0)</f>
        <v>Misas</v>
      </c>
      <c r="E728" s="396">
        <f>-G728</f>
        <v>-19600</v>
      </c>
      <c r="F728" s="396">
        <v>0</v>
      </c>
      <c r="G728" s="396">
        <f>+F727</f>
        <v>19600</v>
      </c>
      <c r="H728" s="347" t="str">
        <f>+H727</f>
        <v>Misa Gerardo del Villar</v>
      </c>
      <c r="I728" s="347" t="s">
        <v>296</v>
      </c>
      <c r="K728" s="370"/>
      <c r="N728" s="370"/>
    </row>
    <row r="729" spans="1:14" s="347" customFormat="1" x14ac:dyDescent="0.25">
      <c r="A729" s="369"/>
      <c r="E729" s="396"/>
      <c r="F729" s="396"/>
      <c r="G729" s="396"/>
      <c r="K729" s="370"/>
      <c r="N729" s="370"/>
    </row>
    <row r="730" spans="1:14" s="347" customFormat="1" x14ac:dyDescent="0.25">
      <c r="A730" s="369">
        <v>44257</v>
      </c>
      <c r="B730" s="340">
        <f>+MONTH(A730)</f>
        <v>3</v>
      </c>
      <c r="C730" s="347">
        <v>110</v>
      </c>
      <c r="D730" s="340" t="str">
        <f>VLOOKUP(C730,Plan!A$1:B$65542,2,0)</f>
        <v>Disponible Administración</v>
      </c>
      <c r="E730" s="341">
        <f>+F730-G730</f>
        <v>10000</v>
      </c>
      <c r="F730" s="396">
        <v>10000</v>
      </c>
      <c r="G730" s="396">
        <v>0</v>
      </c>
      <c r="H730" t="s">
        <v>1114</v>
      </c>
      <c r="I730" s="347" t="s">
        <v>296</v>
      </c>
      <c r="K730" s="370"/>
      <c r="N730" s="370"/>
    </row>
    <row r="731" spans="1:14" s="347" customFormat="1" x14ac:dyDescent="0.25">
      <c r="A731" s="369">
        <f>+A730</f>
        <v>44257</v>
      </c>
      <c r="B731" s="347">
        <f>+B730</f>
        <v>3</v>
      </c>
      <c r="C731" s="347">
        <v>3340</v>
      </c>
      <c r="D731" s="340" t="str">
        <f>VLOOKUP(C731,Plan!A$1:B$65542,2,0)</f>
        <v>Misas</v>
      </c>
      <c r="E731" s="396">
        <f>-G731</f>
        <v>-10000</v>
      </c>
      <c r="F731" s="396">
        <v>0</v>
      </c>
      <c r="G731" s="396">
        <f>+F730</f>
        <v>10000</v>
      </c>
      <c r="H731" s="347" t="str">
        <f>+H730</f>
        <v>Misa Sonia Schmidt Salgado</v>
      </c>
      <c r="I731" s="347" t="s">
        <v>296</v>
      </c>
      <c r="K731" s="370"/>
      <c r="N731" s="370"/>
    </row>
    <row r="732" spans="1:14" s="347" customFormat="1" x14ac:dyDescent="0.25">
      <c r="A732" s="369"/>
      <c r="E732" s="396"/>
      <c r="F732" s="396"/>
      <c r="G732" s="396"/>
      <c r="K732" s="370"/>
      <c r="N732" s="370"/>
    </row>
    <row r="733" spans="1:14" s="347" customFormat="1" x14ac:dyDescent="0.25">
      <c r="A733" s="369">
        <v>44257</v>
      </c>
      <c r="B733" s="340">
        <f>+MONTH(A733)</f>
        <v>3</v>
      </c>
      <c r="C733" s="347">
        <v>110</v>
      </c>
      <c r="D733" s="340" t="str">
        <f>VLOOKUP(C733,Plan!A$1:B$65542,2,0)</f>
        <v>Disponible Administración</v>
      </c>
      <c r="E733" s="341">
        <f>+F733-G733</f>
        <v>10000</v>
      </c>
      <c r="F733" s="396">
        <v>10000</v>
      </c>
      <c r="G733" s="396">
        <v>0</v>
      </c>
      <c r="H733" t="s">
        <v>1115</v>
      </c>
      <c r="I733" s="347" t="s">
        <v>296</v>
      </c>
      <c r="K733" s="370"/>
      <c r="N733" s="370"/>
    </row>
    <row r="734" spans="1:14" s="347" customFormat="1" x14ac:dyDescent="0.25">
      <c r="A734" s="369">
        <f>+A733</f>
        <v>44257</v>
      </c>
      <c r="B734" s="347">
        <f>+B733</f>
        <v>3</v>
      </c>
      <c r="C734" s="347">
        <v>3110</v>
      </c>
      <c r="D734" s="340" t="str">
        <f>VLOOKUP(C734,Plan!A$1:B$65542,2,0)</f>
        <v>Colectas Normales</v>
      </c>
      <c r="E734" s="396">
        <f>-G734</f>
        <v>-10000</v>
      </c>
      <c r="F734" s="396">
        <v>0</v>
      </c>
      <c r="G734" s="396">
        <f>+F733</f>
        <v>10000</v>
      </c>
      <c r="H734" s="347" t="str">
        <f>+H733</f>
        <v>Colecta Mercedes Cisternas Pérez</v>
      </c>
      <c r="I734" s="347" t="s">
        <v>296</v>
      </c>
      <c r="K734" s="370"/>
      <c r="N734" s="370"/>
    </row>
    <row r="735" spans="1:14" s="347" customFormat="1" x14ac:dyDescent="0.25">
      <c r="A735" s="369"/>
      <c r="E735" s="396"/>
      <c r="F735" s="396"/>
      <c r="G735" s="396"/>
      <c r="K735" s="370"/>
      <c r="N735" s="370"/>
    </row>
    <row r="736" spans="1:14" s="347" customFormat="1" x14ac:dyDescent="0.25">
      <c r="A736" s="369">
        <v>44257</v>
      </c>
      <c r="B736" s="340">
        <f>+MONTH(A736)</f>
        <v>3</v>
      </c>
      <c r="C736" s="347">
        <v>110</v>
      </c>
      <c r="D736" s="340" t="str">
        <f>VLOOKUP(C736,Plan!A$1:B$65542,2,0)</f>
        <v>Disponible Administración</v>
      </c>
      <c r="E736" s="341">
        <f>+F736-G736</f>
        <v>10000</v>
      </c>
      <c r="F736" s="396">
        <v>10000</v>
      </c>
      <c r="G736" s="396">
        <v>0</v>
      </c>
      <c r="H736" t="s">
        <v>1116</v>
      </c>
      <c r="I736" s="347" t="s">
        <v>296</v>
      </c>
      <c r="K736" s="370"/>
      <c r="N736" s="370"/>
    </row>
    <row r="737" spans="1:14" s="347" customFormat="1" x14ac:dyDescent="0.25">
      <c r="A737" s="369">
        <f>+A736</f>
        <v>44257</v>
      </c>
      <c r="B737" s="347">
        <f>+B736</f>
        <v>3</v>
      </c>
      <c r="C737" s="347">
        <v>3110</v>
      </c>
      <c r="D737" s="340" t="str">
        <f>VLOOKUP(C737,Plan!A$1:B$65542,2,0)</f>
        <v>Colectas Normales</v>
      </c>
      <c r="E737" s="396">
        <f>-G737</f>
        <v>-10000</v>
      </c>
      <c r="F737" s="396">
        <v>0</v>
      </c>
      <c r="G737" s="396">
        <f>+F736</f>
        <v>10000</v>
      </c>
      <c r="H737" s="347" t="str">
        <f>+H736</f>
        <v xml:space="preserve">Colecta Carmen Gloria Rivas Varas </v>
      </c>
      <c r="I737" s="347" t="s">
        <v>296</v>
      </c>
      <c r="K737" s="370"/>
      <c r="N737" s="370"/>
    </row>
    <row r="738" spans="1:14" s="347" customFormat="1" x14ac:dyDescent="0.25">
      <c r="A738" s="369"/>
      <c r="E738" s="396"/>
      <c r="F738" s="396"/>
      <c r="G738" s="396"/>
      <c r="K738" s="370"/>
      <c r="N738" s="370"/>
    </row>
    <row r="739" spans="1:14" s="347" customFormat="1" x14ac:dyDescent="0.25">
      <c r="A739" s="369">
        <v>44257</v>
      </c>
      <c r="B739" s="340">
        <f>+MONTH(A739)</f>
        <v>3</v>
      </c>
      <c r="C739" s="347">
        <v>110</v>
      </c>
      <c r="D739" s="340" t="str">
        <f>VLOOKUP(C739,Plan!A$1:B$65542,2,0)</f>
        <v>Disponible Administración</v>
      </c>
      <c r="E739" s="341">
        <f>+F739-G739</f>
        <v>10000</v>
      </c>
      <c r="F739" s="396">
        <v>10000</v>
      </c>
      <c r="G739" s="396">
        <v>0</v>
      </c>
      <c r="H739" t="s">
        <v>1117</v>
      </c>
      <c r="I739" s="347" t="s">
        <v>296</v>
      </c>
      <c r="K739" s="370"/>
      <c r="N739" s="370"/>
    </row>
    <row r="740" spans="1:14" s="347" customFormat="1" x14ac:dyDescent="0.25">
      <c r="A740" s="369">
        <f>+A739</f>
        <v>44257</v>
      </c>
      <c r="B740" s="347">
        <f>+B739</f>
        <v>3</v>
      </c>
      <c r="C740" s="347">
        <v>3110</v>
      </c>
      <c r="D740" s="340" t="str">
        <f>VLOOKUP(C740,Plan!A$1:B$65542,2,0)</f>
        <v>Colectas Normales</v>
      </c>
      <c r="E740" s="396">
        <f>-G740</f>
        <v>-10000</v>
      </c>
      <c r="F740" s="396">
        <v>0</v>
      </c>
      <c r="G740" s="396">
        <f>+F739</f>
        <v>10000</v>
      </c>
      <c r="H740" s="347" t="str">
        <f>+H739</f>
        <v>Colecta M.Angelica Arancibia Larenas</v>
      </c>
      <c r="I740" s="347" t="s">
        <v>296</v>
      </c>
      <c r="K740" s="370"/>
      <c r="N740" s="370"/>
    </row>
    <row r="741" spans="1:14" s="347" customFormat="1" x14ac:dyDescent="0.25">
      <c r="A741" s="369"/>
      <c r="E741" s="396"/>
      <c r="F741" s="396"/>
      <c r="G741" s="396"/>
      <c r="K741" s="370"/>
      <c r="N741" s="370"/>
    </row>
    <row r="742" spans="1:14" s="347" customFormat="1" x14ac:dyDescent="0.25">
      <c r="A742" s="369">
        <v>44257</v>
      </c>
      <c r="B742" s="340">
        <f>+MONTH(A742)</f>
        <v>3</v>
      </c>
      <c r="C742" s="347">
        <v>110</v>
      </c>
      <c r="D742" s="340" t="str">
        <f>VLOOKUP(C742,Plan!A$1:B$65542,2,0)</f>
        <v>Disponible Administración</v>
      </c>
      <c r="E742" s="341">
        <f>+F742-G742</f>
        <v>100000</v>
      </c>
      <c r="F742" s="396">
        <v>100000</v>
      </c>
      <c r="G742" s="396">
        <v>0</v>
      </c>
      <c r="H742" t="s">
        <v>1118</v>
      </c>
      <c r="I742" s="347" t="s">
        <v>296</v>
      </c>
      <c r="K742" s="370"/>
      <c r="N742" s="370"/>
    </row>
    <row r="743" spans="1:14" s="347" customFormat="1" x14ac:dyDescent="0.25">
      <c r="A743" s="369">
        <f>+A742</f>
        <v>44257</v>
      </c>
      <c r="B743" s="347">
        <f>+B742</f>
        <v>3</v>
      </c>
      <c r="C743" s="347">
        <v>3110</v>
      </c>
      <c r="D743" s="340" t="str">
        <f>VLOOKUP(C743,Plan!A$1:B$65542,2,0)</f>
        <v>Colectas Normales</v>
      </c>
      <c r="E743" s="396">
        <f>-G743</f>
        <v>-100000</v>
      </c>
      <c r="F743" s="396">
        <v>0</v>
      </c>
      <c r="G743" s="396">
        <f>+F742</f>
        <v>100000</v>
      </c>
      <c r="H743" s="347" t="str">
        <f>+H742</f>
        <v>Colecta José Antonio Marín Jordán</v>
      </c>
      <c r="I743" s="347" t="s">
        <v>296</v>
      </c>
      <c r="K743" s="370"/>
      <c r="N743" s="370"/>
    </row>
    <row r="744" spans="1:14" s="347" customFormat="1" x14ac:dyDescent="0.25">
      <c r="A744" s="369"/>
      <c r="E744" s="396"/>
      <c r="F744" s="396"/>
      <c r="G744" s="396"/>
      <c r="K744" s="370"/>
      <c r="N744" s="370"/>
    </row>
    <row r="745" spans="1:14" s="347" customFormat="1" x14ac:dyDescent="0.25">
      <c r="A745" s="369">
        <v>44257</v>
      </c>
      <c r="B745" s="340">
        <f>+MONTH(A745)</f>
        <v>3</v>
      </c>
      <c r="C745" s="347">
        <v>110</v>
      </c>
      <c r="D745" s="340" t="str">
        <f>VLOOKUP(C745,Plan!A$1:B$65542,2,0)</f>
        <v>Disponible Administración</v>
      </c>
      <c r="E745" s="341">
        <f>+F745-G745</f>
        <v>15000</v>
      </c>
      <c r="F745" s="396">
        <v>15000</v>
      </c>
      <c r="G745" s="396">
        <v>0</v>
      </c>
      <c r="H745" t="s">
        <v>905</v>
      </c>
      <c r="I745" s="347" t="s">
        <v>296</v>
      </c>
      <c r="K745" s="370"/>
      <c r="N745" s="370"/>
    </row>
    <row r="746" spans="1:14" s="347" customFormat="1" x14ac:dyDescent="0.25">
      <c r="A746" s="369">
        <f>+A745</f>
        <v>44257</v>
      </c>
      <c r="B746" s="347">
        <f>+B745</f>
        <v>3</v>
      </c>
      <c r="C746" s="347">
        <v>3110</v>
      </c>
      <c r="D746" s="340" t="str">
        <f>VLOOKUP(C746,Plan!A$1:B$65542,2,0)</f>
        <v>Colectas Normales</v>
      </c>
      <c r="E746" s="396">
        <f>-G746</f>
        <v>-15000</v>
      </c>
      <c r="F746" s="396">
        <v>0</v>
      </c>
      <c r="G746" s="396">
        <f>+F745</f>
        <v>15000</v>
      </c>
      <c r="H746" s="347" t="str">
        <f>+H745</f>
        <v>Colecta Jaime Andrés Court Viviani</v>
      </c>
      <c r="I746" s="347" t="s">
        <v>296</v>
      </c>
      <c r="K746" s="370"/>
      <c r="N746" s="370"/>
    </row>
    <row r="747" spans="1:14" s="347" customFormat="1" x14ac:dyDescent="0.25">
      <c r="A747" s="369"/>
      <c r="E747" s="396"/>
      <c r="F747" s="396"/>
      <c r="G747" s="396"/>
      <c r="K747" s="370"/>
      <c r="N747" s="370"/>
    </row>
    <row r="748" spans="1:14" s="347" customFormat="1" x14ac:dyDescent="0.25">
      <c r="A748" s="369">
        <v>44257</v>
      </c>
      <c r="B748" s="340">
        <f>+MONTH(A748)</f>
        <v>3</v>
      </c>
      <c r="C748" s="347">
        <v>110</v>
      </c>
      <c r="D748" s="340" t="str">
        <f>VLOOKUP(C748,Plan!A$1:B$65542,2,0)</f>
        <v>Disponible Administración</v>
      </c>
      <c r="E748" s="341">
        <f>+F748-G748</f>
        <v>30000</v>
      </c>
      <c r="F748" s="396">
        <v>30000</v>
      </c>
      <c r="G748" s="396">
        <v>0</v>
      </c>
      <c r="H748" t="s">
        <v>737</v>
      </c>
      <c r="I748" s="347" t="s">
        <v>296</v>
      </c>
      <c r="K748" s="370"/>
      <c r="N748" s="370"/>
    </row>
    <row r="749" spans="1:14" s="347" customFormat="1" x14ac:dyDescent="0.25">
      <c r="A749" s="369">
        <f>+A748</f>
        <v>44257</v>
      </c>
      <c r="B749" s="347">
        <f>+B748</f>
        <v>3</v>
      </c>
      <c r="C749" s="347">
        <v>215</v>
      </c>
      <c r="D749" s="340" t="str">
        <f>VLOOKUP(C749,Plan!A$1:B$65542,2,0)</f>
        <v>Cuenta por Pagar a Cali</v>
      </c>
      <c r="E749" s="396">
        <f>-G749</f>
        <v>-30000</v>
      </c>
      <c r="F749" s="396">
        <v>0</v>
      </c>
      <c r="G749" s="396">
        <f>+F748</f>
        <v>30000</v>
      </c>
      <c r="H749" s="347" t="str">
        <f>+H748</f>
        <v>Jaime Andrés Court Viviani/249</v>
      </c>
      <c r="I749" s="347" t="s">
        <v>296</v>
      </c>
      <c r="K749" s="370"/>
      <c r="N749" s="370"/>
    </row>
    <row r="750" spans="1:14" s="347" customFormat="1" x14ac:dyDescent="0.25">
      <c r="A750" s="369"/>
      <c r="E750" s="396"/>
      <c r="F750" s="396"/>
      <c r="G750" s="396"/>
      <c r="K750" s="370"/>
      <c r="N750" s="370"/>
    </row>
    <row r="751" spans="1:14" s="347" customFormat="1" x14ac:dyDescent="0.25">
      <c r="A751" s="369">
        <v>44258</v>
      </c>
      <c r="B751" s="340">
        <f>+MONTH(A751)</f>
        <v>3</v>
      </c>
      <c r="C751" s="347">
        <v>110</v>
      </c>
      <c r="D751" s="340" t="str">
        <f>VLOOKUP(C751,Plan!A$1:B$65542,2,0)</f>
        <v>Disponible Administración</v>
      </c>
      <c r="E751" s="341">
        <f>+F751-G751</f>
        <v>60000</v>
      </c>
      <c r="F751" s="396">
        <v>60000</v>
      </c>
      <c r="G751" s="396">
        <v>0</v>
      </c>
      <c r="H751" t="s">
        <v>1119</v>
      </c>
      <c r="I751" s="347" t="s">
        <v>296</v>
      </c>
      <c r="K751" s="370"/>
      <c r="N751" s="370"/>
    </row>
    <row r="752" spans="1:14" s="347" customFormat="1" x14ac:dyDescent="0.25">
      <c r="A752" s="369">
        <f>+A751</f>
        <v>44258</v>
      </c>
      <c r="B752" s="347">
        <f>+B751</f>
        <v>3</v>
      </c>
      <c r="C752" s="347">
        <v>3110</v>
      </c>
      <c r="D752" s="340" t="str">
        <f>VLOOKUP(C752,Plan!A$1:B$65542,2,0)</f>
        <v>Colectas Normales</v>
      </c>
      <c r="E752" s="396">
        <f>-G752</f>
        <v>-60000</v>
      </c>
      <c r="F752" s="396">
        <v>0</v>
      </c>
      <c r="G752" s="396">
        <f>+F751</f>
        <v>60000</v>
      </c>
      <c r="H752" s="347" t="str">
        <f>+H751</f>
        <v>Colecta Carlos Mackena Iñiguez</v>
      </c>
      <c r="I752" s="347" t="s">
        <v>296</v>
      </c>
      <c r="K752" s="370"/>
      <c r="N752" s="370"/>
    </row>
    <row r="753" spans="1:14" s="347" customFormat="1" x14ac:dyDescent="0.25">
      <c r="A753" s="369"/>
      <c r="E753" s="396"/>
      <c r="F753" s="396"/>
      <c r="G753" s="396"/>
      <c r="K753" s="370"/>
      <c r="N753" s="370"/>
    </row>
    <row r="754" spans="1:14" s="347" customFormat="1" x14ac:dyDescent="0.25">
      <c r="A754" s="369">
        <v>44258</v>
      </c>
      <c r="B754" s="340">
        <f>+MONTH(A754)</f>
        <v>3</v>
      </c>
      <c r="C754" s="347">
        <v>110</v>
      </c>
      <c r="D754" s="340" t="str">
        <f>VLOOKUP(C754,Plan!A$1:B$65542,2,0)</f>
        <v>Disponible Administración</v>
      </c>
      <c r="E754" s="341">
        <f>+F754-G754</f>
        <v>15000</v>
      </c>
      <c r="F754" s="396">
        <v>15000</v>
      </c>
      <c r="G754" s="396">
        <v>0</v>
      </c>
      <c r="H754" t="s">
        <v>1120</v>
      </c>
      <c r="I754" s="347" t="s">
        <v>296</v>
      </c>
      <c r="K754" s="370"/>
      <c r="N754" s="370"/>
    </row>
    <row r="755" spans="1:14" s="347" customFormat="1" x14ac:dyDescent="0.25">
      <c r="A755" s="369">
        <f>+A754</f>
        <v>44258</v>
      </c>
      <c r="B755" s="347">
        <f>+B754</f>
        <v>3</v>
      </c>
      <c r="C755" s="347">
        <v>3110</v>
      </c>
      <c r="D755" s="340" t="str">
        <f>VLOOKUP(C755,Plan!A$1:B$65542,2,0)</f>
        <v>Colectas Normales</v>
      </c>
      <c r="E755" s="396">
        <f>-G755</f>
        <v>-15000</v>
      </c>
      <c r="F755" s="396">
        <v>0</v>
      </c>
      <c r="G755" s="396">
        <f>+F754</f>
        <v>15000</v>
      </c>
      <c r="H755" s="347" t="str">
        <f>+H754</f>
        <v>Colecta Maria Car Rios R</v>
      </c>
      <c r="I755" s="347" t="s">
        <v>296</v>
      </c>
      <c r="K755" s="370"/>
      <c r="N755" s="370"/>
    </row>
    <row r="756" spans="1:14" s="347" customFormat="1" x14ac:dyDescent="0.25">
      <c r="A756" s="369"/>
      <c r="E756" s="396"/>
      <c r="F756" s="396"/>
      <c r="G756" s="396"/>
      <c r="K756" s="370"/>
      <c r="N756" s="370"/>
    </row>
    <row r="757" spans="1:14" s="347" customFormat="1" x14ac:dyDescent="0.25">
      <c r="A757" s="369">
        <v>44258</v>
      </c>
      <c r="B757" s="340">
        <f>+MONTH(A757)</f>
        <v>3</v>
      </c>
      <c r="C757" s="347">
        <v>110</v>
      </c>
      <c r="D757" s="340" t="str">
        <f>VLOOKUP(C757,Plan!A$1:B$65542,2,0)</f>
        <v>Disponible Administración</v>
      </c>
      <c r="E757" s="341">
        <f>+F757-G757</f>
        <v>40000</v>
      </c>
      <c r="F757" s="396">
        <v>40000</v>
      </c>
      <c r="G757" s="396">
        <v>0</v>
      </c>
      <c r="H757" t="s">
        <v>1121</v>
      </c>
      <c r="I757" s="347" t="s">
        <v>296</v>
      </c>
      <c r="K757" s="370"/>
      <c r="N757" s="370"/>
    </row>
    <row r="758" spans="1:14" s="347" customFormat="1" x14ac:dyDescent="0.25">
      <c r="A758" s="369">
        <f>+A757</f>
        <v>44258</v>
      </c>
      <c r="B758" s="347">
        <f>+B757</f>
        <v>3</v>
      </c>
      <c r="C758" s="347">
        <v>3110</v>
      </c>
      <c r="D758" s="340" t="str">
        <f>VLOOKUP(C758,Plan!A$1:B$65542,2,0)</f>
        <v>Colectas Normales</v>
      </c>
      <c r="E758" s="396">
        <f>-G758</f>
        <v>-40000</v>
      </c>
      <c r="F758" s="396">
        <v>0</v>
      </c>
      <c r="G758" s="396">
        <f>+F757</f>
        <v>40000</v>
      </c>
      <c r="H758" s="347" t="str">
        <f>+H757</f>
        <v>Colecta Luis Marin J.</v>
      </c>
      <c r="I758" s="347" t="s">
        <v>296</v>
      </c>
      <c r="K758" s="370"/>
      <c r="N758" s="370"/>
    </row>
    <row r="759" spans="1:14" s="347" customFormat="1" x14ac:dyDescent="0.25">
      <c r="A759" s="369"/>
      <c r="E759" s="396"/>
      <c r="F759" s="396"/>
      <c r="G759" s="396"/>
      <c r="K759" s="370"/>
      <c r="N759" s="370"/>
    </row>
    <row r="760" spans="1:14" s="347" customFormat="1" x14ac:dyDescent="0.25">
      <c r="A760" s="369">
        <v>44258</v>
      </c>
      <c r="B760" s="340">
        <f>+MONTH(A760)</f>
        <v>3</v>
      </c>
      <c r="C760" s="347">
        <v>110</v>
      </c>
      <c r="D760" s="340" t="str">
        <f>VLOOKUP(C760,Plan!A$1:B$65542,2,0)</f>
        <v>Disponible Administración</v>
      </c>
      <c r="E760" s="341">
        <f>+F760-G760</f>
        <v>50000</v>
      </c>
      <c r="F760" s="396">
        <v>50000</v>
      </c>
      <c r="G760" s="396">
        <v>0</v>
      </c>
      <c r="H760" t="s">
        <v>1122</v>
      </c>
      <c r="I760" s="347" t="s">
        <v>296</v>
      </c>
      <c r="K760" s="370"/>
      <c r="N760" s="370"/>
    </row>
    <row r="761" spans="1:14" s="347" customFormat="1" x14ac:dyDescent="0.25">
      <c r="A761" s="369">
        <f>+A760</f>
        <v>44258</v>
      </c>
      <c r="B761" s="347">
        <f>+B760</f>
        <v>3</v>
      </c>
      <c r="C761" s="347">
        <v>3110</v>
      </c>
      <c r="D761" s="340" t="str">
        <f>VLOOKUP(C761,Plan!A$1:B$65542,2,0)</f>
        <v>Colectas Normales</v>
      </c>
      <c r="E761" s="396">
        <f>-G761</f>
        <v>-50000</v>
      </c>
      <c r="F761" s="396">
        <v>0</v>
      </c>
      <c r="G761" s="396">
        <f>+F760</f>
        <v>50000</v>
      </c>
      <c r="H761" s="347" t="str">
        <f>+H760</f>
        <v>Colecta Juan Muzio Muzio</v>
      </c>
      <c r="I761" s="347" t="s">
        <v>296</v>
      </c>
      <c r="K761" s="370"/>
      <c r="N761" s="370"/>
    </row>
    <row r="762" spans="1:14" s="347" customFormat="1" x14ac:dyDescent="0.25">
      <c r="A762" s="369"/>
      <c r="E762" s="396"/>
      <c r="F762" s="396"/>
      <c r="G762" s="396"/>
      <c r="K762" s="370"/>
      <c r="N762" s="370"/>
    </row>
    <row r="763" spans="1:14" s="347" customFormat="1" x14ac:dyDescent="0.25">
      <c r="A763" s="369">
        <v>44258</v>
      </c>
      <c r="B763" s="340">
        <f>+MONTH(A763)</f>
        <v>3</v>
      </c>
      <c r="C763" s="347">
        <v>110</v>
      </c>
      <c r="D763" s="340" t="str">
        <f>VLOOKUP(C763,Plan!A$1:B$65542,2,0)</f>
        <v>Disponible Administración</v>
      </c>
      <c r="E763" s="341">
        <f>+F763-G763</f>
        <v>40000</v>
      </c>
      <c r="F763" s="396">
        <v>40000</v>
      </c>
      <c r="G763" s="396">
        <v>0</v>
      </c>
      <c r="H763" t="s">
        <v>920</v>
      </c>
      <c r="I763" s="347" t="s">
        <v>296</v>
      </c>
      <c r="K763" s="370"/>
      <c r="N763" s="370"/>
    </row>
    <row r="764" spans="1:14" s="347" customFormat="1" x14ac:dyDescent="0.25">
      <c r="A764" s="369">
        <f>+A763</f>
        <v>44258</v>
      </c>
      <c r="B764" s="347">
        <f>+B763</f>
        <v>3</v>
      </c>
      <c r="C764" s="347">
        <v>3110</v>
      </c>
      <c r="D764" s="340" t="str">
        <f>VLOOKUP(C764,Plan!A$1:B$65542,2,0)</f>
        <v>Colectas Normales</v>
      </c>
      <c r="E764" s="396">
        <f>-G764</f>
        <v>-40000</v>
      </c>
      <c r="F764" s="396">
        <v>0</v>
      </c>
      <c r="G764" s="396">
        <f>+F763</f>
        <v>40000</v>
      </c>
      <c r="H764" s="347" t="str">
        <f>+H763</f>
        <v>Colecta Maria Teresa Gil Gomez</v>
      </c>
      <c r="I764" s="347" t="s">
        <v>296</v>
      </c>
      <c r="K764" s="370"/>
      <c r="N764" s="370"/>
    </row>
    <row r="765" spans="1:14" s="347" customFormat="1" x14ac:dyDescent="0.25">
      <c r="A765" s="369"/>
      <c r="E765" s="396"/>
      <c r="F765" s="396"/>
      <c r="G765" s="396"/>
      <c r="K765" s="370"/>
      <c r="N765" s="370"/>
    </row>
    <row r="766" spans="1:14" s="347" customFormat="1" x14ac:dyDescent="0.25">
      <c r="A766" s="369">
        <v>44258</v>
      </c>
      <c r="B766" s="340">
        <f>+MONTH(A766)</f>
        <v>3</v>
      </c>
      <c r="C766" s="347">
        <v>110</v>
      </c>
      <c r="D766" s="340" t="str">
        <f>VLOOKUP(C766,Plan!A$1:B$65542,2,0)</f>
        <v>Disponible Administración</v>
      </c>
      <c r="E766" s="341">
        <f>+F766-G766</f>
        <v>41000</v>
      </c>
      <c r="F766" s="396">
        <v>41000</v>
      </c>
      <c r="G766" s="396">
        <v>0</v>
      </c>
      <c r="H766" t="s">
        <v>1123</v>
      </c>
      <c r="I766" s="347" t="s">
        <v>296</v>
      </c>
      <c r="K766" s="370"/>
      <c r="N766" s="370"/>
    </row>
    <row r="767" spans="1:14" s="347" customFormat="1" x14ac:dyDescent="0.25">
      <c r="A767" s="369">
        <f>+A766</f>
        <v>44258</v>
      </c>
      <c r="B767" s="347">
        <f>+B766</f>
        <v>3</v>
      </c>
      <c r="C767" s="347">
        <v>3110</v>
      </c>
      <c r="D767" s="340" t="str">
        <f>VLOOKUP(C767,Plan!A$1:B$65542,2,0)</f>
        <v>Colectas Normales</v>
      </c>
      <c r="E767" s="396">
        <f>-G767</f>
        <v>-41000</v>
      </c>
      <c r="F767" s="396">
        <v>0</v>
      </c>
      <c r="G767" s="396">
        <f>+F766</f>
        <v>41000</v>
      </c>
      <c r="H767" s="347" t="str">
        <f>+H766</f>
        <v>Colecta Dep. Colecta 02/03 Col Cordillera</v>
      </c>
      <c r="I767" s="347" t="s">
        <v>296</v>
      </c>
      <c r="K767" s="370"/>
      <c r="N767" s="370"/>
    </row>
    <row r="768" spans="1:14" s="347" customFormat="1" x14ac:dyDescent="0.25">
      <c r="A768" s="369"/>
      <c r="E768" s="396"/>
      <c r="F768" s="396"/>
      <c r="G768" s="396"/>
      <c r="K768" s="370"/>
      <c r="N768" s="370"/>
    </row>
    <row r="769" spans="1:14" s="347" customFormat="1" x14ac:dyDescent="0.25">
      <c r="A769" s="369">
        <v>44258</v>
      </c>
      <c r="B769" s="340">
        <f>+MONTH(A769)</f>
        <v>3</v>
      </c>
      <c r="C769" s="347">
        <v>110</v>
      </c>
      <c r="D769" s="340" t="str">
        <f>VLOOKUP(C769,Plan!A$1:B$65542,2,0)</f>
        <v>Disponible Administración</v>
      </c>
      <c r="E769" s="341">
        <f>+F769-G769</f>
        <v>30000</v>
      </c>
      <c r="F769" s="396">
        <v>30000</v>
      </c>
      <c r="G769" s="396">
        <v>0</v>
      </c>
      <c r="H769" t="s">
        <v>1124</v>
      </c>
      <c r="I769" s="347" t="s">
        <v>296</v>
      </c>
      <c r="K769" s="370"/>
      <c r="N769" s="370"/>
    </row>
    <row r="770" spans="1:14" s="347" customFormat="1" x14ac:dyDescent="0.25">
      <c r="A770" s="369">
        <f>+A769</f>
        <v>44258</v>
      </c>
      <c r="B770" s="347">
        <f>+B769</f>
        <v>3</v>
      </c>
      <c r="C770" s="347">
        <v>3110</v>
      </c>
      <c r="D770" s="340" t="str">
        <f>VLOOKUP(C770,Plan!A$1:B$65542,2,0)</f>
        <v>Colectas Normales</v>
      </c>
      <c r="E770" s="396">
        <f>-G770</f>
        <v>-30000</v>
      </c>
      <c r="F770" s="396">
        <v>0</v>
      </c>
      <c r="G770" s="396">
        <f>+F769</f>
        <v>30000</v>
      </c>
      <c r="H770" s="347" t="str">
        <f>+H769</f>
        <v>Colecta Dep. Colecta 28/02 Col Cordillera</v>
      </c>
      <c r="I770" s="347" t="s">
        <v>296</v>
      </c>
      <c r="K770" s="370"/>
      <c r="N770" s="370"/>
    </row>
    <row r="771" spans="1:14" s="347" customFormat="1" x14ac:dyDescent="0.25">
      <c r="A771" s="369"/>
      <c r="E771" s="396"/>
      <c r="F771" s="396"/>
      <c r="G771" s="396"/>
      <c r="K771" s="370"/>
      <c r="N771" s="370"/>
    </row>
    <row r="772" spans="1:14" s="347" customFormat="1" x14ac:dyDescent="0.25">
      <c r="A772" s="369">
        <v>44259</v>
      </c>
      <c r="B772" s="340">
        <f>+MONTH(A772)</f>
        <v>3</v>
      </c>
      <c r="C772" s="347">
        <v>110</v>
      </c>
      <c r="D772" s="340" t="str">
        <f>VLOOKUP(C772,Plan!A$1:B$65542,2,0)</f>
        <v>Disponible Administración</v>
      </c>
      <c r="E772" s="341">
        <f>+F772-G772</f>
        <v>5000</v>
      </c>
      <c r="F772" s="396">
        <v>5000</v>
      </c>
      <c r="G772" s="396">
        <v>0</v>
      </c>
      <c r="H772" t="s">
        <v>2528</v>
      </c>
      <c r="I772" s="347" t="s">
        <v>296</v>
      </c>
      <c r="K772" s="370"/>
      <c r="N772" s="370"/>
    </row>
    <row r="773" spans="1:14" s="347" customFormat="1" x14ac:dyDescent="0.25">
      <c r="A773" s="369">
        <f>+A772</f>
        <v>44259</v>
      </c>
      <c r="B773" s="347">
        <f>+B772</f>
        <v>3</v>
      </c>
      <c r="C773" s="347">
        <v>3350</v>
      </c>
      <c r="D773" s="340" t="str">
        <f>VLOOKUP(C773,Plan!A$1:B$65542,2,0)</f>
        <v>Bautizos</v>
      </c>
      <c r="E773" s="396">
        <f>-G773</f>
        <v>-5000</v>
      </c>
      <c r="F773" s="396">
        <v>0</v>
      </c>
      <c r="G773" s="396">
        <f>+F772</f>
        <v>5000</v>
      </c>
      <c r="H773" s="347" t="str">
        <f>+H772</f>
        <v>Bautizo Maria Ignacia Mozo Fuenzalida</v>
      </c>
      <c r="I773" s="347" t="s">
        <v>296</v>
      </c>
      <c r="K773" s="370"/>
      <c r="N773" s="370"/>
    </row>
    <row r="774" spans="1:14" s="347" customFormat="1" x14ac:dyDescent="0.25">
      <c r="A774" s="369"/>
      <c r="E774" s="396"/>
      <c r="F774" s="396"/>
      <c r="G774" s="396"/>
      <c r="K774" s="370"/>
      <c r="N774" s="370"/>
    </row>
    <row r="775" spans="1:14" s="347" customFormat="1" x14ac:dyDescent="0.25">
      <c r="A775" s="369">
        <v>44259</v>
      </c>
      <c r="B775" s="340">
        <f>+MONTH(A775)</f>
        <v>3</v>
      </c>
      <c r="C775" s="347">
        <v>110</v>
      </c>
      <c r="D775" s="340" t="str">
        <f>VLOOKUP(C775,Plan!A$1:B$65542,2,0)</f>
        <v>Disponible Administración</v>
      </c>
      <c r="E775" s="341">
        <f>+F775-G775</f>
        <v>30000</v>
      </c>
      <c r="F775" s="396">
        <v>30000</v>
      </c>
      <c r="G775" s="396">
        <v>0</v>
      </c>
      <c r="H775" t="s">
        <v>1125</v>
      </c>
      <c r="I775" s="347" t="s">
        <v>296</v>
      </c>
      <c r="K775" s="370"/>
      <c r="N775" s="370"/>
    </row>
    <row r="776" spans="1:14" s="347" customFormat="1" x14ac:dyDescent="0.25">
      <c r="A776" s="369">
        <f>+A775</f>
        <v>44259</v>
      </c>
      <c r="B776" s="347">
        <f>+B775</f>
        <v>3</v>
      </c>
      <c r="C776" s="347">
        <v>3110</v>
      </c>
      <c r="D776" s="340" t="str">
        <f>VLOOKUP(C776,Plan!A$1:B$65542,2,0)</f>
        <v>Colectas Normales</v>
      </c>
      <c r="E776" s="396">
        <f>-G776</f>
        <v>-30000</v>
      </c>
      <c r="F776" s="396">
        <v>0</v>
      </c>
      <c r="G776" s="396">
        <f>+F775</f>
        <v>30000</v>
      </c>
      <c r="H776" s="347" t="str">
        <f>+H775</f>
        <v>Colecta Sandra Rivadeneira</v>
      </c>
      <c r="I776" s="347" t="s">
        <v>296</v>
      </c>
      <c r="K776" s="370"/>
      <c r="N776" s="370"/>
    </row>
    <row r="777" spans="1:14" s="347" customFormat="1" x14ac:dyDescent="0.25">
      <c r="A777" s="369"/>
      <c r="E777" s="396"/>
      <c r="F777" s="396"/>
      <c r="G777" s="396"/>
      <c r="K777" s="370"/>
      <c r="N777" s="370"/>
    </row>
    <row r="778" spans="1:14" s="347" customFormat="1" x14ac:dyDescent="0.25">
      <c r="A778" s="369">
        <v>44259</v>
      </c>
      <c r="B778" s="340">
        <f>+MONTH(A778)</f>
        <v>3</v>
      </c>
      <c r="C778" s="347">
        <v>4322</v>
      </c>
      <c r="D778" s="340" t="str">
        <f>VLOOKUP(C778,Plan!A$1:B$65542,2,0)</f>
        <v>Agua</v>
      </c>
      <c r="E778" s="396">
        <f>+F778</f>
        <v>43012</v>
      </c>
      <c r="F778" s="396">
        <v>43012</v>
      </c>
      <c r="G778" s="396">
        <v>0</v>
      </c>
      <c r="H778" t="s">
        <v>1126</v>
      </c>
      <c r="I778" s="347" t="s">
        <v>296</v>
      </c>
      <c r="K778" s="370"/>
      <c r="N778" s="370"/>
    </row>
    <row r="779" spans="1:14" s="347" customFormat="1" x14ac:dyDescent="0.25">
      <c r="A779" s="369">
        <f>+A778</f>
        <v>44259</v>
      </c>
      <c r="B779" s="347">
        <f>+B778</f>
        <v>3</v>
      </c>
      <c r="C779" s="347">
        <v>110</v>
      </c>
      <c r="D779" s="340" t="str">
        <f>VLOOKUP(C779,Plan!A$1:B$65542,2,0)</f>
        <v>Disponible Administración</v>
      </c>
      <c r="E779" s="341">
        <f>+F779-G779</f>
        <v>-43012</v>
      </c>
      <c r="F779" s="396">
        <v>0</v>
      </c>
      <c r="G779" s="396">
        <f>+F778</f>
        <v>43012</v>
      </c>
      <c r="H779" s="347" t="str">
        <f>+H778</f>
        <v>Agua Of.Parroquial</v>
      </c>
      <c r="I779" s="347" t="s">
        <v>296</v>
      </c>
      <c r="K779" s="370"/>
      <c r="N779" s="370"/>
    </row>
    <row r="780" spans="1:14" s="347" customFormat="1" x14ac:dyDescent="0.25">
      <c r="A780" s="369"/>
      <c r="E780" s="396"/>
      <c r="F780" s="396"/>
      <c r="G780" s="396"/>
      <c r="K780" s="370"/>
      <c r="N780" s="370"/>
    </row>
    <row r="781" spans="1:14" s="347" customFormat="1" x14ac:dyDescent="0.25">
      <c r="A781" s="369">
        <v>44259</v>
      </c>
      <c r="B781" s="340">
        <f>+MONTH(A781)</f>
        <v>3</v>
      </c>
      <c r="C781" s="347">
        <v>110</v>
      </c>
      <c r="D781" s="340" t="str">
        <f>VLOOKUP(C781,Plan!A$1:B$65542,2,0)</f>
        <v>Disponible Administración</v>
      </c>
      <c r="E781" s="341">
        <f>+F781-G781</f>
        <v>9881</v>
      </c>
      <c r="F781" s="396">
        <v>9881</v>
      </c>
      <c r="G781" s="396">
        <v>0</v>
      </c>
      <c r="H781" t="s">
        <v>1127</v>
      </c>
      <c r="I781" s="347" t="s">
        <v>296</v>
      </c>
      <c r="K781" s="370"/>
      <c r="N781" s="370"/>
    </row>
    <row r="782" spans="1:14" s="347" customFormat="1" x14ac:dyDescent="0.25">
      <c r="A782" s="369">
        <f>+A781</f>
        <v>44259</v>
      </c>
      <c r="B782" s="347">
        <f>+B781</f>
        <v>3</v>
      </c>
      <c r="C782" s="347">
        <v>3110</v>
      </c>
      <c r="D782" s="340" t="str">
        <f>VLOOKUP(C782,Plan!A$1:B$65542,2,0)</f>
        <v>Colectas Normales</v>
      </c>
      <c r="E782" s="396">
        <f>-G782</f>
        <v>-9881</v>
      </c>
      <c r="F782" s="396">
        <v>0</v>
      </c>
      <c r="G782" s="396">
        <f>+F781</f>
        <v>9881</v>
      </c>
      <c r="H782" s="347" t="str">
        <f>+H781</f>
        <v>Colecta Jorge Aguirre Moltedo</v>
      </c>
      <c r="I782" s="347" t="s">
        <v>296</v>
      </c>
      <c r="K782" s="370"/>
      <c r="N782" s="370"/>
    </row>
    <row r="783" spans="1:14" s="347" customFormat="1" x14ac:dyDescent="0.25">
      <c r="A783" s="369"/>
      <c r="E783" s="396"/>
      <c r="F783" s="396"/>
      <c r="G783" s="396"/>
      <c r="K783" s="370"/>
      <c r="N783" s="370"/>
    </row>
    <row r="784" spans="1:14" s="347" customFormat="1" x14ac:dyDescent="0.25">
      <c r="A784" s="369">
        <v>44259</v>
      </c>
      <c r="B784" s="340">
        <f>+MONTH(A784)</f>
        <v>3</v>
      </c>
      <c r="C784" s="347">
        <v>110</v>
      </c>
      <c r="D784" s="340" t="str">
        <f>VLOOKUP(C784,Plan!A$1:B$65542,2,0)</f>
        <v>Disponible Administración</v>
      </c>
      <c r="E784" s="341">
        <f>+F784-G784</f>
        <v>80000</v>
      </c>
      <c r="F784" s="396">
        <v>80000</v>
      </c>
      <c r="G784" s="396">
        <v>0</v>
      </c>
      <c r="H784" t="s">
        <v>1128</v>
      </c>
      <c r="I784" s="347" t="s">
        <v>296</v>
      </c>
      <c r="K784" s="370"/>
      <c r="N784" s="370"/>
    </row>
    <row r="785" spans="1:14" s="347" customFormat="1" x14ac:dyDescent="0.25">
      <c r="A785" s="369">
        <f>+A784</f>
        <v>44259</v>
      </c>
      <c r="B785" s="347">
        <f>+B784</f>
        <v>3</v>
      </c>
      <c r="C785" s="347">
        <v>3110</v>
      </c>
      <c r="D785" s="340" t="str">
        <f>VLOOKUP(C785,Plan!A$1:B$65542,2,0)</f>
        <v>Colectas Normales</v>
      </c>
      <c r="E785" s="396">
        <f>-G785</f>
        <v>-80000</v>
      </c>
      <c r="F785" s="396">
        <v>0</v>
      </c>
      <c r="G785" s="396">
        <f>+F784</f>
        <v>80000</v>
      </c>
      <c r="H785" s="347" t="str">
        <f>+H784</f>
        <v>Colecta Ximena Suspichiatti</v>
      </c>
      <c r="I785" s="347" t="s">
        <v>296</v>
      </c>
      <c r="K785" s="370"/>
      <c r="N785" s="370"/>
    </row>
    <row r="786" spans="1:14" s="347" customFormat="1" x14ac:dyDescent="0.25">
      <c r="A786" s="369"/>
      <c r="E786" s="396"/>
      <c r="F786" s="396"/>
      <c r="G786" s="396"/>
      <c r="K786" s="370"/>
      <c r="N786" s="370"/>
    </row>
    <row r="787" spans="1:14" s="347" customFormat="1" x14ac:dyDescent="0.25">
      <c r="A787" s="369">
        <v>44260</v>
      </c>
      <c r="B787" s="340">
        <f>+MONTH(A787)</f>
        <v>3</v>
      </c>
      <c r="C787" s="347">
        <v>4310</v>
      </c>
      <c r="D787" s="340" t="str">
        <f>VLOOKUP(C787,Plan!A$1:B$65542,2,0)</f>
        <v>Arriendos / Dividendos</v>
      </c>
      <c r="E787" s="396">
        <f>+F787</f>
        <v>793274</v>
      </c>
      <c r="F787" s="396">
        <v>793274</v>
      </c>
      <c r="G787" s="396">
        <v>0</v>
      </c>
      <c r="H787" t="s">
        <v>1129</v>
      </c>
      <c r="I787" s="347" t="s">
        <v>296</v>
      </c>
      <c r="K787" s="370"/>
      <c r="N787" s="370"/>
    </row>
    <row r="788" spans="1:14" s="347" customFormat="1" x14ac:dyDescent="0.25">
      <c r="A788" s="369">
        <f>+A787</f>
        <v>44260</v>
      </c>
      <c r="B788" s="347">
        <f>+B787</f>
        <v>3</v>
      </c>
      <c r="C788" s="347">
        <v>110</v>
      </c>
      <c r="D788" s="340" t="str">
        <f>VLOOKUP(C788,Plan!A$1:B$65542,2,0)</f>
        <v>Disponible Administración</v>
      </c>
      <c r="E788" s="341">
        <f>+F788-G788</f>
        <v>-793274</v>
      </c>
      <c r="F788" s="396">
        <v>0</v>
      </c>
      <c r="G788" s="396">
        <f>+F787</f>
        <v>793274</v>
      </c>
      <c r="H788" s="347" t="str">
        <f>+H787</f>
        <v>Arriendo Marzo 2021 Casa Parroquial</v>
      </c>
      <c r="I788" s="347" t="s">
        <v>296</v>
      </c>
      <c r="K788" s="370"/>
      <c r="N788" s="370"/>
    </row>
    <row r="789" spans="1:14" s="347" customFormat="1" x14ac:dyDescent="0.25">
      <c r="A789" s="369"/>
      <c r="E789" s="396"/>
      <c r="F789" s="396"/>
      <c r="G789" s="396"/>
      <c r="K789" s="370"/>
      <c r="N789" s="370"/>
    </row>
    <row r="790" spans="1:14" s="347" customFormat="1" x14ac:dyDescent="0.25">
      <c r="A790" s="339">
        <v>44260</v>
      </c>
      <c r="B790" s="340">
        <f>+MONTH(A790)</f>
        <v>3</v>
      </c>
      <c r="C790" s="338">
        <v>223</v>
      </c>
      <c r="D790" s="338" t="s">
        <v>445</v>
      </c>
      <c r="E790" s="341">
        <f>+F790-G790</f>
        <v>55625</v>
      </c>
      <c r="F790" s="346">
        <f>106887-F791</f>
        <v>55625</v>
      </c>
      <c r="G790" s="346">
        <v>0</v>
      </c>
      <c r="H790" s="338" t="s">
        <v>407</v>
      </c>
      <c r="I790" s="343" t="s">
        <v>296</v>
      </c>
      <c r="K790" s="370"/>
      <c r="N790" s="370"/>
    </row>
    <row r="791" spans="1:14" s="347" customFormat="1" x14ac:dyDescent="0.25">
      <c r="A791" s="339">
        <v>44260</v>
      </c>
      <c r="B791" s="340">
        <f>+MONTH(A791)</f>
        <v>3</v>
      </c>
      <c r="C791" s="338">
        <v>215</v>
      </c>
      <c r="D791" s="340" t="str">
        <f>VLOOKUP(C791,Plan!A$1:B$65542,2,0)</f>
        <v>Cuenta por Pagar a Cali</v>
      </c>
      <c r="E791" s="341">
        <f>+F791-G791</f>
        <v>51262</v>
      </c>
      <c r="F791" s="346">
        <v>51262</v>
      </c>
      <c r="G791" s="346">
        <v>0</v>
      </c>
      <c r="H791" s="338" t="s">
        <v>407</v>
      </c>
      <c r="I791" s="343" t="s">
        <v>296</v>
      </c>
      <c r="K791" s="370"/>
      <c r="N791" s="370"/>
    </row>
    <row r="792" spans="1:14" s="347" customFormat="1" x14ac:dyDescent="0.25">
      <c r="A792" s="339">
        <f>+A790</f>
        <v>44260</v>
      </c>
      <c r="B792" s="358">
        <f>+B790</f>
        <v>3</v>
      </c>
      <c r="C792" s="338">
        <v>110</v>
      </c>
      <c r="D792" s="340" t="str">
        <f>VLOOKUP(C792,Plan!A$1:B$65542,2,0)</f>
        <v>Disponible Administración</v>
      </c>
      <c r="E792" s="341">
        <f>+F792-G792</f>
        <v>-106887</v>
      </c>
      <c r="F792" s="346">
        <v>0</v>
      </c>
      <c r="G792" s="346">
        <v>106887</v>
      </c>
      <c r="H792" s="338" t="s">
        <v>407</v>
      </c>
      <c r="I792" s="343" t="s">
        <v>296</v>
      </c>
      <c r="K792" s="370"/>
      <c r="N792" s="370"/>
    </row>
    <row r="793" spans="1:14" s="347" customFormat="1" x14ac:dyDescent="0.25">
      <c r="A793" s="369"/>
      <c r="E793" s="396"/>
      <c r="F793" s="396"/>
      <c r="G793" s="396"/>
      <c r="K793" s="370"/>
      <c r="N793" s="370"/>
    </row>
    <row r="794" spans="1:14" s="347" customFormat="1" x14ac:dyDescent="0.25">
      <c r="A794" s="339">
        <v>44260</v>
      </c>
      <c r="B794" s="340">
        <f>+MONTH(A794)</f>
        <v>3</v>
      </c>
      <c r="C794" s="338">
        <v>224</v>
      </c>
      <c r="D794" s="340" t="str">
        <f>VLOOKUP(C794,Plan!A$1:B$65542,2,0)</f>
        <v>Cotizaciones por Pagar</v>
      </c>
      <c r="E794" s="341">
        <f>+F794-G794</f>
        <v>405523</v>
      </c>
      <c r="F794" s="346">
        <v>405523</v>
      </c>
      <c r="G794" s="346">
        <v>0</v>
      </c>
      <c r="H794" s="338" t="s">
        <v>405</v>
      </c>
      <c r="I794" s="401" t="s">
        <v>296</v>
      </c>
      <c r="J794" s="409"/>
      <c r="K794" s="435"/>
      <c r="N794" s="370"/>
    </row>
    <row r="795" spans="1:14" s="347" customFormat="1" x14ac:dyDescent="0.25">
      <c r="A795" s="339">
        <f>+A794</f>
        <v>44260</v>
      </c>
      <c r="B795" s="340">
        <f>+B794</f>
        <v>3</v>
      </c>
      <c r="C795" s="338">
        <v>110</v>
      </c>
      <c r="D795" s="340" t="str">
        <f>VLOOKUP(C795,Plan!A$1:B$65542,2,0)</f>
        <v>Disponible Administración</v>
      </c>
      <c r="E795" s="341">
        <f>+F795-G795</f>
        <v>-405523</v>
      </c>
      <c r="F795" s="346">
        <v>0</v>
      </c>
      <c r="G795" s="346">
        <f>+F794</f>
        <v>405523</v>
      </c>
      <c r="H795" s="338" t="str">
        <f>+H794</f>
        <v>Previred EE.Parroquia</v>
      </c>
      <c r="I795" s="401" t="s">
        <v>296</v>
      </c>
      <c r="K795" s="370"/>
      <c r="N795" s="370"/>
    </row>
    <row r="796" spans="1:14" s="347" customFormat="1" x14ac:dyDescent="0.25">
      <c r="A796" s="339"/>
      <c r="B796" s="340"/>
      <c r="C796" s="338"/>
      <c r="D796" s="340"/>
      <c r="E796" s="341"/>
      <c r="F796" s="345"/>
      <c r="G796" s="345"/>
      <c r="H796" s="338"/>
      <c r="I796" s="340"/>
      <c r="K796" s="370"/>
      <c r="N796" s="370"/>
    </row>
    <row r="797" spans="1:14" s="347" customFormat="1" x14ac:dyDescent="0.25">
      <c r="A797" s="339">
        <v>44260</v>
      </c>
      <c r="B797" s="340">
        <f>+MONTH(A797)</f>
        <v>3</v>
      </c>
      <c r="C797" s="338">
        <v>224</v>
      </c>
      <c r="D797" s="340" t="str">
        <f>VLOOKUP(C797,Plan!A$1:B$65542,2,0)</f>
        <v>Cotizaciones por Pagar</v>
      </c>
      <c r="E797" s="341">
        <f>+F797-G797</f>
        <v>173849</v>
      </c>
      <c r="F797" s="346">
        <v>173849</v>
      </c>
      <c r="G797" s="346">
        <v>0</v>
      </c>
      <c r="H797" s="338" t="s">
        <v>406</v>
      </c>
      <c r="I797" s="401" t="s">
        <v>296</v>
      </c>
      <c r="K797" s="370"/>
      <c r="N797" s="370"/>
    </row>
    <row r="798" spans="1:14" s="347" customFormat="1" x14ac:dyDescent="0.25">
      <c r="A798" s="339">
        <v>44260</v>
      </c>
      <c r="B798" s="340">
        <f>+B797</f>
        <v>3</v>
      </c>
      <c r="C798" s="338">
        <v>110</v>
      </c>
      <c r="D798" s="340" t="str">
        <f>VLOOKUP(C798,Plan!A$1:B$65542,2,0)</f>
        <v>Disponible Administración</v>
      </c>
      <c r="E798" s="341">
        <f>+F798-G798</f>
        <v>-173849</v>
      </c>
      <c r="F798" s="346">
        <v>0</v>
      </c>
      <c r="G798" s="346">
        <f>+F797</f>
        <v>173849</v>
      </c>
      <c r="H798" s="338" t="str">
        <f>+H797</f>
        <v>Previred P. Pedro</v>
      </c>
      <c r="I798" s="401" t="s">
        <v>296</v>
      </c>
      <c r="K798" s="370"/>
      <c r="N798" s="370"/>
    </row>
    <row r="799" spans="1:14" s="347" customFormat="1" x14ac:dyDescent="0.25">
      <c r="A799" s="369"/>
      <c r="E799" s="396"/>
      <c r="F799" s="396"/>
      <c r="G799" s="396"/>
      <c r="K799" s="370"/>
      <c r="N799" s="370"/>
    </row>
    <row r="800" spans="1:14" s="347" customFormat="1" x14ac:dyDescent="0.25">
      <c r="A800" s="369">
        <v>44260</v>
      </c>
      <c r="B800" s="340">
        <f>+MONTH(A800)</f>
        <v>3</v>
      </c>
      <c r="C800" s="347">
        <v>110</v>
      </c>
      <c r="D800" s="340" t="str">
        <f>VLOOKUP(C800,Plan!A$1:B$65542,2,0)</f>
        <v>Disponible Administración</v>
      </c>
      <c r="E800" s="341">
        <f>+F800-G800</f>
        <v>20000</v>
      </c>
      <c r="F800" s="396">
        <v>20000</v>
      </c>
      <c r="G800" s="396">
        <v>0</v>
      </c>
      <c r="H800" t="s">
        <v>1131</v>
      </c>
      <c r="I800" s="347" t="s">
        <v>296</v>
      </c>
      <c r="K800" s="370"/>
      <c r="N800" s="370"/>
    </row>
    <row r="801" spans="1:14" s="347" customFormat="1" x14ac:dyDescent="0.25">
      <c r="A801" s="369">
        <f>+A800</f>
        <v>44260</v>
      </c>
      <c r="B801" s="347">
        <f>+B800</f>
        <v>3</v>
      </c>
      <c r="C801" s="347">
        <v>3110</v>
      </c>
      <c r="D801" s="340" t="str">
        <f>VLOOKUP(C801,Plan!A$1:B$65542,2,0)</f>
        <v>Colectas Normales</v>
      </c>
      <c r="E801" s="396">
        <f>-G801</f>
        <v>-20000</v>
      </c>
      <c r="F801" s="396">
        <v>0</v>
      </c>
      <c r="G801" s="396">
        <f>+F800</f>
        <v>20000</v>
      </c>
      <c r="H801" s="347" t="str">
        <f>+H800</f>
        <v>Colecta Sandra Socias R</v>
      </c>
      <c r="I801" s="347" t="s">
        <v>296</v>
      </c>
      <c r="K801" s="370"/>
      <c r="N801" s="370"/>
    </row>
    <row r="802" spans="1:14" s="347" customFormat="1" x14ac:dyDescent="0.25">
      <c r="A802" s="369"/>
      <c r="E802" s="396"/>
      <c r="F802" s="396"/>
      <c r="G802" s="396"/>
      <c r="K802" s="370"/>
      <c r="N802" s="370"/>
    </row>
    <row r="803" spans="1:14" s="347" customFormat="1" x14ac:dyDescent="0.25">
      <c r="A803" s="369">
        <v>44260</v>
      </c>
      <c r="B803" s="340">
        <f>+MONTH(A803)</f>
        <v>3</v>
      </c>
      <c r="C803" s="347">
        <v>110</v>
      </c>
      <c r="D803" s="340" t="str">
        <f>VLOOKUP(C803,Plan!A$1:B$65542,2,0)</f>
        <v>Disponible Administración</v>
      </c>
      <c r="E803" s="341">
        <f>+F803-G803</f>
        <v>20000</v>
      </c>
      <c r="F803" s="396">
        <v>20000</v>
      </c>
      <c r="G803" s="396">
        <v>0</v>
      </c>
      <c r="H803" t="s">
        <v>1132</v>
      </c>
      <c r="I803" s="347" t="s">
        <v>296</v>
      </c>
      <c r="K803" s="370"/>
      <c r="N803" s="370"/>
    </row>
    <row r="804" spans="1:14" s="347" customFormat="1" x14ac:dyDescent="0.25">
      <c r="A804" s="369">
        <f>+A803</f>
        <v>44260</v>
      </c>
      <c r="B804" s="347">
        <f>+B803</f>
        <v>3</v>
      </c>
      <c r="C804" s="347">
        <v>3110</v>
      </c>
      <c r="D804" s="340" t="str">
        <f>VLOOKUP(C804,Plan!A$1:B$65542,2,0)</f>
        <v>Colectas Normales</v>
      </c>
      <c r="E804" s="396">
        <f>-G804</f>
        <v>-20000</v>
      </c>
      <c r="F804" s="396">
        <v>0</v>
      </c>
      <c r="G804" s="396">
        <f>+F803</f>
        <v>20000</v>
      </c>
      <c r="H804" s="347" t="str">
        <f>+H803</f>
        <v xml:space="preserve">Colecta Luis Larenas Vergara </v>
      </c>
      <c r="I804" s="347" t="s">
        <v>296</v>
      </c>
      <c r="K804" s="370"/>
      <c r="N804" s="370"/>
    </row>
    <row r="805" spans="1:14" s="347" customFormat="1" x14ac:dyDescent="0.25">
      <c r="A805" s="369"/>
      <c r="E805" s="396"/>
      <c r="F805" s="396"/>
      <c r="G805" s="396"/>
      <c r="K805" s="370"/>
      <c r="N805" s="370"/>
    </row>
    <row r="806" spans="1:14" s="347" customFormat="1" x14ac:dyDescent="0.25">
      <c r="A806" s="369">
        <v>44260</v>
      </c>
      <c r="B806" s="340">
        <f>+MONTH(A806)</f>
        <v>3</v>
      </c>
      <c r="C806" s="347">
        <v>110</v>
      </c>
      <c r="D806" s="340" t="str">
        <f>VLOOKUP(C806,Plan!A$1:B$65542,2,0)</f>
        <v>Disponible Administración</v>
      </c>
      <c r="E806" s="341">
        <f>+F806-G806</f>
        <v>20000</v>
      </c>
      <c r="F806" s="396">
        <v>20000</v>
      </c>
      <c r="G806" s="396">
        <v>0</v>
      </c>
      <c r="H806" t="s">
        <v>913</v>
      </c>
      <c r="I806" s="347" t="s">
        <v>296</v>
      </c>
      <c r="K806" s="370"/>
      <c r="N806" s="370"/>
    </row>
    <row r="807" spans="1:14" s="347" customFormat="1" x14ac:dyDescent="0.25">
      <c r="A807" s="369">
        <f>+A806</f>
        <v>44260</v>
      </c>
      <c r="B807" s="347">
        <f>+B806</f>
        <v>3</v>
      </c>
      <c r="C807" s="347">
        <v>3110</v>
      </c>
      <c r="D807" s="340" t="str">
        <f>VLOOKUP(C807,Plan!A$1:B$65542,2,0)</f>
        <v>Colectas Normales</v>
      </c>
      <c r="E807" s="396">
        <f>-G807</f>
        <v>-20000</v>
      </c>
      <c r="F807" s="396">
        <v>0</v>
      </c>
      <c r="G807" s="396">
        <f>+F806</f>
        <v>20000</v>
      </c>
      <c r="H807" s="347" t="str">
        <f>+H806</f>
        <v>Colecta Sofia Vives Ekdahl</v>
      </c>
      <c r="I807" s="347" t="s">
        <v>296</v>
      </c>
      <c r="K807" s="370"/>
      <c r="N807" s="370"/>
    </row>
    <row r="808" spans="1:14" s="347" customFormat="1" x14ac:dyDescent="0.25">
      <c r="A808" s="369"/>
      <c r="E808" s="396"/>
      <c r="F808" s="396"/>
      <c r="G808" s="396"/>
      <c r="K808" s="370"/>
      <c r="N808" s="370"/>
    </row>
    <row r="809" spans="1:14" s="347" customFormat="1" x14ac:dyDescent="0.25">
      <c r="A809" s="369">
        <v>44260</v>
      </c>
      <c r="B809" s="340">
        <f>+MONTH(A809)</f>
        <v>3</v>
      </c>
      <c r="C809" s="347">
        <v>110</v>
      </c>
      <c r="D809" s="340" t="str">
        <f>VLOOKUP(C809,Plan!A$1:B$65542,2,0)</f>
        <v>Disponible Administración</v>
      </c>
      <c r="E809" s="341">
        <f>+F809-G809</f>
        <v>2000</v>
      </c>
      <c r="F809" s="396">
        <v>2000</v>
      </c>
      <c r="G809" s="396">
        <v>0</v>
      </c>
      <c r="H809" t="s">
        <v>911</v>
      </c>
      <c r="I809" s="347" t="s">
        <v>296</v>
      </c>
      <c r="K809" s="370"/>
      <c r="N809" s="370"/>
    </row>
    <row r="810" spans="1:14" s="347" customFormat="1" x14ac:dyDescent="0.25">
      <c r="A810" s="369">
        <f>+A809</f>
        <v>44260</v>
      </c>
      <c r="B810" s="347">
        <f>+B809</f>
        <v>3</v>
      </c>
      <c r="C810" s="347">
        <v>3110</v>
      </c>
      <c r="D810" s="340" t="str">
        <f>VLOOKUP(C810,Plan!A$1:B$65542,2,0)</f>
        <v>Colectas Normales</v>
      </c>
      <c r="E810" s="396">
        <f>-G810</f>
        <v>-2000</v>
      </c>
      <c r="F810" s="396">
        <v>0</v>
      </c>
      <c r="G810" s="396">
        <f>+F809</f>
        <v>2000</v>
      </c>
      <c r="H810" s="347" t="str">
        <f>+H809</f>
        <v>Colecta Andres Vial Infante</v>
      </c>
      <c r="I810" s="347" t="s">
        <v>296</v>
      </c>
      <c r="K810" s="370"/>
      <c r="N810" s="370"/>
    </row>
    <row r="811" spans="1:14" s="347" customFormat="1" x14ac:dyDescent="0.25">
      <c r="A811" s="369"/>
      <c r="E811" s="396"/>
      <c r="F811" s="396"/>
      <c r="G811" s="396"/>
      <c r="K811" s="370"/>
      <c r="N811" s="370"/>
    </row>
    <row r="812" spans="1:14" s="347" customFormat="1" x14ac:dyDescent="0.25">
      <c r="A812" s="369">
        <v>44260</v>
      </c>
      <c r="B812" s="340">
        <f>+MONTH(A812)</f>
        <v>3</v>
      </c>
      <c r="C812" s="347">
        <v>110</v>
      </c>
      <c r="D812" s="340" t="str">
        <f>VLOOKUP(C812,Plan!A$1:B$65542,2,0)</f>
        <v>Disponible Administración</v>
      </c>
      <c r="E812" s="341">
        <f>+F812-G812</f>
        <v>42000</v>
      </c>
      <c r="F812" s="396">
        <v>42000</v>
      </c>
      <c r="G812" s="396">
        <v>0</v>
      </c>
      <c r="H812" t="s">
        <v>1133</v>
      </c>
      <c r="I812" s="347" t="s">
        <v>296</v>
      </c>
      <c r="K812" s="370"/>
      <c r="N812" s="370"/>
    </row>
    <row r="813" spans="1:14" s="347" customFormat="1" x14ac:dyDescent="0.25">
      <c r="A813" s="369">
        <f>+A812</f>
        <v>44260</v>
      </c>
      <c r="B813" s="347">
        <f>+B812</f>
        <v>3</v>
      </c>
      <c r="C813" s="347">
        <v>3110</v>
      </c>
      <c r="D813" s="340" t="str">
        <f>VLOOKUP(C813,Plan!A$1:B$65542,2,0)</f>
        <v>Colectas Normales</v>
      </c>
      <c r="E813" s="396">
        <f>-G813</f>
        <v>-42000</v>
      </c>
      <c r="F813" s="396">
        <v>0</v>
      </c>
      <c r="G813" s="396">
        <f>+F812</f>
        <v>42000</v>
      </c>
      <c r="H813" s="347" t="str">
        <f>+H812</f>
        <v>Colecta IGNACIO URETA LARENAS</v>
      </c>
      <c r="I813" s="347" t="s">
        <v>296</v>
      </c>
      <c r="K813" s="370"/>
      <c r="N813" s="370"/>
    </row>
    <row r="814" spans="1:14" s="347" customFormat="1" x14ac:dyDescent="0.25">
      <c r="A814" s="369"/>
      <c r="E814" s="396"/>
      <c r="F814" s="396"/>
      <c r="G814" s="396"/>
      <c r="K814" s="370"/>
      <c r="N814" s="370"/>
    </row>
    <row r="815" spans="1:14" s="347" customFormat="1" x14ac:dyDescent="0.25">
      <c r="A815" s="369">
        <v>44263</v>
      </c>
      <c r="B815" s="340">
        <f>+MONTH(A815)</f>
        <v>3</v>
      </c>
      <c r="C815" s="347">
        <v>110</v>
      </c>
      <c r="D815" s="340" t="str">
        <f>VLOOKUP(C815,Plan!A$1:B$65542,2,0)</f>
        <v>Disponible Administración</v>
      </c>
      <c r="E815" s="341">
        <f>+F815-G815</f>
        <v>15000</v>
      </c>
      <c r="F815" s="396">
        <v>15000</v>
      </c>
      <c r="G815" s="396">
        <v>0</v>
      </c>
      <c r="H815" t="s">
        <v>688</v>
      </c>
      <c r="I815" s="347" t="s">
        <v>296</v>
      </c>
      <c r="K815" s="370"/>
      <c r="N815" s="370"/>
    </row>
    <row r="816" spans="1:14" s="347" customFormat="1" x14ac:dyDescent="0.25">
      <c r="A816" s="369">
        <f>+A815</f>
        <v>44263</v>
      </c>
      <c r="B816" s="347">
        <f>+B815</f>
        <v>3</v>
      </c>
      <c r="C816" s="347">
        <v>215</v>
      </c>
      <c r="D816" s="340" t="str">
        <f>VLOOKUP(C816,Plan!A$1:B$65542,2,0)</f>
        <v>Cuenta por Pagar a Cali</v>
      </c>
      <c r="E816" s="396">
        <f>-G816</f>
        <v>-15000</v>
      </c>
      <c r="F816" s="396">
        <v>0</v>
      </c>
      <c r="G816" s="396">
        <f>+F815</f>
        <v>15000</v>
      </c>
      <c r="H816" s="347" t="str">
        <f>+H815</f>
        <v>María Elena de Castro Espinosa/249</v>
      </c>
      <c r="I816" s="347" t="s">
        <v>296</v>
      </c>
      <c r="K816" s="370"/>
      <c r="N816" s="370"/>
    </row>
    <row r="817" spans="1:14" s="347" customFormat="1" x14ac:dyDescent="0.25">
      <c r="A817" s="369"/>
      <c r="E817" s="396"/>
      <c r="F817" s="396"/>
      <c r="G817" s="396"/>
      <c r="K817" s="370"/>
      <c r="N817" s="370"/>
    </row>
    <row r="818" spans="1:14" s="347" customFormat="1" x14ac:dyDescent="0.25">
      <c r="A818" s="369">
        <v>44263</v>
      </c>
      <c r="B818" s="340">
        <f>+MONTH(A818)</f>
        <v>3</v>
      </c>
      <c r="C818" s="347">
        <v>110</v>
      </c>
      <c r="D818" s="340" t="str">
        <f>VLOOKUP(C818,Plan!A$1:B$65542,2,0)</f>
        <v>Disponible Administración</v>
      </c>
      <c r="E818" s="341">
        <f>+F818-G818</f>
        <v>20000</v>
      </c>
      <c r="F818" s="396">
        <v>20000</v>
      </c>
      <c r="G818" s="396">
        <v>0</v>
      </c>
      <c r="H818" t="s">
        <v>878</v>
      </c>
      <c r="I818" s="347" t="s">
        <v>296</v>
      </c>
      <c r="K818" s="370"/>
      <c r="N818" s="370"/>
    </row>
    <row r="819" spans="1:14" s="347" customFormat="1" x14ac:dyDescent="0.25">
      <c r="A819" s="369">
        <f>+A818</f>
        <v>44263</v>
      </c>
      <c r="B819" s="347">
        <f>+B818</f>
        <v>3</v>
      </c>
      <c r="C819" s="347">
        <v>3110</v>
      </c>
      <c r="D819" s="340" t="str">
        <f>VLOOKUP(C819,Plan!A$1:B$65542,2,0)</f>
        <v>Colectas Normales</v>
      </c>
      <c r="E819" s="396">
        <f>-G819</f>
        <v>-20000</v>
      </c>
      <c r="F819" s="396">
        <v>0</v>
      </c>
      <c r="G819" s="396">
        <f>+F818</f>
        <v>20000</v>
      </c>
      <c r="H819" s="347" t="str">
        <f>+H818</f>
        <v>Colecta Olga Salinas Burgos</v>
      </c>
      <c r="I819" s="347" t="s">
        <v>296</v>
      </c>
      <c r="K819" s="370"/>
      <c r="N819" s="370"/>
    </row>
    <row r="820" spans="1:14" s="347" customFormat="1" x14ac:dyDescent="0.25">
      <c r="A820" s="369"/>
      <c r="E820" s="396"/>
      <c r="F820" s="396"/>
      <c r="G820" s="396"/>
      <c r="K820" s="370"/>
      <c r="N820" s="370"/>
    </row>
    <row r="821" spans="1:14" s="347" customFormat="1" x14ac:dyDescent="0.25">
      <c r="A821" s="369">
        <v>44263</v>
      </c>
      <c r="B821" s="340">
        <f>+MONTH(A821)</f>
        <v>3</v>
      </c>
      <c r="C821" s="347">
        <v>110</v>
      </c>
      <c r="D821" s="340" t="str">
        <f>VLOOKUP(C821,Plan!A$1:B$65542,2,0)</f>
        <v>Disponible Administración</v>
      </c>
      <c r="E821" s="341">
        <f>+F821-G821</f>
        <v>10000</v>
      </c>
      <c r="F821" s="396">
        <v>10000</v>
      </c>
      <c r="G821" s="396">
        <v>0</v>
      </c>
      <c r="H821" t="s">
        <v>914</v>
      </c>
      <c r="I821" s="347" t="s">
        <v>296</v>
      </c>
      <c r="K821" s="370"/>
      <c r="N821" s="370"/>
    </row>
    <row r="822" spans="1:14" s="347" customFormat="1" x14ac:dyDescent="0.25">
      <c r="A822" s="369">
        <f>+A821</f>
        <v>44263</v>
      </c>
      <c r="B822" s="347">
        <f>+B821</f>
        <v>3</v>
      </c>
      <c r="C822" s="347">
        <v>3110</v>
      </c>
      <c r="D822" s="340" t="str">
        <f>VLOOKUP(C822,Plan!A$1:B$65542,2,0)</f>
        <v>Colectas Normales</v>
      </c>
      <c r="E822" s="396">
        <f>-G822</f>
        <v>-10000</v>
      </c>
      <c r="F822" s="396">
        <v>0</v>
      </c>
      <c r="G822" s="396">
        <f>+F821</f>
        <v>10000</v>
      </c>
      <c r="H822" s="347" t="str">
        <f>+H821</f>
        <v xml:space="preserve">Colecta Sebastian Rios </v>
      </c>
      <c r="I822" s="347" t="s">
        <v>296</v>
      </c>
      <c r="K822" s="370"/>
      <c r="N822" s="370"/>
    </row>
    <row r="823" spans="1:14" s="347" customFormat="1" x14ac:dyDescent="0.25">
      <c r="A823" s="369"/>
      <c r="E823" s="396"/>
      <c r="F823" s="396"/>
      <c r="G823" s="396"/>
      <c r="K823" s="370"/>
      <c r="N823" s="370"/>
    </row>
    <row r="824" spans="1:14" s="347" customFormat="1" x14ac:dyDescent="0.25">
      <c r="A824" s="369">
        <v>44263</v>
      </c>
      <c r="B824" s="340">
        <f>+MONTH(A824)</f>
        <v>3</v>
      </c>
      <c r="C824" s="347">
        <v>110</v>
      </c>
      <c r="D824" s="340" t="str">
        <f>VLOOKUP(C824,Plan!A$1:B$65542,2,0)</f>
        <v>Disponible Administración</v>
      </c>
      <c r="E824" s="341">
        <f>+F824-G824</f>
        <v>40000</v>
      </c>
      <c r="F824" s="396">
        <v>40000</v>
      </c>
      <c r="G824" s="396">
        <v>0</v>
      </c>
      <c r="H824" t="s">
        <v>912</v>
      </c>
      <c r="I824" s="347" t="s">
        <v>296</v>
      </c>
      <c r="K824" s="370"/>
      <c r="N824" s="370"/>
    </row>
    <row r="825" spans="1:14" s="347" customFormat="1" x14ac:dyDescent="0.25">
      <c r="A825" s="369">
        <f>+A824</f>
        <v>44263</v>
      </c>
      <c r="B825" s="347">
        <f>+B824</f>
        <v>3</v>
      </c>
      <c r="C825" s="347">
        <v>3110</v>
      </c>
      <c r="D825" s="340" t="str">
        <f>VLOOKUP(C825,Plan!A$1:B$65542,2,0)</f>
        <v>Colectas Normales</v>
      </c>
      <c r="E825" s="396">
        <f>-G825</f>
        <v>-40000</v>
      </c>
      <c r="F825" s="396">
        <v>0</v>
      </c>
      <c r="G825" s="396">
        <f>+F824</f>
        <v>40000</v>
      </c>
      <c r="H825" s="347" t="str">
        <f>+H824</f>
        <v>Colecta Patricia Andrea Lorca Koch</v>
      </c>
      <c r="I825" s="347" t="s">
        <v>296</v>
      </c>
      <c r="K825" s="370"/>
      <c r="N825" s="370"/>
    </row>
    <row r="826" spans="1:14" s="347" customFormat="1" x14ac:dyDescent="0.25">
      <c r="A826" s="369"/>
      <c r="E826" s="396"/>
      <c r="F826" s="396"/>
      <c r="G826" s="396"/>
      <c r="K826" s="370"/>
      <c r="N826" s="370"/>
    </row>
    <row r="827" spans="1:14" s="347" customFormat="1" x14ac:dyDescent="0.25">
      <c r="A827" s="369">
        <v>44263</v>
      </c>
      <c r="B827" s="340">
        <f>+MONTH(A827)</f>
        <v>3</v>
      </c>
      <c r="C827" s="347">
        <v>110</v>
      </c>
      <c r="D827" s="340" t="str">
        <f>VLOOKUP(C827,Plan!A$1:B$65542,2,0)</f>
        <v>Disponible Administración</v>
      </c>
      <c r="E827" s="341">
        <f>+F827-G827</f>
        <v>10000</v>
      </c>
      <c r="F827" s="396">
        <v>10000</v>
      </c>
      <c r="G827" s="396">
        <v>0</v>
      </c>
      <c r="H827" t="s">
        <v>881</v>
      </c>
      <c r="I827" s="347" t="s">
        <v>296</v>
      </c>
      <c r="K827" s="370"/>
      <c r="N827" s="370"/>
    </row>
    <row r="828" spans="1:14" s="347" customFormat="1" x14ac:dyDescent="0.25">
      <c r="A828" s="369">
        <f>+A827</f>
        <v>44263</v>
      </c>
      <c r="B828" s="347">
        <f>+B827</f>
        <v>3</v>
      </c>
      <c r="C828" s="347">
        <v>3110</v>
      </c>
      <c r="D828" s="340" t="str">
        <f>VLOOKUP(C828,Plan!A$1:B$65542,2,0)</f>
        <v>Colectas Normales</v>
      </c>
      <c r="E828" s="396">
        <f>-G828</f>
        <v>-10000</v>
      </c>
      <c r="F828" s="396">
        <v>0</v>
      </c>
      <c r="G828" s="396">
        <f>+F827</f>
        <v>10000</v>
      </c>
      <c r="H828" s="347" t="str">
        <f>+H827</f>
        <v>Colecta Rafael Marin Jordan</v>
      </c>
      <c r="I828" s="347" t="s">
        <v>296</v>
      </c>
      <c r="K828" s="370"/>
      <c r="N828" s="370"/>
    </row>
    <row r="829" spans="1:14" s="347" customFormat="1" x14ac:dyDescent="0.25">
      <c r="A829" s="369"/>
      <c r="E829" s="396"/>
      <c r="F829" s="396"/>
      <c r="G829" s="396"/>
      <c r="K829" s="370"/>
      <c r="N829" s="370"/>
    </row>
    <row r="830" spans="1:14" s="347" customFormat="1" x14ac:dyDescent="0.25">
      <c r="A830" s="369">
        <v>44263</v>
      </c>
      <c r="B830" s="340">
        <f>+MONTH(A830)</f>
        <v>3</v>
      </c>
      <c r="C830" s="347">
        <v>110</v>
      </c>
      <c r="D830" s="340" t="str">
        <f>VLOOKUP(C830,Plan!A$1:B$65542,2,0)</f>
        <v>Disponible Administración</v>
      </c>
      <c r="E830" s="341">
        <f>+F830-G830</f>
        <v>10000</v>
      </c>
      <c r="F830" s="396">
        <v>10000</v>
      </c>
      <c r="G830" s="396">
        <v>0</v>
      </c>
      <c r="H830" t="s">
        <v>917</v>
      </c>
      <c r="I830" s="347" t="s">
        <v>296</v>
      </c>
      <c r="K830" s="370"/>
      <c r="N830" s="370"/>
    </row>
    <row r="831" spans="1:14" s="347" customFormat="1" x14ac:dyDescent="0.25">
      <c r="A831" s="369">
        <f>+A830</f>
        <v>44263</v>
      </c>
      <c r="B831" s="347">
        <f>+B830</f>
        <v>3</v>
      </c>
      <c r="C831" s="347">
        <v>3110</v>
      </c>
      <c r="D831" s="340" t="str">
        <f>VLOOKUP(C831,Plan!A$1:B$65542,2,0)</f>
        <v>Colectas Normales</v>
      </c>
      <c r="E831" s="396">
        <f>-G831</f>
        <v>-10000</v>
      </c>
      <c r="F831" s="396">
        <v>0</v>
      </c>
      <c r="G831" s="396">
        <f>+F830</f>
        <v>10000</v>
      </c>
      <c r="H831" s="347" t="str">
        <f>+H830</f>
        <v>Colecta Hilda Dougnac R</v>
      </c>
      <c r="I831" s="347" t="s">
        <v>296</v>
      </c>
      <c r="K831" s="370"/>
      <c r="N831" s="370"/>
    </row>
    <row r="832" spans="1:14" s="347" customFormat="1" x14ac:dyDescent="0.25">
      <c r="A832" s="369"/>
      <c r="E832" s="396"/>
      <c r="F832" s="396"/>
      <c r="G832" s="396"/>
      <c r="K832" s="370"/>
      <c r="N832" s="370"/>
    </row>
    <row r="833" spans="1:14" s="347" customFormat="1" x14ac:dyDescent="0.25">
      <c r="A833" s="369">
        <v>44263</v>
      </c>
      <c r="B833" s="340">
        <f>+MONTH(A833)</f>
        <v>3</v>
      </c>
      <c r="C833" s="347">
        <v>110</v>
      </c>
      <c r="D833" s="340" t="str">
        <f>VLOOKUP(C833,Plan!A$1:B$65542,2,0)</f>
        <v>Disponible Administración</v>
      </c>
      <c r="E833" s="341">
        <f>+F833-G833</f>
        <v>20000</v>
      </c>
      <c r="F833" s="396">
        <v>20000</v>
      </c>
      <c r="G833" s="396">
        <v>0</v>
      </c>
      <c r="H833" t="s">
        <v>2525</v>
      </c>
      <c r="I833" s="347" t="s">
        <v>296</v>
      </c>
      <c r="K833" s="370"/>
      <c r="N833" s="370"/>
    </row>
    <row r="834" spans="1:14" s="347" customFormat="1" x14ac:dyDescent="0.25">
      <c r="A834" s="369">
        <f>+A833</f>
        <v>44263</v>
      </c>
      <c r="B834" s="347">
        <f>+B833</f>
        <v>3</v>
      </c>
      <c r="C834" s="347">
        <v>3340</v>
      </c>
      <c r="D834" s="340" t="str">
        <f>VLOOKUP(C834,Plan!A$1:B$65542,2,0)</f>
        <v>Misas</v>
      </c>
      <c r="E834" s="396">
        <f>-G834</f>
        <v>-20000</v>
      </c>
      <c r="F834" s="396">
        <v>0</v>
      </c>
      <c r="G834" s="396">
        <f>+F833</f>
        <v>20000</v>
      </c>
      <c r="H834" s="347" t="str">
        <f>+H833</f>
        <v>Misa Roberto Vergara Ossa</v>
      </c>
      <c r="I834" s="347" t="s">
        <v>296</v>
      </c>
      <c r="K834" s="370"/>
      <c r="N834" s="370"/>
    </row>
    <row r="835" spans="1:14" s="347" customFormat="1" x14ac:dyDescent="0.25">
      <c r="A835" s="369"/>
      <c r="E835" s="396"/>
      <c r="F835" s="396"/>
      <c r="G835" s="396"/>
      <c r="K835" s="370"/>
      <c r="N835" s="370"/>
    </row>
    <row r="836" spans="1:14" s="347" customFormat="1" x14ac:dyDescent="0.25">
      <c r="A836" s="369">
        <v>44263</v>
      </c>
      <c r="B836" s="340">
        <f>+MONTH(A836)</f>
        <v>3</v>
      </c>
      <c r="C836" s="347">
        <v>110</v>
      </c>
      <c r="D836" s="340" t="str">
        <f>VLOOKUP(C836,Plan!A$1:B$65542,2,0)</f>
        <v>Disponible Administración</v>
      </c>
      <c r="E836" s="341">
        <f>+F836-G836</f>
        <v>20000</v>
      </c>
      <c r="F836" s="396">
        <v>20000</v>
      </c>
      <c r="G836" s="396">
        <v>0</v>
      </c>
      <c r="H836" t="s">
        <v>918</v>
      </c>
      <c r="I836" s="347" t="s">
        <v>296</v>
      </c>
      <c r="K836" s="370"/>
      <c r="N836" s="370"/>
    </row>
    <row r="837" spans="1:14" s="347" customFormat="1" x14ac:dyDescent="0.25">
      <c r="A837" s="369">
        <f>+A836</f>
        <v>44263</v>
      </c>
      <c r="B837" s="347">
        <f>+B836</f>
        <v>3</v>
      </c>
      <c r="C837" s="347">
        <v>3110</v>
      </c>
      <c r="D837" s="340" t="str">
        <f>VLOOKUP(C837,Plan!A$1:B$65542,2,0)</f>
        <v>Colectas Normales</v>
      </c>
      <c r="E837" s="396">
        <f>-G837</f>
        <v>-20000</v>
      </c>
      <c r="F837" s="396">
        <v>0</v>
      </c>
      <c r="G837" s="396">
        <f>+F836</f>
        <v>20000</v>
      </c>
      <c r="H837" s="347" t="str">
        <f>+H836</f>
        <v>Colecta Isabel Tejeda Videla</v>
      </c>
      <c r="I837" s="347" t="s">
        <v>296</v>
      </c>
      <c r="K837" s="370"/>
      <c r="N837" s="370"/>
    </row>
    <row r="838" spans="1:14" s="347" customFormat="1" x14ac:dyDescent="0.25">
      <c r="A838" s="369"/>
      <c r="E838" s="396"/>
      <c r="F838" s="396"/>
      <c r="G838" s="396"/>
      <c r="K838" s="370"/>
      <c r="N838" s="370"/>
    </row>
    <row r="839" spans="1:14" s="347" customFormat="1" x14ac:dyDescent="0.25">
      <c r="A839" s="369">
        <v>44263</v>
      </c>
      <c r="B839" s="340">
        <f>+MONTH(A839)</f>
        <v>3</v>
      </c>
      <c r="C839" s="347">
        <v>110</v>
      </c>
      <c r="D839" s="340" t="str">
        <f>VLOOKUP(C839,Plan!A$1:B$65542,2,0)</f>
        <v>Disponible Administración</v>
      </c>
      <c r="E839" s="341">
        <f>+F839-G839</f>
        <v>5000</v>
      </c>
      <c r="F839" s="396">
        <v>5000</v>
      </c>
      <c r="G839" s="396">
        <v>0</v>
      </c>
      <c r="H839" t="s">
        <v>1135</v>
      </c>
      <c r="I839" s="347" t="s">
        <v>296</v>
      </c>
      <c r="K839" s="370"/>
      <c r="N839" s="370"/>
    </row>
    <row r="840" spans="1:14" s="347" customFormat="1" x14ac:dyDescent="0.25">
      <c r="A840" s="369">
        <f>+A839</f>
        <v>44263</v>
      </c>
      <c r="B840" s="347">
        <f>+B839</f>
        <v>3</v>
      </c>
      <c r="C840" s="347">
        <v>3110</v>
      </c>
      <c r="D840" s="340" t="str">
        <f>VLOOKUP(C840,Plan!A$1:B$65542,2,0)</f>
        <v>Colectas Normales</v>
      </c>
      <c r="E840" s="396">
        <f>-G840</f>
        <v>-5000</v>
      </c>
      <c r="F840" s="396">
        <v>0</v>
      </c>
      <c r="G840" s="396">
        <f>+F839</f>
        <v>5000</v>
      </c>
      <c r="H840" s="347" t="str">
        <f>+H839</f>
        <v>Colecta Francisco Guimpert</v>
      </c>
      <c r="I840" s="347" t="s">
        <v>296</v>
      </c>
      <c r="K840" s="370"/>
      <c r="N840" s="370"/>
    </row>
    <row r="841" spans="1:14" s="347" customFormat="1" x14ac:dyDescent="0.25">
      <c r="A841" s="369"/>
      <c r="E841" s="396"/>
      <c r="F841" s="396"/>
      <c r="G841" s="396"/>
      <c r="K841" s="370"/>
      <c r="N841" s="370"/>
    </row>
    <row r="842" spans="1:14" s="347" customFormat="1" x14ac:dyDescent="0.25">
      <c r="A842" s="369">
        <v>44263</v>
      </c>
      <c r="B842" s="340">
        <f>+MONTH(A842)</f>
        <v>3</v>
      </c>
      <c r="C842" s="347">
        <v>110</v>
      </c>
      <c r="D842" s="340" t="str">
        <f>VLOOKUP(C842,Plan!A$1:B$65542,2,0)</f>
        <v>Disponible Administración</v>
      </c>
      <c r="E842" s="341">
        <f>+F842-G842</f>
        <v>3000</v>
      </c>
      <c r="F842" s="396">
        <v>3000</v>
      </c>
      <c r="G842" s="396">
        <v>0</v>
      </c>
      <c r="H842" t="s">
        <v>915</v>
      </c>
      <c r="I842" s="347" t="s">
        <v>296</v>
      </c>
      <c r="K842" s="370"/>
      <c r="N842" s="370"/>
    </row>
    <row r="843" spans="1:14" s="347" customFormat="1" x14ac:dyDescent="0.25">
      <c r="A843" s="369">
        <f>+A842</f>
        <v>44263</v>
      </c>
      <c r="B843" s="347">
        <f>+B842</f>
        <v>3</v>
      </c>
      <c r="C843" s="347">
        <v>3110</v>
      </c>
      <c r="D843" s="340" t="str">
        <f>VLOOKUP(C843,Plan!A$1:B$65542,2,0)</f>
        <v>Colectas Normales</v>
      </c>
      <c r="E843" s="396">
        <f>-G843</f>
        <v>-3000</v>
      </c>
      <c r="F843" s="396">
        <v>0</v>
      </c>
      <c r="G843" s="396">
        <f>+F842</f>
        <v>3000</v>
      </c>
      <c r="H843" s="347" t="str">
        <f>+H842</f>
        <v>Colecta Jose Perez de Castro</v>
      </c>
      <c r="I843" s="347" t="s">
        <v>296</v>
      </c>
      <c r="K843" s="370"/>
      <c r="N843" s="370"/>
    </row>
    <row r="844" spans="1:14" s="347" customFormat="1" x14ac:dyDescent="0.25">
      <c r="A844" s="369"/>
      <c r="E844" s="396"/>
      <c r="F844" s="396"/>
      <c r="G844" s="396"/>
      <c r="K844" s="370"/>
      <c r="N844" s="370"/>
    </row>
    <row r="845" spans="1:14" s="347" customFormat="1" x14ac:dyDescent="0.25">
      <c r="A845" s="369">
        <v>44263</v>
      </c>
      <c r="B845" s="340">
        <f>+MONTH(A845)</f>
        <v>3</v>
      </c>
      <c r="C845" s="347">
        <v>110</v>
      </c>
      <c r="D845" s="340" t="str">
        <f>VLOOKUP(C845,Plan!A$1:B$65542,2,0)</f>
        <v>Disponible Administración</v>
      </c>
      <c r="E845" s="341">
        <f>+F845-G845</f>
        <v>15000</v>
      </c>
      <c r="F845" s="396">
        <v>15000</v>
      </c>
      <c r="G845" s="396">
        <v>0</v>
      </c>
      <c r="H845" t="s">
        <v>906</v>
      </c>
      <c r="I845" s="347" t="s">
        <v>296</v>
      </c>
      <c r="K845" s="370"/>
      <c r="N845" s="370"/>
    </row>
    <row r="846" spans="1:14" s="347" customFormat="1" x14ac:dyDescent="0.25">
      <c r="A846" s="369">
        <f>+A845</f>
        <v>44263</v>
      </c>
      <c r="B846" s="347">
        <f>+B845</f>
        <v>3</v>
      </c>
      <c r="C846" s="347">
        <v>3110</v>
      </c>
      <c r="D846" s="340" t="str">
        <f>VLOOKUP(C846,Plan!A$1:B$65542,2,0)</f>
        <v>Colectas Normales</v>
      </c>
      <c r="E846" s="396">
        <f>-G846</f>
        <v>-15000</v>
      </c>
      <c r="F846" s="396">
        <v>0</v>
      </c>
      <c r="G846" s="396">
        <f>+F845</f>
        <v>15000</v>
      </c>
      <c r="H846" s="347" t="str">
        <f>+H845</f>
        <v>Colecta Carmen Barañao</v>
      </c>
      <c r="I846" s="347" t="s">
        <v>296</v>
      </c>
      <c r="K846" s="370"/>
      <c r="N846" s="370"/>
    </row>
    <row r="847" spans="1:14" s="347" customFormat="1" x14ac:dyDescent="0.25">
      <c r="A847" s="369"/>
      <c r="E847" s="396"/>
      <c r="F847" s="396"/>
      <c r="G847" s="396"/>
      <c r="K847" s="370"/>
      <c r="N847" s="370"/>
    </row>
    <row r="848" spans="1:14" s="347" customFormat="1" x14ac:dyDescent="0.25">
      <c r="A848" s="369">
        <v>44263</v>
      </c>
      <c r="B848" s="340">
        <f>+MONTH(A848)</f>
        <v>3</v>
      </c>
      <c r="C848" s="347">
        <v>110</v>
      </c>
      <c r="D848" s="340" t="str">
        <f>VLOOKUP(C848,Plan!A$1:B$65542,2,0)</f>
        <v>Disponible Administración</v>
      </c>
      <c r="E848" s="341">
        <f>+F848-G848</f>
        <v>15000</v>
      </c>
      <c r="F848" s="396">
        <v>15000</v>
      </c>
      <c r="G848" s="396">
        <v>0</v>
      </c>
      <c r="H848" t="s">
        <v>1136</v>
      </c>
      <c r="I848" s="347" t="s">
        <v>296</v>
      </c>
      <c r="K848" s="370"/>
      <c r="N848" s="370"/>
    </row>
    <row r="849" spans="1:14" s="347" customFormat="1" x14ac:dyDescent="0.25">
      <c r="A849" s="369">
        <f>+A848</f>
        <v>44263</v>
      </c>
      <c r="B849" s="347">
        <f>+B848</f>
        <v>3</v>
      </c>
      <c r="C849" s="347">
        <v>3110</v>
      </c>
      <c r="D849" s="340" t="str">
        <f>VLOOKUP(C849,Plan!A$1:B$65542,2,0)</f>
        <v>Colectas Normales</v>
      </c>
      <c r="E849" s="396">
        <f>-G849</f>
        <v>-15000</v>
      </c>
      <c r="F849" s="396">
        <v>0</v>
      </c>
      <c r="G849" s="396">
        <f>+F848</f>
        <v>15000</v>
      </c>
      <c r="H849" s="347" t="str">
        <f>+H848</f>
        <v xml:space="preserve">Colecta Maria Jose Urrutia Cruz </v>
      </c>
      <c r="I849" s="347" t="s">
        <v>296</v>
      </c>
      <c r="K849" s="370"/>
      <c r="N849" s="370"/>
    </row>
    <row r="850" spans="1:14" s="347" customFormat="1" x14ac:dyDescent="0.25">
      <c r="A850" s="369"/>
      <c r="E850" s="396"/>
      <c r="F850" s="396"/>
      <c r="G850" s="396"/>
      <c r="K850" s="370"/>
      <c r="N850" s="370"/>
    </row>
    <row r="851" spans="1:14" s="347" customFormat="1" x14ac:dyDescent="0.25">
      <c r="A851" s="369">
        <v>44263</v>
      </c>
      <c r="B851" s="340">
        <f>+MONTH(A851)</f>
        <v>3</v>
      </c>
      <c r="C851" s="347">
        <v>110</v>
      </c>
      <c r="D851" s="340" t="str">
        <f>VLOOKUP(C851,Plan!A$1:B$65542,2,0)</f>
        <v>Disponible Administración</v>
      </c>
      <c r="E851" s="341">
        <f>+F851-G851</f>
        <v>20000</v>
      </c>
      <c r="F851" s="396">
        <v>20000</v>
      </c>
      <c r="G851" s="396">
        <v>0</v>
      </c>
      <c r="H851" t="s">
        <v>1137</v>
      </c>
      <c r="I851" s="347" t="s">
        <v>296</v>
      </c>
      <c r="K851" s="370"/>
      <c r="N851" s="370"/>
    </row>
    <row r="852" spans="1:14" s="347" customFormat="1" x14ac:dyDescent="0.25">
      <c r="A852" s="369">
        <f>+A851</f>
        <v>44263</v>
      </c>
      <c r="B852" s="347">
        <f>+B851</f>
        <v>3</v>
      </c>
      <c r="C852" s="347">
        <v>3110</v>
      </c>
      <c r="D852" s="340" t="str">
        <f>VLOOKUP(C852,Plan!A$1:B$65542,2,0)</f>
        <v>Colectas Normales</v>
      </c>
      <c r="E852" s="396">
        <f>-G852</f>
        <v>-20000</v>
      </c>
      <c r="F852" s="396">
        <v>0</v>
      </c>
      <c r="G852" s="396">
        <f>+F851</f>
        <v>20000</v>
      </c>
      <c r="H852" s="347" t="str">
        <f>+H851</f>
        <v>Colecta Ismael Correa Vigneaux</v>
      </c>
      <c r="I852" s="347" t="s">
        <v>296</v>
      </c>
      <c r="K852" s="370"/>
      <c r="N852" s="370"/>
    </row>
    <row r="853" spans="1:14" s="347" customFormat="1" x14ac:dyDescent="0.25">
      <c r="A853" s="369"/>
      <c r="E853" s="396"/>
      <c r="F853" s="396"/>
      <c r="G853" s="396"/>
      <c r="K853" s="370"/>
      <c r="N853" s="370"/>
    </row>
    <row r="854" spans="1:14" s="347" customFormat="1" x14ac:dyDescent="0.25">
      <c r="A854" s="369">
        <v>44263</v>
      </c>
      <c r="B854" s="340">
        <f>+MONTH(A854)</f>
        <v>3</v>
      </c>
      <c r="C854" s="347">
        <v>110</v>
      </c>
      <c r="D854" s="340" t="str">
        <f>VLOOKUP(C854,Plan!A$1:B$65542,2,0)</f>
        <v>Disponible Administración</v>
      </c>
      <c r="E854" s="341">
        <f>+F854-G854</f>
        <v>5000</v>
      </c>
      <c r="F854" s="396">
        <v>5000</v>
      </c>
      <c r="G854" s="396">
        <v>0</v>
      </c>
      <c r="H854" t="s">
        <v>899</v>
      </c>
      <c r="I854" s="347" t="s">
        <v>296</v>
      </c>
      <c r="K854" s="370"/>
      <c r="N854" s="370"/>
    </row>
    <row r="855" spans="1:14" s="347" customFormat="1" x14ac:dyDescent="0.25">
      <c r="A855" s="369">
        <f>+A854</f>
        <v>44263</v>
      </c>
      <c r="B855" s="347">
        <f>+B854</f>
        <v>3</v>
      </c>
      <c r="C855" s="347">
        <v>3110</v>
      </c>
      <c r="D855" s="340" t="str">
        <f>VLOOKUP(C855,Plan!A$1:B$65542,2,0)</f>
        <v>Colectas Normales</v>
      </c>
      <c r="E855" s="396">
        <f>-G855</f>
        <v>-5000</v>
      </c>
      <c r="F855" s="396">
        <v>0</v>
      </c>
      <c r="G855" s="396">
        <f>+F854</f>
        <v>5000</v>
      </c>
      <c r="H855" s="347" t="str">
        <f>+H854</f>
        <v>Colecta Carlos Anwandter</v>
      </c>
      <c r="I855" s="347" t="s">
        <v>296</v>
      </c>
      <c r="K855" s="370"/>
      <c r="N855" s="370"/>
    </row>
    <row r="856" spans="1:14" s="347" customFormat="1" x14ac:dyDescent="0.25">
      <c r="K856" s="370"/>
      <c r="N856" s="370"/>
    </row>
    <row r="857" spans="1:14" s="347" customFormat="1" x14ac:dyDescent="0.25">
      <c r="A857" s="369">
        <v>44263</v>
      </c>
      <c r="B857" s="340">
        <f>+MONTH(A857)</f>
        <v>3</v>
      </c>
      <c r="C857" s="347">
        <v>110</v>
      </c>
      <c r="D857" s="340" t="str">
        <f>VLOOKUP(C857,Plan!A$1:B$65542,2,0)</f>
        <v>Disponible Administración</v>
      </c>
      <c r="E857" s="341">
        <f>+F857-G857</f>
        <v>19600</v>
      </c>
      <c r="F857" s="396">
        <v>19600</v>
      </c>
      <c r="G857" s="396">
        <v>0</v>
      </c>
      <c r="H857" t="s">
        <v>899</v>
      </c>
      <c r="I857" s="347" t="s">
        <v>296</v>
      </c>
      <c r="K857" s="370"/>
      <c r="N857" s="370"/>
    </row>
    <row r="858" spans="1:14" s="347" customFormat="1" x14ac:dyDescent="0.25">
      <c r="A858" s="369">
        <f>+A857</f>
        <v>44263</v>
      </c>
      <c r="B858" s="347">
        <f>+B857</f>
        <v>3</v>
      </c>
      <c r="C858" s="347">
        <v>3110</v>
      </c>
      <c r="D858" s="340" t="str">
        <f>VLOOKUP(C858,Plan!A$1:B$65542,2,0)</f>
        <v>Colectas Normales</v>
      </c>
      <c r="E858" s="396">
        <f>-G858</f>
        <v>-19600</v>
      </c>
      <c r="F858" s="396">
        <v>0</v>
      </c>
      <c r="G858" s="396">
        <f>+F857</f>
        <v>19600</v>
      </c>
      <c r="H858" s="347" t="str">
        <f>+H857</f>
        <v>Colecta Carlos Anwandter</v>
      </c>
      <c r="I858" s="347" t="s">
        <v>296</v>
      </c>
      <c r="K858" s="370"/>
      <c r="N858" s="370"/>
    </row>
    <row r="859" spans="1:14" s="347" customFormat="1" x14ac:dyDescent="0.25">
      <c r="A859" s="369"/>
      <c r="E859" s="396"/>
      <c r="F859" s="396"/>
      <c r="G859" s="396"/>
      <c r="K859" s="370"/>
      <c r="N859" s="370"/>
    </row>
    <row r="860" spans="1:14" s="347" customFormat="1" x14ac:dyDescent="0.25">
      <c r="A860" s="369">
        <v>44263</v>
      </c>
      <c r="B860" s="340">
        <f>+MONTH(A860)</f>
        <v>3</v>
      </c>
      <c r="C860" s="347">
        <v>110</v>
      </c>
      <c r="D860" s="340" t="str">
        <f>VLOOKUP(C860,Plan!A$1:B$65542,2,0)</f>
        <v>Disponible Administración</v>
      </c>
      <c r="E860" s="341">
        <f>+F860-G860</f>
        <v>760350</v>
      </c>
      <c r="F860" s="396">
        <v>760350</v>
      </c>
      <c r="G860" s="396">
        <v>0</v>
      </c>
      <c r="H860" t="s">
        <v>1138</v>
      </c>
      <c r="I860" s="347" t="s">
        <v>296</v>
      </c>
      <c r="K860" s="370"/>
      <c r="N860" s="370"/>
    </row>
    <row r="861" spans="1:14" s="347" customFormat="1" x14ac:dyDescent="0.25">
      <c r="A861" s="369">
        <f>+A860</f>
        <v>44263</v>
      </c>
      <c r="B861" s="347">
        <f>+B860</f>
        <v>3</v>
      </c>
      <c r="C861" s="347">
        <v>3110</v>
      </c>
      <c r="D861" s="340" t="str">
        <f>VLOOKUP(C861,Plan!A$1:B$65542,2,0)</f>
        <v>Colectas Normales</v>
      </c>
      <c r="E861" s="396">
        <f>-G861</f>
        <v>-760350</v>
      </c>
      <c r="F861" s="396">
        <v>0</v>
      </c>
      <c r="G861" s="396">
        <f>+F860</f>
        <v>760350</v>
      </c>
      <c r="H861" s="347" t="str">
        <f>+H860</f>
        <v>Dep. Colecta 3 al 7/03 Col Cordillera</v>
      </c>
      <c r="I861" s="347" t="s">
        <v>296</v>
      </c>
      <c r="K861" s="370"/>
      <c r="N861" s="370"/>
    </row>
    <row r="862" spans="1:14" s="347" customFormat="1" x14ac:dyDescent="0.25">
      <c r="A862" s="369"/>
      <c r="E862" s="396"/>
      <c r="F862" s="396"/>
      <c r="G862" s="396"/>
      <c r="K862" s="370"/>
      <c r="N862" s="370"/>
    </row>
    <row r="863" spans="1:14" s="347" customFormat="1" x14ac:dyDescent="0.25">
      <c r="A863" s="369">
        <v>44263</v>
      </c>
      <c r="B863" s="340">
        <f>+MONTH(A863)</f>
        <v>3</v>
      </c>
      <c r="C863" s="347">
        <v>110</v>
      </c>
      <c r="D863" s="340" t="str">
        <f>VLOOKUP(C863,Plan!A$1:B$65542,2,0)</f>
        <v>Disponible Administración</v>
      </c>
      <c r="E863" s="341">
        <f>+F863-G863</f>
        <v>20000</v>
      </c>
      <c r="F863" s="396">
        <v>20000</v>
      </c>
      <c r="G863" s="396">
        <v>0</v>
      </c>
      <c r="H863" t="s">
        <v>1139</v>
      </c>
      <c r="I863" s="347" t="s">
        <v>296</v>
      </c>
      <c r="K863" s="370"/>
      <c r="N863" s="370"/>
    </row>
    <row r="864" spans="1:14" s="347" customFormat="1" x14ac:dyDescent="0.25">
      <c r="A864" s="369">
        <f>+A863</f>
        <v>44263</v>
      </c>
      <c r="B864" s="347">
        <f>+B863</f>
        <v>3</v>
      </c>
      <c r="C864" s="347">
        <v>3350</v>
      </c>
      <c r="D864" s="340" t="str">
        <f>VLOOKUP(C864,Plan!A$1:B$65542,2,0)</f>
        <v>Bautizos</v>
      </c>
      <c r="E864" s="396">
        <f>-G864</f>
        <v>-20000</v>
      </c>
      <c r="F864" s="396">
        <v>0</v>
      </c>
      <c r="G864" s="396">
        <f>+F863</f>
        <v>20000</v>
      </c>
      <c r="H864" s="347" t="str">
        <f>+H863</f>
        <v>Bautizo Fernando Errazuriz</v>
      </c>
      <c r="I864" s="347" t="s">
        <v>296</v>
      </c>
      <c r="K864" s="370"/>
      <c r="N864" s="370"/>
    </row>
    <row r="865" spans="1:14" s="347" customFormat="1" x14ac:dyDescent="0.25">
      <c r="A865" s="369"/>
      <c r="E865" s="396"/>
      <c r="F865" s="396"/>
      <c r="G865" s="396"/>
      <c r="K865" s="370"/>
      <c r="N865" s="370"/>
    </row>
    <row r="866" spans="1:14" s="347" customFormat="1" x14ac:dyDescent="0.25">
      <c r="A866" s="369">
        <v>44263</v>
      </c>
      <c r="B866" s="340">
        <f>+MONTH(A866)</f>
        <v>3</v>
      </c>
      <c r="C866" s="347">
        <v>110</v>
      </c>
      <c r="D866" s="340" t="str">
        <f>VLOOKUP(C866,Plan!A$1:B$65542,2,0)</f>
        <v>Disponible Administración</v>
      </c>
      <c r="E866" s="341">
        <f>+F866-G866</f>
        <v>5000</v>
      </c>
      <c r="F866" s="396">
        <v>5000</v>
      </c>
      <c r="G866" s="396">
        <v>0</v>
      </c>
      <c r="H866" t="s">
        <v>1140</v>
      </c>
      <c r="I866" s="347" t="s">
        <v>296</v>
      </c>
      <c r="K866" s="370"/>
      <c r="N866" s="370"/>
    </row>
    <row r="867" spans="1:14" s="347" customFormat="1" x14ac:dyDescent="0.25">
      <c r="A867" s="369">
        <f>+A866</f>
        <v>44263</v>
      </c>
      <c r="B867" s="347">
        <f>+B866</f>
        <v>3</v>
      </c>
      <c r="C867" s="347">
        <v>3350</v>
      </c>
      <c r="D867" s="340" t="str">
        <f>VLOOKUP(C867,Plan!A$1:B$65542,2,0)</f>
        <v>Bautizos</v>
      </c>
      <c r="E867" s="396">
        <f>-G867</f>
        <v>-5000</v>
      </c>
      <c r="F867" s="396">
        <v>0</v>
      </c>
      <c r="G867" s="396">
        <f>+F866</f>
        <v>5000</v>
      </c>
      <c r="H867" s="347" t="str">
        <f>+H866</f>
        <v>Bautizo Maria Jose Searle</v>
      </c>
      <c r="I867" s="347" t="s">
        <v>296</v>
      </c>
      <c r="K867" s="370"/>
      <c r="N867" s="370"/>
    </row>
    <row r="868" spans="1:14" s="347" customFormat="1" x14ac:dyDescent="0.25">
      <c r="A868" s="369"/>
      <c r="E868" s="396"/>
      <c r="F868" s="396"/>
      <c r="G868" s="396"/>
      <c r="K868" s="370"/>
      <c r="N868" s="370"/>
    </row>
    <row r="869" spans="1:14" s="347" customFormat="1" x14ac:dyDescent="0.25">
      <c r="A869" s="369">
        <v>44263</v>
      </c>
      <c r="B869" s="340">
        <f>+MONTH(A869)</f>
        <v>3</v>
      </c>
      <c r="C869" s="347">
        <v>110</v>
      </c>
      <c r="D869" s="340" t="str">
        <f>VLOOKUP(C869,Plan!A$1:B$65542,2,0)</f>
        <v>Disponible Administración</v>
      </c>
      <c r="E869" s="341">
        <f>+F869-G869</f>
        <v>12000</v>
      </c>
      <c r="F869" s="396">
        <v>12000</v>
      </c>
      <c r="G869" s="396">
        <v>0</v>
      </c>
      <c r="H869" t="s">
        <v>1141</v>
      </c>
      <c r="I869" s="347" t="s">
        <v>296</v>
      </c>
      <c r="K869" s="370"/>
      <c r="N869" s="370"/>
    </row>
    <row r="870" spans="1:14" s="347" customFormat="1" x14ac:dyDescent="0.25">
      <c r="A870" s="369">
        <f>+A869</f>
        <v>44263</v>
      </c>
      <c r="B870" s="347">
        <f>+B869</f>
        <v>3</v>
      </c>
      <c r="C870" s="347">
        <v>3110</v>
      </c>
      <c r="D870" s="340" t="str">
        <f>VLOOKUP(C870,Plan!A$1:B$65542,2,0)</f>
        <v>Colectas Normales</v>
      </c>
      <c r="E870" s="396">
        <f>-G870</f>
        <v>-12000</v>
      </c>
      <c r="F870" s="396">
        <v>0</v>
      </c>
      <c r="G870" s="396">
        <f>+F869</f>
        <v>12000</v>
      </c>
      <c r="H870" s="347" t="str">
        <f>+H869</f>
        <v>Colecta Cristian Huidobro Lermanda</v>
      </c>
      <c r="I870" s="347" t="s">
        <v>296</v>
      </c>
      <c r="K870" s="370"/>
      <c r="N870" s="370"/>
    </row>
    <row r="871" spans="1:14" s="347" customFormat="1" x14ac:dyDescent="0.25">
      <c r="A871" s="369"/>
      <c r="E871" s="396"/>
      <c r="F871" s="396"/>
      <c r="G871" s="396"/>
      <c r="K871" s="370"/>
      <c r="N871" s="370"/>
    </row>
    <row r="872" spans="1:14" s="347" customFormat="1" x14ac:dyDescent="0.25">
      <c r="A872" s="369">
        <v>44264</v>
      </c>
      <c r="B872" s="340">
        <f>+MONTH(A872)</f>
        <v>3</v>
      </c>
      <c r="C872" s="347">
        <v>110</v>
      </c>
      <c r="D872" s="340" t="str">
        <f>VLOOKUP(C872,Plan!A$1:B$65542,2,0)</f>
        <v>Disponible Administración</v>
      </c>
      <c r="E872" s="341">
        <f>+F872-G872</f>
        <v>34502</v>
      </c>
      <c r="F872" s="396">
        <v>34502</v>
      </c>
      <c r="G872" s="396">
        <v>0</v>
      </c>
      <c r="H872" t="s">
        <v>1142</v>
      </c>
      <c r="I872" s="347" t="s">
        <v>296</v>
      </c>
      <c r="K872" s="370"/>
      <c r="N872" s="370"/>
    </row>
    <row r="873" spans="1:14" s="347" customFormat="1" x14ac:dyDescent="0.25">
      <c r="A873" s="369">
        <f>+A872</f>
        <v>44264</v>
      </c>
      <c r="B873" s="347">
        <f>+B872</f>
        <v>3</v>
      </c>
      <c r="C873" s="347">
        <v>3110</v>
      </c>
      <c r="D873" s="340" t="str">
        <f>VLOOKUP(C873,Plan!A$1:B$65542,2,0)</f>
        <v>Colectas Normales</v>
      </c>
      <c r="E873" s="396">
        <f>-G873</f>
        <v>-34502</v>
      </c>
      <c r="F873" s="396">
        <v>0</v>
      </c>
      <c r="G873" s="396">
        <f>+F872</f>
        <v>34502</v>
      </c>
      <c r="H873" s="347" t="str">
        <f>+H872</f>
        <v>NN</v>
      </c>
      <c r="I873" s="347" t="s">
        <v>296</v>
      </c>
      <c r="K873" s="370"/>
      <c r="N873" s="370"/>
    </row>
    <row r="874" spans="1:14" s="347" customFormat="1" x14ac:dyDescent="0.25">
      <c r="A874" s="369"/>
      <c r="E874" s="396"/>
      <c r="F874" s="396"/>
      <c r="G874" s="396"/>
      <c r="K874" s="370"/>
      <c r="N874" s="370"/>
    </row>
    <row r="875" spans="1:14" s="347" customFormat="1" x14ac:dyDescent="0.25">
      <c r="A875" s="369">
        <v>44264</v>
      </c>
      <c r="B875" s="340">
        <f>+MONTH(A875)</f>
        <v>3</v>
      </c>
      <c r="C875" s="347">
        <v>4860</v>
      </c>
      <c r="D875" s="340" t="str">
        <f>VLOOKUP(C875,Plan!A$1:B$65542,2,0)</f>
        <v>Otros</v>
      </c>
      <c r="E875" s="396">
        <f>+F875</f>
        <v>1742</v>
      </c>
      <c r="F875" s="396">
        <v>1742</v>
      </c>
      <c r="G875" s="396">
        <v>0</v>
      </c>
      <c r="H875" t="s">
        <v>1005</v>
      </c>
      <c r="I875" s="347" t="s">
        <v>296</v>
      </c>
      <c r="K875" s="370"/>
      <c r="N875" s="370"/>
    </row>
    <row r="876" spans="1:14" s="347" customFormat="1" x14ac:dyDescent="0.25">
      <c r="A876" s="369">
        <f>+A875</f>
        <v>44264</v>
      </c>
      <c r="B876" s="347">
        <f>+B875</f>
        <v>3</v>
      </c>
      <c r="C876" s="347">
        <v>110</v>
      </c>
      <c r="D876" s="340" t="str">
        <f>VLOOKUP(C876,Plan!A$1:B$65542,2,0)</f>
        <v>Disponible Administración</v>
      </c>
      <c r="E876" s="341">
        <f>+F876-G876</f>
        <v>-1742</v>
      </c>
      <c r="F876" s="396">
        <v>0</v>
      </c>
      <c r="G876" s="396">
        <f>+F875</f>
        <v>1742</v>
      </c>
      <c r="H876" s="347" t="str">
        <f>+H875</f>
        <v>Com.Bco.Chile</v>
      </c>
      <c r="I876" s="347" t="s">
        <v>296</v>
      </c>
      <c r="K876" s="370"/>
      <c r="N876" s="370"/>
    </row>
    <row r="877" spans="1:14" s="347" customFormat="1" x14ac:dyDescent="0.25">
      <c r="A877" s="369"/>
      <c r="E877" s="396"/>
      <c r="F877" s="396"/>
      <c r="G877" s="396"/>
      <c r="K877" s="370"/>
      <c r="N877" s="370"/>
    </row>
    <row r="878" spans="1:14" s="347" customFormat="1" x14ac:dyDescent="0.25">
      <c r="A878" s="369">
        <v>44264</v>
      </c>
      <c r="B878" s="340">
        <f>+MONTH(A878)</f>
        <v>3</v>
      </c>
      <c r="C878" s="347">
        <v>4860</v>
      </c>
      <c r="D878" s="340" t="str">
        <f>VLOOKUP(C878,Plan!A$1:B$65542,2,0)</f>
        <v>Otros</v>
      </c>
      <c r="E878" s="396">
        <f>+F878</f>
        <v>1045</v>
      </c>
      <c r="F878" s="396">
        <v>1045</v>
      </c>
      <c r="G878" s="396">
        <v>0</v>
      </c>
      <c r="H878" t="s">
        <v>1005</v>
      </c>
      <c r="I878" s="347" t="s">
        <v>296</v>
      </c>
      <c r="K878" s="370"/>
      <c r="N878" s="370"/>
    </row>
    <row r="879" spans="1:14" s="347" customFormat="1" x14ac:dyDescent="0.25">
      <c r="A879" s="369">
        <f>+A878</f>
        <v>44264</v>
      </c>
      <c r="B879" s="347">
        <f>+B878</f>
        <v>3</v>
      </c>
      <c r="C879" s="347">
        <v>110</v>
      </c>
      <c r="D879" s="340" t="str">
        <f>VLOOKUP(C879,Plan!A$1:B$65542,2,0)</f>
        <v>Disponible Administración</v>
      </c>
      <c r="E879" s="341">
        <f>+F879-G879</f>
        <v>-1045</v>
      </c>
      <c r="F879" s="396">
        <v>0</v>
      </c>
      <c r="G879" s="396">
        <f>+F878</f>
        <v>1045</v>
      </c>
      <c r="H879" s="347" t="str">
        <f>+H878</f>
        <v>Com.Bco.Chile</v>
      </c>
      <c r="I879" s="347" t="s">
        <v>296</v>
      </c>
      <c r="K879" s="370"/>
      <c r="N879" s="370"/>
    </row>
    <row r="880" spans="1:14" s="347" customFormat="1" x14ac:dyDescent="0.25">
      <c r="A880" s="369"/>
      <c r="E880" s="396"/>
      <c r="F880" s="396"/>
      <c r="G880" s="396"/>
      <c r="K880" s="370"/>
      <c r="N880" s="370"/>
    </row>
    <row r="881" spans="1:14" s="347" customFormat="1" x14ac:dyDescent="0.25">
      <c r="A881" s="369">
        <v>44265</v>
      </c>
      <c r="B881" s="340">
        <f>+MONTH(A881)</f>
        <v>3</v>
      </c>
      <c r="C881" s="347">
        <v>110</v>
      </c>
      <c r="D881" s="340" t="str">
        <f>VLOOKUP(C881,Plan!A$1:B$65542,2,0)</f>
        <v>Disponible Administración</v>
      </c>
      <c r="E881" s="341">
        <f>+F881-G881</f>
        <v>100000</v>
      </c>
      <c r="F881" s="396">
        <v>100000</v>
      </c>
      <c r="G881" s="396">
        <v>0</v>
      </c>
      <c r="H881" t="s">
        <v>1143</v>
      </c>
      <c r="I881" s="347" t="s">
        <v>296</v>
      </c>
      <c r="K881" s="370"/>
      <c r="N881" s="370"/>
    </row>
    <row r="882" spans="1:14" s="347" customFormat="1" x14ac:dyDescent="0.25">
      <c r="A882" s="369">
        <f>+A881</f>
        <v>44265</v>
      </c>
      <c r="B882" s="347">
        <f>+B881</f>
        <v>3</v>
      </c>
      <c r="C882" s="347">
        <v>215</v>
      </c>
      <c r="D882" s="340" t="str">
        <f>VLOOKUP(C882,Plan!A$1:B$65542,2,0)</f>
        <v>Cuenta por Pagar a Cali</v>
      </c>
      <c r="E882" s="396">
        <f>-G882</f>
        <v>-100000</v>
      </c>
      <c r="F882" s="396">
        <v>0</v>
      </c>
      <c r="G882" s="396">
        <f>+F881</f>
        <v>100000</v>
      </c>
      <c r="H882" s="347" t="str">
        <f>+H881</f>
        <v>Mercedes Cisternas Pérez/Azul</v>
      </c>
      <c r="I882" s="347" t="s">
        <v>296</v>
      </c>
      <c r="K882" s="370"/>
      <c r="N882" s="370"/>
    </row>
    <row r="883" spans="1:14" s="347" customFormat="1" x14ac:dyDescent="0.25">
      <c r="A883" s="369"/>
      <c r="E883" s="396"/>
      <c r="F883" s="396"/>
      <c r="G883" s="396"/>
      <c r="K883" s="370"/>
      <c r="N883" s="370"/>
    </row>
    <row r="884" spans="1:14" s="347" customFormat="1" x14ac:dyDescent="0.25">
      <c r="A884" s="369">
        <v>44265</v>
      </c>
      <c r="B884" s="340">
        <f>+MONTH(A884)</f>
        <v>3</v>
      </c>
      <c r="C884" s="347">
        <v>110</v>
      </c>
      <c r="D884" s="340" t="str">
        <f>VLOOKUP(C884,Plan!A$1:B$65542,2,0)</f>
        <v>Disponible Administración</v>
      </c>
      <c r="E884" s="341">
        <f>+F884-G884</f>
        <v>20000</v>
      </c>
      <c r="F884" s="396">
        <v>20000</v>
      </c>
      <c r="G884" s="396">
        <v>0</v>
      </c>
      <c r="H884" t="s">
        <v>1144</v>
      </c>
      <c r="I884" s="347" t="s">
        <v>296</v>
      </c>
      <c r="K884" s="370"/>
      <c r="N884" s="370"/>
    </row>
    <row r="885" spans="1:14" s="347" customFormat="1" x14ac:dyDescent="0.25">
      <c r="A885" s="369">
        <f>+A884</f>
        <v>44265</v>
      </c>
      <c r="B885" s="347">
        <f>+B884</f>
        <v>3</v>
      </c>
      <c r="C885" s="347">
        <v>3350</v>
      </c>
      <c r="D885" s="340" t="str">
        <f>VLOOKUP(C885,Plan!A$1:B$65542,2,0)</f>
        <v>Bautizos</v>
      </c>
      <c r="E885" s="396">
        <f>-G885</f>
        <v>-20000</v>
      </c>
      <c r="F885" s="396">
        <v>0</v>
      </c>
      <c r="G885" s="396">
        <f>+F884</f>
        <v>20000</v>
      </c>
      <c r="H885" s="347" t="str">
        <f>+H884</f>
        <v>Bautizo Mariana Garcia</v>
      </c>
      <c r="I885" s="347" t="s">
        <v>296</v>
      </c>
      <c r="K885" s="370"/>
      <c r="N885" s="370"/>
    </row>
    <row r="886" spans="1:14" s="347" customFormat="1" x14ac:dyDescent="0.25">
      <c r="A886" s="369"/>
      <c r="E886" s="396"/>
      <c r="F886" s="396"/>
      <c r="G886" s="396"/>
      <c r="K886" s="370"/>
      <c r="N886" s="370"/>
    </row>
    <row r="887" spans="1:14" s="347" customFormat="1" x14ac:dyDescent="0.25">
      <c r="A887" s="369">
        <v>44265</v>
      </c>
      <c r="B887" s="340">
        <f>+MONTH(A887)</f>
        <v>3</v>
      </c>
      <c r="C887" s="347">
        <v>110</v>
      </c>
      <c r="D887" s="340" t="str">
        <f>VLOOKUP(C887,Plan!A$1:B$65542,2,0)</f>
        <v>Disponible Administración</v>
      </c>
      <c r="E887" s="341">
        <f>+F887-G887</f>
        <v>100000</v>
      </c>
      <c r="F887" s="396">
        <v>100000</v>
      </c>
      <c r="G887" s="396">
        <v>0</v>
      </c>
      <c r="H887" t="s">
        <v>743</v>
      </c>
      <c r="I887" s="347" t="s">
        <v>296</v>
      </c>
      <c r="K887" s="370"/>
      <c r="N887" s="370"/>
    </row>
    <row r="888" spans="1:14" s="347" customFormat="1" x14ac:dyDescent="0.25">
      <c r="A888" s="369">
        <f>+A887</f>
        <v>44265</v>
      </c>
      <c r="B888" s="347">
        <f>+B887</f>
        <v>3</v>
      </c>
      <c r="C888" s="347">
        <v>215</v>
      </c>
      <c r="D888" s="340" t="str">
        <f>VLOOKUP(C888,Plan!A$1:B$65542,2,0)</f>
        <v>Cuenta por Pagar a Cali</v>
      </c>
      <c r="E888" s="396">
        <f>-G888</f>
        <v>-100000</v>
      </c>
      <c r="F888" s="396">
        <v>0</v>
      </c>
      <c r="G888" s="396">
        <f>+F887</f>
        <v>100000</v>
      </c>
      <c r="H888" s="347" t="str">
        <f>+H887</f>
        <v>Hugo Rosende Álvarez / 249</v>
      </c>
      <c r="I888" s="347" t="s">
        <v>296</v>
      </c>
      <c r="K888" s="370"/>
      <c r="N888" s="370"/>
    </row>
    <row r="889" spans="1:14" s="347" customFormat="1" x14ac:dyDescent="0.25">
      <c r="A889" s="369"/>
      <c r="E889" s="396"/>
      <c r="F889" s="396"/>
      <c r="G889" s="396"/>
      <c r="K889" s="370"/>
      <c r="N889" s="370"/>
    </row>
    <row r="890" spans="1:14" s="347" customFormat="1" x14ac:dyDescent="0.25">
      <c r="A890" s="369">
        <v>44265</v>
      </c>
      <c r="B890" s="340">
        <f>+MONTH(A890)</f>
        <v>3</v>
      </c>
      <c r="C890" s="347">
        <v>4323</v>
      </c>
      <c r="D890" s="340" t="str">
        <f>VLOOKUP(C890,Plan!A$1:B$65542,2,0)</f>
        <v>Telefonía, Internet (VTR, Entel)</v>
      </c>
      <c r="E890" s="396">
        <f>+F890</f>
        <v>37655</v>
      </c>
      <c r="F890" s="396">
        <v>37655</v>
      </c>
      <c r="G890" s="396">
        <v>0</v>
      </c>
      <c r="H890" t="s">
        <v>1145</v>
      </c>
      <c r="I890" s="347" t="s">
        <v>296</v>
      </c>
      <c r="K890" s="370"/>
      <c r="N890" s="370"/>
    </row>
    <row r="891" spans="1:14" s="347" customFormat="1" x14ac:dyDescent="0.25">
      <c r="A891" s="369">
        <f>+A890</f>
        <v>44265</v>
      </c>
      <c r="B891" s="347">
        <f>+B890</f>
        <v>3</v>
      </c>
      <c r="C891" s="347">
        <v>110</v>
      </c>
      <c r="D891" s="340" t="str">
        <f>VLOOKUP(C891,Plan!A$1:B$65542,2,0)</f>
        <v>Disponible Administración</v>
      </c>
      <c r="E891" s="341">
        <f>+F891-G891</f>
        <v>-37655</v>
      </c>
      <c r="F891" s="396">
        <v>0</v>
      </c>
      <c r="G891" s="396">
        <f>+F890</f>
        <v>37655</v>
      </c>
      <c r="H891" s="347" t="str">
        <f>+H890</f>
        <v>PAC VTR OFICINA</v>
      </c>
      <c r="I891" s="347" t="s">
        <v>296</v>
      </c>
      <c r="K891" s="370"/>
      <c r="N891" s="370"/>
    </row>
    <row r="892" spans="1:14" s="347" customFormat="1" x14ac:dyDescent="0.25">
      <c r="A892" s="369"/>
      <c r="E892" s="396"/>
      <c r="F892" s="396"/>
      <c r="G892" s="396"/>
      <c r="K892" s="370"/>
      <c r="N892" s="370"/>
    </row>
    <row r="893" spans="1:14" s="347" customFormat="1" x14ac:dyDescent="0.25">
      <c r="A893" s="369">
        <v>44265</v>
      </c>
      <c r="B893" s="340">
        <f>+MONTH(A893)</f>
        <v>3</v>
      </c>
      <c r="C893" s="347">
        <v>4324</v>
      </c>
      <c r="D893" s="340" t="str">
        <f>VLOOKUP(C893,Plan!A$1:B$65542,2,0)</f>
        <v>Gas</v>
      </c>
      <c r="E893" s="396">
        <f>+F893</f>
        <v>1472</v>
      </c>
      <c r="F893" s="396">
        <v>1472</v>
      </c>
      <c r="G893" s="396">
        <v>0</v>
      </c>
      <c r="H893" t="s">
        <v>1146</v>
      </c>
      <c r="I893" s="347" t="s">
        <v>296</v>
      </c>
      <c r="K893" s="370"/>
      <c r="N893" s="370"/>
    </row>
    <row r="894" spans="1:14" s="347" customFormat="1" x14ac:dyDescent="0.25">
      <c r="A894" s="369">
        <f>+A893</f>
        <v>44265</v>
      </c>
      <c r="B894" s="347">
        <f>+B893</f>
        <v>3</v>
      </c>
      <c r="C894" s="347">
        <v>110</v>
      </c>
      <c r="D894" s="340" t="str">
        <f>VLOOKUP(C894,Plan!A$1:B$65542,2,0)</f>
        <v>Disponible Administración</v>
      </c>
      <c r="E894" s="341">
        <f>+F894-G894</f>
        <v>-1472</v>
      </c>
      <c r="F894" s="396">
        <v>0</v>
      </c>
      <c r="G894" s="396">
        <f>+F893</f>
        <v>1472</v>
      </c>
      <c r="H894" s="347" t="str">
        <f>+H893</f>
        <v>PAC METROGAS</v>
      </c>
      <c r="I894" s="347" t="s">
        <v>296</v>
      </c>
      <c r="K894" s="370"/>
      <c r="N894" s="370"/>
    </row>
    <row r="895" spans="1:14" s="347" customFormat="1" x14ac:dyDescent="0.25">
      <c r="A895" s="369"/>
      <c r="E895" s="396"/>
      <c r="F895" s="396"/>
      <c r="G895" s="396"/>
      <c r="K895" s="370"/>
      <c r="N895" s="370"/>
    </row>
    <row r="896" spans="1:14" s="347" customFormat="1" x14ac:dyDescent="0.25">
      <c r="A896" s="369">
        <v>44265</v>
      </c>
      <c r="B896" s="340">
        <f>+MONTH(A896)</f>
        <v>3</v>
      </c>
      <c r="C896" s="347">
        <v>110</v>
      </c>
      <c r="D896" s="340" t="str">
        <f>VLOOKUP(C896,Plan!A$1:B$65542,2,0)</f>
        <v>Disponible Administración</v>
      </c>
      <c r="E896" s="341">
        <f>+F896-G896</f>
        <v>30000</v>
      </c>
      <c r="F896" s="396">
        <v>30000</v>
      </c>
      <c r="G896" s="396">
        <v>0</v>
      </c>
      <c r="H896" t="s">
        <v>1147</v>
      </c>
      <c r="I896" s="347" t="s">
        <v>296</v>
      </c>
      <c r="K896" s="370"/>
      <c r="N896" s="370"/>
    </row>
    <row r="897" spans="1:14" s="347" customFormat="1" x14ac:dyDescent="0.25">
      <c r="A897" s="369">
        <f>+A896</f>
        <v>44265</v>
      </c>
      <c r="B897" s="347">
        <f>+B896</f>
        <v>3</v>
      </c>
      <c r="C897" s="347">
        <v>3350</v>
      </c>
      <c r="D897" s="340" t="str">
        <f>VLOOKUP(C897,Plan!A$1:B$65542,2,0)</f>
        <v>Bautizos</v>
      </c>
      <c r="E897" s="396">
        <f>-G897</f>
        <v>-30000</v>
      </c>
      <c r="F897" s="396">
        <v>0</v>
      </c>
      <c r="G897" s="396">
        <f>+F896</f>
        <v>30000</v>
      </c>
      <c r="H897" s="347" t="str">
        <f>+H896</f>
        <v>Bautizo Fernando Zuazo</v>
      </c>
      <c r="I897" s="347" t="s">
        <v>296</v>
      </c>
      <c r="K897" s="370"/>
      <c r="N897" s="370"/>
    </row>
    <row r="898" spans="1:14" s="347" customFormat="1" x14ac:dyDescent="0.25">
      <c r="A898" s="369"/>
      <c r="E898" s="396"/>
      <c r="F898" s="396"/>
      <c r="G898" s="396"/>
      <c r="K898" s="370"/>
      <c r="N898" s="370"/>
    </row>
    <row r="899" spans="1:14" s="347" customFormat="1" x14ac:dyDescent="0.25">
      <c r="A899" s="369">
        <v>44265</v>
      </c>
      <c r="B899" s="340">
        <f>+MONTH(A899)</f>
        <v>3</v>
      </c>
      <c r="C899" s="347">
        <v>110</v>
      </c>
      <c r="D899" s="340" t="str">
        <f>VLOOKUP(C899,Plan!A$1:B$65542,2,0)</f>
        <v>Disponible Administración</v>
      </c>
      <c r="E899" s="341">
        <f>+F899-G899</f>
        <v>10000</v>
      </c>
      <c r="F899" s="396">
        <v>10000</v>
      </c>
      <c r="G899" s="396">
        <v>0</v>
      </c>
      <c r="H899" t="s">
        <v>1148</v>
      </c>
      <c r="I899" s="347" t="s">
        <v>296</v>
      </c>
      <c r="K899" s="370"/>
      <c r="N899" s="370"/>
    </row>
    <row r="900" spans="1:14" s="347" customFormat="1" x14ac:dyDescent="0.25">
      <c r="A900" s="369">
        <f>+A899</f>
        <v>44265</v>
      </c>
      <c r="B900" s="347">
        <f>+B899</f>
        <v>3</v>
      </c>
      <c r="C900" s="347">
        <v>3350</v>
      </c>
      <c r="D900" s="340" t="str">
        <f>VLOOKUP(C900,Plan!A$1:B$65542,2,0)</f>
        <v>Bautizos</v>
      </c>
      <c r="E900" s="396">
        <f>-G900</f>
        <v>-10000</v>
      </c>
      <c r="F900" s="396">
        <v>0</v>
      </c>
      <c r="G900" s="396">
        <f>+F899</f>
        <v>10000</v>
      </c>
      <c r="H900" s="347" t="str">
        <f>+H899</f>
        <v>Bautizo Constanza Baeza</v>
      </c>
      <c r="I900" s="347" t="s">
        <v>296</v>
      </c>
      <c r="K900" s="370"/>
      <c r="N900" s="370"/>
    </row>
    <row r="901" spans="1:14" s="347" customFormat="1" x14ac:dyDescent="0.25">
      <c r="A901" s="369"/>
      <c r="E901" s="396"/>
      <c r="F901" s="396"/>
      <c r="G901" s="396"/>
      <c r="K901" s="370"/>
      <c r="N901" s="370"/>
    </row>
    <row r="902" spans="1:14" s="347" customFormat="1" x14ac:dyDescent="0.25">
      <c r="A902" s="369">
        <v>44265</v>
      </c>
      <c r="B902" s="340">
        <f>+MONTH(A902)</f>
        <v>3</v>
      </c>
      <c r="C902" s="347">
        <v>110</v>
      </c>
      <c r="D902" s="340" t="str">
        <f>VLOOKUP(C902,Plan!A$1:B$65542,2,0)</f>
        <v>Disponible Administración</v>
      </c>
      <c r="E902" s="341">
        <f>+F902-G902</f>
        <v>5000</v>
      </c>
      <c r="F902" s="396">
        <v>5000</v>
      </c>
      <c r="G902" s="396">
        <v>0</v>
      </c>
      <c r="H902" t="s">
        <v>1149</v>
      </c>
      <c r="I902" s="347" t="s">
        <v>296</v>
      </c>
      <c r="K902" s="370"/>
      <c r="N902" s="370"/>
    </row>
    <row r="903" spans="1:14" s="347" customFormat="1" x14ac:dyDescent="0.25">
      <c r="A903" s="369">
        <f>+A902</f>
        <v>44265</v>
      </c>
      <c r="B903" s="347">
        <f>+B902</f>
        <v>3</v>
      </c>
      <c r="C903" s="347">
        <v>3350</v>
      </c>
      <c r="D903" s="340" t="str">
        <f>VLOOKUP(C903,Plan!A$1:B$65542,2,0)</f>
        <v>Bautizos</v>
      </c>
      <c r="E903" s="396">
        <f>-G903</f>
        <v>-5000</v>
      </c>
      <c r="F903" s="396">
        <v>0</v>
      </c>
      <c r="G903" s="396">
        <f>+F902</f>
        <v>5000</v>
      </c>
      <c r="H903" s="347" t="str">
        <f>+H902</f>
        <v>Bautizo Matias Moreno</v>
      </c>
      <c r="I903" s="347" t="s">
        <v>296</v>
      </c>
      <c r="K903" s="370"/>
      <c r="N903" s="370"/>
    </row>
    <row r="904" spans="1:14" s="347" customFormat="1" x14ac:dyDescent="0.25">
      <c r="A904" s="369"/>
      <c r="E904" s="396"/>
      <c r="F904" s="396"/>
      <c r="G904" s="396"/>
      <c r="K904" s="370"/>
      <c r="N904" s="370"/>
    </row>
    <row r="905" spans="1:14" s="347" customFormat="1" x14ac:dyDescent="0.25">
      <c r="A905" s="369">
        <v>44267</v>
      </c>
      <c r="B905" s="340">
        <f>+MONTH(A905)</f>
        <v>3</v>
      </c>
      <c r="C905" s="347">
        <v>110</v>
      </c>
      <c r="D905" s="340" t="str">
        <f>VLOOKUP(C905,Plan!A$1:B$65542,2,0)</f>
        <v>Disponible Administración</v>
      </c>
      <c r="E905" s="341">
        <f>+F905-G905</f>
        <v>5000</v>
      </c>
      <c r="F905" s="396">
        <v>5000</v>
      </c>
      <c r="G905" s="396">
        <v>0</v>
      </c>
      <c r="H905" t="s">
        <v>1150</v>
      </c>
      <c r="I905" s="347" t="s">
        <v>296</v>
      </c>
      <c r="K905" s="370"/>
      <c r="N905" s="370"/>
    </row>
    <row r="906" spans="1:14" s="347" customFormat="1" x14ac:dyDescent="0.25">
      <c r="A906" s="369">
        <f>+A905</f>
        <v>44267</v>
      </c>
      <c r="B906" s="347">
        <f>+B905</f>
        <v>3</v>
      </c>
      <c r="C906" s="347">
        <v>3110</v>
      </c>
      <c r="D906" s="340" t="str">
        <f>VLOOKUP(C906,Plan!A$1:B$65542,2,0)</f>
        <v>Colectas Normales</v>
      </c>
      <c r="E906" s="396">
        <f>-G906</f>
        <v>-5000</v>
      </c>
      <c r="F906" s="396">
        <v>0</v>
      </c>
      <c r="G906" s="396">
        <f>+F905</f>
        <v>5000</v>
      </c>
      <c r="H906" s="347" t="s">
        <v>1151</v>
      </c>
      <c r="I906" s="347" t="s">
        <v>296</v>
      </c>
      <c r="K906" s="370"/>
      <c r="N906" s="370"/>
    </row>
    <row r="907" spans="1:14" s="347" customFormat="1" x14ac:dyDescent="0.25">
      <c r="A907" s="369"/>
      <c r="E907" s="396"/>
      <c r="F907" s="396"/>
      <c r="G907" s="396"/>
      <c r="K907" s="370"/>
      <c r="N907" s="370"/>
    </row>
    <row r="908" spans="1:14" s="347" customFormat="1" x14ac:dyDescent="0.25">
      <c r="A908" s="369">
        <v>44267</v>
      </c>
      <c r="B908" s="340">
        <f>+MONTH(A908)</f>
        <v>3</v>
      </c>
      <c r="C908" s="347">
        <v>110</v>
      </c>
      <c r="D908" s="340" t="str">
        <f>VLOOKUP(C908,Plan!A$1:B$65542,2,0)</f>
        <v>Disponible Administración</v>
      </c>
      <c r="E908" s="341">
        <f>+F908-G908</f>
        <v>45000</v>
      </c>
      <c r="F908" s="396">
        <v>45000</v>
      </c>
      <c r="G908" s="396">
        <v>0</v>
      </c>
      <c r="H908" t="s">
        <v>1152</v>
      </c>
      <c r="I908" s="347" t="s">
        <v>296</v>
      </c>
      <c r="K908" s="370"/>
      <c r="N908" s="370"/>
    </row>
    <row r="909" spans="1:14" s="347" customFormat="1" x14ac:dyDescent="0.25">
      <c r="A909" s="369">
        <f>+A908</f>
        <v>44267</v>
      </c>
      <c r="B909" s="347">
        <f>+B908</f>
        <v>3</v>
      </c>
      <c r="C909" s="347">
        <v>3110</v>
      </c>
      <c r="D909" s="340" t="str">
        <f>VLOOKUP(C909,Plan!A$1:B$65542,2,0)</f>
        <v>Colectas Normales</v>
      </c>
      <c r="E909" s="396">
        <f>-G909</f>
        <v>-45000</v>
      </c>
      <c r="F909" s="396">
        <v>0</v>
      </c>
      <c r="G909" s="396">
        <f>+F908</f>
        <v>45000</v>
      </c>
      <c r="H909" s="347" t="str">
        <f>+H908</f>
        <v>Colecta Beatriz Herrera S</v>
      </c>
      <c r="I909" s="347" t="s">
        <v>296</v>
      </c>
      <c r="K909" s="370"/>
      <c r="N909" s="370"/>
    </row>
    <row r="910" spans="1:14" s="347" customFormat="1" x14ac:dyDescent="0.25">
      <c r="A910" s="369"/>
      <c r="E910" s="396"/>
      <c r="F910" s="396"/>
      <c r="G910" s="396"/>
      <c r="K910" s="370"/>
      <c r="N910" s="370"/>
    </row>
    <row r="911" spans="1:14" s="347" customFormat="1" x14ac:dyDescent="0.25">
      <c r="A911" s="369">
        <v>44267</v>
      </c>
      <c r="B911" s="340">
        <f>+MONTH(A911)</f>
        <v>3</v>
      </c>
      <c r="C911" s="347">
        <v>110</v>
      </c>
      <c r="D911" s="340" t="str">
        <f>VLOOKUP(C911,Plan!A$1:B$65542,2,0)</f>
        <v>Disponible Administración</v>
      </c>
      <c r="E911" s="341">
        <f>+F911-G911</f>
        <v>10000</v>
      </c>
      <c r="F911" s="396">
        <v>10000</v>
      </c>
      <c r="G911" s="396">
        <v>0</v>
      </c>
      <c r="H911" t="s">
        <v>1153</v>
      </c>
      <c r="I911" s="347" t="s">
        <v>296</v>
      </c>
      <c r="K911" s="370"/>
      <c r="N911" s="370"/>
    </row>
    <row r="912" spans="1:14" s="347" customFormat="1" x14ac:dyDescent="0.25">
      <c r="A912" s="369">
        <f>+A911</f>
        <v>44267</v>
      </c>
      <c r="B912" s="347">
        <f>+B911</f>
        <v>3</v>
      </c>
      <c r="C912" s="347">
        <v>3110</v>
      </c>
      <c r="D912" s="340" t="str">
        <f>VLOOKUP(C912,Plan!A$1:B$65542,2,0)</f>
        <v>Colectas Normales</v>
      </c>
      <c r="E912" s="396">
        <f>-G912</f>
        <v>-10000</v>
      </c>
      <c r="F912" s="396">
        <v>0</v>
      </c>
      <c r="G912" s="396">
        <f>+F911</f>
        <v>10000</v>
      </c>
      <c r="H912" s="347" t="str">
        <f>+H911</f>
        <v>Colecta M. Fca. Llona Tagle</v>
      </c>
      <c r="I912" s="347" t="s">
        <v>296</v>
      </c>
      <c r="K912" s="370"/>
      <c r="N912" s="370"/>
    </row>
    <row r="913" spans="1:14" s="347" customFormat="1" x14ac:dyDescent="0.25">
      <c r="A913" s="369"/>
      <c r="D913" s="340"/>
      <c r="E913" s="396"/>
      <c r="F913" s="396"/>
      <c r="G913" s="396"/>
      <c r="K913" s="370"/>
      <c r="N913" s="370"/>
    </row>
    <row r="914" spans="1:14" s="347" customFormat="1" x14ac:dyDescent="0.25">
      <c r="A914" s="369">
        <v>44267</v>
      </c>
      <c r="B914" s="340">
        <f>+MONTH(A914)</f>
        <v>3</v>
      </c>
      <c r="C914" s="347">
        <v>110</v>
      </c>
      <c r="D914" s="340" t="str">
        <f>VLOOKUP(C914,Plan!A$1:B$65542,2,0)</f>
        <v>Disponible Administración</v>
      </c>
      <c r="E914" s="341">
        <f>+F914-G914</f>
        <v>5000</v>
      </c>
      <c r="F914" s="396">
        <v>5000</v>
      </c>
      <c r="G914" s="396">
        <v>0</v>
      </c>
      <c r="H914" t="s">
        <v>1243</v>
      </c>
      <c r="I914" s="347" t="s">
        <v>296</v>
      </c>
      <c r="K914" s="370"/>
      <c r="N914" s="370"/>
    </row>
    <row r="915" spans="1:14" s="347" customFormat="1" x14ac:dyDescent="0.25">
      <c r="A915" s="369">
        <f>+A914</f>
        <v>44267</v>
      </c>
      <c r="B915" s="347">
        <f>+B914</f>
        <v>3</v>
      </c>
      <c r="C915" s="347">
        <v>3110</v>
      </c>
      <c r="D915" s="340" t="str">
        <f>VLOOKUP(C915,Plan!A$1:B$65542,2,0)</f>
        <v>Colectas Normales</v>
      </c>
      <c r="E915" s="396">
        <f>-G915</f>
        <v>-5000</v>
      </c>
      <c r="F915" s="396">
        <v>0</v>
      </c>
      <c r="G915" s="396">
        <f>+F914</f>
        <v>5000</v>
      </c>
      <c r="H915" s="347" t="str">
        <f>+H914</f>
        <v>Colecta Estefania Vergara</v>
      </c>
      <c r="I915" s="347" t="s">
        <v>296</v>
      </c>
      <c r="K915" s="370"/>
      <c r="N915" s="370"/>
    </row>
    <row r="916" spans="1:14" s="347" customFormat="1" ht="13.1" customHeight="1" x14ac:dyDescent="0.25">
      <c r="A916" s="369"/>
      <c r="E916" s="396"/>
      <c r="F916" s="396"/>
      <c r="G916" s="396"/>
      <c r="K916" s="370"/>
      <c r="N916" s="370"/>
    </row>
    <row r="917" spans="1:14" s="347" customFormat="1" x14ac:dyDescent="0.25">
      <c r="A917" s="369">
        <v>44267</v>
      </c>
      <c r="B917" s="340">
        <f>+MONTH(A917)</f>
        <v>3</v>
      </c>
      <c r="C917" s="347">
        <v>4223</v>
      </c>
      <c r="D917" s="340" t="str">
        <f>VLOOKUP(C917,Plan!A$1:B$65542,2,0)</f>
        <v xml:space="preserve">         Comunicaciones</v>
      </c>
      <c r="E917" s="396">
        <f>+F917</f>
        <v>338983</v>
      </c>
      <c r="F917" s="396">
        <f>+G918+G919</f>
        <v>338983</v>
      </c>
      <c r="G917" s="396">
        <v>0</v>
      </c>
      <c r="H917" s="156" t="s">
        <v>1249</v>
      </c>
      <c r="I917" s="347" t="s">
        <v>296</v>
      </c>
      <c r="K917" s="370"/>
      <c r="N917" s="370"/>
    </row>
    <row r="918" spans="1:14" s="347" customFormat="1" x14ac:dyDescent="0.25">
      <c r="A918" s="369">
        <f>+A917</f>
        <v>44267</v>
      </c>
      <c r="B918" s="347">
        <f>+B917</f>
        <v>3</v>
      </c>
      <c r="C918" s="347">
        <v>223</v>
      </c>
      <c r="D918" s="340" t="str">
        <f>VLOOKUP(C918,Plan!A$1:B$65542,2,0)</f>
        <v>Ret. Hon.  e Impto. Unico Administración</v>
      </c>
      <c r="E918" s="396">
        <f>-G918</f>
        <v>-38983</v>
      </c>
      <c r="F918" s="396">
        <v>0</v>
      </c>
      <c r="G918" s="396">
        <v>38983</v>
      </c>
      <c r="H918" s="347" t="str">
        <f>+H917</f>
        <v xml:space="preserve">BH Nº25 MARIA INES JARA LAMAS </v>
      </c>
      <c r="I918" s="347" t="s">
        <v>296</v>
      </c>
      <c r="K918" s="370"/>
      <c r="N918" s="370"/>
    </row>
    <row r="919" spans="1:14" s="347" customFormat="1" x14ac:dyDescent="0.25">
      <c r="A919" s="369">
        <v>44267</v>
      </c>
      <c r="B919" s="340">
        <f>+MONTH(A919)</f>
        <v>3</v>
      </c>
      <c r="C919" s="347">
        <v>110</v>
      </c>
      <c r="D919" s="340" t="str">
        <f>VLOOKUP(C919,Plan!A$1:B$65542,2,0)</f>
        <v>Disponible Administración</v>
      </c>
      <c r="E919" s="341">
        <f>+F919-G919</f>
        <v>-300000</v>
      </c>
      <c r="F919" s="396">
        <v>0</v>
      </c>
      <c r="G919" s="396">
        <v>300000</v>
      </c>
      <c r="H919" t="str">
        <f>+H917</f>
        <v xml:space="preserve">BH Nº25 MARIA INES JARA LAMAS </v>
      </c>
      <c r="I919" s="347" t="s">
        <v>296</v>
      </c>
      <c r="K919" s="370"/>
      <c r="N919" s="370"/>
    </row>
    <row r="920" spans="1:14" s="347" customFormat="1" x14ac:dyDescent="0.25">
      <c r="A920" s="369"/>
      <c r="E920" s="396"/>
      <c r="F920" s="396"/>
      <c r="G920" s="396"/>
      <c r="K920" s="370"/>
      <c r="N920" s="370"/>
    </row>
    <row r="921" spans="1:14" s="417" customFormat="1" x14ac:dyDescent="0.25">
      <c r="A921" s="416">
        <v>44267</v>
      </c>
      <c r="B921" s="417">
        <f>+MONTH(A921)</f>
        <v>3</v>
      </c>
      <c r="C921" s="417">
        <v>4860</v>
      </c>
      <c r="D921" s="417" t="str">
        <f>VLOOKUP(C921,Plan!A$1:B$65542,2,0)</f>
        <v>Otros</v>
      </c>
      <c r="E921" s="415">
        <f>+F921</f>
        <v>86382</v>
      </c>
      <c r="F921" s="415">
        <f>338983-252601</f>
        <v>86382</v>
      </c>
      <c r="G921" s="415">
        <v>0</v>
      </c>
      <c r="H921" s="477" t="s">
        <v>1250</v>
      </c>
      <c r="I921" s="417" t="s">
        <v>296</v>
      </c>
      <c r="K921" s="418"/>
      <c r="N921" s="418"/>
    </row>
    <row r="922" spans="1:14" s="417" customFormat="1" x14ac:dyDescent="0.25">
      <c r="A922" s="416">
        <v>44267</v>
      </c>
      <c r="B922" s="417">
        <f>+MONTH(A922)</f>
        <v>3</v>
      </c>
      <c r="C922" s="417">
        <v>229</v>
      </c>
      <c r="D922" s="417" t="str">
        <f>VLOOKUP(C922,Plan!A$1:B$65542,2,0)</f>
        <v>Provisiones Administración</v>
      </c>
      <c r="E922" s="415">
        <f>+F922</f>
        <v>252601</v>
      </c>
      <c r="F922" s="415">
        <v>252601</v>
      </c>
      <c r="G922" s="415">
        <v>0</v>
      </c>
      <c r="H922" s="477" t="s">
        <v>1250</v>
      </c>
      <c r="I922" s="417" t="s">
        <v>296</v>
      </c>
      <c r="K922" s="418"/>
      <c r="N922" s="418"/>
    </row>
    <row r="923" spans="1:14" s="417" customFormat="1" x14ac:dyDescent="0.25">
      <c r="A923" s="416">
        <f>+A921</f>
        <v>44267</v>
      </c>
      <c r="B923" s="417">
        <f>+B921</f>
        <v>3</v>
      </c>
      <c r="C923" s="417">
        <v>223</v>
      </c>
      <c r="D923" s="417" t="str">
        <f>VLOOKUP(C923,Plan!A$1:B$65542,2,0)</f>
        <v>Ret. Hon.  e Impto. Unico Administración</v>
      </c>
      <c r="E923" s="415">
        <f>-G923</f>
        <v>-38983</v>
      </c>
      <c r="F923" s="415">
        <v>0</v>
      </c>
      <c r="G923" s="415">
        <v>38983</v>
      </c>
      <c r="H923" s="417" t="str">
        <f>+H921</f>
        <v>BH Nº93 JAVIERA EUGENIA VASQUEZ PAREDE</v>
      </c>
      <c r="I923" s="417" t="s">
        <v>296</v>
      </c>
      <c r="K923" s="418"/>
      <c r="N923" s="418"/>
    </row>
    <row r="924" spans="1:14" s="417" customFormat="1" x14ac:dyDescent="0.25">
      <c r="A924" s="416">
        <v>44267</v>
      </c>
      <c r="B924" s="417">
        <f>+MONTH(A924)</f>
        <v>3</v>
      </c>
      <c r="C924" s="417">
        <v>110</v>
      </c>
      <c r="D924" s="417" t="str">
        <f>VLOOKUP(C924,Plan!A$1:B$65542,2,0)</f>
        <v>Disponible Administración</v>
      </c>
      <c r="E924" s="415">
        <f>+F924-G924</f>
        <v>-300000</v>
      </c>
      <c r="F924" s="415">
        <v>0</v>
      </c>
      <c r="G924" s="415">
        <v>300000</v>
      </c>
      <c r="H924" s="418" t="str">
        <f>+H923</f>
        <v>BH Nº93 JAVIERA EUGENIA VASQUEZ PAREDE</v>
      </c>
      <c r="I924" s="417" t="s">
        <v>296</v>
      </c>
      <c r="K924" s="418"/>
      <c r="N924" s="418"/>
    </row>
    <row r="925" spans="1:14" s="347" customFormat="1" x14ac:dyDescent="0.25">
      <c r="A925" s="369"/>
      <c r="E925" s="396"/>
      <c r="F925" s="396"/>
      <c r="G925" s="396"/>
      <c r="K925" s="370"/>
      <c r="N925" s="370"/>
    </row>
    <row r="926" spans="1:14" s="347" customFormat="1" x14ac:dyDescent="0.25">
      <c r="A926" s="369">
        <v>44267</v>
      </c>
      <c r="B926" s="340">
        <f>+MONTH(A926)</f>
        <v>3</v>
      </c>
      <c r="C926" s="347">
        <v>4641</v>
      </c>
      <c r="D926" s="340" t="str">
        <f>VLOOKUP(C926,Plan!A$1:B$65542,2,0)</f>
        <v xml:space="preserve">             Capellanías </v>
      </c>
      <c r="E926" s="396">
        <f>+F926</f>
        <v>203390</v>
      </c>
      <c r="F926" s="396">
        <v>203390</v>
      </c>
      <c r="G926" s="396">
        <v>0</v>
      </c>
      <c r="H926" t="s">
        <v>1154</v>
      </c>
      <c r="I926" s="347" t="s">
        <v>296</v>
      </c>
      <c r="K926" s="370"/>
      <c r="N926" s="370"/>
    </row>
    <row r="927" spans="1:14" s="347" customFormat="1" x14ac:dyDescent="0.25">
      <c r="A927" s="369">
        <f>+A926</f>
        <v>44267</v>
      </c>
      <c r="B927" s="347">
        <f>+B926</f>
        <v>3</v>
      </c>
      <c r="C927" s="347">
        <v>223</v>
      </c>
      <c r="D927" s="340" t="str">
        <f>VLOOKUP(C927,Plan!A$1:B$65542,2,0)</f>
        <v>Ret. Hon.  e Impto. Unico Administración</v>
      </c>
      <c r="E927" s="396">
        <f>-G927</f>
        <v>-23390</v>
      </c>
      <c r="F927" s="396">
        <v>0</v>
      </c>
      <c r="G927" s="396">
        <v>23390</v>
      </c>
      <c r="H927" s="347" t="str">
        <f>+H926</f>
        <v>Taxi Padre Go</v>
      </c>
      <c r="I927" s="347" t="s">
        <v>296</v>
      </c>
      <c r="K927" s="370"/>
      <c r="N927" s="370"/>
    </row>
    <row r="928" spans="1:14" s="347" customFormat="1" x14ac:dyDescent="0.25">
      <c r="A928" s="369">
        <v>44267</v>
      </c>
      <c r="B928" s="340">
        <f>+MONTH(A928)</f>
        <v>3</v>
      </c>
      <c r="C928" s="347">
        <v>110</v>
      </c>
      <c r="D928" s="340" t="str">
        <f>VLOOKUP(C928,Plan!A$1:B$65542,2,0)</f>
        <v>Disponible Administración</v>
      </c>
      <c r="E928" s="341">
        <f>+F928-G928</f>
        <v>-180000</v>
      </c>
      <c r="F928" s="396">
        <v>0</v>
      </c>
      <c r="G928" s="396">
        <v>180000</v>
      </c>
      <c r="H928" t="str">
        <f>+H927</f>
        <v>Taxi Padre Go</v>
      </c>
      <c r="I928" s="347" t="s">
        <v>296</v>
      </c>
      <c r="K928" s="370"/>
      <c r="N928" s="370"/>
    </row>
    <row r="929" spans="1:14" s="347" customFormat="1" x14ac:dyDescent="0.25">
      <c r="K929" s="370"/>
      <c r="N929" s="370"/>
    </row>
    <row r="930" spans="1:14" s="347" customFormat="1" x14ac:dyDescent="0.25">
      <c r="A930" s="369">
        <v>44270</v>
      </c>
      <c r="B930" s="340">
        <f>+MONTH(A930)</f>
        <v>3</v>
      </c>
      <c r="C930" s="347">
        <v>4325</v>
      </c>
      <c r="D930" s="340" t="str">
        <f>VLOOKUP(C930,Plan!A$1:B$65542,2,0)</f>
        <v>Alarma (ADT)</v>
      </c>
      <c r="E930" s="396">
        <f>+F930</f>
        <v>42770</v>
      </c>
      <c r="F930" s="396">
        <v>42770</v>
      </c>
      <c r="G930" s="396">
        <v>0</v>
      </c>
      <c r="H930" t="s">
        <v>1155</v>
      </c>
      <c r="I930" s="347" t="s">
        <v>296</v>
      </c>
      <c r="K930" s="370"/>
      <c r="N930" s="370"/>
    </row>
    <row r="931" spans="1:14" s="347" customFormat="1" x14ac:dyDescent="0.25">
      <c r="A931" s="369">
        <f>+A930</f>
        <v>44270</v>
      </c>
      <c r="B931" s="347">
        <f>+B930</f>
        <v>3</v>
      </c>
      <c r="C931" s="347">
        <v>110</v>
      </c>
      <c r="D931" s="340" t="str">
        <f>VLOOKUP(C931,Plan!A$1:B$65542,2,0)</f>
        <v>Disponible Administración</v>
      </c>
      <c r="E931" s="341">
        <f>+F931-G931</f>
        <v>-42770</v>
      </c>
      <c r="F931" s="396">
        <v>0</v>
      </c>
      <c r="G931" s="396">
        <f>+F930</f>
        <v>42770</v>
      </c>
      <c r="H931" s="347" t="str">
        <f>+H930</f>
        <v xml:space="preserve">PAC ADT </v>
      </c>
      <c r="I931" s="347" t="s">
        <v>296</v>
      </c>
      <c r="K931" s="370"/>
      <c r="N931" s="370"/>
    </row>
    <row r="932" spans="1:14" s="347" customFormat="1" x14ac:dyDescent="0.25">
      <c r="A932" s="369"/>
      <c r="B932" s="340"/>
      <c r="D932" s="340"/>
      <c r="E932" s="396"/>
      <c r="F932" s="396"/>
      <c r="G932" s="396"/>
      <c r="H932"/>
      <c r="K932" s="370"/>
      <c r="N932" s="370"/>
    </row>
    <row r="933" spans="1:14" s="347" customFormat="1" x14ac:dyDescent="0.25">
      <c r="A933" s="369">
        <v>44270</v>
      </c>
      <c r="B933" s="340">
        <f>+MONTH(A933)</f>
        <v>3</v>
      </c>
      <c r="C933" s="347">
        <v>110</v>
      </c>
      <c r="D933" s="340" t="str">
        <f>VLOOKUP(C933,Plan!A$1:B$65542,2,0)</f>
        <v>Disponible Administración</v>
      </c>
      <c r="E933" s="341">
        <f>+F933-G933</f>
        <v>10000</v>
      </c>
      <c r="F933" s="396">
        <v>10000</v>
      </c>
      <c r="G933" s="396">
        <v>0</v>
      </c>
      <c r="H933" t="s">
        <v>900</v>
      </c>
      <c r="I933" s="347" t="s">
        <v>296</v>
      </c>
      <c r="K933" s="370"/>
      <c r="N933" s="370"/>
    </row>
    <row r="934" spans="1:14" s="347" customFormat="1" x14ac:dyDescent="0.25">
      <c r="A934" s="369">
        <f>+A933</f>
        <v>44270</v>
      </c>
      <c r="B934" s="347">
        <f>+B933</f>
        <v>3</v>
      </c>
      <c r="C934" s="347">
        <v>3110</v>
      </c>
      <c r="D934" s="340" t="str">
        <f>VLOOKUP(C934,Plan!A$1:B$65542,2,0)</f>
        <v>Colectas Normales</v>
      </c>
      <c r="E934" s="396">
        <f>-G934</f>
        <v>-10000</v>
      </c>
      <c r="F934" s="396">
        <v>0</v>
      </c>
      <c r="G934" s="396">
        <f>+F933</f>
        <v>10000</v>
      </c>
      <c r="H934" s="347" t="str">
        <f>+H933</f>
        <v>Colecta Paula Fernandez</v>
      </c>
      <c r="I934" s="347" t="s">
        <v>296</v>
      </c>
      <c r="K934" s="370"/>
      <c r="N934" s="370"/>
    </row>
    <row r="935" spans="1:14" s="347" customFormat="1" x14ac:dyDescent="0.25">
      <c r="A935" s="369"/>
      <c r="E935" s="396"/>
      <c r="F935" s="396"/>
      <c r="G935" s="396"/>
      <c r="K935" s="370"/>
      <c r="N935" s="370"/>
    </row>
    <row r="936" spans="1:14" s="347" customFormat="1" x14ac:dyDescent="0.25">
      <c r="A936" s="369">
        <v>44270</v>
      </c>
      <c r="B936" s="340">
        <f>+MONTH(A936)</f>
        <v>3</v>
      </c>
      <c r="C936" s="347">
        <v>110</v>
      </c>
      <c r="D936" s="340" t="str">
        <f>VLOOKUP(C936,Plan!A$1:B$65542,2,0)</f>
        <v>Disponible Administración</v>
      </c>
      <c r="E936" s="341">
        <f>+F936-G936</f>
        <v>10000</v>
      </c>
      <c r="F936" s="396">
        <v>10000</v>
      </c>
      <c r="G936" s="396">
        <v>0</v>
      </c>
      <c r="H936" t="s">
        <v>917</v>
      </c>
      <c r="I936" s="347" t="s">
        <v>296</v>
      </c>
      <c r="K936" s="370"/>
      <c r="N936" s="370"/>
    </row>
    <row r="937" spans="1:14" s="347" customFormat="1" x14ac:dyDescent="0.25">
      <c r="A937" s="369">
        <f>+A936</f>
        <v>44270</v>
      </c>
      <c r="B937" s="347">
        <f>+B936</f>
        <v>3</v>
      </c>
      <c r="C937" s="347">
        <v>3110</v>
      </c>
      <c r="D937" s="340" t="str">
        <f>VLOOKUP(C937,Plan!A$1:B$65542,2,0)</f>
        <v>Colectas Normales</v>
      </c>
      <c r="E937" s="396">
        <f>-G937</f>
        <v>-10000</v>
      </c>
      <c r="F937" s="396">
        <v>0</v>
      </c>
      <c r="G937" s="396">
        <f>+F936</f>
        <v>10000</v>
      </c>
      <c r="H937" s="347" t="str">
        <f>+H936</f>
        <v>Colecta Hilda Dougnac R</v>
      </c>
      <c r="I937" s="347" t="s">
        <v>296</v>
      </c>
      <c r="K937" s="370"/>
      <c r="N937" s="370"/>
    </row>
    <row r="938" spans="1:14" s="347" customFormat="1" x14ac:dyDescent="0.25">
      <c r="A938" s="369"/>
      <c r="E938" s="396"/>
      <c r="F938" s="396"/>
      <c r="G938" s="396"/>
      <c r="K938" s="370"/>
      <c r="N938" s="370"/>
    </row>
    <row r="939" spans="1:14" s="347" customFormat="1" x14ac:dyDescent="0.25">
      <c r="A939" s="369">
        <v>44270</v>
      </c>
      <c r="B939" s="340">
        <f>+MONTH(A939)</f>
        <v>3</v>
      </c>
      <c r="C939" s="347">
        <v>110</v>
      </c>
      <c r="D939" s="340" t="str">
        <f>VLOOKUP(C939,Plan!A$1:B$65542,2,0)</f>
        <v>Disponible Administración</v>
      </c>
      <c r="E939" s="341">
        <f>+F939-G939</f>
        <v>10000</v>
      </c>
      <c r="F939" s="396">
        <v>10000</v>
      </c>
      <c r="G939" s="396">
        <v>0</v>
      </c>
      <c r="H939" t="s">
        <v>1156</v>
      </c>
      <c r="I939" s="347" t="s">
        <v>296</v>
      </c>
      <c r="K939" s="370"/>
      <c r="N939" s="370"/>
    </row>
    <row r="940" spans="1:14" s="347" customFormat="1" x14ac:dyDescent="0.25">
      <c r="A940" s="369">
        <f>+A939</f>
        <v>44270</v>
      </c>
      <c r="B940" s="347">
        <f>+B939</f>
        <v>3</v>
      </c>
      <c r="C940" s="347">
        <v>3110</v>
      </c>
      <c r="D940" s="340" t="str">
        <f>VLOOKUP(C940,Plan!A$1:B$65542,2,0)</f>
        <v>Colectas Normales</v>
      </c>
      <c r="E940" s="396">
        <f>-G940</f>
        <v>-10000</v>
      </c>
      <c r="F940" s="396">
        <v>0</v>
      </c>
      <c r="G940" s="396">
        <f>+F939</f>
        <v>10000</v>
      </c>
      <c r="H940" s="347" t="str">
        <f>+H939</f>
        <v>Colecta Jaime Gonzalez Fabres</v>
      </c>
      <c r="I940" s="347" t="s">
        <v>296</v>
      </c>
      <c r="K940" s="370"/>
      <c r="N940" s="370"/>
    </row>
    <row r="941" spans="1:14" s="347" customFormat="1" x14ac:dyDescent="0.25">
      <c r="A941" s="369"/>
      <c r="E941" s="396"/>
      <c r="F941" s="396"/>
      <c r="G941" s="396"/>
      <c r="K941" s="370"/>
      <c r="N941" s="370"/>
    </row>
    <row r="942" spans="1:14" s="347" customFormat="1" x14ac:dyDescent="0.25">
      <c r="A942" s="369">
        <v>44270</v>
      </c>
      <c r="B942" s="340">
        <f>+MONTH(A942)</f>
        <v>3</v>
      </c>
      <c r="C942" s="347">
        <v>110</v>
      </c>
      <c r="D942" s="340" t="str">
        <f>VLOOKUP(C942,Plan!A$1:B$65542,2,0)</f>
        <v>Disponible Administración</v>
      </c>
      <c r="E942" s="341">
        <f>+F942-G942</f>
        <v>40000</v>
      </c>
      <c r="F942" s="396">
        <v>40000</v>
      </c>
      <c r="G942" s="396">
        <v>0</v>
      </c>
      <c r="H942" t="s">
        <v>1157</v>
      </c>
      <c r="I942" s="347" t="s">
        <v>296</v>
      </c>
      <c r="K942" s="370"/>
      <c r="N942" s="370"/>
    </row>
    <row r="943" spans="1:14" s="347" customFormat="1" x14ac:dyDescent="0.25">
      <c r="A943" s="369">
        <f>+A942</f>
        <v>44270</v>
      </c>
      <c r="B943" s="347">
        <f>+B942</f>
        <v>3</v>
      </c>
      <c r="C943" s="347">
        <v>3110</v>
      </c>
      <c r="D943" s="340" t="str">
        <f>VLOOKUP(C943,Plan!A$1:B$65542,2,0)</f>
        <v>Colectas Normales</v>
      </c>
      <c r="E943" s="396">
        <f>-G943</f>
        <v>-40000</v>
      </c>
      <c r="F943" s="396">
        <v>0</v>
      </c>
      <c r="G943" s="396">
        <f>+F942</f>
        <v>40000</v>
      </c>
      <c r="H943" s="347" t="str">
        <f>+H942</f>
        <v>Colecta Juan Fco. Urmeneta</v>
      </c>
      <c r="I943" s="347" t="s">
        <v>296</v>
      </c>
      <c r="K943" s="370"/>
      <c r="N943" s="370"/>
    </row>
    <row r="944" spans="1:14" s="347" customFormat="1" x14ac:dyDescent="0.25">
      <c r="A944" s="369"/>
      <c r="E944" s="396"/>
      <c r="F944" s="396"/>
      <c r="G944" s="396"/>
      <c r="K944" s="370"/>
      <c r="N944" s="370"/>
    </row>
    <row r="945" spans="1:14" s="347" customFormat="1" x14ac:dyDescent="0.25">
      <c r="A945" s="369">
        <v>44270</v>
      </c>
      <c r="B945" s="340">
        <f>+MONTH(A945)</f>
        <v>3</v>
      </c>
      <c r="C945" s="347">
        <v>110</v>
      </c>
      <c r="D945" s="340" t="str">
        <f>VLOOKUP(C945,Plan!A$1:B$65542,2,0)</f>
        <v>Disponible Administración</v>
      </c>
      <c r="E945" s="341">
        <f>+F945-G945</f>
        <v>10000</v>
      </c>
      <c r="F945" s="396">
        <v>10000</v>
      </c>
      <c r="G945" s="396">
        <v>0</v>
      </c>
      <c r="H945" t="s">
        <v>881</v>
      </c>
      <c r="I945" s="347" t="s">
        <v>296</v>
      </c>
      <c r="K945" s="370"/>
      <c r="N945" s="370"/>
    </row>
    <row r="946" spans="1:14" s="347" customFormat="1" x14ac:dyDescent="0.25">
      <c r="A946" s="369">
        <f>+A945</f>
        <v>44270</v>
      </c>
      <c r="B946" s="347">
        <f>+B945</f>
        <v>3</v>
      </c>
      <c r="C946" s="347">
        <v>3110</v>
      </c>
      <c r="D946" s="340" t="str">
        <f>VLOOKUP(C946,Plan!A$1:B$65542,2,0)</f>
        <v>Colectas Normales</v>
      </c>
      <c r="E946" s="396">
        <f>-G946</f>
        <v>-10000</v>
      </c>
      <c r="F946" s="396">
        <v>0</v>
      </c>
      <c r="G946" s="396">
        <f>+F945</f>
        <v>10000</v>
      </c>
      <c r="H946" s="347" t="str">
        <f>+H945</f>
        <v>Colecta Rafael Marin Jordan</v>
      </c>
      <c r="I946" s="347" t="s">
        <v>296</v>
      </c>
      <c r="K946" s="370"/>
      <c r="N946" s="370"/>
    </row>
    <row r="947" spans="1:14" s="347" customFormat="1" x14ac:dyDescent="0.25">
      <c r="A947" s="369"/>
      <c r="E947" s="396"/>
      <c r="F947" s="396"/>
      <c r="G947" s="396"/>
      <c r="K947" s="370"/>
      <c r="N947" s="370"/>
    </row>
    <row r="948" spans="1:14" s="347" customFormat="1" x14ac:dyDescent="0.25">
      <c r="A948" s="369">
        <v>44270</v>
      </c>
      <c r="B948" s="340">
        <f>+MONTH(A948)</f>
        <v>3</v>
      </c>
      <c r="C948" s="347">
        <v>110</v>
      </c>
      <c r="D948" s="340" t="str">
        <f>VLOOKUP(C948,Plan!A$1:B$65542,2,0)</f>
        <v>Disponible Administración</v>
      </c>
      <c r="E948" s="341">
        <f>+F948-G948</f>
        <v>10000</v>
      </c>
      <c r="F948" s="396">
        <v>10000</v>
      </c>
      <c r="G948" s="396">
        <v>0</v>
      </c>
      <c r="H948" t="s">
        <v>945</v>
      </c>
      <c r="I948" s="347" t="s">
        <v>296</v>
      </c>
      <c r="K948" s="370"/>
      <c r="N948" s="370"/>
    </row>
    <row r="949" spans="1:14" s="347" customFormat="1" x14ac:dyDescent="0.25">
      <c r="A949" s="369">
        <f>+A948</f>
        <v>44270</v>
      </c>
      <c r="B949" s="347">
        <f>+B948</f>
        <v>3</v>
      </c>
      <c r="C949" s="347">
        <v>3110</v>
      </c>
      <c r="D949" s="340" t="str">
        <f>VLOOKUP(C949,Plan!A$1:B$65542,2,0)</f>
        <v>Colectas Normales</v>
      </c>
      <c r="E949" s="396">
        <f>-G949</f>
        <v>-10000</v>
      </c>
      <c r="F949" s="396">
        <v>0</v>
      </c>
      <c r="G949" s="396">
        <f>+F948</f>
        <v>10000</v>
      </c>
      <c r="H949" s="347" t="str">
        <f>+H948</f>
        <v>Colecta Maria Corte</v>
      </c>
      <c r="I949" s="347" t="s">
        <v>296</v>
      </c>
      <c r="K949" s="370"/>
      <c r="N949" s="370"/>
    </row>
    <row r="950" spans="1:14" s="347" customFormat="1" x14ac:dyDescent="0.25">
      <c r="A950" s="369"/>
      <c r="E950" s="396"/>
      <c r="F950" s="396"/>
      <c r="G950" s="396"/>
      <c r="K950" s="370"/>
      <c r="N950" s="370"/>
    </row>
    <row r="951" spans="1:14" s="347" customFormat="1" x14ac:dyDescent="0.25">
      <c r="A951" s="369">
        <v>44270</v>
      </c>
      <c r="B951" s="340">
        <f>+MONTH(A951)</f>
        <v>3</v>
      </c>
      <c r="C951" s="347">
        <v>110</v>
      </c>
      <c r="D951" s="340" t="str">
        <f>VLOOKUP(C951,Plan!A$1:B$65542,2,0)</f>
        <v>Disponible Administración</v>
      </c>
      <c r="E951" s="341">
        <f>+F951-G951</f>
        <v>3000</v>
      </c>
      <c r="F951" s="396">
        <v>3000</v>
      </c>
      <c r="G951" s="396">
        <v>0</v>
      </c>
      <c r="H951" t="s">
        <v>1158</v>
      </c>
      <c r="I951" s="347" t="s">
        <v>296</v>
      </c>
      <c r="K951" s="370"/>
      <c r="N951" s="370"/>
    </row>
    <row r="952" spans="1:14" s="347" customFormat="1" x14ac:dyDescent="0.25">
      <c r="A952" s="369">
        <f>+A951</f>
        <v>44270</v>
      </c>
      <c r="B952" s="347">
        <f>+B951</f>
        <v>3</v>
      </c>
      <c r="C952" s="347">
        <v>3110</v>
      </c>
      <c r="D952" s="340" t="str">
        <f>VLOOKUP(C952,Plan!A$1:B$65542,2,0)</f>
        <v>Colectas Normales</v>
      </c>
      <c r="E952" s="396">
        <f>-G952</f>
        <v>-3000</v>
      </c>
      <c r="F952" s="396">
        <v>0</v>
      </c>
      <c r="G952" s="396">
        <f>+F951</f>
        <v>3000</v>
      </c>
      <c r="H952" s="347" t="str">
        <f>+H951</f>
        <v>Colecta Jose Perez De Castro</v>
      </c>
      <c r="I952" s="347" t="s">
        <v>296</v>
      </c>
      <c r="K952" s="370"/>
      <c r="N952" s="370"/>
    </row>
    <row r="953" spans="1:14" s="347" customFormat="1" x14ac:dyDescent="0.25">
      <c r="A953" s="369"/>
      <c r="E953" s="396"/>
      <c r="F953" s="396"/>
      <c r="G953" s="396"/>
      <c r="K953" s="370"/>
      <c r="N953" s="370"/>
    </row>
    <row r="954" spans="1:14" s="347" customFormat="1" x14ac:dyDescent="0.25">
      <c r="A954" s="369">
        <v>44270</v>
      </c>
      <c r="B954" s="340">
        <f>+MONTH(A954)</f>
        <v>3</v>
      </c>
      <c r="C954" s="347">
        <v>110</v>
      </c>
      <c r="D954" s="340" t="str">
        <f>VLOOKUP(C954,Plan!A$1:B$65542,2,0)</f>
        <v>Disponible Administración</v>
      </c>
      <c r="E954" s="341">
        <f>+F954-G954</f>
        <v>20000</v>
      </c>
      <c r="F954" s="396">
        <v>20000</v>
      </c>
      <c r="G954" s="396">
        <v>0</v>
      </c>
      <c r="H954" t="s">
        <v>1159</v>
      </c>
      <c r="I954" s="347" t="s">
        <v>296</v>
      </c>
      <c r="K954" s="370"/>
      <c r="N954" s="370"/>
    </row>
    <row r="955" spans="1:14" s="347" customFormat="1" x14ac:dyDescent="0.25">
      <c r="A955" s="369">
        <f>+A954</f>
        <v>44270</v>
      </c>
      <c r="B955" s="347">
        <f>+B954</f>
        <v>3</v>
      </c>
      <c r="C955" s="347">
        <v>3110</v>
      </c>
      <c r="D955" s="340" t="str">
        <f>VLOOKUP(C955,Plan!A$1:B$65542,2,0)</f>
        <v>Colectas Normales</v>
      </c>
      <c r="E955" s="396">
        <f>-G955</f>
        <v>-20000</v>
      </c>
      <c r="F955" s="396">
        <v>0</v>
      </c>
      <c r="G955" s="396">
        <f>+F954</f>
        <v>20000</v>
      </c>
      <c r="H955" s="347" t="str">
        <f>+H954</f>
        <v>Colecta Guillermo Turner Olea</v>
      </c>
      <c r="I955" s="347" t="s">
        <v>296</v>
      </c>
      <c r="K955" s="370"/>
      <c r="N955" s="370"/>
    </row>
    <row r="956" spans="1:14" s="347" customFormat="1" x14ac:dyDescent="0.25">
      <c r="A956" s="369"/>
      <c r="E956" s="396"/>
      <c r="F956" s="396"/>
      <c r="G956" s="396"/>
      <c r="K956" s="370"/>
      <c r="N956" s="370"/>
    </row>
    <row r="957" spans="1:14" s="347" customFormat="1" x14ac:dyDescent="0.25">
      <c r="A957" s="369">
        <v>44270</v>
      </c>
      <c r="B957" s="340">
        <f>+MONTH(A957)</f>
        <v>3</v>
      </c>
      <c r="C957" s="347">
        <v>110</v>
      </c>
      <c r="D957" s="340" t="str">
        <f>VLOOKUP(C957,Plan!A$1:B$65542,2,0)</f>
        <v>Disponible Administración</v>
      </c>
      <c r="E957" s="341">
        <f>+F957-G957</f>
        <v>2000</v>
      </c>
      <c r="F957" s="396">
        <v>2000</v>
      </c>
      <c r="G957" s="396">
        <v>0</v>
      </c>
      <c r="H957" t="s">
        <v>1160</v>
      </c>
      <c r="I957" s="347" t="s">
        <v>296</v>
      </c>
      <c r="K957" s="370"/>
      <c r="N957" s="370"/>
    </row>
    <row r="958" spans="1:14" s="347" customFormat="1" x14ac:dyDescent="0.25">
      <c r="A958" s="369">
        <f>+A957</f>
        <v>44270</v>
      </c>
      <c r="B958" s="347">
        <f>+B957</f>
        <v>3</v>
      </c>
      <c r="C958" s="347">
        <v>3110</v>
      </c>
      <c r="D958" s="340" t="str">
        <f>VLOOKUP(C958,Plan!A$1:B$65542,2,0)</f>
        <v>Colectas Normales</v>
      </c>
      <c r="E958" s="396">
        <f>-G958</f>
        <v>-2000</v>
      </c>
      <c r="F958" s="396">
        <v>0</v>
      </c>
      <c r="G958" s="396">
        <f>+F957</f>
        <v>2000</v>
      </c>
      <c r="H958" s="347" t="str">
        <f>+H957</f>
        <v>Colecta Maria Jose Guridi H</v>
      </c>
      <c r="I958" s="347" t="s">
        <v>296</v>
      </c>
      <c r="K958" s="370"/>
      <c r="N958" s="370"/>
    </row>
    <row r="959" spans="1:14" s="347" customFormat="1" x14ac:dyDescent="0.25">
      <c r="A959" s="369"/>
      <c r="E959" s="396"/>
      <c r="F959" s="396"/>
      <c r="G959" s="396"/>
      <c r="K959" s="370"/>
      <c r="N959" s="370"/>
    </row>
    <row r="960" spans="1:14" s="347" customFormat="1" x14ac:dyDescent="0.25">
      <c r="A960" s="369">
        <v>44270</v>
      </c>
      <c r="B960" s="340">
        <f>+MONTH(A960)</f>
        <v>3</v>
      </c>
      <c r="C960" s="347">
        <v>110</v>
      </c>
      <c r="D960" s="340" t="str">
        <f>VLOOKUP(C960,Plan!A$1:B$65542,2,0)</f>
        <v>Disponible Administración</v>
      </c>
      <c r="E960" s="341">
        <f>+F960-G960</f>
        <v>10000</v>
      </c>
      <c r="F960" s="396">
        <v>10000</v>
      </c>
      <c r="G960" s="396">
        <v>0</v>
      </c>
      <c r="H960" t="s">
        <v>1161</v>
      </c>
      <c r="I960" s="347" t="s">
        <v>296</v>
      </c>
      <c r="K960" s="370"/>
      <c r="N960" s="370"/>
    </row>
    <row r="961" spans="1:14" s="347" customFormat="1" x14ac:dyDescent="0.25">
      <c r="A961" s="369">
        <f>+A960</f>
        <v>44270</v>
      </c>
      <c r="B961" s="347">
        <f>+B960</f>
        <v>3</v>
      </c>
      <c r="C961" s="347">
        <v>3110</v>
      </c>
      <c r="D961" s="340" t="str">
        <f>VLOOKUP(C961,Plan!A$1:B$65542,2,0)</f>
        <v>Colectas Normales</v>
      </c>
      <c r="E961" s="396">
        <f>-G961</f>
        <v>-10000</v>
      </c>
      <c r="F961" s="396">
        <v>0</v>
      </c>
      <c r="G961" s="396">
        <f>+F960</f>
        <v>10000</v>
      </c>
      <c r="H961" s="347" t="str">
        <f>+H960</f>
        <v>Colecta Franscisco Arteaga Errazuriz</v>
      </c>
      <c r="I961" s="347" t="s">
        <v>296</v>
      </c>
      <c r="K961" s="370"/>
      <c r="N961" s="370"/>
    </row>
    <row r="962" spans="1:14" s="347" customFormat="1" x14ac:dyDescent="0.25">
      <c r="A962" s="369"/>
      <c r="E962" s="396"/>
      <c r="F962" s="396"/>
      <c r="G962" s="396"/>
      <c r="K962" s="370"/>
      <c r="N962" s="370"/>
    </row>
    <row r="963" spans="1:14" s="347" customFormat="1" x14ac:dyDescent="0.25">
      <c r="A963" s="369">
        <v>44270</v>
      </c>
      <c r="B963" s="340">
        <f>+MONTH(A963)</f>
        <v>3</v>
      </c>
      <c r="C963" s="347">
        <v>110</v>
      </c>
      <c r="D963" s="340" t="str">
        <f>VLOOKUP(C963,Plan!A$1:B$65542,2,0)</f>
        <v>Disponible Administración</v>
      </c>
      <c r="E963" s="341">
        <f>+F963-G963</f>
        <v>10000</v>
      </c>
      <c r="F963" s="396">
        <v>10000</v>
      </c>
      <c r="G963" s="396">
        <v>0</v>
      </c>
      <c r="H963" t="s">
        <v>880</v>
      </c>
      <c r="I963" s="347" t="s">
        <v>296</v>
      </c>
      <c r="K963" s="370"/>
      <c r="N963" s="370"/>
    </row>
    <row r="964" spans="1:14" s="347" customFormat="1" x14ac:dyDescent="0.25">
      <c r="A964" s="369">
        <f>+A963</f>
        <v>44270</v>
      </c>
      <c r="B964" s="347">
        <f>+B963</f>
        <v>3</v>
      </c>
      <c r="C964" s="347">
        <v>3110</v>
      </c>
      <c r="D964" s="340" t="str">
        <f>VLOOKUP(C964,Plan!A$1:B$65542,2,0)</f>
        <v>Colectas Normales</v>
      </c>
      <c r="E964" s="396">
        <f>-G964</f>
        <v>-10000</v>
      </c>
      <c r="F964" s="396">
        <v>0</v>
      </c>
      <c r="G964" s="396">
        <f>+F963</f>
        <v>10000</v>
      </c>
      <c r="H964" s="347" t="str">
        <f>+H963</f>
        <v>Colecta Sebastian Rios</v>
      </c>
      <c r="I964" s="347" t="s">
        <v>296</v>
      </c>
      <c r="K964" s="370"/>
      <c r="N964" s="370"/>
    </row>
    <row r="965" spans="1:14" s="347" customFormat="1" x14ac:dyDescent="0.25">
      <c r="A965" s="369"/>
      <c r="E965" s="396"/>
      <c r="F965" s="396"/>
      <c r="G965" s="396"/>
      <c r="K965" s="370"/>
      <c r="N965" s="370"/>
    </row>
    <row r="966" spans="1:14" s="347" customFormat="1" x14ac:dyDescent="0.25">
      <c r="A966" s="369">
        <v>44270</v>
      </c>
      <c r="B966" s="340">
        <f>+MONTH(A966)</f>
        <v>3</v>
      </c>
      <c r="C966" s="347">
        <v>110</v>
      </c>
      <c r="D966" s="340" t="str">
        <f>VLOOKUP(C966,Plan!A$1:B$65542,2,0)</f>
        <v>Disponible Administración</v>
      </c>
      <c r="E966" s="341">
        <f>+F966-G966</f>
        <v>20000</v>
      </c>
      <c r="F966" s="396">
        <v>20000</v>
      </c>
      <c r="G966" s="396">
        <v>0</v>
      </c>
      <c r="H966" t="s">
        <v>1162</v>
      </c>
      <c r="I966" s="347" t="s">
        <v>296</v>
      </c>
      <c r="K966" s="370"/>
      <c r="N966" s="370"/>
    </row>
    <row r="967" spans="1:14" s="347" customFormat="1" x14ac:dyDescent="0.25">
      <c r="A967" s="369">
        <f>+A966</f>
        <v>44270</v>
      </c>
      <c r="B967" s="347">
        <f>+B966</f>
        <v>3</v>
      </c>
      <c r="C967" s="347">
        <v>3110</v>
      </c>
      <c r="D967" s="340" t="str">
        <f>VLOOKUP(C967,Plan!A$1:B$65542,2,0)</f>
        <v>Colectas Normales</v>
      </c>
      <c r="E967" s="396">
        <f>-G967</f>
        <v>-20000</v>
      </c>
      <c r="F967" s="396">
        <v>0</v>
      </c>
      <c r="G967" s="396">
        <f>+F966</f>
        <v>20000</v>
      </c>
      <c r="H967" s="347" t="str">
        <f>+H966</f>
        <v>Colecta Maria Valdes</v>
      </c>
      <c r="I967" s="347" t="s">
        <v>296</v>
      </c>
      <c r="K967" s="370"/>
      <c r="N967" s="370"/>
    </row>
    <row r="968" spans="1:14" s="347" customFormat="1" x14ac:dyDescent="0.25">
      <c r="A968" s="369"/>
      <c r="E968" s="396"/>
      <c r="F968" s="396"/>
      <c r="G968" s="396"/>
      <c r="K968" s="370"/>
      <c r="N968" s="370"/>
    </row>
    <row r="969" spans="1:14" s="347" customFormat="1" x14ac:dyDescent="0.25">
      <c r="A969" s="369">
        <v>44270</v>
      </c>
      <c r="B969" s="340">
        <f>+MONTH(A969)</f>
        <v>3</v>
      </c>
      <c r="C969" s="347">
        <v>110</v>
      </c>
      <c r="D969" s="340" t="str">
        <f>VLOOKUP(C969,Plan!A$1:B$65542,2,0)</f>
        <v>Disponible Administración</v>
      </c>
      <c r="E969" s="341">
        <f>+F969-G969</f>
        <v>12000</v>
      </c>
      <c r="F969" s="396">
        <v>12000</v>
      </c>
      <c r="G969" s="396">
        <v>0</v>
      </c>
      <c r="H969" t="s">
        <v>1163</v>
      </c>
      <c r="I969" s="347" t="s">
        <v>296</v>
      </c>
      <c r="K969" s="370"/>
      <c r="N969" s="370"/>
    </row>
    <row r="970" spans="1:14" s="347" customFormat="1" x14ac:dyDescent="0.25">
      <c r="A970" s="369">
        <f>+A969</f>
        <v>44270</v>
      </c>
      <c r="B970" s="347">
        <f>+B969</f>
        <v>3</v>
      </c>
      <c r="C970" s="347">
        <v>3110</v>
      </c>
      <c r="D970" s="340" t="str">
        <f>VLOOKUP(C970,Plan!A$1:B$65542,2,0)</f>
        <v>Colectas Normales</v>
      </c>
      <c r="E970" s="396">
        <f>-G970</f>
        <v>-12000</v>
      </c>
      <c r="F970" s="396">
        <v>0</v>
      </c>
      <c r="G970" s="396">
        <f>+F969</f>
        <v>12000</v>
      </c>
      <c r="H970" s="347" t="str">
        <f>+H969</f>
        <v>Colecta Ricardo Cañas Cambiaso</v>
      </c>
      <c r="I970" s="347" t="s">
        <v>296</v>
      </c>
      <c r="K970" s="370"/>
      <c r="N970" s="370"/>
    </row>
    <row r="971" spans="1:14" s="347" customFormat="1" x14ac:dyDescent="0.25">
      <c r="A971" s="369"/>
      <c r="E971" s="396"/>
      <c r="F971" s="396"/>
      <c r="G971" s="396"/>
      <c r="K971" s="370"/>
      <c r="N971" s="370"/>
    </row>
    <row r="972" spans="1:14" s="347" customFormat="1" x14ac:dyDescent="0.25">
      <c r="A972" s="369">
        <v>44270</v>
      </c>
      <c r="B972" s="340">
        <f>+MONTH(A972)</f>
        <v>3</v>
      </c>
      <c r="C972" s="347">
        <v>110</v>
      </c>
      <c r="D972" s="340" t="str">
        <f>VLOOKUP(C972,Plan!A$1:B$65542,2,0)</f>
        <v>Disponible Administración</v>
      </c>
      <c r="E972" s="341">
        <f>+F972-G972</f>
        <v>250000</v>
      </c>
      <c r="F972" s="396">
        <v>250000</v>
      </c>
      <c r="G972" s="396">
        <v>0</v>
      </c>
      <c r="H972" t="s">
        <v>1164</v>
      </c>
      <c r="I972" s="347" t="s">
        <v>296</v>
      </c>
      <c r="K972" s="370"/>
      <c r="N972" s="370"/>
    </row>
    <row r="973" spans="1:14" s="347" customFormat="1" x14ac:dyDescent="0.25">
      <c r="A973" s="369">
        <f>+A972</f>
        <v>44270</v>
      </c>
      <c r="B973" s="347">
        <f>+B972</f>
        <v>3</v>
      </c>
      <c r="C973" s="347">
        <v>3110</v>
      </c>
      <c r="D973" s="340" t="str">
        <f>VLOOKUP(C973,Plan!A$1:B$65542,2,0)</f>
        <v>Colectas Normales</v>
      </c>
      <c r="E973" s="396">
        <f>-G973</f>
        <v>-250000</v>
      </c>
      <c r="F973" s="396">
        <v>0</v>
      </c>
      <c r="G973" s="396">
        <f>+F972</f>
        <v>250000</v>
      </c>
      <c r="H973" s="347" t="str">
        <f>+H972</f>
        <v>Colecta Sebastian Claro Edwards</v>
      </c>
      <c r="I973" s="347" t="s">
        <v>296</v>
      </c>
      <c r="K973" s="370"/>
      <c r="N973" s="370"/>
    </row>
    <row r="974" spans="1:14" s="347" customFormat="1" x14ac:dyDescent="0.25">
      <c r="A974" s="369"/>
      <c r="E974" s="396"/>
      <c r="F974" s="396"/>
      <c r="G974" s="396"/>
      <c r="K974" s="370"/>
      <c r="N974" s="370"/>
    </row>
    <row r="975" spans="1:14" s="347" customFormat="1" x14ac:dyDescent="0.25">
      <c r="A975" s="369">
        <v>44270</v>
      </c>
      <c r="B975" s="340">
        <f>+MONTH(A975)</f>
        <v>3</v>
      </c>
      <c r="C975" s="347">
        <v>110</v>
      </c>
      <c r="D975" s="340" t="str">
        <f>VLOOKUP(C975,Plan!A$1:B$65542,2,0)</f>
        <v>Disponible Administración</v>
      </c>
      <c r="E975" s="341">
        <f>+F975-G975</f>
        <v>100000</v>
      </c>
      <c r="F975" s="396">
        <v>100000</v>
      </c>
      <c r="G975" s="396">
        <v>0</v>
      </c>
      <c r="H975" t="s">
        <v>1165</v>
      </c>
      <c r="I975" s="347" t="s">
        <v>296</v>
      </c>
      <c r="K975" s="370"/>
      <c r="N975" s="370"/>
    </row>
    <row r="976" spans="1:14" s="347" customFormat="1" x14ac:dyDescent="0.25">
      <c r="A976" s="369">
        <f>+A975</f>
        <v>44270</v>
      </c>
      <c r="B976" s="347">
        <f>+B975</f>
        <v>3</v>
      </c>
      <c r="C976" s="347">
        <v>3110</v>
      </c>
      <c r="D976" s="340" t="str">
        <f>VLOOKUP(C976,Plan!A$1:B$65542,2,0)</f>
        <v>Colectas Normales</v>
      </c>
      <c r="E976" s="396">
        <f>-G976</f>
        <v>-100000</v>
      </c>
      <c r="F976" s="396">
        <v>0</v>
      </c>
      <c r="G976" s="396">
        <f>+F975</f>
        <v>100000</v>
      </c>
      <c r="H976" s="347" t="str">
        <f>+H975</f>
        <v>Colecta Cristian Bravo Palma</v>
      </c>
      <c r="I976" s="347" t="s">
        <v>296</v>
      </c>
      <c r="K976" s="370"/>
      <c r="N976" s="370"/>
    </row>
    <row r="977" spans="1:14" s="347" customFormat="1" x14ac:dyDescent="0.25">
      <c r="A977" s="369"/>
      <c r="E977" s="396"/>
      <c r="F977" s="396"/>
      <c r="G977" s="396"/>
      <c r="K977" s="370"/>
      <c r="N977" s="370"/>
    </row>
    <row r="978" spans="1:14" s="347" customFormat="1" x14ac:dyDescent="0.25">
      <c r="A978" s="369">
        <v>44270</v>
      </c>
      <c r="B978" s="340">
        <f>+MONTH(A978)</f>
        <v>3</v>
      </c>
      <c r="C978" s="347">
        <v>110</v>
      </c>
      <c r="D978" s="340" t="str">
        <f>VLOOKUP(C978,Plan!A$1:B$65542,2,0)</f>
        <v>Disponible Administración</v>
      </c>
      <c r="E978" s="341">
        <f>+F978-G978</f>
        <v>80000</v>
      </c>
      <c r="F978" s="396">
        <v>80000</v>
      </c>
      <c r="G978" s="396">
        <v>0</v>
      </c>
      <c r="H978" t="s">
        <v>1128</v>
      </c>
      <c r="I978" s="347" t="s">
        <v>296</v>
      </c>
      <c r="K978" s="370"/>
      <c r="N978" s="370"/>
    </row>
    <row r="979" spans="1:14" s="347" customFormat="1" x14ac:dyDescent="0.25">
      <c r="A979" s="369">
        <f>+A978</f>
        <v>44270</v>
      </c>
      <c r="B979" s="347">
        <f>+B978</f>
        <v>3</v>
      </c>
      <c r="C979" s="347">
        <v>3110</v>
      </c>
      <c r="D979" s="340" t="str">
        <f>VLOOKUP(C979,Plan!A$1:B$65542,2,0)</f>
        <v>Colectas Normales</v>
      </c>
      <c r="E979" s="396">
        <f>-G979</f>
        <v>-80000</v>
      </c>
      <c r="F979" s="396">
        <v>0</v>
      </c>
      <c r="G979" s="396">
        <f>+F978</f>
        <v>80000</v>
      </c>
      <c r="H979" s="347" t="str">
        <f>+H978</f>
        <v>Colecta Ximena Suspichiatti</v>
      </c>
      <c r="I979" s="347" t="s">
        <v>296</v>
      </c>
      <c r="K979" s="370"/>
      <c r="N979" s="370"/>
    </row>
    <row r="980" spans="1:14" s="347" customFormat="1" x14ac:dyDescent="0.25">
      <c r="A980" s="369"/>
      <c r="E980" s="396"/>
      <c r="F980" s="396"/>
      <c r="G980" s="396"/>
      <c r="K980" s="370"/>
      <c r="N980" s="370"/>
    </row>
    <row r="981" spans="1:14" s="347" customFormat="1" x14ac:dyDescent="0.25">
      <c r="A981" s="369">
        <v>44270</v>
      </c>
      <c r="B981" s="340">
        <f>+MONTH(A981)</f>
        <v>3</v>
      </c>
      <c r="C981" s="347">
        <v>110</v>
      </c>
      <c r="D981" s="340" t="str">
        <f>VLOOKUP(C981,Plan!A$1:B$65542,2,0)</f>
        <v>Disponible Administración</v>
      </c>
      <c r="E981" s="341">
        <f>+F981-G981</f>
        <v>5000</v>
      </c>
      <c r="F981" s="396">
        <v>5000</v>
      </c>
      <c r="G981" s="396">
        <v>0</v>
      </c>
      <c r="H981" t="s">
        <v>893</v>
      </c>
      <c r="I981" s="347" t="s">
        <v>296</v>
      </c>
      <c r="K981" s="370"/>
      <c r="N981" s="370"/>
    </row>
    <row r="982" spans="1:14" s="347" customFormat="1" x14ac:dyDescent="0.25">
      <c r="A982" s="369">
        <f>+A981</f>
        <v>44270</v>
      </c>
      <c r="B982" s="347">
        <f>+B981</f>
        <v>3</v>
      </c>
      <c r="C982" s="347">
        <v>3110</v>
      </c>
      <c r="D982" s="340" t="str">
        <f>VLOOKUP(C982,Plan!A$1:B$65542,2,0)</f>
        <v>Colectas Normales</v>
      </c>
      <c r="E982" s="396">
        <f>-G982</f>
        <v>-5000</v>
      </c>
      <c r="F982" s="396">
        <v>0</v>
      </c>
      <c r="G982" s="396">
        <f>+F981</f>
        <v>5000</v>
      </c>
      <c r="H982" s="347" t="str">
        <f>+H981</f>
        <v>Colecta Martin Besfamille</v>
      </c>
      <c r="I982" s="347" t="s">
        <v>296</v>
      </c>
      <c r="K982" s="370"/>
      <c r="N982" s="370"/>
    </row>
    <row r="983" spans="1:14" s="347" customFormat="1" x14ac:dyDescent="0.25">
      <c r="A983" s="369"/>
      <c r="E983" s="396"/>
      <c r="F983" s="396"/>
      <c r="G983" s="396"/>
      <c r="K983" s="370"/>
      <c r="N983" s="370"/>
    </row>
    <row r="984" spans="1:14" s="347" customFormat="1" x14ac:dyDescent="0.25">
      <c r="A984" s="369">
        <v>44270</v>
      </c>
      <c r="B984" s="340">
        <f>+MONTH(A984)</f>
        <v>3</v>
      </c>
      <c r="C984" s="347">
        <v>110</v>
      </c>
      <c r="D984" s="340" t="str">
        <f>VLOOKUP(C984,Plan!A$1:B$65542,2,0)</f>
        <v>Disponible Administración</v>
      </c>
      <c r="E984" s="341">
        <f>+F984-G984</f>
        <v>30000</v>
      </c>
      <c r="F984" s="396">
        <v>30000</v>
      </c>
      <c r="G984" s="396">
        <v>0</v>
      </c>
      <c r="H984" t="s">
        <v>1125</v>
      </c>
      <c r="I984" s="347" t="s">
        <v>296</v>
      </c>
      <c r="K984" s="370"/>
      <c r="N984" s="370"/>
    </row>
    <row r="985" spans="1:14" s="347" customFormat="1" x14ac:dyDescent="0.25">
      <c r="A985" s="369">
        <f>+A984</f>
        <v>44270</v>
      </c>
      <c r="B985" s="347">
        <f>+B984</f>
        <v>3</v>
      </c>
      <c r="C985" s="347">
        <v>3110</v>
      </c>
      <c r="D985" s="340" t="str">
        <f>VLOOKUP(C985,Plan!A$1:B$65542,2,0)</f>
        <v>Colectas Normales</v>
      </c>
      <c r="E985" s="396">
        <f>-G985</f>
        <v>-30000</v>
      </c>
      <c r="F985" s="396">
        <v>0</v>
      </c>
      <c r="G985" s="396">
        <f>+F984</f>
        <v>30000</v>
      </c>
      <c r="H985" s="347" t="str">
        <f>+H984</f>
        <v>Colecta Sandra Rivadeneira</v>
      </c>
      <c r="I985" s="347" t="s">
        <v>296</v>
      </c>
      <c r="K985" s="370"/>
      <c r="N985" s="370"/>
    </row>
    <row r="986" spans="1:14" s="347" customFormat="1" x14ac:dyDescent="0.25">
      <c r="A986" s="369"/>
      <c r="E986" s="396"/>
      <c r="F986" s="396"/>
      <c r="G986" s="396"/>
      <c r="K986" s="370"/>
      <c r="N986" s="370"/>
    </row>
    <row r="987" spans="1:14" s="347" customFormat="1" x14ac:dyDescent="0.25">
      <c r="A987" s="369">
        <v>44270</v>
      </c>
      <c r="B987" s="340">
        <f>+MONTH(A987)</f>
        <v>3</v>
      </c>
      <c r="C987" s="347">
        <v>110</v>
      </c>
      <c r="D987" s="340" t="str">
        <f>VLOOKUP(C987,Plan!A$1:B$65542,2,0)</f>
        <v>Disponible Administración</v>
      </c>
      <c r="E987" s="341">
        <f>+F987-G987</f>
        <v>8000</v>
      </c>
      <c r="F987" s="396">
        <v>8000</v>
      </c>
      <c r="G987" s="396">
        <v>0</v>
      </c>
      <c r="H987" t="s">
        <v>1166</v>
      </c>
      <c r="I987" s="347" t="s">
        <v>296</v>
      </c>
      <c r="K987" s="370"/>
      <c r="N987" s="370"/>
    </row>
    <row r="988" spans="1:14" s="347" customFormat="1" x14ac:dyDescent="0.25">
      <c r="A988" s="369">
        <f>+A987</f>
        <v>44270</v>
      </c>
      <c r="B988" s="347">
        <f>+B987</f>
        <v>3</v>
      </c>
      <c r="C988" s="347">
        <v>3110</v>
      </c>
      <c r="D988" s="340" t="str">
        <f>VLOOKUP(C988,Plan!A$1:B$65542,2,0)</f>
        <v>Colectas Normales</v>
      </c>
      <c r="E988" s="396">
        <f>-G988</f>
        <v>-8000</v>
      </c>
      <c r="F988" s="396">
        <v>0</v>
      </c>
      <c r="G988" s="396">
        <f>+F987</f>
        <v>8000</v>
      </c>
      <c r="H988" s="347" t="str">
        <f>+H987</f>
        <v>Colecta M.Magdalena Castillo</v>
      </c>
      <c r="I988" s="347" t="s">
        <v>296</v>
      </c>
      <c r="K988" s="370"/>
      <c r="N988" s="370"/>
    </row>
    <row r="989" spans="1:14" s="347" customFormat="1" x14ac:dyDescent="0.25">
      <c r="A989" s="369"/>
      <c r="E989" s="396"/>
      <c r="F989" s="396"/>
      <c r="G989" s="396"/>
      <c r="K989" s="370"/>
      <c r="N989" s="370"/>
    </row>
    <row r="990" spans="1:14" s="347" customFormat="1" x14ac:dyDescent="0.25">
      <c r="A990" s="369">
        <v>44271</v>
      </c>
      <c r="B990" s="340">
        <f>+MONTH(A990)</f>
        <v>3</v>
      </c>
      <c r="C990" s="347">
        <v>4323</v>
      </c>
      <c r="D990" s="340" t="str">
        <f>VLOOKUP(C990,Plan!A$1:B$65542,2,0)</f>
        <v>Telefonía, Internet (VTR, Entel)</v>
      </c>
      <c r="E990" s="396">
        <f>+F990</f>
        <v>20990</v>
      </c>
      <c r="F990" s="396">
        <v>20990</v>
      </c>
      <c r="G990" s="396">
        <v>0</v>
      </c>
      <c r="H990" t="s">
        <v>1167</v>
      </c>
      <c r="I990" s="347" t="s">
        <v>296</v>
      </c>
      <c r="K990" s="370"/>
      <c r="N990" s="370"/>
    </row>
    <row r="991" spans="1:14" s="347" customFormat="1" x14ac:dyDescent="0.25">
      <c r="A991" s="369">
        <f>+A990</f>
        <v>44271</v>
      </c>
      <c r="B991" s="347">
        <f>+B990</f>
        <v>3</v>
      </c>
      <c r="C991" s="347">
        <v>110</v>
      </c>
      <c r="D991" s="340" t="str">
        <f>VLOOKUP(C991,Plan!A$1:B$65542,2,0)</f>
        <v>Disponible Administración</v>
      </c>
      <c r="E991" s="341">
        <f>+F991-G991</f>
        <v>-20990</v>
      </c>
      <c r="F991" s="396">
        <v>0</v>
      </c>
      <c r="G991" s="396">
        <f>+F990</f>
        <v>20990</v>
      </c>
      <c r="H991" s="347" t="str">
        <f>+H990</f>
        <v>PAC ENTEL</v>
      </c>
      <c r="I991" s="347" t="s">
        <v>296</v>
      </c>
      <c r="K991" s="370"/>
      <c r="N991" s="370"/>
    </row>
    <row r="992" spans="1:14" s="347" customFormat="1" x14ac:dyDescent="0.25">
      <c r="A992" s="369"/>
      <c r="E992" s="396"/>
      <c r="F992" s="396"/>
      <c r="G992" s="396"/>
      <c r="K992" s="370"/>
      <c r="N992" s="370"/>
    </row>
    <row r="993" spans="1:14" s="347" customFormat="1" x14ac:dyDescent="0.25">
      <c r="A993" s="369">
        <v>44271</v>
      </c>
      <c r="B993" s="340">
        <f>+MONTH(A993)</f>
        <v>3</v>
      </c>
      <c r="C993" s="347">
        <v>110</v>
      </c>
      <c r="D993" s="340" t="str">
        <f>VLOOKUP(C993,Plan!A$1:B$65542,2,0)</f>
        <v>Disponible Administración</v>
      </c>
      <c r="E993" s="341">
        <f>+F993-G993</f>
        <v>2940</v>
      </c>
      <c r="F993" s="396">
        <v>2940</v>
      </c>
      <c r="G993" s="396">
        <v>0</v>
      </c>
      <c r="H993" t="s">
        <v>1168</v>
      </c>
      <c r="I993" s="347" t="s">
        <v>296</v>
      </c>
      <c r="K993" s="370"/>
      <c r="N993" s="370"/>
    </row>
    <row r="994" spans="1:14" s="347" customFormat="1" x14ac:dyDescent="0.25">
      <c r="A994" s="369">
        <f>+A993</f>
        <v>44271</v>
      </c>
      <c r="B994" s="347">
        <f>+B993</f>
        <v>3</v>
      </c>
      <c r="C994" s="347">
        <v>3340</v>
      </c>
      <c r="D994" s="340" t="str">
        <f>VLOOKUP(C994,Plan!A$1:B$65542,2,0)</f>
        <v>Misas</v>
      </c>
      <c r="E994" s="396">
        <f>-G994</f>
        <v>-2940</v>
      </c>
      <c r="F994" s="396">
        <v>0</v>
      </c>
      <c r="G994" s="396">
        <f>+F993</f>
        <v>2940</v>
      </c>
      <c r="H994" s="347" t="str">
        <f>+H993</f>
        <v>Misa Maria Jose Muñoz</v>
      </c>
      <c r="I994" s="347" t="s">
        <v>296</v>
      </c>
      <c r="K994" s="370"/>
      <c r="N994" s="370"/>
    </row>
    <row r="995" spans="1:14" s="347" customFormat="1" x14ac:dyDescent="0.25">
      <c r="A995" s="369"/>
      <c r="E995" s="396"/>
      <c r="F995" s="396"/>
      <c r="G995" s="396"/>
      <c r="K995" s="370"/>
      <c r="N995" s="370"/>
    </row>
    <row r="996" spans="1:14" s="347" customFormat="1" x14ac:dyDescent="0.25">
      <c r="A996" s="369">
        <v>44271</v>
      </c>
      <c r="B996" s="340">
        <f>+MONTH(A996)</f>
        <v>3</v>
      </c>
      <c r="C996" s="347">
        <v>110</v>
      </c>
      <c r="D996" s="340" t="str">
        <f>VLOOKUP(C996,Plan!A$1:B$65542,2,0)</f>
        <v>Disponible Administración</v>
      </c>
      <c r="E996" s="341">
        <f>+F996-G996</f>
        <v>5000</v>
      </c>
      <c r="F996" s="396">
        <v>5000</v>
      </c>
      <c r="G996" s="396">
        <v>0</v>
      </c>
      <c r="H996" t="s">
        <v>933</v>
      </c>
      <c r="I996" s="347" t="s">
        <v>296</v>
      </c>
      <c r="K996" s="370"/>
      <c r="N996" s="370"/>
    </row>
    <row r="997" spans="1:14" s="347" customFormat="1" x14ac:dyDescent="0.25">
      <c r="A997" s="369">
        <f>+A996</f>
        <v>44271</v>
      </c>
      <c r="B997" s="347">
        <f>+B996</f>
        <v>3</v>
      </c>
      <c r="C997" s="347">
        <v>3110</v>
      </c>
      <c r="D997" s="340" t="str">
        <f>VLOOKUP(C997,Plan!A$1:B$65542,2,0)</f>
        <v>Colectas Normales</v>
      </c>
      <c r="E997" s="396">
        <f>-G997</f>
        <v>-5000</v>
      </c>
      <c r="F997" s="396">
        <v>0</v>
      </c>
      <c r="G997" s="396">
        <f>+F996</f>
        <v>5000</v>
      </c>
      <c r="H997" s="347" t="str">
        <f>+H996</f>
        <v>Colecta Edita Gonzalez Marquez</v>
      </c>
      <c r="I997" s="347" t="s">
        <v>296</v>
      </c>
      <c r="K997" s="370"/>
      <c r="N997" s="370"/>
    </row>
    <row r="998" spans="1:14" s="347" customFormat="1" x14ac:dyDescent="0.25">
      <c r="A998" s="369"/>
      <c r="E998" s="396"/>
      <c r="F998" s="396"/>
      <c r="G998" s="396"/>
      <c r="K998" s="370"/>
      <c r="N998" s="370"/>
    </row>
    <row r="999" spans="1:14" s="347" customFormat="1" x14ac:dyDescent="0.25">
      <c r="A999" s="369">
        <v>44271</v>
      </c>
      <c r="B999" s="340">
        <f>+MONTH(A999)</f>
        <v>3</v>
      </c>
      <c r="C999" s="347">
        <v>110</v>
      </c>
      <c r="D999" s="340" t="str">
        <f>VLOOKUP(C999,Plan!A$1:B$65542,2,0)</f>
        <v>Disponible Administración</v>
      </c>
      <c r="E999" s="341">
        <f>+F999-G999</f>
        <v>5000</v>
      </c>
      <c r="F999" s="396">
        <v>5000</v>
      </c>
      <c r="G999" s="396">
        <v>0</v>
      </c>
      <c r="H999" t="s">
        <v>908</v>
      </c>
      <c r="I999" s="347" t="s">
        <v>296</v>
      </c>
      <c r="K999" s="370"/>
      <c r="N999" s="370"/>
    </row>
    <row r="1000" spans="1:14" s="347" customFormat="1" x14ac:dyDescent="0.25">
      <c r="A1000" s="369">
        <f>+A999</f>
        <v>44271</v>
      </c>
      <c r="B1000" s="347">
        <f>+B999</f>
        <v>3</v>
      </c>
      <c r="C1000" s="347">
        <v>3110</v>
      </c>
      <c r="D1000" s="340" t="str">
        <f>VLOOKUP(C1000,Plan!A$1:B$65542,2,0)</f>
        <v>Colectas Normales</v>
      </c>
      <c r="E1000" s="396">
        <f>-G1000</f>
        <v>-5000</v>
      </c>
      <c r="F1000" s="396">
        <v>0</v>
      </c>
      <c r="G1000" s="396">
        <f>+F999</f>
        <v>5000</v>
      </c>
      <c r="H1000" s="347" t="str">
        <f>+H999</f>
        <v>Colecta Silvia Bozzo</v>
      </c>
      <c r="I1000" s="347" t="s">
        <v>296</v>
      </c>
      <c r="K1000" s="370"/>
      <c r="N1000" s="370"/>
    </row>
    <row r="1001" spans="1:14" s="347" customFormat="1" x14ac:dyDescent="0.25">
      <c r="A1001" s="369"/>
      <c r="E1001" s="396"/>
      <c r="F1001" s="396"/>
      <c r="G1001" s="396"/>
      <c r="K1001" s="370"/>
      <c r="N1001" s="370"/>
    </row>
    <row r="1002" spans="1:14" s="347" customFormat="1" x14ac:dyDescent="0.25">
      <c r="A1002" s="369">
        <v>44271</v>
      </c>
      <c r="B1002" s="340">
        <f>+MONTH(A1002)</f>
        <v>3</v>
      </c>
      <c r="C1002" s="347">
        <v>110</v>
      </c>
      <c r="D1002" s="340" t="str">
        <f>VLOOKUP(C1002,Plan!A$1:B$65542,2,0)</f>
        <v>Disponible Administración</v>
      </c>
      <c r="E1002" s="341">
        <f>+F1002-G1002</f>
        <v>2000</v>
      </c>
      <c r="F1002" s="396">
        <v>2000</v>
      </c>
      <c r="G1002" s="396">
        <v>0</v>
      </c>
      <c r="H1002" t="s">
        <v>1169</v>
      </c>
      <c r="I1002" s="347" t="s">
        <v>296</v>
      </c>
      <c r="K1002" s="370"/>
      <c r="N1002" s="370"/>
    </row>
    <row r="1003" spans="1:14" s="347" customFormat="1" x14ac:dyDescent="0.25">
      <c r="A1003" s="369">
        <f>+A1002</f>
        <v>44271</v>
      </c>
      <c r="B1003" s="347">
        <f>+B1002</f>
        <v>3</v>
      </c>
      <c r="C1003" s="347">
        <v>3350</v>
      </c>
      <c r="D1003" s="340" t="str">
        <f>VLOOKUP(C1003,Plan!A$1:B$65542,2,0)</f>
        <v>Bautizos</v>
      </c>
      <c r="E1003" s="396">
        <f>-G1003</f>
        <v>-2000</v>
      </c>
      <c r="F1003" s="396">
        <v>0</v>
      </c>
      <c r="G1003" s="396">
        <f>+F1002</f>
        <v>2000</v>
      </c>
      <c r="H1003" s="347" t="str">
        <f>+H1002</f>
        <v>Bautizo Fca. Alvarado</v>
      </c>
      <c r="I1003" s="347" t="s">
        <v>296</v>
      </c>
      <c r="K1003" s="370"/>
      <c r="N1003" s="370"/>
    </row>
    <row r="1004" spans="1:14" s="347" customFormat="1" x14ac:dyDescent="0.25">
      <c r="A1004" s="369"/>
      <c r="E1004" s="396"/>
      <c r="F1004" s="396"/>
      <c r="G1004" s="396"/>
      <c r="K1004" s="370"/>
      <c r="N1004" s="370"/>
    </row>
    <row r="1005" spans="1:14" s="347" customFormat="1" x14ac:dyDescent="0.25">
      <c r="A1005" s="369">
        <v>44271</v>
      </c>
      <c r="B1005" s="340">
        <f>+MONTH(A1005)</f>
        <v>3</v>
      </c>
      <c r="C1005" s="347">
        <v>110</v>
      </c>
      <c r="D1005" s="340" t="str">
        <f>VLOOKUP(C1005,Plan!A$1:B$65542,2,0)</f>
        <v>Disponible Administración</v>
      </c>
      <c r="E1005" s="341">
        <f>+F1005-G1005</f>
        <v>5000</v>
      </c>
      <c r="F1005" s="396">
        <v>5000</v>
      </c>
      <c r="G1005" s="396">
        <v>0</v>
      </c>
      <c r="H1005" t="s">
        <v>1170</v>
      </c>
      <c r="I1005" s="347" t="s">
        <v>296</v>
      </c>
      <c r="K1005" s="370"/>
      <c r="N1005" s="370"/>
    </row>
    <row r="1006" spans="1:14" s="347" customFormat="1" x14ac:dyDescent="0.25">
      <c r="A1006" s="369">
        <f>+A1005</f>
        <v>44271</v>
      </c>
      <c r="B1006" s="347">
        <f>+B1005</f>
        <v>3</v>
      </c>
      <c r="C1006" s="347">
        <v>3350</v>
      </c>
      <c r="D1006" s="340" t="str">
        <f>VLOOKUP(C1006,Plan!A$1:B$65542,2,0)</f>
        <v>Bautizos</v>
      </c>
      <c r="E1006" s="396">
        <f>-G1006</f>
        <v>-5000</v>
      </c>
      <c r="F1006" s="396">
        <v>0</v>
      </c>
      <c r="G1006" s="396">
        <f>+F1005</f>
        <v>5000</v>
      </c>
      <c r="H1006" s="347" t="str">
        <f>+H1005</f>
        <v>Bautizo Jose Miguel Lekaude</v>
      </c>
      <c r="I1006" s="347" t="s">
        <v>296</v>
      </c>
      <c r="K1006" s="370"/>
      <c r="N1006" s="370"/>
    </row>
    <row r="1007" spans="1:14" s="347" customFormat="1" x14ac:dyDescent="0.25">
      <c r="A1007" s="369"/>
      <c r="E1007" s="396"/>
      <c r="F1007" s="396"/>
      <c r="G1007" s="396"/>
      <c r="K1007" s="370"/>
      <c r="N1007" s="370"/>
    </row>
    <row r="1008" spans="1:14" s="347" customFormat="1" x14ac:dyDescent="0.25">
      <c r="A1008" s="369">
        <v>44271</v>
      </c>
      <c r="B1008" s="340">
        <f>+MONTH(A1008)</f>
        <v>3</v>
      </c>
      <c r="C1008" s="347">
        <v>110</v>
      </c>
      <c r="D1008" s="340" t="str">
        <f>VLOOKUP(C1008,Plan!A$1:B$65542,2,0)</f>
        <v>Disponible Administración</v>
      </c>
      <c r="E1008" s="341">
        <f>+F1008-G1008</f>
        <v>20000</v>
      </c>
      <c r="F1008" s="396">
        <v>20000</v>
      </c>
      <c r="G1008" s="396">
        <v>0</v>
      </c>
      <c r="H1008" t="s">
        <v>1171</v>
      </c>
      <c r="I1008" s="347" t="s">
        <v>296</v>
      </c>
      <c r="K1008" s="370"/>
      <c r="N1008" s="370"/>
    </row>
    <row r="1009" spans="1:14" s="347" customFormat="1" x14ac:dyDescent="0.25">
      <c r="A1009" s="369">
        <f>+A1008</f>
        <v>44271</v>
      </c>
      <c r="B1009" s="347">
        <f>+B1008</f>
        <v>3</v>
      </c>
      <c r="C1009" s="347">
        <v>3350</v>
      </c>
      <c r="D1009" s="340" t="str">
        <f>VLOOKUP(C1009,Plan!A$1:B$65542,2,0)</f>
        <v>Bautizos</v>
      </c>
      <c r="E1009" s="396">
        <f>-G1009</f>
        <v>-20000</v>
      </c>
      <c r="F1009" s="396">
        <v>0</v>
      </c>
      <c r="G1009" s="396">
        <f>+F1008</f>
        <v>20000</v>
      </c>
      <c r="H1009" s="347" t="str">
        <f>+H1008</f>
        <v>Bautizo Josefina Morande</v>
      </c>
      <c r="I1009" s="347" t="s">
        <v>296</v>
      </c>
      <c r="K1009" s="370"/>
      <c r="N1009" s="370"/>
    </row>
    <row r="1010" spans="1:14" s="347" customFormat="1" x14ac:dyDescent="0.25">
      <c r="A1010" s="369"/>
      <c r="E1010" s="396"/>
      <c r="F1010" s="396"/>
      <c r="G1010" s="396"/>
      <c r="K1010" s="370"/>
      <c r="N1010" s="370"/>
    </row>
    <row r="1011" spans="1:14" s="347" customFormat="1" x14ac:dyDescent="0.25">
      <c r="A1011" s="369">
        <v>44271</v>
      </c>
      <c r="B1011" s="340">
        <f>+MONTH(A1011)</f>
        <v>3</v>
      </c>
      <c r="C1011" s="347">
        <v>110</v>
      </c>
      <c r="D1011" s="340" t="str">
        <f>VLOOKUP(C1011,Plan!A$1:B$65542,2,0)</f>
        <v>Disponible Administración</v>
      </c>
      <c r="E1011" s="341">
        <f>+F1011-G1011</f>
        <v>5000</v>
      </c>
      <c r="F1011" s="396">
        <v>5000</v>
      </c>
      <c r="G1011" s="396">
        <v>0</v>
      </c>
      <c r="H1011" t="s">
        <v>1172</v>
      </c>
      <c r="I1011" s="347" t="s">
        <v>296</v>
      </c>
      <c r="K1011" s="370"/>
      <c r="N1011" s="370"/>
    </row>
    <row r="1012" spans="1:14" s="347" customFormat="1" x14ac:dyDescent="0.25">
      <c r="A1012" s="369">
        <f>+A1011</f>
        <v>44271</v>
      </c>
      <c r="B1012" s="347">
        <f>+B1011</f>
        <v>3</v>
      </c>
      <c r="C1012" s="347">
        <v>3350</v>
      </c>
      <c r="D1012" s="340" t="str">
        <f>VLOOKUP(C1012,Plan!A$1:B$65542,2,0)</f>
        <v>Bautizos</v>
      </c>
      <c r="E1012" s="396">
        <f>-G1012</f>
        <v>-5000</v>
      </c>
      <c r="F1012" s="396">
        <v>0</v>
      </c>
      <c r="G1012" s="396">
        <f>+F1011</f>
        <v>5000</v>
      </c>
      <c r="H1012" s="347" t="str">
        <f>+H1011</f>
        <v>Bautizo Maria Jose Prat</v>
      </c>
      <c r="I1012" s="347" t="s">
        <v>296</v>
      </c>
      <c r="K1012" s="370"/>
      <c r="N1012" s="370"/>
    </row>
    <row r="1013" spans="1:14" s="347" customFormat="1" x14ac:dyDescent="0.25">
      <c r="A1013" s="369"/>
      <c r="E1013" s="396"/>
      <c r="F1013" s="396"/>
      <c r="G1013" s="396"/>
      <c r="K1013" s="370"/>
      <c r="N1013" s="370"/>
    </row>
    <row r="1014" spans="1:14" s="347" customFormat="1" x14ac:dyDescent="0.25">
      <c r="A1014" s="369">
        <v>44271</v>
      </c>
      <c r="B1014" s="340">
        <f>+MONTH(A1014)</f>
        <v>3</v>
      </c>
      <c r="C1014" s="347">
        <v>110</v>
      </c>
      <c r="D1014" s="340" t="str">
        <f>VLOOKUP(C1014,Plan!A$1:B$65542,2,0)</f>
        <v>Disponible Administración</v>
      </c>
      <c r="E1014" s="341">
        <f>+F1014-G1014</f>
        <v>10000</v>
      </c>
      <c r="F1014" s="396">
        <v>10000</v>
      </c>
      <c r="G1014" s="396">
        <v>0</v>
      </c>
      <c r="H1014" t="s">
        <v>1173</v>
      </c>
      <c r="I1014" s="347" t="s">
        <v>296</v>
      </c>
      <c r="K1014" s="370"/>
      <c r="N1014" s="370"/>
    </row>
    <row r="1015" spans="1:14" s="347" customFormat="1" x14ac:dyDescent="0.25">
      <c r="A1015" s="369">
        <f>+A1014</f>
        <v>44271</v>
      </c>
      <c r="B1015" s="347">
        <f>+B1014</f>
        <v>3</v>
      </c>
      <c r="C1015" s="347">
        <v>3110</v>
      </c>
      <c r="D1015" s="340" t="str">
        <f>VLOOKUP(C1015,Plan!A$1:B$65542,2,0)</f>
        <v>Colectas Normales</v>
      </c>
      <c r="E1015" s="396">
        <f>-G1015</f>
        <v>-10000</v>
      </c>
      <c r="F1015" s="396">
        <v>0</v>
      </c>
      <c r="G1015" s="396">
        <f>+F1014</f>
        <v>10000</v>
      </c>
      <c r="H1015" s="347" t="str">
        <f>+H1014</f>
        <v>Colecta Oscar Guarda</v>
      </c>
      <c r="I1015" s="347" t="s">
        <v>296</v>
      </c>
      <c r="K1015" s="370"/>
      <c r="N1015" s="370"/>
    </row>
    <row r="1016" spans="1:14" s="347" customFormat="1" x14ac:dyDescent="0.25">
      <c r="A1016" s="369"/>
      <c r="E1016" s="396"/>
      <c r="F1016" s="396"/>
      <c r="G1016" s="396"/>
      <c r="K1016" s="370"/>
      <c r="N1016" s="370"/>
    </row>
    <row r="1017" spans="1:14" s="347" customFormat="1" x14ac:dyDescent="0.25">
      <c r="A1017" s="369">
        <v>44272</v>
      </c>
      <c r="B1017" s="340">
        <f>+MONTH(A1017)</f>
        <v>3</v>
      </c>
      <c r="C1017" s="347">
        <v>110</v>
      </c>
      <c r="D1017" s="340" t="str">
        <f>VLOOKUP(C1017,Plan!A$1:B$65542,2,0)</f>
        <v>Disponible Administración</v>
      </c>
      <c r="E1017" s="341">
        <f>+F1017-G1017</f>
        <v>2000</v>
      </c>
      <c r="F1017" s="396">
        <v>2000</v>
      </c>
      <c r="G1017" s="396">
        <v>0</v>
      </c>
      <c r="H1017" t="s">
        <v>1174</v>
      </c>
      <c r="I1017" s="347" t="s">
        <v>296</v>
      </c>
      <c r="K1017" s="370"/>
      <c r="N1017" s="370"/>
    </row>
    <row r="1018" spans="1:14" s="347" customFormat="1" x14ac:dyDescent="0.25">
      <c r="A1018" s="369">
        <f>+A1017</f>
        <v>44272</v>
      </c>
      <c r="B1018" s="347">
        <f>+B1017</f>
        <v>3</v>
      </c>
      <c r="C1018" s="347">
        <v>3340</v>
      </c>
      <c r="D1018" s="340" t="str">
        <f>VLOOKUP(C1018,Plan!A$1:B$65542,2,0)</f>
        <v>Misas</v>
      </c>
      <c r="E1018" s="396">
        <f>-G1018</f>
        <v>-2000</v>
      </c>
      <c r="F1018" s="396">
        <v>0</v>
      </c>
      <c r="G1018" s="396">
        <f>+F1017</f>
        <v>2000</v>
      </c>
      <c r="H1018" s="347" t="str">
        <f>+H1017</f>
        <v>Misa Yolanda Haase Baeza</v>
      </c>
      <c r="I1018" s="347" t="s">
        <v>296</v>
      </c>
      <c r="K1018" s="370"/>
      <c r="N1018" s="370"/>
    </row>
    <row r="1019" spans="1:14" s="347" customFormat="1" x14ac:dyDescent="0.25">
      <c r="A1019" s="369"/>
      <c r="E1019" s="396"/>
      <c r="F1019" s="396"/>
      <c r="G1019" s="396"/>
      <c r="K1019" s="370"/>
      <c r="N1019" s="370"/>
    </row>
    <row r="1020" spans="1:14" s="347" customFormat="1" x14ac:dyDescent="0.25">
      <c r="A1020" s="369">
        <v>44272</v>
      </c>
      <c r="B1020" s="340">
        <f>+MONTH(A1020)</f>
        <v>3</v>
      </c>
      <c r="C1020" s="347">
        <v>110</v>
      </c>
      <c r="D1020" s="340" t="str">
        <f>VLOOKUP(C1020,Plan!A$1:B$65542,2,0)</f>
        <v>Disponible Administración</v>
      </c>
      <c r="E1020" s="341">
        <f>+F1020-G1020</f>
        <v>120000</v>
      </c>
      <c r="F1020" s="396">
        <v>120000</v>
      </c>
      <c r="G1020" s="396">
        <v>0</v>
      </c>
      <c r="H1020" t="s">
        <v>675</v>
      </c>
      <c r="I1020" s="347" t="s">
        <v>296</v>
      </c>
      <c r="K1020" s="370"/>
      <c r="N1020" s="370"/>
    </row>
    <row r="1021" spans="1:14" s="347" customFormat="1" x14ac:dyDescent="0.25">
      <c r="A1021" s="369">
        <f>+A1020</f>
        <v>44272</v>
      </c>
      <c r="B1021" s="347">
        <f>+B1020</f>
        <v>3</v>
      </c>
      <c r="C1021" s="347">
        <v>215</v>
      </c>
      <c r="D1021" s="340" t="str">
        <f>VLOOKUP(C1021,Plan!A$1:B$65542,2,0)</f>
        <v>Cuenta por Pagar a Cali</v>
      </c>
      <c r="E1021" s="396">
        <f>-G1021</f>
        <v>-120000</v>
      </c>
      <c r="F1021" s="396">
        <v>0</v>
      </c>
      <c r="G1021" s="396">
        <f>+F1020</f>
        <v>120000</v>
      </c>
      <c r="H1021" s="347" t="str">
        <f>+H1020</f>
        <v>Yolanda Haase Baeza / 249</v>
      </c>
      <c r="I1021" s="347" t="s">
        <v>296</v>
      </c>
      <c r="K1021" s="370"/>
      <c r="N1021" s="370"/>
    </row>
    <row r="1022" spans="1:14" s="347" customFormat="1" x14ac:dyDescent="0.25">
      <c r="A1022" s="369"/>
      <c r="E1022" s="396"/>
      <c r="F1022" s="396"/>
      <c r="G1022" s="396"/>
      <c r="K1022" s="370"/>
      <c r="N1022" s="370"/>
    </row>
    <row r="1023" spans="1:14" s="347" customFormat="1" x14ac:dyDescent="0.25">
      <c r="A1023" s="369">
        <v>44272</v>
      </c>
      <c r="B1023" s="340">
        <f>+MONTH(A1023)</f>
        <v>3</v>
      </c>
      <c r="C1023" s="347">
        <v>110</v>
      </c>
      <c r="D1023" s="340" t="str">
        <f>VLOOKUP(C1023,Plan!A$1:B$65542,2,0)</f>
        <v>Disponible Administración</v>
      </c>
      <c r="E1023" s="341">
        <f>+F1023-G1023</f>
        <v>40000</v>
      </c>
      <c r="F1023" s="396">
        <v>40000</v>
      </c>
      <c r="G1023" s="396">
        <v>0</v>
      </c>
      <c r="H1023" t="s">
        <v>1175</v>
      </c>
      <c r="I1023" s="347" t="s">
        <v>296</v>
      </c>
      <c r="K1023" s="370"/>
      <c r="N1023" s="370"/>
    </row>
    <row r="1024" spans="1:14" s="347" customFormat="1" x14ac:dyDescent="0.25">
      <c r="A1024" s="369">
        <f>+A1023</f>
        <v>44272</v>
      </c>
      <c r="B1024" s="347">
        <f>+B1023</f>
        <v>3</v>
      </c>
      <c r="C1024" s="347">
        <v>3320</v>
      </c>
      <c r="D1024" s="340" t="str">
        <f>VLOOKUP(C1024,Plan!A$1:B$65542,2,0)</f>
        <v>Matrimonios</v>
      </c>
      <c r="E1024" s="396">
        <f>-G1024</f>
        <v>-40000</v>
      </c>
      <c r="F1024" s="396">
        <v>0</v>
      </c>
      <c r="G1024" s="396">
        <f>+F1023</f>
        <v>40000</v>
      </c>
      <c r="H1024" s="347" t="str">
        <f>+H1023</f>
        <v>Matrimonio Juan Pablo Loyola Mellado</v>
      </c>
      <c r="I1024" s="347" t="s">
        <v>296</v>
      </c>
      <c r="K1024" s="370"/>
      <c r="N1024" s="370"/>
    </row>
    <row r="1025" spans="1:14" s="347" customFormat="1" x14ac:dyDescent="0.25">
      <c r="A1025" s="369"/>
      <c r="E1025" s="396"/>
      <c r="F1025" s="396"/>
      <c r="G1025" s="396"/>
      <c r="K1025" s="370"/>
      <c r="N1025" s="370"/>
    </row>
    <row r="1026" spans="1:14" s="347" customFormat="1" x14ac:dyDescent="0.25">
      <c r="A1026" s="369">
        <v>44272</v>
      </c>
      <c r="B1026" s="340">
        <f>+MONTH(A1026)</f>
        <v>3</v>
      </c>
      <c r="C1026" s="347">
        <v>110</v>
      </c>
      <c r="D1026" s="340" t="str">
        <f>VLOOKUP(C1026,Plan!A$1:B$65542,2,0)</f>
        <v>Disponible Administración</v>
      </c>
      <c r="E1026" s="341">
        <f>+F1026-G1026</f>
        <v>21714</v>
      </c>
      <c r="F1026" s="396">
        <v>21714</v>
      </c>
      <c r="G1026" s="396">
        <v>0</v>
      </c>
      <c r="H1026" t="s">
        <v>1176</v>
      </c>
      <c r="I1026" s="347" t="s">
        <v>296</v>
      </c>
      <c r="K1026" s="370"/>
      <c r="N1026" s="370"/>
    </row>
    <row r="1027" spans="1:14" s="347" customFormat="1" x14ac:dyDescent="0.25">
      <c r="A1027" s="369">
        <f>+A1026</f>
        <v>44272</v>
      </c>
      <c r="B1027" s="347">
        <f>+B1026</f>
        <v>3</v>
      </c>
      <c r="C1027" s="347">
        <v>3340</v>
      </c>
      <c r="D1027" s="340" t="str">
        <f>VLOOKUP(C1027,Plan!A$1:B$65542,2,0)</f>
        <v>Misas</v>
      </c>
      <c r="E1027" s="396">
        <f>-G1027</f>
        <v>-21714</v>
      </c>
      <c r="F1027" s="396">
        <v>0</v>
      </c>
      <c r="G1027" s="396">
        <f>+F1026</f>
        <v>21714</v>
      </c>
      <c r="H1027" s="347" t="str">
        <f>+H1026</f>
        <v>Misa</v>
      </c>
      <c r="I1027" s="347" t="s">
        <v>296</v>
      </c>
      <c r="K1027" s="370"/>
      <c r="N1027" s="370"/>
    </row>
    <row r="1028" spans="1:14" s="347" customFormat="1" x14ac:dyDescent="0.25">
      <c r="A1028" s="369"/>
      <c r="E1028" s="396"/>
      <c r="F1028" s="396"/>
      <c r="G1028" s="396"/>
      <c r="K1028" s="370"/>
      <c r="N1028" s="370"/>
    </row>
    <row r="1029" spans="1:14" s="347" customFormat="1" x14ac:dyDescent="0.25">
      <c r="A1029" s="369">
        <v>44272</v>
      </c>
      <c r="B1029" s="340">
        <f>+MONTH(A1029)</f>
        <v>3</v>
      </c>
      <c r="C1029" s="347">
        <v>110</v>
      </c>
      <c r="D1029" s="340" t="str">
        <f>VLOOKUP(C1029,Plan!A$1:B$65542,2,0)</f>
        <v>Disponible Administración</v>
      </c>
      <c r="E1029" s="341">
        <f>+F1029-G1029</f>
        <v>3000</v>
      </c>
      <c r="F1029" s="396">
        <v>3000</v>
      </c>
      <c r="G1029" s="396">
        <v>0</v>
      </c>
      <c r="H1029" t="s">
        <v>1177</v>
      </c>
      <c r="I1029" s="347" t="s">
        <v>296</v>
      </c>
      <c r="K1029" s="370"/>
      <c r="N1029" s="370"/>
    </row>
    <row r="1030" spans="1:14" s="347" customFormat="1" x14ac:dyDescent="0.25">
      <c r="A1030" s="369">
        <f>+A1029</f>
        <v>44272</v>
      </c>
      <c r="B1030" s="347">
        <f>+B1029</f>
        <v>3</v>
      </c>
      <c r="C1030" s="347">
        <v>3350</v>
      </c>
      <c r="D1030" s="340" t="str">
        <f>VLOOKUP(C1030,Plan!A$1:B$65542,2,0)</f>
        <v>Bautizos</v>
      </c>
      <c r="E1030" s="396">
        <f>-G1030</f>
        <v>-3000</v>
      </c>
      <c r="F1030" s="396">
        <v>0</v>
      </c>
      <c r="G1030" s="396">
        <f>+F1029</f>
        <v>3000</v>
      </c>
      <c r="H1030" s="347" t="str">
        <f>+H1029</f>
        <v>Bautizo Felipe Hubner</v>
      </c>
      <c r="I1030" s="347" t="s">
        <v>296</v>
      </c>
      <c r="K1030" s="370"/>
      <c r="N1030" s="370"/>
    </row>
    <row r="1031" spans="1:14" s="347" customFormat="1" x14ac:dyDescent="0.25">
      <c r="A1031" s="369"/>
      <c r="E1031" s="396"/>
      <c r="F1031" s="396"/>
      <c r="G1031" s="396"/>
      <c r="K1031" s="370"/>
      <c r="N1031" s="370"/>
    </row>
    <row r="1032" spans="1:14" s="347" customFormat="1" x14ac:dyDescent="0.25">
      <c r="A1032" s="369">
        <v>44273</v>
      </c>
      <c r="B1032" s="340">
        <f>+MONTH(A1032)</f>
        <v>3</v>
      </c>
      <c r="C1032" s="347">
        <v>110</v>
      </c>
      <c r="D1032" s="340" t="str">
        <f>VLOOKUP(C1032,Plan!A$1:B$65542,2,0)</f>
        <v>Disponible Administración</v>
      </c>
      <c r="E1032" s="341">
        <f>+F1032-G1032</f>
        <v>100000</v>
      </c>
      <c r="F1032" s="396">
        <v>100000</v>
      </c>
      <c r="G1032" s="396">
        <v>0</v>
      </c>
      <c r="H1032" t="s">
        <v>1178</v>
      </c>
      <c r="I1032" s="347" t="s">
        <v>296</v>
      </c>
      <c r="K1032" s="370"/>
      <c r="N1032" s="370"/>
    </row>
    <row r="1033" spans="1:14" s="347" customFormat="1" x14ac:dyDescent="0.25">
      <c r="A1033" s="369">
        <f>+A1032</f>
        <v>44273</v>
      </c>
      <c r="B1033" s="347">
        <f>+B1032</f>
        <v>3</v>
      </c>
      <c r="C1033" s="347">
        <v>3320</v>
      </c>
      <c r="D1033" s="340" t="str">
        <f>VLOOKUP(C1033,Plan!A$1:B$65542,2,0)</f>
        <v>Matrimonios</v>
      </c>
      <c r="E1033" s="396">
        <f>-G1033</f>
        <v>-100000</v>
      </c>
      <c r="F1033" s="396">
        <v>0</v>
      </c>
      <c r="G1033" s="396">
        <f>+F1032</f>
        <v>100000</v>
      </c>
      <c r="H1033" s="347" t="str">
        <f>+H1032</f>
        <v>Matrimonio Magdalena Herrera R (Valera-Herrera)</v>
      </c>
      <c r="I1033" s="347" t="s">
        <v>296</v>
      </c>
      <c r="K1033" s="370"/>
      <c r="N1033" s="370"/>
    </row>
    <row r="1034" spans="1:14" s="347" customFormat="1" x14ac:dyDescent="0.25">
      <c r="A1034" s="369"/>
      <c r="E1034" s="396"/>
      <c r="F1034" s="396"/>
      <c r="G1034" s="396"/>
      <c r="K1034" s="370"/>
      <c r="N1034" s="370"/>
    </row>
    <row r="1035" spans="1:14" s="347" customFormat="1" x14ac:dyDescent="0.25">
      <c r="A1035" s="369">
        <v>44273</v>
      </c>
      <c r="B1035" s="340">
        <f>+MONTH(A1035)</f>
        <v>3</v>
      </c>
      <c r="C1035" s="347">
        <v>110</v>
      </c>
      <c r="D1035" s="340" t="str">
        <f>VLOOKUP(C1035,Plan!A$1:B$65542,2,0)</f>
        <v>Disponible Administración</v>
      </c>
      <c r="E1035" s="341">
        <f>+F1035-G1035</f>
        <v>10000</v>
      </c>
      <c r="F1035" s="396">
        <v>10000</v>
      </c>
      <c r="G1035" s="396">
        <v>0</v>
      </c>
      <c r="H1035" t="s">
        <v>1179</v>
      </c>
      <c r="I1035" s="347" t="s">
        <v>296</v>
      </c>
      <c r="K1035" s="370"/>
      <c r="N1035" s="370"/>
    </row>
    <row r="1036" spans="1:14" s="347" customFormat="1" x14ac:dyDescent="0.25">
      <c r="A1036" s="369">
        <f>+A1035</f>
        <v>44273</v>
      </c>
      <c r="B1036" s="347">
        <f>+B1035</f>
        <v>3</v>
      </c>
      <c r="C1036" s="347">
        <v>3110</v>
      </c>
      <c r="D1036" s="340" t="str">
        <f>VLOOKUP(C1036,Plan!A$1:B$65542,2,0)</f>
        <v>Colectas Normales</v>
      </c>
      <c r="E1036" s="396">
        <f>-G1036</f>
        <v>-10000</v>
      </c>
      <c r="F1036" s="396">
        <v>0</v>
      </c>
      <c r="G1036" s="396">
        <f>+F1035</f>
        <v>10000</v>
      </c>
      <c r="H1036" s="347" t="str">
        <f>+H1035</f>
        <v>Colecta Carmen Gloria Rivas Varas</v>
      </c>
      <c r="I1036" s="347" t="s">
        <v>296</v>
      </c>
      <c r="K1036" s="370"/>
      <c r="N1036" s="370"/>
    </row>
    <row r="1037" spans="1:14" s="347" customFormat="1" x14ac:dyDescent="0.25">
      <c r="A1037" s="369"/>
      <c r="E1037" s="396"/>
      <c r="F1037" s="396"/>
      <c r="G1037" s="396"/>
      <c r="K1037" s="370"/>
      <c r="N1037" s="370"/>
    </row>
    <row r="1038" spans="1:14" s="347" customFormat="1" x14ac:dyDescent="0.25">
      <c r="A1038" s="369">
        <v>44273</v>
      </c>
      <c r="B1038" s="340">
        <f>+MONTH(A1038)</f>
        <v>3</v>
      </c>
      <c r="C1038" s="347">
        <v>110</v>
      </c>
      <c r="D1038" s="340" t="str">
        <f>VLOOKUP(C1038,Plan!A$1:B$65542,2,0)</f>
        <v>Disponible Administración</v>
      </c>
      <c r="E1038" s="341">
        <f>+F1038-G1038</f>
        <v>22000</v>
      </c>
      <c r="F1038" s="396">
        <v>22000</v>
      </c>
      <c r="G1038" s="396">
        <v>0</v>
      </c>
      <c r="H1038" t="s">
        <v>1180</v>
      </c>
      <c r="I1038" s="347" t="s">
        <v>296</v>
      </c>
      <c r="K1038" s="370"/>
      <c r="N1038" s="370"/>
    </row>
    <row r="1039" spans="1:14" s="347" customFormat="1" x14ac:dyDescent="0.25">
      <c r="A1039" s="369">
        <f>+A1038</f>
        <v>44273</v>
      </c>
      <c r="B1039" s="347">
        <f>+B1038</f>
        <v>3</v>
      </c>
      <c r="C1039" s="347">
        <v>3110</v>
      </c>
      <c r="D1039" s="340" t="str">
        <f>VLOOKUP(C1039,Plan!A$1:B$65542,2,0)</f>
        <v>Colectas Normales</v>
      </c>
      <c r="E1039" s="396">
        <f>-G1039</f>
        <v>-22000</v>
      </c>
      <c r="F1039" s="396">
        <v>0</v>
      </c>
      <c r="G1039" s="396">
        <f>+F1038</f>
        <v>22000</v>
      </c>
      <c r="H1039" s="347" t="str">
        <f>+H1038</f>
        <v>Dep. Colecta  Col Cordillera</v>
      </c>
      <c r="I1039" s="347" t="s">
        <v>296</v>
      </c>
      <c r="K1039" s="370"/>
      <c r="N1039" s="370"/>
    </row>
    <row r="1040" spans="1:14" s="347" customFormat="1" x14ac:dyDescent="0.25">
      <c r="A1040" s="369"/>
      <c r="E1040" s="396"/>
      <c r="F1040" s="396"/>
      <c r="G1040" s="396"/>
      <c r="K1040" s="370"/>
      <c r="N1040" s="370"/>
    </row>
    <row r="1041" spans="1:14" s="347" customFormat="1" x14ac:dyDescent="0.25">
      <c r="A1041" s="369">
        <v>44274</v>
      </c>
      <c r="B1041" s="340">
        <f>+MONTH(A1041)</f>
        <v>3</v>
      </c>
      <c r="C1041" s="347">
        <v>110</v>
      </c>
      <c r="D1041" s="340" t="str">
        <f>VLOOKUP(C1041,Plan!A$1:B$65542,2,0)</f>
        <v>Disponible Administración</v>
      </c>
      <c r="E1041" s="341">
        <f>+F1041-G1041</f>
        <v>25000</v>
      </c>
      <c r="F1041" s="396">
        <v>25000</v>
      </c>
      <c r="G1041" s="396">
        <v>0</v>
      </c>
      <c r="H1041" t="s">
        <v>1181</v>
      </c>
      <c r="I1041" s="347" t="s">
        <v>296</v>
      </c>
      <c r="K1041" s="370"/>
      <c r="N1041" s="370"/>
    </row>
    <row r="1042" spans="1:14" s="347" customFormat="1" x14ac:dyDescent="0.25">
      <c r="A1042" s="369">
        <f>+A1041</f>
        <v>44274</v>
      </c>
      <c r="B1042" s="347">
        <f>+B1041</f>
        <v>3</v>
      </c>
      <c r="C1042" s="347">
        <v>3360</v>
      </c>
      <c r="D1042" s="340" t="str">
        <f>VLOOKUP(C1042,Plan!A$1:B$65542,2,0)</f>
        <v>Otros</v>
      </c>
      <c r="E1042" s="396">
        <f>-G1042</f>
        <v>-25000</v>
      </c>
      <c r="F1042" s="396">
        <v>0</v>
      </c>
      <c r="G1042" s="396">
        <f>+F1041</f>
        <v>25000</v>
      </c>
      <c r="H1042" s="347" t="str">
        <f>+H1041</f>
        <v>Curso Biblia Sofia Vives Ekdahl</v>
      </c>
      <c r="I1042" s="347" t="s">
        <v>296</v>
      </c>
      <c r="K1042" s="370"/>
      <c r="N1042" s="370"/>
    </row>
    <row r="1043" spans="1:14" s="347" customFormat="1" x14ac:dyDescent="0.25">
      <c r="A1043" s="369"/>
      <c r="E1043" s="396"/>
      <c r="F1043" s="396"/>
      <c r="G1043" s="396"/>
      <c r="K1043" s="370"/>
      <c r="N1043" s="370"/>
    </row>
    <row r="1044" spans="1:14" s="347" customFormat="1" x14ac:dyDescent="0.25">
      <c r="A1044" s="369">
        <v>44274</v>
      </c>
      <c r="B1044" s="340">
        <f>+MONTH(A1044)</f>
        <v>3</v>
      </c>
      <c r="C1044" s="347">
        <v>110</v>
      </c>
      <c r="D1044" s="340" t="str">
        <f>VLOOKUP(C1044,Plan!A$1:B$65542,2,0)</f>
        <v>Disponible Administración</v>
      </c>
      <c r="E1044" s="341">
        <f>+F1044-G1044</f>
        <v>24588</v>
      </c>
      <c r="F1044" s="396">
        <v>24588</v>
      </c>
      <c r="G1044" s="396">
        <v>0</v>
      </c>
      <c r="H1044" t="s">
        <v>1182</v>
      </c>
      <c r="I1044" s="347" t="s">
        <v>296</v>
      </c>
      <c r="K1044" s="370"/>
      <c r="N1044" s="370"/>
    </row>
    <row r="1045" spans="1:14" s="347" customFormat="1" x14ac:dyDescent="0.25">
      <c r="A1045" s="369">
        <f>+A1044</f>
        <v>44274</v>
      </c>
      <c r="B1045" s="347">
        <f>+B1044</f>
        <v>3</v>
      </c>
      <c r="C1045" s="347">
        <v>3320</v>
      </c>
      <c r="D1045" s="340" t="str">
        <f>VLOOKUP(C1045,Plan!A$1:B$65542,2,0)</f>
        <v>Matrimonios</v>
      </c>
      <c r="E1045" s="396">
        <f>-G1045</f>
        <v>-24588</v>
      </c>
      <c r="F1045" s="396">
        <v>0</v>
      </c>
      <c r="G1045" s="396">
        <f>+F1044</f>
        <v>24588</v>
      </c>
      <c r="H1045" s="347" t="str">
        <f>+H1044</f>
        <v>Matrimonio Olea Wenke</v>
      </c>
      <c r="I1045" s="347" t="s">
        <v>296</v>
      </c>
      <c r="K1045" s="370"/>
      <c r="N1045" s="370"/>
    </row>
    <row r="1046" spans="1:14" s="347" customFormat="1" x14ac:dyDescent="0.25">
      <c r="A1046" s="369"/>
      <c r="E1046" s="396"/>
      <c r="F1046" s="396"/>
      <c r="G1046" s="396"/>
      <c r="K1046" s="370"/>
      <c r="N1046" s="370"/>
    </row>
    <row r="1047" spans="1:14" s="347" customFormat="1" x14ac:dyDescent="0.25">
      <c r="A1047" s="369">
        <v>44277</v>
      </c>
      <c r="B1047" s="340">
        <f>+MONTH(A1047)</f>
        <v>3</v>
      </c>
      <c r="C1047" s="347">
        <v>110</v>
      </c>
      <c r="D1047" s="340" t="str">
        <f>VLOOKUP(C1047,Plan!A$1:B$65542,2,0)</f>
        <v>Disponible Administración</v>
      </c>
      <c r="E1047" s="341">
        <f>+F1047-G1047</f>
        <v>10000</v>
      </c>
      <c r="F1047" s="396">
        <v>10000</v>
      </c>
      <c r="G1047" s="396">
        <v>0</v>
      </c>
      <c r="H1047" t="s">
        <v>1183</v>
      </c>
      <c r="I1047" s="347" t="s">
        <v>296</v>
      </c>
      <c r="K1047" s="370"/>
      <c r="N1047" s="370"/>
    </row>
    <row r="1048" spans="1:14" s="347" customFormat="1" x14ac:dyDescent="0.25">
      <c r="A1048" s="369">
        <f>+A1047</f>
        <v>44277</v>
      </c>
      <c r="B1048" s="347">
        <f>+B1047</f>
        <v>3</v>
      </c>
      <c r="C1048" s="347">
        <v>3110</v>
      </c>
      <c r="D1048" s="340" t="str">
        <f>VLOOKUP(C1048,Plan!A$1:B$65542,2,0)</f>
        <v>Colectas Normales</v>
      </c>
      <c r="E1048" s="396">
        <f>-G1048</f>
        <v>-10000</v>
      </c>
      <c r="F1048" s="396">
        <v>0</v>
      </c>
      <c r="G1048" s="396">
        <f>+F1047</f>
        <v>10000</v>
      </c>
      <c r="H1048" s="347" t="str">
        <f>+H1047</f>
        <v>Colecta Hilda Dougnac</v>
      </c>
      <c r="I1048" s="347" t="s">
        <v>296</v>
      </c>
      <c r="K1048" s="370"/>
      <c r="N1048" s="370"/>
    </row>
    <row r="1049" spans="1:14" s="347" customFormat="1" x14ac:dyDescent="0.25">
      <c r="A1049" s="369"/>
      <c r="E1049" s="396"/>
      <c r="F1049" s="396"/>
      <c r="G1049" s="396"/>
      <c r="K1049" s="370"/>
      <c r="N1049" s="370"/>
    </row>
    <row r="1050" spans="1:14" s="347" customFormat="1" x14ac:dyDescent="0.25">
      <c r="A1050" s="369">
        <v>44277</v>
      </c>
      <c r="B1050" s="340">
        <f>+MONTH(A1050)</f>
        <v>3</v>
      </c>
      <c r="C1050" s="347">
        <v>110</v>
      </c>
      <c r="D1050" s="340" t="str">
        <f>VLOOKUP(C1050,Plan!A$1:B$65542,2,0)</f>
        <v>Disponible Administración</v>
      </c>
      <c r="E1050" s="341">
        <f>+F1050-G1050</f>
        <v>10000</v>
      </c>
      <c r="F1050" s="396">
        <v>10000</v>
      </c>
      <c r="G1050" s="396">
        <v>0</v>
      </c>
      <c r="H1050" t="s">
        <v>881</v>
      </c>
      <c r="I1050" s="347" t="s">
        <v>296</v>
      </c>
      <c r="K1050" s="370"/>
      <c r="N1050" s="370"/>
    </row>
    <row r="1051" spans="1:14" s="347" customFormat="1" x14ac:dyDescent="0.25">
      <c r="A1051" s="369">
        <f>+A1050</f>
        <v>44277</v>
      </c>
      <c r="B1051" s="347">
        <f>+B1050</f>
        <v>3</v>
      </c>
      <c r="C1051" s="347">
        <v>3110</v>
      </c>
      <c r="D1051" s="340" t="str">
        <f>VLOOKUP(C1051,Plan!A$1:B$65542,2,0)</f>
        <v>Colectas Normales</v>
      </c>
      <c r="E1051" s="396">
        <f>-G1051</f>
        <v>-10000</v>
      </c>
      <c r="F1051" s="396">
        <v>0</v>
      </c>
      <c r="G1051" s="396">
        <f>+F1050</f>
        <v>10000</v>
      </c>
      <c r="H1051" s="347" t="str">
        <f>+H1050</f>
        <v>Colecta Rafael Marin Jordan</v>
      </c>
      <c r="I1051" s="347" t="s">
        <v>296</v>
      </c>
      <c r="K1051" s="370"/>
      <c r="N1051" s="370"/>
    </row>
    <row r="1052" spans="1:14" s="347" customFormat="1" x14ac:dyDescent="0.25">
      <c r="A1052" s="369"/>
      <c r="E1052" s="396"/>
      <c r="F1052" s="396"/>
      <c r="G1052" s="396"/>
      <c r="K1052" s="370"/>
      <c r="N1052" s="370"/>
    </row>
    <row r="1053" spans="1:14" s="347" customFormat="1" x14ac:dyDescent="0.25">
      <c r="A1053" s="369">
        <v>44277</v>
      </c>
      <c r="B1053" s="340">
        <f>+MONTH(A1053)</f>
        <v>3</v>
      </c>
      <c r="C1053" s="347">
        <v>110</v>
      </c>
      <c r="D1053" s="340" t="str">
        <f>VLOOKUP(C1053,Plan!A$1:B$65542,2,0)</f>
        <v>Disponible Administración</v>
      </c>
      <c r="E1053" s="341">
        <f>+F1053-G1053</f>
        <v>15000</v>
      </c>
      <c r="F1053" s="396">
        <v>15000</v>
      </c>
      <c r="G1053" s="396">
        <v>0</v>
      </c>
      <c r="H1053" t="s">
        <v>1184</v>
      </c>
      <c r="I1053" s="347" t="s">
        <v>296</v>
      </c>
      <c r="K1053" s="370"/>
      <c r="N1053" s="370"/>
    </row>
    <row r="1054" spans="1:14" s="347" customFormat="1" x14ac:dyDescent="0.25">
      <c r="A1054" s="369">
        <f>+A1053</f>
        <v>44277</v>
      </c>
      <c r="B1054" s="347">
        <f>+B1053</f>
        <v>3</v>
      </c>
      <c r="C1054" s="347">
        <v>3110</v>
      </c>
      <c r="D1054" s="340" t="str">
        <f>VLOOKUP(C1054,Plan!A$1:B$65542,2,0)</f>
        <v>Colectas Normales</v>
      </c>
      <c r="E1054" s="396">
        <f>-G1054</f>
        <v>-15000</v>
      </c>
      <c r="F1054" s="396">
        <v>0</v>
      </c>
      <c r="G1054" s="396">
        <f>+F1053</f>
        <v>15000</v>
      </c>
      <c r="H1054" s="347" t="str">
        <f>+H1053</f>
        <v>Colecta Maria Jose Urrutia Cruz</v>
      </c>
      <c r="I1054" s="347" t="s">
        <v>296</v>
      </c>
      <c r="K1054" s="370"/>
      <c r="N1054" s="370"/>
    </row>
    <row r="1055" spans="1:14" s="347" customFormat="1" x14ac:dyDescent="0.25">
      <c r="A1055" s="369"/>
      <c r="E1055" s="396"/>
      <c r="F1055" s="396"/>
      <c r="G1055" s="396"/>
      <c r="K1055" s="370"/>
      <c r="N1055" s="370"/>
    </row>
    <row r="1056" spans="1:14" s="347" customFormat="1" x14ac:dyDescent="0.25">
      <c r="A1056" s="369">
        <v>44277</v>
      </c>
      <c r="B1056" s="340">
        <f>+MONTH(A1056)</f>
        <v>3</v>
      </c>
      <c r="C1056" s="347">
        <v>110</v>
      </c>
      <c r="D1056" s="340" t="str">
        <f>VLOOKUP(C1056,Plan!A$1:B$65542,2,0)</f>
        <v>Disponible Administración</v>
      </c>
      <c r="E1056" s="341">
        <f>+F1056-G1056</f>
        <v>10000</v>
      </c>
      <c r="F1056" s="396">
        <v>10000</v>
      </c>
      <c r="G1056" s="396">
        <v>0</v>
      </c>
      <c r="H1056" t="s">
        <v>1185</v>
      </c>
      <c r="I1056" s="347" t="s">
        <v>296</v>
      </c>
      <c r="K1056" s="370"/>
      <c r="N1056" s="370"/>
    </row>
    <row r="1057" spans="1:14" s="347" customFormat="1" x14ac:dyDescent="0.25">
      <c r="A1057" s="369">
        <f>+A1056</f>
        <v>44277</v>
      </c>
      <c r="B1057" s="347">
        <f>+B1056</f>
        <v>3</v>
      </c>
      <c r="C1057" s="347">
        <v>3110</v>
      </c>
      <c r="D1057" s="340" t="str">
        <f>VLOOKUP(C1057,Plan!A$1:B$65542,2,0)</f>
        <v>Colectas Normales</v>
      </c>
      <c r="E1057" s="396">
        <f>-G1057</f>
        <v>-10000</v>
      </c>
      <c r="F1057" s="396">
        <v>0</v>
      </c>
      <c r="G1057" s="396">
        <f>+F1056</f>
        <v>10000</v>
      </c>
      <c r="H1057" s="347" t="str">
        <f>+H1056</f>
        <v>Colecta M. Veronica Guarda A</v>
      </c>
      <c r="I1057" s="347" t="s">
        <v>296</v>
      </c>
      <c r="K1057" s="370"/>
      <c r="N1057" s="370"/>
    </row>
    <row r="1058" spans="1:14" s="347" customFormat="1" x14ac:dyDescent="0.25">
      <c r="A1058" s="369"/>
      <c r="E1058" s="396"/>
      <c r="F1058" s="396"/>
      <c r="G1058" s="396"/>
      <c r="K1058" s="370"/>
      <c r="N1058" s="370"/>
    </row>
    <row r="1059" spans="1:14" s="347" customFormat="1" x14ac:dyDescent="0.25">
      <c r="A1059" s="369">
        <v>44277</v>
      </c>
      <c r="B1059" s="340">
        <f>+MONTH(A1059)</f>
        <v>3</v>
      </c>
      <c r="C1059" s="347">
        <v>110</v>
      </c>
      <c r="D1059" s="340" t="str">
        <f>VLOOKUP(C1059,Plan!A$1:B$65542,2,0)</f>
        <v>Disponible Administración</v>
      </c>
      <c r="E1059" s="341">
        <f>+F1059-G1059</f>
        <v>3000</v>
      </c>
      <c r="F1059" s="396">
        <v>3000</v>
      </c>
      <c r="G1059" s="396">
        <v>0</v>
      </c>
      <c r="H1059" t="s">
        <v>1158</v>
      </c>
      <c r="I1059" s="347" t="s">
        <v>296</v>
      </c>
      <c r="K1059" s="370"/>
      <c r="N1059" s="370"/>
    </row>
    <row r="1060" spans="1:14" s="347" customFormat="1" x14ac:dyDescent="0.25">
      <c r="A1060" s="369">
        <f>+A1059</f>
        <v>44277</v>
      </c>
      <c r="B1060" s="347">
        <f>+B1059</f>
        <v>3</v>
      </c>
      <c r="C1060" s="347">
        <v>3110</v>
      </c>
      <c r="D1060" s="340" t="str">
        <f>VLOOKUP(C1060,Plan!A$1:B$65542,2,0)</f>
        <v>Colectas Normales</v>
      </c>
      <c r="E1060" s="396">
        <f>-G1060</f>
        <v>-3000</v>
      </c>
      <c r="F1060" s="396">
        <v>0</v>
      </c>
      <c r="G1060" s="396">
        <f>+F1059</f>
        <v>3000</v>
      </c>
      <c r="H1060" s="347" t="str">
        <f>+H1059</f>
        <v>Colecta Jose Perez De Castro</v>
      </c>
      <c r="I1060" s="347" t="s">
        <v>296</v>
      </c>
      <c r="K1060" s="370"/>
      <c r="N1060" s="370"/>
    </row>
    <row r="1061" spans="1:14" s="347" customFormat="1" x14ac:dyDescent="0.25">
      <c r="A1061" s="369"/>
      <c r="E1061" s="396"/>
      <c r="F1061" s="396"/>
      <c r="G1061" s="396"/>
      <c r="K1061" s="370"/>
      <c r="N1061" s="370"/>
    </row>
    <row r="1062" spans="1:14" s="347" customFormat="1" x14ac:dyDescent="0.25">
      <c r="A1062" s="369">
        <v>44277</v>
      </c>
      <c r="B1062" s="340">
        <f>+MONTH(A1062)</f>
        <v>3</v>
      </c>
      <c r="C1062" s="347">
        <v>110</v>
      </c>
      <c r="D1062" s="340" t="str">
        <f>VLOOKUP(C1062,Plan!A$1:B$65542,2,0)</f>
        <v>Disponible Administración</v>
      </c>
      <c r="E1062" s="341">
        <f>+F1062-G1062</f>
        <v>10000</v>
      </c>
      <c r="F1062" s="396">
        <v>10000</v>
      </c>
      <c r="G1062" s="396">
        <v>0</v>
      </c>
      <c r="H1062" t="s">
        <v>1158</v>
      </c>
      <c r="I1062" s="347" t="s">
        <v>296</v>
      </c>
      <c r="K1062" s="370"/>
      <c r="N1062" s="370"/>
    </row>
    <row r="1063" spans="1:14" s="347" customFormat="1" x14ac:dyDescent="0.25">
      <c r="A1063" s="369">
        <f>+A1062</f>
        <v>44277</v>
      </c>
      <c r="B1063" s="347">
        <f>+B1062</f>
        <v>3</v>
      </c>
      <c r="C1063" s="347">
        <v>3110</v>
      </c>
      <c r="D1063" s="340" t="str">
        <f>VLOOKUP(C1063,Plan!A$1:B$65542,2,0)</f>
        <v>Colectas Normales</v>
      </c>
      <c r="E1063" s="396">
        <f>-G1063</f>
        <v>-10000</v>
      </c>
      <c r="F1063" s="396">
        <v>0</v>
      </c>
      <c r="G1063" s="396">
        <f>+F1062</f>
        <v>10000</v>
      </c>
      <c r="H1063" s="347" t="str">
        <f>+H1062</f>
        <v>Colecta Jose Perez De Castro</v>
      </c>
      <c r="I1063" s="347" t="s">
        <v>296</v>
      </c>
      <c r="K1063" s="370"/>
      <c r="N1063" s="370"/>
    </row>
    <row r="1064" spans="1:14" s="347" customFormat="1" x14ac:dyDescent="0.25">
      <c r="A1064" s="369"/>
      <c r="E1064" s="396"/>
      <c r="F1064" s="396"/>
      <c r="G1064" s="396"/>
      <c r="K1064" s="370"/>
      <c r="N1064" s="370"/>
    </row>
    <row r="1065" spans="1:14" s="347" customFormat="1" x14ac:dyDescent="0.25">
      <c r="A1065" s="369">
        <v>44277</v>
      </c>
      <c r="B1065" s="340">
        <f>+MONTH(A1065)</f>
        <v>3</v>
      </c>
      <c r="C1065" s="347">
        <v>110</v>
      </c>
      <c r="D1065" s="340" t="str">
        <f>VLOOKUP(C1065,Plan!A$1:B$65542,2,0)</f>
        <v>Disponible Administración</v>
      </c>
      <c r="E1065" s="341">
        <f>+F1065-G1065</f>
        <v>5000</v>
      </c>
      <c r="F1065" s="396">
        <v>5000</v>
      </c>
      <c r="G1065" s="396">
        <v>0</v>
      </c>
      <c r="H1065" t="s">
        <v>1186</v>
      </c>
      <c r="I1065" s="347" t="s">
        <v>296</v>
      </c>
      <c r="K1065" s="370"/>
      <c r="N1065" s="370"/>
    </row>
    <row r="1066" spans="1:14" s="347" customFormat="1" x14ac:dyDescent="0.25">
      <c r="A1066" s="369">
        <f>+A1065</f>
        <v>44277</v>
      </c>
      <c r="B1066" s="347">
        <f>+B1065</f>
        <v>3</v>
      </c>
      <c r="C1066" s="347">
        <v>3110</v>
      </c>
      <c r="D1066" s="340" t="str">
        <f>VLOOKUP(C1066,Plan!A$1:B$65542,2,0)</f>
        <v>Colectas Normales</v>
      </c>
      <c r="E1066" s="396">
        <f>-G1066</f>
        <v>-5000</v>
      </c>
      <c r="F1066" s="396">
        <v>0</v>
      </c>
      <c r="G1066" s="396">
        <f>+F1065</f>
        <v>5000</v>
      </c>
      <c r="H1066" s="347" t="str">
        <f>+H1065</f>
        <v>Colecta Cristobal Villar Martino</v>
      </c>
      <c r="I1066" s="347" t="s">
        <v>296</v>
      </c>
      <c r="K1066" s="370"/>
      <c r="N1066" s="370"/>
    </row>
    <row r="1067" spans="1:14" s="347" customFormat="1" x14ac:dyDescent="0.25">
      <c r="A1067" s="369"/>
      <c r="E1067" s="396"/>
      <c r="F1067" s="396"/>
      <c r="G1067" s="396"/>
      <c r="K1067" s="370"/>
      <c r="N1067" s="370"/>
    </row>
    <row r="1068" spans="1:14" s="347" customFormat="1" x14ac:dyDescent="0.25">
      <c r="A1068" s="369">
        <v>44277</v>
      </c>
      <c r="B1068" s="340">
        <f>+MONTH(A1068)</f>
        <v>3</v>
      </c>
      <c r="C1068" s="347">
        <v>110</v>
      </c>
      <c r="D1068" s="340" t="str">
        <f>VLOOKUP(C1068,Plan!A$1:B$65542,2,0)</f>
        <v>Disponible Administración</v>
      </c>
      <c r="E1068" s="341">
        <f>+F1068-G1068</f>
        <v>150000</v>
      </c>
      <c r="F1068" s="396">
        <v>150000</v>
      </c>
      <c r="G1068" s="396">
        <v>0</v>
      </c>
      <c r="H1068" t="s">
        <v>1187</v>
      </c>
      <c r="I1068" s="347" t="s">
        <v>296</v>
      </c>
      <c r="K1068" s="370"/>
      <c r="N1068" s="370"/>
    </row>
    <row r="1069" spans="1:14" s="347" customFormat="1" x14ac:dyDescent="0.25">
      <c r="A1069" s="369">
        <f>+A1068</f>
        <v>44277</v>
      </c>
      <c r="B1069" s="347">
        <f>+B1068</f>
        <v>3</v>
      </c>
      <c r="C1069" s="347">
        <v>3110</v>
      </c>
      <c r="D1069" s="340" t="str">
        <f>VLOOKUP(C1069,Plan!A$1:B$65542,2,0)</f>
        <v>Colectas Normales</v>
      </c>
      <c r="E1069" s="396">
        <f>-G1069</f>
        <v>-150000</v>
      </c>
      <c r="F1069" s="396">
        <v>0</v>
      </c>
      <c r="G1069" s="396">
        <f>+F1068</f>
        <v>150000</v>
      </c>
      <c r="H1069" s="347" t="str">
        <f>+H1068</f>
        <v>Colecta Carlos Ricci Ferrer</v>
      </c>
      <c r="I1069" s="347" t="s">
        <v>296</v>
      </c>
      <c r="K1069" s="370"/>
      <c r="N1069" s="370"/>
    </row>
    <row r="1070" spans="1:14" s="347" customFormat="1" x14ac:dyDescent="0.25">
      <c r="A1070" s="369"/>
      <c r="E1070" s="396"/>
      <c r="F1070" s="396"/>
      <c r="G1070" s="396"/>
      <c r="K1070" s="370"/>
      <c r="N1070" s="370"/>
    </row>
    <row r="1071" spans="1:14" s="347" customFormat="1" x14ac:dyDescent="0.25">
      <c r="A1071" s="369">
        <v>44277</v>
      </c>
      <c r="B1071" s="340">
        <f>+MONTH(A1071)</f>
        <v>3</v>
      </c>
      <c r="C1071" s="347">
        <v>110</v>
      </c>
      <c r="D1071" s="340" t="str">
        <f>VLOOKUP(C1071,Plan!A$1:B$65542,2,0)</f>
        <v>Disponible Administración</v>
      </c>
      <c r="E1071" s="341">
        <f>+F1071-G1071</f>
        <v>10000</v>
      </c>
      <c r="F1071" s="396">
        <v>10000</v>
      </c>
      <c r="G1071" s="396">
        <v>0</v>
      </c>
      <c r="H1071" t="s">
        <v>1188</v>
      </c>
      <c r="I1071" s="347" t="s">
        <v>296</v>
      </c>
      <c r="K1071" s="370"/>
      <c r="N1071" s="370"/>
    </row>
    <row r="1072" spans="1:14" s="347" customFormat="1" x14ac:dyDescent="0.25">
      <c r="A1072" s="369">
        <f>+A1071</f>
        <v>44277</v>
      </c>
      <c r="B1072" s="347">
        <f>+B1071</f>
        <v>3</v>
      </c>
      <c r="C1072" s="347">
        <v>3110</v>
      </c>
      <c r="D1072" s="340" t="str">
        <f>VLOOKUP(C1072,Plan!A$1:B$65542,2,0)</f>
        <v>Colectas Normales</v>
      </c>
      <c r="E1072" s="396">
        <f>-G1072</f>
        <v>-10000</v>
      </c>
      <c r="F1072" s="396">
        <v>0</v>
      </c>
      <c r="G1072" s="396">
        <f>+F1071</f>
        <v>10000</v>
      </c>
      <c r="H1072" s="347" t="str">
        <f>+H1071</f>
        <v>Colecta Andres Lagos Ch.</v>
      </c>
      <c r="I1072" s="347" t="s">
        <v>296</v>
      </c>
      <c r="K1072" s="370"/>
      <c r="N1072" s="370"/>
    </row>
    <row r="1073" spans="1:14" s="347" customFormat="1" x14ac:dyDescent="0.25">
      <c r="A1073" s="369"/>
      <c r="E1073" s="396"/>
      <c r="F1073" s="396"/>
      <c r="G1073" s="396"/>
      <c r="K1073" s="370"/>
      <c r="N1073" s="370"/>
    </row>
    <row r="1074" spans="1:14" s="347" customFormat="1" x14ac:dyDescent="0.25">
      <c r="A1074" s="369">
        <v>44277</v>
      </c>
      <c r="B1074" s="340">
        <f>+MONTH(A1074)</f>
        <v>3</v>
      </c>
      <c r="C1074" s="347">
        <v>110</v>
      </c>
      <c r="D1074" s="340" t="str">
        <f>VLOOKUP(C1074,Plan!A$1:B$65542,2,0)</f>
        <v>Disponible Administración</v>
      </c>
      <c r="E1074" s="341">
        <f>+F1074-G1074</f>
        <v>10000</v>
      </c>
      <c r="F1074" s="396">
        <v>10000</v>
      </c>
      <c r="G1074" s="396">
        <v>0</v>
      </c>
      <c r="H1074" t="s">
        <v>1108</v>
      </c>
      <c r="I1074" s="347" t="s">
        <v>296</v>
      </c>
      <c r="K1074" s="370"/>
      <c r="N1074" s="370"/>
    </row>
    <row r="1075" spans="1:14" s="347" customFormat="1" x14ac:dyDescent="0.25">
      <c r="A1075" s="369">
        <f>+A1074</f>
        <v>44277</v>
      </c>
      <c r="B1075" s="347">
        <f>+B1074</f>
        <v>3</v>
      </c>
      <c r="C1075" s="347">
        <v>3110</v>
      </c>
      <c r="D1075" s="340" t="str">
        <f>VLOOKUP(C1075,Plan!A$1:B$65542,2,0)</f>
        <v>Colectas Normales</v>
      </c>
      <c r="E1075" s="396">
        <f>-G1075</f>
        <v>-10000</v>
      </c>
      <c r="F1075" s="396">
        <v>0</v>
      </c>
      <c r="G1075" s="396">
        <f>+F1074</f>
        <v>10000</v>
      </c>
      <c r="H1075" s="347" t="str">
        <f>+H1074</f>
        <v>Colecta Ricardo Fernandez</v>
      </c>
      <c r="I1075" s="347" t="s">
        <v>296</v>
      </c>
      <c r="K1075" s="370"/>
      <c r="N1075" s="370"/>
    </row>
    <row r="1076" spans="1:14" s="347" customFormat="1" x14ac:dyDescent="0.25">
      <c r="A1076" s="369"/>
      <c r="E1076" s="396"/>
      <c r="F1076" s="396"/>
      <c r="G1076" s="396"/>
      <c r="K1076" s="370"/>
      <c r="N1076" s="370"/>
    </row>
    <row r="1077" spans="1:14" s="347" customFormat="1" x14ac:dyDescent="0.25">
      <c r="A1077" s="369">
        <v>44277</v>
      </c>
      <c r="B1077" s="340">
        <f>+MONTH(A1077)</f>
        <v>3</v>
      </c>
      <c r="C1077" s="347">
        <v>110</v>
      </c>
      <c r="D1077" s="340" t="str">
        <f>VLOOKUP(C1077,Plan!A$1:B$65542,2,0)</f>
        <v>Disponible Administración</v>
      </c>
      <c r="E1077" s="341">
        <f>+F1077-G1077</f>
        <v>5000</v>
      </c>
      <c r="F1077" s="396">
        <v>5000</v>
      </c>
      <c r="G1077" s="396">
        <v>0</v>
      </c>
      <c r="H1077" t="s">
        <v>1189</v>
      </c>
      <c r="I1077" s="347" t="s">
        <v>296</v>
      </c>
      <c r="K1077" s="370"/>
      <c r="N1077" s="370"/>
    </row>
    <row r="1078" spans="1:14" s="347" customFormat="1" x14ac:dyDescent="0.25">
      <c r="A1078" s="369">
        <f>+A1077</f>
        <v>44277</v>
      </c>
      <c r="B1078" s="347">
        <f>+B1077</f>
        <v>3</v>
      </c>
      <c r="C1078" s="347">
        <v>3110</v>
      </c>
      <c r="D1078" s="340" t="str">
        <f>VLOOKUP(C1078,Plan!A$1:B$65542,2,0)</f>
        <v>Colectas Normales</v>
      </c>
      <c r="E1078" s="396">
        <f>-G1078</f>
        <v>-5000</v>
      </c>
      <c r="F1078" s="396">
        <v>0</v>
      </c>
      <c r="G1078" s="396">
        <f>+F1077</f>
        <v>5000</v>
      </c>
      <c r="H1078" s="347" t="str">
        <f>+H1077</f>
        <v>Colecta Marie Christel Felmer</v>
      </c>
      <c r="I1078" s="347" t="s">
        <v>296</v>
      </c>
      <c r="K1078" s="370"/>
      <c r="N1078" s="370"/>
    </row>
    <row r="1079" spans="1:14" s="347" customFormat="1" x14ac:dyDescent="0.25">
      <c r="A1079" s="369"/>
      <c r="E1079" s="396"/>
      <c r="F1079" s="396"/>
      <c r="G1079" s="396"/>
      <c r="K1079" s="370"/>
      <c r="N1079" s="370"/>
    </row>
    <row r="1080" spans="1:14" s="347" customFormat="1" x14ac:dyDescent="0.25">
      <c r="A1080" s="369">
        <v>44277</v>
      </c>
      <c r="B1080" s="340">
        <f>+MONTH(A1080)</f>
        <v>3</v>
      </c>
      <c r="C1080" s="347">
        <v>110</v>
      </c>
      <c r="D1080" s="340" t="str">
        <f>VLOOKUP(C1080,Plan!A$1:B$65542,2,0)</f>
        <v>Disponible Administración</v>
      </c>
      <c r="E1080" s="341">
        <f>+F1080-G1080</f>
        <v>10000</v>
      </c>
      <c r="F1080" s="396">
        <v>10000</v>
      </c>
      <c r="G1080" s="396">
        <v>0</v>
      </c>
      <c r="H1080" t="s">
        <v>880</v>
      </c>
      <c r="I1080" s="347" t="s">
        <v>296</v>
      </c>
      <c r="K1080" s="370"/>
      <c r="N1080" s="370"/>
    </row>
    <row r="1081" spans="1:14" s="347" customFormat="1" x14ac:dyDescent="0.25">
      <c r="A1081" s="369">
        <f>+A1080</f>
        <v>44277</v>
      </c>
      <c r="B1081" s="347">
        <f>+B1080</f>
        <v>3</v>
      </c>
      <c r="C1081" s="347">
        <v>3110</v>
      </c>
      <c r="D1081" s="340" t="str">
        <f>VLOOKUP(C1081,Plan!A$1:B$65542,2,0)</f>
        <v>Colectas Normales</v>
      </c>
      <c r="E1081" s="396">
        <f>-G1081</f>
        <v>-10000</v>
      </c>
      <c r="F1081" s="396">
        <v>0</v>
      </c>
      <c r="G1081" s="396">
        <f>+F1080</f>
        <v>10000</v>
      </c>
      <c r="H1081" s="347" t="str">
        <f>+H1080</f>
        <v>Colecta Sebastian Rios</v>
      </c>
      <c r="I1081" s="347" t="s">
        <v>296</v>
      </c>
      <c r="K1081" s="370"/>
      <c r="N1081" s="370"/>
    </row>
    <row r="1082" spans="1:14" s="347" customFormat="1" x14ac:dyDescent="0.25">
      <c r="A1082" s="369"/>
      <c r="E1082" s="396"/>
      <c r="F1082" s="396"/>
      <c r="G1082" s="396"/>
      <c r="K1082" s="370"/>
      <c r="N1082" s="370"/>
    </row>
    <row r="1083" spans="1:14" s="347" customFormat="1" x14ac:dyDescent="0.25">
      <c r="A1083" s="369">
        <v>44277</v>
      </c>
      <c r="B1083" s="340">
        <f>+MONTH(A1083)</f>
        <v>3</v>
      </c>
      <c r="C1083" s="347">
        <v>110</v>
      </c>
      <c r="D1083" s="340" t="str">
        <f>VLOOKUP(C1083,Plan!A$1:B$65542,2,0)</f>
        <v>Disponible Administración</v>
      </c>
      <c r="E1083" s="341">
        <f>+F1083-G1083</f>
        <v>5000</v>
      </c>
      <c r="F1083" s="396">
        <v>5000</v>
      </c>
      <c r="G1083" s="396">
        <v>0</v>
      </c>
      <c r="H1083" t="s">
        <v>1190</v>
      </c>
      <c r="I1083" s="347" t="s">
        <v>296</v>
      </c>
      <c r="K1083" s="370"/>
      <c r="N1083" s="370"/>
    </row>
    <row r="1084" spans="1:14" s="347" customFormat="1" x14ac:dyDescent="0.25">
      <c r="A1084" s="369">
        <f>+A1083</f>
        <v>44277</v>
      </c>
      <c r="B1084" s="347">
        <f>+B1083</f>
        <v>3</v>
      </c>
      <c r="C1084" s="347">
        <v>3110</v>
      </c>
      <c r="D1084" s="340" t="str">
        <f>VLOOKUP(C1084,Plan!A$1:B$65542,2,0)</f>
        <v>Colectas Normales</v>
      </c>
      <c r="E1084" s="396">
        <f>-G1084</f>
        <v>-5000</v>
      </c>
      <c r="F1084" s="396">
        <v>0</v>
      </c>
      <c r="G1084" s="396">
        <f>+F1083</f>
        <v>5000</v>
      </c>
      <c r="H1084" s="347" t="str">
        <f>+H1083</f>
        <v>Colecta Felipe Yañez</v>
      </c>
      <c r="I1084" s="347" t="s">
        <v>296</v>
      </c>
      <c r="K1084" s="370"/>
      <c r="N1084" s="370"/>
    </row>
    <row r="1085" spans="1:14" s="347" customFormat="1" x14ac:dyDescent="0.25">
      <c r="A1085" s="369"/>
      <c r="E1085" s="396"/>
      <c r="F1085" s="396"/>
      <c r="G1085" s="396"/>
      <c r="K1085" s="370"/>
      <c r="N1085" s="370"/>
    </row>
    <row r="1086" spans="1:14" s="347" customFormat="1" x14ac:dyDescent="0.25">
      <c r="A1086" s="369">
        <v>44277</v>
      </c>
      <c r="B1086" s="340">
        <f>+MONTH(A1086)</f>
        <v>3</v>
      </c>
      <c r="C1086" s="347">
        <v>110</v>
      </c>
      <c r="D1086" s="340" t="str">
        <f>VLOOKUP(C1086,Plan!A$1:B$65542,2,0)</f>
        <v>Disponible Administración</v>
      </c>
      <c r="E1086" s="341">
        <f>+F1086-G1086</f>
        <v>30000</v>
      </c>
      <c r="F1086" s="396">
        <v>30000</v>
      </c>
      <c r="G1086" s="396">
        <v>0</v>
      </c>
      <c r="H1086" t="s">
        <v>947</v>
      </c>
      <c r="I1086" s="347" t="s">
        <v>296</v>
      </c>
      <c r="K1086" s="370"/>
      <c r="N1086" s="370"/>
    </row>
    <row r="1087" spans="1:14" s="347" customFormat="1" x14ac:dyDescent="0.25">
      <c r="A1087" s="369">
        <f>+A1086</f>
        <v>44277</v>
      </c>
      <c r="B1087" s="347">
        <f>+B1086</f>
        <v>3</v>
      </c>
      <c r="C1087" s="347">
        <v>3110</v>
      </c>
      <c r="D1087" s="340" t="str">
        <f>VLOOKUP(C1087,Plan!A$1:B$65542,2,0)</f>
        <v>Colectas Normales</v>
      </c>
      <c r="E1087" s="396">
        <f>-G1087</f>
        <v>-30000</v>
      </c>
      <c r="F1087" s="396">
        <v>0</v>
      </c>
      <c r="G1087" s="396">
        <f>+F1086</f>
        <v>30000</v>
      </c>
      <c r="H1087" s="347" t="str">
        <f>+H1086</f>
        <v>Colecta Miguel Etchegaray</v>
      </c>
      <c r="I1087" s="347" t="s">
        <v>296</v>
      </c>
      <c r="K1087" s="370"/>
      <c r="N1087" s="370"/>
    </row>
    <row r="1088" spans="1:14" s="347" customFormat="1" x14ac:dyDescent="0.25">
      <c r="A1088" s="369"/>
      <c r="E1088" s="396"/>
      <c r="F1088" s="396"/>
      <c r="G1088" s="396"/>
      <c r="K1088" s="370"/>
      <c r="N1088" s="370"/>
    </row>
    <row r="1089" spans="1:14" s="347" customFormat="1" x14ac:dyDescent="0.25">
      <c r="A1089" s="369">
        <v>44277</v>
      </c>
      <c r="B1089" s="340">
        <f>+MONTH(A1089)</f>
        <v>3</v>
      </c>
      <c r="C1089" s="347">
        <v>110</v>
      </c>
      <c r="D1089" s="340" t="str">
        <f>VLOOKUP(C1089,Plan!A$1:B$65542,2,0)</f>
        <v>Disponible Administración</v>
      </c>
      <c r="E1089" s="341">
        <f>+F1089-G1089</f>
        <v>296000</v>
      </c>
      <c r="F1089" s="396">
        <v>296000</v>
      </c>
      <c r="G1089" s="396">
        <v>0</v>
      </c>
      <c r="H1089" t="s">
        <v>1191</v>
      </c>
      <c r="I1089" s="347" t="s">
        <v>296</v>
      </c>
      <c r="K1089" s="370"/>
      <c r="N1089" s="370"/>
    </row>
    <row r="1090" spans="1:14" s="347" customFormat="1" x14ac:dyDescent="0.25">
      <c r="A1090" s="369">
        <f>+A1089</f>
        <v>44277</v>
      </c>
      <c r="B1090" s="347">
        <f>+B1089</f>
        <v>3</v>
      </c>
      <c r="C1090" s="347">
        <v>3110</v>
      </c>
      <c r="D1090" s="340" t="str">
        <f>VLOOKUP(C1090,Plan!A$1:B$65542,2,0)</f>
        <v>Colectas Normales</v>
      </c>
      <c r="E1090" s="396">
        <f>-G1090</f>
        <v>-296000</v>
      </c>
      <c r="F1090" s="396">
        <v>0</v>
      </c>
      <c r="G1090" s="396">
        <f>+F1089</f>
        <v>296000</v>
      </c>
      <c r="H1090" s="347" t="str">
        <f>+H1089</f>
        <v>Dep. Colecta 20 y 21/03 Col Cordillera</v>
      </c>
      <c r="I1090" s="347" t="s">
        <v>296</v>
      </c>
      <c r="K1090" s="370"/>
      <c r="N1090" s="370"/>
    </row>
    <row r="1091" spans="1:14" s="347" customFormat="1" x14ac:dyDescent="0.25">
      <c r="A1091" s="369"/>
      <c r="E1091" s="396"/>
      <c r="F1091" s="396"/>
      <c r="G1091" s="396"/>
      <c r="K1091" s="370"/>
      <c r="N1091" s="370"/>
    </row>
    <row r="1092" spans="1:14" s="347" customFormat="1" x14ac:dyDescent="0.25">
      <c r="A1092" s="369">
        <v>44278</v>
      </c>
      <c r="B1092" s="340">
        <f>+MONTH(A1092)</f>
        <v>3</v>
      </c>
      <c r="C1092" s="347">
        <v>110</v>
      </c>
      <c r="D1092" s="340" t="str">
        <f>VLOOKUP(C1092,Plan!A$1:B$65542,2,0)</f>
        <v>Disponible Administración</v>
      </c>
      <c r="E1092" s="341">
        <f>+F1092-G1092</f>
        <v>9800</v>
      </c>
      <c r="F1092" s="396">
        <v>9800</v>
      </c>
      <c r="G1092" s="396">
        <v>0</v>
      </c>
      <c r="H1092" t="s">
        <v>1192</v>
      </c>
      <c r="I1092" s="347" t="s">
        <v>296</v>
      </c>
      <c r="K1092" s="370"/>
      <c r="N1092" s="370"/>
    </row>
    <row r="1093" spans="1:14" s="347" customFormat="1" x14ac:dyDescent="0.25">
      <c r="A1093" s="369">
        <f>+A1092</f>
        <v>44278</v>
      </c>
      <c r="B1093" s="347">
        <f>+B1092</f>
        <v>3</v>
      </c>
      <c r="C1093" s="347">
        <v>3340</v>
      </c>
      <c r="D1093" s="340" t="str">
        <f>VLOOKUP(C1093,Plan!A$1:B$65542,2,0)</f>
        <v>Misas</v>
      </c>
      <c r="E1093" s="396">
        <f>-G1093</f>
        <v>-9800</v>
      </c>
      <c r="F1093" s="396">
        <v>0</v>
      </c>
      <c r="G1093" s="396">
        <f>+F1092</f>
        <v>9800</v>
      </c>
      <c r="H1093" s="347" t="str">
        <f>+H1092</f>
        <v>Misa pghuidobroe@gmail.com</v>
      </c>
      <c r="I1093" s="347" t="s">
        <v>296</v>
      </c>
      <c r="K1093" s="370"/>
      <c r="N1093" s="370"/>
    </row>
    <row r="1094" spans="1:14" s="347" customFormat="1" x14ac:dyDescent="0.25">
      <c r="A1094" s="369"/>
      <c r="E1094" s="396"/>
      <c r="F1094" s="396"/>
      <c r="G1094" s="396"/>
      <c r="K1094" s="370"/>
      <c r="N1094" s="370"/>
    </row>
    <row r="1095" spans="1:14" s="347" customFormat="1" x14ac:dyDescent="0.25">
      <c r="A1095" s="369">
        <v>44278</v>
      </c>
      <c r="B1095" s="340">
        <f>+MONTH(A1095)</f>
        <v>3</v>
      </c>
      <c r="C1095" s="347">
        <v>110</v>
      </c>
      <c r="D1095" s="340" t="str">
        <f>VLOOKUP(C1095,Plan!A$1:B$65542,2,0)</f>
        <v>Disponible Administración</v>
      </c>
      <c r="E1095" s="341">
        <f>+F1095-G1095</f>
        <v>20000</v>
      </c>
      <c r="F1095" s="396">
        <v>20000</v>
      </c>
      <c r="G1095" s="396">
        <v>0</v>
      </c>
      <c r="H1095" t="s">
        <v>951</v>
      </c>
      <c r="I1095" s="347" t="s">
        <v>296</v>
      </c>
      <c r="K1095" s="370"/>
      <c r="N1095" s="370"/>
    </row>
    <row r="1096" spans="1:14" s="347" customFormat="1" x14ac:dyDescent="0.25">
      <c r="A1096" s="369">
        <f>+A1095</f>
        <v>44278</v>
      </c>
      <c r="B1096" s="347">
        <f>+B1095</f>
        <v>3</v>
      </c>
      <c r="C1096" s="347">
        <v>3110</v>
      </c>
      <c r="D1096" s="340" t="str">
        <f>VLOOKUP(C1096,Plan!A$1:B$65542,2,0)</f>
        <v>Colectas Normales</v>
      </c>
      <c r="E1096" s="396">
        <f>-G1096</f>
        <v>-20000</v>
      </c>
      <c r="F1096" s="396">
        <v>0</v>
      </c>
      <c r="G1096" s="396">
        <f>+F1095</f>
        <v>20000</v>
      </c>
      <c r="H1096" s="347" t="str">
        <f>+H1095</f>
        <v>Colecta Cyril Hodgson Larrain</v>
      </c>
      <c r="I1096" s="347" t="s">
        <v>296</v>
      </c>
      <c r="K1096" s="370"/>
      <c r="N1096" s="370"/>
    </row>
    <row r="1097" spans="1:14" s="347" customFormat="1" x14ac:dyDescent="0.25">
      <c r="A1097" s="369"/>
      <c r="E1097" s="396"/>
      <c r="F1097" s="396"/>
      <c r="G1097" s="396"/>
      <c r="K1097" s="370"/>
      <c r="N1097" s="370"/>
    </row>
    <row r="1098" spans="1:14" s="347" customFormat="1" x14ac:dyDescent="0.25">
      <c r="A1098" s="369">
        <v>44278</v>
      </c>
      <c r="B1098" s="340">
        <f>+MONTH(A1098)</f>
        <v>3</v>
      </c>
      <c r="C1098" s="347">
        <v>110</v>
      </c>
      <c r="D1098" s="340" t="str">
        <f>VLOOKUP(C1098,Plan!A$1:B$65542,2,0)</f>
        <v>Disponible Administración</v>
      </c>
      <c r="E1098" s="341">
        <f>+F1098-G1098</f>
        <v>100000</v>
      </c>
      <c r="F1098" s="396">
        <v>100000</v>
      </c>
      <c r="G1098" s="396">
        <v>0</v>
      </c>
      <c r="H1098" t="s">
        <v>1193</v>
      </c>
      <c r="I1098" s="347" t="s">
        <v>296</v>
      </c>
      <c r="K1098" s="370"/>
      <c r="N1098" s="370"/>
    </row>
    <row r="1099" spans="1:14" s="347" customFormat="1" x14ac:dyDescent="0.25">
      <c r="A1099" s="369">
        <f>+A1098</f>
        <v>44278</v>
      </c>
      <c r="B1099" s="347">
        <f>+B1098</f>
        <v>3</v>
      </c>
      <c r="C1099" s="347">
        <v>3120</v>
      </c>
      <c r="D1099" s="340" t="str">
        <f>VLOOKUP(C1099,Plan!A$1:B$65542,2,0)</f>
        <v>Colectas Especiales</v>
      </c>
      <c r="E1099" s="396">
        <f>-G1099</f>
        <v>-100000</v>
      </c>
      <c r="F1099" s="396">
        <v>0</v>
      </c>
      <c r="G1099" s="396">
        <f>+F1098</f>
        <v>100000</v>
      </c>
      <c r="H1099" s="347" t="str">
        <f>+H1098</f>
        <v>Colecta Cuaresma N.N</v>
      </c>
      <c r="I1099" s="347" t="s">
        <v>296</v>
      </c>
      <c r="K1099" s="370"/>
      <c r="N1099" s="370"/>
    </row>
    <row r="1100" spans="1:14" s="347" customFormat="1" x14ac:dyDescent="0.25">
      <c r="A1100" s="369"/>
      <c r="E1100" s="396"/>
      <c r="F1100" s="396"/>
      <c r="G1100" s="396"/>
      <c r="K1100" s="370"/>
      <c r="N1100" s="370"/>
    </row>
    <row r="1101" spans="1:14" s="347" customFormat="1" x14ac:dyDescent="0.25">
      <c r="A1101" s="369">
        <v>44278</v>
      </c>
      <c r="B1101" s="340">
        <f>+MONTH(A1101)</f>
        <v>3</v>
      </c>
      <c r="C1101" s="347">
        <v>110</v>
      </c>
      <c r="D1101" s="340" t="str">
        <f>VLOOKUP(C1101,Plan!A$1:B$65542,2,0)</f>
        <v>Disponible Administración</v>
      </c>
      <c r="E1101" s="341">
        <f>+F1101-G1101</f>
        <v>50000</v>
      </c>
      <c r="F1101" s="396">
        <v>50000</v>
      </c>
      <c r="G1101" s="396">
        <v>0</v>
      </c>
      <c r="H1101" t="s">
        <v>1194</v>
      </c>
      <c r="I1101" s="347" t="s">
        <v>296</v>
      </c>
      <c r="K1101" s="370"/>
      <c r="N1101" s="370"/>
    </row>
    <row r="1102" spans="1:14" s="347" customFormat="1" x14ac:dyDescent="0.25">
      <c r="A1102" s="369">
        <f>+A1101</f>
        <v>44278</v>
      </c>
      <c r="B1102" s="347">
        <f>+B1101</f>
        <v>3</v>
      </c>
      <c r="C1102" s="347">
        <v>3110</v>
      </c>
      <c r="D1102" s="340" t="str">
        <f>VLOOKUP(C1102,Plan!A$1:B$65542,2,0)</f>
        <v>Colectas Normales</v>
      </c>
      <c r="E1102" s="396">
        <f>-G1102</f>
        <v>-50000</v>
      </c>
      <c r="F1102" s="396">
        <v>0</v>
      </c>
      <c r="G1102" s="396">
        <f>+F1101</f>
        <v>50000</v>
      </c>
      <c r="H1102" s="347" t="str">
        <f>+H1101</f>
        <v>Colecta Alicia Oyarzun</v>
      </c>
      <c r="I1102" s="347" t="s">
        <v>296</v>
      </c>
      <c r="K1102" s="370"/>
      <c r="N1102" s="370"/>
    </row>
    <row r="1103" spans="1:14" s="347" customFormat="1" x14ac:dyDescent="0.25">
      <c r="A1103" s="369"/>
      <c r="E1103" s="396"/>
      <c r="F1103" s="396"/>
      <c r="G1103" s="396"/>
      <c r="K1103" s="370"/>
      <c r="N1103" s="370"/>
    </row>
    <row r="1104" spans="1:14" s="347" customFormat="1" x14ac:dyDescent="0.25">
      <c r="A1104" s="369">
        <v>44279</v>
      </c>
      <c r="B1104" s="340">
        <f>+MONTH(A1104)</f>
        <v>3</v>
      </c>
      <c r="C1104" s="347">
        <v>110</v>
      </c>
      <c r="D1104" s="340" t="str">
        <f>VLOOKUP(C1104,Plan!A$1:B$65542,2,0)</f>
        <v>Disponible Administración</v>
      </c>
      <c r="E1104" s="341">
        <f>+F1104-G1104</f>
        <v>20000</v>
      </c>
      <c r="F1104" s="396">
        <v>20000</v>
      </c>
      <c r="G1104" s="396">
        <v>0</v>
      </c>
      <c r="H1104" t="s">
        <v>1195</v>
      </c>
      <c r="I1104" s="347" t="s">
        <v>296</v>
      </c>
      <c r="K1104" s="370"/>
      <c r="N1104" s="370"/>
    </row>
    <row r="1105" spans="1:14" s="347" customFormat="1" x14ac:dyDescent="0.25">
      <c r="A1105" s="369">
        <f>+A1104</f>
        <v>44279</v>
      </c>
      <c r="B1105" s="347">
        <f>+B1104</f>
        <v>3</v>
      </c>
      <c r="C1105" s="347">
        <v>3110</v>
      </c>
      <c r="D1105" s="340" t="str">
        <f>VLOOKUP(C1105,Plan!A$1:B$65542,2,0)</f>
        <v>Colectas Normales</v>
      </c>
      <c r="E1105" s="396">
        <f>-G1105</f>
        <v>-20000</v>
      </c>
      <c r="F1105" s="396">
        <v>0</v>
      </c>
      <c r="G1105" s="396">
        <f>+F1104</f>
        <v>20000</v>
      </c>
      <c r="H1105" s="347" t="str">
        <f>+H1104</f>
        <v>Colecta Mane Jara</v>
      </c>
      <c r="I1105" s="347" t="s">
        <v>296</v>
      </c>
      <c r="K1105" s="370"/>
      <c r="N1105" s="370"/>
    </row>
    <row r="1106" spans="1:14" s="347" customFormat="1" x14ac:dyDescent="0.25">
      <c r="A1106" s="369"/>
      <c r="E1106" s="396"/>
      <c r="F1106" s="396"/>
      <c r="G1106" s="396"/>
      <c r="K1106" s="370"/>
      <c r="N1106" s="370"/>
    </row>
    <row r="1107" spans="1:14" s="347" customFormat="1" x14ac:dyDescent="0.25">
      <c r="A1107" s="369">
        <v>44279</v>
      </c>
      <c r="B1107" s="340">
        <f>+MONTH(A1107)</f>
        <v>3</v>
      </c>
      <c r="C1107" s="347">
        <v>215</v>
      </c>
      <c r="D1107" s="340" t="str">
        <f>VLOOKUP(C1107,Plan!A$1:B$65542,2,0)</f>
        <v>Cuenta por Pagar a Cali</v>
      </c>
      <c r="E1107" s="341">
        <f>+F1107-G1107</f>
        <v>50000</v>
      </c>
      <c r="F1107" s="396">
        <v>50000</v>
      </c>
      <c r="G1107" s="396">
        <v>0</v>
      </c>
      <c r="H1107" t="s">
        <v>1087</v>
      </c>
      <c r="I1107" s="347" t="s">
        <v>296</v>
      </c>
      <c r="K1107" s="370"/>
      <c r="N1107" s="370"/>
    </row>
    <row r="1108" spans="1:14" s="347" customFormat="1" x14ac:dyDescent="0.25">
      <c r="A1108" s="369">
        <f>+A1107</f>
        <v>44279</v>
      </c>
      <c r="B1108" s="347">
        <f>+B1107</f>
        <v>3</v>
      </c>
      <c r="C1108" s="347">
        <v>3360</v>
      </c>
      <c r="D1108" s="340" t="str">
        <f>VLOOKUP(C1108,Plan!A$1:B$65542,2,0)</f>
        <v>Otros</v>
      </c>
      <c r="E1108" s="396">
        <f>-G1108</f>
        <v>-50000</v>
      </c>
      <c r="F1108" s="396">
        <v>0</v>
      </c>
      <c r="G1108" s="396">
        <f>+F1107</f>
        <v>50000</v>
      </c>
      <c r="H1108" s="347" t="str">
        <f>+H1107</f>
        <v xml:space="preserve">Pedro Jaime Iriberry Macdonald/ CURSO </v>
      </c>
      <c r="I1108" s="347" t="s">
        <v>296</v>
      </c>
      <c r="K1108" s="370"/>
      <c r="N1108" s="370"/>
    </row>
    <row r="1109" spans="1:14" s="347" customFormat="1" x14ac:dyDescent="0.25">
      <c r="A1109" s="369"/>
      <c r="E1109" s="396"/>
      <c r="F1109" s="396"/>
      <c r="G1109" s="396"/>
      <c r="K1109" s="370"/>
      <c r="N1109" s="370"/>
    </row>
    <row r="1110" spans="1:14" s="347" customFormat="1" x14ac:dyDescent="0.25">
      <c r="A1110" s="369">
        <v>44279</v>
      </c>
      <c r="B1110" s="340">
        <f>+MONTH(A1110)</f>
        <v>3</v>
      </c>
      <c r="C1110" s="347">
        <v>110</v>
      </c>
      <c r="D1110" s="340" t="str">
        <f>VLOOKUP(C1110,Plan!A$1:B$65542,2,0)</f>
        <v>Disponible Administración</v>
      </c>
      <c r="E1110" s="341">
        <f>+F1110-G1110</f>
        <v>25000</v>
      </c>
      <c r="F1110" s="396">
        <v>25000</v>
      </c>
      <c r="G1110" s="396">
        <v>0</v>
      </c>
      <c r="H1110" t="s">
        <v>1196</v>
      </c>
      <c r="I1110" s="347" t="s">
        <v>296</v>
      </c>
      <c r="K1110" s="370"/>
      <c r="N1110" s="370"/>
    </row>
    <row r="1111" spans="1:14" s="347" customFormat="1" x14ac:dyDescent="0.25">
      <c r="A1111" s="369">
        <f>+A1110</f>
        <v>44279</v>
      </c>
      <c r="B1111" s="347">
        <f>+B1110</f>
        <v>3</v>
      </c>
      <c r="C1111" s="347">
        <v>3360</v>
      </c>
      <c r="D1111" s="340" t="str">
        <f>VLOOKUP(C1111,Plan!A$1:B$65542,2,0)</f>
        <v>Otros</v>
      </c>
      <c r="E1111" s="396">
        <f>-G1111</f>
        <v>-25000</v>
      </c>
      <c r="F1111" s="396">
        <v>0</v>
      </c>
      <c r="G1111" s="396">
        <f>+F1110</f>
        <v>25000</v>
      </c>
      <c r="H1111" s="347" t="str">
        <f>+H1110</f>
        <v>Curso Biblia Mane Jara</v>
      </c>
      <c r="I1111" s="347" t="s">
        <v>296</v>
      </c>
      <c r="K1111" s="370"/>
      <c r="N1111" s="370"/>
    </row>
    <row r="1112" spans="1:14" s="347" customFormat="1" x14ac:dyDescent="0.25">
      <c r="A1112" s="369"/>
      <c r="E1112" s="396"/>
      <c r="F1112" s="396"/>
      <c r="G1112" s="396"/>
      <c r="K1112" s="370"/>
      <c r="N1112" s="370"/>
    </row>
    <row r="1113" spans="1:14" s="347" customFormat="1" x14ac:dyDescent="0.25">
      <c r="A1113" s="369">
        <v>44279</v>
      </c>
      <c r="B1113" s="340">
        <f>+MONTH(A1113)</f>
        <v>3</v>
      </c>
      <c r="C1113" s="347">
        <v>110</v>
      </c>
      <c r="D1113" s="340" t="str">
        <f>VLOOKUP(C1113,Plan!A$1:B$65542,2,0)</f>
        <v>Disponible Administración</v>
      </c>
      <c r="E1113" s="341">
        <f>+F1113-G1113</f>
        <v>20000</v>
      </c>
      <c r="F1113" s="396">
        <v>20000</v>
      </c>
      <c r="G1113" s="396">
        <v>0</v>
      </c>
      <c r="H1113" t="s">
        <v>1197</v>
      </c>
      <c r="I1113" s="347" t="s">
        <v>296</v>
      </c>
      <c r="K1113" s="370"/>
      <c r="N1113" s="370"/>
    </row>
    <row r="1114" spans="1:14" s="347" customFormat="1" x14ac:dyDescent="0.25">
      <c r="A1114" s="369">
        <f>+A1113</f>
        <v>44279</v>
      </c>
      <c r="B1114" s="347">
        <f>+B1113</f>
        <v>3</v>
      </c>
      <c r="C1114" s="347">
        <v>3110</v>
      </c>
      <c r="D1114" s="340" t="str">
        <f>VLOOKUP(C1114,Plan!A$1:B$65542,2,0)</f>
        <v>Colectas Normales</v>
      </c>
      <c r="E1114" s="396">
        <f>-G1114</f>
        <v>-20000</v>
      </c>
      <c r="F1114" s="396">
        <v>0</v>
      </c>
      <c r="G1114" s="396">
        <f>+F1113</f>
        <v>20000</v>
      </c>
      <c r="H1114" s="347" t="str">
        <f>+H1113</f>
        <v>Colecta Maria Isabel Grez Armanet</v>
      </c>
      <c r="I1114" s="347" t="s">
        <v>296</v>
      </c>
      <c r="K1114" s="370"/>
      <c r="N1114" s="370"/>
    </row>
    <row r="1115" spans="1:14" s="347" customFormat="1" x14ac:dyDescent="0.25">
      <c r="A1115" s="369"/>
      <c r="E1115" s="396"/>
      <c r="F1115" s="396"/>
      <c r="G1115" s="396"/>
      <c r="K1115" s="370"/>
      <c r="N1115" s="370"/>
    </row>
    <row r="1116" spans="1:14" s="347" customFormat="1" x14ac:dyDescent="0.25">
      <c r="A1116" s="369">
        <v>44280</v>
      </c>
      <c r="B1116" s="340">
        <f>+MONTH(A1116)</f>
        <v>3</v>
      </c>
      <c r="C1116" s="347">
        <v>4326</v>
      </c>
      <c r="D1116" s="340" t="str">
        <f>VLOOKUP(C1116,Plan!A$1:B$65542,2,0)</f>
        <v>Seguros</v>
      </c>
      <c r="E1116" s="396">
        <f>+F1116</f>
        <v>50455</v>
      </c>
      <c r="F1116" s="396">
        <v>50455</v>
      </c>
      <c r="G1116" s="396">
        <v>0</v>
      </c>
      <c r="H1116" t="s">
        <v>1198</v>
      </c>
      <c r="I1116" s="347" t="s">
        <v>296</v>
      </c>
      <c r="K1116" s="370"/>
      <c r="N1116" s="370"/>
    </row>
    <row r="1117" spans="1:14" s="347" customFormat="1" x14ac:dyDescent="0.25">
      <c r="A1117" s="369">
        <f>+A1116</f>
        <v>44280</v>
      </c>
      <c r="B1117" s="347">
        <f>+B1116</f>
        <v>3</v>
      </c>
      <c r="C1117" s="347">
        <v>110</v>
      </c>
      <c r="D1117" s="340" t="str">
        <f>VLOOKUP(C1117,Plan!A$1:B$65542,2,0)</f>
        <v>Disponible Administración</v>
      </c>
      <c r="E1117" s="341">
        <f>+F1117-G1117</f>
        <v>-50455</v>
      </c>
      <c r="F1117" s="396">
        <v>0</v>
      </c>
      <c r="G1117" s="396">
        <f>+F1116</f>
        <v>50455</v>
      </c>
      <c r="H1117" s="347" t="str">
        <f>+H1116</f>
        <v>PAC PORVENIR</v>
      </c>
      <c r="I1117" s="347" t="s">
        <v>296</v>
      </c>
      <c r="K1117" s="370"/>
      <c r="N1117" s="370"/>
    </row>
    <row r="1118" spans="1:14" s="347" customFormat="1" x14ac:dyDescent="0.25">
      <c r="A1118" s="369"/>
      <c r="E1118" s="396"/>
      <c r="F1118" s="396"/>
      <c r="G1118" s="396"/>
      <c r="K1118" s="370"/>
      <c r="N1118" s="370"/>
    </row>
    <row r="1119" spans="1:14" s="347" customFormat="1" x14ac:dyDescent="0.25">
      <c r="A1119" s="369">
        <v>44280</v>
      </c>
      <c r="B1119" s="340">
        <f>+MONTH(A1119)</f>
        <v>3</v>
      </c>
      <c r="C1119" s="347">
        <v>110</v>
      </c>
      <c r="D1119" s="340" t="str">
        <f>VLOOKUP(C1119,Plan!A$1:B$65542,2,0)</f>
        <v>Disponible Administración</v>
      </c>
      <c r="E1119" s="341">
        <f>+F1119-G1119</f>
        <v>20000</v>
      </c>
      <c r="F1119" s="396">
        <v>20000</v>
      </c>
      <c r="G1119" s="396">
        <v>0</v>
      </c>
      <c r="H1119" t="s">
        <v>1199</v>
      </c>
      <c r="I1119" s="347" t="s">
        <v>296</v>
      </c>
      <c r="K1119" s="370"/>
      <c r="N1119" s="370"/>
    </row>
    <row r="1120" spans="1:14" s="347" customFormat="1" x14ac:dyDescent="0.25">
      <c r="A1120" s="369">
        <f>+A1119</f>
        <v>44280</v>
      </c>
      <c r="B1120" s="347">
        <f>+B1119</f>
        <v>3</v>
      </c>
      <c r="C1120" s="347">
        <v>3110</v>
      </c>
      <c r="D1120" s="340" t="str">
        <f>VLOOKUP(C1120,Plan!A$1:B$65542,2,0)</f>
        <v>Colectas Normales</v>
      </c>
      <c r="E1120" s="396">
        <f>-G1120</f>
        <v>-20000</v>
      </c>
      <c r="F1120" s="396">
        <v>0</v>
      </c>
      <c r="G1120" s="396">
        <f>+F1119</f>
        <v>20000</v>
      </c>
      <c r="H1120" s="347" t="str">
        <f>+H1119</f>
        <v>Colecta Maria Loreto Valenzuela Arata</v>
      </c>
      <c r="I1120" s="347" t="s">
        <v>296</v>
      </c>
      <c r="K1120" s="370"/>
      <c r="N1120" s="370"/>
    </row>
    <row r="1121" spans="1:14" s="347" customFormat="1" x14ac:dyDescent="0.25">
      <c r="A1121" s="369"/>
      <c r="E1121" s="396"/>
      <c r="F1121" s="396"/>
      <c r="G1121" s="396"/>
      <c r="K1121" s="370"/>
      <c r="N1121" s="370"/>
    </row>
    <row r="1122" spans="1:14" s="347" customFormat="1" x14ac:dyDescent="0.25">
      <c r="A1122" s="369">
        <v>44280</v>
      </c>
      <c r="B1122" s="340">
        <f>+MONTH(A1122)</f>
        <v>3</v>
      </c>
      <c r="C1122" s="347">
        <v>110</v>
      </c>
      <c r="D1122" s="340" t="str">
        <f>VLOOKUP(C1122,Plan!A$1:B$65542,2,0)</f>
        <v>Disponible Administración</v>
      </c>
      <c r="E1122" s="341">
        <f>+F1122-G1122</f>
        <v>4900</v>
      </c>
      <c r="F1122" s="396">
        <v>4900</v>
      </c>
      <c r="G1122" s="396">
        <v>0</v>
      </c>
      <c r="H1122" t="s">
        <v>1200</v>
      </c>
      <c r="I1122" s="347" t="s">
        <v>296</v>
      </c>
      <c r="K1122" s="370"/>
      <c r="N1122" s="370"/>
    </row>
    <row r="1123" spans="1:14" s="347" customFormat="1" x14ac:dyDescent="0.25">
      <c r="A1123" s="369">
        <f>+A1122</f>
        <v>44280</v>
      </c>
      <c r="B1123" s="347">
        <f>+B1122</f>
        <v>3</v>
      </c>
      <c r="C1123" s="347">
        <v>3110</v>
      </c>
      <c r="D1123" s="340" t="str">
        <f>VLOOKUP(C1123,Plan!A$1:B$65542,2,0)</f>
        <v>Colectas Normales</v>
      </c>
      <c r="E1123" s="396">
        <f>-G1123</f>
        <v>-4900</v>
      </c>
      <c r="F1123" s="396">
        <v>0</v>
      </c>
      <c r="G1123" s="396">
        <f>+F1122</f>
        <v>4900</v>
      </c>
      <c r="H1123" s="347" t="str">
        <f>+H1122</f>
        <v>Colecta Antonia</v>
      </c>
      <c r="I1123" s="347" t="s">
        <v>296</v>
      </c>
      <c r="K1123" s="370"/>
      <c r="N1123" s="370"/>
    </row>
    <row r="1124" spans="1:14" s="347" customFormat="1" x14ac:dyDescent="0.25">
      <c r="A1124" s="369"/>
      <c r="E1124" s="396"/>
      <c r="F1124" s="396"/>
      <c r="G1124" s="396"/>
      <c r="K1124" s="370"/>
      <c r="N1124" s="370"/>
    </row>
    <row r="1125" spans="1:14" s="347" customFormat="1" x14ac:dyDescent="0.25">
      <c r="A1125" s="369">
        <v>44280</v>
      </c>
      <c r="B1125" s="340">
        <f>+MONTH(A1125)</f>
        <v>3</v>
      </c>
      <c r="C1125" s="347">
        <v>110</v>
      </c>
      <c r="D1125" s="340" t="str">
        <f>VLOOKUP(C1125,Plan!A$1:B$65542,2,0)</f>
        <v>Disponible Administración</v>
      </c>
      <c r="E1125" s="341">
        <f>+F1125-G1125</f>
        <v>12500</v>
      </c>
      <c r="F1125" s="396">
        <v>12500</v>
      </c>
      <c r="G1125" s="396">
        <v>0</v>
      </c>
      <c r="H1125" t="s">
        <v>1442</v>
      </c>
      <c r="I1125" s="347" t="s">
        <v>296</v>
      </c>
      <c r="K1125" s="370"/>
      <c r="N1125" s="370"/>
    </row>
    <row r="1126" spans="1:14" s="347" customFormat="1" x14ac:dyDescent="0.25">
      <c r="A1126" s="369">
        <f>+A1125</f>
        <v>44280</v>
      </c>
      <c r="B1126" s="347">
        <f>+B1125</f>
        <v>3</v>
      </c>
      <c r="C1126" s="347">
        <v>3360</v>
      </c>
      <c r="D1126" s="340" t="str">
        <f>VLOOKUP(C1126,Plan!A$1:B$65542,2,0)</f>
        <v>Otros</v>
      </c>
      <c r="E1126" s="396">
        <f>-G1126</f>
        <v>-12500</v>
      </c>
      <c r="F1126" s="396">
        <v>0</v>
      </c>
      <c r="G1126" s="396">
        <f>+F1125</f>
        <v>12500</v>
      </c>
      <c r="H1126" s="347" t="str">
        <f>+H1125</f>
        <v>Curso Jorge Larrañaga</v>
      </c>
      <c r="I1126" s="347" t="s">
        <v>296</v>
      </c>
      <c r="K1126" s="370"/>
      <c r="N1126" s="370"/>
    </row>
    <row r="1127" spans="1:14" s="347" customFormat="1" x14ac:dyDescent="0.25">
      <c r="A1127" s="369"/>
      <c r="E1127" s="396"/>
      <c r="F1127" s="396"/>
      <c r="G1127" s="396"/>
      <c r="K1127" s="370"/>
      <c r="N1127" s="370"/>
    </row>
    <row r="1128" spans="1:14" s="347" customFormat="1" x14ac:dyDescent="0.25">
      <c r="A1128" s="369">
        <v>44281</v>
      </c>
      <c r="B1128" s="340">
        <f>+MONTH(A1128)</f>
        <v>3</v>
      </c>
      <c r="C1128" s="347">
        <v>110</v>
      </c>
      <c r="D1128" s="340" t="str">
        <f>VLOOKUP(C1128,Plan!A$1:B$65542,2,0)</f>
        <v>Disponible Administración</v>
      </c>
      <c r="E1128" s="341">
        <f>+F1128-G1128</f>
        <v>30000</v>
      </c>
      <c r="F1128" s="396">
        <v>30000</v>
      </c>
      <c r="G1128" s="396">
        <v>0</v>
      </c>
      <c r="H1128" t="s">
        <v>1202</v>
      </c>
      <c r="I1128" s="347" t="s">
        <v>296</v>
      </c>
      <c r="K1128" s="370"/>
      <c r="N1128" s="370"/>
    </row>
    <row r="1129" spans="1:14" s="347" customFormat="1" x14ac:dyDescent="0.25">
      <c r="A1129" s="369">
        <f>+A1128</f>
        <v>44281</v>
      </c>
      <c r="B1129" s="347">
        <f>+B1128</f>
        <v>3</v>
      </c>
      <c r="C1129" s="347">
        <v>3110</v>
      </c>
      <c r="D1129" s="340" t="str">
        <f>VLOOKUP(C1129,Plan!A$1:B$65542,2,0)</f>
        <v>Colectas Normales</v>
      </c>
      <c r="E1129" s="396">
        <f>-G1129</f>
        <v>-30000</v>
      </c>
      <c r="F1129" s="396">
        <v>0</v>
      </c>
      <c r="G1129" s="396">
        <f>+F1128</f>
        <v>30000</v>
      </c>
      <c r="H1129" s="347" t="str">
        <f>+H1128</f>
        <v>Colecta Andrea Rolla</v>
      </c>
      <c r="I1129" s="347" t="s">
        <v>296</v>
      </c>
      <c r="K1129" s="370"/>
      <c r="N1129" s="370"/>
    </row>
    <row r="1130" spans="1:14" s="347" customFormat="1" x14ac:dyDescent="0.25">
      <c r="K1130" s="370"/>
      <c r="N1130" s="370"/>
    </row>
    <row r="1131" spans="1:14" s="347" customFormat="1" x14ac:dyDescent="0.25">
      <c r="A1131" s="369">
        <v>44281</v>
      </c>
      <c r="B1131" s="340">
        <f>+MONTH(A1131)</f>
        <v>3</v>
      </c>
      <c r="C1131" s="347">
        <v>110</v>
      </c>
      <c r="D1131" s="340" t="str">
        <f>VLOOKUP(C1131,Plan!A$1:B$65542,2,0)</f>
        <v>Disponible Administración</v>
      </c>
      <c r="E1131" s="341">
        <f>+F1131-G1131</f>
        <v>12000</v>
      </c>
      <c r="F1131" s="396">
        <v>12000</v>
      </c>
      <c r="G1131" s="396">
        <v>0</v>
      </c>
      <c r="H1131" t="s">
        <v>1203</v>
      </c>
      <c r="I1131" s="347" t="s">
        <v>296</v>
      </c>
      <c r="K1131" s="370"/>
      <c r="N1131" s="370"/>
    </row>
    <row r="1132" spans="1:14" s="347" customFormat="1" x14ac:dyDescent="0.25">
      <c r="A1132" s="369">
        <f>+A1131</f>
        <v>44281</v>
      </c>
      <c r="B1132" s="347">
        <f>+B1131</f>
        <v>3</v>
      </c>
      <c r="C1132" s="347">
        <v>3350</v>
      </c>
      <c r="D1132" s="340" t="str">
        <f>VLOOKUP(C1132,Plan!A$1:B$65542,2,0)</f>
        <v>Bautizos</v>
      </c>
      <c r="E1132" s="396">
        <f>-G1132</f>
        <v>-12000</v>
      </c>
      <c r="F1132" s="396">
        <v>0</v>
      </c>
      <c r="G1132" s="396">
        <f>+F1131</f>
        <v>12000</v>
      </c>
      <c r="H1132" s="347" t="str">
        <f>+H1131</f>
        <v xml:space="preserve">Bautizo </v>
      </c>
      <c r="I1132" s="347" t="s">
        <v>296</v>
      </c>
      <c r="K1132" s="370"/>
      <c r="N1132" s="370"/>
    </row>
    <row r="1133" spans="1:14" s="347" customFormat="1" x14ac:dyDescent="0.25">
      <c r="A1133" s="369"/>
      <c r="E1133" s="396"/>
      <c r="F1133" s="396"/>
      <c r="G1133" s="396"/>
      <c r="K1133" s="370"/>
      <c r="N1133" s="370"/>
    </row>
    <row r="1134" spans="1:14" s="347" customFormat="1" x14ac:dyDescent="0.25">
      <c r="A1134" s="369">
        <v>44284</v>
      </c>
      <c r="B1134" s="340">
        <f>+MONTH(A1134)</f>
        <v>3</v>
      </c>
      <c r="C1134" s="347">
        <v>110</v>
      </c>
      <c r="D1134" s="340" t="str">
        <f>VLOOKUP(C1134,Plan!A$1:B$65542,2,0)</f>
        <v>Disponible Administración</v>
      </c>
      <c r="E1134" s="341">
        <f>+F1134-G1134</f>
        <v>32750</v>
      </c>
      <c r="F1134" s="396">
        <v>32750</v>
      </c>
      <c r="G1134" s="396">
        <v>0</v>
      </c>
      <c r="H1134" t="s">
        <v>1204</v>
      </c>
      <c r="I1134" s="347" t="s">
        <v>296</v>
      </c>
      <c r="K1134" s="370"/>
      <c r="N1134" s="370"/>
    </row>
    <row r="1135" spans="1:14" s="347" customFormat="1" x14ac:dyDescent="0.25">
      <c r="A1135" s="369">
        <f>+A1134</f>
        <v>44284</v>
      </c>
      <c r="B1135" s="347">
        <f>+B1134</f>
        <v>3</v>
      </c>
      <c r="C1135" s="347">
        <v>3360</v>
      </c>
      <c r="D1135" s="340" t="str">
        <f>VLOOKUP(C1135,Plan!A$1:B$65542,2,0)</f>
        <v>Otros</v>
      </c>
      <c r="E1135" s="396">
        <f>-G1135</f>
        <v>-32750</v>
      </c>
      <c r="F1135" s="396">
        <v>0</v>
      </c>
      <c r="G1135" s="396">
        <f>+F1134</f>
        <v>32750</v>
      </c>
      <c r="H1135" s="347" t="str">
        <f>+H1134</f>
        <v>Curso Biblia Reinaldo Bascur Llona</v>
      </c>
      <c r="I1135" s="347" t="s">
        <v>296</v>
      </c>
      <c r="K1135" s="370"/>
      <c r="N1135" s="370"/>
    </row>
    <row r="1136" spans="1:14" s="347" customFormat="1" x14ac:dyDescent="0.25">
      <c r="A1136" s="369"/>
      <c r="E1136" s="396"/>
      <c r="F1136" s="396"/>
      <c r="G1136" s="396"/>
      <c r="K1136" s="370"/>
      <c r="N1136" s="370"/>
    </row>
    <row r="1137" spans="1:14" s="347" customFormat="1" x14ac:dyDescent="0.25">
      <c r="A1137" s="369">
        <v>44284</v>
      </c>
      <c r="B1137" s="340">
        <f>+MONTH(A1137)</f>
        <v>3</v>
      </c>
      <c r="C1137" s="347">
        <v>110</v>
      </c>
      <c r="D1137" s="340" t="str">
        <f>VLOOKUP(C1137,Plan!A$1:B$65542,2,0)</f>
        <v>Disponible Administración</v>
      </c>
      <c r="E1137" s="341">
        <f>+F1137-G1137</f>
        <v>15000</v>
      </c>
      <c r="F1137" s="396">
        <v>15000</v>
      </c>
      <c r="G1137" s="396">
        <v>0</v>
      </c>
      <c r="H1137" t="s">
        <v>1205</v>
      </c>
      <c r="I1137" s="347" t="s">
        <v>296</v>
      </c>
      <c r="K1137" s="370"/>
      <c r="N1137" s="370"/>
    </row>
    <row r="1138" spans="1:14" s="347" customFormat="1" x14ac:dyDescent="0.25">
      <c r="A1138" s="369">
        <f>+A1137</f>
        <v>44284</v>
      </c>
      <c r="B1138" s="347">
        <f>+B1137</f>
        <v>3</v>
      </c>
      <c r="C1138" s="347">
        <v>3110</v>
      </c>
      <c r="D1138" s="340" t="str">
        <f>VLOOKUP(C1138,Plan!A$1:B$65542,2,0)</f>
        <v>Colectas Normales</v>
      </c>
      <c r="E1138" s="396">
        <f>-G1138</f>
        <v>-15000</v>
      </c>
      <c r="F1138" s="396">
        <v>0</v>
      </c>
      <c r="G1138" s="396">
        <f>+F1137</f>
        <v>15000</v>
      </c>
      <c r="H1138" s="347" t="str">
        <f>+H1137</f>
        <v>Colecta Gonzalo Nieto Valdes</v>
      </c>
      <c r="I1138" s="347" t="s">
        <v>296</v>
      </c>
      <c r="K1138" s="370"/>
      <c r="N1138" s="370"/>
    </row>
    <row r="1139" spans="1:14" s="347" customFormat="1" x14ac:dyDescent="0.25">
      <c r="A1139" s="369"/>
      <c r="E1139" s="396"/>
      <c r="F1139" s="396"/>
      <c r="G1139" s="396"/>
      <c r="K1139" s="370"/>
      <c r="N1139" s="370"/>
    </row>
    <row r="1140" spans="1:14" s="347" customFormat="1" x14ac:dyDescent="0.25">
      <c r="A1140" s="369">
        <v>44284</v>
      </c>
      <c r="B1140" s="340">
        <f>+MONTH(A1140)</f>
        <v>3</v>
      </c>
      <c r="C1140" s="347">
        <v>110</v>
      </c>
      <c r="D1140" s="340" t="str">
        <f>VLOOKUP(C1140,Plan!A$1:B$65542,2,0)</f>
        <v>Disponible Administración</v>
      </c>
      <c r="E1140" s="341">
        <f>+F1140-G1140</f>
        <v>5000</v>
      </c>
      <c r="F1140" s="396">
        <v>5000</v>
      </c>
      <c r="G1140" s="396">
        <v>0</v>
      </c>
      <c r="H1140" t="s">
        <v>1206</v>
      </c>
      <c r="I1140" s="347" t="s">
        <v>296</v>
      </c>
      <c r="K1140" s="370"/>
      <c r="N1140" s="370"/>
    </row>
    <row r="1141" spans="1:14" s="347" customFormat="1" x14ac:dyDescent="0.25">
      <c r="A1141" s="369">
        <f>+A1140</f>
        <v>44284</v>
      </c>
      <c r="B1141" s="347">
        <f>+B1140</f>
        <v>3</v>
      </c>
      <c r="C1141" s="347">
        <v>3110</v>
      </c>
      <c r="D1141" s="340" t="str">
        <f>VLOOKUP(C1141,Plan!A$1:B$65542,2,0)</f>
        <v>Colectas Normales</v>
      </c>
      <c r="E1141" s="396">
        <f>-G1141</f>
        <v>-5000</v>
      </c>
      <c r="F1141" s="396">
        <v>0</v>
      </c>
      <c r="G1141" s="396">
        <f>+F1140</f>
        <v>5000</v>
      </c>
      <c r="H1141" s="347" t="str">
        <f>+H1140</f>
        <v>Colecta Josefina Vial</v>
      </c>
      <c r="I1141" s="347" t="s">
        <v>296</v>
      </c>
      <c r="K1141" s="370"/>
      <c r="N1141" s="370"/>
    </row>
    <row r="1142" spans="1:14" s="347" customFormat="1" x14ac:dyDescent="0.25">
      <c r="A1142" s="369"/>
      <c r="E1142" s="396"/>
      <c r="F1142" s="396"/>
      <c r="G1142" s="396"/>
      <c r="K1142" s="370"/>
      <c r="N1142" s="370"/>
    </row>
    <row r="1143" spans="1:14" s="347" customFormat="1" x14ac:dyDescent="0.25">
      <c r="A1143" s="369">
        <v>44284</v>
      </c>
      <c r="B1143" s="340">
        <f>+MONTH(A1143)</f>
        <v>3</v>
      </c>
      <c r="C1143" s="347">
        <v>110</v>
      </c>
      <c r="D1143" s="340" t="str">
        <f>VLOOKUP(C1143,Plan!A$1:B$65542,2,0)</f>
        <v>Disponible Administración</v>
      </c>
      <c r="E1143" s="341">
        <f>+F1143-G1143</f>
        <v>100000</v>
      </c>
      <c r="F1143" s="396">
        <v>100000</v>
      </c>
      <c r="G1143" s="396">
        <v>0</v>
      </c>
      <c r="H1143" t="s">
        <v>1107</v>
      </c>
      <c r="I1143" s="347" t="s">
        <v>296</v>
      </c>
      <c r="K1143" s="370"/>
      <c r="N1143" s="370"/>
    </row>
    <row r="1144" spans="1:14" s="347" customFormat="1" x14ac:dyDescent="0.25">
      <c r="A1144" s="369">
        <f>+A1143</f>
        <v>44284</v>
      </c>
      <c r="B1144" s="347">
        <f>+B1143</f>
        <v>3</v>
      </c>
      <c r="C1144" s="347">
        <v>3110</v>
      </c>
      <c r="D1144" s="340" t="str">
        <f>VLOOKUP(C1144,Plan!A$1:B$65542,2,0)</f>
        <v>Colectas Normales</v>
      </c>
      <c r="E1144" s="396">
        <f>-G1144</f>
        <v>-100000</v>
      </c>
      <c r="F1144" s="396">
        <v>0</v>
      </c>
      <c r="G1144" s="396">
        <f>+F1143</f>
        <v>100000</v>
      </c>
      <c r="H1144" s="347" t="str">
        <f>+H1143</f>
        <v>Colecta Francisco Guillen</v>
      </c>
      <c r="I1144" s="347" t="s">
        <v>296</v>
      </c>
      <c r="K1144" s="370"/>
      <c r="N1144" s="370"/>
    </row>
    <row r="1145" spans="1:14" s="347" customFormat="1" x14ac:dyDescent="0.25">
      <c r="A1145" s="369"/>
      <c r="D1145" s="340"/>
      <c r="E1145" s="396"/>
      <c r="F1145" s="396"/>
      <c r="G1145" s="396"/>
      <c r="K1145" s="370"/>
      <c r="N1145" s="370"/>
    </row>
    <row r="1146" spans="1:14" s="347" customFormat="1" x14ac:dyDescent="0.25">
      <c r="A1146" s="369">
        <v>44284</v>
      </c>
      <c r="B1146" s="340">
        <f>+MONTH(A1146)</f>
        <v>3</v>
      </c>
      <c r="C1146" s="347">
        <v>110</v>
      </c>
      <c r="D1146" s="340" t="str">
        <f>VLOOKUP(C1146,Plan!A$1:B$65542,2,0)</f>
        <v>Disponible Administración</v>
      </c>
      <c r="E1146" s="341">
        <f>+F1146-G1146</f>
        <v>10000</v>
      </c>
      <c r="F1146" s="396">
        <v>10000</v>
      </c>
      <c r="G1146" s="396">
        <v>0</v>
      </c>
      <c r="H1146" t="s">
        <v>1183</v>
      </c>
      <c r="I1146" s="347" t="s">
        <v>296</v>
      </c>
      <c r="K1146" s="370"/>
      <c r="N1146" s="370"/>
    </row>
    <row r="1147" spans="1:14" s="347" customFormat="1" x14ac:dyDescent="0.25">
      <c r="A1147" s="369">
        <f>+A1146</f>
        <v>44284</v>
      </c>
      <c r="B1147" s="347">
        <f>+B1146</f>
        <v>3</v>
      </c>
      <c r="C1147" s="347">
        <v>3110</v>
      </c>
      <c r="D1147" s="340" t="str">
        <f>VLOOKUP(C1147,Plan!A$1:B$65542,2,0)</f>
        <v>Colectas Normales</v>
      </c>
      <c r="E1147" s="396">
        <f>-G1147</f>
        <v>-10000</v>
      </c>
      <c r="F1147" s="396">
        <v>0</v>
      </c>
      <c r="G1147" s="396">
        <f>+F1146</f>
        <v>10000</v>
      </c>
      <c r="H1147" s="347" t="str">
        <f>+H1146</f>
        <v>Colecta Hilda Dougnac</v>
      </c>
      <c r="I1147" s="347" t="s">
        <v>296</v>
      </c>
      <c r="K1147" s="370"/>
      <c r="N1147" s="370"/>
    </row>
    <row r="1148" spans="1:14" s="347" customFormat="1" x14ac:dyDescent="0.25">
      <c r="A1148" s="369"/>
      <c r="E1148" s="396"/>
      <c r="F1148" s="396"/>
      <c r="G1148" s="396"/>
      <c r="K1148" s="370"/>
      <c r="N1148" s="370"/>
    </row>
    <row r="1149" spans="1:14" s="347" customFormat="1" x14ac:dyDescent="0.25">
      <c r="A1149" s="369">
        <v>44284</v>
      </c>
      <c r="B1149" s="340">
        <f>+MONTH(A1149)</f>
        <v>3</v>
      </c>
      <c r="C1149" s="347">
        <v>110</v>
      </c>
      <c r="D1149" s="340" t="str">
        <f>VLOOKUP(C1149,Plan!A$1:B$65542,2,0)</f>
        <v>Disponible Administración</v>
      </c>
      <c r="E1149" s="341">
        <f>+F1149-G1149</f>
        <v>10000</v>
      </c>
      <c r="F1149" s="396">
        <v>10000</v>
      </c>
      <c r="G1149" s="396">
        <v>0</v>
      </c>
      <c r="H1149" t="s">
        <v>881</v>
      </c>
      <c r="I1149" s="347" t="s">
        <v>296</v>
      </c>
      <c r="K1149" s="370"/>
      <c r="N1149" s="370"/>
    </row>
    <row r="1150" spans="1:14" s="347" customFormat="1" x14ac:dyDescent="0.25">
      <c r="A1150" s="369">
        <f>+A1149</f>
        <v>44284</v>
      </c>
      <c r="B1150" s="347">
        <f>+B1149</f>
        <v>3</v>
      </c>
      <c r="C1150" s="347">
        <v>3110</v>
      </c>
      <c r="D1150" s="340" t="str">
        <f>VLOOKUP(C1150,Plan!A$1:B$65542,2,0)</f>
        <v>Colectas Normales</v>
      </c>
      <c r="E1150" s="396">
        <f>-G1150</f>
        <v>-10000</v>
      </c>
      <c r="F1150" s="396">
        <v>0</v>
      </c>
      <c r="G1150" s="396">
        <f>+F1149</f>
        <v>10000</v>
      </c>
      <c r="H1150" s="347" t="str">
        <f>+H1149</f>
        <v>Colecta Rafael Marin Jordan</v>
      </c>
      <c r="I1150" s="347" t="s">
        <v>296</v>
      </c>
      <c r="K1150" s="370"/>
      <c r="N1150" s="370"/>
    </row>
    <row r="1151" spans="1:14" s="347" customFormat="1" x14ac:dyDescent="0.25">
      <c r="A1151" s="369"/>
      <c r="E1151" s="396"/>
      <c r="F1151" s="396"/>
      <c r="G1151" s="396"/>
      <c r="K1151" s="370"/>
      <c r="N1151" s="370"/>
    </row>
    <row r="1152" spans="1:14" s="347" customFormat="1" x14ac:dyDescent="0.25">
      <c r="A1152" s="369">
        <v>44284</v>
      </c>
      <c r="B1152" s="340">
        <f>+MONTH(A1152)</f>
        <v>3</v>
      </c>
      <c r="C1152" s="347">
        <v>110</v>
      </c>
      <c r="D1152" s="340" t="str">
        <f>VLOOKUP(C1152,Plan!A$1:B$65542,2,0)</f>
        <v>Disponible Administración</v>
      </c>
      <c r="E1152" s="341">
        <f>+F1152-G1152</f>
        <v>10000</v>
      </c>
      <c r="F1152" s="396">
        <v>10000</v>
      </c>
      <c r="G1152" s="396">
        <v>0</v>
      </c>
      <c r="H1152" t="s">
        <v>1151</v>
      </c>
      <c r="I1152" s="347" t="s">
        <v>296</v>
      </c>
      <c r="K1152" s="370"/>
      <c r="N1152" s="370"/>
    </row>
    <row r="1153" spans="1:14" s="347" customFormat="1" x14ac:dyDescent="0.25">
      <c r="A1153" s="369">
        <f>+A1152</f>
        <v>44284</v>
      </c>
      <c r="B1153" s="347">
        <f>+B1152</f>
        <v>3</v>
      </c>
      <c r="C1153" s="347">
        <v>3110</v>
      </c>
      <c r="D1153" s="340" t="str">
        <f>VLOOKUP(C1153,Plan!A$1:B$65542,2,0)</f>
        <v>Colectas Normales</v>
      </c>
      <c r="E1153" s="396">
        <f>-G1153</f>
        <v>-10000</v>
      </c>
      <c r="F1153" s="396">
        <v>0</v>
      </c>
      <c r="G1153" s="396">
        <f>+F1152</f>
        <v>10000</v>
      </c>
      <c r="H1153" s="347" t="str">
        <f>+H1152</f>
        <v>Colecta Eduardo Boys M</v>
      </c>
      <c r="I1153" s="347" t="s">
        <v>296</v>
      </c>
      <c r="K1153" s="370"/>
      <c r="N1153" s="370"/>
    </row>
    <row r="1154" spans="1:14" s="347" customFormat="1" x14ac:dyDescent="0.25">
      <c r="A1154" s="369"/>
      <c r="E1154" s="396"/>
      <c r="F1154" s="396"/>
      <c r="G1154" s="396"/>
      <c r="K1154" s="370"/>
      <c r="N1154" s="370"/>
    </row>
    <row r="1155" spans="1:14" s="347" customFormat="1" x14ac:dyDescent="0.25">
      <c r="A1155" s="369">
        <v>44284</v>
      </c>
      <c r="B1155" s="340">
        <f>+MONTH(A1155)</f>
        <v>3</v>
      </c>
      <c r="C1155" s="347">
        <v>110</v>
      </c>
      <c r="D1155" s="340" t="str">
        <f>VLOOKUP(C1155,Plan!A$1:B$65542,2,0)</f>
        <v>Disponible Administración</v>
      </c>
      <c r="E1155" s="341">
        <f>+F1155-G1155</f>
        <v>20000</v>
      </c>
      <c r="F1155" s="396">
        <v>20000</v>
      </c>
      <c r="G1155" s="396">
        <v>0</v>
      </c>
      <c r="H1155" t="s">
        <v>945</v>
      </c>
      <c r="I1155" s="347" t="s">
        <v>296</v>
      </c>
      <c r="K1155" s="370"/>
      <c r="N1155" s="370"/>
    </row>
    <row r="1156" spans="1:14" s="347" customFormat="1" x14ac:dyDescent="0.25">
      <c r="A1156" s="369">
        <f>+A1155</f>
        <v>44284</v>
      </c>
      <c r="B1156" s="347">
        <f>+B1155</f>
        <v>3</v>
      </c>
      <c r="C1156" s="347">
        <v>3110</v>
      </c>
      <c r="D1156" s="340" t="str">
        <f>VLOOKUP(C1156,Plan!A$1:B$65542,2,0)</f>
        <v>Colectas Normales</v>
      </c>
      <c r="E1156" s="396">
        <f>-G1156</f>
        <v>-20000</v>
      </c>
      <c r="F1156" s="396">
        <v>0</v>
      </c>
      <c r="G1156" s="396">
        <f>+F1155</f>
        <v>20000</v>
      </c>
      <c r="H1156" s="347" t="str">
        <f>+H1155</f>
        <v>Colecta Maria Corte</v>
      </c>
      <c r="I1156" s="347" t="s">
        <v>296</v>
      </c>
      <c r="K1156" s="370"/>
      <c r="N1156" s="370"/>
    </row>
    <row r="1157" spans="1:14" s="347" customFormat="1" x14ac:dyDescent="0.25">
      <c r="A1157" s="369"/>
      <c r="E1157" s="396"/>
      <c r="F1157" s="396"/>
      <c r="G1157" s="396"/>
      <c r="K1157" s="370"/>
      <c r="N1157" s="370"/>
    </row>
    <row r="1158" spans="1:14" s="347" customFormat="1" x14ac:dyDescent="0.25">
      <c r="A1158" s="369">
        <v>44284</v>
      </c>
      <c r="B1158" s="340">
        <f>+MONTH(A1158)</f>
        <v>3</v>
      </c>
      <c r="C1158" s="347">
        <v>110</v>
      </c>
      <c r="D1158" s="340" t="str">
        <f>VLOOKUP(C1158,Plan!A$1:B$65542,2,0)</f>
        <v>Disponible Administración</v>
      </c>
      <c r="E1158" s="341">
        <f>+F1158-G1158</f>
        <v>20000</v>
      </c>
      <c r="F1158" s="396">
        <v>20000</v>
      </c>
      <c r="G1158" s="396">
        <v>0</v>
      </c>
      <c r="H1158" t="s">
        <v>1159</v>
      </c>
      <c r="I1158" s="347" t="s">
        <v>296</v>
      </c>
      <c r="K1158" s="370"/>
      <c r="N1158" s="370"/>
    </row>
    <row r="1159" spans="1:14" s="347" customFormat="1" x14ac:dyDescent="0.25">
      <c r="A1159" s="369">
        <f>+A1158</f>
        <v>44284</v>
      </c>
      <c r="B1159" s="347">
        <f>+B1158</f>
        <v>3</v>
      </c>
      <c r="C1159" s="347">
        <v>3110</v>
      </c>
      <c r="D1159" s="340" t="str">
        <f>VLOOKUP(C1159,Plan!A$1:B$65542,2,0)</f>
        <v>Colectas Normales</v>
      </c>
      <c r="E1159" s="396">
        <f>-G1159</f>
        <v>-20000</v>
      </c>
      <c r="F1159" s="396">
        <v>0</v>
      </c>
      <c r="G1159" s="396">
        <f>+F1158</f>
        <v>20000</v>
      </c>
      <c r="H1159" s="347" t="str">
        <f>+H1158</f>
        <v>Colecta Guillermo Turner Olea</v>
      </c>
      <c r="I1159" s="347" t="s">
        <v>296</v>
      </c>
      <c r="K1159" s="370"/>
      <c r="N1159" s="370"/>
    </row>
    <row r="1160" spans="1:14" s="347" customFormat="1" x14ac:dyDescent="0.25">
      <c r="A1160" s="369"/>
      <c r="E1160" s="396"/>
      <c r="F1160" s="396"/>
      <c r="G1160" s="396"/>
      <c r="K1160" s="370"/>
      <c r="N1160" s="370"/>
    </row>
    <row r="1161" spans="1:14" s="347" customFormat="1" x14ac:dyDescent="0.25">
      <c r="A1161" s="369">
        <v>44284</v>
      </c>
      <c r="B1161" s="340">
        <f>+MONTH(A1161)</f>
        <v>3</v>
      </c>
      <c r="C1161" s="347">
        <v>110</v>
      </c>
      <c r="D1161" s="340" t="str">
        <f>VLOOKUP(C1161,Plan!A$1:B$65542,2,0)</f>
        <v>Disponible Administración</v>
      </c>
      <c r="E1161" s="341">
        <f>+F1161-G1161</f>
        <v>3000</v>
      </c>
      <c r="F1161" s="396">
        <v>3000</v>
      </c>
      <c r="G1161" s="396">
        <v>0</v>
      </c>
      <c r="H1161" t="s">
        <v>915</v>
      </c>
      <c r="I1161" s="347" t="s">
        <v>296</v>
      </c>
      <c r="K1161" s="370"/>
      <c r="N1161" s="370"/>
    </row>
    <row r="1162" spans="1:14" s="347" customFormat="1" x14ac:dyDescent="0.25">
      <c r="A1162" s="369">
        <f>+A1161</f>
        <v>44284</v>
      </c>
      <c r="B1162" s="347">
        <f>+B1161</f>
        <v>3</v>
      </c>
      <c r="C1162" s="347">
        <v>3110</v>
      </c>
      <c r="D1162" s="340" t="str">
        <f>VLOOKUP(C1162,Plan!A$1:B$65542,2,0)</f>
        <v>Colectas Normales</v>
      </c>
      <c r="E1162" s="396">
        <f>-G1162</f>
        <v>-3000</v>
      </c>
      <c r="F1162" s="396">
        <v>0</v>
      </c>
      <c r="G1162" s="396">
        <f>+F1161</f>
        <v>3000</v>
      </c>
      <c r="H1162" s="347" t="str">
        <f>+H1161</f>
        <v>Colecta Jose Perez de Castro</v>
      </c>
      <c r="I1162" s="347" t="s">
        <v>296</v>
      </c>
      <c r="K1162" s="370"/>
      <c r="N1162" s="370"/>
    </row>
    <row r="1163" spans="1:14" s="347" customFormat="1" x14ac:dyDescent="0.25">
      <c r="A1163" s="369"/>
      <c r="E1163" s="396"/>
      <c r="F1163" s="396"/>
      <c r="G1163" s="396"/>
      <c r="K1163" s="370"/>
      <c r="N1163" s="370"/>
    </row>
    <row r="1164" spans="1:14" s="347" customFormat="1" x14ac:dyDescent="0.25">
      <c r="A1164" s="369">
        <v>44284</v>
      </c>
      <c r="B1164" s="340">
        <f>+MONTH(A1164)</f>
        <v>3</v>
      </c>
      <c r="C1164" s="347">
        <v>110</v>
      </c>
      <c r="D1164" s="340" t="str">
        <f>VLOOKUP(C1164,Plan!A$1:B$65542,2,0)</f>
        <v>Disponible Administración</v>
      </c>
      <c r="E1164" s="341">
        <f>+F1164-G1164</f>
        <v>5000</v>
      </c>
      <c r="F1164" s="396">
        <v>5000</v>
      </c>
      <c r="G1164" s="396">
        <v>0</v>
      </c>
      <c r="H1164" t="s">
        <v>1135</v>
      </c>
      <c r="I1164" s="347" t="s">
        <v>296</v>
      </c>
      <c r="K1164" s="370"/>
      <c r="N1164" s="370"/>
    </row>
    <row r="1165" spans="1:14" s="347" customFormat="1" x14ac:dyDescent="0.25">
      <c r="A1165" s="369">
        <f>+A1164</f>
        <v>44284</v>
      </c>
      <c r="B1165" s="347">
        <f>+B1164</f>
        <v>3</v>
      </c>
      <c r="C1165" s="347">
        <v>3110</v>
      </c>
      <c r="D1165" s="340" t="str">
        <f>VLOOKUP(C1165,Plan!A$1:B$65542,2,0)</f>
        <v>Colectas Normales</v>
      </c>
      <c r="E1165" s="396">
        <f>-G1165</f>
        <v>-5000</v>
      </c>
      <c r="F1165" s="396">
        <v>0</v>
      </c>
      <c r="G1165" s="396">
        <f>+F1164</f>
        <v>5000</v>
      </c>
      <c r="H1165" s="347" t="str">
        <f>+H1164</f>
        <v>Colecta Francisco Guimpert</v>
      </c>
      <c r="I1165" s="347" t="s">
        <v>296</v>
      </c>
      <c r="K1165" s="370"/>
      <c r="N1165" s="370"/>
    </row>
    <row r="1166" spans="1:14" s="347" customFormat="1" x14ac:dyDescent="0.25">
      <c r="A1166" s="369"/>
      <c r="E1166" s="396"/>
      <c r="F1166" s="396"/>
      <c r="G1166" s="396"/>
      <c r="K1166" s="370"/>
      <c r="N1166" s="370"/>
    </row>
    <row r="1167" spans="1:14" s="347" customFormat="1" x14ac:dyDescent="0.25">
      <c r="A1167" s="369">
        <v>44284</v>
      </c>
      <c r="B1167" s="340">
        <f>+MONTH(A1167)</f>
        <v>3</v>
      </c>
      <c r="C1167" s="347">
        <v>110</v>
      </c>
      <c r="D1167" s="340" t="str">
        <f>VLOOKUP(C1167,Plan!A$1:B$65542,2,0)</f>
        <v>Disponible Administración</v>
      </c>
      <c r="E1167" s="341">
        <f>+F1167-G1167</f>
        <v>25000</v>
      </c>
      <c r="F1167" s="396">
        <v>25000</v>
      </c>
      <c r="G1167" s="396">
        <v>0</v>
      </c>
      <c r="H1167" t="s">
        <v>1207</v>
      </c>
      <c r="I1167" s="347" t="s">
        <v>296</v>
      </c>
      <c r="K1167" s="370"/>
      <c r="N1167" s="370"/>
    </row>
    <row r="1168" spans="1:14" s="347" customFormat="1" x14ac:dyDescent="0.25">
      <c r="A1168" s="369">
        <f>+A1167</f>
        <v>44284</v>
      </c>
      <c r="B1168" s="347">
        <f>+B1167</f>
        <v>3</v>
      </c>
      <c r="C1168" s="347">
        <v>3110</v>
      </c>
      <c r="D1168" s="340" t="str">
        <f>VLOOKUP(C1168,Plan!A$1:B$65542,2,0)</f>
        <v>Colectas Normales</v>
      </c>
      <c r="E1168" s="396">
        <f>-G1168</f>
        <v>-25000</v>
      </c>
      <c r="F1168" s="396">
        <v>0</v>
      </c>
      <c r="G1168" s="396">
        <f>+F1167</f>
        <v>25000</v>
      </c>
      <c r="H1168" s="347" t="str">
        <f>+H1167</f>
        <v>Colecta Maria Teresa Palma</v>
      </c>
      <c r="I1168" s="347" t="s">
        <v>296</v>
      </c>
      <c r="K1168" s="370"/>
      <c r="N1168" s="370"/>
    </row>
    <row r="1169" spans="1:14" s="347" customFormat="1" x14ac:dyDescent="0.25">
      <c r="A1169" s="369"/>
      <c r="E1169" s="396"/>
      <c r="F1169" s="396"/>
      <c r="G1169" s="396"/>
      <c r="K1169" s="370"/>
      <c r="N1169" s="370"/>
    </row>
    <row r="1170" spans="1:14" s="347" customFormat="1" x14ac:dyDescent="0.25">
      <c r="A1170" s="369">
        <v>44284</v>
      </c>
      <c r="B1170" s="340">
        <f>+MONTH(A1170)</f>
        <v>3</v>
      </c>
      <c r="C1170" s="347">
        <v>110</v>
      </c>
      <c r="D1170" s="340" t="str">
        <f>VLOOKUP(C1170,Plan!A$1:B$65542,2,0)</f>
        <v>Disponible Administración</v>
      </c>
      <c r="E1170" s="341">
        <f>+F1170-G1170</f>
        <v>30000</v>
      </c>
      <c r="F1170" s="396">
        <v>30000</v>
      </c>
      <c r="G1170" s="396">
        <v>0</v>
      </c>
      <c r="H1170" t="s">
        <v>1207</v>
      </c>
      <c r="I1170" s="347" t="s">
        <v>296</v>
      </c>
      <c r="K1170" s="370"/>
      <c r="N1170" s="370"/>
    </row>
    <row r="1171" spans="1:14" s="347" customFormat="1" x14ac:dyDescent="0.25">
      <c r="A1171" s="369">
        <f>+A1170</f>
        <v>44284</v>
      </c>
      <c r="B1171" s="347">
        <f>+B1170</f>
        <v>3</v>
      </c>
      <c r="C1171" s="347">
        <v>3110</v>
      </c>
      <c r="D1171" s="340" t="str">
        <f>VLOOKUP(C1171,Plan!A$1:B$65542,2,0)</f>
        <v>Colectas Normales</v>
      </c>
      <c r="E1171" s="396">
        <f>-G1171</f>
        <v>-30000</v>
      </c>
      <c r="F1171" s="396">
        <v>0</v>
      </c>
      <c r="G1171" s="396">
        <f>+F1170</f>
        <v>30000</v>
      </c>
      <c r="H1171" s="347" t="str">
        <f>+H1170</f>
        <v>Colecta Maria Teresa Palma</v>
      </c>
      <c r="I1171" s="347" t="s">
        <v>296</v>
      </c>
      <c r="K1171" s="370"/>
      <c r="N1171" s="370"/>
    </row>
    <row r="1172" spans="1:14" s="347" customFormat="1" x14ac:dyDescent="0.25">
      <c r="A1172" s="369"/>
      <c r="E1172" s="396"/>
      <c r="F1172" s="396"/>
      <c r="G1172" s="396"/>
      <c r="K1172" s="370"/>
      <c r="N1172" s="370"/>
    </row>
    <row r="1173" spans="1:14" s="347" customFormat="1" x14ac:dyDescent="0.25">
      <c r="A1173" s="369">
        <v>44284</v>
      </c>
      <c r="B1173" s="340">
        <f>+MONTH(A1173)</f>
        <v>3</v>
      </c>
      <c r="C1173" s="347">
        <v>110</v>
      </c>
      <c r="D1173" s="340" t="str">
        <f>VLOOKUP(C1173,Plan!A$1:B$65542,2,0)</f>
        <v>Disponible Administración</v>
      </c>
      <c r="E1173" s="341">
        <f>+F1173-G1173</f>
        <v>10000</v>
      </c>
      <c r="F1173" s="396">
        <v>10000</v>
      </c>
      <c r="G1173" s="396">
        <v>0</v>
      </c>
      <c r="H1173" t="s">
        <v>1134</v>
      </c>
      <c r="I1173" s="347" t="s">
        <v>296</v>
      </c>
      <c r="K1173" s="370"/>
      <c r="N1173" s="370"/>
    </row>
    <row r="1174" spans="1:14" s="347" customFormat="1" x14ac:dyDescent="0.25">
      <c r="A1174" s="369">
        <f>+A1173</f>
        <v>44284</v>
      </c>
      <c r="B1174" s="347">
        <f>+B1173</f>
        <v>3</v>
      </c>
      <c r="C1174" s="347">
        <v>3110</v>
      </c>
      <c r="D1174" s="340" t="str">
        <f>VLOOKUP(C1174,Plan!A$1:B$65542,2,0)</f>
        <v>Colectas Normales</v>
      </c>
      <c r="E1174" s="396">
        <f>-G1174</f>
        <v>-10000</v>
      </c>
      <c r="F1174" s="396">
        <v>0</v>
      </c>
      <c r="G1174" s="396">
        <f>+F1173</f>
        <v>10000</v>
      </c>
      <c r="H1174" s="347" t="str">
        <f>+H1173</f>
        <v>Colecta Roberto Vergara Ossa</v>
      </c>
      <c r="I1174" s="347" t="s">
        <v>296</v>
      </c>
      <c r="K1174" s="370"/>
      <c r="N1174" s="370"/>
    </row>
    <row r="1175" spans="1:14" s="347" customFormat="1" x14ac:dyDescent="0.25">
      <c r="A1175" s="369"/>
      <c r="E1175" s="396"/>
      <c r="F1175" s="396"/>
      <c r="G1175" s="396"/>
      <c r="K1175" s="370"/>
      <c r="N1175" s="370"/>
    </row>
    <row r="1176" spans="1:14" s="347" customFormat="1" x14ac:dyDescent="0.25">
      <c r="A1176" s="369">
        <v>44284</v>
      </c>
      <c r="B1176" s="340">
        <f>+MONTH(A1176)</f>
        <v>3</v>
      </c>
      <c r="C1176" s="347">
        <v>110</v>
      </c>
      <c r="D1176" s="340" t="str">
        <f>VLOOKUP(C1176,Plan!A$1:B$65542,2,0)</f>
        <v>Disponible Administración</v>
      </c>
      <c r="E1176" s="341">
        <f>+F1176-G1176</f>
        <v>20000</v>
      </c>
      <c r="F1176" s="396">
        <v>20000</v>
      </c>
      <c r="G1176" s="396">
        <v>0</v>
      </c>
      <c r="H1176" t="s">
        <v>1208</v>
      </c>
      <c r="I1176" s="347" t="s">
        <v>296</v>
      </c>
      <c r="K1176" s="370"/>
      <c r="N1176" s="370"/>
    </row>
    <row r="1177" spans="1:14" s="347" customFormat="1" x14ac:dyDescent="0.25">
      <c r="A1177" s="369">
        <f>+A1176</f>
        <v>44284</v>
      </c>
      <c r="B1177" s="347">
        <f>+B1176</f>
        <v>3</v>
      </c>
      <c r="C1177" s="347">
        <v>3110</v>
      </c>
      <c r="D1177" s="340" t="str">
        <f>VLOOKUP(C1177,Plan!A$1:B$65542,2,0)</f>
        <v>Colectas Normales</v>
      </c>
      <c r="E1177" s="396">
        <f>-G1177</f>
        <v>-20000</v>
      </c>
      <c r="F1177" s="396">
        <v>0</v>
      </c>
      <c r="G1177" s="396">
        <f>+F1176</f>
        <v>20000</v>
      </c>
      <c r="H1177" s="347" t="str">
        <f>+H1176</f>
        <v>Colecta luz Maria Galilea Fresno</v>
      </c>
      <c r="I1177" s="347" t="s">
        <v>296</v>
      </c>
      <c r="K1177" s="370"/>
      <c r="N1177" s="370"/>
    </row>
    <row r="1178" spans="1:14" s="347" customFormat="1" x14ac:dyDescent="0.25">
      <c r="A1178" s="369"/>
      <c r="E1178" s="396"/>
      <c r="F1178" s="396"/>
      <c r="G1178" s="396"/>
      <c r="K1178" s="370"/>
      <c r="N1178" s="370"/>
    </row>
    <row r="1179" spans="1:14" s="347" customFormat="1" x14ac:dyDescent="0.25">
      <c r="A1179" s="369">
        <v>44284</v>
      </c>
      <c r="B1179" s="340">
        <f>+MONTH(A1179)</f>
        <v>3</v>
      </c>
      <c r="C1179" s="347">
        <v>110</v>
      </c>
      <c r="D1179" s="340" t="str">
        <f>VLOOKUP(C1179,Plan!A$1:B$65542,2,0)</f>
        <v>Disponible Administración</v>
      </c>
      <c r="E1179" s="341">
        <f>+F1179-G1179</f>
        <v>20000</v>
      </c>
      <c r="F1179" s="396">
        <v>20000</v>
      </c>
      <c r="G1179" s="396">
        <v>0</v>
      </c>
      <c r="H1179" t="s">
        <v>1209</v>
      </c>
      <c r="I1179" s="347" t="s">
        <v>296</v>
      </c>
      <c r="K1179" s="370"/>
      <c r="N1179" s="370"/>
    </row>
    <row r="1180" spans="1:14" s="347" customFormat="1" x14ac:dyDescent="0.25">
      <c r="A1180" s="369">
        <f>+A1179</f>
        <v>44284</v>
      </c>
      <c r="B1180" s="347">
        <f>+B1179</f>
        <v>3</v>
      </c>
      <c r="C1180" s="347">
        <v>215</v>
      </c>
      <c r="D1180" s="340" t="str">
        <f>VLOOKUP(C1180,Plan!A$1:B$65542,2,0)</f>
        <v>Cuenta por Pagar a Cali</v>
      </c>
      <c r="E1180" s="396">
        <f>-G1180</f>
        <v>-20000</v>
      </c>
      <c r="F1180" s="396">
        <v>0</v>
      </c>
      <c r="G1180" s="396">
        <f>+F1179</f>
        <v>20000</v>
      </c>
      <c r="H1180" s="347" t="str">
        <f>+H1179</f>
        <v>Jorge Manzur Araya / Azul</v>
      </c>
      <c r="I1180" s="347" t="s">
        <v>296</v>
      </c>
      <c r="K1180" s="370"/>
      <c r="N1180" s="370"/>
    </row>
    <row r="1181" spans="1:14" s="347" customFormat="1" x14ac:dyDescent="0.25">
      <c r="A1181" s="369"/>
      <c r="E1181" s="396"/>
      <c r="F1181" s="396"/>
      <c r="G1181" s="396"/>
      <c r="K1181" s="370"/>
      <c r="N1181" s="370"/>
    </row>
    <row r="1182" spans="1:14" s="347" customFormat="1" x14ac:dyDescent="0.25">
      <c r="A1182" s="369">
        <v>44284</v>
      </c>
      <c r="B1182" s="340">
        <f>+MONTH(A1182)</f>
        <v>3</v>
      </c>
      <c r="C1182" s="347">
        <v>110</v>
      </c>
      <c r="D1182" s="340" t="str">
        <f>VLOOKUP(C1182,Plan!A$1:B$65542,2,0)</f>
        <v>Disponible Administración</v>
      </c>
      <c r="E1182" s="341">
        <f>+F1182-G1182</f>
        <v>250000</v>
      </c>
      <c r="F1182" s="396">
        <v>250000</v>
      </c>
      <c r="G1182" s="396">
        <v>0</v>
      </c>
      <c r="H1182" t="s">
        <v>1210</v>
      </c>
      <c r="I1182" s="347" t="s">
        <v>296</v>
      </c>
      <c r="K1182" s="370"/>
      <c r="N1182" s="370"/>
    </row>
    <row r="1183" spans="1:14" s="347" customFormat="1" x14ac:dyDescent="0.25">
      <c r="A1183" s="369">
        <f>+A1182</f>
        <v>44284</v>
      </c>
      <c r="B1183" s="347">
        <f>+B1182</f>
        <v>3</v>
      </c>
      <c r="C1183" s="347">
        <v>215</v>
      </c>
      <c r="D1183" s="340" t="str">
        <f>VLOOKUP(C1183,Plan!A$1:B$65542,2,0)</f>
        <v>Cuenta por Pagar a Cali</v>
      </c>
      <c r="E1183" s="396">
        <f>-G1183</f>
        <v>-250000</v>
      </c>
      <c r="F1183" s="396">
        <v>0</v>
      </c>
      <c r="G1183" s="396">
        <f>+F1182</f>
        <v>250000</v>
      </c>
      <c r="H1183" s="347" t="str">
        <f>+H1182</f>
        <v>Sandra Rivadeneira Almonacid/Azul</v>
      </c>
      <c r="I1183" s="347" t="s">
        <v>296</v>
      </c>
      <c r="K1183" s="370"/>
      <c r="N1183" s="370"/>
    </row>
    <row r="1184" spans="1:14" s="347" customFormat="1" x14ac:dyDescent="0.25">
      <c r="A1184" s="369"/>
      <c r="E1184" s="396"/>
      <c r="F1184" s="396"/>
      <c r="G1184" s="396"/>
      <c r="K1184" s="370"/>
      <c r="N1184" s="370"/>
    </row>
    <row r="1185" spans="1:14" s="347" customFormat="1" x14ac:dyDescent="0.25">
      <c r="A1185" s="369">
        <v>44284</v>
      </c>
      <c r="B1185" s="340">
        <f>+MONTH(A1185)</f>
        <v>3</v>
      </c>
      <c r="C1185" s="347">
        <v>110</v>
      </c>
      <c r="D1185" s="340" t="str">
        <f>VLOOKUP(C1185,Plan!A$1:B$65542,2,0)</f>
        <v>Disponible Administración</v>
      </c>
      <c r="E1185" s="341">
        <f>+F1185-G1185</f>
        <v>5000</v>
      </c>
      <c r="F1185" s="396">
        <v>5000</v>
      </c>
      <c r="G1185" s="396">
        <v>0</v>
      </c>
      <c r="H1185" t="s">
        <v>1186</v>
      </c>
      <c r="I1185" s="347" t="s">
        <v>296</v>
      </c>
      <c r="K1185" s="370"/>
      <c r="N1185" s="370"/>
    </row>
    <row r="1186" spans="1:14" s="347" customFormat="1" x14ac:dyDescent="0.25">
      <c r="A1186" s="369">
        <f>+A1185</f>
        <v>44284</v>
      </c>
      <c r="B1186" s="347">
        <f>+B1185</f>
        <v>3</v>
      </c>
      <c r="C1186" s="347">
        <v>3110</v>
      </c>
      <c r="D1186" s="340" t="str">
        <f>VLOOKUP(C1186,Plan!A$1:B$65542,2,0)</f>
        <v>Colectas Normales</v>
      </c>
      <c r="E1186" s="396">
        <f>-G1186</f>
        <v>-5000</v>
      </c>
      <c r="F1186" s="396">
        <v>0</v>
      </c>
      <c r="G1186" s="396">
        <f>+F1185</f>
        <v>5000</v>
      </c>
      <c r="H1186" s="347" t="str">
        <f>+H1185</f>
        <v>Colecta Cristobal Villar Martino</v>
      </c>
      <c r="I1186" s="347" t="s">
        <v>296</v>
      </c>
      <c r="K1186" s="370"/>
      <c r="N1186" s="370"/>
    </row>
    <row r="1187" spans="1:14" s="347" customFormat="1" x14ac:dyDescent="0.25">
      <c r="A1187" s="369"/>
      <c r="E1187" s="396"/>
      <c r="F1187" s="396"/>
      <c r="G1187" s="396"/>
      <c r="K1187" s="370"/>
      <c r="N1187" s="370"/>
    </row>
    <row r="1188" spans="1:14" s="347" customFormat="1" x14ac:dyDescent="0.25">
      <c r="A1188" s="369">
        <v>44284</v>
      </c>
      <c r="B1188" s="340">
        <f>+MONTH(A1188)</f>
        <v>3</v>
      </c>
      <c r="C1188" s="347">
        <v>110</v>
      </c>
      <c r="D1188" s="340" t="str">
        <f>VLOOKUP(C1188,Plan!A$1:B$65542,2,0)</f>
        <v>Disponible Administración</v>
      </c>
      <c r="E1188" s="341">
        <f>+F1188-G1188</f>
        <v>10000</v>
      </c>
      <c r="F1188" s="396">
        <v>10000</v>
      </c>
      <c r="G1188" s="396">
        <v>0</v>
      </c>
      <c r="H1188" t="s">
        <v>1211</v>
      </c>
      <c r="I1188" s="347" t="s">
        <v>296</v>
      </c>
      <c r="K1188" s="370"/>
      <c r="N1188" s="370"/>
    </row>
    <row r="1189" spans="1:14" s="347" customFormat="1" x14ac:dyDescent="0.25">
      <c r="A1189" s="369">
        <f>+A1188</f>
        <v>44284</v>
      </c>
      <c r="B1189" s="347">
        <f>+B1188</f>
        <v>3</v>
      </c>
      <c r="C1189" s="347">
        <v>3110</v>
      </c>
      <c r="D1189" s="340" t="str">
        <f>VLOOKUP(C1189,Plan!A$1:B$65542,2,0)</f>
        <v>Colectas Normales</v>
      </c>
      <c r="E1189" s="396">
        <f>-G1189</f>
        <v>-10000</v>
      </c>
      <c r="F1189" s="396">
        <v>0</v>
      </c>
      <c r="G1189" s="396">
        <f>+F1188</f>
        <v>10000</v>
      </c>
      <c r="H1189" s="347" t="str">
        <f>+H1188</f>
        <v>Colecta Jaime Lubascher</v>
      </c>
      <c r="I1189" s="347" t="s">
        <v>296</v>
      </c>
      <c r="K1189" s="370"/>
      <c r="N1189" s="370"/>
    </row>
    <row r="1190" spans="1:14" s="347" customFormat="1" x14ac:dyDescent="0.25">
      <c r="A1190" s="369"/>
      <c r="E1190" s="396"/>
      <c r="F1190" s="396"/>
      <c r="G1190" s="396"/>
      <c r="K1190" s="370"/>
      <c r="N1190" s="370"/>
    </row>
    <row r="1191" spans="1:14" s="347" customFormat="1" x14ac:dyDescent="0.25">
      <c r="A1191" s="369">
        <v>44284</v>
      </c>
      <c r="B1191" s="340">
        <f>+MONTH(A1191)</f>
        <v>3</v>
      </c>
      <c r="C1191" s="347">
        <v>110</v>
      </c>
      <c r="D1191" s="340" t="str">
        <f>VLOOKUP(C1191,Plan!A$1:B$65542,2,0)</f>
        <v>Disponible Administración</v>
      </c>
      <c r="E1191" s="341">
        <f>+F1191-G1191</f>
        <v>30000</v>
      </c>
      <c r="F1191" s="396">
        <v>30000</v>
      </c>
      <c r="G1191" s="396">
        <v>0</v>
      </c>
      <c r="H1191" t="s">
        <v>1212</v>
      </c>
      <c r="I1191" s="347" t="s">
        <v>296</v>
      </c>
      <c r="K1191" s="370"/>
      <c r="N1191" s="370"/>
    </row>
    <row r="1192" spans="1:14" s="347" customFormat="1" x14ac:dyDescent="0.25">
      <c r="A1192" s="369">
        <f>+A1191</f>
        <v>44284</v>
      </c>
      <c r="B1192" s="347">
        <f>+B1191</f>
        <v>3</v>
      </c>
      <c r="C1192" s="347">
        <v>3110</v>
      </c>
      <c r="D1192" s="340" t="str">
        <f>VLOOKUP(C1192,Plan!A$1:B$65542,2,0)</f>
        <v>Colectas Normales</v>
      </c>
      <c r="E1192" s="396">
        <f>-G1192</f>
        <v>-30000</v>
      </c>
      <c r="F1192" s="396">
        <v>0</v>
      </c>
      <c r="G1192" s="396">
        <f>+F1191</f>
        <v>30000</v>
      </c>
      <c r="H1192" s="347" t="str">
        <f>+H1191</f>
        <v>Colecta Maria jose Fernandez Cifuentes</v>
      </c>
      <c r="I1192" s="347" t="s">
        <v>296</v>
      </c>
      <c r="K1192" s="370"/>
      <c r="N1192" s="370"/>
    </row>
    <row r="1193" spans="1:14" s="347" customFormat="1" x14ac:dyDescent="0.25">
      <c r="A1193" s="369"/>
      <c r="E1193" s="396"/>
      <c r="F1193" s="396"/>
      <c r="G1193" s="396"/>
      <c r="K1193" s="370"/>
      <c r="N1193" s="370"/>
    </row>
    <row r="1194" spans="1:14" s="347" customFormat="1" x14ac:dyDescent="0.25">
      <c r="A1194" s="369">
        <v>44284</v>
      </c>
      <c r="B1194" s="340">
        <f>+MONTH(A1194)</f>
        <v>3</v>
      </c>
      <c r="C1194" s="347">
        <v>110</v>
      </c>
      <c r="D1194" s="340" t="str">
        <f>VLOOKUP(C1194,Plan!A$1:B$65542,2,0)</f>
        <v>Disponible Administración</v>
      </c>
      <c r="E1194" s="341">
        <f>+F1194-G1194</f>
        <v>5000</v>
      </c>
      <c r="F1194" s="396">
        <v>5000</v>
      </c>
      <c r="G1194" s="396">
        <v>0</v>
      </c>
      <c r="H1194" t="s">
        <v>1108</v>
      </c>
      <c r="I1194" s="347" t="s">
        <v>296</v>
      </c>
      <c r="K1194" s="370"/>
      <c r="N1194" s="370"/>
    </row>
    <row r="1195" spans="1:14" s="347" customFormat="1" x14ac:dyDescent="0.25">
      <c r="A1195" s="369">
        <f>+A1194</f>
        <v>44284</v>
      </c>
      <c r="B1195" s="347">
        <f>+B1194</f>
        <v>3</v>
      </c>
      <c r="C1195" s="347">
        <v>3110</v>
      </c>
      <c r="D1195" s="340" t="str">
        <f>VLOOKUP(C1195,Plan!A$1:B$65542,2,0)</f>
        <v>Colectas Normales</v>
      </c>
      <c r="E1195" s="396">
        <f>-G1195</f>
        <v>-5000</v>
      </c>
      <c r="F1195" s="396">
        <v>0</v>
      </c>
      <c r="G1195" s="396">
        <f>+F1194</f>
        <v>5000</v>
      </c>
      <c r="H1195" s="347" t="str">
        <f>+H1194</f>
        <v>Colecta Ricardo Fernandez</v>
      </c>
      <c r="I1195" s="347" t="s">
        <v>296</v>
      </c>
      <c r="K1195" s="370"/>
      <c r="N1195" s="370"/>
    </row>
    <row r="1196" spans="1:14" s="347" customFormat="1" x14ac:dyDescent="0.25">
      <c r="A1196" s="369"/>
      <c r="E1196" s="396"/>
      <c r="F1196" s="396"/>
      <c r="G1196" s="396"/>
      <c r="K1196" s="370"/>
      <c r="N1196" s="370"/>
    </row>
    <row r="1197" spans="1:14" s="347" customFormat="1" x14ac:dyDescent="0.25">
      <c r="A1197" s="369">
        <v>44284</v>
      </c>
      <c r="B1197" s="340">
        <f>+MONTH(A1197)</f>
        <v>3</v>
      </c>
      <c r="C1197" s="347">
        <v>110</v>
      </c>
      <c r="D1197" s="340" t="str">
        <f>VLOOKUP(C1197,Plan!A$1:B$65542,2,0)</f>
        <v>Disponible Administración</v>
      </c>
      <c r="E1197" s="341">
        <f>+F1197-G1197</f>
        <v>20000</v>
      </c>
      <c r="F1197" s="396">
        <v>20000</v>
      </c>
      <c r="G1197" s="396">
        <v>0</v>
      </c>
      <c r="H1197" t="s">
        <v>1213</v>
      </c>
      <c r="I1197" s="347" t="s">
        <v>296</v>
      </c>
      <c r="K1197" s="370"/>
      <c r="N1197" s="370"/>
    </row>
    <row r="1198" spans="1:14" s="347" customFormat="1" x14ac:dyDescent="0.25">
      <c r="A1198" s="369">
        <f>+A1197</f>
        <v>44284</v>
      </c>
      <c r="B1198" s="347">
        <f>+B1197</f>
        <v>3</v>
      </c>
      <c r="C1198" s="347">
        <v>3110</v>
      </c>
      <c r="D1198" s="340" t="str">
        <f>VLOOKUP(C1198,Plan!A$1:B$65542,2,0)</f>
        <v>Colectas Normales</v>
      </c>
      <c r="E1198" s="396">
        <f>-G1198</f>
        <v>-20000</v>
      </c>
      <c r="F1198" s="396">
        <v>0</v>
      </c>
      <c r="G1198" s="396">
        <f>+F1197</f>
        <v>20000</v>
      </c>
      <c r="H1198" s="347" t="str">
        <f>+H1197</f>
        <v>Colecta Rosita Silva</v>
      </c>
      <c r="I1198" s="347" t="s">
        <v>296</v>
      </c>
      <c r="K1198" s="370"/>
      <c r="N1198" s="370"/>
    </row>
    <row r="1199" spans="1:14" s="347" customFormat="1" x14ac:dyDescent="0.25">
      <c r="A1199" s="369"/>
      <c r="E1199" s="396"/>
      <c r="F1199" s="396"/>
      <c r="G1199" s="396"/>
      <c r="K1199" s="370"/>
      <c r="N1199" s="370"/>
    </row>
    <row r="1200" spans="1:14" s="347" customFormat="1" x14ac:dyDescent="0.25">
      <c r="A1200" s="369">
        <v>44284</v>
      </c>
      <c r="B1200" s="340">
        <f>+MONTH(A1200)</f>
        <v>3</v>
      </c>
      <c r="C1200" s="347">
        <v>110</v>
      </c>
      <c r="D1200" s="340" t="str">
        <f>VLOOKUP(C1200,Plan!A$1:B$65542,2,0)</f>
        <v>Disponible Administración</v>
      </c>
      <c r="E1200" s="341">
        <f>+F1200-G1200</f>
        <v>50000</v>
      </c>
      <c r="F1200" s="396">
        <v>50000</v>
      </c>
      <c r="G1200" s="396">
        <v>0</v>
      </c>
      <c r="H1200" t="s">
        <v>1214</v>
      </c>
      <c r="I1200" s="347" t="s">
        <v>296</v>
      </c>
      <c r="K1200" s="370"/>
      <c r="N1200" s="370"/>
    </row>
    <row r="1201" spans="1:14" s="347" customFormat="1" x14ac:dyDescent="0.25">
      <c r="A1201" s="369">
        <f>+A1200</f>
        <v>44284</v>
      </c>
      <c r="B1201" s="347">
        <f>+B1200</f>
        <v>3</v>
      </c>
      <c r="C1201" s="347">
        <v>3110</v>
      </c>
      <c r="D1201" s="340" t="str">
        <f>VLOOKUP(C1201,Plan!A$1:B$65542,2,0)</f>
        <v>Colectas Normales</v>
      </c>
      <c r="E1201" s="396">
        <f>-G1201</f>
        <v>-50000</v>
      </c>
      <c r="F1201" s="396">
        <v>0</v>
      </c>
      <c r="G1201" s="396">
        <f>+F1200</f>
        <v>50000</v>
      </c>
      <c r="H1201" s="347" t="str">
        <f>+H1200</f>
        <v>Colecta Luis Eduardo Montes M</v>
      </c>
      <c r="I1201" s="347" t="s">
        <v>296</v>
      </c>
      <c r="K1201" s="370"/>
      <c r="N1201" s="370"/>
    </row>
    <row r="1202" spans="1:14" s="347" customFormat="1" x14ac:dyDescent="0.25">
      <c r="A1202" s="369"/>
      <c r="E1202" s="396"/>
      <c r="F1202" s="396"/>
      <c r="G1202" s="396"/>
      <c r="K1202" s="370"/>
      <c r="N1202" s="370"/>
    </row>
    <row r="1203" spans="1:14" s="347" customFormat="1" x14ac:dyDescent="0.25">
      <c r="A1203" s="369">
        <v>44284</v>
      </c>
      <c r="B1203" s="340">
        <f>+MONTH(A1203)</f>
        <v>3</v>
      </c>
      <c r="C1203" s="347">
        <v>110</v>
      </c>
      <c r="D1203" s="340" t="str">
        <f>VLOOKUP(C1203,Plan!A$1:B$65542,2,0)</f>
        <v>Disponible Administración</v>
      </c>
      <c r="E1203" s="341">
        <f>+F1203-G1203</f>
        <v>10000</v>
      </c>
      <c r="F1203" s="396">
        <v>10000</v>
      </c>
      <c r="G1203" s="396">
        <v>0</v>
      </c>
      <c r="H1203" t="s">
        <v>880</v>
      </c>
      <c r="I1203" s="347" t="s">
        <v>296</v>
      </c>
      <c r="K1203" s="370"/>
      <c r="N1203" s="370"/>
    </row>
    <row r="1204" spans="1:14" s="347" customFormat="1" x14ac:dyDescent="0.25">
      <c r="A1204" s="369">
        <f>+A1203</f>
        <v>44284</v>
      </c>
      <c r="B1204" s="347">
        <f>+B1203</f>
        <v>3</v>
      </c>
      <c r="C1204" s="347">
        <v>3110</v>
      </c>
      <c r="D1204" s="340" t="str">
        <f>VLOOKUP(C1204,Plan!A$1:B$65542,2,0)</f>
        <v>Colectas Normales</v>
      </c>
      <c r="E1204" s="396">
        <f>-G1204</f>
        <v>-10000</v>
      </c>
      <c r="F1204" s="396">
        <v>0</v>
      </c>
      <c r="G1204" s="396">
        <f>+F1203</f>
        <v>10000</v>
      </c>
      <c r="H1204" s="347" t="str">
        <f>+H1203</f>
        <v>Colecta Sebastian Rios</v>
      </c>
      <c r="I1204" s="347" t="s">
        <v>296</v>
      </c>
      <c r="K1204" s="370"/>
      <c r="N1204" s="370"/>
    </row>
    <row r="1205" spans="1:14" s="347" customFormat="1" x14ac:dyDescent="0.25">
      <c r="A1205" s="369"/>
      <c r="E1205" s="396"/>
      <c r="F1205" s="396"/>
      <c r="G1205" s="396"/>
      <c r="K1205" s="370"/>
      <c r="N1205" s="370"/>
    </row>
    <row r="1206" spans="1:14" s="347" customFormat="1" x14ac:dyDescent="0.25">
      <c r="A1206" s="369">
        <v>44284</v>
      </c>
      <c r="B1206" s="340">
        <f>+MONTH(A1206)</f>
        <v>3</v>
      </c>
      <c r="C1206" s="347">
        <v>110</v>
      </c>
      <c r="D1206" s="340" t="str">
        <f>VLOOKUP(C1206,Plan!A$1:B$65542,2,0)</f>
        <v>Disponible Administración</v>
      </c>
      <c r="E1206" s="341">
        <f>+F1206-G1206</f>
        <v>40000</v>
      </c>
      <c r="F1206" s="396">
        <v>40000</v>
      </c>
      <c r="G1206" s="396">
        <v>0</v>
      </c>
      <c r="H1206" t="s">
        <v>1215</v>
      </c>
      <c r="I1206" s="347" t="s">
        <v>296</v>
      </c>
      <c r="K1206" s="370"/>
      <c r="N1206" s="370"/>
    </row>
    <row r="1207" spans="1:14" s="347" customFormat="1" x14ac:dyDescent="0.25">
      <c r="A1207" s="369">
        <f>+A1206</f>
        <v>44284</v>
      </c>
      <c r="B1207" s="347">
        <f>+B1206</f>
        <v>3</v>
      </c>
      <c r="C1207" s="347">
        <v>3110</v>
      </c>
      <c r="D1207" s="340" t="str">
        <f>VLOOKUP(C1207,Plan!A$1:B$65542,2,0)</f>
        <v>Colectas Normales</v>
      </c>
      <c r="E1207" s="396">
        <f>-G1207</f>
        <v>-40000</v>
      </c>
      <c r="F1207" s="396">
        <v>0</v>
      </c>
      <c r="G1207" s="396">
        <f>+F1206</f>
        <v>40000</v>
      </c>
      <c r="H1207" s="347" t="str">
        <f>+H1206</f>
        <v>Colecta Maria Del Pilar Rios Dempster</v>
      </c>
      <c r="I1207" s="347" t="s">
        <v>296</v>
      </c>
      <c r="K1207" s="370"/>
      <c r="N1207" s="370"/>
    </row>
    <row r="1208" spans="1:14" s="347" customFormat="1" x14ac:dyDescent="0.25">
      <c r="A1208" s="369"/>
      <c r="E1208" s="396"/>
      <c r="F1208" s="396"/>
      <c r="G1208" s="396"/>
      <c r="K1208" s="370"/>
      <c r="N1208" s="370"/>
    </row>
    <row r="1209" spans="1:14" s="347" customFormat="1" x14ac:dyDescent="0.25">
      <c r="A1209" s="369">
        <v>44284</v>
      </c>
      <c r="B1209" s="340">
        <f>+MONTH(A1209)</f>
        <v>3</v>
      </c>
      <c r="C1209" s="347">
        <v>110</v>
      </c>
      <c r="D1209" s="340" t="str">
        <f>VLOOKUP(C1209,Plan!A$1:B$65542,2,0)</f>
        <v>Disponible Administración</v>
      </c>
      <c r="E1209" s="341">
        <f>+F1209-G1209</f>
        <v>2000</v>
      </c>
      <c r="F1209" s="396">
        <v>2000</v>
      </c>
      <c r="G1209" s="396">
        <v>0</v>
      </c>
      <c r="H1209" t="s">
        <v>1216</v>
      </c>
      <c r="I1209" s="347" t="s">
        <v>296</v>
      </c>
      <c r="K1209" s="370"/>
      <c r="N1209" s="370"/>
    </row>
    <row r="1210" spans="1:14" s="347" customFormat="1" x14ac:dyDescent="0.25">
      <c r="A1210" s="369">
        <f>+A1209</f>
        <v>44284</v>
      </c>
      <c r="B1210" s="347">
        <f>+B1209</f>
        <v>3</v>
      </c>
      <c r="C1210" s="347">
        <v>3110</v>
      </c>
      <c r="D1210" s="340" t="str">
        <f>VLOOKUP(C1210,Plan!A$1:B$65542,2,0)</f>
        <v>Colectas Normales</v>
      </c>
      <c r="E1210" s="396">
        <f>-G1210</f>
        <v>-2000</v>
      </c>
      <c r="F1210" s="396">
        <v>0</v>
      </c>
      <c r="G1210" s="396">
        <f>+F1209</f>
        <v>2000</v>
      </c>
      <c r="H1210" s="347" t="str">
        <f>+H1209</f>
        <v>Colecta Trinidad Barriga Cruzat</v>
      </c>
      <c r="I1210" s="347" t="s">
        <v>296</v>
      </c>
      <c r="K1210" s="370"/>
      <c r="N1210" s="370"/>
    </row>
    <row r="1211" spans="1:14" s="347" customFormat="1" x14ac:dyDescent="0.25">
      <c r="A1211" s="369"/>
      <c r="E1211" s="396"/>
      <c r="F1211" s="396"/>
      <c r="G1211" s="396"/>
      <c r="K1211" s="370"/>
      <c r="N1211" s="370"/>
    </row>
    <row r="1212" spans="1:14" s="347" customFormat="1" x14ac:dyDescent="0.25">
      <c r="A1212" s="369">
        <v>44284</v>
      </c>
      <c r="B1212" s="340">
        <f>+MONTH(A1212)</f>
        <v>3</v>
      </c>
      <c r="C1212" s="347">
        <v>110</v>
      </c>
      <c r="D1212" s="340" t="str">
        <f>VLOOKUP(C1212,Plan!A$1:B$65542,2,0)</f>
        <v>Disponible Administración</v>
      </c>
      <c r="E1212" s="341">
        <f>+F1212-G1212</f>
        <v>9800</v>
      </c>
      <c r="F1212" s="396">
        <v>9800</v>
      </c>
      <c r="G1212" s="396">
        <v>0</v>
      </c>
      <c r="H1212" t="s">
        <v>1217</v>
      </c>
      <c r="I1212" s="347" t="s">
        <v>296</v>
      </c>
      <c r="K1212" s="370"/>
      <c r="N1212" s="370"/>
    </row>
    <row r="1213" spans="1:14" s="347" customFormat="1" x14ac:dyDescent="0.25">
      <c r="A1213" s="369">
        <f>+A1212</f>
        <v>44284</v>
      </c>
      <c r="B1213" s="347">
        <f>+B1212</f>
        <v>3</v>
      </c>
      <c r="C1213" s="347">
        <v>3110</v>
      </c>
      <c r="D1213" s="340" t="str">
        <f>VLOOKUP(C1213,Plan!A$1:B$65542,2,0)</f>
        <v>Colectas Normales</v>
      </c>
      <c r="E1213" s="396">
        <f>-G1213</f>
        <v>-9800</v>
      </c>
      <c r="F1213" s="396">
        <v>0</v>
      </c>
      <c r="G1213" s="396">
        <f>+F1212</f>
        <v>9800</v>
      </c>
      <c r="H1213" s="347" t="str">
        <f>+H1212</f>
        <v>Colecta NN</v>
      </c>
      <c r="I1213" s="347" t="s">
        <v>296</v>
      </c>
      <c r="K1213" s="370"/>
      <c r="N1213" s="370"/>
    </row>
    <row r="1214" spans="1:14" s="347" customFormat="1" x14ac:dyDescent="0.25">
      <c r="A1214" s="369"/>
      <c r="E1214" s="396"/>
      <c r="F1214" s="396"/>
      <c r="G1214" s="396"/>
      <c r="K1214" s="370"/>
      <c r="N1214" s="370"/>
    </row>
    <row r="1215" spans="1:14" s="347" customFormat="1" x14ac:dyDescent="0.25">
      <c r="A1215" s="369">
        <v>44284</v>
      </c>
      <c r="B1215" s="340">
        <f>+MONTH(A1215)</f>
        <v>3</v>
      </c>
      <c r="C1215" s="347">
        <v>110</v>
      </c>
      <c r="D1215" s="340" t="str">
        <f>VLOOKUP(C1215,Plan!A$1:B$65542,2,0)</f>
        <v>Disponible Administración</v>
      </c>
      <c r="E1215" s="341">
        <f>+F1215-G1215</f>
        <v>5000</v>
      </c>
      <c r="F1215" s="396">
        <v>5000</v>
      </c>
      <c r="G1215" s="396">
        <v>0</v>
      </c>
      <c r="H1215" t="s">
        <v>899</v>
      </c>
      <c r="I1215" s="347" t="s">
        <v>296</v>
      </c>
      <c r="K1215" s="370"/>
      <c r="N1215" s="370"/>
    </row>
    <row r="1216" spans="1:14" s="347" customFormat="1" x14ac:dyDescent="0.25">
      <c r="A1216" s="369">
        <f>+A1215</f>
        <v>44284</v>
      </c>
      <c r="B1216" s="347">
        <f>+B1215</f>
        <v>3</v>
      </c>
      <c r="C1216" s="347">
        <v>3110</v>
      </c>
      <c r="D1216" s="340" t="str">
        <f>VLOOKUP(C1216,Plan!A$1:B$65542,2,0)</f>
        <v>Colectas Normales</v>
      </c>
      <c r="E1216" s="396">
        <f>-G1216</f>
        <v>-5000</v>
      </c>
      <c r="F1216" s="396">
        <v>0</v>
      </c>
      <c r="G1216" s="396">
        <f>+F1215</f>
        <v>5000</v>
      </c>
      <c r="H1216" s="347" t="str">
        <f>+H1215</f>
        <v>Colecta Carlos Anwandter</v>
      </c>
      <c r="I1216" s="347" t="s">
        <v>296</v>
      </c>
      <c r="K1216" s="370"/>
      <c r="N1216" s="370"/>
    </row>
    <row r="1217" spans="1:14" s="347" customFormat="1" x14ac:dyDescent="0.25">
      <c r="A1217" s="369"/>
      <c r="E1217" s="396"/>
      <c r="F1217" s="396"/>
      <c r="G1217" s="396"/>
      <c r="K1217" s="370"/>
      <c r="N1217" s="370"/>
    </row>
    <row r="1218" spans="1:14" s="347" customFormat="1" x14ac:dyDescent="0.25">
      <c r="A1218" s="369">
        <v>44284</v>
      </c>
      <c r="B1218" s="340">
        <f>+MONTH(A1218)</f>
        <v>3</v>
      </c>
      <c r="C1218" s="347">
        <v>110</v>
      </c>
      <c r="D1218" s="340" t="str">
        <f>VLOOKUP(C1218,Plan!A$1:B$65542,2,0)</f>
        <v>Disponible Administración</v>
      </c>
      <c r="E1218" s="341">
        <f>+F1218-G1218</f>
        <v>10000</v>
      </c>
      <c r="F1218" s="396">
        <v>10000</v>
      </c>
      <c r="G1218" s="396">
        <v>0</v>
      </c>
      <c r="H1218" t="s">
        <v>1218</v>
      </c>
      <c r="I1218" s="347" t="s">
        <v>296</v>
      </c>
      <c r="K1218" s="370"/>
      <c r="N1218" s="370"/>
    </row>
    <row r="1219" spans="1:14" s="347" customFormat="1" x14ac:dyDescent="0.25">
      <c r="A1219" s="369">
        <f>+A1218</f>
        <v>44284</v>
      </c>
      <c r="B1219" s="347">
        <f>+B1218</f>
        <v>3</v>
      </c>
      <c r="C1219" s="347">
        <v>3110</v>
      </c>
      <c r="D1219" s="340" t="str">
        <f>VLOOKUP(C1219,Plan!A$1:B$65542,2,0)</f>
        <v>Colectas Normales</v>
      </c>
      <c r="E1219" s="396">
        <f>-G1219</f>
        <v>-10000</v>
      </c>
      <c r="F1219" s="396">
        <v>0</v>
      </c>
      <c r="G1219" s="396">
        <f>+F1218</f>
        <v>10000</v>
      </c>
      <c r="H1219" s="347" t="str">
        <f>+H1218</f>
        <v>Colecta Mercedes Cisternas Perez</v>
      </c>
      <c r="I1219" s="347" t="s">
        <v>296</v>
      </c>
      <c r="K1219" s="370"/>
      <c r="N1219" s="370"/>
    </row>
    <row r="1220" spans="1:14" s="347" customFormat="1" x14ac:dyDescent="0.25">
      <c r="A1220" s="369"/>
      <c r="E1220" s="396"/>
      <c r="F1220" s="396"/>
      <c r="G1220" s="396"/>
      <c r="K1220" s="370"/>
      <c r="N1220" s="370"/>
    </row>
    <row r="1221" spans="1:14" s="347" customFormat="1" x14ac:dyDescent="0.25">
      <c r="A1221" s="369">
        <v>44284</v>
      </c>
      <c r="B1221" s="340">
        <f>+MONTH(A1221)</f>
        <v>3</v>
      </c>
      <c r="C1221" s="347">
        <v>110</v>
      </c>
      <c r="D1221" s="340" t="str">
        <f>VLOOKUP(C1221,Plan!A$1:B$65542,2,0)</f>
        <v>Disponible Administración</v>
      </c>
      <c r="E1221" s="341">
        <f>+F1221-G1221</f>
        <v>15000</v>
      </c>
      <c r="F1221" s="396">
        <v>15000</v>
      </c>
      <c r="G1221" s="396">
        <v>0</v>
      </c>
      <c r="H1221" t="s">
        <v>893</v>
      </c>
      <c r="I1221" s="347" t="s">
        <v>296</v>
      </c>
      <c r="K1221" s="370"/>
      <c r="N1221" s="370"/>
    </row>
    <row r="1222" spans="1:14" s="347" customFormat="1" x14ac:dyDescent="0.25">
      <c r="A1222" s="369">
        <f>+A1221</f>
        <v>44284</v>
      </c>
      <c r="B1222" s="347">
        <f>+B1221</f>
        <v>3</v>
      </c>
      <c r="C1222" s="347">
        <v>3110</v>
      </c>
      <c r="D1222" s="340" t="str">
        <f>VLOOKUP(C1222,Plan!A$1:B$65542,2,0)</f>
        <v>Colectas Normales</v>
      </c>
      <c r="E1222" s="396">
        <f>-G1222</f>
        <v>-15000</v>
      </c>
      <c r="F1222" s="396">
        <v>0</v>
      </c>
      <c r="G1222" s="396">
        <f>+F1221</f>
        <v>15000</v>
      </c>
      <c r="H1222" s="347" t="str">
        <f>+H1221</f>
        <v>Colecta Martin Besfamille</v>
      </c>
      <c r="I1222" s="347" t="s">
        <v>296</v>
      </c>
      <c r="K1222" s="370"/>
      <c r="N1222" s="370"/>
    </row>
    <row r="1223" spans="1:14" s="347" customFormat="1" x14ac:dyDescent="0.25">
      <c r="A1223" s="369"/>
      <c r="E1223" s="396"/>
      <c r="F1223" s="396"/>
      <c r="G1223" s="396"/>
      <c r="K1223" s="370"/>
      <c r="N1223" s="370"/>
    </row>
    <row r="1224" spans="1:14" s="347" customFormat="1" x14ac:dyDescent="0.25">
      <c r="A1224" s="339">
        <v>44285</v>
      </c>
      <c r="B1224" s="340">
        <f>+MONTH(A1224)</f>
        <v>3</v>
      </c>
      <c r="C1224" s="338">
        <v>4231</v>
      </c>
      <c r="D1224" s="347" t="str">
        <f>VLOOKUP(C1224,Plan!A$1:B$65542,2,0)</f>
        <v>Auxiliares, secretarias y administración</v>
      </c>
      <c r="E1224" s="341">
        <f>+F1224</f>
        <v>3044831</v>
      </c>
      <c r="F1224" s="345">
        <v>3044831</v>
      </c>
      <c r="G1224" s="346">
        <v>0</v>
      </c>
      <c r="H1224" s="343" t="s">
        <v>410</v>
      </c>
      <c r="I1224" s="401" t="s">
        <v>296</v>
      </c>
      <c r="K1224" s="370"/>
      <c r="N1224" s="370"/>
    </row>
    <row r="1225" spans="1:14" s="347" customFormat="1" x14ac:dyDescent="0.25">
      <c r="A1225" s="339">
        <f t="shared" ref="A1225:B1230" si="9">+A1224</f>
        <v>44285</v>
      </c>
      <c r="B1225" s="340">
        <f t="shared" si="9"/>
        <v>3</v>
      </c>
      <c r="C1225" s="338">
        <v>9011</v>
      </c>
      <c r="D1225" s="347" t="str">
        <f>VLOOKUP(C1225,Plan!A$1:B$65542,2,0)</f>
        <v>Sueldo Sacerdotes</v>
      </c>
      <c r="E1225" s="341">
        <f>+F1225</f>
        <v>909484</v>
      </c>
      <c r="F1225" s="345">
        <v>909484</v>
      </c>
      <c r="G1225" s="346">
        <v>0</v>
      </c>
      <c r="H1225" s="338" t="s">
        <v>410</v>
      </c>
      <c r="I1225" s="401" t="s">
        <v>296</v>
      </c>
      <c r="K1225" s="370"/>
      <c r="N1225" s="370"/>
    </row>
    <row r="1226" spans="1:14" s="347" customFormat="1" x14ac:dyDescent="0.25">
      <c r="A1226" s="339">
        <f t="shared" si="9"/>
        <v>44285</v>
      </c>
      <c r="B1226" s="340">
        <f t="shared" si="9"/>
        <v>3</v>
      </c>
      <c r="C1226" s="338">
        <v>4231</v>
      </c>
      <c r="D1226" s="347" t="str">
        <f>VLOOKUP(C1226,Plan!A$1:B$65542,2,0)</f>
        <v>Auxiliares, secretarias y administración</v>
      </c>
      <c r="E1226" s="341">
        <f>+F1226</f>
        <v>52252</v>
      </c>
      <c r="F1226" s="345">
        <v>52252</v>
      </c>
      <c r="G1226" s="346">
        <v>0</v>
      </c>
      <c r="H1226" s="338" t="s">
        <v>410</v>
      </c>
      <c r="I1226" s="401" t="s">
        <v>296</v>
      </c>
      <c r="K1226" s="370"/>
      <c r="N1226" s="370"/>
    </row>
    <row r="1227" spans="1:14" s="347" customFormat="1" x14ac:dyDescent="0.25">
      <c r="A1227" s="339">
        <f t="shared" si="9"/>
        <v>44285</v>
      </c>
      <c r="B1227" s="340">
        <f t="shared" si="9"/>
        <v>3</v>
      </c>
      <c r="C1227" s="338">
        <v>225</v>
      </c>
      <c r="D1227" s="347" t="str">
        <f>VLOOKUP(C1227,Plan!A$1:B$65542,2,0)</f>
        <v>Sueldos por Pagar</v>
      </c>
      <c r="E1227" s="341">
        <f>-G1227</f>
        <v>-3391035</v>
      </c>
      <c r="F1227" s="345">
        <v>0</v>
      </c>
      <c r="G1227" s="346">
        <v>3391035</v>
      </c>
      <c r="H1227" s="338" t="s">
        <v>410</v>
      </c>
      <c r="I1227" s="401" t="s">
        <v>296</v>
      </c>
      <c r="K1227" s="370"/>
      <c r="N1227" s="370"/>
    </row>
    <row r="1228" spans="1:14" s="347" customFormat="1" x14ac:dyDescent="0.25">
      <c r="A1228" s="339">
        <f t="shared" si="9"/>
        <v>44285</v>
      </c>
      <c r="B1228" s="340">
        <f t="shared" si="9"/>
        <v>3</v>
      </c>
      <c r="C1228" s="338">
        <v>224</v>
      </c>
      <c r="D1228" s="347" t="str">
        <f>VLOOKUP(C1228,Plan!A$1:B$65542,2,0)</f>
        <v>Cotizaciones por Pagar</v>
      </c>
      <c r="E1228" s="341">
        <f>-G1228</f>
        <v>-410052</v>
      </c>
      <c r="F1228" s="345">
        <v>0</v>
      </c>
      <c r="G1228" s="346">
        <f>424542-14490</f>
        <v>410052</v>
      </c>
      <c r="H1228" s="338" t="s">
        <v>410</v>
      </c>
      <c r="I1228" s="401" t="s">
        <v>296</v>
      </c>
      <c r="K1228" s="370"/>
      <c r="N1228" s="370"/>
    </row>
    <row r="1229" spans="1:14" s="347" customFormat="1" x14ac:dyDescent="0.25">
      <c r="A1229" s="339">
        <f t="shared" si="9"/>
        <v>44285</v>
      </c>
      <c r="B1229" s="340">
        <f t="shared" si="9"/>
        <v>3</v>
      </c>
      <c r="C1229" s="338">
        <v>224</v>
      </c>
      <c r="D1229" s="347" t="str">
        <f>VLOOKUP(C1229,Plan!A$1:B$65542,2,0)</f>
        <v>Cotizaciones por Pagar</v>
      </c>
      <c r="E1229" s="341">
        <f>-G1229</f>
        <v>-174484</v>
      </c>
      <c r="F1229" s="345">
        <v>0</v>
      </c>
      <c r="G1229" s="362">
        <v>174484</v>
      </c>
      <c r="H1229" s="338" t="s">
        <v>410</v>
      </c>
      <c r="I1229" s="401" t="s">
        <v>296</v>
      </c>
      <c r="K1229" s="370"/>
      <c r="N1229" s="370"/>
    </row>
    <row r="1230" spans="1:14" s="347" customFormat="1" ht="14.45" customHeight="1" x14ac:dyDescent="0.25">
      <c r="A1230" s="357">
        <f t="shared" si="9"/>
        <v>44285</v>
      </c>
      <c r="B1230" s="340">
        <f t="shared" si="9"/>
        <v>3</v>
      </c>
      <c r="C1230" s="338">
        <v>4231</v>
      </c>
      <c r="D1230" s="347" t="str">
        <f>VLOOKUP(C1230,Plan!A$1:B$65542,2,0)</f>
        <v>Auxiliares, secretarias y administración</v>
      </c>
      <c r="E1230" s="341">
        <f>-G1230</f>
        <v>-14490</v>
      </c>
      <c r="F1230" s="345">
        <v>0</v>
      </c>
      <c r="G1230" s="346">
        <v>14490</v>
      </c>
      <c r="H1230" s="343" t="s">
        <v>1267</v>
      </c>
      <c r="I1230" s="401" t="s">
        <v>296</v>
      </c>
      <c r="K1230" s="370"/>
      <c r="N1230" s="370"/>
    </row>
    <row r="1231" spans="1:14" s="347" customFormat="1" ht="13.1" customHeight="1" x14ac:dyDescent="0.25">
      <c r="A1231" s="339">
        <f>+A1229</f>
        <v>44285</v>
      </c>
      <c r="B1231" s="340">
        <f>+B1229</f>
        <v>3</v>
      </c>
      <c r="C1231" s="338">
        <v>223</v>
      </c>
      <c r="D1231" s="347" t="str">
        <f>VLOOKUP(C1231,Plan!A$1:B$65542,2,0)</f>
        <v>Ret. Hon.  e Impto. Unico Administración</v>
      </c>
      <c r="E1231" s="341">
        <f>-G1231</f>
        <v>-16506</v>
      </c>
      <c r="F1231" s="345">
        <v>0</v>
      </c>
      <c r="G1231" s="346">
        <v>16506</v>
      </c>
      <c r="H1231" s="338" t="s">
        <v>410</v>
      </c>
      <c r="I1231" s="401" t="s">
        <v>296</v>
      </c>
      <c r="K1231" s="370"/>
      <c r="N1231" s="370"/>
    </row>
    <row r="1232" spans="1:14" s="347" customFormat="1" x14ac:dyDescent="0.25">
      <c r="A1232" s="369"/>
      <c r="E1232" s="396"/>
      <c r="F1232" s="396"/>
      <c r="G1232" s="396"/>
      <c r="K1232" s="370"/>
      <c r="N1232" s="370"/>
    </row>
    <row r="1233" spans="1:14" s="347" customFormat="1" x14ac:dyDescent="0.25">
      <c r="A1233" s="339">
        <v>44285</v>
      </c>
      <c r="B1233" s="340">
        <f>+MONTH(A1233)</f>
        <v>3</v>
      </c>
      <c r="C1233" s="347">
        <v>225</v>
      </c>
      <c r="D1233" s="347" t="str">
        <f>VLOOKUP(C1233,Plan!A$1:B$65542,2,0)</f>
        <v>Sueldos por Pagar</v>
      </c>
      <c r="E1233" s="396">
        <f t="shared" ref="E1233:E1238" si="10">+F1233-G1233</f>
        <v>780690</v>
      </c>
      <c r="F1233" s="397">
        <v>780690</v>
      </c>
      <c r="G1233" s="397">
        <v>0</v>
      </c>
      <c r="H1233" s="347" t="s">
        <v>1219</v>
      </c>
      <c r="I1233" s="398" t="s">
        <v>296</v>
      </c>
      <c r="K1233" s="370"/>
      <c r="N1233" s="370"/>
    </row>
    <row r="1234" spans="1:14" s="347" customFormat="1" x14ac:dyDescent="0.25">
      <c r="A1234" s="369">
        <f t="shared" ref="A1234:B1238" si="11">+A1233</f>
        <v>44285</v>
      </c>
      <c r="B1234" s="347">
        <f t="shared" si="11"/>
        <v>3</v>
      </c>
      <c r="C1234" s="347">
        <v>225</v>
      </c>
      <c r="D1234" s="347" t="str">
        <f>VLOOKUP(C1234,Plan!A$1:B$65542,2,0)</f>
        <v>Sueldos por Pagar</v>
      </c>
      <c r="E1234" s="396">
        <f t="shared" si="10"/>
        <v>516141</v>
      </c>
      <c r="F1234" s="397">
        <v>516141</v>
      </c>
      <c r="G1234" s="397">
        <v>0</v>
      </c>
      <c r="H1234" s="347" t="s">
        <v>1224</v>
      </c>
      <c r="I1234" s="398" t="s">
        <v>296</v>
      </c>
      <c r="K1234" s="370"/>
      <c r="N1234" s="370"/>
    </row>
    <row r="1235" spans="1:14" s="347" customFormat="1" x14ac:dyDescent="0.25">
      <c r="A1235" s="369">
        <f t="shared" si="11"/>
        <v>44285</v>
      </c>
      <c r="B1235" s="347">
        <f t="shared" si="11"/>
        <v>3</v>
      </c>
      <c r="C1235" s="347">
        <v>225</v>
      </c>
      <c r="D1235" s="347" t="str">
        <f>VLOOKUP(C1235,Plan!A$1:B$65542,2,0)</f>
        <v>Sueldos por Pagar</v>
      </c>
      <c r="E1235" s="396">
        <f t="shared" si="10"/>
        <v>240776</v>
      </c>
      <c r="F1235" s="397">
        <v>240776</v>
      </c>
      <c r="G1235" s="397">
        <v>0</v>
      </c>
      <c r="H1235" s="347" t="s">
        <v>1223</v>
      </c>
      <c r="I1235" s="398" t="s">
        <v>296</v>
      </c>
      <c r="K1235" s="370"/>
      <c r="N1235" s="370"/>
    </row>
    <row r="1236" spans="1:14" s="347" customFormat="1" x14ac:dyDescent="0.25">
      <c r="A1236" s="369">
        <f t="shared" si="11"/>
        <v>44285</v>
      </c>
      <c r="B1236" s="347">
        <f t="shared" si="11"/>
        <v>3</v>
      </c>
      <c r="C1236" s="347">
        <v>225</v>
      </c>
      <c r="D1236" s="347" t="str">
        <f>VLOOKUP(C1236,Plan!A$1:B$65542,2,0)</f>
        <v>Sueldos por Pagar</v>
      </c>
      <c r="E1236" s="396">
        <f t="shared" si="10"/>
        <v>1118428</v>
      </c>
      <c r="F1236" s="397">
        <v>1118428</v>
      </c>
      <c r="G1236" s="397">
        <v>0</v>
      </c>
      <c r="H1236" s="347" t="s">
        <v>1220</v>
      </c>
      <c r="I1236" s="398" t="s">
        <v>296</v>
      </c>
      <c r="K1236" s="370"/>
      <c r="N1236" s="370"/>
    </row>
    <row r="1237" spans="1:14" s="347" customFormat="1" x14ac:dyDescent="0.25">
      <c r="A1237" s="369">
        <f t="shared" si="11"/>
        <v>44285</v>
      </c>
      <c r="B1237" s="347">
        <f t="shared" si="11"/>
        <v>3</v>
      </c>
      <c r="C1237" s="347">
        <v>225</v>
      </c>
      <c r="D1237" s="347" t="str">
        <f>VLOOKUP(C1237,Plan!A$1:B$65542,2,0)</f>
        <v>Sueldos por Pagar</v>
      </c>
      <c r="E1237" s="396">
        <f t="shared" si="10"/>
        <v>735000</v>
      </c>
      <c r="F1237" s="397">
        <v>735000</v>
      </c>
      <c r="G1237" s="397">
        <v>0</v>
      </c>
      <c r="H1237" s="347" t="s">
        <v>1221</v>
      </c>
      <c r="I1237" s="398" t="s">
        <v>296</v>
      </c>
      <c r="K1237" s="370"/>
      <c r="N1237" s="370"/>
    </row>
    <row r="1238" spans="1:14" s="347" customFormat="1" x14ac:dyDescent="0.25">
      <c r="A1238" s="369">
        <f t="shared" si="11"/>
        <v>44285</v>
      </c>
      <c r="B1238" s="347">
        <f t="shared" si="11"/>
        <v>3</v>
      </c>
      <c r="C1238" s="347">
        <v>110</v>
      </c>
      <c r="D1238" s="340" t="str">
        <f>VLOOKUP(C1238,Plan!A$1:B$65542,2,0)</f>
        <v>Disponible Administración</v>
      </c>
      <c r="E1238" s="341">
        <f t="shared" si="10"/>
        <v>-3391035</v>
      </c>
      <c r="F1238" s="397">
        <v>0</v>
      </c>
      <c r="G1238" s="397">
        <v>3391035</v>
      </c>
      <c r="H1238" s="347" t="s">
        <v>1222</v>
      </c>
      <c r="I1238" s="398" t="s">
        <v>296</v>
      </c>
      <c r="K1238" s="370"/>
      <c r="N1238" s="370"/>
    </row>
    <row r="1239" spans="1:14" s="347" customFormat="1" x14ac:dyDescent="0.25">
      <c r="K1239" s="370"/>
      <c r="N1239" s="370"/>
    </row>
    <row r="1240" spans="1:14" s="347" customFormat="1" x14ac:dyDescent="0.25">
      <c r="A1240" s="369">
        <v>44285</v>
      </c>
      <c r="B1240" s="340">
        <f>+MONTH(A1240)</f>
        <v>3</v>
      </c>
      <c r="C1240" s="347">
        <v>4680</v>
      </c>
      <c r="D1240" s="340" t="str">
        <f>VLOOKUP(C1240,Plan!A$1:B$65542,2,0)</f>
        <v>Pastoral Comunicacional</v>
      </c>
      <c r="E1240" s="396">
        <f>+F1240</f>
        <v>478099</v>
      </c>
      <c r="F1240" s="396">
        <v>478099</v>
      </c>
      <c r="G1240" s="396">
        <v>0</v>
      </c>
      <c r="H1240" t="s">
        <v>1225</v>
      </c>
      <c r="I1240" s="347" t="s">
        <v>296</v>
      </c>
      <c r="K1240" s="370"/>
      <c r="N1240" s="370"/>
    </row>
    <row r="1241" spans="1:14" s="347" customFormat="1" x14ac:dyDescent="0.25">
      <c r="A1241" s="369">
        <f>+A1240</f>
        <v>44285</v>
      </c>
      <c r="B1241" s="347">
        <f>+B1240</f>
        <v>3</v>
      </c>
      <c r="C1241" s="347">
        <v>110</v>
      </c>
      <c r="D1241" s="340" t="str">
        <f>VLOOKUP(C1241,Plan!A$1:B$65542,2,0)</f>
        <v>Disponible Administración</v>
      </c>
      <c r="E1241" s="341">
        <f>+F1241-G1241</f>
        <v>-478099</v>
      </c>
      <c r="F1241" s="396">
        <v>0</v>
      </c>
      <c r="G1241" s="396">
        <f>+F1240</f>
        <v>478099</v>
      </c>
      <c r="H1241" s="347" t="str">
        <f>+H1240</f>
        <v>F.761 Serv. Mar 21</v>
      </c>
      <c r="I1241" s="347" t="s">
        <v>296</v>
      </c>
      <c r="K1241" s="370"/>
      <c r="N1241" s="370"/>
    </row>
    <row r="1242" spans="1:14" s="347" customFormat="1" x14ac:dyDescent="0.25">
      <c r="A1242" s="369"/>
      <c r="E1242" s="396"/>
      <c r="F1242" s="396"/>
      <c r="G1242" s="396"/>
      <c r="K1242" s="370"/>
      <c r="N1242" s="370"/>
    </row>
    <row r="1243" spans="1:14" s="347" customFormat="1" x14ac:dyDescent="0.25">
      <c r="A1243" s="369">
        <v>44285</v>
      </c>
      <c r="B1243" s="340">
        <f>+MONTH(A1243)</f>
        <v>3</v>
      </c>
      <c r="C1243" s="347">
        <v>4340</v>
      </c>
      <c r="D1243" s="340" t="str">
        <f>VLOOKUP(C1243,Plan!A$1:B$65542,2,0)</f>
        <v>Caja Chica</v>
      </c>
      <c r="E1243" s="396">
        <f>+F1243</f>
        <v>201090</v>
      </c>
      <c r="F1243" s="396">
        <v>201090</v>
      </c>
      <c r="G1243" s="396">
        <v>0</v>
      </c>
      <c r="H1243" t="s">
        <v>1226</v>
      </c>
      <c r="I1243" s="347" t="s">
        <v>296</v>
      </c>
      <c r="K1243" s="370"/>
      <c r="N1243" s="370"/>
    </row>
    <row r="1244" spans="1:14" s="347" customFormat="1" x14ac:dyDescent="0.25">
      <c r="A1244" s="369">
        <f>+A1243</f>
        <v>44285</v>
      </c>
      <c r="B1244" s="347">
        <f>+B1243</f>
        <v>3</v>
      </c>
      <c r="C1244" s="347">
        <v>110</v>
      </c>
      <c r="D1244" s="340" t="str">
        <f>VLOOKUP(C1244,Plan!A$1:B$65542,2,0)</f>
        <v>Disponible Administración</v>
      </c>
      <c r="E1244" s="341">
        <f>+F1244-G1244</f>
        <v>-201090</v>
      </c>
      <c r="F1244" s="396">
        <v>0</v>
      </c>
      <c r="G1244" s="396">
        <f>+F1243</f>
        <v>201090</v>
      </c>
      <c r="H1244" s="347" t="str">
        <f>+H1243</f>
        <v>Rend.Caja Chica</v>
      </c>
      <c r="I1244" s="347" t="s">
        <v>296</v>
      </c>
      <c r="K1244" s="370"/>
      <c r="N1244" s="370"/>
    </row>
    <row r="1245" spans="1:14" s="347" customFormat="1" x14ac:dyDescent="0.25">
      <c r="A1245" s="369"/>
      <c r="E1245" s="396"/>
      <c r="F1245" s="396"/>
      <c r="G1245" s="396"/>
      <c r="K1245" s="370"/>
      <c r="N1245" s="370"/>
    </row>
    <row r="1246" spans="1:14" s="347" customFormat="1" ht="17" customHeight="1" x14ac:dyDescent="0.25">
      <c r="A1246" s="369">
        <v>44285</v>
      </c>
      <c r="B1246" s="340">
        <f>+MONTH(A1246)</f>
        <v>3</v>
      </c>
      <c r="C1246" s="347">
        <v>4340</v>
      </c>
      <c r="D1246" s="340" t="str">
        <f>VLOOKUP(C1246,Plan!A$1:B$65542,2,0)</f>
        <v>Caja Chica</v>
      </c>
      <c r="E1246" s="341">
        <f>+F1246-G1246</f>
        <v>33898</v>
      </c>
      <c r="F1246" s="396">
        <v>33898</v>
      </c>
      <c r="G1246" s="396">
        <v>0</v>
      </c>
      <c r="H1246" t="s">
        <v>1227</v>
      </c>
      <c r="I1246" s="347" t="s">
        <v>296</v>
      </c>
      <c r="K1246" s="370"/>
      <c r="N1246" s="370"/>
    </row>
    <row r="1247" spans="1:14" s="347" customFormat="1" ht="17" customHeight="1" x14ac:dyDescent="0.25">
      <c r="A1247" s="369">
        <v>44285</v>
      </c>
      <c r="B1247" s="340">
        <f>+MONTH(A1247)</f>
        <v>3</v>
      </c>
      <c r="C1247" s="347">
        <v>223</v>
      </c>
      <c r="D1247" s="340" t="str">
        <f>VLOOKUP(C1247,Plan!A$1:B$65542,2,0)</f>
        <v>Ret. Hon.  e Impto. Unico Administración</v>
      </c>
      <c r="E1247" s="341">
        <f>+F1247-G1247</f>
        <v>-3898</v>
      </c>
      <c r="F1247" s="396">
        <v>0</v>
      </c>
      <c r="G1247" s="396">
        <v>3898</v>
      </c>
      <c r="H1247" t="s">
        <v>1227</v>
      </c>
      <c r="I1247" s="347" t="s">
        <v>296</v>
      </c>
      <c r="K1247" s="370"/>
      <c r="N1247" s="370"/>
    </row>
    <row r="1248" spans="1:14" s="347" customFormat="1" x14ac:dyDescent="0.25">
      <c r="A1248" s="369">
        <f>+A1246</f>
        <v>44285</v>
      </c>
      <c r="B1248" s="347">
        <f>+B1246</f>
        <v>3</v>
      </c>
      <c r="C1248" s="347">
        <v>110</v>
      </c>
      <c r="D1248" s="340" t="str">
        <f>VLOOKUP(C1248,Plan!A$1:B$65542,2,0)</f>
        <v>Disponible Administración</v>
      </c>
      <c r="E1248" s="341">
        <f>+F1248-G1248</f>
        <v>-30000</v>
      </c>
      <c r="F1248" s="396">
        <v>0</v>
      </c>
      <c r="G1248" s="396">
        <v>30000</v>
      </c>
      <c r="H1248" s="347" t="str">
        <f>+H1246</f>
        <v>Serv. At. Jardines Feb y Mar</v>
      </c>
      <c r="I1248" s="347" t="s">
        <v>296</v>
      </c>
      <c r="K1248" s="370"/>
      <c r="N1248" s="370"/>
    </row>
    <row r="1249" spans="1:14" s="347" customFormat="1" x14ac:dyDescent="0.25">
      <c r="A1249" s="369"/>
      <c r="E1249" s="396"/>
      <c r="F1249" s="396"/>
      <c r="G1249" s="396"/>
      <c r="K1249" s="370"/>
      <c r="N1249" s="370"/>
    </row>
    <row r="1250" spans="1:14" s="347" customFormat="1" x14ac:dyDescent="0.25">
      <c r="A1250" s="369">
        <v>44285</v>
      </c>
      <c r="B1250" s="340">
        <f>+MONTH(A1250)</f>
        <v>3</v>
      </c>
      <c r="C1250" s="347">
        <v>110</v>
      </c>
      <c r="D1250" s="340" t="str">
        <f>VLOOKUP(C1250,Plan!A$1:B$65542,2,0)</f>
        <v>Disponible Administración</v>
      </c>
      <c r="E1250" s="341">
        <f>+F1250-G1250</f>
        <v>29562</v>
      </c>
      <c r="F1250" s="396">
        <v>29562</v>
      </c>
      <c r="G1250" s="396">
        <v>0</v>
      </c>
      <c r="H1250" t="s">
        <v>1217</v>
      </c>
      <c r="I1250" s="347" t="s">
        <v>296</v>
      </c>
      <c r="K1250" s="370"/>
      <c r="N1250" s="370"/>
    </row>
    <row r="1251" spans="1:14" s="347" customFormat="1" x14ac:dyDescent="0.25">
      <c r="A1251" s="369">
        <f>+A1250</f>
        <v>44285</v>
      </c>
      <c r="B1251" s="347">
        <f>+B1250</f>
        <v>3</v>
      </c>
      <c r="C1251" s="347">
        <v>3110</v>
      </c>
      <c r="D1251" s="340" t="str">
        <f>VLOOKUP(C1251,Plan!A$1:B$65542,2,0)</f>
        <v>Colectas Normales</v>
      </c>
      <c r="E1251" s="396">
        <f>-G1251</f>
        <v>-29562</v>
      </c>
      <c r="F1251" s="396">
        <v>0</v>
      </c>
      <c r="G1251" s="396">
        <f>+F1250</f>
        <v>29562</v>
      </c>
      <c r="H1251" s="347" t="str">
        <f>+H1250</f>
        <v>Colecta NN</v>
      </c>
      <c r="I1251" s="347" t="s">
        <v>296</v>
      </c>
      <c r="K1251" s="370"/>
      <c r="N1251" s="370"/>
    </row>
    <row r="1252" spans="1:14" s="347" customFormat="1" x14ac:dyDescent="0.25">
      <c r="A1252" s="369"/>
      <c r="D1252" s="340"/>
      <c r="E1252" s="396"/>
      <c r="F1252" s="396"/>
      <c r="G1252" s="396"/>
      <c r="K1252" s="370"/>
      <c r="N1252" s="370"/>
    </row>
    <row r="1253" spans="1:14" s="347" customFormat="1" x14ac:dyDescent="0.25">
      <c r="A1253" s="369">
        <v>44285</v>
      </c>
      <c r="B1253" s="340">
        <f>+MONTH(A1253)</f>
        <v>3</v>
      </c>
      <c r="C1253" s="347">
        <v>110</v>
      </c>
      <c r="D1253" s="340" t="str">
        <f>VLOOKUP(C1253,Plan!A$1:B$65542,2,0)</f>
        <v>Disponible Administración</v>
      </c>
      <c r="E1253" s="341">
        <f>+F1253-G1253</f>
        <v>12000</v>
      </c>
      <c r="F1253" s="396">
        <v>12000</v>
      </c>
      <c r="G1253" s="396">
        <v>0</v>
      </c>
      <c r="H1253" t="s">
        <v>1141</v>
      </c>
      <c r="I1253" s="347" t="s">
        <v>296</v>
      </c>
      <c r="K1253" s="370"/>
      <c r="N1253" s="370"/>
    </row>
    <row r="1254" spans="1:14" s="347" customFormat="1" x14ac:dyDescent="0.25">
      <c r="A1254" s="369">
        <f>+A1253</f>
        <v>44285</v>
      </c>
      <c r="B1254" s="347">
        <f>+B1253</f>
        <v>3</v>
      </c>
      <c r="C1254" s="347">
        <v>3110</v>
      </c>
      <c r="D1254" s="340" t="str">
        <f>VLOOKUP(C1254,Plan!A$1:B$65542,2,0)</f>
        <v>Colectas Normales</v>
      </c>
      <c r="E1254" s="396">
        <f>-G1254</f>
        <v>-12000</v>
      </c>
      <c r="F1254" s="396">
        <v>0</v>
      </c>
      <c r="G1254" s="396">
        <f>+F1253</f>
        <v>12000</v>
      </c>
      <c r="H1254" s="347" t="str">
        <f>+H1253</f>
        <v>Colecta Cristian Huidobro Lermanda</v>
      </c>
      <c r="I1254" s="347" t="s">
        <v>296</v>
      </c>
      <c r="K1254" s="370"/>
      <c r="N1254" s="370"/>
    </row>
    <row r="1255" spans="1:14" s="347" customFormat="1" x14ac:dyDescent="0.25">
      <c r="A1255" s="369"/>
      <c r="E1255" s="396"/>
      <c r="F1255" s="396"/>
      <c r="G1255" s="396"/>
      <c r="K1255" s="370"/>
      <c r="N1255" s="370"/>
    </row>
    <row r="1256" spans="1:14" s="347" customFormat="1" x14ac:dyDescent="0.25">
      <c r="A1256" s="369">
        <v>44285</v>
      </c>
      <c r="B1256" s="340">
        <f>+MONTH(A1256)</f>
        <v>3</v>
      </c>
      <c r="C1256" s="347">
        <v>110</v>
      </c>
      <c r="D1256" s="340" t="str">
        <f>VLOOKUP(C1256,Plan!A$1:B$65542,2,0)</f>
        <v>Disponible Administración</v>
      </c>
      <c r="E1256" s="341">
        <f>+F1256-G1256</f>
        <v>25000</v>
      </c>
      <c r="F1256" s="396">
        <v>25000</v>
      </c>
      <c r="G1256" s="396">
        <v>0</v>
      </c>
      <c r="H1256" t="s">
        <v>2555</v>
      </c>
      <c r="I1256" s="347" t="s">
        <v>296</v>
      </c>
      <c r="K1256" s="370"/>
      <c r="N1256" s="370"/>
    </row>
    <row r="1257" spans="1:14" s="347" customFormat="1" x14ac:dyDescent="0.25">
      <c r="A1257" s="369">
        <f>+A1256</f>
        <v>44285</v>
      </c>
      <c r="B1257" s="347">
        <f>+B1256</f>
        <v>3</v>
      </c>
      <c r="C1257" s="347">
        <v>3120</v>
      </c>
      <c r="D1257" s="340" t="str">
        <f>VLOOKUP(C1257,Plan!A$1:B$65542,2,0)</f>
        <v>Colectas Especiales</v>
      </c>
      <c r="E1257" s="396">
        <f>-G1257</f>
        <v>-25000</v>
      </c>
      <c r="F1257" s="396">
        <v>0</v>
      </c>
      <c r="G1257" s="396">
        <f>+F1256</f>
        <v>25000</v>
      </c>
      <c r="H1257" s="347" t="str">
        <f>+H1256</f>
        <v>Cuaresma Pablo Garcia</v>
      </c>
      <c r="I1257" s="347" t="s">
        <v>296</v>
      </c>
      <c r="K1257" s="370"/>
      <c r="N1257" s="370"/>
    </row>
    <row r="1258" spans="1:14" s="347" customFormat="1" x14ac:dyDescent="0.25">
      <c r="A1258" s="369"/>
      <c r="E1258" s="396"/>
      <c r="F1258" s="396"/>
      <c r="G1258" s="396"/>
      <c r="K1258" s="370"/>
      <c r="N1258" s="370"/>
    </row>
    <row r="1259" spans="1:14" s="347" customFormat="1" x14ac:dyDescent="0.25">
      <c r="A1259" s="369">
        <v>44285</v>
      </c>
      <c r="B1259" s="340">
        <f>+MONTH(A1259)</f>
        <v>3</v>
      </c>
      <c r="C1259" s="347">
        <v>110</v>
      </c>
      <c r="D1259" s="340" t="str">
        <f>VLOOKUP(C1259,Plan!A$1:B$65542,2,0)</f>
        <v>Disponible Administración</v>
      </c>
      <c r="E1259" s="341">
        <f>+F1259-G1259</f>
        <v>20000</v>
      </c>
      <c r="F1259" s="396">
        <v>20000</v>
      </c>
      <c r="G1259" s="396">
        <v>0</v>
      </c>
      <c r="H1259" t="s">
        <v>962</v>
      </c>
      <c r="I1259" s="347" t="s">
        <v>296</v>
      </c>
      <c r="K1259" s="370"/>
      <c r="N1259" s="370"/>
    </row>
    <row r="1260" spans="1:14" s="347" customFormat="1" x14ac:dyDescent="0.25">
      <c r="A1260" s="369">
        <f>+A1259</f>
        <v>44285</v>
      </c>
      <c r="B1260" s="347">
        <f>+B1259</f>
        <v>3</v>
      </c>
      <c r="C1260" s="347">
        <v>3110</v>
      </c>
      <c r="D1260" s="340" t="str">
        <f>VLOOKUP(C1260,Plan!A$1:B$65542,2,0)</f>
        <v>Colectas Normales</v>
      </c>
      <c r="E1260" s="396">
        <f>-G1260</f>
        <v>-20000</v>
      </c>
      <c r="F1260" s="396">
        <v>0</v>
      </c>
      <c r="G1260" s="396">
        <f>+F1259</f>
        <v>20000</v>
      </c>
      <c r="H1260" s="347" t="str">
        <f>+H1259</f>
        <v>Colecta Pablo Garcia</v>
      </c>
      <c r="I1260" s="347" t="s">
        <v>296</v>
      </c>
      <c r="K1260" s="370"/>
      <c r="N1260" s="370"/>
    </row>
    <row r="1261" spans="1:14" s="347" customFormat="1" x14ac:dyDescent="0.25">
      <c r="A1261" s="369"/>
      <c r="E1261" s="396"/>
      <c r="F1261" s="396"/>
      <c r="G1261" s="396"/>
      <c r="K1261" s="370"/>
      <c r="N1261" s="370"/>
    </row>
    <row r="1262" spans="1:14" s="347" customFormat="1" x14ac:dyDescent="0.25">
      <c r="A1262" s="369">
        <v>44285</v>
      </c>
      <c r="B1262" s="340">
        <f>+MONTH(A1262)</f>
        <v>3</v>
      </c>
      <c r="C1262" s="347">
        <v>110</v>
      </c>
      <c r="D1262" s="340" t="str">
        <f>VLOOKUP(C1262,Plan!A$1:B$65542,2,0)</f>
        <v>Disponible Administración</v>
      </c>
      <c r="E1262" s="341">
        <f>+F1262-G1262</f>
        <v>60000</v>
      </c>
      <c r="F1262" s="396">
        <v>60000</v>
      </c>
      <c r="G1262" s="396">
        <v>0</v>
      </c>
      <c r="H1262" t="s">
        <v>1235</v>
      </c>
      <c r="I1262" s="347" t="s">
        <v>296</v>
      </c>
      <c r="K1262" s="370"/>
      <c r="N1262" s="370"/>
    </row>
    <row r="1263" spans="1:14" s="347" customFormat="1" x14ac:dyDescent="0.25">
      <c r="A1263" s="369">
        <f>+A1262</f>
        <v>44285</v>
      </c>
      <c r="B1263" s="347">
        <f>+B1262</f>
        <v>3</v>
      </c>
      <c r="C1263" s="347">
        <v>3110</v>
      </c>
      <c r="D1263" s="340" t="str">
        <f>VLOOKUP(C1263,Plan!A$1:B$65542,2,0)</f>
        <v>Colectas Normales</v>
      </c>
      <c r="E1263" s="396">
        <f>-G1263</f>
        <v>-60000</v>
      </c>
      <c r="F1263" s="396">
        <v>0</v>
      </c>
      <c r="G1263" s="396">
        <f>+F1262</f>
        <v>60000</v>
      </c>
      <c r="H1263" s="347" t="str">
        <f>+H1262</f>
        <v>Colecta Beltran Sergio Larrain Aspillaga</v>
      </c>
      <c r="I1263" s="347" t="s">
        <v>296</v>
      </c>
      <c r="K1263" s="370"/>
      <c r="N1263" s="370"/>
    </row>
    <row r="1264" spans="1:14" s="347" customFormat="1" x14ac:dyDescent="0.25">
      <c r="A1264" s="369"/>
      <c r="E1264" s="396"/>
      <c r="F1264" s="396"/>
      <c r="G1264" s="396"/>
      <c r="K1264" s="370"/>
      <c r="N1264" s="370"/>
    </row>
    <row r="1265" spans="1:14" s="347" customFormat="1" x14ac:dyDescent="0.25">
      <c r="A1265" s="369">
        <v>44285</v>
      </c>
      <c r="B1265" s="340">
        <f>+MONTH(A1265)</f>
        <v>3</v>
      </c>
      <c r="C1265" s="347">
        <v>110</v>
      </c>
      <c r="D1265" s="340" t="str">
        <f>VLOOKUP(C1265,Plan!A$1:B$65542,2,0)</f>
        <v>Disponible Administración</v>
      </c>
      <c r="E1265" s="341">
        <f>+F1265-G1265</f>
        <v>25000</v>
      </c>
      <c r="F1265" s="396">
        <v>25000</v>
      </c>
      <c r="G1265" s="396">
        <v>0</v>
      </c>
      <c r="H1265" t="s">
        <v>931</v>
      </c>
      <c r="I1265" s="347" t="s">
        <v>296</v>
      </c>
      <c r="K1265" s="370"/>
      <c r="N1265" s="370"/>
    </row>
    <row r="1266" spans="1:14" s="347" customFormat="1" x14ac:dyDescent="0.25">
      <c r="A1266" s="369">
        <f>+A1265</f>
        <v>44285</v>
      </c>
      <c r="B1266" s="347">
        <f>+B1265</f>
        <v>3</v>
      </c>
      <c r="C1266" s="347">
        <v>3110</v>
      </c>
      <c r="D1266" s="340" t="str">
        <f>VLOOKUP(C1266,Plan!A$1:B$65542,2,0)</f>
        <v>Colectas Normales</v>
      </c>
      <c r="E1266" s="396">
        <f>-G1266</f>
        <v>-25000</v>
      </c>
      <c r="F1266" s="396">
        <v>0</v>
      </c>
      <c r="G1266" s="396">
        <f>+F1265</f>
        <v>25000</v>
      </c>
      <c r="H1266" s="347" t="str">
        <f>+H1265</f>
        <v>Colecta Eduardo Calvimontes Candia</v>
      </c>
      <c r="I1266" s="347" t="s">
        <v>296</v>
      </c>
      <c r="K1266" s="370"/>
      <c r="N1266" s="370"/>
    </row>
    <row r="1267" spans="1:14" s="347" customFormat="1" x14ac:dyDescent="0.25">
      <c r="A1267" s="369"/>
      <c r="E1267" s="396"/>
      <c r="F1267" s="396"/>
      <c r="G1267" s="396"/>
      <c r="K1267" s="370"/>
      <c r="N1267" s="370"/>
    </row>
    <row r="1268" spans="1:14" s="347" customFormat="1" x14ac:dyDescent="0.25">
      <c r="A1268" s="369">
        <v>44285</v>
      </c>
      <c r="B1268" s="340">
        <f>+MONTH(A1268)</f>
        <v>3</v>
      </c>
      <c r="C1268" s="347">
        <v>110</v>
      </c>
      <c r="D1268" s="340" t="str">
        <f>VLOOKUP(C1268,Plan!A$1:B$65542,2,0)</f>
        <v>Disponible Administración</v>
      </c>
      <c r="E1268" s="341">
        <f>+F1268-G1268</f>
        <v>60000</v>
      </c>
      <c r="F1268" s="396">
        <v>60000</v>
      </c>
      <c r="G1268" s="396">
        <v>0</v>
      </c>
      <c r="H1268" t="s">
        <v>1236</v>
      </c>
      <c r="I1268" s="347" t="s">
        <v>296</v>
      </c>
      <c r="K1268" s="370"/>
      <c r="N1268" s="370"/>
    </row>
    <row r="1269" spans="1:14" s="347" customFormat="1" x14ac:dyDescent="0.25">
      <c r="A1269" s="369">
        <f>+A1268</f>
        <v>44285</v>
      </c>
      <c r="B1269" s="347">
        <f>+B1268</f>
        <v>3</v>
      </c>
      <c r="C1269" s="347">
        <v>215</v>
      </c>
      <c r="D1269" s="340" t="str">
        <f>VLOOKUP(C1269,Plan!A$1:B$65542,2,0)</f>
        <v>Cuenta por Pagar a Cali</v>
      </c>
      <c r="E1269" s="396">
        <f>-G1269</f>
        <v>-60000</v>
      </c>
      <c r="F1269" s="396">
        <v>0</v>
      </c>
      <c r="G1269" s="396">
        <f>+F1268</f>
        <v>60000</v>
      </c>
      <c r="H1269" s="347" t="str">
        <f>+H1268</f>
        <v>Eduardo Calvimontes Candia/azul</v>
      </c>
      <c r="I1269" s="347" t="s">
        <v>296</v>
      </c>
      <c r="K1269" s="370"/>
      <c r="N1269" s="370"/>
    </row>
    <row r="1270" spans="1:14" s="347" customFormat="1" x14ac:dyDescent="0.25">
      <c r="A1270" s="369"/>
      <c r="E1270" s="396"/>
      <c r="F1270" s="396"/>
      <c r="G1270" s="396"/>
      <c r="K1270" s="370"/>
      <c r="N1270" s="370"/>
    </row>
    <row r="1271" spans="1:14" s="347" customFormat="1" x14ac:dyDescent="0.25">
      <c r="A1271" s="369">
        <v>44285</v>
      </c>
      <c r="B1271" s="340">
        <f>+MONTH(A1271)</f>
        <v>3</v>
      </c>
      <c r="C1271" s="347">
        <v>4650</v>
      </c>
      <c r="D1271" s="340" t="str">
        <f>VLOOKUP(C1271,Plan!A$1:B$65542,2,0)</f>
        <v>Pastoral Social</v>
      </c>
      <c r="E1271" s="396">
        <f>+F1271</f>
        <v>150000</v>
      </c>
      <c r="F1271" s="396">
        <v>150000</v>
      </c>
      <c r="G1271" s="396">
        <v>0</v>
      </c>
      <c r="H1271" t="s">
        <v>1237</v>
      </c>
      <c r="I1271" s="347" t="s">
        <v>296</v>
      </c>
      <c r="K1271" s="370"/>
      <c r="N1271" s="370"/>
    </row>
    <row r="1272" spans="1:14" s="347" customFormat="1" x14ac:dyDescent="0.25">
      <c r="A1272" s="369">
        <f>+A1271</f>
        <v>44285</v>
      </c>
      <c r="B1272" s="347">
        <f>+B1271</f>
        <v>3</v>
      </c>
      <c r="C1272" s="347">
        <v>110</v>
      </c>
      <c r="D1272" s="340" t="str">
        <f>VLOOKUP(C1272,Plan!A$1:B$65542,2,0)</f>
        <v>Disponible Administración</v>
      </c>
      <c r="E1272" s="341">
        <f>+F1272-G1272</f>
        <v>-150000</v>
      </c>
      <c r="F1272" s="396">
        <v>0</v>
      </c>
      <c r="G1272" s="396">
        <f>+F1271</f>
        <v>150000</v>
      </c>
      <c r="H1272" s="347" t="str">
        <f>+H1271</f>
        <v>Aporte Olla Comun P.Sta.Teresa /Capilla SAH Pte.Alto</v>
      </c>
      <c r="I1272" s="347" t="s">
        <v>296</v>
      </c>
      <c r="K1272" s="370"/>
      <c r="N1272" s="370"/>
    </row>
    <row r="1273" spans="1:14" s="347" customFormat="1" x14ac:dyDescent="0.25">
      <c r="A1273" s="369"/>
      <c r="E1273" s="396"/>
      <c r="F1273" s="396"/>
      <c r="G1273" s="396"/>
      <c r="K1273" s="370"/>
      <c r="N1273" s="370"/>
    </row>
    <row r="1274" spans="1:14" s="347" customFormat="1" x14ac:dyDescent="0.25">
      <c r="A1274" s="369">
        <v>44285</v>
      </c>
      <c r="B1274" s="340">
        <f>+MONTH(A1274)</f>
        <v>3</v>
      </c>
      <c r="C1274" s="347">
        <v>110</v>
      </c>
      <c r="D1274" s="340" t="str">
        <f>VLOOKUP(C1274,Plan!A$1:B$65542,2,0)</f>
        <v>Disponible Administración</v>
      </c>
      <c r="E1274" s="341">
        <f>+F1274-G1274</f>
        <v>13000</v>
      </c>
      <c r="F1274" s="396">
        <v>13000</v>
      </c>
      <c r="G1274" s="396">
        <v>0</v>
      </c>
      <c r="H1274" t="s">
        <v>1238</v>
      </c>
      <c r="I1274" s="347" t="s">
        <v>296</v>
      </c>
      <c r="K1274" s="370"/>
      <c r="N1274" s="370"/>
    </row>
    <row r="1275" spans="1:14" s="347" customFormat="1" x14ac:dyDescent="0.25">
      <c r="A1275" s="369">
        <f>+A1274</f>
        <v>44285</v>
      </c>
      <c r="B1275" s="347">
        <f>+B1274</f>
        <v>3</v>
      </c>
      <c r="C1275" s="347">
        <v>3110</v>
      </c>
      <c r="D1275" s="340" t="str">
        <f>VLOOKUP(C1275,Plan!A$1:B$65542,2,0)</f>
        <v>Colectas Normales</v>
      </c>
      <c r="E1275" s="396">
        <f>-G1275</f>
        <v>-13000</v>
      </c>
      <c r="F1275" s="396">
        <v>0</v>
      </c>
      <c r="G1275" s="396">
        <f>+F1274</f>
        <v>13000</v>
      </c>
      <c r="H1275" s="347" t="str">
        <f>+H1274</f>
        <v>Colecta Coti/Colecta Col. Cordillera</v>
      </c>
      <c r="I1275" s="347" t="s">
        <v>296</v>
      </c>
      <c r="K1275" s="370"/>
      <c r="N1275" s="370"/>
    </row>
    <row r="1276" spans="1:14" s="347" customFormat="1" x14ac:dyDescent="0.25">
      <c r="A1276" s="369"/>
      <c r="E1276" s="396"/>
      <c r="F1276" s="396"/>
      <c r="G1276" s="396"/>
      <c r="K1276" s="370"/>
      <c r="N1276" s="370"/>
    </row>
    <row r="1277" spans="1:14" s="347" customFormat="1" x14ac:dyDescent="0.25">
      <c r="A1277" s="369">
        <v>44286</v>
      </c>
      <c r="B1277" s="340">
        <f>+MONTH(A1277)</f>
        <v>3</v>
      </c>
      <c r="C1277" s="347">
        <v>110</v>
      </c>
      <c r="D1277" s="340" t="str">
        <f>VLOOKUP(C1277,Plan!A$1:B$65542,2,0)</f>
        <v>Disponible Administración</v>
      </c>
      <c r="E1277" s="341">
        <f>+F1277-G1277</f>
        <v>10000</v>
      </c>
      <c r="F1277" s="396">
        <v>10000</v>
      </c>
      <c r="G1277" s="396">
        <v>0</v>
      </c>
      <c r="H1277" t="s">
        <v>1239</v>
      </c>
      <c r="I1277" s="347" t="s">
        <v>296</v>
      </c>
      <c r="K1277" s="370"/>
      <c r="N1277" s="370"/>
    </row>
    <row r="1278" spans="1:14" s="347" customFormat="1" x14ac:dyDescent="0.25">
      <c r="A1278" s="369">
        <f>+A1277</f>
        <v>44286</v>
      </c>
      <c r="B1278" s="347">
        <f>+B1277</f>
        <v>3</v>
      </c>
      <c r="C1278" s="347">
        <v>3110</v>
      </c>
      <c r="D1278" s="340" t="str">
        <f>VLOOKUP(C1278,Plan!A$1:B$65542,2,0)</f>
        <v>Colectas Normales</v>
      </c>
      <c r="E1278" s="396">
        <f>-G1278</f>
        <v>-10000</v>
      </c>
      <c r="F1278" s="396">
        <v>0</v>
      </c>
      <c r="G1278" s="396">
        <f>+F1277</f>
        <v>10000</v>
      </c>
      <c r="H1278" s="347" t="str">
        <f>+H1277</f>
        <v>Colecta Pamela Alvarado Valenzuela</v>
      </c>
      <c r="I1278" s="347" t="s">
        <v>296</v>
      </c>
      <c r="K1278" s="370"/>
      <c r="N1278" s="370"/>
    </row>
    <row r="1279" spans="1:14" s="347" customFormat="1" x14ac:dyDescent="0.25">
      <c r="A1279" s="369"/>
      <c r="E1279" s="396"/>
      <c r="F1279" s="396"/>
      <c r="G1279" s="396"/>
      <c r="K1279" s="370"/>
      <c r="N1279" s="370"/>
    </row>
    <row r="1280" spans="1:14" s="347" customFormat="1" x14ac:dyDescent="0.25">
      <c r="A1280" s="369">
        <v>44286</v>
      </c>
      <c r="B1280" s="340">
        <f>+MONTH(A1280)</f>
        <v>3</v>
      </c>
      <c r="C1280" s="347">
        <v>110</v>
      </c>
      <c r="D1280" s="340" t="str">
        <f>VLOOKUP(C1280,Plan!A$1:B$65542,2,0)</f>
        <v>Disponible Administración</v>
      </c>
      <c r="E1280" s="341">
        <f>+F1280-G1280</f>
        <v>30000</v>
      </c>
      <c r="F1280" s="396">
        <v>30000</v>
      </c>
      <c r="G1280" s="396">
        <v>0</v>
      </c>
      <c r="H1280" t="s">
        <v>960</v>
      </c>
      <c r="I1280" s="347" t="s">
        <v>296</v>
      </c>
      <c r="K1280" s="370"/>
      <c r="N1280" s="370"/>
    </row>
    <row r="1281" spans="1:14" s="347" customFormat="1" x14ac:dyDescent="0.25">
      <c r="A1281" s="369">
        <f>+A1280</f>
        <v>44286</v>
      </c>
      <c r="B1281" s="347">
        <f>+B1280</f>
        <v>3</v>
      </c>
      <c r="C1281" s="347">
        <v>3110</v>
      </c>
      <c r="D1281" s="340" t="str">
        <f>VLOOKUP(C1281,Plan!A$1:B$65542,2,0)</f>
        <v>Colectas Normales</v>
      </c>
      <c r="E1281" s="396">
        <f>-G1281</f>
        <v>-30000</v>
      </c>
      <c r="F1281" s="396">
        <v>0</v>
      </c>
      <c r="G1281" s="396">
        <f>+F1280</f>
        <v>30000</v>
      </c>
      <c r="H1281" s="347" t="str">
        <f>+H1280</f>
        <v>Colecta Ximena Garcia</v>
      </c>
      <c r="I1281" s="347" t="s">
        <v>296</v>
      </c>
      <c r="K1281" s="370"/>
      <c r="N1281" s="370"/>
    </row>
    <row r="1282" spans="1:14" s="347" customFormat="1" x14ac:dyDescent="0.25">
      <c r="A1282" s="369"/>
      <c r="E1282" s="396"/>
      <c r="F1282" s="396"/>
      <c r="G1282" s="396"/>
      <c r="K1282" s="370"/>
      <c r="N1282" s="370"/>
    </row>
    <row r="1283" spans="1:14" s="347" customFormat="1" x14ac:dyDescent="0.25">
      <c r="A1283" s="369">
        <v>44286</v>
      </c>
      <c r="B1283" s="340">
        <f>+MONTH(A1283)</f>
        <v>3</v>
      </c>
      <c r="C1283" s="347">
        <v>4321</v>
      </c>
      <c r="D1283" s="340" t="str">
        <f>VLOOKUP(C1283,Plan!A$1:B$65542,2,0)</f>
        <v>Electricidad</v>
      </c>
      <c r="E1283" s="396">
        <f>+F1283</f>
        <v>9412</v>
      </c>
      <c r="F1283" s="396">
        <v>9412</v>
      </c>
      <c r="G1283" s="396">
        <v>0</v>
      </c>
      <c r="H1283" t="s">
        <v>1240</v>
      </c>
      <c r="I1283" s="347" t="s">
        <v>296</v>
      </c>
      <c r="K1283" s="370"/>
      <c r="N1283" s="370"/>
    </row>
    <row r="1284" spans="1:14" s="347" customFormat="1" x14ac:dyDescent="0.25">
      <c r="A1284" s="369">
        <f>+A1283</f>
        <v>44286</v>
      </c>
      <c r="B1284" s="347">
        <f>+B1283</f>
        <v>3</v>
      </c>
      <c r="C1284" s="347">
        <v>110</v>
      </c>
      <c r="D1284" s="340" t="str">
        <f>VLOOKUP(C1284,Plan!A$1:B$65542,2,0)</f>
        <v>Disponible Administración</v>
      </c>
      <c r="E1284" s="341">
        <f>+F1284-G1284</f>
        <v>-9412</v>
      </c>
      <c r="F1284" s="396">
        <v>0</v>
      </c>
      <c r="G1284" s="396">
        <f>+F1283</f>
        <v>9412</v>
      </c>
      <c r="H1284" s="347" t="str">
        <f>+H1283</f>
        <v>PAC ENEL OFICINA</v>
      </c>
      <c r="I1284" s="347" t="s">
        <v>296</v>
      </c>
      <c r="K1284" s="370"/>
      <c r="N1284" s="370"/>
    </row>
    <row r="1285" spans="1:14" s="347" customFormat="1" x14ac:dyDescent="0.25">
      <c r="A1285" s="369"/>
      <c r="E1285" s="396"/>
      <c r="F1285" s="396"/>
      <c r="G1285" s="396"/>
      <c r="K1285" s="370"/>
      <c r="N1285" s="370"/>
    </row>
    <row r="1286" spans="1:14" s="347" customFormat="1" x14ac:dyDescent="0.25">
      <c r="A1286" s="369">
        <v>44286</v>
      </c>
      <c r="B1286" s="340">
        <f>+MONTH(A1286)</f>
        <v>3</v>
      </c>
      <c r="C1286" s="347">
        <v>110</v>
      </c>
      <c r="D1286" s="340" t="str">
        <f>VLOOKUP(C1286,Plan!A$1:B$65542,2,0)</f>
        <v>Disponible Administración</v>
      </c>
      <c r="E1286" s="341">
        <f>+F1286-G1286</f>
        <v>20000</v>
      </c>
      <c r="F1286" s="396">
        <v>20000</v>
      </c>
      <c r="G1286" s="396">
        <v>0</v>
      </c>
      <c r="H1286" t="s">
        <v>1241</v>
      </c>
      <c r="I1286" s="347" t="s">
        <v>296</v>
      </c>
      <c r="K1286" s="370"/>
      <c r="N1286" s="370"/>
    </row>
    <row r="1287" spans="1:14" s="347" customFormat="1" x14ac:dyDescent="0.25">
      <c r="A1287" s="369">
        <f>+A1286</f>
        <v>44286</v>
      </c>
      <c r="B1287" s="347">
        <f>+B1286</f>
        <v>3</v>
      </c>
      <c r="C1287" s="347">
        <v>3110</v>
      </c>
      <c r="D1287" s="340" t="str">
        <f>VLOOKUP(C1287,Plan!A$1:B$65542,2,0)</f>
        <v>Colectas Normales</v>
      </c>
      <c r="E1287" s="396">
        <f>-G1287</f>
        <v>-20000</v>
      </c>
      <c r="F1287" s="396">
        <v>0</v>
      </c>
      <c r="G1287" s="396">
        <f>+F1286</f>
        <v>20000</v>
      </c>
      <c r="H1287" s="347" t="str">
        <f>+H1286</f>
        <v>Colecta Jose Luis Bustamante</v>
      </c>
      <c r="I1287" s="347" t="s">
        <v>296</v>
      </c>
      <c r="K1287" s="370"/>
      <c r="N1287" s="370"/>
    </row>
    <row r="1288" spans="1:14" s="347" customFormat="1" x14ac:dyDescent="0.25">
      <c r="A1288" s="369"/>
      <c r="E1288" s="396"/>
      <c r="F1288" s="396"/>
      <c r="G1288" s="396"/>
      <c r="K1288" s="370"/>
      <c r="N1288" s="370"/>
    </row>
    <row r="1289" spans="1:14" s="347" customFormat="1" x14ac:dyDescent="0.25">
      <c r="A1289" s="369">
        <v>44286</v>
      </c>
      <c r="B1289" s="340">
        <f>+MONTH(A1289)</f>
        <v>3</v>
      </c>
      <c r="C1289" s="347">
        <v>142</v>
      </c>
      <c r="D1289" s="340" t="str">
        <f>VLOOKUP(C1289,Plan!A$1:B$65542,2,0)</f>
        <v>Cuentas por Cobrar a CALI (Colectas)</v>
      </c>
      <c r="E1289" s="396">
        <f>+F1289-G1289</f>
        <v>12000</v>
      </c>
      <c r="F1289" s="264">
        <v>12000</v>
      </c>
      <c r="G1289" s="396">
        <v>0</v>
      </c>
      <c r="H1289" t="s">
        <v>982</v>
      </c>
      <c r="I1289" s="347" t="s">
        <v>296</v>
      </c>
      <c r="K1289" s="370"/>
      <c r="N1289" s="370"/>
    </row>
    <row r="1290" spans="1:14" s="347" customFormat="1" x14ac:dyDescent="0.25">
      <c r="A1290" s="369">
        <f>+A1289</f>
        <v>44286</v>
      </c>
      <c r="B1290" s="340">
        <f t="shared" ref="B1290:B1302" si="12">+MONTH(A1290)</f>
        <v>3</v>
      </c>
      <c r="C1290" s="347">
        <v>142</v>
      </c>
      <c r="D1290" s="340" t="str">
        <f>VLOOKUP(C1290,Plan!A$1:B$65542,2,0)</f>
        <v>Cuentas por Cobrar a CALI (Colectas)</v>
      </c>
      <c r="E1290" s="396">
        <f t="shared" ref="E1290:E1302" si="13">+F1290-G1290</f>
        <v>30000</v>
      </c>
      <c r="F1290" s="264">
        <v>30000</v>
      </c>
      <c r="G1290" s="396">
        <f>+F1281</f>
        <v>0</v>
      </c>
      <c r="H1290" t="s">
        <v>1054</v>
      </c>
      <c r="I1290" s="347" t="s">
        <v>296</v>
      </c>
      <c r="K1290" s="370"/>
      <c r="N1290" s="370"/>
    </row>
    <row r="1291" spans="1:14" s="347" customFormat="1" x14ac:dyDescent="0.25">
      <c r="A1291" s="369">
        <f>+A1290</f>
        <v>44286</v>
      </c>
      <c r="B1291" s="340">
        <f t="shared" si="12"/>
        <v>3</v>
      </c>
      <c r="C1291" s="347">
        <v>142</v>
      </c>
      <c r="D1291" s="340" t="str">
        <f>VLOOKUP(C1291,Plan!A$1:B$65542,2,0)</f>
        <v>Cuentas por Cobrar a CALI (Colectas)</v>
      </c>
      <c r="E1291" s="396">
        <f t="shared" si="13"/>
        <v>5000</v>
      </c>
      <c r="F1291" s="264">
        <v>5000</v>
      </c>
      <c r="G1291" s="396">
        <f>+F1282</f>
        <v>0</v>
      </c>
      <c r="H1291" t="s">
        <v>1029</v>
      </c>
      <c r="I1291" s="347" t="s">
        <v>296</v>
      </c>
      <c r="K1291" s="370"/>
      <c r="N1291" s="370"/>
    </row>
    <row r="1292" spans="1:14" s="347" customFormat="1" x14ac:dyDescent="0.25">
      <c r="A1292" s="369">
        <f t="shared" ref="A1292:A1302" si="14">+A1291</f>
        <v>44286</v>
      </c>
      <c r="B1292" s="340">
        <f t="shared" si="12"/>
        <v>3</v>
      </c>
      <c r="C1292" s="347">
        <v>142</v>
      </c>
      <c r="D1292" s="340" t="str">
        <f>VLOOKUP(C1292,Plan!A$1:B$65542,2,0)</f>
        <v>Cuentas por Cobrar a CALI (Colectas)</v>
      </c>
      <c r="E1292" s="396">
        <f t="shared" si="13"/>
        <v>40000</v>
      </c>
      <c r="F1292" s="264">
        <v>40000</v>
      </c>
      <c r="G1292" s="396">
        <v>0</v>
      </c>
      <c r="H1292" t="s">
        <v>1046</v>
      </c>
      <c r="I1292" s="347" t="s">
        <v>296</v>
      </c>
      <c r="K1292" s="370"/>
      <c r="N1292" s="370"/>
    </row>
    <row r="1293" spans="1:14" s="347" customFormat="1" x14ac:dyDescent="0.25">
      <c r="A1293" s="369">
        <f t="shared" si="14"/>
        <v>44286</v>
      </c>
      <c r="B1293" s="340">
        <f t="shared" si="12"/>
        <v>3</v>
      </c>
      <c r="C1293" s="347">
        <v>142</v>
      </c>
      <c r="D1293" s="340" t="str">
        <f>VLOOKUP(C1293,Plan!A$1:B$65542,2,0)</f>
        <v>Cuentas por Cobrar a CALI (Colectas)</v>
      </c>
      <c r="E1293" s="396">
        <f>+F1293-G1293</f>
        <v>5000</v>
      </c>
      <c r="F1293" s="264">
        <v>5000</v>
      </c>
      <c r="G1293" s="396">
        <f>+F1282</f>
        <v>0</v>
      </c>
      <c r="H1293" t="s">
        <v>1081</v>
      </c>
      <c r="I1293" s="347" t="s">
        <v>296</v>
      </c>
      <c r="K1293" s="370"/>
      <c r="N1293" s="370"/>
    </row>
    <row r="1294" spans="1:14" s="347" customFormat="1" x14ac:dyDescent="0.25">
      <c r="A1294" s="369">
        <f t="shared" si="14"/>
        <v>44286</v>
      </c>
      <c r="B1294" s="340">
        <f t="shared" si="12"/>
        <v>3</v>
      </c>
      <c r="C1294" s="347">
        <v>142</v>
      </c>
      <c r="D1294" s="340" t="str">
        <f>VLOOKUP(C1294,Plan!A$1:B$65542,2,0)</f>
        <v>Cuentas por Cobrar a CALI (Colectas)</v>
      </c>
      <c r="E1294" s="396">
        <f>+F1294-G1294</f>
        <v>48000</v>
      </c>
      <c r="F1294" s="264">
        <v>48000</v>
      </c>
      <c r="G1294" s="396">
        <v>0</v>
      </c>
      <c r="H1294" t="s">
        <v>971</v>
      </c>
      <c r="I1294" s="347" t="s">
        <v>296</v>
      </c>
      <c r="K1294" s="370"/>
      <c r="N1294" s="370"/>
    </row>
    <row r="1295" spans="1:14" s="347" customFormat="1" x14ac:dyDescent="0.25">
      <c r="A1295" s="369">
        <f t="shared" si="14"/>
        <v>44286</v>
      </c>
      <c r="B1295" s="340">
        <f t="shared" si="12"/>
        <v>3</v>
      </c>
      <c r="C1295" s="347">
        <v>142</v>
      </c>
      <c r="D1295" s="340" t="str">
        <f>VLOOKUP(C1295,Plan!A$1:B$65542,2,0)</f>
        <v>Cuentas por Cobrar a CALI (Colectas)</v>
      </c>
      <c r="E1295" s="396">
        <f t="shared" si="13"/>
        <v>6000</v>
      </c>
      <c r="F1295" s="264">
        <v>6000</v>
      </c>
      <c r="G1295" s="396">
        <f>+F1284</f>
        <v>0</v>
      </c>
      <c r="H1295" t="s">
        <v>1010</v>
      </c>
      <c r="I1295" s="347" t="s">
        <v>296</v>
      </c>
      <c r="K1295" s="370"/>
      <c r="N1295" s="370"/>
    </row>
    <row r="1296" spans="1:14" s="347" customFormat="1" x14ac:dyDescent="0.25">
      <c r="A1296" s="369">
        <f t="shared" si="14"/>
        <v>44286</v>
      </c>
      <c r="B1296" s="340">
        <f t="shared" si="12"/>
        <v>3</v>
      </c>
      <c r="C1296" s="347">
        <v>3110</v>
      </c>
      <c r="D1296" s="340" t="str">
        <f>VLOOKUP(C1296,Plan!A$1:B$65542,2,0)</f>
        <v>Colectas Normales</v>
      </c>
      <c r="E1296" s="396">
        <f t="shared" si="13"/>
        <v>-12000</v>
      </c>
      <c r="F1296" s="396">
        <v>0</v>
      </c>
      <c r="G1296" s="264">
        <v>12000</v>
      </c>
      <c r="H1296" t="s">
        <v>982</v>
      </c>
      <c r="I1296" s="347" t="s">
        <v>296</v>
      </c>
      <c r="K1296" s="370"/>
      <c r="N1296" s="370"/>
    </row>
    <row r="1297" spans="1:14" s="347" customFormat="1" x14ac:dyDescent="0.25">
      <c r="A1297" s="369">
        <f t="shared" si="14"/>
        <v>44286</v>
      </c>
      <c r="B1297" s="340">
        <f t="shared" si="12"/>
        <v>3</v>
      </c>
      <c r="C1297" s="347">
        <v>3110</v>
      </c>
      <c r="D1297" s="340" t="str">
        <f>VLOOKUP(C1297,Plan!A$1:B$65542,2,0)</f>
        <v>Colectas Normales</v>
      </c>
      <c r="E1297" s="396">
        <f t="shared" si="13"/>
        <v>-30000</v>
      </c>
      <c r="F1297" s="396">
        <v>0</v>
      </c>
      <c r="G1297" s="264">
        <v>30000</v>
      </c>
      <c r="H1297" t="s">
        <v>1054</v>
      </c>
      <c r="I1297" s="347" t="s">
        <v>296</v>
      </c>
      <c r="K1297" s="370"/>
      <c r="N1297" s="370"/>
    </row>
    <row r="1298" spans="1:14" s="347" customFormat="1" x14ac:dyDescent="0.25">
      <c r="A1298" s="369">
        <f t="shared" si="14"/>
        <v>44286</v>
      </c>
      <c r="B1298" s="340">
        <f t="shared" si="12"/>
        <v>3</v>
      </c>
      <c r="C1298" s="347">
        <v>3110</v>
      </c>
      <c r="D1298" s="340" t="str">
        <f>VLOOKUP(C1298,Plan!A$1:B$65542,2,0)</f>
        <v>Colectas Normales</v>
      </c>
      <c r="E1298" s="396">
        <f t="shared" si="13"/>
        <v>-5000</v>
      </c>
      <c r="F1298" s="396">
        <v>0</v>
      </c>
      <c r="G1298" s="264">
        <v>5000</v>
      </c>
      <c r="H1298" t="s">
        <v>1029</v>
      </c>
      <c r="I1298" s="347" t="s">
        <v>296</v>
      </c>
      <c r="K1298" s="370"/>
      <c r="N1298" s="370"/>
    </row>
    <row r="1299" spans="1:14" s="347" customFormat="1" x14ac:dyDescent="0.25">
      <c r="A1299" s="369">
        <f t="shared" si="14"/>
        <v>44286</v>
      </c>
      <c r="B1299" s="340">
        <f t="shared" si="12"/>
        <v>3</v>
      </c>
      <c r="C1299" s="347">
        <v>3110</v>
      </c>
      <c r="D1299" s="340" t="str">
        <f>VLOOKUP(C1299,Plan!A$1:B$65542,2,0)</f>
        <v>Colectas Normales</v>
      </c>
      <c r="E1299" s="396">
        <f t="shared" si="13"/>
        <v>-40000</v>
      </c>
      <c r="F1299" s="396">
        <v>0</v>
      </c>
      <c r="G1299" s="264">
        <v>40000</v>
      </c>
      <c r="H1299" t="s">
        <v>1046</v>
      </c>
      <c r="I1299" s="347" t="s">
        <v>296</v>
      </c>
      <c r="K1299" s="370"/>
      <c r="N1299" s="370"/>
    </row>
    <row r="1300" spans="1:14" s="347" customFormat="1" x14ac:dyDescent="0.25">
      <c r="A1300" s="369">
        <f t="shared" si="14"/>
        <v>44286</v>
      </c>
      <c r="B1300" s="340">
        <f t="shared" si="12"/>
        <v>3</v>
      </c>
      <c r="C1300" s="347">
        <v>3110</v>
      </c>
      <c r="D1300" s="340" t="str">
        <f>VLOOKUP(C1300,Plan!A$1:B$65542,2,0)</f>
        <v>Colectas Normales</v>
      </c>
      <c r="E1300" s="396">
        <f>+F1300-G1300</f>
        <v>-5000</v>
      </c>
      <c r="F1300" s="396">
        <v>0</v>
      </c>
      <c r="G1300" s="264">
        <v>5000</v>
      </c>
      <c r="H1300" t="s">
        <v>1081</v>
      </c>
      <c r="I1300" s="347" t="s">
        <v>296</v>
      </c>
      <c r="K1300" s="370"/>
      <c r="N1300" s="370"/>
    </row>
    <row r="1301" spans="1:14" s="347" customFormat="1" x14ac:dyDescent="0.25">
      <c r="A1301" s="369">
        <f t="shared" si="14"/>
        <v>44286</v>
      </c>
      <c r="B1301" s="340">
        <f t="shared" si="12"/>
        <v>3</v>
      </c>
      <c r="C1301" s="347">
        <v>3110</v>
      </c>
      <c r="D1301" s="340" t="str">
        <f>VLOOKUP(C1301,Plan!A$1:B$65542,2,0)</f>
        <v>Colectas Normales</v>
      </c>
      <c r="E1301" s="396">
        <f>+F1301-G1301</f>
        <v>-48000</v>
      </c>
      <c r="F1301" s="396">
        <v>0</v>
      </c>
      <c r="G1301" s="264">
        <v>48000</v>
      </c>
      <c r="H1301" t="s">
        <v>971</v>
      </c>
      <c r="I1301" s="347" t="s">
        <v>296</v>
      </c>
      <c r="K1301" s="370"/>
      <c r="N1301" s="370"/>
    </row>
    <row r="1302" spans="1:14" s="347" customFormat="1" x14ac:dyDescent="0.25">
      <c r="A1302" s="369">
        <f t="shared" si="14"/>
        <v>44286</v>
      </c>
      <c r="B1302" s="340">
        <f t="shared" si="12"/>
        <v>3</v>
      </c>
      <c r="C1302" s="347">
        <v>3110</v>
      </c>
      <c r="D1302" s="340" t="str">
        <f>VLOOKUP(C1302,Plan!A$1:B$65542,2,0)</f>
        <v>Colectas Normales</v>
      </c>
      <c r="E1302" s="396">
        <f t="shared" si="13"/>
        <v>-6000</v>
      </c>
      <c r="F1302" s="396">
        <v>0</v>
      </c>
      <c r="G1302" s="264">
        <v>6000</v>
      </c>
      <c r="H1302" t="s">
        <v>1010</v>
      </c>
      <c r="I1302" s="347" t="s">
        <v>296</v>
      </c>
      <c r="K1302" s="370"/>
      <c r="N1302" s="370"/>
    </row>
    <row r="1303" spans="1:14" s="347" customFormat="1" x14ac:dyDescent="0.25">
      <c r="A1303" s="369"/>
      <c r="E1303" s="396"/>
      <c r="F1303" s="396"/>
      <c r="G1303" s="396"/>
      <c r="K1303" s="370"/>
      <c r="N1303" s="370"/>
    </row>
    <row r="1304" spans="1:14" s="347" customFormat="1" x14ac:dyDescent="0.25">
      <c r="A1304" s="369">
        <v>44286</v>
      </c>
      <c r="B1304" s="340">
        <f>+MONTH(A1304)</f>
        <v>3</v>
      </c>
      <c r="C1304" s="347">
        <v>110</v>
      </c>
      <c r="D1304" s="340" t="str">
        <f>VLOOKUP(C1304,Plan!A$1:B$65542,2,0)</f>
        <v>Disponible Administración</v>
      </c>
      <c r="E1304" s="341">
        <f>+F1304-G1304</f>
        <v>138010</v>
      </c>
      <c r="F1304" s="396">
        <v>138010</v>
      </c>
      <c r="G1304" s="396">
        <v>0</v>
      </c>
      <c r="H1304" t="s">
        <v>1242</v>
      </c>
      <c r="I1304" s="347" t="s">
        <v>296</v>
      </c>
      <c r="K1304" s="370"/>
      <c r="N1304" s="370"/>
    </row>
    <row r="1305" spans="1:14" s="347" customFormat="1" x14ac:dyDescent="0.25">
      <c r="A1305" s="369">
        <f>+A1304</f>
        <v>44286</v>
      </c>
      <c r="B1305" s="347">
        <f>+B1304</f>
        <v>3</v>
      </c>
      <c r="C1305" s="347">
        <v>3110</v>
      </c>
      <c r="D1305" s="340" t="str">
        <f>VLOOKUP(C1305,Plan!A$1:B$65542,2,0)</f>
        <v>Colectas Normales</v>
      </c>
      <c r="E1305" s="396">
        <f>-G1305</f>
        <v>-138010</v>
      </c>
      <c r="F1305" s="396">
        <v>0</v>
      </c>
      <c r="G1305" s="396">
        <f>+F1304</f>
        <v>138010</v>
      </c>
      <c r="H1305" s="347" t="str">
        <f>+H1304</f>
        <v>Colecta N.N</v>
      </c>
      <c r="I1305" s="347" t="s">
        <v>296</v>
      </c>
      <c r="K1305" s="370"/>
      <c r="N1305" s="370"/>
    </row>
    <row r="1306" spans="1:14" s="347" customFormat="1" x14ac:dyDescent="0.25">
      <c r="A1306" s="369"/>
      <c r="E1306" s="396"/>
      <c r="F1306" s="396"/>
      <c r="G1306" s="396"/>
      <c r="K1306" s="370"/>
      <c r="N1306" s="370"/>
    </row>
    <row r="1307" spans="1:14" s="347" customFormat="1" x14ac:dyDescent="0.25">
      <c r="A1307" s="369">
        <v>44287</v>
      </c>
      <c r="B1307" s="340">
        <f>+MONTH(A1307)</f>
        <v>4</v>
      </c>
      <c r="C1307" s="347">
        <v>110</v>
      </c>
      <c r="D1307" s="340" t="str">
        <f>VLOOKUP(C1307,Plan!A$1:B$65542,2,0)</f>
        <v>Disponible Administración</v>
      </c>
      <c r="E1307" s="341">
        <f>+F1307-G1307</f>
        <v>30000</v>
      </c>
      <c r="F1307" s="396">
        <v>30000</v>
      </c>
      <c r="G1307" s="396">
        <v>0</v>
      </c>
      <c r="H1307" t="s">
        <v>1302</v>
      </c>
      <c r="I1307" s="347" t="s">
        <v>1303</v>
      </c>
      <c r="K1307" s="370"/>
      <c r="N1307" s="370"/>
    </row>
    <row r="1308" spans="1:14" s="347" customFormat="1" x14ac:dyDescent="0.25">
      <c r="A1308" s="369">
        <f>+A1307</f>
        <v>44287</v>
      </c>
      <c r="B1308" s="347">
        <f>+B1307</f>
        <v>4</v>
      </c>
      <c r="C1308" s="347">
        <v>3110</v>
      </c>
      <c r="D1308" s="340" t="str">
        <f>VLOOKUP(C1308,Plan!A$1:B$65542,2,0)</f>
        <v>Colectas Normales</v>
      </c>
      <c r="E1308" s="396">
        <f>-G1308</f>
        <v>-30000</v>
      </c>
      <c r="F1308" s="396">
        <v>0</v>
      </c>
      <c r="G1308" s="396">
        <f>+F1307</f>
        <v>30000</v>
      </c>
      <c r="H1308" s="347" t="str">
        <f>+H1307</f>
        <v>Colecta Raimundo Sanchez Hanisch</v>
      </c>
      <c r="I1308" s="347" t="s">
        <v>1303</v>
      </c>
      <c r="K1308" s="370"/>
      <c r="N1308" s="370"/>
    </row>
    <row r="1309" spans="1:14" s="347" customFormat="1" x14ac:dyDescent="0.25">
      <c r="A1309" s="369"/>
      <c r="E1309" s="396"/>
      <c r="F1309" s="396"/>
      <c r="G1309" s="396"/>
      <c r="K1309" s="370"/>
      <c r="N1309" s="370"/>
    </row>
    <row r="1310" spans="1:14" s="347" customFormat="1" x14ac:dyDescent="0.25">
      <c r="A1310" s="369">
        <v>44287</v>
      </c>
      <c r="B1310" s="340">
        <f>+MONTH(A1310)</f>
        <v>4</v>
      </c>
      <c r="C1310" s="347">
        <v>110</v>
      </c>
      <c r="D1310" s="340" t="str">
        <f>VLOOKUP(C1310,Plan!A$1:B$65542,2,0)</f>
        <v>Disponible Administración</v>
      </c>
      <c r="E1310" s="341">
        <f>+F1310-G1310</f>
        <v>100000</v>
      </c>
      <c r="F1310" s="396">
        <v>100000</v>
      </c>
      <c r="G1310" s="396">
        <v>0</v>
      </c>
      <c r="H1310" t="s">
        <v>887</v>
      </c>
      <c r="I1310" s="347" t="s">
        <v>1303</v>
      </c>
      <c r="K1310" s="370"/>
      <c r="N1310" s="370"/>
    </row>
    <row r="1311" spans="1:14" s="347" customFormat="1" x14ac:dyDescent="0.25">
      <c r="A1311" s="369">
        <f>+A1310</f>
        <v>44287</v>
      </c>
      <c r="B1311" s="347">
        <f>+B1310</f>
        <v>4</v>
      </c>
      <c r="C1311" s="347">
        <v>3110</v>
      </c>
      <c r="D1311" s="340" t="str">
        <f>VLOOKUP(C1311,Plan!A$1:B$65542,2,0)</f>
        <v>Colectas Normales</v>
      </c>
      <c r="E1311" s="396">
        <f>-G1311</f>
        <v>-100000</v>
      </c>
      <c r="F1311" s="396">
        <v>0</v>
      </c>
      <c r="G1311" s="396">
        <f>+F1310</f>
        <v>100000</v>
      </c>
      <c r="H1311" s="347" t="str">
        <f>+H1310</f>
        <v>Colecta Fernando Varela</v>
      </c>
      <c r="I1311" s="347" t="s">
        <v>1303</v>
      </c>
      <c r="K1311" s="370"/>
      <c r="N1311" s="370"/>
    </row>
    <row r="1312" spans="1:14" s="347" customFormat="1" x14ac:dyDescent="0.25">
      <c r="A1312" s="369"/>
      <c r="E1312" s="396"/>
      <c r="F1312" s="396"/>
      <c r="G1312" s="396"/>
      <c r="K1312" s="370"/>
      <c r="N1312" s="370"/>
    </row>
    <row r="1313" spans="1:14" s="347" customFormat="1" x14ac:dyDescent="0.25">
      <c r="A1313" s="369">
        <v>44287</v>
      </c>
      <c r="B1313" s="340">
        <f>+MONTH(A1313)</f>
        <v>4</v>
      </c>
      <c r="C1313" s="347">
        <v>110</v>
      </c>
      <c r="D1313" s="340" t="str">
        <f>VLOOKUP(C1313,Plan!A$1:B$65542,2,0)</f>
        <v>Disponible Administración</v>
      </c>
      <c r="E1313" s="341">
        <f>+F1313-G1313</f>
        <v>12000</v>
      </c>
      <c r="F1313" s="396">
        <v>12000</v>
      </c>
      <c r="G1313" s="396">
        <v>0</v>
      </c>
      <c r="H1313" t="s">
        <v>1304</v>
      </c>
      <c r="I1313" s="347" t="s">
        <v>1303</v>
      </c>
      <c r="K1313" s="370"/>
      <c r="N1313" s="370"/>
    </row>
    <row r="1314" spans="1:14" s="347" customFormat="1" x14ac:dyDescent="0.25">
      <c r="A1314" s="369">
        <f>+A1313</f>
        <v>44287</v>
      </c>
      <c r="B1314" s="347">
        <f>+B1313</f>
        <v>4</v>
      </c>
      <c r="C1314" s="347">
        <v>3110</v>
      </c>
      <c r="D1314" s="340" t="str">
        <f>VLOOKUP(C1314,Plan!A$1:B$65542,2,0)</f>
        <v>Colectas Normales</v>
      </c>
      <c r="E1314" s="396">
        <f>-G1314</f>
        <v>-12000</v>
      </c>
      <c r="F1314" s="396">
        <v>0</v>
      </c>
      <c r="G1314" s="396">
        <f>+F1313</f>
        <v>12000</v>
      </c>
      <c r="H1314" s="347" t="str">
        <f>+H1313</f>
        <v xml:space="preserve">Colecta Ricardo Cañas </v>
      </c>
      <c r="I1314" s="347" t="s">
        <v>1303</v>
      </c>
      <c r="K1314" s="370"/>
      <c r="N1314" s="370"/>
    </row>
    <row r="1315" spans="1:14" s="347" customFormat="1" x14ac:dyDescent="0.25">
      <c r="A1315" s="369"/>
      <c r="E1315" s="396"/>
      <c r="F1315" s="396"/>
      <c r="G1315" s="396"/>
      <c r="K1315" s="370"/>
      <c r="N1315" s="370"/>
    </row>
    <row r="1316" spans="1:14" s="347" customFormat="1" x14ac:dyDescent="0.25">
      <c r="A1316" s="369">
        <v>44287</v>
      </c>
      <c r="B1316" s="340">
        <f>+MONTH(A1316)</f>
        <v>4</v>
      </c>
      <c r="C1316" s="347">
        <v>110</v>
      </c>
      <c r="D1316" s="340" t="str">
        <f>VLOOKUP(C1316,Plan!A$1:B$65542,2,0)</f>
        <v>Disponible Administración</v>
      </c>
      <c r="E1316" s="341">
        <f>+F1316-G1316</f>
        <v>15000</v>
      </c>
      <c r="F1316" s="396">
        <v>15000</v>
      </c>
      <c r="G1316" s="396">
        <v>0</v>
      </c>
      <c r="H1316" t="s">
        <v>888</v>
      </c>
      <c r="I1316" s="347" t="s">
        <v>1303</v>
      </c>
      <c r="K1316" s="370"/>
      <c r="N1316" s="370"/>
    </row>
    <row r="1317" spans="1:14" s="347" customFormat="1" x14ac:dyDescent="0.25">
      <c r="A1317" s="369">
        <f>+A1316</f>
        <v>44287</v>
      </c>
      <c r="B1317" s="347">
        <f>+B1316</f>
        <v>4</v>
      </c>
      <c r="C1317" s="347">
        <v>3110</v>
      </c>
      <c r="D1317" s="340" t="str">
        <f>VLOOKUP(C1317,Plan!A$1:B$65542,2,0)</f>
        <v>Colectas Normales</v>
      </c>
      <c r="E1317" s="396">
        <f>-G1317</f>
        <v>-15000</v>
      </c>
      <c r="F1317" s="396">
        <v>0</v>
      </c>
      <c r="G1317" s="396">
        <f>+F1316</f>
        <v>15000</v>
      </c>
      <c r="H1317" s="347" t="str">
        <f>+H1316</f>
        <v>Colecta Gonzalo Contardo M</v>
      </c>
      <c r="I1317" s="347" t="s">
        <v>1303</v>
      </c>
      <c r="K1317" s="370"/>
      <c r="N1317" s="370"/>
    </row>
    <row r="1318" spans="1:14" s="347" customFormat="1" x14ac:dyDescent="0.25">
      <c r="A1318" s="369"/>
      <c r="E1318" s="396"/>
      <c r="F1318" s="396"/>
      <c r="G1318" s="396"/>
      <c r="K1318" s="370"/>
      <c r="N1318" s="370"/>
    </row>
    <row r="1319" spans="1:14" s="347" customFormat="1" x14ac:dyDescent="0.25">
      <c r="A1319" s="369">
        <v>44287</v>
      </c>
      <c r="B1319" s="340">
        <f>+MONTH(A1319)</f>
        <v>4</v>
      </c>
      <c r="C1319" s="347">
        <v>110</v>
      </c>
      <c r="D1319" s="340" t="str">
        <f>VLOOKUP(C1319,Plan!A$1:B$65542,2,0)</f>
        <v>Disponible Administración</v>
      </c>
      <c r="E1319" s="341">
        <f>+F1319-G1319</f>
        <v>15000</v>
      </c>
      <c r="F1319" s="396">
        <v>15000</v>
      </c>
      <c r="G1319" s="396">
        <v>0</v>
      </c>
      <c r="H1319" t="s">
        <v>1152</v>
      </c>
      <c r="I1319" s="347" t="s">
        <v>1303</v>
      </c>
      <c r="K1319" s="370"/>
      <c r="N1319" s="370"/>
    </row>
    <row r="1320" spans="1:14" s="347" customFormat="1" x14ac:dyDescent="0.25">
      <c r="A1320" s="369">
        <f>+A1319</f>
        <v>44287</v>
      </c>
      <c r="B1320" s="347">
        <f>+B1319</f>
        <v>4</v>
      </c>
      <c r="C1320" s="347">
        <v>3110</v>
      </c>
      <c r="D1320" s="340" t="str">
        <f>VLOOKUP(C1320,Plan!A$1:B$65542,2,0)</f>
        <v>Colectas Normales</v>
      </c>
      <c r="E1320" s="396">
        <f>-G1320</f>
        <v>-15000</v>
      </c>
      <c r="F1320" s="396">
        <v>0</v>
      </c>
      <c r="G1320" s="396">
        <f>+F1319</f>
        <v>15000</v>
      </c>
      <c r="H1320" s="347" t="str">
        <f>+H1319</f>
        <v>Colecta Beatriz Herrera S</v>
      </c>
      <c r="I1320" s="347" t="s">
        <v>1303</v>
      </c>
      <c r="K1320" s="370"/>
      <c r="N1320" s="370"/>
    </row>
    <row r="1321" spans="1:14" s="347" customFormat="1" x14ac:dyDescent="0.25">
      <c r="A1321" s="369"/>
      <c r="E1321" s="396"/>
      <c r="F1321" s="396"/>
      <c r="G1321" s="396"/>
      <c r="K1321" s="370"/>
      <c r="N1321" s="370"/>
    </row>
    <row r="1322" spans="1:14" s="347" customFormat="1" x14ac:dyDescent="0.25">
      <c r="A1322" s="369">
        <v>44287</v>
      </c>
      <c r="B1322" s="340">
        <f>+MONTH(A1322)</f>
        <v>4</v>
      </c>
      <c r="C1322" s="347">
        <v>110</v>
      </c>
      <c r="D1322" s="340" t="str">
        <f>VLOOKUP(C1322,Plan!A$1:B$65542,2,0)</f>
        <v>Disponible Administración</v>
      </c>
      <c r="E1322" s="341">
        <f>+F1322-G1322</f>
        <v>140000</v>
      </c>
      <c r="F1322" s="396">
        <v>140000</v>
      </c>
      <c r="G1322" s="396">
        <v>0</v>
      </c>
      <c r="H1322" t="s">
        <v>1305</v>
      </c>
      <c r="I1322" s="347" t="s">
        <v>1303</v>
      </c>
      <c r="K1322" s="370"/>
      <c r="N1322" s="370"/>
    </row>
    <row r="1323" spans="1:14" s="347" customFormat="1" x14ac:dyDescent="0.25">
      <c r="A1323" s="369">
        <f>+A1322</f>
        <v>44287</v>
      </c>
      <c r="B1323" s="347">
        <f>+B1322</f>
        <v>4</v>
      </c>
      <c r="C1323" s="347">
        <v>3110</v>
      </c>
      <c r="D1323" s="340" t="str">
        <f>VLOOKUP(C1323,Plan!A$1:B$65542,2,0)</f>
        <v>Colectas Normales</v>
      </c>
      <c r="E1323" s="396">
        <f>-G1323</f>
        <v>-140000</v>
      </c>
      <c r="F1323" s="396">
        <v>0</v>
      </c>
      <c r="G1323" s="396">
        <f>+F1322</f>
        <v>140000</v>
      </c>
      <c r="H1323" s="347" t="str">
        <f>+H1322</f>
        <v>Colecta Juan Pablo Oryan</v>
      </c>
      <c r="I1323" s="347" t="s">
        <v>1303</v>
      </c>
      <c r="K1323" s="370"/>
      <c r="N1323" s="370"/>
    </row>
    <row r="1324" spans="1:14" s="347" customFormat="1" x14ac:dyDescent="0.25">
      <c r="A1324" s="369"/>
      <c r="E1324" s="396"/>
      <c r="F1324" s="396"/>
      <c r="G1324" s="396"/>
      <c r="K1324" s="370"/>
      <c r="N1324" s="370"/>
    </row>
    <row r="1325" spans="1:14" s="347" customFormat="1" x14ac:dyDescent="0.25">
      <c r="A1325" s="369">
        <v>44287</v>
      </c>
      <c r="B1325" s="340">
        <f>+MONTH(A1325)</f>
        <v>4</v>
      </c>
      <c r="C1325" s="347">
        <v>110</v>
      </c>
      <c r="D1325" s="340" t="str">
        <f>VLOOKUP(C1325,Plan!A$1:B$65542,2,0)</f>
        <v>Disponible Administración</v>
      </c>
      <c r="E1325" s="341">
        <f>+F1325-G1325</f>
        <v>42000</v>
      </c>
      <c r="F1325" s="396">
        <v>42000</v>
      </c>
      <c r="G1325" s="396">
        <v>0</v>
      </c>
      <c r="H1325" t="s">
        <v>1133</v>
      </c>
      <c r="I1325" s="347" t="s">
        <v>1303</v>
      </c>
      <c r="K1325" s="370"/>
      <c r="N1325" s="370"/>
    </row>
    <row r="1326" spans="1:14" s="347" customFormat="1" x14ac:dyDescent="0.25">
      <c r="A1326" s="369">
        <f>+A1325</f>
        <v>44287</v>
      </c>
      <c r="B1326" s="347">
        <f>+B1325</f>
        <v>4</v>
      </c>
      <c r="C1326" s="347">
        <v>3110</v>
      </c>
      <c r="D1326" s="340" t="str">
        <f>VLOOKUP(C1326,Plan!A$1:B$65542,2,0)</f>
        <v>Colectas Normales</v>
      </c>
      <c r="E1326" s="396">
        <f>-G1326</f>
        <v>-42000</v>
      </c>
      <c r="F1326" s="396">
        <v>0</v>
      </c>
      <c r="G1326" s="396">
        <f>+F1325</f>
        <v>42000</v>
      </c>
      <c r="H1326" s="347" t="str">
        <f>+H1325</f>
        <v>Colecta IGNACIO URETA LARENAS</v>
      </c>
      <c r="I1326" s="347" t="s">
        <v>1303</v>
      </c>
      <c r="K1326" s="370"/>
      <c r="N1326" s="370"/>
    </row>
    <row r="1327" spans="1:14" s="347" customFormat="1" x14ac:dyDescent="0.25">
      <c r="A1327" s="369"/>
      <c r="E1327" s="396"/>
      <c r="F1327" s="396"/>
      <c r="G1327" s="396"/>
      <c r="K1327" s="370"/>
      <c r="N1327" s="370"/>
    </row>
    <row r="1328" spans="1:14" s="347" customFormat="1" x14ac:dyDescent="0.25">
      <c r="A1328" s="369">
        <v>44287</v>
      </c>
      <c r="B1328" s="340">
        <f>+MONTH(A1328)</f>
        <v>4</v>
      </c>
      <c r="C1328" s="347">
        <v>110</v>
      </c>
      <c r="D1328" s="340" t="str">
        <f>VLOOKUP(C1328,Plan!A$1:B$65542,2,0)</f>
        <v>Disponible Administración</v>
      </c>
      <c r="E1328" s="341">
        <f>+F1328-G1328</f>
        <v>40000</v>
      </c>
      <c r="F1328" s="396">
        <v>40000</v>
      </c>
      <c r="G1328" s="396">
        <v>0</v>
      </c>
      <c r="H1328" t="s">
        <v>1121</v>
      </c>
      <c r="I1328" s="347" t="s">
        <v>1303</v>
      </c>
      <c r="K1328" s="370"/>
      <c r="N1328" s="370"/>
    </row>
    <row r="1329" spans="1:14" s="347" customFormat="1" x14ac:dyDescent="0.25">
      <c r="A1329" s="369">
        <f>+A1328</f>
        <v>44287</v>
      </c>
      <c r="B1329" s="347">
        <f>+B1328</f>
        <v>4</v>
      </c>
      <c r="C1329" s="347">
        <v>3110</v>
      </c>
      <c r="D1329" s="340" t="str">
        <f>VLOOKUP(C1329,Plan!A$1:B$65542,2,0)</f>
        <v>Colectas Normales</v>
      </c>
      <c r="E1329" s="396">
        <f>-G1329</f>
        <v>-40000</v>
      </c>
      <c r="F1329" s="396">
        <v>0</v>
      </c>
      <c r="G1329" s="396">
        <f>+F1328</f>
        <v>40000</v>
      </c>
      <c r="H1329" s="347" t="str">
        <f>+H1328</f>
        <v>Colecta Luis Marin J.</v>
      </c>
      <c r="I1329" s="347" t="s">
        <v>1303</v>
      </c>
      <c r="K1329" s="370"/>
      <c r="N1329" s="370"/>
    </row>
    <row r="1330" spans="1:14" s="347" customFormat="1" x14ac:dyDescent="0.25">
      <c r="A1330" s="369"/>
      <c r="E1330" s="396"/>
      <c r="F1330" s="396"/>
      <c r="G1330" s="396"/>
      <c r="K1330" s="370"/>
      <c r="N1330" s="370"/>
    </row>
    <row r="1331" spans="1:14" s="347" customFormat="1" x14ac:dyDescent="0.25">
      <c r="A1331" s="369">
        <v>44291</v>
      </c>
      <c r="B1331" s="340">
        <f>+MONTH(A1331)</f>
        <v>4</v>
      </c>
      <c r="C1331" s="347">
        <v>110</v>
      </c>
      <c r="D1331" s="340" t="str">
        <f>VLOOKUP(C1331,Plan!A$1:B$65542,2,0)</f>
        <v>Disponible Administración</v>
      </c>
      <c r="E1331" s="341">
        <f>+F1331-G1331</f>
        <v>10000</v>
      </c>
      <c r="F1331" s="396">
        <v>10000</v>
      </c>
      <c r="G1331" s="396">
        <v>0</v>
      </c>
      <c r="H1331" t="s">
        <v>1815</v>
      </c>
      <c r="I1331" s="347" t="s">
        <v>1303</v>
      </c>
      <c r="K1331" s="370"/>
      <c r="N1331" s="370"/>
    </row>
    <row r="1332" spans="1:14" s="347" customFormat="1" x14ac:dyDescent="0.25">
      <c r="A1332" s="369">
        <f>+A1331</f>
        <v>44291</v>
      </c>
      <c r="B1332" s="347">
        <f>+B1331</f>
        <v>4</v>
      </c>
      <c r="C1332" s="347">
        <v>3340</v>
      </c>
      <c r="D1332" s="340" t="str">
        <f>VLOOKUP(C1332,Plan!A$1:B$65542,2,0)</f>
        <v>Misas</v>
      </c>
      <c r="E1332" s="396">
        <f>-G1332</f>
        <v>-10000</v>
      </c>
      <c r="F1332" s="396">
        <v>0</v>
      </c>
      <c r="G1332" s="396">
        <f>+F1331</f>
        <v>10000</v>
      </c>
      <c r="H1332" s="347" t="str">
        <f>+H1331</f>
        <v>Misa Sonia Schmidt/R. Carrasco</v>
      </c>
      <c r="I1332" s="347" t="s">
        <v>1303</v>
      </c>
      <c r="K1332" s="370"/>
      <c r="N1332" s="370"/>
    </row>
    <row r="1333" spans="1:14" s="347" customFormat="1" x14ac:dyDescent="0.25">
      <c r="A1333" s="369"/>
      <c r="E1333" s="396"/>
      <c r="F1333" s="396"/>
      <c r="G1333" s="396"/>
      <c r="K1333" s="370"/>
      <c r="N1333" s="370"/>
    </row>
    <row r="1334" spans="1:14" s="347" customFormat="1" x14ac:dyDescent="0.25">
      <c r="A1334" s="369">
        <v>44291</v>
      </c>
      <c r="B1334" s="340">
        <f>+MONTH(A1334)</f>
        <v>4</v>
      </c>
      <c r="C1334" s="347">
        <v>110</v>
      </c>
      <c r="D1334" s="340" t="str">
        <f>VLOOKUP(C1334,Plan!A$1:B$65542,2,0)</f>
        <v>Disponible Administración</v>
      </c>
      <c r="E1334" s="341">
        <f>+F1334-G1334</f>
        <v>40000</v>
      </c>
      <c r="F1334" s="396">
        <v>40000</v>
      </c>
      <c r="G1334" s="396">
        <v>0</v>
      </c>
      <c r="H1334" t="s">
        <v>1306</v>
      </c>
      <c r="I1334" s="347" t="s">
        <v>1303</v>
      </c>
      <c r="K1334" s="370"/>
      <c r="N1334" s="370"/>
    </row>
    <row r="1335" spans="1:14" s="347" customFormat="1" x14ac:dyDescent="0.25">
      <c r="A1335" s="369">
        <f>+A1334</f>
        <v>44291</v>
      </c>
      <c r="B1335" s="347">
        <f>+B1334</f>
        <v>4</v>
      </c>
      <c r="C1335" s="347">
        <v>3110</v>
      </c>
      <c r="D1335" s="340" t="str">
        <f>VLOOKUP(C1335,Plan!A$1:B$65542,2,0)</f>
        <v>Colectas Normales</v>
      </c>
      <c r="E1335" s="396">
        <f>-G1335</f>
        <v>-40000</v>
      </c>
      <c r="F1335" s="396">
        <v>0</v>
      </c>
      <c r="G1335" s="396">
        <f>+F1334</f>
        <v>40000</v>
      </c>
      <c r="H1335" s="347" t="str">
        <f>+H1334</f>
        <v>Colecta Marcela Nuñez</v>
      </c>
      <c r="I1335" s="347" t="s">
        <v>1303</v>
      </c>
      <c r="K1335" s="370"/>
      <c r="N1335" s="370"/>
    </row>
    <row r="1336" spans="1:14" s="347" customFormat="1" x14ac:dyDescent="0.25">
      <c r="A1336" s="369"/>
      <c r="E1336" s="396"/>
      <c r="F1336" s="396"/>
      <c r="G1336" s="396"/>
      <c r="K1336" s="370"/>
      <c r="N1336" s="370"/>
    </row>
    <row r="1337" spans="1:14" s="347" customFormat="1" x14ac:dyDescent="0.25">
      <c r="A1337" s="369">
        <v>44291</v>
      </c>
      <c r="B1337" s="340">
        <f>+MONTH(A1337)</f>
        <v>4</v>
      </c>
      <c r="C1337" s="347">
        <v>4322</v>
      </c>
      <c r="D1337" s="340" t="str">
        <f>VLOOKUP(C1337,Plan!A$1:B$65542,2,0)</f>
        <v>Agua</v>
      </c>
      <c r="E1337" s="341">
        <f>+F1337-G1337</f>
        <v>47141</v>
      </c>
      <c r="F1337" s="396">
        <v>47141</v>
      </c>
      <c r="G1337" s="396">
        <v>0</v>
      </c>
      <c r="H1337" t="s">
        <v>1307</v>
      </c>
      <c r="I1337" s="347" t="s">
        <v>1303</v>
      </c>
      <c r="K1337" s="370"/>
      <c r="N1337" s="370"/>
    </row>
    <row r="1338" spans="1:14" s="347" customFormat="1" x14ac:dyDescent="0.25">
      <c r="A1338" s="369">
        <f>+A1337</f>
        <v>44291</v>
      </c>
      <c r="B1338" s="347">
        <f>+B1337</f>
        <v>4</v>
      </c>
      <c r="C1338" s="347">
        <v>110</v>
      </c>
      <c r="D1338" s="340" t="str">
        <f>VLOOKUP(C1338,Plan!A$1:B$65542,2,0)</f>
        <v>Disponible Administración</v>
      </c>
      <c r="E1338" s="396">
        <f>-G1338</f>
        <v>-47141</v>
      </c>
      <c r="F1338" s="396">
        <v>0</v>
      </c>
      <c r="G1338" s="396">
        <f>+F1337</f>
        <v>47141</v>
      </c>
      <c r="H1338" s="347" t="str">
        <f>+H1337</f>
        <v>PAC AGUA OFICINA</v>
      </c>
      <c r="I1338" s="347" t="s">
        <v>1303</v>
      </c>
      <c r="K1338" s="370"/>
      <c r="N1338" s="370"/>
    </row>
    <row r="1339" spans="1:14" s="347" customFormat="1" x14ac:dyDescent="0.25">
      <c r="A1339" s="369"/>
      <c r="E1339" s="396"/>
      <c r="F1339" s="396"/>
      <c r="G1339" s="396"/>
      <c r="K1339" s="370"/>
      <c r="N1339" s="370"/>
    </row>
    <row r="1340" spans="1:14" s="347" customFormat="1" x14ac:dyDescent="0.25">
      <c r="A1340" s="369">
        <v>44291</v>
      </c>
      <c r="B1340" s="340">
        <f>+MONTH(A1340)</f>
        <v>4</v>
      </c>
      <c r="C1340" s="347">
        <v>110</v>
      </c>
      <c r="D1340" s="340" t="str">
        <f>VLOOKUP(C1340,Plan!A$1:B$65542,2,0)</f>
        <v>Disponible Administración</v>
      </c>
      <c r="E1340" s="341">
        <f>+F1340-G1340</f>
        <v>40000</v>
      </c>
      <c r="F1340" s="396">
        <v>40000</v>
      </c>
      <c r="G1340" s="396">
        <v>0</v>
      </c>
      <c r="H1340" t="s">
        <v>877</v>
      </c>
      <c r="I1340" s="347" t="s">
        <v>1303</v>
      </c>
      <c r="K1340" s="370"/>
      <c r="N1340" s="370"/>
    </row>
    <row r="1341" spans="1:14" s="347" customFormat="1" x14ac:dyDescent="0.25">
      <c r="A1341" s="369">
        <f>+A1340</f>
        <v>44291</v>
      </c>
      <c r="B1341" s="347">
        <f>+B1340</f>
        <v>4</v>
      </c>
      <c r="C1341" s="347">
        <v>3110</v>
      </c>
      <c r="D1341" s="340" t="str">
        <f>VLOOKUP(C1341,Plan!A$1:B$65542,2,0)</f>
        <v>Colectas Normales</v>
      </c>
      <c r="E1341" s="396">
        <f>-G1341</f>
        <v>-40000</v>
      </c>
      <c r="F1341" s="396">
        <v>0</v>
      </c>
      <c r="G1341" s="396">
        <f>+F1340</f>
        <v>40000</v>
      </c>
      <c r="H1341" s="347" t="str">
        <f>+H1340</f>
        <v>Colecta Manuel Uzal C</v>
      </c>
      <c r="I1341" s="347" t="s">
        <v>1303</v>
      </c>
      <c r="K1341" s="370"/>
      <c r="N1341" s="370"/>
    </row>
    <row r="1342" spans="1:14" s="347" customFormat="1" x14ac:dyDescent="0.25">
      <c r="A1342" s="369"/>
      <c r="E1342" s="396"/>
      <c r="F1342" s="396"/>
      <c r="G1342" s="396"/>
      <c r="K1342" s="370"/>
      <c r="N1342" s="370"/>
    </row>
    <row r="1343" spans="1:14" s="347" customFormat="1" x14ac:dyDescent="0.25">
      <c r="A1343" s="369">
        <v>44291</v>
      </c>
      <c r="B1343" s="340">
        <f>+MONTH(A1343)</f>
        <v>4</v>
      </c>
      <c r="C1343" s="347">
        <v>110</v>
      </c>
      <c r="D1343" s="340" t="str">
        <f>VLOOKUP(C1343,Plan!A$1:B$65542,2,0)</f>
        <v>Disponible Administración</v>
      </c>
      <c r="E1343" s="341">
        <f>+F1343-G1343</f>
        <v>20000</v>
      </c>
      <c r="F1343" s="396">
        <v>20000</v>
      </c>
      <c r="G1343" s="396">
        <v>0</v>
      </c>
      <c r="H1343" t="s">
        <v>1308</v>
      </c>
      <c r="I1343" s="347" t="s">
        <v>1303</v>
      </c>
      <c r="K1343" s="370"/>
      <c r="N1343" s="370"/>
    </row>
    <row r="1344" spans="1:14" s="347" customFormat="1" x14ac:dyDescent="0.25">
      <c r="A1344" s="369">
        <f>+A1343</f>
        <v>44291</v>
      </c>
      <c r="B1344" s="347">
        <f>+B1343</f>
        <v>4</v>
      </c>
      <c r="C1344" s="347">
        <v>3110</v>
      </c>
      <c r="D1344" s="340" t="str">
        <f>VLOOKUP(C1344,Plan!A$1:B$65542,2,0)</f>
        <v>Colectas Normales</v>
      </c>
      <c r="E1344" s="396">
        <f>-G1344</f>
        <v>-20000</v>
      </c>
      <c r="F1344" s="396">
        <v>0</v>
      </c>
      <c r="G1344" s="396">
        <f>+F1343</f>
        <v>20000</v>
      </c>
      <c r="H1344" s="347" t="str">
        <f>+H1343</f>
        <v>Colecta Juan Carlos Cornejo</v>
      </c>
      <c r="I1344" s="347" t="s">
        <v>1303</v>
      </c>
      <c r="K1344" s="370"/>
      <c r="N1344" s="370"/>
    </row>
    <row r="1345" spans="1:14" s="347" customFormat="1" x14ac:dyDescent="0.25">
      <c r="A1345" s="369"/>
      <c r="E1345" s="396"/>
      <c r="F1345" s="396"/>
      <c r="G1345" s="396"/>
      <c r="K1345" s="370"/>
      <c r="N1345" s="370"/>
    </row>
    <row r="1346" spans="1:14" s="347" customFormat="1" x14ac:dyDescent="0.25">
      <c r="A1346" s="369">
        <v>44291</v>
      </c>
      <c r="B1346" s="340">
        <f>+MONTH(A1346)</f>
        <v>4</v>
      </c>
      <c r="C1346" s="347">
        <v>110</v>
      </c>
      <c r="D1346" s="340" t="str">
        <f>VLOOKUP(C1346,Plan!A$1:B$65542,2,0)</f>
        <v>Disponible Administración</v>
      </c>
      <c r="E1346" s="341">
        <f>+F1346-G1346</f>
        <v>50000</v>
      </c>
      <c r="F1346" s="396">
        <v>50000</v>
      </c>
      <c r="G1346" s="396">
        <v>0</v>
      </c>
      <c r="H1346" t="s">
        <v>1309</v>
      </c>
      <c r="I1346" s="347" t="s">
        <v>1303</v>
      </c>
      <c r="K1346" s="370"/>
      <c r="N1346" s="370"/>
    </row>
    <row r="1347" spans="1:14" s="347" customFormat="1" x14ac:dyDescent="0.25">
      <c r="A1347" s="369">
        <f>+A1346</f>
        <v>44291</v>
      </c>
      <c r="B1347" s="347">
        <f>+B1346</f>
        <v>4</v>
      </c>
      <c r="C1347" s="347">
        <v>3110</v>
      </c>
      <c r="D1347" s="340" t="str">
        <f>VLOOKUP(C1347,Plan!A$1:B$65542,2,0)</f>
        <v>Colectas Normales</v>
      </c>
      <c r="E1347" s="396">
        <f>-G1347</f>
        <v>-50000</v>
      </c>
      <c r="F1347" s="396">
        <v>0</v>
      </c>
      <c r="G1347" s="396">
        <f>+F1346</f>
        <v>50000</v>
      </c>
      <c r="H1347" s="347" t="str">
        <f>+H1346</f>
        <v>Colecta Rosa Maria Gutierrez Carvajal</v>
      </c>
      <c r="I1347" s="347" t="s">
        <v>1303</v>
      </c>
      <c r="K1347" s="370"/>
      <c r="N1347" s="370"/>
    </row>
    <row r="1348" spans="1:14" s="347" customFormat="1" x14ac:dyDescent="0.25">
      <c r="A1348" s="369"/>
      <c r="E1348" s="396"/>
      <c r="F1348" s="396"/>
      <c r="G1348" s="396"/>
      <c r="K1348" s="370"/>
      <c r="N1348" s="370"/>
    </row>
    <row r="1349" spans="1:14" s="347" customFormat="1" x14ac:dyDescent="0.25">
      <c r="A1349" s="369">
        <v>44291</v>
      </c>
      <c r="B1349" s="340">
        <f>+MONTH(A1349)</f>
        <v>4</v>
      </c>
      <c r="C1349" s="347">
        <v>110</v>
      </c>
      <c r="D1349" s="340" t="str">
        <f>VLOOKUP(C1349,Plan!A$1:B$65542,2,0)</f>
        <v>Disponible Administración</v>
      </c>
      <c r="E1349" s="341">
        <f>+F1349-G1349</f>
        <v>10000</v>
      </c>
      <c r="F1349" s="396">
        <v>10000</v>
      </c>
      <c r="G1349" s="396">
        <v>0</v>
      </c>
      <c r="H1349" t="s">
        <v>1310</v>
      </c>
      <c r="I1349" s="347" t="s">
        <v>1303</v>
      </c>
      <c r="K1349" s="370"/>
      <c r="N1349" s="370"/>
    </row>
    <row r="1350" spans="1:14" s="347" customFormat="1" x14ac:dyDescent="0.25">
      <c r="A1350" s="369">
        <f>+A1349</f>
        <v>44291</v>
      </c>
      <c r="B1350" s="347">
        <f>+B1349</f>
        <v>4</v>
      </c>
      <c r="C1350" s="347">
        <v>3340</v>
      </c>
      <c r="D1350" s="340" t="str">
        <f>VLOOKUP(C1350,Plan!A$1:B$65542,2,0)</f>
        <v>Misas</v>
      </c>
      <c r="E1350" s="396">
        <f>-G1350</f>
        <v>-10000</v>
      </c>
      <c r="F1350" s="396">
        <v>0</v>
      </c>
      <c r="G1350" s="396">
        <f>+F1349</f>
        <v>10000</v>
      </c>
      <c r="H1350" s="347" t="str">
        <f>+H1349</f>
        <v>Misa Veronica Rojas</v>
      </c>
      <c r="I1350" s="347" t="s">
        <v>1303</v>
      </c>
      <c r="K1350" s="370"/>
      <c r="N1350" s="370"/>
    </row>
    <row r="1351" spans="1:14" s="347" customFormat="1" x14ac:dyDescent="0.25">
      <c r="A1351" s="369"/>
      <c r="E1351" s="396"/>
      <c r="F1351" s="396"/>
      <c r="G1351" s="396"/>
      <c r="K1351" s="370"/>
      <c r="N1351" s="370"/>
    </row>
    <row r="1352" spans="1:14" s="347" customFormat="1" x14ac:dyDescent="0.25">
      <c r="A1352" s="369">
        <v>44291</v>
      </c>
      <c r="B1352" s="340">
        <f>+MONTH(A1352)</f>
        <v>4</v>
      </c>
      <c r="C1352" s="347">
        <v>110</v>
      </c>
      <c r="D1352" s="340" t="str">
        <f>VLOOKUP(C1352,Plan!A$1:B$65542,2,0)</f>
        <v>Disponible Administración</v>
      </c>
      <c r="E1352" s="341">
        <f>+F1352-G1352</f>
        <v>10000</v>
      </c>
      <c r="F1352" s="396">
        <v>10000</v>
      </c>
      <c r="G1352" s="396">
        <v>0</v>
      </c>
      <c r="H1352" t="s">
        <v>1311</v>
      </c>
      <c r="I1352" s="347" t="s">
        <v>1303</v>
      </c>
      <c r="K1352" s="370"/>
      <c r="N1352" s="370"/>
    </row>
    <row r="1353" spans="1:14" s="347" customFormat="1" x14ac:dyDescent="0.25">
      <c r="A1353" s="369">
        <f>+A1352</f>
        <v>44291</v>
      </c>
      <c r="B1353" s="347">
        <f>+B1352</f>
        <v>4</v>
      </c>
      <c r="C1353" s="347">
        <v>3110</v>
      </c>
      <c r="D1353" s="340" t="str">
        <f>VLOOKUP(C1353,Plan!A$1:B$65542,2,0)</f>
        <v>Colectas Normales</v>
      </c>
      <c r="E1353" s="396">
        <f>-G1353</f>
        <v>-10000</v>
      </c>
      <c r="F1353" s="396">
        <v>0</v>
      </c>
      <c r="G1353" s="396">
        <f>+F1352</f>
        <v>10000</v>
      </c>
      <c r="H1353" s="347" t="str">
        <f>+H1352</f>
        <v>Colecta Veronica Rojas</v>
      </c>
      <c r="I1353" s="347" t="s">
        <v>1303</v>
      </c>
      <c r="K1353" s="370"/>
      <c r="N1353" s="370"/>
    </row>
    <row r="1354" spans="1:14" s="347" customFormat="1" x14ac:dyDescent="0.25">
      <c r="A1354" s="369"/>
      <c r="E1354" s="396"/>
      <c r="F1354" s="396"/>
      <c r="G1354" s="396"/>
      <c r="K1354" s="370"/>
      <c r="N1354" s="370"/>
    </row>
    <row r="1355" spans="1:14" s="347" customFormat="1" x14ac:dyDescent="0.25">
      <c r="A1355" s="369">
        <v>44291</v>
      </c>
      <c r="B1355" s="340">
        <f>+MONTH(A1355)</f>
        <v>4</v>
      </c>
      <c r="C1355" s="347">
        <v>110</v>
      </c>
      <c r="D1355" s="340" t="str">
        <f>VLOOKUP(C1355,Plan!A$1:B$65542,2,0)</f>
        <v>Disponible Administración</v>
      </c>
      <c r="E1355" s="341">
        <f>+F1355-G1355</f>
        <v>100000</v>
      </c>
      <c r="F1355" s="396">
        <v>100000</v>
      </c>
      <c r="G1355" s="396">
        <v>0</v>
      </c>
      <c r="H1355" t="s">
        <v>1312</v>
      </c>
      <c r="I1355" s="347" t="s">
        <v>1303</v>
      </c>
      <c r="K1355" s="370"/>
      <c r="N1355" s="370"/>
    </row>
    <row r="1356" spans="1:14" s="347" customFormat="1" x14ac:dyDescent="0.25">
      <c r="A1356" s="369">
        <f>+A1355</f>
        <v>44291</v>
      </c>
      <c r="B1356" s="347">
        <f>+B1355</f>
        <v>4</v>
      </c>
      <c r="C1356" s="347">
        <v>3110</v>
      </c>
      <c r="D1356" s="340" t="str">
        <f>VLOOKUP(C1356,Plan!A$1:B$65542,2,0)</f>
        <v>Colectas Normales</v>
      </c>
      <c r="E1356" s="396">
        <f>-G1356</f>
        <v>-100000</v>
      </c>
      <c r="F1356" s="396">
        <v>0</v>
      </c>
      <c r="G1356" s="396">
        <f>+F1355</f>
        <v>100000</v>
      </c>
      <c r="H1356" s="347" t="str">
        <f>+H1355</f>
        <v>Colecta Jose Antonio Marin Jordan</v>
      </c>
      <c r="I1356" s="347" t="s">
        <v>1303</v>
      </c>
      <c r="K1356" s="370"/>
      <c r="N1356" s="370"/>
    </row>
    <row r="1357" spans="1:14" s="347" customFormat="1" x14ac:dyDescent="0.25">
      <c r="A1357" s="369"/>
      <c r="E1357" s="396"/>
      <c r="F1357" s="396"/>
      <c r="G1357" s="396"/>
      <c r="K1357" s="370"/>
      <c r="N1357" s="370"/>
    </row>
    <row r="1358" spans="1:14" s="347" customFormat="1" x14ac:dyDescent="0.25">
      <c r="A1358" s="369">
        <v>44291</v>
      </c>
      <c r="B1358" s="340">
        <f>+MONTH(A1358)</f>
        <v>4</v>
      </c>
      <c r="C1358" s="347">
        <v>110</v>
      </c>
      <c r="D1358" s="340" t="str">
        <f>VLOOKUP(C1358,Plan!A$1:B$65542,2,0)</f>
        <v>Disponible Administración</v>
      </c>
      <c r="E1358" s="341">
        <f>+F1358-G1358</f>
        <v>15000</v>
      </c>
      <c r="F1358" s="396">
        <v>15000</v>
      </c>
      <c r="G1358" s="396">
        <v>0</v>
      </c>
      <c r="H1358" t="s">
        <v>1120</v>
      </c>
      <c r="I1358" s="347" t="s">
        <v>1303</v>
      </c>
      <c r="K1358" s="370"/>
      <c r="N1358" s="370"/>
    </row>
    <row r="1359" spans="1:14" s="347" customFormat="1" x14ac:dyDescent="0.25">
      <c r="A1359" s="369">
        <f>+A1358</f>
        <v>44291</v>
      </c>
      <c r="B1359" s="347">
        <f>+B1358</f>
        <v>4</v>
      </c>
      <c r="C1359" s="347">
        <v>3110</v>
      </c>
      <c r="D1359" s="340" t="str">
        <f>VLOOKUP(C1359,Plan!A$1:B$65542,2,0)</f>
        <v>Colectas Normales</v>
      </c>
      <c r="E1359" s="396">
        <f>-G1359</f>
        <v>-15000</v>
      </c>
      <c r="F1359" s="396">
        <v>0</v>
      </c>
      <c r="G1359" s="396">
        <f>+F1358</f>
        <v>15000</v>
      </c>
      <c r="H1359" s="347" t="str">
        <f>+H1358</f>
        <v>Colecta Maria Car Rios R</v>
      </c>
      <c r="I1359" s="347" t="s">
        <v>1303</v>
      </c>
      <c r="K1359" s="370"/>
      <c r="N1359" s="370"/>
    </row>
    <row r="1360" spans="1:14" s="347" customFormat="1" x14ac:dyDescent="0.25">
      <c r="A1360" s="369"/>
      <c r="E1360" s="396"/>
      <c r="F1360" s="396"/>
      <c r="G1360" s="396"/>
      <c r="K1360" s="370"/>
      <c r="N1360" s="370"/>
    </row>
    <row r="1361" spans="1:14" s="347" customFormat="1" x14ac:dyDescent="0.25">
      <c r="A1361" s="369">
        <v>44291</v>
      </c>
      <c r="B1361" s="340">
        <f>+MONTH(A1361)</f>
        <v>4</v>
      </c>
      <c r="C1361" s="347">
        <v>110</v>
      </c>
      <c r="D1361" s="340" t="str">
        <f>VLOOKUP(C1361,Plan!A$1:B$65542,2,0)</f>
        <v>Disponible Administración</v>
      </c>
      <c r="E1361" s="341">
        <f>+F1361-G1361</f>
        <v>10000</v>
      </c>
      <c r="F1361" s="396">
        <v>10000</v>
      </c>
      <c r="G1361" s="396">
        <v>0</v>
      </c>
      <c r="H1361" t="s">
        <v>1183</v>
      </c>
      <c r="I1361" s="347" t="s">
        <v>1303</v>
      </c>
      <c r="K1361" s="370"/>
      <c r="N1361" s="370"/>
    </row>
    <row r="1362" spans="1:14" s="347" customFormat="1" x14ac:dyDescent="0.25">
      <c r="A1362" s="369">
        <f>+A1361</f>
        <v>44291</v>
      </c>
      <c r="B1362" s="347">
        <f>+B1361</f>
        <v>4</v>
      </c>
      <c r="C1362" s="347">
        <v>3110</v>
      </c>
      <c r="D1362" s="340" t="str">
        <f>VLOOKUP(C1362,Plan!A$1:B$65542,2,0)</f>
        <v>Colectas Normales</v>
      </c>
      <c r="E1362" s="396">
        <f>-G1362</f>
        <v>-10000</v>
      </c>
      <c r="F1362" s="396">
        <v>0</v>
      </c>
      <c r="G1362" s="396">
        <f>+F1361</f>
        <v>10000</v>
      </c>
      <c r="H1362" s="347" t="str">
        <f>+H1361</f>
        <v>Colecta Hilda Dougnac</v>
      </c>
      <c r="I1362" s="347" t="s">
        <v>1303</v>
      </c>
      <c r="K1362" s="370"/>
      <c r="N1362" s="370"/>
    </row>
    <row r="1363" spans="1:14" s="347" customFormat="1" x14ac:dyDescent="0.25">
      <c r="A1363" s="369"/>
      <c r="E1363" s="396"/>
      <c r="F1363" s="396"/>
      <c r="G1363" s="396"/>
      <c r="K1363" s="370"/>
      <c r="N1363" s="370"/>
    </row>
    <row r="1364" spans="1:14" s="347" customFormat="1" x14ac:dyDescent="0.25">
      <c r="A1364" s="369">
        <v>44291</v>
      </c>
      <c r="B1364" s="340">
        <f>+MONTH(A1364)</f>
        <v>4</v>
      </c>
      <c r="C1364" s="347">
        <v>110</v>
      </c>
      <c r="D1364" s="340" t="str">
        <f>VLOOKUP(C1364,Plan!A$1:B$65542,2,0)</f>
        <v>Disponible Administración</v>
      </c>
      <c r="E1364" s="341">
        <f>+F1364-G1364</f>
        <v>10000</v>
      </c>
      <c r="F1364" s="396">
        <v>10000</v>
      </c>
      <c r="G1364" s="396">
        <v>0</v>
      </c>
      <c r="H1364" t="s">
        <v>881</v>
      </c>
      <c r="I1364" s="347" t="s">
        <v>1303</v>
      </c>
      <c r="K1364" s="370"/>
      <c r="N1364" s="370"/>
    </row>
    <row r="1365" spans="1:14" s="347" customFormat="1" x14ac:dyDescent="0.25">
      <c r="A1365" s="369">
        <f>+A1364</f>
        <v>44291</v>
      </c>
      <c r="B1365" s="347">
        <f>+B1364</f>
        <v>4</v>
      </c>
      <c r="C1365" s="347">
        <v>3110</v>
      </c>
      <c r="D1365" s="340" t="str">
        <f>VLOOKUP(C1365,Plan!A$1:B$65542,2,0)</f>
        <v>Colectas Normales</v>
      </c>
      <c r="E1365" s="396">
        <f>-G1365</f>
        <v>-10000</v>
      </c>
      <c r="F1365" s="396">
        <v>0</v>
      </c>
      <c r="G1365" s="396">
        <f>+F1364</f>
        <v>10000</v>
      </c>
      <c r="H1365" s="347" t="str">
        <f>+H1364</f>
        <v>Colecta Rafael Marin Jordan</v>
      </c>
      <c r="I1365" s="347" t="s">
        <v>1303</v>
      </c>
      <c r="K1365" s="370"/>
      <c r="N1365" s="370"/>
    </row>
    <row r="1366" spans="1:14" s="347" customFormat="1" x14ac:dyDescent="0.25">
      <c r="A1366" s="369"/>
      <c r="E1366" s="396"/>
      <c r="F1366" s="396"/>
      <c r="G1366" s="396"/>
      <c r="K1366" s="370"/>
      <c r="N1366" s="370"/>
    </row>
    <row r="1367" spans="1:14" s="347" customFormat="1" x14ac:dyDescent="0.25">
      <c r="A1367" s="369">
        <v>44291</v>
      </c>
      <c r="B1367" s="340">
        <f>+MONTH(A1367)</f>
        <v>4</v>
      </c>
      <c r="C1367" s="347">
        <v>110</v>
      </c>
      <c r="D1367" s="340" t="str">
        <f>VLOOKUP(C1367,Plan!A$1:B$65542,2,0)</f>
        <v>Disponible Administración</v>
      </c>
      <c r="E1367" s="341">
        <f>+F1367-G1367</f>
        <v>15000</v>
      </c>
      <c r="F1367" s="396">
        <v>15000</v>
      </c>
      <c r="G1367" s="396">
        <v>0</v>
      </c>
      <c r="H1367" t="s">
        <v>1313</v>
      </c>
      <c r="I1367" s="347" t="s">
        <v>1303</v>
      </c>
      <c r="K1367" s="370"/>
      <c r="N1367" s="370"/>
    </row>
    <row r="1368" spans="1:14" s="347" customFormat="1" x14ac:dyDescent="0.25">
      <c r="A1368" s="369">
        <f>+A1367</f>
        <v>44291</v>
      </c>
      <c r="B1368" s="347">
        <f>+B1367</f>
        <v>4</v>
      </c>
      <c r="C1368" s="347">
        <v>215</v>
      </c>
      <c r="D1368" s="340" t="str">
        <f>VLOOKUP(C1368,Plan!A$1:B$65542,2,0)</f>
        <v>Cuenta por Pagar a Cali</v>
      </c>
      <c r="E1368" s="396">
        <f>-G1368</f>
        <v>-15000</v>
      </c>
      <c r="F1368" s="396">
        <v>0</v>
      </c>
      <c r="G1368" s="396">
        <f>+F1367</f>
        <v>15000</v>
      </c>
      <c r="H1368" s="347" t="str">
        <f>+H1367</f>
        <v>Colecta Maria Elena De Castro Espinosa/249</v>
      </c>
      <c r="I1368" s="347" t="s">
        <v>1303</v>
      </c>
      <c r="K1368" s="370"/>
      <c r="N1368" s="370"/>
    </row>
    <row r="1369" spans="1:14" s="347" customFormat="1" x14ac:dyDescent="0.25">
      <c r="A1369" s="369"/>
      <c r="E1369" s="396"/>
      <c r="F1369" s="396"/>
      <c r="G1369" s="396"/>
      <c r="K1369" s="370"/>
      <c r="N1369" s="370"/>
    </row>
    <row r="1370" spans="1:14" s="347" customFormat="1" x14ac:dyDescent="0.25">
      <c r="A1370" s="369">
        <v>44291</v>
      </c>
      <c r="B1370" s="340">
        <f>+MONTH(A1370)</f>
        <v>4</v>
      </c>
      <c r="C1370" s="347">
        <v>110</v>
      </c>
      <c r="D1370" s="340" t="str">
        <f>VLOOKUP(C1370,Plan!A$1:B$65542,2,0)</f>
        <v>Disponible Administración</v>
      </c>
      <c r="E1370" s="341">
        <f>+F1370-G1370</f>
        <v>20000</v>
      </c>
      <c r="F1370" s="396">
        <v>20000</v>
      </c>
      <c r="G1370" s="396">
        <v>0</v>
      </c>
      <c r="H1370" t="s">
        <v>1159</v>
      </c>
      <c r="I1370" s="347" t="s">
        <v>1303</v>
      </c>
      <c r="K1370" s="370"/>
      <c r="N1370" s="370"/>
    </row>
    <row r="1371" spans="1:14" s="347" customFormat="1" x14ac:dyDescent="0.25">
      <c r="A1371" s="369">
        <f>+A1370</f>
        <v>44291</v>
      </c>
      <c r="B1371" s="347">
        <f>+B1370</f>
        <v>4</v>
      </c>
      <c r="C1371" s="347">
        <v>3110</v>
      </c>
      <c r="D1371" s="340" t="str">
        <f>VLOOKUP(C1371,Plan!A$1:B$65542,2,0)</f>
        <v>Colectas Normales</v>
      </c>
      <c r="E1371" s="396">
        <f>-G1371</f>
        <v>-20000</v>
      </c>
      <c r="F1371" s="396">
        <v>0</v>
      </c>
      <c r="G1371" s="396">
        <f>+F1370</f>
        <v>20000</v>
      </c>
      <c r="H1371" s="347" t="str">
        <f>+H1370</f>
        <v>Colecta Guillermo Turner Olea</v>
      </c>
      <c r="I1371" s="347" t="s">
        <v>1303</v>
      </c>
      <c r="K1371" s="370"/>
      <c r="N1371" s="370"/>
    </row>
    <row r="1372" spans="1:14" s="347" customFormat="1" x14ac:dyDescent="0.25">
      <c r="A1372" s="369"/>
      <c r="E1372" s="396"/>
      <c r="F1372" s="396"/>
      <c r="G1372" s="396"/>
      <c r="K1372" s="370"/>
      <c r="N1372" s="370"/>
    </row>
    <row r="1373" spans="1:14" s="347" customFormat="1" x14ac:dyDescent="0.25">
      <c r="A1373" s="369">
        <v>44291</v>
      </c>
      <c r="B1373" s="340">
        <f>+MONTH(A1373)</f>
        <v>4</v>
      </c>
      <c r="C1373" s="347">
        <v>110</v>
      </c>
      <c r="D1373" s="340" t="str">
        <f>VLOOKUP(C1373,Plan!A$1:B$65542,2,0)</f>
        <v>Disponible Administración</v>
      </c>
      <c r="E1373" s="341">
        <f>+F1373-G1373</f>
        <v>20000</v>
      </c>
      <c r="F1373" s="396">
        <v>20000</v>
      </c>
      <c r="G1373" s="396">
        <v>0</v>
      </c>
      <c r="H1373" t="s">
        <v>945</v>
      </c>
      <c r="I1373" s="347" t="s">
        <v>1303</v>
      </c>
      <c r="K1373" s="370"/>
      <c r="N1373" s="370"/>
    </row>
    <row r="1374" spans="1:14" s="347" customFormat="1" x14ac:dyDescent="0.25">
      <c r="A1374" s="369">
        <f>+A1373</f>
        <v>44291</v>
      </c>
      <c r="B1374" s="347">
        <f>+B1373</f>
        <v>4</v>
      </c>
      <c r="C1374" s="347">
        <v>3110</v>
      </c>
      <c r="D1374" s="340" t="str">
        <f>VLOOKUP(C1374,Plan!A$1:B$65542,2,0)</f>
        <v>Colectas Normales</v>
      </c>
      <c r="E1374" s="396">
        <f>-G1374</f>
        <v>-20000</v>
      </c>
      <c r="F1374" s="396">
        <v>0</v>
      </c>
      <c r="G1374" s="396">
        <f>+F1373</f>
        <v>20000</v>
      </c>
      <c r="H1374" s="347" t="str">
        <f>+H1373</f>
        <v>Colecta Maria Corte</v>
      </c>
      <c r="I1374" s="347" t="s">
        <v>1303</v>
      </c>
      <c r="K1374" s="370"/>
      <c r="N1374" s="370"/>
    </row>
    <row r="1375" spans="1:14" s="347" customFormat="1" x14ac:dyDescent="0.25">
      <c r="A1375" s="369"/>
      <c r="E1375" s="396"/>
      <c r="F1375" s="396"/>
      <c r="G1375" s="396"/>
      <c r="K1375" s="370"/>
      <c r="N1375" s="370"/>
    </row>
    <row r="1376" spans="1:14" s="347" customFormat="1" x14ac:dyDescent="0.25">
      <c r="A1376" s="369">
        <v>44291</v>
      </c>
      <c r="B1376" s="340">
        <f>+MONTH(A1376)</f>
        <v>4</v>
      </c>
      <c r="C1376" s="347">
        <v>110</v>
      </c>
      <c r="D1376" s="340" t="str">
        <f>VLOOKUP(C1376,Plan!A$1:B$65542,2,0)</f>
        <v>Disponible Administración</v>
      </c>
      <c r="E1376" s="341">
        <f>+F1376-G1376</f>
        <v>5000</v>
      </c>
      <c r="F1376" s="396">
        <v>5000</v>
      </c>
      <c r="G1376" s="396">
        <v>0</v>
      </c>
      <c r="H1376" t="s">
        <v>1135</v>
      </c>
      <c r="I1376" s="347" t="s">
        <v>1303</v>
      </c>
      <c r="K1376" s="370"/>
      <c r="N1376" s="370"/>
    </row>
    <row r="1377" spans="1:14" s="347" customFormat="1" x14ac:dyDescent="0.25">
      <c r="A1377" s="369">
        <f>+A1376</f>
        <v>44291</v>
      </c>
      <c r="B1377" s="347">
        <f>+B1376</f>
        <v>4</v>
      </c>
      <c r="C1377" s="347">
        <v>3110</v>
      </c>
      <c r="D1377" s="340" t="str">
        <f>VLOOKUP(C1377,Plan!A$1:B$65542,2,0)</f>
        <v>Colectas Normales</v>
      </c>
      <c r="E1377" s="396">
        <f>-G1377</f>
        <v>-5000</v>
      </c>
      <c r="F1377" s="396">
        <v>0</v>
      </c>
      <c r="G1377" s="396">
        <f>+F1376</f>
        <v>5000</v>
      </c>
      <c r="H1377" s="347" t="str">
        <f>+H1376</f>
        <v>Colecta Francisco Guimpert</v>
      </c>
      <c r="I1377" s="347" t="s">
        <v>1303</v>
      </c>
      <c r="K1377" s="370"/>
      <c r="N1377" s="370"/>
    </row>
    <row r="1378" spans="1:14" s="347" customFormat="1" x14ac:dyDescent="0.25">
      <c r="A1378" s="369"/>
      <c r="E1378" s="396"/>
      <c r="F1378" s="396"/>
      <c r="G1378" s="396"/>
      <c r="K1378" s="370"/>
      <c r="N1378" s="370"/>
    </row>
    <row r="1379" spans="1:14" s="347" customFormat="1" x14ac:dyDescent="0.25">
      <c r="A1379" s="369">
        <v>44291</v>
      </c>
      <c r="B1379" s="340">
        <f>+MONTH(A1379)</f>
        <v>4</v>
      </c>
      <c r="C1379" s="347">
        <v>110</v>
      </c>
      <c r="D1379" s="340" t="str">
        <f>VLOOKUP(C1379,Plan!A$1:B$65542,2,0)</f>
        <v>Disponible Administración</v>
      </c>
      <c r="E1379" s="341">
        <f>+F1379-G1379</f>
        <v>10000</v>
      </c>
      <c r="F1379" s="396">
        <v>10000</v>
      </c>
      <c r="G1379" s="396">
        <v>0</v>
      </c>
      <c r="H1379" t="s">
        <v>1314</v>
      </c>
      <c r="I1379" s="347" t="s">
        <v>1303</v>
      </c>
      <c r="K1379" s="370"/>
      <c r="N1379" s="370"/>
    </row>
    <row r="1380" spans="1:14" s="347" customFormat="1" x14ac:dyDescent="0.25">
      <c r="A1380" s="369">
        <f>+A1379</f>
        <v>44291</v>
      </c>
      <c r="B1380" s="347">
        <f>+B1379</f>
        <v>4</v>
      </c>
      <c r="C1380" s="347">
        <v>3110</v>
      </c>
      <c r="D1380" s="340" t="str">
        <f>VLOOKUP(C1380,Plan!A$1:B$65542,2,0)</f>
        <v>Colectas Normales</v>
      </c>
      <c r="E1380" s="396">
        <f>-G1380</f>
        <v>-10000</v>
      </c>
      <c r="F1380" s="396">
        <v>0</v>
      </c>
      <c r="G1380" s="396">
        <f>+F1379</f>
        <v>10000</v>
      </c>
      <c r="H1380" s="347" t="str">
        <f>+H1379</f>
        <v>Colecta Juan Arnaiz</v>
      </c>
      <c r="I1380" s="347" t="s">
        <v>1303</v>
      </c>
      <c r="K1380" s="370"/>
      <c r="N1380" s="370"/>
    </row>
    <row r="1381" spans="1:14" s="347" customFormat="1" x14ac:dyDescent="0.25">
      <c r="A1381" s="369"/>
      <c r="E1381" s="396"/>
      <c r="F1381" s="396"/>
      <c r="G1381" s="396"/>
      <c r="K1381" s="370"/>
      <c r="N1381" s="370"/>
    </row>
    <row r="1382" spans="1:14" s="347" customFormat="1" x14ac:dyDescent="0.25">
      <c r="A1382" s="369">
        <v>44291</v>
      </c>
      <c r="B1382" s="340">
        <f>+MONTH(A1382)</f>
        <v>4</v>
      </c>
      <c r="C1382" s="347">
        <v>110</v>
      </c>
      <c r="D1382" s="340" t="str">
        <f>VLOOKUP(C1382,Plan!A$1:B$65542,2,0)</f>
        <v>Disponible Administración</v>
      </c>
      <c r="E1382" s="341">
        <f>+F1382-G1382</f>
        <v>10000</v>
      </c>
      <c r="F1382" s="396">
        <v>10000</v>
      </c>
      <c r="G1382" s="396">
        <v>0</v>
      </c>
      <c r="H1382" t="s">
        <v>900</v>
      </c>
      <c r="I1382" s="347" t="s">
        <v>1303</v>
      </c>
      <c r="K1382" s="370"/>
      <c r="N1382" s="370"/>
    </row>
    <row r="1383" spans="1:14" s="347" customFormat="1" x14ac:dyDescent="0.25">
      <c r="A1383" s="369">
        <f>+A1382</f>
        <v>44291</v>
      </c>
      <c r="B1383" s="347">
        <f>+B1382</f>
        <v>4</v>
      </c>
      <c r="C1383" s="347">
        <v>3110</v>
      </c>
      <c r="D1383" s="340" t="str">
        <f>VLOOKUP(C1383,Plan!A$1:B$65542,2,0)</f>
        <v>Colectas Normales</v>
      </c>
      <c r="E1383" s="396">
        <f>-G1383</f>
        <v>-10000</v>
      </c>
      <c r="F1383" s="396">
        <v>0</v>
      </c>
      <c r="G1383" s="396">
        <f>+F1382</f>
        <v>10000</v>
      </c>
      <c r="H1383" s="347" t="str">
        <f>+H1382</f>
        <v>Colecta Paula Fernandez</v>
      </c>
      <c r="I1383" s="347" t="s">
        <v>1303</v>
      </c>
      <c r="K1383" s="370"/>
      <c r="N1383" s="370"/>
    </row>
    <row r="1384" spans="1:14" s="347" customFormat="1" x14ac:dyDescent="0.25">
      <c r="A1384" s="369"/>
      <c r="E1384" s="396"/>
      <c r="F1384" s="396"/>
      <c r="G1384" s="396"/>
      <c r="K1384" s="370"/>
      <c r="N1384" s="370"/>
    </row>
    <row r="1385" spans="1:14" s="347" customFormat="1" x14ac:dyDescent="0.25">
      <c r="A1385" s="369">
        <v>44291</v>
      </c>
      <c r="B1385" s="340">
        <f>+MONTH(A1385)</f>
        <v>4</v>
      </c>
      <c r="C1385" s="347">
        <v>110</v>
      </c>
      <c r="D1385" s="340" t="str">
        <f>VLOOKUP(C1385,Plan!A$1:B$65542,2,0)</f>
        <v>Disponible Administración</v>
      </c>
      <c r="E1385" s="341">
        <f>+F1385-G1385</f>
        <v>15000</v>
      </c>
      <c r="F1385" s="396">
        <v>15000</v>
      </c>
      <c r="G1385" s="396">
        <v>0</v>
      </c>
      <c r="H1385" t="s">
        <v>1162</v>
      </c>
      <c r="I1385" s="347" t="s">
        <v>1303</v>
      </c>
      <c r="K1385" s="370"/>
      <c r="N1385" s="370"/>
    </row>
    <row r="1386" spans="1:14" s="347" customFormat="1" x14ac:dyDescent="0.25">
      <c r="A1386" s="369">
        <f>+A1385</f>
        <v>44291</v>
      </c>
      <c r="B1386" s="347">
        <f>+B1385</f>
        <v>4</v>
      </c>
      <c r="C1386" s="347">
        <v>3110</v>
      </c>
      <c r="D1386" s="340" t="str">
        <f>VLOOKUP(C1386,Plan!A$1:B$65542,2,0)</f>
        <v>Colectas Normales</v>
      </c>
      <c r="E1386" s="396">
        <f>-G1386</f>
        <v>-15000</v>
      </c>
      <c r="F1386" s="396">
        <v>0</v>
      </c>
      <c r="G1386" s="396">
        <f>+F1385</f>
        <v>15000</v>
      </c>
      <c r="H1386" s="347" t="str">
        <f>+H1385</f>
        <v>Colecta Maria Valdes</v>
      </c>
      <c r="I1386" s="347" t="s">
        <v>1303</v>
      </c>
      <c r="K1386" s="370"/>
      <c r="N1386" s="370"/>
    </row>
    <row r="1387" spans="1:14" s="347" customFormat="1" x14ac:dyDescent="0.25">
      <c r="A1387" s="369"/>
      <c r="E1387" s="396"/>
      <c r="F1387" s="396"/>
      <c r="G1387" s="396"/>
      <c r="K1387" s="370"/>
      <c r="N1387" s="370"/>
    </row>
    <row r="1388" spans="1:14" s="347" customFormat="1" x14ac:dyDescent="0.25">
      <c r="A1388" s="369">
        <v>44291</v>
      </c>
      <c r="B1388" s="340">
        <f>+MONTH(A1388)</f>
        <v>4</v>
      </c>
      <c r="C1388" s="347">
        <v>110</v>
      </c>
      <c r="D1388" s="340" t="str">
        <f>VLOOKUP(C1388,Plan!A$1:B$65542,2,0)</f>
        <v>Disponible Administración</v>
      </c>
      <c r="E1388" s="341">
        <f>+F1388-G1388</f>
        <v>10000</v>
      </c>
      <c r="F1388" s="396">
        <v>10000</v>
      </c>
      <c r="G1388" s="396">
        <v>0</v>
      </c>
      <c r="H1388" t="s">
        <v>1117</v>
      </c>
      <c r="I1388" s="347" t="s">
        <v>1303</v>
      </c>
      <c r="K1388" s="370"/>
      <c r="N1388" s="370"/>
    </row>
    <row r="1389" spans="1:14" s="347" customFormat="1" x14ac:dyDescent="0.25">
      <c r="A1389" s="369">
        <f>+A1388</f>
        <v>44291</v>
      </c>
      <c r="B1389" s="347">
        <f>+B1388</f>
        <v>4</v>
      </c>
      <c r="C1389" s="347">
        <v>3110</v>
      </c>
      <c r="D1389" s="340" t="str">
        <f>VLOOKUP(C1389,Plan!A$1:B$65542,2,0)</f>
        <v>Colectas Normales</v>
      </c>
      <c r="E1389" s="396">
        <f>-G1389</f>
        <v>-10000</v>
      </c>
      <c r="F1389" s="396">
        <v>0</v>
      </c>
      <c r="G1389" s="396">
        <f>+F1388</f>
        <v>10000</v>
      </c>
      <c r="H1389" s="347" t="str">
        <f>+H1388</f>
        <v>Colecta M.Angelica Arancibia Larenas</v>
      </c>
      <c r="I1389" s="347" t="s">
        <v>1303</v>
      </c>
      <c r="K1389" s="370"/>
      <c r="N1389" s="370"/>
    </row>
    <row r="1390" spans="1:14" s="347" customFormat="1" x14ac:dyDescent="0.25">
      <c r="A1390" s="369"/>
      <c r="E1390" s="396"/>
      <c r="F1390" s="396"/>
      <c r="G1390" s="396"/>
      <c r="K1390" s="370"/>
      <c r="N1390" s="370"/>
    </row>
    <row r="1391" spans="1:14" s="347" customFormat="1" x14ac:dyDescent="0.25">
      <c r="A1391" s="369">
        <v>44291</v>
      </c>
      <c r="B1391" s="340">
        <f>+MONTH(A1391)</f>
        <v>4</v>
      </c>
      <c r="C1391" s="347">
        <v>110</v>
      </c>
      <c r="D1391" s="340" t="str">
        <f>VLOOKUP(C1391,Plan!A$1:B$65542,2,0)</f>
        <v>Disponible Administración</v>
      </c>
      <c r="E1391" s="341">
        <f>+F1391-G1391</f>
        <v>25000</v>
      </c>
      <c r="F1391" s="396">
        <v>25000</v>
      </c>
      <c r="G1391" s="396">
        <v>0</v>
      </c>
      <c r="H1391" t="s">
        <v>1315</v>
      </c>
      <c r="I1391" s="347" t="s">
        <v>1303</v>
      </c>
      <c r="K1391" s="370"/>
      <c r="N1391" s="370"/>
    </row>
    <row r="1392" spans="1:14" s="347" customFormat="1" x14ac:dyDescent="0.25">
      <c r="A1392" s="369">
        <f>+A1391</f>
        <v>44291</v>
      </c>
      <c r="B1392" s="347">
        <f>+B1391</f>
        <v>4</v>
      </c>
      <c r="C1392" s="347">
        <v>3360</v>
      </c>
      <c r="D1392" s="340" t="str">
        <f>VLOOKUP(C1392,Plan!A$1:B$65542,2,0)</f>
        <v>Otros</v>
      </c>
      <c r="E1392" s="396">
        <f>-G1392</f>
        <v>-25000</v>
      </c>
      <c r="F1392" s="396">
        <v>0</v>
      </c>
      <c r="G1392" s="396">
        <f>+F1391</f>
        <v>25000</v>
      </c>
      <c r="H1392" s="347" t="str">
        <f>+H1391</f>
        <v>Curso Bibila Ana Maria Alvarez Toro</v>
      </c>
      <c r="I1392" s="347" t="s">
        <v>1303</v>
      </c>
      <c r="K1392" s="370"/>
      <c r="N1392" s="370"/>
    </row>
    <row r="1393" spans="1:14" s="347" customFormat="1" x14ac:dyDescent="0.25">
      <c r="A1393" s="369"/>
      <c r="E1393" s="396"/>
      <c r="F1393" s="396"/>
      <c r="G1393" s="396"/>
      <c r="K1393" s="370"/>
      <c r="N1393" s="370"/>
    </row>
    <row r="1394" spans="1:14" s="347" customFormat="1" x14ac:dyDescent="0.25">
      <c r="A1394" s="369">
        <v>44291</v>
      </c>
      <c r="B1394" s="340">
        <f>+MONTH(A1394)</f>
        <v>4</v>
      </c>
      <c r="C1394" s="347">
        <v>110</v>
      </c>
      <c r="D1394" s="340" t="str">
        <f>VLOOKUP(C1394,Plan!A$1:B$65542,2,0)</f>
        <v>Disponible Administración</v>
      </c>
      <c r="E1394" s="341">
        <f>+F1394-G1394</f>
        <v>25000</v>
      </c>
      <c r="F1394" s="396">
        <v>25000</v>
      </c>
      <c r="G1394" s="396">
        <v>0</v>
      </c>
      <c r="H1394" t="s">
        <v>931</v>
      </c>
      <c r="I1394" s="347" t="s">
        <v>1303</v>
      </c>
      <c r="K1394" s="370"/>
      <c r="N1394" s="370"/>
    </row>
    <row r="1395" spans="1:14" s="347" customFormat="1" x14ac:dyDescent="0.25">
      <c r="A1395" s="369">
        <f>+A1394</f>
        <v>44291</v>
      </c>
      <c r="B1395" s="347">
        <f>+B1394</f>
        <v>4</v>
      </c>
      <c r="C1395" s="347">
        <v>3110</v>
      </c>
      <c r="D1395" s="340" t="str">
        <f>VLOOKUP(C1395,Plan!A$1:B$65542,2,0)</f>
        <v>Colectas Normales</v>
      </c>
      <c r="E1395" s="396">
        <f>-G1395</f>
        <v>-25000</v>
      </c>
      <c r="F1395" s="396">
        <v>0</v>
      </c>
      <c r="G1395" s="396">
        <f>+F1394</f>
        <v>25000</v>
      </c>
      <c r="H1395" s="347" t="str">
        <f>+H1394</f>
        <v>Colecta Eduardo Calvimontes Candia</v>
      </c>
      <c r="I1395" s="347" t="s">
        <v>1303</v>
      </c>
      <c r="K1395" s="370"/>
      <c r="N1395" s="370"/>
    </row>
    <row r="1396" spans="1:14" s="347" customFormat="1" x14ac:dyDescent="0.25">
      <c r="A1396" s="369"/>
      <c r="E1396" s="396"/>
      <c r="F1396" s="396"/>
      <c r="G1396" s="396"/>
      <c r="K1396" s="370"/>
      <c r="N1396" s="370"/>
    </row>
    <row r="1397" spans="1:14" s="347" customFormat="1" x14ac:dyDescent="0.25">
      <c r="A1397" s="369">
        <v>44291</v>
      </c>
      <c r="B1397" s="340">
        <f>+MONTH(A1397)</f>
        <v>4</v>
      </c>
      <c r="C1397" s="347">
        <v>110</v>
      </c>
      <c r="D1397" s="340" t="str">
        <f>VLOOKUP(C1397,Plan!A$1:B$65542,2,0)</f>
        <v>Disponible Administración</v>
      </c>
      <c r="E1397" s="341">
        <f>+F1397-G1397</f>
        <v>20000</v>
      </c>
      <c r="F1397" s="396">
        <v>20000</v>
      </c>
      <c r="G1397" s="396">
        <v>0</v>
      </c>
      <c r="H1397" t="s">
        <v>1316</v>
      </c>
      <c r="I1397" s="347" t="s">
        <v>1303</v>
      </c>
      <c r="K1397" s="370"/>
      <c r="N1397" s="370"/>
    </row>
    <row r="1398" spans="1:14" s="347" customFormat="1" x14ac:dyDescent="0.25">
      <c r="A1398" s="369">
        <f>+A1397</f>
        <v>44291</v>
      </c>
      <c r="B1398" s="347">
        <f>+B1397</f>
        <v>4</v>
      </c>
      <c r="C1398" s="347">
        <v>215</v>
      </c>
      <c r="D1398" s="340" t="str">
        <f>VLOOKUP(C1398,Plan!A$1:B$65542,2,0)</f>
        <v>Cuenta por Pagar a Cali</v>
      </c>
      <c r="E1398" s="396">
        <f>-G1398</f>
        <v>-20000</v>
      </c>
      <c r="F1398" s="396">
        <v>0</v>
      </c>
      <c r="G1398" s="396">
        <f>+F1397</f>
        <v>20000</v>
      </c>
      <c r="H1398" s="347" t="str">
        <f>+H1397</f>
        <v>Eduardo Calvimontes Candia / azul</v>
      </c>
      <c r="I1398" s="347" t="s">
        <v>1303</v>
      </c>
      <c r="K1398" s="370"/>
      <c r="N1398" s="370"/>
    </row>
    <row r="1399" spans="1:14" s="347" customFormat="1" x14ac:dyDescent="0.25">
      <c r="A1399" s="369"/>
      <c r="E1399" s="396"/>
      <c r="F1399" s="396"/>
      <c r="G1399" s="396"/>
      <c r="K1399" s="370"/>
      <c r="N1399" s="370"/>
    </row>
    <row r="1400" spans="1:14" s="347" customFormat="1" x14ac:dyDescent="0.25">
      <c r="A1400" s="369">
        <v>44291</v>
      </c>
      <c r="B1400" s="340">
        <f>+MONTH(A1400)</f>
        <v>4</v>
      </c>
      <c r="C1400" s="347">
        <v>110</v>
      </c>
      <c r="D1400" s="340" t="str">
        <f>VLOOKUP(C1400,Plan!A$1:B$65542,2,0)</f>
        <v>Disponible Administración</v>
      </c>
      <c r="E1400" s="341">
        <f>+F1400-G1400</f>
        <v>10000</v>
      </c>
      <c r="F1400" s="396">
        <v>10000</v>
      </c>
      <c r="G1400" s="396">
        <v>0</v>
      </c>
      <c r="H1400" t="s">
        <v>1317</v>
      </c>
      <c r="I1400" s="347" t="s">
        <v>1303</v>
      </c>
      <c r="K1400" s="370"/>
      <c r="N1400" s="370"/>
    </row>
    <row r="1401" spans="1:14" s="347" customFormat="1" x14ac:dyDescent="0.25">
      <c r="A1401" s="369">
        <f>+A1400</f>
        <v>44291</v>
      </c>
      <c r="B1401" s="347">
        <f>+B1400</f>
        <v>4</v>
      </c>
      <c r="C1401" s="347">
        <v>3340</v>
      </c>
      <c r="D1401" s="340" t="str">
        <f>VLOOKUP(C1401,Plan!A$1:B$65542,2,0)</f>
        <v>Misas</v>
      </c>
      <c r="E1401" s="396">
        <f>-G1401</f>
        <v>-10000</v>
      </c>
      <c r="F1401" s="396">
        <v>0</v>
      </c>
      <c r="G1401" s="396">
        <f>+F1400</f>
        <v>10000</v>
      </c>
      <c r="H1401" s="347" t="str">
        <f>+H1400</f>
        <v>Misa Andrea Aguilera</v>
      </c>
      <c r="I1401" s="347" t="s">
        <v>1303</v>
      </c>
      <c r="K1401" s="370"/>
      <c r="N1401" s="370"/>
    </row>
    <row r="1402" spans="1:14" s="347" customFormat="1" x14ac:dyDescent="0.25">
      <c r="A1402" s="369"/>
      <c r="E1402" s="396"/>
      <c r="F1402" s="396"/>
      <c r="G1402" s="396"/>
      <c r="K1402" s="370"/>
      <c r="N1402" s="370"/>
    </row>
    <row r="1403" spans="1:14" s="347" customFormat="1" x14ac:dyDescent="0.25">
      <c r="A1403" s="369">
        <v>44291</v>
      </c>
      <c r="B1403" s="340">
        <f>+MONTH(A1403)</f>
        <v>4</v>
      </c>
      <c r="C1403" s="347">
        <v>110</v>
      </c>
      <c r="D1403" s="340" t="str">
        <f>VLOOKUP(C1403,Plan!A$1:B$65542,2,0)</f>
        <v>Disponible Administración</v>
      </c>
      <c r="E1403" s="341">
        <f>+F1403-G1403</f>
        <v>2000</v>
      </c>
      <c r="F1403" s="396">
        <v>2000</v>
      </c>
      <c r="G1403" s="396">
        <v>0</v>
      </c>
      <c r="H1403" t="s">
        <v>911</v>
      </c>
      <c r="I1403" s="347" t="s">
        <v>1303</v>
      </c>
      <c r="K1403" s="370"/>
      <c r="N1403" s="370"/>
    </row>
    <row r="1404" spans="1:14" s="347" customFormat="1" x14ac:dyDescent="0.25">
      <c r="A1404" s="369">
        <f>+A1403</f>
        <v>44291</v>
      </c>
      <c r="B1404" s="347">
        <f>+B1403</f>
        <v>4</v>
      </c>
      <c r="C1404" s="347">
        <v>3110</v>
      </c>
      <c r="D1404" s="340" t="str">
        <f>VLOOKUP(C1404,Plan!A$1:B$65542,2,0)</f>
        <v>Colectas Normales</v>
      </c>
      <c r="E1404" s="396">
        <f>-G1404</f>
        <v>-2000</v>
      </c>
      <c r="F1404" s="396">
        <v>0</v>
      </c>
      <c r="G1404" s="396">
        <f>+F1403</f>
        <v>2000</v>
      </c>
      <c r="H1404" s="347" t="str">
        <f>+H1403</f>
        <v>Colecta Andres Vial Infante</v>
      </c>
      <c r="I1404" s="347" t="s">
        <v>1303</v>
      </c>
      <c r="K1404" s="370"/>
      <c r="N1404" s="370"/>
    </row>
    <row r="1405" spans="1:14" s="347" customFormat="1" x14ac:dyDescent="0.25">
      <c r="A1405" s="369"/>
      <c r="E1405" s="396"/>
      <c r="F1405" s="396"/>
      <c r="G1405" s="396"/>
      <c r="K1405" s="370"/>
      <c r="N1405" s="370"/>
    </row>
    <row r="1406" spans="1:14" s="347" customFormat="1" x14ac:dyDescent="0.25">
      <c r="A1406" s="369">
        <v>44291</v>
      </c>
      <c r="B1406" s="340">
        <f>+MONTH(A1406)</f>
        <v>4</v>
      </c>
      <c r="C1406" s="347">
        <v>110</v>
      </c>
      <c r="D1406" s="340" t="str">
        <f>VLOOKUP(C1406,Plan!A$1:B$65542,2,0)</f>
        <v>Disponible Administración</v>
      </c>
      <c r="E1406" s="341">
        <f>+F1406-G1406</f>
        <v>2000</v>
      </c>
      <c r="F1406" s="396">
        <v>2000</v>
      </c>
      <c r="G1406" s="396">
        <v>0</v>
      </c>
      <c r="H1406" t="s">
        <v>1216</v>
      </c>
      <c r="I1406" s="347" t="s">
        <v>1303</v>
      </c>
      <c r="K1406" s="370"/>
      <c r="N1406" s="370"/>
    </row>
    <row r="1407" spans="1:14" s="347" customFormat="1" x14ac:dyDescent="0.25">
      <c r="A1407" s="369">
        <f>+A1406</f>
        <v>44291</v>
      </c>
      <c r="B1407" s="347">
        <f>+B1406</f>
        <v>4</v>
      </c>
      <c r="C1407" s="347">
        <v>3110</v>
      </c>
      <c r="D1407" s="340" t="str">
        <f>VLOOKUP(C1407,Plan!A$1:B$65542,2,0)</f>
        <v>Colectas Normales</v>
      </c>
      <c r="E1407" s="396">
        <f>-G1407</f>
        <v>-2000</v>
      </c>
      <c r="F1407" s="396">
        <v>0</v>
      </c>
      <c r="G1407" s="396">
        <f>+F1406</f>
        <v>2000</v>
      </c>
      <c r="H1407" s="347" t="str">
        <f>+H1406</f>
        <v>Colecta Trinidad Barriga Cruzat</v>
      </c>
      <c r="I1407" s="347" t="s">
        <v>1303</v>
      </c>
      <c r="K1407" s="370"/>
      <c r="N1407" s="370"/>
    </row>
    <row r="1408" spans="1:14" s="347" customFormat="1" x14ac:dyDescent="0.25">
      <c r="A1408" s="369"/>
      <c r="E1408" s="396"/>
      <c r="F1408" s="396"/>
      <c r="G1408" s="396"/>
      <c r="K1408" s="370"/>
      <c r="N1408" s="370"/>
    </row>
    <row r="1409" spans="1:14" s="347" customFormat="1" x14ac:dyDescent="0.25">
      <c r="A1409" s="369">
        <v>44291</v>
      </c>
      <c r="B1409" s="340">
        <f>+MONTH(A1409)</f>
        <v>4</v>
      </c>
      <c r="C1409" s="347">
        <v>110</v>
      </c>
      <c r="D1409" s="340" t="str">
        <f>VLOOKUP(C1409,Plan!A$1:B$65542,2,0)</f>
        <v>Disponible Administración</v>
      </c>
      <c r="E1409" s="341">
        <f>+F1409-G1409</f>
        <v>10000</v>
      </c>
      <c r="F1409" s="396">
        <v>10000</v>
      </c>
      <c r="G1409" s="396">
        <v>0</v>
      </c>
      <c r="H1409" t="s">
        <v>1179</v>
      </c>
      <c r="I1409" s="347" t="s">
        <v>1303</v>
      </c>
      <c r="K1409" s="370"/>
      <c r="N1409" s="370"/>
    </row>
    <row r="1410" spans="1:14" s="347" customFormat="1" x14ac:dyDescent="0.25">
      <c r="A1410" s="369">
        <f>+A1409</f>
        <v>44291</v>
      </c>
      <c r="B1410" s="347">
        <f>+B1409</f>
        <v>4</v>
      </c>
      <c r="C1410" s="347">
        <v>3110</v>
      </c>
      <c r="D1410" s="340" t="str">
        <f>VLOOKUP(C1410,Plan!A$1:B$65542,2,0)</f>
        <v>Colectas Normales</v>
      </c>
      <c r="E1410" s="396">
        <f>-G1410</f>
        <v>-10000</v>
      </c>
      <c r="F1410" s="396">
        <v>0</v>
      </c>
      <c r="G1410" s="396">
        <f>+F1409</f>
        <v>10000</v>
      </c>
      <c r="H1410" s="347" t="str">
        <f>+H1409</f>
        <v>Colecta Carmen Gloria Rivas Varas</v>
      </c>
      <c r="I1410" s="347" t="s">
        <v>1303</v>
      </c>
      <c r="K1410" s="370"/>
      <c r="N1410" s="370"/>
    </row>
    <row r="1411" spans="1:14" s="347" customFormat="1" x14ac:dyDescent="0.25">
      <c r="A1411" s="369"/>
      <c r="E1411" s="396"/>
      <c r="F1411" s="396"/>
      <c r="G1411" s="396"/>
      <c r="K1411" s="370"/>
      <c r="N1411" s="370"/>
    </row>
    <row r="1412" spans="1:14" s="347" customFormat="1" x14ac:dyDescent="0.25">
      <c r="A1412" s="369">
        <v>44291</v>
      </c>
      <c r="B1412" s="340">
        <f>+MONTH(A1412)</f>
        <v>4</v>
      </c>
      <c r="C1412" s="347">
        <v>110</v>
      </c>
      <c r="D1412" s="340" t="str">
        <f>VLOOKUP(C1412,Plan!A$1:B$65542,2,0)</f>
        <v>Disponible Administración</v>
      </c>
      <c r="E1412" s="341">
        <f>+F1412-G1412</f>
        <v>5000</v>
      </c>
      <c r="F1412" s="396">
        <v>5000</v>
      </c>
      <c r="G1412" s="396">
        <v>0</v>
      </c>
      <c r="H1412" t="s">
        <v>1151</v>
      </c>
      <c r="I1412" s="347" t="s">
        <v>1303</v>
      </c>
      <c r="K1412" s="370"/>
      <c r="N1412" s="370"/>
    </row>
    <row r="1413" spans="1:14" s="347" customFormat="1" x14ac:dyDescent="0.25">
      <c r="A1413" s="369">
        <f>+A1412</f>
        <v>44291</v>
      </c>
      <c r="B1413" s="347">
        <f>+B1412</f>
        <v>4</v>
      </c>
      <c r="C1413" s="347">
        <v>3110</v>
      </c>
      <c r="D1413" s="340" t="str">
        <f>VLOOKUP(C1413,Plan!A$1:B$65542,2,0)</f>
        <v>Colectas Normales</v>
      </c>
      <c r="E1413" s="396">
        <f>-G1413</f>
        <v>-5000</v>
      </c>
      <c r="F1413" s="396">
        <v>0</v>
      </c>
      <c r="G1413" s="396">
        <f>+F1412</f>
        <v>5000</v>
      </c>
      <c r="H1413" s="347" t="str">
        <f>+H1412</f>
        <v>Colecta Eduardo Boys M</v>
      </c>
      <c r="I1413" s="347" t="s">
        <v>1303</v>
      </c>
      <c r="K1413" s="370"/>
      <c r="N1413" s="370"/>
    </row>
    <row r="1414" spans="1:14" s="347" customFormat="1" x14ac:dyDescent="0.25">
      <c r="A1414" s="369"/>
      <c r="E1414" s="396"/>
      <c r="F1414" s="396"/>
      <c r="G1414" s="396"/>
      <c r="K1414" s="370"/>
      <c r="N1414" s="370"/>
    </row>
    <row r="1415" spans="1:14" s="347" customFormat="1" x14ac:dyDescent="0.25">
      <c r="A1415" s="369">
        <v>44291</v>
      </c>
      <c r="B1415" s="340">
        <f>+MONTH(A1415)</f>
        <v>4</v>
      </c>
      <c r="C1415" s="347">
        <v>110</v>
      </c>
      <c r="D1415" s="340" t="str">
        <f>VLOOKUP(C1415,Plan!A$1:B$65542,2,0)</f>
        <v>Disponible Administración</v>
      </c>
      <c r="E1415" s="341">
        <f>+F1415-G1415</f>
        <v>12000</v>
      </c>
      <c r="F1415" s="396">
        <v>12000</v>
      </c>
      <c r="G1415" s="396">
        <v>0</v>
      </c>
      <c r="H1415" t="s">
        <v>1318</v>
      </c>
      <c r="I1415" s="347" t="s">
        <v>1303</v>
      </c>
      <c r="K1415" s="370"/>
      <c r="N1415" s="370"/>
    </row>
    <row r="1416" spans="1:14" s="347" customFormat="1" x14ac:dyDescent="0.25">
      <c r="A1416" s="369">
        <f>+A1415</f>
        <v>44291</v>
      </c>
      <c r="B1416" s="347">
        <f>+B1415</f>
        <v>4</v>
      </c>
      <c r="C1416" s="347">
        <v>3110</v>
      </c>
      <c r="D1416" s="340" t="str">
        <f>VLOOKUP(C1416,Plan!A$1:B$65542,2,0)</f>
        <v>Colectas Normales</v>
      </c>
      <c r="E1416" s="396">
        <f>-G1416</f>
        <v>-12000</v>
      </c>
      <c r="F1416" s="396">
        <v>0</v>
      </c>
      <c r="G1416" s="396">
        <f>+F1415</f>
        <v>12000</v>
      </c>
      <c r="H1416" s="347" t="str">
        <f>+H1415</f>
        <v>Colecta Jaime Andres Court Viviani</v>
      </c>
      <c r="I1416" s="347" t="s">
        <v>1303</v>
      </c>
      <c r="K1416" s="370"/>
      <c r="N1416" s="370"/>
    </row>
    <row r="1417" spans="1:14" s="347" customFormat="1" x14ac:dyDescent="0.25">
      <c r="A1417" s="369"/>
      <c r="E1417" s="396"/>
      <c r="F1417" s="396"/>
      <c r="G1417" s="396"/>
      <c r="K1417" s="370"/>
      <c r="N1417" s="370"/>
    </row>
    <row r="1418" spans="1:14" s="347" customFormat="1" x14ac:dyDescent="0.25">
      <c r="A1418" s="369">
        <v>44291</v>
      </c>
      <c r="B1418" s="340">
        <f>+MONTH(A1418)</f>
        <v>4</v>
      </c>
      <c r="C1418" s="347">
        <v>110</v>
      </c>
      <c r="D1418" s="340" t="str">
        <f>VLOOKUP(C1418,Plan!A$1:B$65542,2,0)</f>
        <v>Disponible Administración</v>
      </c>
      <c r="E1418" s="341">
        <f>+F1418-G1418</f>
        <v>30000</v>
      </c>
      <c r="F1418" s="396">
        <v>30000</v>
      </c>
      <c r="G1418" s="396">
        <v>0</v>
      </c>
      <c r="H1418" t="s">
        <v>1319</v>
      </c>
      <c r="I1418" s="347" t="s">
        <v>1303</v>
      </c>
      <c r="K1418" s="370"/>
      <c r="N1418" s="370"/>
    </row>
    <row r="1419" spans="1:14" s="347" customFormat="1" x14ac:dyDescent="0.25">
      <c r="A1419" s="369">
        <f>+A1418</f>
        <v>44291</v>
      </c>
      <c r="B1419" s="347">
        <f>+B1418</f>
        <v>4</v>
      </c>
      <c r="C1419" s="347">
        <v>215</v>
      </c>
      <c r="D1419" s="340" t="str">
        <f>VLOOKUP(C1419,Plan!A$1:B$65542,2,0)</f>
        <v>Cuenta por Pagar a Cali</v>
      </c>
      <c r="E1419" s="396">
        <f>-G1419</f>
        <v>-30000</v>
      </c>
      <c r="F1419" s="396">
        <v>0</v>
      </c>
      <c r="G1419" s="396">
        <f>+F1418</f>
        <v>30000</v>
      </c>
      <c r="H1419" s="347" t="str">
        <f>+H1418</f>
        <v>Jaime Andres Court Viviani /249</v>
      </c>
      <c r="I1419" s="347" t="s">
        <v>1303</v>
      </c>
      <c r="K1419" s="370"/>
      <c r="N1419" s="370"/>
    </row>
    <row r="1420" spans="1:14" s="347" customFormat="1" x14ac:dyDescent="0.25">
      <c r="A1420" s="369"/>
      <c r="E1420" s="396"/>
      <c r="F1420" s="396"/>
      <c r="G1420" s="396"/>
      <c r="K1420" s="370"/>
      <c r="N1420" s="370"/>
    </row>
    <row r="1421" spans="1:14" s="347" customFormat="1" x14ac:dyDescent="0.25">
      <c r="A1421" s="369">
        <v>44291</v>
      </c>
      <c r="B1421" s="340">
        <f>+MONTH(A1421)</f>
        <v>4</v>
      </c>
      <c r="C1421" s="347">
        <v>110</v>
      </c>
      <c r="D1421" s="340" t="str">
        <f>VLOOKUP(C1421,Plan!A$1:B$65542,2,0)</f>
        <v>Disponible Administración</v>
      </c>
      <c r="E1421" s="341">
        <f>+F1421-G1421</f>
        <v>12000</v>
      </c>
      <c r="F1421" s="396">
        <v>12000</v>
      </c>
      <c r="G1421" s="396">
        <v>0</v>
      </c>
      <c r="H1421" t="s">
        <v>889</v>
      </c>
      <c r="I1421" s="347" t="s">
        <v>1303</v>
      </c>
      <c r="K1421" s="370"/>
      <c r="N1421" s="370"/>
    </row>
    <row r="1422" spans="1:14" s="347" customFormat="1" x14ac:dyDescent="0.25">
      <c r="A1422" s="369">
        <f>+A1421</f>
        <v>44291</v>
      </c>
      <c r="B1422" s="347">
        <f>+B1421</f>
        <v>4</v>
      </c>
      <c r="C1422" s="347">
        <v>3110</v>
      </c>
      <c r="D1422" s="340" t="str">
        <f>VLOOKUP(C1422,Plan!A$1:B$65542,2,0)</f>
        <v>Colectas Normales</v>
      </c>
      <c r="E1422" s="396">
        <f>-G1422</f>
        <v>-12000</v>
      </c>
      <c r="F1422" s="396">
        <v>0</v>
      </c>
      <c r="G1422" s="396">
        <f>+F1421</f>
        <v>12000</v>
      </c>
      <c r="H1422" s="347" t="str">
        <f>+H1421</f>
        <v>Colecta Keryma Felmer Echeverria</v>
      </c>
      <c r="I1422" s="347" t="s">
        <v>1303</v>
      </c>
      <c r="K1422" s="370"/>
      <c r="N1422" s="370"/>
    </row>
    <row r="1423" spans="1:14" s="347" customFormat="1" x14ac:dyDescent="0.25">
      <c r="A1423" s="369"/>
      <c r="E1423" s="396"/>
      <c r="F1423" s="396"/>
      <c r="G1423" s="396"/>
      <c r="K1423" s="370"/>
      <c r="N1423" s="370"/>
    </row>
    <row r="1424" spans="1:14" s="347" customFormat="1" x14ac:dyDescent="0.25">
      <c r="A1424" s="369">
        <v>44292</v>
      </c>
      <c r="B1424" s="340">
        <f>+MONTH(A1424)</f>
        <v>4</v>
      </c>
      <c r="C1424" s="347">
        <v>110</v>
      </c>
      <c r="D1424" s="340" t="str">
        <f>VLOOKUP(C1424,Plan!A$1:B$65542,2,0)</f>
        <v>Disponible Administración</v>
      </c>
      <c r="E1424" s="341">
        <f>+F1424-G1424</f>
        <v>50000</v>
      </c>
      <c r="F1424" s="396">
        <v>50000</v>
      </c>
      <c r="G1424" s="396">
        <v>0</v>
      </c>
      <c r="H1424" t="s">
        <v>1320</v>
      </c>
      <c r="I1424" s="347" t="s">
        <v>1303</v>
      </c>
      <c r="K1424" s="370"/>
      <c r="N1424" s="370"/>
    </row>
    <row r="1425" spans="1:14" s="347" customFormat="1" x14ac:dyDescent="0.25">
      <c r="A1425" s="369">
        <f>+A1424</f>
        <v>44292</v>
      </c>
      <c r="B1425" s="347">
        <f>+B1424</f>
        <v>4</v>
      </c>
      <c r="C1425" s="347">
        <v>3110</v>
      </c>
      <c r="D1425" s="340" t="str">
        <f>VLOOKUP(C1425,Plan!A$1:B$65542,2,0)</f>
        <v>Colectas Normales</v>
      </c>
      <c r="E1425" s="396">
        <f>-G1425</f>
        <v>-50000</v>
      </c>
      <c r="F1425" s="396">
        <v>0</v>
      </c>
      <c r="G1425" s="396">
        <f>+F1424</f>
        <v>50000</v>
      </c>
      <c r="H1425" s="347" t="str">
        <f>+H1424</f>
        <v>Colecta Maria Catalina Vera Atri</v>
      </c>
      <c r="I1425" s="347" t="s">
        <v>1303</v>
      </c>
      <c r="K1425" s="370"/>
      <c r="N1425" s="370"/>
    </row>
    <row r="1426" spans="1:14" s="347" customFormat="1" x14ac:dyDescent="0.25">
      <c r="A1426" s="369"/>
      <c r="E1426" s="396"/>
      <c r="F1426" s="396"/>
      <c r="G1426" s="396"/>
      <c r="K1426" s="370"/>
      <c r="N1426" s="370"/>
    </row>
    <row r="1427" spans="1:14" s="347" customFormat="1" x14ac:dyDescent="0.25">
      <c r="A1427" s="369">
        <v>44292</v>
      </c>
      <c r="B1427" s="340">
        <f>+MONTH(A1427)</f>
        <v>4</v>
      </c>
      <c r="C1427" s="347">
        <v>110</v>
      </c>
      <c r="D1427" s="340" t="str">
        <f>VLOOKUP(C1427,Plan!A$1:B$65542,2,0)</f>
        <v>Disponible Administración</v>
      </c>
      <c r="E1427" s="341">
        <f>+F1427-G1427</f>
        <v>60000</v>
      </c>
      <c r="F1427" s="396">
        <v>60000</v>
      </c>
      <c r="G1427" s="396">
        <v>0</v>
      </c>
      <c r="H1427" t="s">
        <v>892</v>
      </c>
      <c r="I1427" s="347" t="s">
        <v>1303</v>
      </c>
      <c r="K1427" s="370"/>
      <c r="N1427" s="370"/>
    </row>
    <row r="1428" spans="1:14" s="347" customFormat="1" x14ac:dyDescent="0.25">
      <c r="A1428" s="369">
        <f>+A1427</f>
        <v>44292</v>
      </c>
      <c r="B1428" s="347">
        <f>+B1427</f>
        <v>4</v>
      </c>
      <c r="C1428" s="347">
        <v>3110</v>
      </c>
      <c r="D1428" s="340" t="str">
        <f>VLOOKUP(C1428,Plan!A$1:B$65542,2,0)</f>
        <v>Colectas Normales</v>
      </c>
      <c r="E1428" s="396">
        <f>-G1428</f>
        <v>-60000</v>
      </c>
      <c r="F1428" s="396">
        <v>0</v>
      </c>
      <c r="G1428" s="396">
        <f>+F1427</f>
        <v>60000</v>
      </c>
      <c r="H1428" s="347" t="str">
        <f>+H1427</f>
        <v>Colecta SERVICIOS E INVERSIONES VARIOS SPA</v>
      </c>
      <c r="I1428" s="347" t="s">
        <v>1303</v>
      </c>
      <c r="K1428" s="370"/>
      <c r="N1428" s="370"/>
    </row>
    <row r="1429" spans="1:14" s="347" customFormat="1" x14ac:dyDescent="0.25">
      <c r="A1429" s="369"/>
      <c r="E1429" s="396"/>
      <c r="F1429" s="396"/>
      <c r="G1429" s="396"/>
      <c r="K1429" s="370"/>
      <c r="N1429" s="370"/>
    </row>
    <row r="1430" spans="1:14" s="347" customFormat="1" x14ac:dyDescent="0.25">
      <c r="A1430" s="369">
        <v>44292</v>
      </c>
      <c r="B1430" s="340">
        <f>+MONTH(A1430)</f>
        <v>4</v>
      </c>
      <c r="C1430" s="347">
        <v>110</v>
      </c>
      <c r="D1430" s="340" t="str">
        <f>VLOOKUP(C1430,Plan!A$1:B$65542,2,0)</f>
        <v>Disponible Administración</v>
      </c>
      <c r="E1430" s="341">
        <f>+F1430-G1430</f>
        <v>100000</v>
      </c>
      <c r="F1430" s="396">
        <v>100000</v>
      </c>
      <c r="G1430" s="396">
        <v>0</v>
      </c>
      <c r="H1430" t="s">
        <v>1321</v>
      </c>
      <c r="I1430" s="347" t="s">
        <v>1303</v>
      </c>
      <c r="K1430" s="370"/>
      <c r="N1430" s="370"/>
    </row>
    <row r="1431" spans="1:14" s="347" customFormat="1" x14ac:dyDescent="0.25">
      <c r="A1431" s="369">
        <f>+A1430</f>
        <v>44292</v>
      </c>
      <c r="B1431" s="347">
        <f>+B1430</f>
        <v>4</v>
      </c>
      <c r="C1431" s="347">
        <v>3450</v>
      </c>
      <c r="D1431" s="340" t="str">
        <f>VLOOKUP(C1431,Plan!A$1:B$65542,2,0)</f>
        <v>Pastoral Social</v>
      </c>
      <c r="E1431" s="396">
        <f>-G1431</f>
        <v>-100000</v>
      </c>
      <c r="F1431" s="396">
        <v>0</v>
      </c>
      <c r="G1431" s="396">
        <f>+F1430</f>
        <v>100000</v>
      </c>
      <c r="H1431" s="347" t="str">
        <f>+H1430</f>
        <v>Canastas SERVICIOS E INVERSIONES VARIOS SPA</v>
      </c>
      <c r="I1431" s="347" t="s">
        <v>1303</v>
      </c>
      <c r="K1431" s="370"/>
      <c r="N1431" s="370"/>
    </row>
    <row r="1432" spans="1:14" s="347" customFormat="1" x14ac:dyDescent="0.25">
      <c r="A1432" s="369"/>
      <c r="E1432" s="396"/>
      <c r="F1432" s="396"/>
      <c r="G1432" s="396"/>
      <c r="K1432" s="370"/>
      <c r="N1432" s="370"/>
    </row>
    <row r="1433" spans="1:14" s="347" customFormat="1" x14ac:dyDescent="0.25">
      <c r="A1433" s="369">
        <v>44292</v>
      </c>
      <c r="B1433" s="340">
        <f>+MONTH(A1433)</f>
        <v>4</v>
      </c>
      <c r="C1433" s="347">
        <v>110</v>
      </c>
      <c r="D1433" s="340" t="str">
        <f>VLOOKUP(C1433,Plan!A$1:B$65542,2,0)</f>
        <v>Disponible Administración</v>
      </c>
      <c r="E1433" s="341">
        <f>+F1433-G1433</f>
        <v>5000</v>
      </c>
      <c r="F1433" s="396">
        <v>5000</v>
      </c>
      <c r="G1433" s="396">
        <v>0</v>
      </c>
      <c r="H1433" t="s">
        <v>1108</v>
      </c>
      <c r="I1433" s="347" t="s">
        <v>1303</v>
      </c>
      <c r="K1433" s="370"/>
      <c r="N1433" s="370"/>
    </row>
    <row r="1434" spans="1:14" s="347" customFormat="1" x14ac:dyDescent="0.25">
      <c r="A1434" s="369">
        <f>+A1433</f>
        <v>44292</v>
      </c>
      <c r="B1434" s="347">
        <f>+B1433</f>
        <v>4</v>
      </c>
      <c r="C1434" s="347">
        <v>3110</v>
      </c>
      <c r="D1434" s="340" t="str">
        <f>VLOOKUP(C1434,Plan!A$1:B$65542,2,0)</f>
        <v>Colectas Normales</v>
      </c>
      <c r="E1434" s="396">
        <f>-G1434</f>
        <v>-5000</v>
      </c>
      <c r="F1434" s="396">
        <v>0</v>
      </c>
      <c r="G1434" s="396">
        <f>+F1433</f>
        <v>5000</v>
      </c>
      <c r="H1434" s="347" t="str">
        <f>+H1433</f>
        <v>Colecta Ricardo Fernandez</v>
      </c>
      <c r="I1434" s="347" t="s">
        <v>1303</v>
      </c>
      <c r="K1434" s="370"/>
      <c r="N1434" s="370"/>
    </row>
    <row r="1435" spans="1:14" s="347" customFormat="1" x14ac:dyDescent="0.25">
      <c r="A1435" s="369"/>
      <c r="E1435" s="396"/>
      <c r="F1435" s="396"/>
      <c r="G1435" s="396"/>
      <c r="K1435" s="370"/>
      <c r="N1435" s="370"/>
    </row>
    <row r="1436" spans="1:14" s="347" customFormat="1" x14ac:dyDescent="0.25">
      <c r="A1436" s="369">
        <v>44292</v>
      </c>
      <c r="B1436" s="340">
        <f>+MONTH(A1436)</f>
        <v>4</v>
      </c>
      <c r="C1436" s="347">
        <v>110</v>
      </c>
      <c r="D1436" s="340" t="str">
        <f>VLOOKUP(C1436,Plan!A$1:B$65542,2,0)</f>
        <v>Disponible Administración</v>
      </c>
      <c r="E1436" s="341">
        <f>+F1436-G1436</f>
        <v>20000</v>
      </c>
      <c r="F1436" s="396">
        <v>20000</v>
      </c>
      <c r="G1436" s="396">
        <v>0</v>
      </c>
      <c r="H1436" t="s">
        <v>1322</v>
      </c>
      <c r="I1436" s="347" t="s">
        <v>1303</v>
      </c>
      <c r="K1436" s="370"/>
      <c r="N1436" s="370"/>
    </row>
    <row r="1437" spans="1:14" s="347" customFormat="1" x14ac:dyDescent="0.25">
      <c r="A1437" s="369">
        <f>+A1436</f>
        <v>44292</v>
      </c>
      <c r="B1437" s="347">
        <f>+B1436</f>
        <v>4</v>
      </c>
      <c r="C1437" s="347">
        <v>3110</v>
      </c>
      <c r="D1437" s="340" t="str">
        <f>VLOOKUP(C1437,Plan!A$1:B$65542,2,0)</f>
        <v>Colectas Normales</v>
      </c>
      <c r="E1437" s="396">
        <f>-G1437</f>
        <v>-20000</v>
      </c>
      <c r="F1437" s="396">
        <v>0</v>
      </c>
      <c r="G1437" s="396">
        <f>+F1436</f>
        <v>20000</v>
      </c>
      <c r="H1437" s="347" t="str">
        <f>+H1436</f>
        <v>Colecta Maria De la Luz Garces Larenas</v>
      </c>
      <c r="I1437" s="347" t="s">
        <v>1303</v>
      </c>
      <c r="K1437" s="370"/>
      <c r="N1437" s="370"/>
    </row>
    <row r="1438" spans="1:14" s="347" customFormat="1" x14ac:dyDescent="0.25">
      <c r="A1438" s="369"/>
      <c r="E1438" s="396"/>
      <c r="F1438" s="396"/>
      <c r="G1438" s="396"/>
      <c r="K1438" s="370"/>
      <c r="N1438" s="370"/>
    </row>
    <row r="1439" spans="1:14" s="347" customFormat="1" x14ac:dyDescent="0.25">
      <c r="A1439" s="369">
        <v>44292</v>
      </c>
      <c r="B1439" s="340">
        <f>+MONTH(A1439)</f>
        <v>4</v>
      </c>
      <c r="C1439" s="347">
        <v>110</v>
      </c>
      <c r="D1439" s="340" t="str">
        <f>VLOOKUP(C1439,Plan!A$1:B$65542,2,0)</f>
        <v>Disponible Administración</v>
      </c>
      <c r="E1439" s="341">
        <f>+F1439-G1439</f>
        <v>70000</v>
      </c>
      <c r="F1439" s="396">
        <v>70000</v>
      </c>
      <c r="G1439" s="396">
        <v>0</v>
      </c>
      <c r="H1439" t="s">
        <v>1323</v>
      </c>
      <c r="I1439" s="347" t="s">
        <v>1303</v>
      </c>
      <c r="K1439" s="370"/>
      <c r="N1439" s="370"/>
    </row>
    <row r="1440" spans="1:14" s="347" customFormat="1" x14ac:dyDescent="0.25">
      <c r="A1440" s="369">
        <f>+A1439</f>
        <v>44292</v>
      </c>
      <c r="B1440" s="347">
        <f>+B1439</f>
        <v>4</v>
      </c>
      <c r="C1440" s="347">
        <v>3110</v>
      </c>
      <c r="D1440" s="340" t="str">
        <f>VLOOKUP(C1440,Plan!A$1:B$65542,2,0)</f>
        <v>Colectas Normales</v>
      </c>
      <c r="E1440" s="396">
        <f>-G1440</f>
        <v>-70000</v>
      </c>
      <c r="F1440" s="396">
        <v>0</v>
      </c>
      <c r="G1440" s="396">
        <f>+F1439</f>
        <v>70000</v>
      </c>
      <c r="H1440" s="347" t="str">
        <f>+H1439</f>
        <v>Colecta Giorgo Sertsios</v>
      </c>
      <c r="I1440" s="347" t="s">
        <v>1303</v>
      </c>
      <c r="K1440" s="370"/>
      <c r="N1440" s="370"/>
    </row>
    <row r="1441" spans="1:14" s="347" customFormat="1" x14ac:dyDescent="0.25">
      <c r="A1441" s="369"/>
      <c r="E1441" s="396"/>
      <c r="F1441" s="396"/>
      <c r="G1441" s="396"/>
      <c r="K1441" s="370"/>
      <c r="N1441" s="370"/>
    </row>
    <row r="1442" spans="1:14" s="347" customFormat="1" x14ac:dyDescent="0.25">
      <c r="A1442" s="369">
        <v>44292</v>
      </c>
      <c r="B1442" s="340">
        <f>+MONTH(A1442)</f>
        <v>4</v>
      </c>
      <c r="C1442" s="347">
        <v>110</v>
      </c>
      <c r="D1442" s="340" t="str">
        <f>VLOOKUP(C1442,Plan!A$1:B$65542,2,0)</f>
        <v>Disponible Administración</v>
      </c>
      <c r="E1442" s="341">
        <f>+F1442-G1442</f>
        <v>15000</v>
      </c>
      <c r="F1442" s="396">
        <v>15000</v>
      </c>
      <c r="G1442" s="396">
        <v>0</v>
      </c>
      <c r="H1442" t="s">
        <v>1324</v>
      </c>
      <c r="I1442" s="347" t="s">
        <v>1303</v>
      </c>
      <c r="K1442" s="370"/>
      <c r="N1442" s="370"/>
    </row>
    <row r="1443" spans="1:14" s="347" customFormat="1" x14ac:dyDescent="0.25">
      <c r="A1443" s="369">
        <f>+A1442</f>
        <v>44292</v>
      </c>
      <c r="B1443" s="347">
        <f>+B1442</f>
        <v>4</v>
      </c>
      <c r="C1443" s="347">
        <v>3350</v>
      </c>
      <c r="D1443" s="340" t="str">
        <f>VLOOKUP(C1443,Plan!A$1:B$65542,2,0)</f>
        <v>Bautizos</v>
      </c>
      <c r="E1443" s="396">
        <f>-G1443</f>
        <v>-15000</v>
      </c>
      <c r="F1443" s="396">
        <v>0</v>
      </c>
      <c r="G1443" s="396">
        <f>+F1442</f>
        <v>15000</v>
      </c>
      <c r="H1443" s="347" t="str">
        <f>+H1442</f>
        <v>Bautizo Isidora Gutierrez</v>
      </c>
      <c r="I1443" s="347" t="s">
        <v>1303</v>
      </c>
      <c r="K1443" s="370"/>
      <c r="N1443" s="370"/>
    </row>
    <row r="1444" spans="1:14" s="347" customFormat="1" x14ac:dyDescent="0.25">
      <c r="A1444" s="369"/>
      <c r="E1444" s="396"/>
      <c r="F1444" s="396"/>
      <c r="G1444" s="396"/>
      <c r="K1444" s="370"/>
      <c r="N1444" s="370"/>
    </row>
    <row r="1445" spans="1:14" s="347" customFormat="1" x14ac:dyDescent="0.25">
      <c r="A1445" s="369">
        <v>44292</v>
      </c>
      <c r="B1445" s="340">
        <f>+MONTH(A1445)</f>
        <v>4</v>
      </c>
      <c r="C1445" s="347">
        <v>110</v>
      </c>
      <c r="D1445" s="340" t="str">
        <f>VLOOKUP(C1445,Plan!A$1:B$65542,2,0)</f>
        <v>Disponible Administración</v>
      </c>
      <c r="E1445" s="341">
        <f>+F1445-G1445</f>
        <v>14700</v>
      </c>
      <c r="F1445" s="396">
        <v>14700</v>
      </c>
      <c r="G1445" s="396">
        <v>0</v>
      </c>
      <c r="H1445" t="s">
        <v>1217</v>
      </c>
      <c r="I1445" s="347" t="s">
        <v>1303</v>
      </c>
      <c r="K1445" s="370"/>
      <c r="N1445" s="370"/>
    </row>
    <row r="1446" spans="1:14" s="347" customFormat="1" x14ac:dyDescent="0.25">
      <c r="A1446" s="369">
        <f>+A1445</f>
        <v>44292</v>
      </c>
      <c r="B1446" s="347">
        <f>+B1445</f>
        <v>4</v>
      </c>
      <c r="C1446" s="347">
        <v>3110</v>
      </c>
      <c r="D1446" s="340" t="str">
        <f>VLOOKUP(C1446,Plan!A$1:B$65542,2,0)</f>
        <v>Colectas Normales</v>
      </c>
      <c r="E1446" s="396">
        <f>-G1446</f>
        <v>-14700</v>
      </c>
      <c r="F1446" s="396">
        <v>0</v>
      </c>
      <c r="G1446" s="396">
        <f>+F1445</f>
        <v>14700</v>
      </c>
      <c r="H1446" s="347" t="str">
        <f>+H1445</f>
        <v>Colecta NN</v>
      </c>
      <c r="I1446" s="347" t="s">
        <v>1303</v>
      </c>
      <c r="K1446" s="370"/>
      <c r="N1446" s="370"/>
    </row>
    <row r="1447" spans="1:14" s="347" customFormat="1" x14ac:dyDescent="0.25">
      <c r="K1447" s="370"/>
      <c r="N1447" s="370"/>
    </row>
    <row r="1448" spans="1:14" s="347" customFormat="1" x14ac:dyDescent="0.25">
      <c r="A1448" s="369">
        <v>44292</v>
      </c>
      <c r="B1448" s="340">
        <f>+MONTH(A1448)</f>
        <v>4</v>
      </c>
      <c r="C1448" s="347">
        <v>110</v>
      </c>
      <c r="D1448" s="340" t="str">
        <f>VLOOKUP(C1448,Plan!A$1:B$65542,2,0)</f>
        <v>Disponible Administración</v>
      </c>
      <c r="E1448" s="341">
        <f>+F1448-G1448</f>
        <v>15000</v>
      </c>
      <c r="F1448" s="396">
        <v>15000</v>
      </c>
      <c r="G1448" s="396">
        <v>0</v>
      </c>
      <c r="H1448" t="s">
        <v>906</v>
      </c>
      <c r="I1448" s="347" t="s">
        <v>1303</v>
      </c>
      <c r="K1448" s="370"/>
      <c r="N1448" s="370"/>
    </row>
    <row r="1449" spans="1:14" s="347" customFormat="1" x14ac:dyDescent="0.25">
      <c r="A1449" s="369">
        <f>+A1448</f>
        <v>44292</v>
      </c>
      <c r="B1449" s="347">
        <f>+B1448</f>
        <v>4</v>
      </c>
      <c r="C1449" s="347">
        <v>3110</v>
      </c>
      <c r="D1449" s="340" t="str">
        <f>VLOOKUP(C1449,Plan!A$1:B$65542,2,0)</f>
        <v>Colectas Normales</v>
      </c>
      <c r="E1449" s="396">
        <f>-G1449</f>
        <v>-15000</v>
      </c>
      <c r="F1449" s="396">
        <v>0</v>
      </c>
      <c r="G1449" s="396">
        <f>+F1448</f>
        <v>15000</v>
      </c>
      <c r="H1449" s="347" t="str">
        <f>+H1448</f>
        <v>Colecta Carmen Barañao</v>
      </c>
      <c r="I1449" s="347" t="s">
        <v>1303</v>
      </c>
      <c r="K1449" s="370"/>
      <c r="N1449" s="370"/>
    </row>
    <row r="1450" spans="1:14" s="347" customFormat="1" x14ac:dyDescent="0.25">
      <c r="A1450" s="369"/>
      <c r="E1450" s="396"/>
      <c r="F1450" s="396"/>
      <c r="G1450" s="396"/>
      <c r="K1450" s="370"/>
      <c r="N1450" s="370"/>
    </row>
    <row r="1451" spans="1:14" s="347" customFormat="1" x14ac:dyDescent="0.25">
      <c r="A1451" s="369">
        <v>44293</v>
      </c>
      <c r="B1451" s="340">
        <f>+MONTH(A1451)</f>
        <v>4</v>
      </c>
      <c r="C1451" s="347">
        <v>4310</v>
      </c>
      <c r="D1451" s="340" t="str">
        <f>VLOOKUP(C1451,Plan!A$1:B$65542,2,0)</f>
        <v>Arriendos / Dividendos</v>
      </c>
      <c r="E1451" s="341">
        <f>+F1451-G1451</f>
        <v>802153</v>
      </c>
      <c r="F1451" s="396">
        <v>802153</v>
      </c>
      <c r="G1451" s="396">
        <v>0</v>
      </c>
      <c r="H1451" t="s">
        <v>1325</v>
      </c>
      <c r="I1451" s="347" t="s">
        <v>1303</v>
      </c>
      <c r="K1451" s="370"/>
      <c r="N1451" s="370"/>
    </row>
    <row r="1452" spans="1:14" s="347" customFormat="1" x14ac:dyDescent="0.25">
      <c r="A1452" s="369">
        <f>+A1451</f>
        <v>44293</v>
      </c>
      <c r="B1452" s="347">
        <f>+B1451</f>
        <v>4</v>
      </c>
      <c r="C1452" s="347">
        <v>110</v>
      </c>
      <c r="D1452" s="340" t="str">
        <f>VLOOKUP(C1452,Plan!A$1:B$65542,2,0)</f>
        <v>Disponible Administración</v>
      </c>
      <c r="E1452" s="396">
        <f>-G1452</f>
        <v>-802153</v>
      </c>
      <c r="F1452" s="396">
        <v>0</v>
      </c>
      <c r="G1452" s="396">
        <f>+F1451</f>
        <v>802153</v>
      </c>
      <c r="H1452" s="347" t="str">
        <f>+H1451</f>
        <v xml:space="preserve">Arriendo Abril 2021 Oficina </v>
      </c>
      <c r="I1452" s="347" t="s">
        <v>1303</v>
      </c>
      <c r="K1452" s="370"/>
      <c r="N1452" s="370"/>
    </row>
    <row r="1453" spans="1:14" s="347" customFormat="1" x14ac:dyDescent="0.25">
      <c r="A1453" s="369"/>
      <c r="E1453" s="396"/>
      <c r="F1453" s="396"/>
      <c r="G1453" s="396"/>
      <c r="K1453" s="370"/>
      <c r="N1453" s="370"/>
    </row>
    <row r="1454" spans="1:14" s="347" customFormat="1" x14ac:dyDescent="0.25">
      <c r="A1454" s="369">
        <v>44293</v>
      </c>
      <c r="B1454" s="340">
        <f>+MONTH(A1454)</f>
        <v>4</v>
      </c>
      <c r="C1454" s="347">
        <v>223</v>
      </c>
      <c r="D1454" s="340" t="str">
        <f>VLOOKUP(C1454,Plan!A$1:B$65542,2,0)</f>
        <v>Ret. Hon.  e Impto. Unico Administración</v>
      </c>
      <c r="E1454" s="341">
        <f>+F1454-G1454</f>
        <v>121760</v>
      </c>
      <c r="F1454" s="396">
        <v>121760</v>
      </c>
      <c r="G1454" s="396">
        <v>0</v>
      </c>
      <c r="H1454" t="s">
        <v>1326</v>
      </c>
      <c r="I1454" s="347" t="s">
        <v>1303</v>
      </c>
      <c r="K1454" s="370"/>
      <c r="N1454" s="370"/>
    </row>
    <row r="1455" spans="1:14" s="347" customFormat="1" x14ac:dyDescent="0.25">
      <c r="A1455" s="369">
        <f>+A1454</f>
        <v>44293</v>
      </c>
      <c r="B1455" s="347">
        <v>4</v>
      </c>
      <c r="C1455" s="347">
        <v>215</v>
      </c>
      <c r="D1455" s="340" t="str">
        <f>VLOOKUP(C1455,Plan!A$1:B$65542,2,0)</f>
        <v>Cuenta por Pagar a Cali</v>
      </c>
      <c r="E1455" s="341">
        <f>+F1455-G1455</f>
        <v>117035</v>
      </c>
      <c r="F1455" s="396">
        <f>+G1456-F1454</f>
        <v>117035</v>
      </c>
      <c r="G1455" s="396">
        <f>+F1453</f>
        <v>0</v>
      </c>
      <c r="H1455" s="347" t="str">
        <f>+H1454</f>
        <v>Impto. Ret Adm. Marzo /2021</v>
      </c>
      <c r="I1455" s="347" t="s">
        <v>1303</v>
      </c>
      <c r="K1455" s="370"/>
      <c r="N1455" s="370"/>
    </row>
    <row r="1456" spans="1:14" s="347" customFormat="1" x14ac:dyDescent="0.25">
      <c r="A1456" s="369">
        <f>+A1454</f>
        <v>44293</v>
      </c>
      <c r="B1456" s="347">
        <f>+B1454</f>
        <v>4</v>
      </c>
      <c r="C1456" s="347">
        <v>110</v>
      </c>
      <c r="D1456" s="340" t="str">
        <f>VLOOKUP(C1456,Plan!A$1:B$65542,2,0)</f>
        <v>Disponible Administración</v>
      </c>
      <c r="E1456" s="396">
        <f>-G1456</f>
        <v>-238795</v>
      </c>
      <c r="F1456" s="396">
        <v>0</v>
      </c>
      <c r="G1456" s="396">
        <v>238795</v>
      </c>
      <c r="H1456" s="347" t="str">
        <f>+H1454</f>
        <v>Impto. Ret Adm. Marzo /2021</v>
      </c>
      <c r="I1456" s="347" t="s">
        <v>1303</v>
      </c>
      <c r="K1456" s="370"/>
      <c r="N1456" s="370"/>
    </row>
    <row r="1457" spans="1:14" s="347" customFormat="1" x14ac:dyDescent="0.25">
      <c r="A1457" s="369"/>
      <c r="E1457" s="396"/>
      <c r="F1457" s="396"/>
      <c r="G1457" s="396"/>
      <c r="K1457" s="370"/>
      <c r="N1457" s="370"/>
    </row>
    <row r="1458" spans="1:14" s="347" customFormat="1" x14ac:dyDescent="0.25">
      <c r="A1458" s="369">
        <v>44293</v>
      </c>
      <c r="B1458" s="340">
        <f>+MONTH(A1458)</f>
        <v>4</v>
      </c>
      <c r="C1458" s="347">
        <v>224</v>
      </c>
      <c r="D1458" s="340" t="str">
        <f>VLOOKUP(C1458,Plan!A$1:B$65542,2,0)</f>
        <v>Cotizaciones por Pagar</v>
      </c>
      <c r="E1458" s="341">
        <f>+F1458-G1458</f>
        <v>410052</v>
      </c>
      <c r="F1458" s="396">
        <v>410052</v>
      </c>
      <c r="G1458" s="396">
        <v>0</v>
      </c>
      <c r="H1458" t="s">
        <v>1327</v>
      </c>
      <c r="I1458" s="347" t="s">
        <v>1303</v>
      </c>
      <c r="K1458" s="370"/>
      <c r="N1458" s="370"/>
    </row>
    <row r="1459" spans="1:14" s="347" customFormat="1" x14ac:dyDescent="0.25">
      <c r="A1459" s="369">
        <f>+A1458</f>
        <v>44293</v>
      </c>
      <c r="B1459" s="347">
        <f>+B1458</f>
        <v>4</v>
      </c>
      <c r="C1459" s="347">
        <v>110</v>
      </c>
      <c r="D1459" s="340" t="str">
        <f>VLOOKUP(C1459,Plan!A$1:B$65542,2,0)</f>
        <v>Disponible Administración</v>
      </c>
      <c r="E1459" s="396">
        <f>-G1459</f>
        <v>-410052</v>
      </c>
      <c r="F1459" s="396">
        <v>0</v>
      </c>
      <c r="G1459" s="396">
        <f>+F1458</f>
        <v>410052</v>
      </c>
      <c r="H1459" s="347" t="str">
        <f>+H1458</f>
        <v>Prevision EE. PSAH</v>
      </c>
      <c r="I1459" s="347" t="s">
        <v>1303</v>
      </c>
      <c r="K1459" s="370"/>
      <c r="N1459" s="370"/>
    </row>
    <row r="1460" spans="1:14" s="347" customFormat="1" x14ac:dyDescent="0.25">
      <c r="A1460" s="369"/>
      <c r="E1460" s="396"/>
      <c r="F1460" s="396"/>
      <c r="G1460" s="396"/>
      <c r="K1460" s="370"/>
      <c r="N1460" s="370"/>
    </row>
    <row r="1461" spans="1:14" s="347" customFormat="1" x14ac:dyDescent="0.25">
      <c r="A1461" s="369">
        <v>44293</v>
      </c>
      <c r="B1461" s="340">
        <f>+MONTH(A1461)</f>
        <v>4</v>
      </c>
      <c r="C1461" s="347">
        <v>224</v>
      </c>
      <c r="D1461" s="340" t="str">
        <f>VLOOKUP(C1461,Plan!A$1:B$65542,2,0)</f>
        <v>Cotizaciones por Pagar</v>
      </c>
      <c r="E1461" s="341">
        <f>+F1461-G1461</f>
        <v>174484</v>
      </c>
      <c r="F1461" s="396">
        <v>174484</v>
      </c>
      <c r="G1461" s="396">
        <v>0</v>
      </c>
      <c r="H1461" t="s">
        <v>1328</v>
      </c>
      <c r="I1461" s="347" t="s">
        <v>1303</v>
      </c>
      <c r="K1461" s="370"/>
      <c r="N1461" s="370"/>
    </row>
    <row r="1462" spans="1:14" s="347" customFormat="1" x14ac:dyDescent="0.25">
      <c r="A1462" s="369">
        <f>+A1461</f>
        <v>44293</v>
      </c>
      <c r="B1462" s="347">
        <f>+B1461</f>
        <v>4</v>
      </c>
      <c r="C1462" s="347">
        <v>110</v>
      </c>
      <c r="D1462" s="340" t="str">
        <f>VLOOKUP(C1462,Plan!A$1:B$65542,2,0)</f>
        <v>Disponible Administración</v>
      </c>
      <c r="E1462" s="396">
        <f>-G1462</f>
        <v>-174484</v>
      </c>
      <c r="F1462" s="396">
        <v>0</v>
      </c>
      <c r="G1462" s="396">
        <f>+F1461</f>
        <v>174484</v>
      </c>
      <c r="H1462" s="347" t="str">
        <f>+H1461</f>
        <v>Prevision EE. PSAH P. Pedro</v>
      </c>
      <c r="I1462" s="347" t="s">
        <v>1303</v>
      </c>
      <c r="K1462" s="370"/>
      <c r="N1462" s="370"/>
    </row>
    <row r="1463" spans="1:14" s="347" customFormat="1" x14ac:dyDescent="0.25">
      <c r="A1463" s="369"/>
      <c r="E1463" s="396"/>
      <c r="F1463" s="396"/>
      <c r="G1463" s="396"/>
      <c r="K1463" s="370"/>
      <c r="N1463" s="370"/>
    </row>
    <row r="1464" spans="1:14" s="347" customFormat="1" x14ac:dyDescent="0.25">
      <c r="A1464" s="369">
        <v>44293</v>
      </c>
      <c r="B1464" s="340">
        <f>+MONTH(A1464)</f>
        <v>4</v>
      </c>
      <c r="C1464" s="347">
        <v>110</v>
      </c>
      <c r="D1464" s="340" t="str">
        <f>VLOOKUP(C1464,Plan!A$1:B$65542,2,0)</f>
        <v>Disponible Administración</v>
      </c>
      <c r="E1464" s="341">
        <f>+F1464-G1464</f>
        <v>10000</v>
      </c>
      <c r="F1464" s="396">
        <v>10000</v>
      </c>
      <c r="G1464" s="396">
        <v>0</v>
      </c>
      <c r="H1464" s="156" t="s">
        <v>1817</v>
      </c>
      <c r="I1464" s="347" t="s">
        <v>1303</v>
      </c>
      <c r="K1464" s="370"/>
      <c r="N1464" s="370"/>
    </row>
    <row r="1465" spans="1:14" s="347" customFormat="1" x14ac:dyDescent="0.25">
      <c r="A1465" s="369">
        <f>+A1464</f>
        <v>44293</v>
      </c>
      <c r="B1465" s="347">
        <f>+B1464</f>
        <v>4</v>
      </c>
      <c r="C1465" s="347">
        <v>3340</v>
      </c>
      <c r="D1465" s="340" t="str">
        <f>VLOOKUP(C1465,Plan!A$1:B$65542,2,0)</f>
        <v>Misas</v>
      </c>
      <c r="E1465" s="396">
        <f>-G1465</f>
        <v>-10000</v>
      </c>
      <c r="F1465" s="396">
        <v>0</v>
      </c>
      <c r="G1465" s="396">
        <f>+F1464</f>
        <v>10000</v>
      </c>
      <c r="H1465" s="347" t="str">
        <f>+H1464</f>
        <v>Misa Christel Felmer Valdivielso</v>
      </c>
      <c r="I1465" s="347" t="s">
        <v>1303</v>
      </c>
      <c r="K1465" s="370"/>
      <c r="N1465" s="370"/>
    </row>
    <row r="1466" spans="1:14" s="347" customFormat="1" x14ac:dyDescent="0.25">
      <c r="A1466" s="369"/>
      <c r="E1466" s="396"/>
      <c r="F1466" s="396"/>
      <c r="G1466" s="396"/>
      <c r="K1466" s="370"/>
      <c r="N1466" s="370"/>
    </row>
    <row r="1467" spans="1:14" s="347" customFormat="1" x14ac:dyDescent="0.25">
      <c r="A1467" s="369">
        <v>44293</v>
      </c>
      <c r="B1467" s="340">
        <f>+MONTH(A1467)</f>
        <v>4</v>
      </c>
      <c r="C1467" s="347">
        <v>110</v>
      </c>
      <c r="D1467" s="340" t="str">
        <f>VLOOKUP(C1467,Plan!A$1:B$65542,2,0)</f>
        <v>Disponible Administración</v>
      </c>
      <c r="E1467" s="341">
        <f>+F1467-G1467</f>
        <v>40000</v>
      </c>
      <c r="F1467" s="396">
        <v>40000</v>
      </c>
      <c r="G1467" s="396">
        <v>0</v>
      </c>
      <c r="H1467" t="s">
        <v>912</v>
      </c>
      <c r="I1467" s="347" t="s">
        <v>1303</v>
      </c>
      <c r="K1467" s="370"/>
      <c r="N1467" s="370"/>
    </row>
    <row r="1468" spans="1:14" s="347" customFormat="1" x14ac:dyDescent="0.25">
      <c r="A1468" s="369">
        <f>+A1467</f>
        <v>44293</v>
      </c>
      <c r="B1468" s="347">
        <f>+B1467</f>
        <v>4</v>
      </c>
      <c r="C1468" s="347">
        <v>3110</v>
      </c>
      <c r="D1468" s="340" t="str">
        <f>VLOOKUP(C1468,Plan!A$1:B$65542,2,0)</f>
        <v>Colectas Normales</v>
      </c>
      <c r="E1468" s="396">
        <f>-G1468</f>
        <v>-40000</v>
      </c>
      <c r="F1468" s="396">
        <v>0</v>
      </c>
      <c r="G1468" s="396">
        <f>+F1467</f>
        <v>40000</v>
      </c>
      <c r="H1468" s="347" t="str">
        <f>+H1467</f>
        <v>Colecta Patricia Andrea Lorca Koch</v>
      </c>
      <c r="I1468" s="347" t="s">
        <v>1303</v>
      </c>
      <c r="K1468" s="370"/>
      <c r="N1468" s="370"/>
    </row>
    <row r="1469" spans="1:14" s="347" customFormat="1" x14ac:dyDescent="0.25">
      <c r="A1469" s="369"/>
      <c r="E1469" s="396"/>
      <c r="F1469" s="396"/>
      <c r="G1469" s="396"/>
      <c r="K1469" s="370"/>
      <c r="N1469" s="370"/>
    </row>
    <row r="1470" spans="1:14" s="347" customFormat="1" x14ac:dyDescent="0.25">
      <c r="A1470" s="369">
        <v>44293</v>
      </c>
      <c r="B1470" s="340">
        <f>+MONTH(A1470)</f>
        <v>4</v>
      </c>
      <c r="C1470" s="347">
        <v>4324</v>
      </c>
      <c r="D1470" s="340" t="str">
        <f>VLOOKUP(C1470,Plan!A$1:B$65542,2,0)</f>
        <v>Gas</v>
      </c>
      <c r="E1470" s="341">
        <f>+F1470-G1470</f>
        <v>1484</v>
      </c>
      <c r="F1470" s="396">
        <v>1484</v>
      </c>
      <c r="G1470" s="396">
        <v>0</v>
      </c>
      <c r="H1470" t="s">
        <v>1146</v>
      </c>
      <c r="I1470" s="347" t="s">
        <v>1303</v>
      </c>
      <c r="K1470" s="370"/>
      <c r="N1470" s="370"/>
    </row>
    <row r="1471" spans="1:14" s="347" customFormat="1" x14ac:dyDescent="0.25">
      <c r="A1471" s="369">
        <f>+A1470</f>
        <v>44293</v>
      </c>
      <c r="B1471" s="347">
        <f>+B1470</f>
        <v>4</v>
      </c>
      <c r="C1471" s="347">
        <v>110</v>
      </c>
      <c r="D1471" s="340" t="str">
        <f>VLOOKUP(C1471,Plan!A$1:B$65542,2,0)</f>
        <v>Disponible Administración</v>
      </c>
      <c r="E1471" s="396">
        <f>-G1471</f>
        <v>-1484</v>
      </c>
      <c r="F1471" s="396">
        <v>0</v>
      </c>
      <c r="G1471" s="396">
        <f>+F1470</f>
        <v>1484</v>
      </c>
      <c r="H1471" s="347" t="str">
        <f>+H1470</f>
        <v>PAC METROGAS</v>
      </c>
      <c r="I1471" s="347" t="s">
        <v>1303</v>
      </c>
      <c r="K1471" s="370"/>
      <c r="N1471" s="370"/>
    </row>
    <row r="1472" spans="1:14" s="347" customFormat="1" x14ac:dyDescent="0.25">
      <c r="A1472" s="369"/>
      <c r="E1472" s="396"/>
      <c r="F1472" s="396"/>
      <c r="G1472" s="396"/>
      <c r="K1472" s="370"/>
      <c r="N1472" s="370"/>
    </row>
    <row r="1473" spans="1:14" s="347" customFormat="1" x14ac:dyDescent="0.25">
      <c r="A1473" s="369">
        <v>44293</v>
      </c>
      <c r="B1473" s="340">
        <f>+MONTH(A1473)</f>
        <v>4</v>
      </c>
      <c r="C1473" s="347">
        <v>110</v>
      </c>
      <c r="D1473" s="340" t="str">
        <f>VLOOKUP(C1473,Plan!A$1:B$65542,2,0)</f>
        <v>Disponible Administración</v>
      </c>
      <c r="E1473" s="341">
        <f>+F1473-G1473</f>
        <v>9881</v>
      </c>
      <c r="F1473" s="396">
        <v>9881</v>
      </c>
      <c r="G1473" s="396">
        <v>0</v>
      </c>
      <c r="H1473" t="s">
        <v>1329</v>
      </c>
      <c r="I1473" s="347" t="s">
        <v>1303</v>
      </c>
      <c r="K1473" s="370"/>
      <c r="N1473" s="370"/>
    </row>
    <row r="1474" spans="1:14" s="347" customFormat="1" x14ac:dyDescent="0.25">
      <c r="A1474" s="369">
        <f>+A1473</f>
        <v>44293</v>
      </c>
      <c r="B1474" s="347">
        <f>+B1473</f>
        <v>4</v>
      </c>
      <c r="C1474" s="347">
        <v>3110</v>
      </c>
      <c r="D1474" s="340" t="str">
        <f>VLOOKUP(C1474,Plan!A$1:B$65542,2,0)</f>
        <v>Colectas Normales</v>
      </c>
      <c r="E1474" s="396">
        <f>-G1474</f>
        <v>-9881</v>
      </c>
      <c r="F1474" s="396">
        <v>0</v>
      </c>
      <c r="G1474" s="396">
        <f>+F1473</f>
        <v>9881</v>
      </c>
      <c r="H1474" s="347" t="str">
        <f>+H1473</f>
        <v>Colecta Claudio Jiron</v>
      </c>
      <c r="I1474" s="347" t="s">
        <v>1303</v>
      </c>
      <c r="K1474" s="370"/>
      <c r="N1474" s="370"/>
    </row>
    <row r="1475" spans="1:14" s="347" customFormat="1" x14ac:dyDescent="0.25">
      <c r="A1475" s="369"/>
      <c r="E1475" s="396"/>
      <c r="F1475" s="396"/>
      <c r="G1475" s="396"/>
      <c r="K1475" s="370"/>
      <c r="N1475" s="370"/>
    </row>
    <row r="1476" spans="1:14" s="347" customFormat="1" x14ac:dyDescent="0.25">
      <c r="A1476" s="369">
        <v>44293</v>
      </c>
      <c r="B1476" s="340">
        <f>+MONTH(A1476)</f>
        <v>4</v>
      </c>
      <c r="C1476" s="347">
        <v>110</v>
      </c>
      <c r="D1476" s="340" t="str">
        <f>VLOOKUP(C1476,Plan!A$1:B$65542,2,0)</f>
        <v>Disponible Administración</v>
      </c>
      <c r="E1476" s="341">
        <f>+F1476-G1476</f>
        <v>16000</v>
      </c>
      <c r="F1476" s="396">
        <v>16000</v>
      </c>
      <c r="G1476" s="396">
        <v>0</v>
      </c>
      <c r="H1476" t="s">
        <v>1330</v>
      </c>
      <c r="I1476" s="347" t="s">
        <v>1303</v>
      </c>
      <c r="K1476" s="370"/>
      <c r="N1476" s="370"/>
    </row>
    <row r="1477" spans="1:14" s="347" customFormat="1" x14ac:dyDescent="0.25">
      <c r="A1477" s="369">
        <f>+A1476</f>
        <v>44293</v>
      </c>
      <c r="B1477" s="347">
        <f>+B1476</f>
        <v>4</v>
      </c>
      <c r="C1477" s="347">
        <v>3110</v>
      </c>
      <c r="D1477" s="340" t="str">
        <f>VLOOKUP(C1477,Plan!A$1:B$65542,2,0)</f>
        <v>Colectas Normales</v>
      </c>
      <c r="E1477" s="396">
        <f>-G1477</f>
        <v>-16000</v>
      </c>
      <c r="F1477" s="396">
        <v>0</v>
      </c>
      <c r="G1477" s="396">
        <f>+F1476</f>
        <v>16000</v>
      </c>
      <c r="H1477" s="347" t="str">
        <f>+H1476</f>
        <v>Colecta Leonardo Robles Copello</v>
      </c>
      <c r="I1477" s="347" t="s">
        <v>1303</v>
      </c>
      <c r="K1477" s="370"/>
      <c r="N1477" s="370"/>
    </row>
    <row r="1478" spans="1:14" s="347" customFormat="1" x14ac:dyDescent="0.25">
      <c r="A1478" s="369"/>
      <c r="E1478" s="396"/>
      <c r="F1478" s="396"/>
      <c r="G1478" s="396"/>
      <c r="K1478" s="370"/>
      <c r="N1478" s="370"/>
    </row>
    <row r="1479" spans="1:14" s="347" customFormat="1" x14ac:dyDescent="0.25">
      <c r="A1479" s="369">
        <v>44294</v>
      </c>
      <c r="B1479" s="340">
        <f>+MONTH(A1479)</f>
        <v>4</v>
      </c>
      <c r="C1479" s="347">
        <v>110</v>
      </c>
      <c r="D1479" s="340" t="str">
        <f>VLOOKUP(C1479,Plan!A$1:B$65542,2,0)</f>
        <v>Disponible Administración</v>
      </c>
      <c r="E1479" s="341">
        <f>+F1479-G1479</f>
        <v>37500</v>
      </c>
      <c r="F1479" s="396">
        <v>37500</v>
      </c>
      <c r="G1479" s="396">
        <v>0</v>
      </c>
      <c r="H1479" t="s">
        <v>1331</v>
      </c>
      <c r="I1479" s="347" t="s">
        <v>1303</v>
      </c>
      <c r="K1479" s="370"/>
      <c r="N1479" s="370"/>
    </row>
    <row r="1480" spans="1:14" s="347" customFormat="1" x14ac:dyDescent="0.25">
      <c r="A1480" s="369">
        <f>+A1479</f>
        <v>44294</v>
      </c>
      <c r="B1480" s="347">
        <f>+B1479</f>
        <v>4</v>
      </c>
      <c r="C1480" s="347">
        <v>3360</v>
      </c>
      <c r="D1480" s="340" t="str">
        <f>VLOOKUP(C1480,Plan!A$1:B$65542,2,0)</f>
        <v>Otros</v>
      </c>
      <c r="E1480" s="396">
        <f>-G1480</f>
        <v>-37500</v>
      </c>
      <c r="F1480" s="396">
        <v>0</v>
      </c>
      <c r="G1480" s="396">
        <f>+F1479</f>
        <v>37500</v>
      </c>
      <c r="H1480" s="347" t="str">
        <f>+H1479</f>
        <v>Curso Biblia Jose Miguel Carafi Melero</v>
      </c>
      <c r="I1480" s="347" t="s">
        <v>1303</v>
      </c>
      <c r="K1480" s="370"/>
      <c r="N1480" s="370"/>
    </row>
    <row r="1481" spans="1:14" s="347" customFormat="1" x14ac:dyDescent="0.25">
      <c r="A1481" s="369"/>
      <c r="E1481" s="396"/>
      <c r="F1481" s="396"/>
      <c r="G1481" s="396"/>
      <c r="K1481" s="370"/>
      <c r="N1481" s="370"/>
    </row>
    <row r="1482" spans="1:14" s="347" customFormat="1" x14ac:dyDescent="0.25">
      <c r="A1482" s="369">
        <v>44294</v>
      </c>
      <c r="B1482" s="340">
        <f>+MONTH(A1482)</f>
        <v>4</v>
      </c>
      <c r="C1482" s="347">
        <v>110</v>
      </c>
      <c r="D1482" s="340" t="str">
        <f>VLOOKUP(C1482,Plan!A$1:B$65542,2,0)</f>
        <v>Disponible Administración</v>
      </c>
      <c r="E1482" s="341">
        <f>+F1482-G1482</f>
        <v>30000</v>
      </c>
      <c r="F1482" s="396">
        <v>30000</v>
      </c>
      <c r="G1482" s="396">
        <v>0</v>
      </c>
      <c r="H1482" t="s">
        <v>903</v>
      </c>
      <c r="I1482" s="347" t="s">
        <v>1303</v>
      </c>
      <c r="K1482" s="370"/>
      <c r="N1482" s="370"/>
    </row>
    <row r="1483" spans="1:14" s="347" customFormat="1" x14ac:dyDescent="0.25">
      <c r="A1483" s="369">
        <f>+A1482</f>
        <v>44294</v>
      </c>
      <c r="B1483" s="347">
        <f>+B1482</f>
        <v>4</v>
      </c>
      <c r="C1483" s="347">
        <v>3110</v>
      </c>
      <c r="D1483" s="340" t="str">
        <f>VLOOKUP(C1483,Plan!A$1:B$65542,2,0)</f>
        <v>Colectas Normales</v>
      </c>
      <c r="E1483" s="396">
        <f>-G1483</f>
        <v>-30000</v>
      </c>
      <c r="F1483" s="396">
        <v>0</v>
      </c>
      <c r="G1483" s="396">
        <f>+F1482</f>
        <v>30000</v>
      </c>
      <c r="H1483" s="347" t="str">
        <f>+H1482</f>
        <v>Colecta Jose Miguel Carafi</v>
      </c>
      <c r="I1483" s="347" t="s">
        <v>1303</v>
      </c>
      <c r="K1483" s="370"/>
      <c r="N1483" s="370"/>
    </row>
    <row r="1484" spans="1:14" s="347" customFormat="1" x14ac:dyDescent="0.25">
      <c r="A1484" s="369"/>
      <c r="E1484" s="396"/>
      <c r="F1484" s="396"/>
      <c r="G1484" s="396"/>
      <c r="K1484" s="370"/>
      <c r="N1484" s="370"/>
    </row>
    <row r="1485" spans="1:14" s="347" customFormat="1" x14ac:dyDescent="0.25">
      <c r="A1485" s="369">
        <v>44294</v>
      </c>
      <c r="B1485" s="340">
        <f>+MONTH(A1485)</f>
        <v>4</v>
      </c>
      <c r="C1485" s="347">
        <v>110</v>
      </c>
      <c r="D1485" s="340" t="str">
        <f>VLOOKUP(C1485,Plan!A$1:B$65542,2,0)</f>
        <v>Disponible Administración</v>
      </c>
      <c r="E1485" s="341">
        <f>+F1485-G1485</f>
        <v>5000</v>
      </c>
      <c r="F1485" s="396">
        <v>5000</v>
      </c>
      <c r="G1485" s="396">
        <v>0</v>
      </c>
      <c r="H1485" s="156" t="s">
        <v>1818</v>
      </c>
      <c r="I1485" s="347" t="s">
        <v>1303</v>
      </c>
      <c r="K1485" s="370"/>
      <c r="N1485" s="370"/>
    </row>
    <row r="1486" spans="1:14" s="347" customFormat="1" x14ac:dyDescent="0.25">
      <c r="A1486" s="369">
        <f>+A1485</f>
        <v>44294</v>
      </c>
      <c r="B1486" s="347">
        <f>+B1485</f>
        <v>4</v>
      </c>
      <c r="C1486" s="347">
        <v>3340</v>
      </c>
      <c r="D1486" s="340" t="str">
        <f>VLOOKUP(C1486,Plan!A$1:B$65542,2,0)</f>
        <v>Misas</v>
      </c>
      <c r="E1486" s="396">
        <f>-G1486</f>
        <v>-5000</v>
      </c>
      <c r="F1486" s="396">
        <v>0</v>
      </c>
      <c r="G1486" s="396">
        <f>+F1485</f>
        <v>5000</v>
      </c>
      <c r="H1486" s="347" t="str">
        <f>+H1485</f>
        <v>Misa Katherine Nicolau</v>
      </c>
      <c r="I1486" s="347" t="s">
        <v>1303</v>
      </c>
      <c r="K1486" s="370"/>
      <c r="N1486" s="370"/>
    </row>
    <row r="1487" spans="1:14" s="347" customFormat="1" x14ac:dyDescent="0.25">
      <c r="A1487" s="369"/>
      <c r="E1487" s="396"/>
      <c r="F1487" s="396"/>
      <c r="G1487" s="396"/>
      <c r="K1487" s="370"/>
      <c r="N1487" s="370"/>
    </row>
    <row r="1488" spans="1:14" s="347" customFormat="1" x14ac:dyDescent="0.25">
      <c r="A1488" s="369">
        <v>44294</v>
      </c>
      <c r="B1488" s="340">
        <f>+MONTH(A1488)</f>
        <v>4</v>
      </c>
      <c r="C1488" s="347">
        <v>110</v>
      </c>
      <c r="D1488" s="340" t="str">
        <f>VLOOKUP(C1488,Plan!A$1:B$65542,2,0)</f>
        <v>Disponible Administración</v>
      </c>
      <c r="E1488" s="341">
        <f>+F1488-G1488</f>
        <v>50000</v>
      </c>
      <c r="F1488" s="396">
        <v>50000</v>
      </c>
      <c r="G1488" s="396">
        <v>0</v>
      </c>
      <c r="H1488" t="s">
        <v>733</v>
      </c>
      <c r="I1488" s="347" t="s">
        <v>1303</v>
      </c>
      <c r="K1488" s="370"/>
      <c r="N1488" s="370"/>
    </row>
    <row r="1489" spans="1:14" s="347" customFormat="1" x14ac:dyDescent="0.25">
      <c r="A1489" s="369">
        <f>+A1488</f>
        <v>44294</v>
      </c>
      <c r="B1489" s="347">
        <f>+B1488</f>
        <v>4</v>
      </c>
      <c r="C1489" s="347">
        <v>215</v>
      </c>
      <c r="D1489" s="340" t="str">
        <f>VLOOKUP(C1489,Plan!A$1:B$65542,2,0)</f>
        <v>Cuenta por Pagar a Cali</v>
      </c>
      <c r="E1489" s="396">
        <f>-G1489</f>
        <v>-50000</v>
      </c>
      <c r="F1489" s="396">
        <v>0</v>
      </c>
      <c r="G1489" s="396">
        <f>+F1488</f>
        <v>50000</v>
      </c>
      <c r="H1489" s="347" t="str">
        <f>+H1488</f>
        <v>Hilda Dougnac Rodríguez / Azul</v>
      </c>
      <c r="I1489" s="347" t="s">
        <v>1303</v>
      </c>
      <c r="K1489" s="370"/>
      <c r="N1489" s="370"/>
    </row>
    <row r="1490" spans="1:14" s="347" customFormat="1" x14ac:dyDescent="0.25">
      <c r="A1490" s="369"/>
      <c r="E1490" s="396"/>
      <c r="F1490" s="396"/>
      <c r="G1490" s="396"/>
      <c r="K1490" s="370"/>
      <c r="N1490" s="370"/>
    </row>
    <row r="1491" spans="1:14" s="347" customFormat="1" x14ac:dyDescent="0.25">
      <c r="A1491" s="369">
        <v>44294</v>
      </c>
      <c r="B1491" s="340">
        <f>+MONTH(A1491)</f>
        <v>4</v>
      </c>
      <c r="C1491" s="347">
        <v>110</v>
      </c>
      <c r="D1491" s="340" t="str">
        <f>VLOOKUP(C1491,Plan!A$1:B$65542,2,0)</f>
        <v>Disponible Administración</v>
      </c>
      <c r="E1491" s="341">
        <f>+F1491-G1491</f>
        <v>3000</v>
      </c>
      <c r="F1491" s="396">
        <v>3000</v>
      </c>
      <c r="G1491" s="396">
        <v>0</v>
      </c>
      <c r="H1491" t="s">
        <v>1158</v>
      </c>
      <c r="I1491" s="347" t="s">
        <v>1303</v>
      </c>
      <c r="K1491" s="370"/>
      <c r="N1491" s="370"/>
    </row>
    <row r="1492" spans="1:14" s="347" customFormat="1" x14ac:dyDescent="0.25">
      <c r="A1492" s="369">
        <f>+A1491</f>
        <v>44294</v>
      </c>
      <c r="B1492" s="347">
        <f>+B1491</f>
        <v>4</v>
      </c>
      <c r="C1492" s="347">
        <v>3110</v>
      </c>
      <c r="D1492" s="340" t="str">
        <f>VLOOKUP(C1492,Plan!A$1:B$65542,2,0)</f>
        <v>Colectas Normales</v>
      </c>
      <c r="E1492" s="396">
        <f>-G1492</f>
        <v>-3000</v>
      </c>
      <c r="F1492" s="396">
        <v>0</v>
      </c>
      <c r="G1492" s="396">
        <f>+F1491</f>
        <v>3000</v>
      </c>
      <c r="H1492" s="347" t="str">
        <f>+H1491</f>
        <v>Colecta Jose Perez De Castro</v>
      </c>
      <c r="I1492" s="347" t="s">
        <v>1303</v>
      </c>
      <c r="K1492" s="370"/>
      <c r="N1492" s="370"/>
    </row>
    <row r="1493" spans="1:14" s="347" customFormat="1" x14ac:dyDescent="0.25">
      <c r="A1493" s="369"/>
      <c r="E1493" s="396"/>
      <c r="F1493" s="396"/>
      <c r="G1493" s="396"/>
      <c r="K1493" s="370"/>
      <c r="N1493" s="370"/>
    </row>
    <row r="1494" spans="1:14" s="347" customFormat="1" x14ac:dyDescent="0.25">
      <c r="A1494" s="369">
        <v>44294</v>
      </c>
      <c r="B1494" s="340">
        <f>+MONTH(A1494)</f>
        <v>4</v>
      </c>
      <c r="C1494" s="347">
        <v>110</v>
      </c>
      <c r="D1494" s="340" t="str">
        <f>VLOOKUP(C1494,Plan!A$1:B$65542,2,0)</f>
        <v>Disponible Administración</v>
      </c>
      <c r="E1494" s="341">
        <f>+F1494-G1494</f>
        <v>4940</v>
      </c>
      <c r="F1494" s="396">
        <v>4940</v>
      </c>
      <c r="G1494" s="396">
        <v>0</v>
      </c>
      <c r="H1494" t="s">
        <v>1217</v>
      </c>
      <c r="I1494" s="347" t="s">
        <v>1303</v>
      </c>
      <c r="K1494" s="370"/>
      <c r="N1494" s="370"/>
    </row>
    <row r="1495" spans="1:14" s="347" customFormat="1" x14ac:dyDescent="0.25">
      <c r="A1495" s="369">
        <f>+A1494</f>
        <v>44294</v>
      </c>
      <c r="B1495" s="347">
        <f>+B1494</f>
        <v>4</v>
      </c>
      <c r="C1495" s="347">
        <v>3110</v>
      </c>
      <c r="D1495" s="340" t="str">
        <f>VLOOKUP(C1495,Plan!A$1:B$65542,2,0)</f>
        <v>Colectas Normales</v>
      </c>
      <c r="E1495" s="396">
        <f>-G1495</f>
        <v>-4940</v>
      </c>
      <c r="F1495" s="396">
        <v>0</v>
      </c>
      <c r="G1495" s="396">
        <f>+F1494</f>
        <v>4940</v>
      </c>
      <c r="H1495" s="347" t="str">
        <f>+H1494</f>
        <v>Colecta NN</v>
      </c>
      <c r="I1495" s="347" t="s">
        <v>1303</v>
      </c>
      <c r="K1495" s="370"/>
      <c r="N1495" s="370"/>
    </row>
    <row r="1496" spans="1:14" s="347" customFormat="1" x14ac:dyDescent="0.25">
      <c r="A1496" s="369"/>
      <c r="E1496" s="396"/>
      <c r="F1496" s="396"/>
      <c r="G1496" s="396"/>
      <c r="K1496" s="370"/>
      <c r="N1496" s="370"/>
    </row>
    <row r="1497" spans="1:14" s="347" customFormat="1" x14ac:dyDescent="0.25">
      <c r="A1497" s="369">
        <v>44294</v>
      </c>
      <c r="B1497" s="340">
        <f>+MONTH(A1497)</f>
        <v>4</v>
      </c>
      <c r="C1497" s="347">
        <v>110</v>
      </c>
      <c r="D1497" s="340" t="str">
        <f>VLOOKUP(C1497,Plan!A$1:B$65542,2,0)</f>
        <v>Disponible Administración</v>
      </c>
      <c r="E1497" s="341">
        <f>+F1497-G1497</f>
        <v>40000</v>
      </c>
      <c r="F1497" s="396">
        <v>40000</v>
      </c>
      <c r="G1497" s="396">
        <v>0</v>
      </c>
      <c r="H1497" t="s">
        <v>920</v>
      </c>
      <c r="I1497" s="347" t="s">
        <v>1303</v>
      </c>
      <c r="K1497" s="370"/>
      <c r="N1497" s="370"/>
    </row>
    <row r="1498" spans="1:14" s="347" customFormat="1" x14ac:dyDescent="0.25">
      <c r="A1498" s="369">
        <f>+A1497</f>
        <v>44294</v>
      </c>
      <c r="B1498" s="347">
        <f>+B1497</f>
        <v>4</v>
      </c>
      <c r="C1498" s="347">
        <v>3110</v>
      </c>
      <c r="D1498" s="340" t="str">
        <f>VLOOKUP(C1498,Plan!A$1:B$65542,2,0)</f>
        <v>Colectas Normales</v>
      </c>
      <c r="E1498" s="396">
        <f>-G1498</f>
        <v>-40000</v>
      </c>
      <c r="F1498" s="396">
        <v>0</v>
      </c>
      <c r="G1498" s="396">
        <f>+F1497</f>
        <v>40000</v>
      </c>
      <c r="H1498" s="347" t="str">
        <f>+H1497</f>
        <v>Colecta Maria Teresa Gil Gomez</v>
      </c>
      <c r="I1498" s="347" t="s">
        <v>1303</v>
      </c>
      <c r="K1498" s="370"/>
      <c r="N1498" s="370"/>
    </row>
    <row r="1499" spans="1:14" s="347" customFormat="1" x14ac:dyDescent="0.25">
      <c r="A1499" s="369"/>
      <c r="E1499" s="396"/>
      <c r="F1499" s="396"/>
      <c r="G1499" s="396"/>
      <c r="K1499" s="370"/>
      <c r="N1499" s="370"/>
    </row>
    <row r="1500" spans="1:14" s="347" customFormat="1" x14ac:dyDescent="0.25">
      <c r="A1500" s="369">
        <v>44294</v>
      </c>
      <c r="B1500" s="340">
        <f>+MONTH(A1500)</f>
        <v>4</v>
      </c>
      <c r="C1500" s="347">
        <v>110</v>
      </c>
      <c r="D1500" s="340" t="str">
        <f>VLOOKUP(C1500,Plan!A$1:B$65542,2,0)</f>
        <v>Disponible Administración</v>
      </c>
      <c r="E1500" s="341">
        <f>+F1500-G1500</f>
        <v>20000</v>
      </c>
      <c r="F1500" s="396">
        <v>20000</v>
      </c>
      <c r="G1500" s="396">
        <v>0</v>
      </c>
      <c r="H1500" t="s">
        <v>1332</v>
      </c>
      <c r="I1500" s="347" t="s">
        <v>1303</v>
      </c>
      <c r="K1500" s="370"/>
      <c r="N1500" s="370"/>
    </row>
    <row r="1501" spans="1:14" s="347" customFormat="1" x14ac:dyDescent="0.25">
      <c r="A1501" s="369">
        <f>+A1500</f>
        <v>44294</v>
      </c>
      <c r="B1501" s="347">
        <f>+B1500</f>
        <v>4</v>
      </c>
      <c r="C1501" s="347">
        <v>3110</v>
      </c>
      <c r="D1501" s="340" t="str">
        <f>VLOOKUP(C1501,Plan!A$1:B$65542,2,0)</f>
        <v>Colectas Normales</v>
      </c>
      <c r="E1501" s="396">
        <f>-G1501</f>
        <v>-20000</v>
      </c>
      <c r="F1501" s="396">
        <v>0</v>
      </c>
      <c r="G1501" s="396">
        <f>+F1500</f>
        <v>20000</v>
      </c>
      <c r="H1501" s="347" t="str">
        <f>+H1500</f>
        <v>Colecta Maria Luz Parodi Gil</v>
      </c>
      <c r="I1501" s="347" t="s">
        <v>1303</v>
      </c>
      <c r="K1501" s="370"/>
      <c r="N1501" s="370"/>
    </row>
    <row r="1502" spans="1:14" s="347" customFormat="1" x14ac:dyDescent="0.25">
      <c r="A1502" s="369"/>
      <c r="E1502" s="396"/>
      <c r="F1502" s="396"/>
      <c r="G1502" s="396"/>
      <c r="K1502" s="370"/>
      <c r="N1502" s="370"/>
    </row>
    <row r="1503" spans="1:14" s="347" customFormat="1" x14ac:dyDescent="0.25">
      <c r="A1503" s="369">
        <v>44294</v>
      </c>
      <c r="B1503" s="340">
        <f>+MONTH(A1503)</f>
        <v>4</v>
      </c>
      <c r="C1503" s="347">
        <v>110</v>
      </c>
      <c r="D1503" s="340" t="str">
        <f>VLOOKUP(C1503,Plan!A$1:B$65542,2,0)</f>
        <v>Disponible Administración</v>
      </c>
      <c r="E1503" s="341">
        <f>+F1503-G1503</f>
        <v>25000</v>
      </c>
      <c r="F1503" s="396">
        <v>25000</v>
      </c>
      <c r="G1503" s="396">
        <v>0</v>
      </c>
      <c r="H1503" t="s">
        <v>893</v>
      </c>
      <c r="I1503" s="347" t="s">
        <v>1303</v>
      </c>
      <c r="K1503" s="370"/>
      <c r="N1503" s="370"/>
    </row>
    <row r="1504" spans="1:14" s="347" customFormat="1" x14ac:dyDescent="0.25">
      <c r="A1504" s="369">
        <f>+A1503</f>
        <v>44294</v>
      </c>
      <c r="B1504" s="347">
        <f>+B1503</f>
        <v>4</v>
      </c>
      <c r="C1504" s="347">
        <v>3110</v>
      </c>
      <c r="D1504" s="340" t="str">
        <f>VLOOKUP(C1504,Plan!A$1:B$65542,2,0)</f>
        <v>Colectas Normales</v>
      </c>
      <c r="E1504" s="396">
        <f>-G1504</f>
        <v>-25000</v>
      </c>
      <c r="F1504" s="396">
        <v>0</v>
      </c>
      <c r="G1504" s="396">
        <f>+F1503</f>
        <v>25000</v>
      </c>
      <c r="H1504" s="347" t="str">
        <f>+H1503</f>
        <v>Colecta Martin Besfamille</v>
      </c>
      <c r="I1504" s="347" t="s">
        <v>1303</v>
      </c>
      <c r="K1504" s="370"/>
      <c r="N1504" s="370"/>
    </row>
    <row r="1505" spans="1:14" s="347" customFormat="1" x14ac:dyDescent="0.25">
      <c r="A1505" s="369"/>
      <c r="E1505" s="396"/>
      <c r="F1505" s="396"/>
      <c r="G1505" s="396"/>
      <c r="K1505" s="370"/>
      <c r="N1505" s="370"/>
    </row>
    <row r="1506" spans="1:14" s="347" customFormat="1" x14ac:dyDescent="0.25">
      <c r="A1506" s="369">
        <v>44295</v>
      </c>
      <c r="B1506" s="340">
        <f>+MONTH(A1506)</f>
        <v>4</v>
      </c>
      <c r="C1506" s="347">
        <v>110</v>
      </c>
      <c r="D1506" s="340" t="str">
        <f>VLOOKUP(C1506,Plan!A$1:B$65542,2,0)</f>
        <v>Disponible Administración</v>
      </c>
      <c r="E1506" s="341">
        <f>+F1506-G1506</f>
        <v>40000</v>
      </c>
      <c r="F1506" s="396">
        <v>40000</v>
      </c>
      <c r="G1506" s="396">
        <v>0</v>
      </c>
      <c r="H1506" t="s">
        <v>1333</v>
      </c>
      <c r="I1506" s="347" t="s">
        <v>1303</v>
      </c>
      <c r="K1506" s="370"/>
      <c r="N1506" s="370"/>
    </row>
    <row r="1507" spans="1:14" s="347" customFormat="1" x14ac:dyDescent="0.25">
      <c r="A1507" s="369">
        <f>+A1506</f>
        <v>44295</v>
      </c>
      <c r="B1507" s="347">
        <f>+B1506</f>
        <v>4</v>
      </c>
      <c r="C1507" s="347">
        <v>3110</v>
      </c>
      <c r="D1507" s="340" t="str">
        <f>VLOOKUP(C1507,Plan!A$1:B$65542,2,0)</f>
        <v>Colectas Normales</v>
      </c>
      <c r="E1507" s="396">
        <f>-G1507</f>
        <v>-40000</v>
      </c>
      <c r="F1507" s="396">
        <v>0</v>
      </c>
      <c r="G1507" s="396">
        <f>+F1506</f>
        <v>40000</v>
      </c>
      <c r="H1507" s="347" t="str">
        <f>+H1506</f>
        <v>Colecta Carlos Felix Mackenna Iniguez</v>
      </c>
      <c r="I1507" s="347" t="s">
        <v>1303</v>
      </c>
      <c r="K1507" s="370"/>
      <c r="N1507" s="370"/>
    </row>
    <row r="1508" spans="1:14" s="347" customFormat="1" x14ac:dyDescent="0.25">
      <c r="A1508" s="369"/>
      <c r="E1508" s="396"/>
      <c r="F1508" s="396"/>
      <c r="G1508" s="396"/>
      <c r="K1508" s="370"/>
      <c r="N1508" s="370"/>
    </row>
    <row r="1509" spans="1:14" s="347" customFormat="1" x14ac:dyDescent="0.25">
      <c r="A1509" s="369">
        <v>44295</v>
      </c>
      <c r="B1509" s="340">
        <f>+MONTH(A1509)</f>
        <v>4</v>
      </c>
      <c r="C1509" s="347">
        <v>110</v>
      </c>
      <c r="D1509" s="340" t="str">
        <f>VLOOKUP(C1509,Plan!A$1:B$65542,2,0)</f>
        <v>Disponible Administración</v>
      </c>
      <c r="E1509" s="341">
        <f>+F1509-G1509</f>
        <v>5000</v>
      </c>
      <c r="F1509" s="396">
        <v>5000</v>
      </c>
      <c r="G1509" s="396">
        <v>0</v>
      </c>
      <c r="H1509" t="s">
        <v>1334</v>
      </c>
      <c r="I1509" s="347" t="s">
        <v>1303</v>
      </c>
      <c r="K1509" s="370"/>
      <c r="N1509" s="370"/>
    </row>
    <row r="1510" spans="1:14" s="347" customFormat="1" x14ac:dyDescent="0.25">
      <c r="A1510" s="369">
        <f>+A1509</f>
        <v>44295</v>
      </c>
      <c r="B1510" s="347">
        <f>+B1509</f>
        <v>4</v>
      </c>
      <c r="C1510" s="347">
        <v>3110</v>
      </c>
      <c r="D1510" s="340" t="str">
        <f>VLOOKUP(C1510,Plan!A$1:B$65542,2,0)</f>
        <v>Colectas Normales</v>
      </c>
      <c r="E1510" s="396">
        <f>-G1510</f>
        <v>-5000</v>
      </c>
      <c r="F1510" s="396">
        <v>0</v>
      </c>
      <c r="G1510" s="396">
        <f>+F1509</f>
        <v>5000</v>
      </c>
      <c r="H1510" s="347" t="str">
        <f>+H1509</f>
        <v>Colecta Ana Maria Alvarez T</v>
      </c>
      <c r="I1510" s="347" t="s">
        <v>1303</v>
      </c>
      <c r="K1510" s="370"/>
      <c r="N1510" s="370"/>
    </row>
    <row r="1511" spans="1:14" s="347" customFormat="1" x14ac:dyDescent="0.25">
      <c r="A1511" s="369"/>
      <c r="E1511" s="396"/>
      <c r="F1511" s="396"/>
      <c r="G1511" s="396"/>
      <c r="K1511" s="370"/>
      <c r="N1511" s="370"/>
    </row>
    <row r="1512" spans="1:14" s="347" customFormat="1" x14ac:dyDescent="0.25">
      <c r="A1512" s="369">
        <v>44295</v>
      </c>
      <c r="B1512" s="340">
        <f>+MONTH(A1512)</f>
        <v>4</v>
      </c>
      <c r="C1512" s="347">
        <v>4323</v>
      </c>
      <c r="D1512" s="340" t="str">
        <f>VLOOKUP(C1512,Plan!A$1:B$65542,2,0)</f>
        <v>Telefonía, Internet (VTR, Entel)</v>
      </c>
      <c r="E1512" s="341">
        <f>+F1512-G1512</f>
        <v>30655</v>
      </c>
      <c r="F1512" s="396">
        <v>30655</v>
      </c>
      <c r="G1512" s="396">
        <v>0</v>
      </c>
      <c r="H1512" t="s">
        <v>1145</v>
      </c>
      <c r="I1512" s="347" t="s">
        <v>1303</v>
      </c>
      <c r="K1512" s="370"/>
      <c r="N1512" s="370"/>
    </row>
    <row r="1513" spans="1:14" s="347" customFormat="1" x14ac:dyDescent="0.25">
      <c r="A1513" s="369">
        <f>+A1512</f>
        <v>44295</v>
      </c>
      <c r="B1513" s="347">
        <f>+B1512</f>
        <v>4</v>
      </c>
      <c r="C1513" s="347">
        <v>110</v>
      </c>
      <c r="D1513" s="340" t="str">
        <f>VLOOKUP(C1513,Plan!A$1:B$65542,2,0)</f>
        <v>Disponible Administración</v>
      </c>
      <c r="E1513" s="396">
        <f>-G1513</f>
        <v>-30655</v>
      </c>
      <c r="F1513" s="396">
        <v>0</v>
      </c>
      <c r="G1513" s="396">
        <f>+F1512</f>
        <v>30655</v>
      </c>
      <c r="H1513" s="347" t="str">
        <f>+H1512</f>
        <v>PAC VTR OFICINA</v>
      </c>
      <c r="I1513" s="347" t="s">
        <v>1303</v>
      </c>
      <c r="K1513" s="370"/>
      <c r="N1513" s="370"/>
    </row>
    <row r="1514" spans="1:14" s="347" customFormat="1" x14ac:dyDescent="0.25">
      <c r="A1514" s="369"/>
      <c r="E1514" s="396"/>
      <c r="F1514" s="396"/>
      <c r="G1514" s="396"/>
      <c r="K1514" s="370"/>
      <c r="N1514" s="370"/>
    </row>
    <row r="1515" spans="1:14" s="347" customFormat="1" x14ac:dyDescent="0.25">
      <c r="A1515" s="369">
        <v>44295</v>
      </c>
      <c r="B1515" s="340">
        <f>+MONTH(A1515)</f>
        <v>4</v>
      </c>
      <c r="C1515" s="347">
        <v>110</v>
      </c>
      <c r="D1515" s="340" t="str">
        <f>VLOOKUP(C1515,Plan!A$1:B$65542,2,0)</f>
        <v>Disponible Administración</v>
      </c>
      <c r="E1515" s="341">
        <f>+F1515-G1515</f>
        <v>14700</v>
      </c>
      <c r="F1515" s="396">
        <v>14700</v>
      </c>
      <c r="G1515" s="396">
        <v>0</v>
      </c>
      <c r="H1515" t="s">
        <v>1217</v>
      </c>
      <c r="I1515" s="347" t="s">
        <v>1303</v>
      </c>
      <c r="K1515" s="370"/>
      <c r="N1515" s="370"/>
    </row>
    <row r="1516" spans="1:14" s="347" customFormat="1" x14ac:dyDescent="0.25">
      <c r="A1516" s="369">
        <f>+A1515</f>
        <v>44295</v>
      </c>
      <c r="B1516" s="347">
        <f>+B1515</f>
        <v>4</v>
      </c>
      <c r="C1516" s="347">
        <v>3110</v>
      </c>
      <c r="D1516" s="340" t="str">
        <f>VLOOKUP(C1516,Plan!A$1:B$65542,2,0)</f>
        <v>Colectas Normales</v>
      </c>
      <c r="E1516" s="396">
        <f>-G1516</f>
        <v>-14700</v>
      </c>
      <c r="F1516" s="396">
        <v>0</v>
      </c>
      <c r="G1516" s="396">
        <f>+F1515</f>
        <v>14700</v>
      </c>
      <c r="H1516" s="347" t="str">
        <f>+H1515</f>
        <v>Colecta NN</v>
      </c>
      <c r="I1516" s="347" t="s">
        <v>1303</v>
      </c>
      <c r="K1516" s="370"/>
      <c r="N1516" s="370"/>
    </row>
    <row r="1517" spans="1:14" s="347" customFormat="1" x14ac:dyDescent="0.25">
      <c r="A1517" s="369"/>
      <c r="E1517" s="396"/>
      <c r="F1517" s="396"/>
      <c r="G1517" s="396"/>
      <c r="K1517" s="370"/>
      <c r="N1517" s="370"/>
    </row>
    <row r="1518" spans="1:14" s="347" customFormat="1" x14ac:dyDescent="0.25">
      <c r="A1518" s="369">
        <v>44295</v>
      </c>
      <c r="B1518" s="340">
        <f>+MONTH(A1518)</f>
        <v>4</v>
      </c>
      <c r="C1518" s="347">
        <v>110</v>
      </c>
      <c r="D1518" s="340" t="str">
        <f>VLOOKUP(C1518,Plan!A$1:B$65542,2,0)</f>
        <v>Disponible Administración</v>
      </c>
      <c r="E1518" s="341">
        <f>+F1518-G1518</f>
        <v>250000</v>
      </c>
      <c r="F1518" s="396">
        <v>250000</v>
      </c>
      <c r="G1518" s="396">
        <v>0</v>
      </c>
      <c r="H1518" t="s">
        <v>1164</v>
      </c>
      <c r="I1518" s="347" t="s">
        <v>1303</v>
      </c>
      <c r="K1518" s="370"/>
      <c r="N1518" s="370"/>
    </row>
    <row r="1519" spans="1:14" s="347" customFormat="1" x14ac:dyDescent="0.25">
      <c r="A1519" s="369">
        <f>+A1518</f>
        <v>44295</v>
      </c>
      <c r="B1519" s="347">
        <f>+B1518</f>
        <v>4</v>
      </c>
      <c r="C1519" s="347">
        <v>3110</v>
      </c>
      <c r="D1519" s="340" t="str">
        <f>VLOOKUP(C1519,Plan!A$1:B$65542,2,0)</f>
        <v>Colectas Normales</v>
      </c>
      <c r="E1519" s="396">
        <f>-G1519</f>
        <v>-250000</v>
      </c>
      <c r="F1519" s="396">
        <v>0</v>
      </c>
      <c r="G1519" s="396">
        <f>+F1518</f>
        <v>250000</v>
      </c>
      <c r="H1519" s="347" t="str">
        <f>+H1518</f>
        <v>Colecta Sebastian Claro Edwards</v>
      </c>
      <c r="I1519" s="347" t="s">
        <v>1303</v>
      </c>
      <c r="K1519" s="370"/>
      <c r="N1519" s="370"/>
    </row>
    <row r="1520" spans="1:14" s="347" customFormat="1" x14ac:dyDescent="0.25">
      <c r="A1520" s="369"/>
      <c r="E1520" s="396"/>
      <c r="F1520" s="396"/>
      <c r="G1520" s="396"/>
      <c r="K1520" s="370"/>
      <c r="N1520" s="370"/>
    </row>
    <row r="1521" spans="1:14" s="347" customFormat="1" x14ac:dyDescent="0.25">
      <c r="A1521" s="369">
        <v>44295</v>
      </c>
      <c r="B1521" s="340">
        <f>+MONTH(A1521)</f>
        <v>4</v>
      </c>
      <c r="C1521" s="347">
        <v>110</v>
      </c>
      <c r="D1521" s="340" t="str">
        <f>VLOOKUP(C1521,Plan!A$1:B$65542,2,0)</f>
        <v>Disponible Administración</v>
      </c>
      <c r="E1521" s="341">
        <f>+F1521-G1521</f>
        <v>100000</v>
      </c>
      <c r="F1521" s="396">
        <v>100000</v>
      </c>
      <c r="G1521" s="396">
        <v>0</v>
      </c>
      <c r="H1521" t="s">
        <v>743</v>
      </c>
      <c r="I1521" s="347" t="s">
        <v>1303</v>
      </c>
      <c r="K1521" s="370"/>
      <c r="N1521" s="370"/>
    </row>
    <row r="1522" spans="1:14" s="347" customFormat="1" x14ac:dyDescent="0.25">
      <c r="A1522" s="369">
        <f>+A1521</f>
        <v>44295</v>
      </c>
      <c r="B1522" s="347">
        <f>+B1521</f>
        <v>4</v>
      </c>
      <c r="C1522" s="347">
        <v>215</v>
      </c>
      <c r="D1522" s="340" t="str">
        <f>VLOOKUP(C1522,Plan!A$1:B$65542,2,0)</f>
        <v>Cuenta por Pagar a Cali</v>
      </c>
      <c r="E1522" s="396">
        <f>-G1522</f>
        <v>-100000</v>
      </c>
      <c r="F1522" s="396">
        <v>0</v>
      </c>
      <c r="G1522" s="396">
        <f>+F1521</f>
        <v>100000</v>
      </c>
      <c r="H1522" s="347" t="str">
        <f>+H1521</f>
        <v>Hugo Rosende Álvarez / 249</v>
      </c>
      <c r="I1522" s="347" t="s">
        <v>1303</v>
      </c>
      <c r="K1522" s="370"/>
      <c r="N1522" s="370"/>
    </row>
    <row r="1523" spans="1:14" s="347" customFormat="1" x14ac:dyDescent="0.25">
      <c r="A1523" s="369"/>
      <c r="E1523" s="396"/>
      <c r="F1523" s="396"/>
      <c r="G1523" s="396"/>
      <c r="K1523" s="370"/>
      <c r="N1523" s="370"/>
    </row>
    <row r="1524" spans="1:14" s="347" customFormat="1" x14ac:dyDescent="0.25">
      <c r="A1524" s="369">
        <v>44298</v>
      </c>
      <c r="B1524" s="340">
        <f>+MONTH(A1524)</f>
        <v>4</v>
      </c>
      <c r="C1524" s="347">
        <v>110</v>
      </c>
      <c r="D1524" s="340" t="str">
        <f>VLOOKUP(C1524,Plan!A$1:B$65542,2,0)</f>
        <v>Disponible Administración</v>
      </c>
      <c r="E1524" s="341">
        <f>+F1524-G1524</f>
        <v>12500</v>
      </c>
      <c r="F1524" s="396">
        <v>12500</v>
      </c>
      <c r="G1524" s="396">
        <v>0</v>
      </c>
      <c r="H1524" t="s">
        <v>1181</v>
      </c>
      <c r="I1524" s="347" t="s">
        <v>1303</v>
      </c>
      <c r="K1524" s="370"/>
      <c r="N1524" s="370"/>
    </row>
    <row r="1525" spans="1:14" s="347" customFormat="1" x14ac:dyDescent="0.25">
      <c r="A1525" s="369">
        <f>+A1524</f>
        <v>44298</v>
      </c>
      <c r="B1525" s="347">
        <f>+B1524</f>
        <v>4</v>
      </c>
      <c r="C1525" s="347">
        <v>3360</v>
      </c>
      <c r="D1525" s="340" t="str">
        <f>VLOOKUP(C1525,Plan!A$1:B$65542,2,0)</f>
        <v>Otros</v>
      </c>
      <c r="E1525" s="396">
        <f>-G1525</f>
        <v>-12500</v>
      </c>
      <c r="F1525" s="396">
        <v>0</v>
      </c>
      <c r="G1525" s="396">
        <f>+F1524</f>
        <v>12500</v>
      </c>
      <c r="H1525" s="347" t="str">
        <f>+H1524</f>
        <v>Curso Biblia Sofia Vives Ekdahl</v>
      </c>
      <c r="I1525" s="347" t="s">
        <v>1303</v>
      </c>
      <c r="K1525" s="370"/>
      <c r="N1525" s="370"/>
    </row>
    <row r="1526" spans="1:14" s="347" customFormat="1" x14ac:dyDescent="0.25">
      <c r="A1526" s="369"/>
      <c r="E1526" s="396"/>
      <c r="F1526" s="396"/>
      <c r="G1526" s="396"/>
      <c r="K1526" s="370"/>
      <c r="N1526" s="370"/>
    </row>
    <row r="1527" spans="1:14" s="347" customFormat="1" x14ac:dyDescent="0.25">
      <c r="A1527" s="369">
        <v>44298</v>
      </c>
      <c r="B1527" s="340">
        <f>+MONTH(A1527)</f>
        <v>4</v>
      </c>
      <c r="C1527" s="347">
        <v>110</v>
      </c>
      <c r="D1527" s="340" t="str">
        <f>VLOOKUP(C1527,Plan!A$1:B$65542,2,0)</f>
        <v>Disponible Administración</v>
      </c>
      <c r="E1527" s="341">
        <f>+F1527-G1527</f>
        <v>20000</v>
      </c>
      <c r="F1527" s="396">
        <v>20000</v>
      </c>
      <c r="G1527" s="396">
        <v>0</v>
      </c>
      <c r="H1527" t="s">
        <v>913</v>
      </c>
      <c r="I1527" s="347" t="s">
        <v>1303</v>
      </c>
      <c r="K1527" s="370"/>
      <c r="N1527" s="370"/>
    </row>
    <row r="1528" spans="1:14" s="347" customFormat="1" x14ac:dyDescent="0.25">
      <c r="A1528" s="369">
        <f>+A1527</f>
        <v>44298</v>
      </c>
      <c r="B1528" s="347">
        <f>+B1527</f>
        <v>4</v>
      </c>
      <c r="C1528" s="347">
        <v>3110</v>
      </c>
      <c r="D1528" s="340" t="str">
        <f>VLOOKUP(C1528,Plan!A$1:B$65542,2,0)</f>
        <v>Colectas Normales</v>
      </c>
      <c r="E1528" s="396">
        <f>-G1528</f>
        <v>-20000</v>
      </c>
      <c r="F1528" s="396">
        <v>0</v>
      </c>
      <c r="G1528" s="396">
        <f>+F1527</f>
        <v>20000</v>
      </c>
      <c r="H1528" s="347" t="str">
        <f>+H1527</f>
        <v>Colecta Sofia Vives Ekdahl</v>
      </c>
      <c r="I1528" s="347" t="s">
        <v>1303</v>
      </c>
      <c r="K1528" s="370"/>
      <c r="N1528" s="370"/>
    </row>
    <row r="1529" spans="1:14" s="347" customFormat="1" x14ac:dyDescent="0.25">
      <c r="A1529" s="369"/>
      <c r="E1529" s="396"/>
      <c r="F1529" s="396"/>
      <c r="G1529" s="396"/>
      <c r="K1529" s="370"/>
      <c r="N1529" s="370"/>
    </row>
    <row r="1530" spans="1:14" s="347" customFormat="1" x14ac:dyDescent="0.25">
      <c r="A1530" s="369">
        <v>44298</v>
      </c>
      <c r="B1530" s="340">
        <f>+MONTH(A1530)</f>
        <v>4</v>
      </c>
      <c r="C1530" s="347">
        <v>110</v>
      </c>
      <c r="D1530" s="340" t="str">
        <f>VLOOKUP(C1530,Plan!A$1:B$65542,2,0)</f>
        <v>Disponible Administración</v>
      </c>
      <c r="E1530" s="341">
        <f>+F1530-G1530</f>
        <v>10000</v>
      </c>
      <c r="F1530" s="396">
        <v>10000</v>
      </c>
      <c r="G1530" s="396">
        <v>0</v>
      </c>
      <c r="H1530" t="s">
        <v>945</v>
      </c>
      <c r="I1530" s="347" t="s">
        <v>1303</v>
      </c>
      <c r="K1530" s="370"/>
      <c r="N1530" s="370"/>
    </row>
    <row r="1531" spans="1:14" s="347" customFormat="1" x14ac:dyDescent="0.25">
      <c r="A1531" s="369">
        <f>+A1530</f>
        <v>44298</v>
      </c>
      <c r="B1531" s="347">
        <f>+B1530</f>
        <v>4</v>
      </c>
      <c r="C1531" s="347">
        <v>3110</v>
      </c>
      <c r="D1531" s="340" t="str">
        <f>VLOOKUP(C1531,Plan!A$1:B$65542,2,0)</f>
        <v>Colectas Normales</v>
      </c>
      <c r="E1531" s="396">
        <f>-G1531</f>
        <v>-10000</v>
      </c>
      <c r="F1531" s="396">
        <v>0</v>
      </c>
      <c r="G1531" s="396">
        <f>+F1530</f>
        <v>10000</v>
      </c>
      <c r="H1531" s="347" t="str">
        <f>+H1530</f>
        <v>Colecta Maria Corte</v>
      </c>
      <c r="I1531" s="347" t="s">
        <v>1303</v>
      </c>
      <c r="K1531" s="370"/>
      <c r="N1531" s="370"/>
    </row>
    <row r="1532" spans="1:14" s="347" customFormat="1" x14ac:dyDescent="0.25">
      <c r="A1532" s="369"/>
      <c r="E1532" s="396"/>
      <c r="F1532" s="396"/>
      <c r="G1532" s="396"/>
      <c r="K1532" s="370"/>
      <c r="N1532" s="370"/>
    </row>
    <row r="1533" spans="1:14" s="347" customFormat="1" x14ac:dyDescent="0.25">
      <c r="A1533" s="369">
        <v>44298</v>
      </c>
      <c r="B1533" s="340">
        <f>+MONTH(A1533)</f>
        <v>4</v>
      </c>
      <c r="C1533" s="347">
        <v>110</v>
      </c>
      <c r="D1533" s="340" t="str">
        <f>VLOOKUP(C1533,Plan!A$1:B$65542,2,0)</f>
        <v>Disponible Administración</v>
      </c>
      <c r="E1533" s="341">
        <f>+F1533-G1533</f>
        <v>10000</v>
      </c>
      <c r="F1533" s="396">
        <v>10000</v>
      </c>
      <c r="G1533" s="396">
        <v>0</v>
      </c>
      <c r="H1533" t="s">
        <v>1183</v>
      </c>
      <c r="I1533" s="347" t="s">
        <v>1303</v>
      </c>
      <c r="K1533" s="370"/>
      <c r="N1533" s="370"/>
    </row>
    <row r="1534" spans="1:14" s="347" customFormat="1" x14ac:dyDescent="0.25">
      <c r="A1534" s="369">
        <f>+A1533</f>
        <v>44298</v>
      </c>
      <c r="B1534" s="347">
        <f>+B1533</f>
        <v>4</v>
      </c>
      <c r="C1534" s="347">
        <v>3110</v>
      </c>
      <c r="D1534" s="340" t="str">
        <f>VLOOKUP(C1534,Plan!A$1:B$65542,2,0)</f>
        <v>Colectas Normales</v>
      </c>
      <c r="E1534" s="396">
        <f>-G1534</f>
        <v>-10000</v>
      </c>
      <c r="F1534" s="396">
        <v>0</v>
      </c>
      <c r="G1534" s="396">
        <f>+F1533</f>
        <v>10000</v>
      </c>
      <c r="H1534" s="347" t="str">
        <f>+H1533</f>
        <v>Colecta Hilda Dougnac</v>
      </c>
      <c r="I1534" s="347" t="s">
        <v>1303</v>
      </c>
      <c r="K1534" s="370"/>
      <c r="N1534" s="370"/>
    </row>
    <row r="1535" spans="1:14" s="347" customFormat="1" x14ac:dyDescent="0.25">
      <c r="A1535" s="369"/>
      <c r="E1535" s="396"/>
      <c r="F1535" s="396"/>
      <c r="G1535" s="396"/>
      <c r="K1535" s="370"/>
      <c r="N1535" s="370"/>
    </row>
    <row r="1536" spans="1:14" s="347" customFormat="1" x14ac:dyDescent="0.25">
      <c r="A1536" s="369">
        <v>44298</v>
      </c>
      <c r="B1536" s="340">
        <f>+MONTH(A1536)</f>
        <v>4</v>
      </c>
      <c r="C1536" s="347">
        <v>110</v>
      </c>
      <c r="D1536" s="340" t="str">
        <f>VLOOKUP(C1536,Plan!A$1:B$65542,2,0)</f>
        <v>Disponible Administración</v>
      </c>
      <c r="E1536" s="341">
        <f>+F1536-G1536</f>
        <v>200000</v>
      </c>
      <c r="F1536" s="396">
        <v>200000</v>
      </c>
      <c r="G1536" s="396">
        <v>0</v>
      </c>
      <c r="H1536" t="s">
        <v>1335</v>
      </c>
      <c r="I1536" s="347" t="s">
        <v>1303</v>
      </c>
      <c r="K1536" s="370"/>
      <c r="N1536" s="370"/>
    </row>
    <row r="1537" spans="1:14" s="347" customFormat="1" x14ac:dyDescent="0.25">
      <c r="A1537" s="369">
        <f>+A1536</f>
        <v>44298</v>
      </c>
      <c r="B1537" s="347">
        <f>+B1536</f>
        <v>4</v>
      </c>
      <c r="C1537" s="347">
        <v>215</v>
      </c>
      <c r="D1537" s="340" t="str">
        <f>VLOOKUP(C1537,Plan!A$1:B$65542,2,0)</f>
        <v>Cuenta por Pagar a Cali</v>
      </c>
      <c r="E1537" s="396">
        <f>-G1537</f>
        <v>-200000</v>
      </c>
      <c r="F1537" s="396">
        <v>0</v>
      </c>
      <c r="G1537" s="396">
        <f>+F1536</f>
        <v>200000</v>
      </c>
      <c r="H1537" s="347" t="str">
        <f>+H1536</f>
        <v>Benjamin Herrera Riesco / azul</v>
      </c>
      <c r="I1537" s="347" t="s">
        <v>1303</v>
      </c>
      <c r="K1537" s="370"/>
      <c r="N1537" s="370"/>
    </row>
    <row r="1538" spans="1:14" s="347" customFormat="1" x14ac:dyDescent="0.25">
      <c r="A1538" s="369"/>
      <c r="E1538" s="396"/>
      <c r="F1538" s="396"/>
      <c r="G1538" s="396"/>
      <c r="K1538" s="370"/>
      <c r="N1538" s="370"/>
    </row>
    <row r="1539" spans="1:14" s="347" customFormat="1" x14ac:dyDescent="0.25">
      <c r="A1539" s="369">
        <v>44298</v>
      </c>
      <c r="B1539" s="340">
        <f>+MONTH(A1539)</f>
        <v>4</v>
      </c>
      <c r="C1539" s="347">
        <v>110</v>
      </c>
      <c r="D1539" s="340" t="str">
        <f>VLOOKUP(C1539,Plan!A$1:B$65542,2,0)</f>
        <v>Disponible Administración</v>
      </c>
      <c r="E1539" s="341">
        <f>+F1539-G1539</f>
        <v>10000</v>
      </c>
      <c r="F1539" s="396">
        <v>10000</v>
      </c>
      <c r="G1539" s="396">
        <v>0</v>
      </c>
      <c r="H1539" t="s">
        <v>881</v>
      </c>
      <c r="I1539" s="347" t="s">
        <v>1303</v>
      </c>
      <c r="K1539" s="370"/>
      <c r="N1539" s="370"/>
    </row>
    <row r="1540" spans="1:14" s="347" customFormat="1" x14ac:dyDescent="0.25">
      <c r="A1540" s="369">
        <f>+A1539</f>
        <v>44298</v>
      </c>
      <c r="B1540" s="347">
        <f>+B1539</f>
        <v>4</v>
      </c>
      <c r="C1540" s="347">
        <v>3110</v>
      </c>
      <c r="D1540" s="340" t="str">
        <f>VLOOKUP(C1540,Plan!A$1:B$65542,2,0)</f>
        <v>Colectas Normales</v>
      </c>
      <c r="E1540" s="396">
        <f>-G1540</f>
        <v>-10000</v>
      </c>
      <c r="F1540" s="396">
        <v>0</v>
      </c>
      <c r="G1540" s="396">
        <f>+F1539</f>
        <v>10000</v>
      </c>
      <c r="H1540" s="347" t="str">
        <f>+H1539</f>
        <v>Colecta Rafael Marin Jordan</v>
      </c>
      <c r="I1540" s="347" t="s">
        <v>1303</v>
      </c>
      <c r="K1540" s="370"/>
      <c r="N1540" s="370"/>
    </row>
    <row r="1541" spans="1:14" s="347" customFormat="1" x14ac:dyDescent="0.25">
      <c r="A1541" s="369"/>
      <c r="E1541" s="396"/>
      <c r="F1541" s="396"/>
      <c r="G1541" s="396"/>
      <c r="K1541" s="370"/>
      <c r="N1541" s="370"/>
    </row>
    <row r="1542" spans="1:14" s="347" customFormat="1" x14ac:dyDescent="0.25">
      <c r="A1542" s="369">
        <v>44298</v>
      </c>
      <c r="B1542" s="340">
        <f>+MONTH(A1542)</f>
        <v>4</v>
      </c>
      <c r="C1542" s="347">
        <v>110</v>
      </c>
      <c r="D1542" s="340" t="str">
        <f>VLOOKUP(C1542,Plan!A$1:B$65542,2,0)</f>
        <v>Disponible Administración</v>
      </c>
      <c r="E1542" s="341">
        <f>+F1542-G1542</f>
        <v>40000</v>
      </c>
      <c r="F1542" s="396">
        <v>40000</v>
      </c>
      <c r="G1542" s="396">
        <v>0</v>
      </c>
      <c r="H1542" t="s">
        <v>1336</v>
      </c>
      <c r="I1542" s="347" t="s">
        <v>1303</v>
      </c>
      <c r="K1542" s="370"/>
      <c r="N1542" s="370"/>
    </row>
    <row r="1543" spans="1:14" s="347" customFormat="1" x14ac:dyDescent="0.25">
      <c r="A1543" s="369">
        <f>+A1542</f>
        <v>44298</v>
      </c>
      <c r="B1543" s="347">
        <f>+B1542</f>
        <v>4</v>
      </c>
      <c r="C1543" s="347">
        <v>3110</v>
      </c>
      <c r="D1543" s="340" t="str">
        <f>VLOOKUP(C1543,Plan!A$1:B$65542,2,0)</f>
        <v>Colectas Normales</v>
      </c>
      <c r="E1543" s="396">
        <f>-G1543</f>
        <v>-40000</v>
      </c>
      <c r="F1543" s="396">
        <v>0</v>
      </c>
      <c r="G1543" s="396">
        <f>+F1542</f>
        <v>40000</v>
      </c>
      <c r="H1543" s="347" t="str">
        <f>+H1542</f>
        <v>Colecta Maria Jose Fernandez cifuentes</v>
      </c>
      <c r="I1543" s="347" t="s">
        <v>1303</v>
      </c>
      <c r="K1543" s="370"/>
      <c r="N1543" s="370"/>
    </row>
    <row r="1544" spans="1:14" s="347" customFormat="1" x14ac:dyDescent="0.25">
      <c r="A1544" s="369"/>
      <c r="E1544" s="396"/>
      <c r="F1544" s="396"/>
      <c r="G1544" s="396"/>
      <c r="K1544" s="370"/>
      <c r="N1544" s="370"/>
    </row>
    <row r="1545" spans="1:14" s="347" customFormat="1" x14ac:dyDescent="0.25">
      <c r="A1545" s="369">
        <v>44298</v>
      </c>
      <c r="B1545" s="340">
        <f>+MONTH(A1545)</f>
        <v>4</v>
      </c>
      <c r="C1545" s="347">
        <v>110</v>
      </c>
      <c r="D1545" s="340" t="str">
        <f>VLOOKUP(C1545,Plan!A$1:B$65542,2,0)</f>
        <v>Disponible Administración</v>
      </c>
      <c r="E1545" s="341">
        <f>+F1545-G1545</f>
        <v>20000</v>
      </c>
      <c r="F1545" s="396">
        <v>20000</v>
      </c>
      <c r="G1545" s="396">
        <v>0</v>
      </c>
      <c r="H1545" t="s">
        <v>1159</v>
      </c>
      <c r="I1545" s="347" t="s">
        <v>1303</v>
      </c>
      <c r="K1545" s="370"/>
      <c r="N1545" s="370"/>
    </row>
    <row r="1546" spans="1:14" s="347" customFormat="1" x14ac:dyDescent="0.25">
      <c r="A1546" s="369">
        <f>+A1545</f>
        <v>44298</v>
      </c>
      <c r="B1546" s="347">
        <f>+B1545</f>
        <v>4</v>
      </c>
      <c r="C1546" s="347">
        <v>3110</v>
      </c>
      <c r="D1546" s="340" t="str">
        <f>VLOOKUP(C1546,Plan!A$1:B$65542,2,0)</f>
        <v>Colectas Normales</v>
      </c>
      <c r="E1546" s="396">
        <f>-G1546</f>
        <v>-20000</v>
      </c>
      <c r="F1546" s="396">
        <v>0</v>
      </c>
      <c r="G1546" s="396">
        <f>+F1545</f>
        <v>20000</v>
      </c>
      <c r="H1546" s="347" t="str">
        <f>+H1545</f>
        <v>Colecta Guillermo Turner Olea</v>
      </c>
      <c r="I1546" s="347" t="s">
        <v>1303</v>
      </c>
      <c r="K1546" s="370"/>
      <c r="N1546" s="370"/>
    </row>
    <row r="1547" spans="1:14" s="347" customFormat="1" x14ac:dyDescent="0.25">
      <c r="A1547" s="369"/>
      <c r="E1547" s="396"/>
      <c r="F1547" s="396"/>
      <c r="G1547" s="396"/>
      <c r="K1547" s="370"/>
      <c r="N1547" s="370"/>
    </row>
    <row r="1548" spans="1:14" s="347" customFormat="1" x14ac:dyDescent="0.25">
      <c r="A1548" s="369">
        <v>44298</v>
      </c>
      <c r="B1548" s="340">
        <f>+MONTH(A1548)</f>
        <v>4</v>
      </c>
      <c r="C1548" s="347">
        <v>110</v>
      </c>
      <c r="D1548" s="340" t="str">
        <f>VLOOKUP(C1548,Plan!A$1:B$65542,2,0)</f>
        <v>Disponible Administración</v>
      </c>
      <c r="E1548" s="341">
        <f>+F1548-G1548</f>
        <v>5000</v>
      </c>
      <c r="F1548" s="396">
        <v>5000</v>
      </c>
      <c r="G1548" s="396">
        <v>0</v>
      </c>
      <c r="H1548" t="s">
        <v>1108</v>
      </c>
      <c r="I1548" s="347" t="s">
        <v>1303</v>
      </c>
      <c r="K1548" s="370"/>
      <c r="N1548" s="370"/>
    </row>
    <row r="1549" spans="1:14" s="347" customFormat="1" x14ac:dyDescent="0.25">
      <c r="A1549" s="369">
        <f>+A1548</f>
        <v>44298</v>
      </c>
      <c r="B1549" s="347">
        <f>+B1548</f>
        <v>4</v>
      </c>
      <c r="C1549" s="347">
        <v>3110</v>
      </c>
      <c r="D1549" s="340" t="str">
        <f>VLOOKUP(C1549,Plan!A$1:B$65542,2,0)</f>
        <v>Colectas Normales</v>
      </c>
      <c r="E1549" s="396">
        <f>-G1549</f>
        <v>-5000</v>
      </c>
      <c r="F1549" s="396">
        <v>0</v>
      </c>
      <c r="G1549" s="396">
        <f>+F1548</f>
        <v>5000</v>
      </c>
      <c r="H1549" s="347" t="str">
        <f>+H1548</f>
        <v>Colecta Ricardo Fernandez</v>
      </c>
      <c r="I1549" s="347" t="s">
        <v>1303</v>
      </c>
      <c r="K1549" s="370"/>
      <c r="N1549" s="370"/>
    </row>
    <row r="1550" spans="1:14" s="347" customFormat="1" x14ac:dyDescent="0.25">
      <c r="A1550" s="369"/>
      <c r="E1550" s="396"/>
      <c r="F1550" s="396"/>
      <c r="G1550" s="396"/>
      <c r="K1550" s="370"/>
      <c r="N1550" s="370"/>
    </row>
    <row r="1551" spans="1:14" s="347" customFormat="1" x14ac:dyDescent="0.25">
      <c r="A1551" s="369">
        <v>44298</v>
      </c>
      <c r="B1551" s="340">
        <f>+MONTH(A1551)</f>
        <v>4</v>
      </c>
      <c r="C1551" s="347">
        <v>110</v>
      </c>
      <c r="D1551" s="340" t="str">
        <f>VLOOKUP(C1551,Plan!A$1:B$65542,2,0)</f>
        <v>Disponible Administración</v>
      </c>
      <c r="E1551" s="341">
        <f>+F1551-G1551</f>
        <v>25000</v>
      </c>
      <c r="F1551" s="396">
        <v>25000</v>
      </c>
      <c r="G1551" s="396">
        <v>0</v>
      </c>
      <c r="H1551" t="s">
        <v>1337</v>
      </c>
      <c r="I1551" s="347" t="s">
        <v>1303</v>
      </c>
      <c r="K1551" s="370"/>
      <c r="N1551" s="370"/>
    </row>
    <row r="1552" spans="1:14" s="347" customFormat="1" x14ac:dyDescent="0.25">
      <c r="A1552" s="369">
        <f>+A1551</f>
        <v>44298</v>
      </c>
      <c r="B1552" s="347">
        <f>+B1551</f>
        <v>4</v>
      </c>
      <c r="C1552" s="347">
        <v>3450</v>
      </c>
      <c r="D1552" s="340" t="str">
        <f>VLOOKUP(C1552,Plan!A$1:B$65542,2,0)</f>
        <v>Pastoral Social</v>
      </c>
      <c r="E1552" s="396">
        <f>-G1552</f>
        <v>-25000</v>
      </c>
      <c r="F1552" s="396">
        <v>0</v>
      </c>
      <c r="G1552" s="396">
        <f>+F1551</f>
        <v>25000</v>
      </c>
      <c r="H1552" s="347" t="str">
        <f>+H1551</f>
        <v>Canastas Ricardo Fernandez</v>
      </c>
      <c r="I1552" s="347" t="s">
        <v>1303</v>
      </c>
      <c r="K1552" s="370"/>
      <c r="N1552" s="370"/>
    </row>
    <row r="1553" spans="1:14" s="347" customFormat="1" x14ac:dyDescent="0.25">
      <c r="A1553" s="369"/>
      <c r="E1553" s="396"/>
      <c r="F1553" s="396"/>
      <c r="G1553" s="396"/>
      <c r="K1553" s="370"/>
      <c r="N1553" s="370"/>
    </row>
    <row r="1554" spans="1:14" s="347" customFormat="1" x14ac:dyDescent="0.25">
      <c r="A1554" s="369">
        <v>44298</v>
      </c>
      <c r="B1554" s="340">
        <f>+MONTH(A1554)</f>
        <v>4</v>
      </c>
      <c r="C1554" s="347">
        <v>110</v>
      </c>
      <c r="D1554" s="340" t="str">
        <f>VLOOKUP(C1554,Plan!A$1:B$65542,2,0)</f>
        <v>Disponible Administración</v>
      </c>
      <c r="E1554" s="341">
        <f>+F1554-G1554</f>
        <v>15000</v>
      </c>
      <c r="F1554" s="396">
        <v>15000</v>
      </c>
      <c r="G1554" s="396">
        <v>0</v>
      </c>
      <c r="H1554" t="s">
        <v>916</v>
      </c>
      <c r="I1554" s="347" t="s">
        <v>1303</v>
      </c>
      <c r="K1554" s="370"/>
      <c r="N1554" s="370"/>
    </row>
    <row r="1555" spans="1:14" s="347" customFormat="1" x14ac:dyDescent="0.25">
      <c r="A1555" s="369">
        <f>+A1554</f>
        <v>44298</v>
      </c>
      <c r="B1555" s="347">
        <f>+B1554</f>
        <v>4</v>
      </c>
      <c r="C1555" s="347">
        <v>3110</v>
      </c>
      <c r="D1555" s="340" t="str">
        <f>VLOOKUP(C1555,Plan!A$1:B$65542,2,0)</f>
        <v>Colectas Normales</v>
      </c>
      <c r="E1555" s="396">
        <f>-G1555</f>
        <v>-15000</v>
      </c>
      <c r="F1555" s="396">
        <v>0</v>
      </c>
      <c r="G1555" s="396">
        <f>+F1554</f>
        <v>15000</v>
      </c>
      <c r="H1555" s="347" t="str">
        <f>+H1554</f>
        <v>Colecta Francisco Arteaga Errazuriz</v>
      </c>
      <c r="I1555" s="347" t="s">
        <v>1303</v>
      </c>
      <c r="K1555" s="370"/>
      <c r="N1555" s="370"/>
    </row>
    <row r="1556" spans="1:14" s="347" customFormat="1" x14ac:dyDescent="0.25">
      <c r="A1556" s="369"/>
      <c r="E1556" s="396"/>
      <c r="F1556" s="396"/>
      <c r="G1556" s="396"/>
      <c r="K1556" s="370"/>
      <c r="N1556" s="370"/>
    </row>
    <row r="1557" spans="1:14" s="347" customFormat="1" x14ac:dyDescent="0.25">
      <c r="A1557" s="369">
        <v>44298</v>
      </c>
      <c r="B1557" s="340">
        <f>+MONTH(A1557)</f>
        <v>4</v>
      </c>
      <c r="C1557" s="347">
        <v>110</v>
      </c>
      <c r="D1557" s="340" t="str">
        <f>VLOOKUP(C1557,Plan!A$1:B$65542,2,0)</f>
        <v>Disponible Administración</v>
      </c>
      <c r="E1557" s="341">
        <f>+F1557-G1557</f>
        <v>10000</v>
      </c>
      <c r="F1557" s="396">
        <v>10000</v>
      </c>
      <c r="G1557" s="396">
        <v>0</v>
      </c>
      <c r="H1557" t="s">
        <v>880</v>
      </c>
      <c r="I1557" s="347" t="s">
        <v>1303</v>
      </c>
      <c r="K1557" s="370"/>
      <c r="N1557" s="370"/>
    </row>
    <row r="1558" spans="1:14" s="347" customFormat="1" x14ac:dyDescent="0.25">
      <c r="A1558" s="369">
        <f>+A1557</f>
        <v>44298</v>
      </c>
      <c r="B1558" s="347">
        <f>+B1557</f>
        <v>4</v>
      </c>
      <c r="C1558" s="347">
        <v>3110</v>
      </c>
      <c r="D1558" s="340" t="str">
        <f>VLOOKUP(C1558,Plan!A$1:B$65542,2,0)</f>
        <v>Colectas Normales</v>
      </c>
      <c r="E1558" s="396">
        <f>-G1558</f>
        <v>-10000</v>
      </c>
      <c r="F1558" s="396">
        <v>0</v>
      </c>
      <c r="G1558" s="396">
        <f>+F1557</f>
        <v>10000</v>
      </c>
      <c r="H1558" s="347" t="str">
        <f>+H1557</f>
        <v>Colecta Sebastian Rios</v>
      </c>
      <c r="I1558" s="347" t="s">
        <v>1303</v>
      </c>
      <c r="K1558" s="370"/>
      <c r="N1558" s="370"/>
    </row>
    <row r="1559" spans="1:14" s="347" customFormat="1" x14ac:dyDescent="0.25">
      <c r="A1559" s="369"/>
      <c r="E1559" s="396"/>
      <c r="F1559" s="396"/>
      <c r="G1559" s="396"/>
      <c r="K1559" s="370"/>
      <c r="N1559" s="370"/>
    </row>
    <row r="1560" spans="1:14" s="347" customFormat="1" x14ac:dyDescent="0.25">
      <c r="A1560" s="369">
        <v>44298</v>
      </c>
      <c r="B1560" s="340">
        <f>+MONTH(A1560)</f>
        <v>4</v>
      </c>
      <c r="C1560" s="347">
        <v>110</v>
      </c>
      <c r="D1560" s="340" t="str">
        <f>VLOOKUP(C1560,Plan!A$1:B$65542,2,0)</f>
        <v>Disponible Administración</v>
      </c>
      <c r="E1560" s="341">
        <f>+F1560-G1560</f>
        <v>10000</v>
      </c>
      <c r="F1560" s="396">
        <v>10000</v>
      </c>
      <c r="G1560" s="396">
        <v>0</v>
      </c>
      <c r="H1560" t="s">
        <v>1134</v>
      </c>
      <c r="I1560" s="347" t="s">
        <v>1303</v>
      </c>
      <c r="K1560" s="370"/>
      <c r="N1560" s="370"/>
    </row>
    <row r="1561" spans="1:14" s="347" customFormat="1" x14ac:dyDescent="0.25">
      <c r="A1561" s="369">
        <f>+A1560</f>
        <v>44298</v>
      </c>
      <c r="B1561" s="347">
        <f>+B1560</f>
        <v>4</v>
      </c>
      <c r="C1561" s="347">
        <v>3110</v>
      </c>
      <c r="D1561" s="340" t="str">
        <f>VLOOKUP(C1561,Plan!A$1:B$65542,2,0)</f>
        <v>Colectas Normales</v>
      </c>
      <c r="E1561" s="396">
        <f>-G1561</f>
        <v>-10000</v>
      </c>
      <c r="F1561" s="396">
        <v>0</v>
      </c>
      <c r="G1561" s="396">
        <f>+F1560</f>
        <v>10000</v>
      </c>
      <c r="H1561" s="347" t="str">
        <f>+H1560</f>
        <v>Colecta Roberto Vergara Ossa</v>
      </c>
      <c r="I1561" s="347" t="s">
        <v>1303</v>
      </c>
      <c r="K1561" s="370"/>
      <c r="N1561" s="370"/>
    </row>
    <row r="1562" spans="1:14" s="347" customFormat="1" x14ac:dyDescent="0.25">
      <c r="A1562" s="369"/>
      <c r="E1562" s="396"/>
      <c r="F1562" s="396"/>
      <c r="G1562" s="396"/>
      <c r="K1562" s="370"/>
      <c r="N1562" s="370"/>
    </row>
    <row r="1563" spans="1:14" s="347" customFormat="1" x14ac:dyDescent="0.25">
      <c r="A1563" s="369">
        <v>44298</v>
      </c>
      <c r="B1563" s="340">
        <f>+MONTH(A1563)</f>
        <v>4</v>
      </c>
      <c r="C1563" s="347">
        <v>110</v>
      </c>
      <c r="D1563" s="340" t="str">
        <f>VLOOKUP(C1563,Plan!A$1:B$65542,2,0)</f>
        <v>Disponible Administración</v>
      </c>
      <c r="E1563" s="341">
        <f>+F1563-G1563</f>
        <v>5000</v>
      </c>
      <c r="F1563" s="396">
        <v>5000</v>
      </c>
      <c r="G1563" s="396">
        <v>0</v>
      </c>
      <c r="H1563" t="s">
        <v>899</v>
      </c>
      <c r="I1563" s="347" t="s">
        <v>1303</v>
      </c>
      <c r="K1563" s="370"/>
      <c r="N1563" s="370"/>
    </row>
    <row r="1564" spans="1:14" s="347" customFormat="1" x14ac:dyDescent="0.25">
      <c r="A1564" s="369">
        <f>+A1563</f>
        <v>44298</v>
      </c>
      <c r="B1564" s="347">
        <f>+B1563</f>
        <v>4</v>
      </c>
      <c r="C1564" s="347">
        <v>3110</v>
      </c>
      <c r="D1564" s="340" t="str">
        <f>VLOOKUP(C1564,Plan!A$1:B$65542,2,0)</f>
        <v>Colectas Normales</v>
      </c>
      <c r="E1564" s="396">
        <f>-G1564</f>
        <v>-5000</v>
      </c>
      <c r="F1564" s="396">
        <v>0</v>
      </c>
      <c r="G1564" s="396">
        <f>+F1563</f>
        <v>5000</v>
      </c>
      <c r="H1564" s="347" t="str">
        <f>+H1563</f>
        <v>Colecta Carlos Anwandter</v>
      </c>
      <c r="I1564" s="347" t="s">
        <v>1303</v>
      </c>
      <c r="K1564" s="370"/>
      <c r="N1564" s="370"/>
    </row>
    <row r="1565" spans="1:14" s="347" customFormat="1" x14ac:dyDescent="0.25">
      <c r="A1565" s="369"/>
      <c r="E1565" s="396"/>
      <c r="F1565" s="396"/>
      <c r="G1565" s="396"/>
      <c r="K1565" s="370"/>
      <c r="N1565" s="370"/>
    </row>
    <row r="1566" spans="1:14" s="347" customFormat="1" x14ac:dyDescent="0.25">
      <c r="A1566" s="369">
        <v>44298</v>
      </c>
      <c r="B1566" s="340">
        <f>+MONTH(A1566)</f>
        <v>4</v>
      </c>
      <c r="C1566" s="347">
        <v>110</v>
      </c>
      <c r="D1566" s="340" t="str">
        <f>VLOOKUP(C1566,Plan!A$1:B$65542,2,0)</f>
        <v>Disponible Administración</v>
      </c>
      <c r="E1566" s="341">
        <f>+F1566-G1566</f>
        <v>10000</v>
      </c>
      <c r="F1566" s="396">
        <v>10000</v>
      </c>
      <c r="G1566" s="396">
        <v>0</v>
      </c>
      <c r="H1566" t="s">
        <v>1310</v>
      </c>
      <c r="I1566" s="347" t="s">
        <v>1303</v>
      </c>
      <c r="K1566" s="370"/>
      <c r="N1566" s="370"/>
    </row>
    <row r="1567" spans="1:14" s="347" customFormat="1" x14ac:dyDescent="0.25">
      <c r="A1567" s="369">
        <f>+A1566</f>
        <v>44298</v>
      </c>
      <c r="B1567" s="347">
        <f>+B1566</f>
        <v>4</v>
      </c>
      <c r="C1567" s="347">
        <v>3340</v>
      </c>
      <c r="D1567" s="340" t="str">
        <f>VLOOKUP(C1567,Plan!A$1:B$65542,2,0)</f>
        <v>Misas</v>
      </c>
      <c r="E1567" s="396">
        <f>-G1567</f>
        <v>-10000</v>
      </c>
      <c r="F1567" s="396">
        <v>0</v>
      </c>
      <c r="G1567" s="396">
        <f>+F1566</f>
        <v>10000</v>
      </c>
      <c r="H1567" s="347" t="str">
        <f>+H1566</f>
        <v>Misa Veronica Rojas</v>
      </c>
      <c r="I1567" s="347" t="s">
        <v>1303</v>
      </c>
      <c r="K1567" s="370"/>
      <c r="N1567" s="370"/>
    </row>
    <row r="1568" spans="1:14" s="347" customFormat="1" x14ac:dyDescent="0.25">
      <c r="A1568" s="369"/>
      <c r="E1568" s="396"/>
      <c r="F1568" s="396"/>
      <c r="G1568" s="396"/>
      <c r="K1568" s="370"/>
      <c r="N1568" s="370"/>
    </row>
    <row r="1569" spans="1:14" s="347" customFormat="1" x14ac:dyDescent="0.25">
      <c r="A1569" s="369">
        <v>44298</v>
      </c>
      <c r="B1569" s="340">
        <f>+MONTH(A1569)</f>
        <v>4</v>
      </c>
      <c r="C1569" s="347">
        <v>110</v>
      </c>
      <c r="D1569" s="340" t="str">
        <f>VLOOKUP(C1569,Plan!A$1:B$65542,2,0)</f>
        <v>Disponible Administración</v>
      </c>
      <c r="E1569" s="341">
        <f>+F1569-G1569</f>
        <v>2000</v>
      </c>
      <c r="F1569" s="396">
        <v>2000</v>
      </c>
      <c r="G1569" s="396">
        <v>0</v>
      </c>
      <c r="H1569" t="s">
        <v>1216</v>
      </c>
      <c r="I1569" s="347" t="s">
        <v>1303</v>
      </c>
      <c r="K1569" s="370"/>
      <c r="N1569" s="370"/>
    </row>
    <row r="1570" spans="1:14" s="347" customFormat="1" x14ac:dyDescent="0.25">
      <c r="A1570" s="369">
        <f>+A1569</f>
        <v>44298</v>
      </c>
      <c r="B1570" s="347">
        <f>+B1569</f>
        <v>4</v>
      </c>
      <c r="C1570" s="347">
        <v>3110</v>
      </c>
      <c r="D1570" s="340" t="str">
        <f>VLOOKUP(C1570,Plan!A$1:B$65542,2,0)</f>
        <v>Colectas Normales</v>
      </c>
      <c r="E1570" s="396">
        <f>-G1570</f>
        <v>-2000</v>
      </c>
      <c r="F1570" s="396">
        <v>0</v>
      </c>
      <c r="G1570" s="396">
        <f>+F1569</f>
        <v>2000</v>
      </c>
      <c r="H1570" s="347" t="str">
        <f>+H1569</f>
        <v>Colecta Trinidad Barriga Cruzat</v>
      </c>
      <c r="I1570" s="347" t="s">
        <v>1303</v>
      </c>
      <c r="K1570" s="370"/>
      <c r="N1570" s="370"/>
    </row>
    <row r="1571" spans="1:14" s="347" customFormat="1" x14ac:dyDescent="0.25">
      <c r="A1571" s="369"/>
      <c r="E1571" s="396"/>
      <c r="F1571" s="396"/>
      <c r="G1571" s="396"/>
      <c r="K1571" s="370"/>
      <c r="N1571" s="370"/>
    </row>
    <row r="1572" spans="1:14" s="347" customFormat="1" x14ac:dyDescent="0.25">
      <c r="A1572" s="369">
        <v>44298</v>
      </c>
      <c r="B1572" s="340">
        <f>+MONTH(A1572)</f>
        <v>4</v>
      </c>
      <c r="C1572" s="347">
        <v>110</v>
      </c>
      <c r="D1572" s="340" t="str">
        <f>VLOOKUP(C1572,Plan!A$1:B$65542,2,0)</f>
        <v>Disponible Administración</v>
      </c>
      <c r="E1572" s="341">
        <f>+F1572-G1572</f>
        <v>4900</v>
      </c>
      <c r="F1572" s="396">
        <v>4900</v>
      </c>
      <c r="G1572" s="396">
        <v>0</v>
      </c>
      <c r="H1572" t="s">
        <v>1338</v>
      </c>
      <c r="I1572" s="347" t="s">
        <v>1303</v>
      </c>
      <c r="K1572" s="370"/>
      <c r="N1572" s="370"/>
    </row>
    <row r="1573" spans="1:14" s="347" customFormat="1" x14ac:dyDescent="0.25">
      <c r="A1573" s="369">
        <f>+A1572</f>
        <v>44298</v>
      </c>
      <c r="B1573" s="347">
        <f>+B1572</f>
        <v>4</v>
      </c>
      <c r="C1573" s="347">
        <v>3340</v>
      </c>
      <c r="D1573" s="340" t="str">
        <f>VLOOKUP(C1573,Plan!A$1:B$65542,2,0)</f>
        <v>Misas</v>
      </c>
      <c r="E1573" s="396">
        <f>-G1573</f>
        <v>-4900</v>
      </c>
      <c r="F1573" s="396">
        <v>0</v>
      </c>
      <c r="G1573" s="396">
        <f>+F1572</f>
        <v>4900</v>
      </c>
      <c r="H1573" s="347" t="str">
        <f>+H1572</f>
        <v>Misa DCT</v>
      </c>
      <c r="I1573" s="347" t="s">
        <v>1303</v>
      </c>
      <c r="K1573" s="370"/>
      <c r="N1573" s="370"/>
    </row>
    <row r="1574" spans="1:14" s="347" customFormat="1" x14ac:dyDescent="0.25">
      <c r="A1574" s="369"/>
      <c r="E1574" s="396"/>
      <c r="F1574" s="396"/>
      <c r="G1574" s="396"/>
      <c r="K1574" s="370"/>
      <c r="N1574" s="370"/>
    </row>
    <row r="1575" spans="1:14" s="347" customFormat="1" x14ac:dyDescent="0.25">
      <c r="A1575" s="369">
        <v>44298</v>
      </c>
      <c r="B1575" s="340">
        <f>+MONTH(A1575)</f>
        <v>4</v>
      </c>
      <c r="C1575" s="347">
        <v>110</v>
      </c>
      <c r="D1575" s="340" t="str">
        <f>VLOOKUP(C1575,Plan!A$1:B$65542,2,0)</f>
        <v>Disponible Administración</v>
      </c>
      <c r="E1575" s="341">
        <f>+F1575-G1575</f>
        <v>29643</v>
      </c>
      <c r="F1575" s="396">
        <v>29643</v>
      </c>
      <c r="G1575" s="396">
        <v>0</v>
      </c>
      <c r="H1575" t="s">
        <v>1338</v>
      </c>
      <c r="I1575" s="347" t="s">
        <v>1303</v>
      </c>
      <c r="K1575" s="370"/>
      <c r="N1575" s="370"/>
    </row>
    <row r="1576" spans="1:14" s="347" customFormat="1" x14ac:dyDescent="0.25">
      <c r="A1576" s="369">
        <f>+A1575</f>
        <v>44298</v>
      </c>
      <c r="B1576" s="347">
        <f>+B1575</f>
        <v>4</v>
      </c>
      <c r="C1576" s="347">
        <v>3340</v>
      </c>
      <c r="D1576" s="340" t="str">
        <f>VLOOKUP(C1576,Plan!A$1:B$65542,2,0)</f>
        <v>Misas</v>
      </c>
      <c r="E1576" s="396">
        <f>-G1576</f>
        <v>-29643</v>
      </c>
      <c r="F1576" s="396">
        <v>0</v>
      </c>
      <c r="G1576" s="396">
        <f>+F1575</f>
        <v>29643</v>
      </c>
      <c r="H1576" s="347" t="str">
        <f>+H1575</f>
        <v>Misa DCT</v>
      </c>
      <c r="I1576" s="347" t="s">
        <v>1303</v>
      </c>
      <c r="K1576" s="370"/>
      <c r="N1576" s="370"/>
    </row>
    <row r="1577" spans="1:14" s="347" customFormat="1" x14ac:dyDescent="0.25">
      <c r="A1577" s="369"/>
      <c r="E1577" s="396"/>
      <c r="F1577" s="396"/>
      <c r="G1577" s="396"/>
      <c r="K1577" s="370"/>
      <c r="N1577" s="370"/>
    </row>
    <row r="1578" spans="1:14" s="347" customFormat="1" x14ac:dyDescent="0.25">
      <c r="A1578" s="369">
        <v>44298</v>
      </c>
      <c r="B1578" s="340">
        <f>+MONTH(A1578)</f>
        <v>4</v>
      </c>
      <c r="C1578" s="347">
        <v>110</v>
      </c>
      <c r="D1578" s="340" t="str">
        <f>VLOOKUP(C1578,Plan!A$1:B$65542,2,0)</f>
        <v>Disponible Administración</v>
      </c>
      <c r="E1578" s="341">
        <f>+F1578-G1578</f>
        <v>10000</v>
      </c>
      <c r="F1578" s="396">
        <v>10000</v>
      </c>
      <c r="G1578" s="396">
        <v>0</v>
      </c>
      <c r="H1578" t="s">
        <v>1339</v>
      </c>
      <c r="I1578" s="347" t="s">
        <v>1303</v>
      </c>
      <c r="K1578" s="370"/>
      <c r="N1578" s="370"/>
    </row>
    <row r="1579" spans="1:14" s="347" customFormat="1" x14ac:dyDescent="0.25">
      <c r="A1579" s="369">
        <f>+A1578</f>
        <v>44298</v>
      </c>
      <c r="B1579" s="347">
        <f>+B1578</f>
        <v>4</v>
      </c>
      <c r="C1579" s="347">
        <v>3450</v>
      </c>
      <c r="D1579" s="340" t="str">
        <f>VLOOKUP(C1579,Plan!A$1:B$65542,2,0)</f>
        <v>Pastoral Social</v>
      </c>
      <c r="E1579" s="396">
        <f>-G1579</f>
        <v>-10000</v>
      </c>
      <c r="F1579" s="396">
        <v>0</v>
      </c>
      <c r="G1579" s="396">
        <f>+F1578</f>
        <v>10000</v>
      </c>
      <c r="H1579" s="347" t="str">
        <f>+H1578</f>
        <v>Canastas Cristian Jiron</v>
      </c>
      <c r="I1579" s="347" t="s">
        <v>1303</v>
      </c>
      <c r="K1579" s="370"/>
      <c r="N1579" s="370"/>
    </row>
    <row r="1580" spans="1:14" s="347" customFormat="1" x14ac:dyDescent="0.25">
      <c r="A1580" s="369"/>
      <c r="E1580" s="396"/>
      <c r="F1580" s="396"/>
      <c r="G1580" s="396"/>
      <c r="K1580" s="370"/>
      <c r="N1580" s="370"/>
    </row>
    <row r="1581" spans="1:14" s="347" customFormat="1" x14ac:dyDescent="0.25">
      <c r="A1581" s="369">
        <v>44298</v>
      </c>
      <c r="B1581" s="340">
        <f>+MONTH(A1581)</f>
        <v>4</v>
      </c>
      <c r="C1581" s="347">
        <v>110</v>
      </c>
      <c r="D1581" s="340" t="str">
        <f>VLOOKUP(C1581,Plan!A$1:B$65542,2,0)</f>
        <v>Disponible Administración</v>
      </c>
      <c r="E1581" s="341">
        <f>+F1581-G1581</f>
        <v>5000</v>
      </c>
      <c r="F1581" s="396">
        <v>5000</v>
      </c>
      <c r="G1581" s="396">
        <v>0</v>
      </c>
      <c r="H1581" t="s">
        <v>1151</v>
      </c>
      <c r="I1581" s="347" t="s">
        <v>1303</v>
      </c>
      <c r="K1581" s="370"/>
      <c r="N1581" s="370"/>
    </row>
    <row r="1582" spans="1:14" s="347" customFormat="1" x14ac:dyDescent="0.25">
      <c r="A1582" s="369">
        <f>+A1581</f>
        <v>44298</v>
      </c>
      <c r="B1582" s="347">
        <f>+B1581</f>
        <v>4</v>
      </c>
      <c r="C1582" s="347">
        <v>3110</v>
      </c>
      <c r="D1582" s="340" t="str">
        <f>VLOOKUP(C1582,Plan!A$1:B$65542,2,0)</f>
        <v>Colectas Normales</v>
      </c>
      <c r="E1582" s="396">
        <f>-G1582</f>
        <v>-5000</v>
      </c>
      <c r="F1582" s="396">
        <v>0</v>
      </c>
      <c r="G1582" s="396">
        <f>+F1581</f>
        <v>5000</v>
      </c>
      <c r="H1582" s="347" t="str">
        <f>+H1581</f>
        <v>Colecta Eduardo Boys M</v>
      </c>
      <c r="I1582" s="347" t="s">
        <v>1303</v>
      </c>
      <c r="K1582" s="370"/>
      <c r="N1582" s="370"/>
    </row>
    <row r="1583" spans="1:14" s="347" customFormat="1" x14ac:dyDescent="0.25">
      <c r="A1583" s="369"/>
      <c r="E1583" s="396"/>
      <c r="F1583" s="396"/>
      <c r="G1583" s="396"/>
      <c r="K1583" s="370"/>
      <c r="N1583" s="370"/>
    </row>
    <row r="1584" spans="1:14" s="347" customFormat="1" x14ac:dyDescent="0.25">
      <c r="A1584" s="369">
        <v>44298</v>
      </c>
      <c r="B1584" s="340">
        <f>+MONTH(A1584)</f>
        <v>4</v>
      </c>
      <c r="C1584" s="347">
        <v>110</v>
      </c>
      <c r="D1584" s="340" t="str">
        <f>VLOOKUP(C1584,Plan!A$1:B$65542,2,0)</f>
        <v>Disponible Administración</v>
      </c>
      <c r="E1584" s="341">
        <f>+F1584-G1584</f>
        <v>20000</v>
      </c>
      <c r="F1584" s="396">
        <v>20000</v>
      </c>
      <c r="G1584" s="396">
        <v>0</v>
      </c>
      <c r="H1584" t="s">
        <v>1340</v>
      </c>
      <c r="I1584" s="347" t="s">
        <v>1303</v>
      </c>
      <c r="K1584" s="370"/>
      <c r="N1584" s="370"/>
    </row>
    <row r="1585" spans="1:14" s="347" customFormat="1" x14ac:dyDescent="0.25">
      <c r="A1585" s="369">
        <f>+A1584</f>
        <v>44298</v>
      </c>
      <c r="B1585" s="347">
        <f>+B1584</f>
        <v>4</v>
      </c>
      <c r="C1585" s="347">
        <v>3450</v>
      </c>
      <c r="D1585" s="340" t="str">
        <f>VLOOKUP(C1585,Plan!A$1:B$65542,2,0)</f>
        <v>Pastoral Social</v>
      </c>
      <c r="E1585" s="396">
        <f>-G1585</f>
        <v>-20000</v>
      </c>
      <c r="F1585" s="396">
        <v>0</v>
      </c>
      <c r="G1585" s="396">
        <f>+F1584</f>
        <v>20000</v>
      </c>
      <c r="H1585" s="347" t="str">
        <f>+H1584</f>
        <v>Canasta M.Alejandro Valenzuela</v>
      </c>
      <c r="I1585" s="347" t="s">
        <v>1303</v>
      </c>
      <c r="K1585" s="370"/>
      <c r="N1585" s="370"/>
    </row>
    <row r="1586" spans="1:14" s="347" customFormat="1" x14ac:dyDescent="0.25">
      <c r="A1586" s="369"/>
      <c r="E1586" s="396"/>
      <c r="F1586" s="396"/>
      <c r="G1586" s="396"/>
      <c r="K1586" s="370"/>
      <c r="N1586" s="370"/>
    </row>
    <row r="1587" spans="1:14" s="347" customFormat="1" x14ac:dyDescent="0.25">
      <c r="A1587" s="369">
        <v>44299</v>
      </c>
      <c r="B1587" s="340">
        <f>+MONTH(A1587)</f>
        <v>4</v>
      </c>
      <c r="C1587" s="347">
        <v>110</v>
      </c>
      <c r="D1587" s="340" t="str">
        <f>VLOOKUP(C1587,Plan!A$1:B$65542,2,0)</f>
        <v>Disponible Administración</v>
      </c>
      <c r="E1587" s="341">
        <f>+F1587-G1587</f>
        <v>20000</v>
      </c>
      <c r="F1587" s="396">
        <v>20000</v>
      </c>
      <c r="G1587" s="396">
        <v>0</v>
      </c>
      <c r="H1587" t="s">
        <v>1341</v>
      </c>
      <c r="I1587" s="347" t="s">
        <v>1303</v>
      </c>
      <c r="K1587" s="370"/>
      <c r="N1587" s="370"/>
    </row>
    <row r="1588" spans="1:14" s="347" customFormat="1" x14ac:dyDescent="0.25">
      <c r="A1588" s="369">
        <f>+A1587</f>
        <v>44299</v>
      </c>
      <c r="B1588" s="347">
        <f>+B1587</f>
        <v>4</v>
      </c>
      <c r="C1588" s="347">
        <v>3450</v>
      </c>
      <c r="D1588" s="340" t="str">
        <f>VLOOKUP(C1588,Plan!A$1:B$65542,2,0)</f>
        <v>Pastoral Social</v>
      </c>
      <c r="E1588" s="396">
        <f>-G1588</f>
        <v>-20000</v>
      </c>
      <c r="F1588" s="396">
        <v>0</v>
      </c>
      <c r="G1588" s="396">
        <f>+F1587</f>
        <v>20000</v>
      </c>
      <c r="H1588" s="347" t="str">
        <f>+H1587</f>
        <v>Canasta Nora Alejandra Aranda</v>
      </c>
      <c r="I1588" s="347" t="s">
        <v>1303</v>
      </c>
      <c r="K1588" s="370"/>
      <c r="N1588" s="370"/>
    </row>
    <row r="1589" spans="1:14" s="347" customFormat="1" x14ac:dyDescent="0.25">
      <c r="A1589" s="369"/>
      <c r="E1589" s="396"/>
      <c r="F1589" s="396"/>
      <c r="G1589" s="396"/>
      <c r="K1589" s="370"/>
      <c r="N1589" s="370"/>
    </row>
    <row r="1590" spans="1:14" s="347" customFormat="1" x14ac:dyDescent="0.25">
      <c r="A1590" s="369">
        <v>44299</v>
      </c>
      <c r="B1590" s="340">
        <f>+MONTH(A1590)</f>
        <v>4</v>
      </c>
      <c r="C1590" s="347">
        <v>110</v>
      </c>
      <c r="D1590" s="340" t="str">
        <f>VLOOKUP(C1590,Plan!A$1:B$65542,2,0)</f>
        <v>Disponible Administración</v>
      </c>
      <c r="E1590" s="341">
        <f>+F1590-G1590</f>
        <v>25000</v>
      </c>
      <c r="F1590" s="396">
        <v>25000</v>
      </c>
      <c r="G1590" s="396">
        <v>0</v>
      </c>
      <c r="H1590" t="s">
        <v>1342</v>
      </c>
      <c r="I1590" s="347" t="s">
        <v>1303</v>
      </c>
      <c r="K1590" s="370"/>
      <c r="N1590" s="370"/>
    </row>
    <row r="1591" spans="1:14" s="347" customFormat="1" x14ac:dyDescent="0.25">
      <c r="A1591" s="369">
        <f>+A1590</f>
        <v>44299</v>
      </c>
      <c r="B1591" s="347">
        <f>+B1590</f>
        <v>4</v>
      </c>
      <c r="C1591" s="347">
        <v>3360</v>
      </c>
      <c r="D1591" s="340" t="str">
        <f>VLOOKUP(C1591,Plan!A$1:B$65542,2,0)</f>
        <v>Otros</v>
      </c>
      <c r="E1591" s="396">
        <f>-G1591</f>
        <v>-25000</v>
      </c>
      <c r="F1591" s="396">
        <v>0</v>
      </c>
      <c r="G1591" s="396">
        <f>+F1590</f>
        <v>25000</v>
      </c>
      <c r="H1591" s="347" t="str">
        <f>+H1590</f>
        <v>Curso Biblia Jorge Larrañaga</v>
      </c>
      <c r="I1591" s="347" t="s">
        <v>1303</v>
      </c>
      <c r="K1591" s="370"/>
      <c r="N1591" s="370"/>
    </row>
    <row r="1592" spans="1:14" s="347" customFormat="1" x14ac:dyDescent="0.25">
      <c r="A1592" s="369"/>
      <c r="E1592" s="396"/>
      <c r="F1592" s="396"/>
      <c r="G1592" s="396"/>
      <c r="K1592" s="370"/>
      <c r="N1592" s="370"/>
    </row>
    <row r="1593" spans="1:14" s="347" customFormat="1" x14ac:dyDescent="0.25">
      <c r="A1593" s="369">
        <v>44299</v>
      </c>
      <c r="B1593" s="340">
        <f>+MONTH(A1593)</f>
        <v>4</v>
      </c>
      <c r="C1593" s="347">
        <v>110</v>
      </c>
      <c r="D1593" s="340" t="str">
        <f>VLOOKUP(C1593,Plan!A$1:B$65542,2,0)</f>
        <v>Disponible Administración</v>
      </c>
      <c r="E1593" s="341">
        <f>+F1593-G1593</f>
        <v>20000</v>
      </c>
      <c r="F1593" s="396">
        <v>20000</v>
      </c>
      <c r="G1593" s="396">
        <v>0</v>
      </c>
      <c r="H1593" t="s">
        <v>1201</v>
      </c>
      <c r="I1593" s="347" t="s">
        <v>1303</v>
      </c>
      <c r="K1593" s="370"/>
      <c r="N1593" s="370"/>
    </row>
    <row r="1594" spans="1:14" s="347" customFormat="1" x14ac:dyDescent="0.25">
      <c r="A1594" s="369">
        <f>+A1593</f>
        <v>44299</v>
      </c>
      <c r="B1594" s="347">
        <f>+B1593</f>
        <v>4</v>
      </c>
      <c r="C1594" s="347">
        <v>3110</v>
      </c>
      <c r="D1594" s="340" t="str">
        <f>VLOOKUP(C1594,Plan!A$1:B$65542,2,0)</f>
        <v>Colectas Normales</v>
      </c>
      <c r="E1594" s="396">
        <f>-G1594</f>
        <v>-20000</v>
      </c>
      <c r="F1594" s="396">
        <v>0</v>
      </c>
      <c r="G1594" s="396">
        <f>+F1593</f>
        <v>20000</v>
      </c>
      <c r="H1594" s="347" t="str">
        <f>+H1593</f>
        <v>Colecta Jorge Larrañaga</v>
      </c>
      <c r="I1594" s="347" t="s">
        <v>1303</v>
      </c>
      <c r="K1594" s="370"/>
      <c r="N1594" s="370"/>
    </row>
    <row r="1595" spans="1:14" s="347" customFormat="1" x14ac:dyDescent="0.25">
      <c r="A1595" s="369"/>
      <c r="E1595" s="396"/>
      <c r="F1595" s="396"/>
      <c r="G1595" s="396"/>
      <c r="K1595" s="370"/>
      <c r="N1595" s="370"/>
    </row>
    <row r="1596" spans="1:14" s="347" customFormat="1" x14ac:dyDescent="0.25">
      <c r="A1596" s="369">
        <v>44299</v>
      </c>
      <c r="B1596" s="340">
        <f>+MONTH(A1596)</f>
        <v>4</v>
      </c>
      <c r="C1596" s="347">
        <v>110</v>
      </c>
      <c r="D1596" s="340" t="str">
        <f>VLOOKUP(C1596,Plan!A$1:B$65542,2,0)</f>
        <v>Disponible Administración</v>
      </c>
      <c r="E1596" s="341">
        <f>+F1596-G1596</f>
        <v>40000</v>
      </c>
      <c r="F1596" s="396">
        <v>40000</v>
      </c>
      <c r="G1596" s="396">
        <v>0</v>
      </c>
      <c r="H1596" t="s">
        <v>1343</v>
      </c>
      <c r="I1596" s="347" t="s">
        <v>1303</v>
      </c>
      <c r="K1596" s="370"/>
      <c r="N1596" s="370"/>
    </row>
    <row r="1597" spans="1:14" s="347" customFormat="1" x14ac:dyDescent="0.25">
      <c r="A1597" s="369">
        <f>+A1596</f>
        <v>44299</v>
      </c>
      <c r="B1597" s="347">
        <f>+B1596</f>
        <v>4</v>
      </c>
      <c r="C1597" s="347">
        <v>3450</v>
      </c>
      <c r="D1597" s="340" t="str">
        <f>VLOOKUP(C1597,Plan!A$1:B$65542,2,0)</f>
        <v>Pastoral Social</v>
      </c>
      <c r="E1597" s="396">
        <f>-G1597</f>
        <v>-40000</v>
      </c>
      <c r="F1597" s="396">
        <v>0</v>
      </c>
      <c r="G1597" s="396">
        <f>+F1596</f>
        <v>40000</v>
      </c>
      <c r="H1597" s="347" t="str">
        <f>+H1596</f>
        <v>Canasta Carmen Paz Cruz</v>
      </c>
      <c r="I1597" s="347" t="s">
        <v>1303</v>
      </c>
      <c r="K1597" s="370"/>
      <c r="N1597" s="370"/>
    </row>
    <row r="1598" spans="1:14" s="347" customFormat="1" x14ac:dyDescent="0.25">
      <c r="A1598" s="369"/>
      <c r="E1598" s="396"/>
      <c r="F1598" s="396"/>
      <c r="G1598" s="396"/>
      <c r="K1598" s="370"/>
      <c r="N1598" s="370"/>
    </row>
    <row r="1599" spans="1:14" s="347" customFormat="1" x14ac:dyDescent="0.25">
      <c r="A1599" s="369">
        <v>44299</v>
      </c>
      <c r="B1599" s="340">
        <f>+MONTH(A1599)</f>
        <v>4</v>
      </c>
      <c r="C1599" s="347">
        <v>110</v>
      </c>
      <c r="D1599" s="340" t="str">
        <f>VLOOKUP(C1599,Plan!A$1:B$65542,2,0)</f>
        <v>Disponible Administración</v>
      </c>
      <c r="E1599" s="341">
        <f>+F1599-G1599</f>
        <v>20000</v>
      </c>
      <c r="F1599" s="396">
        <v>20000</v>
      </c>
      <c r="G1599" s="396">
        <v>0</v>
      </c>
      <c r="H1599" t="s">
        <v>1811</v>
      </c>
      <c r="I1599" s="347" t="s">
        <v>1303</v>
      </c>
      <c r="K1599" s="370"/>
      <c r="N1599" s="370"/>
    </row>
    <row r="1600" spans="1:14" s="347" customFormat="1" x14ac:dyDescent="0.25">
      <c r="A1600" s="369">
        <f>+A1599</f>
        <v>44299</v>
      </c>
      <c r="B1600" s="347">
        <f>+B1599</f>
        <v>4</v>
      </c>
      <c r="C1600" s="347">
        <v>3450</v>
      </c>
      <c r="D1600" s="340" t="str">
        <f>VLOOKUP(C1600,Plan!A$1:B$65542,2,0)</f>
        <v>Pastoral Social</v>
      </c>
      <c r="E1600" s="396">
        <f>-G1600</f>
        <v>-20000</v>
      </c>
      <c r="F1600" s="396">
        <v>0</v>
      </c>
      <c r="G1600" s="396">
        <f>+F1599</f>
        <v>20000</v>
      </c>
      <c r="H1600" s="347" t="str">
        <f>+H1599</f>
        <v>Canastas Monica Charme</v>
      </c>
      <c r="I1600" s="347" t="s">
        <v>1303</v>
      </c>
      <c r="K1600" s="370"/>
      <c r="N1600" s="370"/>
    </row>
    <row r="1601" spans="1:14" s="347" customFormat="1" x14ac:dyDescent="0.25">
      <c r="A1601" s="369"/>
      <c r="E1601" s="396"/>
      <c r="F1601" s="396"/>
      <c r="G1601" s="396"/>
      <c r="K1601" s="370"/>
      <c r="N1601" s="370"/>
    </row>
    <row r="1602" spans="1:14" s="347" customFormat="1" x14ac:dyDescent="0.25">
      <c r="A1602" s="369">
        <v>44299</v>
      </c>
      <c r="B1602" s="340">
        <f>+MONTH(A1602)</f>
        <v>4</v>
      </c>
      <c r="C1602" s="347">
        <v>110</v>
      </c>
      <c r="D1602" s="340" t="str">
        <f>VLOOKUP(C1602,Plan!A$1:B$65542,2,0)</f>
        <v>Disponible Administración</v>
      </c>
      <c r="E1602" s="341">
        <f>+F1602-G1602</f>
        <v>20000</v>
      </c>
      <c r="F1602" s="396">
        <v>20000</v>
      </c>
      <c r="G1602" s="396">
        <v>0</v>
      </c>
      <c r="H1602" t="s">
        <v>1344</v>
      </c>
      <c r="I1602" s="347" t="s">
        <v>1303</v>
      </c>
      <c r="K1602" s="370"/>
      <c r="N1602" s="370"/>
    </row>
    <row r="1603" spans="1:14" s="347" customFormat="1" x14ac:dyDescent="0.25">
      <c r="A1603" s="369">
        <f>+A1602</f>
        <v>44299</v>
      </c>
      <c r="B1603" s="347">
        <f>+B1602</f>
        <v>4</v>
      </c>
      <c r="C1603" s="347">
        <v>3450</v>
      </c>
      <c r="D1603" s="340" t="str">
        <f>VLOOKUP(C1603,Plan!A$1:B$65542,2,0)</f>
        <v>Pastoral Social</v>
      </c>
      <c r="E1603" s="396">
        <f>-G1603</f>
        <v>-20000</v>
      </c>
      <c r="F1603" s="396">
        <v>0</v>
      </c>
      <c r="G1603" s="396">
        <f>+F1602</f>
        <v>20000</v>
      </c>
      <c r="H1603" s="347" t="str">
        <f>+H1602</f>
        <v>Canasta Mane Jara</v>
      </c>
      <c r="I1603" s="347" t="s">
        <v>1303</v>
      </c>
      <c r="K1603" s="370"/>
      <c r="N1603" s="370"/>
    </row>
    <row r="1604" spans="1:14" s="347" customFormat="1" x14ac:dyDescent="0.25">
      <c r="A1604" s="369"/>
      <c r="E1604" s="396"/>
      <c r="F1604" s="396"/>
      <c r="G1604" s="396"/>
      <c r="K1604" s="370"/>
      <c r="N1604" s="370"/>
    </row>
    <row r="1605" spans="1:14" s="347" customFormat="1" x14ac:dyDescent="0.25">
      <c r="A1605" s="369">
        <v>44299</v>
      </c>
      <c r="B1605" s="340">
        <f>+MONTH(A1605)</f>
        <v>4</v>
      </c>
      <c r="C1605" s="347">
        <v>110</v>
      </c>
      <c r="D1605" s="340" t="str">
        <f>VLOOKUP(C1605,Plan!A$1:B$65542,2,0)</f>
        <v>Disponible Administración</v>
      </c>
      <c r="E1605" s="341">
        <f>+F1605-G1605</f>
        <v>25000</v>
      </c>
      <c r="F1605" s="396">
        <v>25000</v>
      </c>
      <c r="G1605" s="396">
        <v>0</v>
      </c>
      <c r="H1605" t="s">
        <v>1345</v>
      </c>
      <c r="I1605" s="347" t="s">
        <v>1303</v>
      </c>
      <c r="K1605" s="370"/>
      <c r="N1605" s="370"/>
    </row>
    <row r="1606" spans="1:14" s="347" customFormat="1" x14ac:dyDescent="0.25">
      <c r="A1606" s="369">
        <f>+A1605</f>
        <v>44299</v>
      </c>
      <c r="B1606" s="347">
        <f>+B1605</f>
        <v>4</v>
      </c>
      <c r="C1606" s="347">
        <v>3450</v>
      </c>
      <c r="D1606" s="340" t="str">
        <f>VLOOKUP(C1606,Plan!A$1:B$65542,2,0)</f>
        <v>Pastoral Social</v>
      </c>
      <c r="E1606" s="396">
        <f>-G1606</f>
        <v>-25000</v>
      </c>
      <c r="F1606" s="396">
        <v>0</v>
      </c>
      <c r="G1606" s="396">
        <f>+F1605</f>
        <v>25000</v>
      </c>
      <c r="H1606" s="347" t="str">
        <f>+H1605</f>
        <v>Canasta M. Cecilia Laso</v>
      </c>
      <c r="I1606" s="347" t="s">
        <v>1303</v>
      </c>
      <c r="K1606" s="370"/>
      <c r="N1606" s="370"/>
    </row>
    <row r="1607" spans="1:14" s="347" customFormat="1" x14ac:dyDescent="0.25">
      <c r="A1607" s="369"/>
      <c r="E1607" s="396"/>
      <c r="F1607" s="396"/>
      <c r="G1607" s="396"/>
      <c r="K1607" s="370"/>
      <c r="N1607" s="370"/>
    </row>
    <row r="1608" spans="1:14" s="347" customFormat="1" x14ac:dyDescent="0.25">
      <c r="A1608" s="369">
        <v>44299</v>
      </c>
      <c r="B1608" s="340">
        <f>+MONTH(A1608)</f>
        <v>4</v>
      </c>
      <c r="C1608" s="347">
        <v>110</v>
      </c>
      <c r="D1608" s="340" t="str">
        <f>VLOOKUP(C1608,Plan!A$1:B$65542,2,0)</f>
        <v>Disponible Administración</v>
      </c>
      <c r="E1608" s="341">
        <f>+F1608-G1608</f>
        <v>68600</v>
      </c>
      <c r="F1608" s="396">
        <v>68600</v>
      </c>
      <c r="G1608" s="396">
        <v>0</v>
      </c>
      <c r="H1608" t="s">
        <v>897</v>
      </c>
      <c r="I1608" s="347" t="s">
        <v>1303</v>
      </c>
      <c r="K1608" s="370"/>
      <c r="N1608" s="370"/>
    </row>
    <row r="1609" spans="1:14" s="347" customFormat="1" x14ac:dyDescent="0.25">
      <c r="A1609" s="369">
        <f>+A1608</f>
        <v>44299</v>
      </c>
      <c r="B1609" s="347">
        <f>+B1608</f>
        <v>4</v>
      </c>
      <c r="C1609" s="347">
        <v>3110</v>
      </c>
      <c r="D1609" s="340" t="str">
        <f>VLOOKUP(C1609,Plan!A$1:B$65542,2,0)</f>
        <v>Colectas Normales</v>
      </c>
      <c r="E1609" s="396">
        <f>-G1609</f>
        <v>-68600</v>
      </c>
      <c r="F1609" s="396">
        <v>0</v>
      </c>
      <c r="G1609" s="396">
        <f>+F1608</f>
        <v>68600</v>
      </c>
      <c r="H1609" s="347" t="str">
        <f>+H1608</f>
        <v>Colecta DCT</v>
      </c>
      <c r="I1609" s="347" t="s">
        <v>1303</v>
      </c>
      <c r="K1609" s="370"/>
      <c r="N1609" s="370"/>
    </row>
    <row r="1610" spans="1:14" s="347" customFormat="1" x14ac:dyDescent="0.25">
      <c r="A1610" s="369"/>
      <c r="E1610" s="396"/>
      <c r="F1610" s="396"/>
      <c r="G1610" s="396"/>
      <c r="K1610" s="370"/>
      <c r="N1610" s="370"/>
    </row>
    <row r="1611" spans="1:14" s="347" customFormat="1" x14ac:dyDescent="0.25">
      <c r="A1611" s="369">
        <v>44299</v>
      </c>
      <c r="B1611" s="340">
        <f>+MONTH(A1611)</f>
        <v>4</v>
      </c>
      <c r="C1611" s="347">
        <v>110</v>
      </c>
      <c r="D1611" s="340" t="str">
        <f>VLOOKUP(C1611,Plan!A$1:B$65542,2,0)</f>
        <v>Disponible Administración</v>
      </c>
      <c r="E1611" s="341">
        <f>+F1611-G1611</f>
        <v>100000</v>
      </c>
      <c r="F1611" s="396">
        <v>100000</v>
      </c>
      <c r="G1611" s="396">
        <v>0</v>
      </c>
      <c r="H1611" t="s">
        <v>1346</v>
      </c>
      <c r="I1611" s="347" t="s">
        <v>1303</v>
      </c>
      <c r="K1611" s="370"/>
      <c r="N1611" s="370"/>
    </row>
    <row r="1612" spans="1:14" s="347" customFormat="1" x14ac:dyDescent="0.25">
      <c r="A1612" s="369">
        <f>+A1611</f>
        <v>44299</v>
      </c>
      <c r="B1612" s="347">
        <f>+B1611</f>
        <v>4</v>
      </c>
      <c r="C1612" s="347">
        <v>3450</v>
      </c>
      <c r="D1612" s="340" t="str">
        <f>VLOOKUP(C1612,Plan!A$1:B$65542,2,0)</f>
        <v>Pastoral Social</v>
      </c>
      <c r="E1612" s="396">
        <f>-G1612</f>
        <v>-100000</v>
      </c>
      <c r="F1612" s="396">
        <v>0</v>
      </c>
      <c r="G1612" s="396">
        <f>+F1611</f>
        <v>100000</v>
      </c>
      <c r="H1612" s="347" t="str">
        <f>+H1611</f>
        <v>Canasta Francisco Guimpert</v>
      </c>
      <c r="I1612" s="347" t="s">
        <v>1303</v>
      </c>
      <c r="K1612" s="370"/>
      <c r="N1612" s="370"/>
    </row>
    <row r="1613" spans="1:14" s="347" customFormat="1" x14ac:dyDescent="0.25">
      <c r="A1613" s="369"/>
      <c r="E1613" s="396"/>
      <c r="F1613" s="396"/>
      <c r="G1613" s="396"/>
      <c r="K1613" s="370"/>
      <c r="N1613" s="370"/>
    </row>
    <row r="1614" spans="1:14" s="347" customFormat="1" x14ac:dyDescent="0.25">
      <c r="A1614" s="369">
        <v>44299</v>
      </c>
      <c r="B1614" s="340">
        <f>+MONTH(A1614)</f>
        <v>4</v>
      </c>
      <c r="C1614" s="347">
        <v>110</v>
      </c>
      <c r="D1614" s="340" t="str">
        <f>VLOOKUP(C1614,Plan!A$1:B$65542,2,0)</f>
        <v>Disponible Administración</v>
      </c>
      <c r="E1614" s="341">
        <f>+F1614-G1614</f>
        <v>40000</v>
      </c>
      <c r="F1614" s="396">
        <v>40000</v>
      </c>
      <c r="G1614" s="396">
        <v>0</v>
      </c>
      <c r="H1614" t="s">
        <v>1347</v>
      </c>
      <c r="I1614" s="347" t="s">
        <v>1303</v>
      </c>
      <c r="K1614" s="370"/>
      <c r="N1614" s="370"/>
    </row>
    <row r="1615" spans="1:14" s="347" customFormat="1" x14ac:dyDescent="0.25">
      <c r="A1615" s="369">
        <f>+A1614</f>
        <v>44299</v>
      </c>
      <c r="B1615" s="347">
        <f>+B1614</f>
        <v>4</v>
      </c>
      <c r="C1615" s="347">
        <v>3450</v>
      </c>
      <c r="D1615" s="340" t="str">
        <f>VLOOKUP(C1615,Plan!A$1:B$65542,2,0)</f>
        <v>Pastoral Social</v>
      </c>
      <c r="E1615" s="396">
        <f>-G1615</f>
        <v>-40000</v>
      </c>
      <c r="F1615" s="396">
        <v>0</v>
      </c>
      <c r="G1615" s="396">
        <f>+F1614</f>
        <v>40000</v>
      </c>
      <c r="H1615" s="347" t="str">
        <f>+H1614</f>
        <v>Canasta M.Magdalena Antunez</v>
      </c>
      <c r="I1615" s="347" t="s">
        <v>1303</v>
      </c>
      <c r="K1615" s="370"/>
      <c r="N1615" s="370"/>
    </row>
    <row r="1616" spans="1:14" s="347" customFormat="1" x14ac:dyDescent="0.25">
      <c r="A1616" s="369"/>
      <c r="E1616" s="396"/>
      <c r="F1616" s="396"/>
      <c r="G1616" s="396"/>
      <c r="K1616" s="370"/>
      <c r="N1616" s="370"/>
    </row>
    <row r="1617" spans="1:14" s="347" customFormat="1" x14ac:dyDescent="0.25">
      <c r="A1617" s="369">
        <v>44299</v>
      </c>
      <c r="B1617" s="340">
        <f>+MONTH(A1617)</f>
        <v>4</v>
      </c>
      <c r="C1617" s="347">
        <v>110</v>
      </c>
      <c r="D1617" s="340" t="str">
        <f>VLOOKUP(C1617,Plan!A$1:B$65542,2,0)</f>
        <v>Disponible Administración</v>
      </c>
      <c r="E1617" s="341">
        <f>+F1617-G1617</f>
        <v>100000</v>
      </c>
      <c r="F1617" s="396">
        <v>100000</v>
      </c>
      <c r="G1617" s="396">
        <v>0</v>
      </c>
      <c r="H1617" t="s">
        <v>1128</v>
      </c>
      <c r="I1617" s="347" t="s">
        <v>1303</v>
      </c>
      <c r="K1617" s="370"/>
      <c r="N1617" s="370"/>
    </row>
    <row r="1618" spans="1:14" s="347" customFormat="1" x14ac:dyDescent="0.25">
      <c r="A1618" s="369">
        <f>+A1617</f>
        <v>44299</v>
      </c>
      <c r="B1618" s="347">
        <f>+B1617</f>
        <v>4</v>
      </c>
      <c r="C1618" s="347">
        <v>3110</v>
      </c>
      <c r="D1618" s="340" t="str">
        <f>VLOOKUP(C1618,Plan!A$1:B$65542,2,0)</f>
        <v>Colectas Normales</v>
      </c>
      <c r="E1618" s="396">
        <f>-G1618</f>
        <v>-100000</v>
      </c>
      <c r="F1618" s="396">
        <v>0</v>
      </c>
      <c r="G1618" s="396">
        <f>+F1617</f>
        <v>100000</v>
      </c>
      <c r="H1618" s="347" t="str">
        <f>+H1617</f>
        <v>Colecta Ximena Suspichiatti</v>
      </c>
      <c r="I1618" s="347" t="s">
        <v>1303</v>
      </c>
      <c r="K1618" s="370"/>
      <c r="N1618" s="370"/>
    </row>
    <row r="1619" spans="1:14" s="347" customFormat="1" x14ac:dyDescent="0.25">
      <c r="A1619" s="369"/>
      <c r="E1619" s="396"/>
      <c r="F1619" s="396"/>
      <c r="G1619" s="396"/>
      <c r="K1619" s="370"/>
      <c r="N1619" s="370"/>
    </row>
    <row r="1620" spans="1:14" s="347" customFormat="1" x14ac:dyDescent="0.25">
      <c r="A1620" s="369">
        <v>44299</v>
      </c>
      <c r="B1620" s="340">
        <f>+MONTH(A1620)</f>
        <v>4</v>
      </c>
      <c r="C1620" s="347">
        <v>110</v>
      </c>
      <c r="D1620" s="340" t="str">
        <f>VLOOKUP(C1620,Plan!A$1:B$65542,2,0)</f>
        <v>Disponible Administración</v>
      </c>
      <c r="E1620" s="341">
        <f>+F1620-G1620</f>
        <v>20000</v>
      </c>
      <c r="F1620" s="396">
        <v>20000</v>
      </c>
      <c r="G1620" s="396">
        <v>0</v>
      </c>
      <c r="H1620" t="s">
        <v>1348</v>
      </c>
      <c r="I1620" s="347" t="s">
        <v>1303</v>
      </c>
      <c r="K1620" s="370"/>
      <c r="N1620" s="370"/>
    </row>
    <row r="1621" spans="1:14" s="347" customFormat="1" x14ac:dyDescent="0.25">
      <c r="A1621" s="369">
        <f>+A1620</f>
        <v>44299</v>
      </c>
      <c r="B1621" s="347">
        <f>+B1620</f>
        <v>4</v>
      </c>
      <c r="C1621" s="347">
        <v>3450</v>
      </c>
      <c r="D1621" s="340" t="str">
        <f>VLOOKUP(C1621,Plan!A$1:B$65542,2,0)</f>
        <v>Pastoral Social</v>
      </c>
      <c r="E1621" s="396">
        <f>-G1621</f>
        <v>-20000</v>
      </c>
      <c r="F1621" s="396">
        <v>0</v>
      </c>
      <c r="G1621" s="396">
        <f>+F1620</f>
        <v>20000</v>
      </c>
      <c r="H1621" s="347" t="str">
        <f>+H1620</f>
        <v>Canasta Magdalena Devilat</v>
      </c>
      <c r="I1621" s="347" t="s">
        <v>1303</v>
      </c>
      <c r="K1621" s="370"/>
      <c r="N1621" s="370"/>
    </row>
    <row r="1622" spans="1:14" s="347" customFormat="1" x14ac:dyDescent="0.25">
      <c r="A1622" s="369"/>
      <c r="E1622" s="396"/>
      <c r="F1622" s="396"/>
      <c r="G1622" s="396"/>
      <c r="K1622" s="370"/>
      <c r="N1622" s="370"/>
    </row>
    <row r="1623" spans="1:14" s="347" customFormat="1" x14ac:dyDescent="0.25">
      <c r="A1623" s="369">
        <v>44300</v>
      </c>
      <c r="B1623" s="340">
        <f>+MONTH(A1623)</f>
        <v>4</v>
      </c>
      <c r="C1623" s="347">
        <v>110</v>
      </c>
      <c r="D1623" s="340" t="str">
        <f>VLOOKUP(C1623,Plan!A$1:B$65542,2,0)</f>
        <v>Disponible Administración</v>
      </c>
      <c r="E1623" s="341">
        <f>+F1623-G1623</f>
        <v>40000</v>
      </c>
      <c r="F1623" s="396">
        <v>40000</v>
      </c>
      <c r="G1623" s="396">
        <v>0</v>
      </c>
      <c r="H1623" t="s">
        <v>1349</v>
      </c>
      <c r="I1623" s="347" t="s">
        <v>1303</v>
      </c>
      <c r="K1623" s="370"/>
      <c r="N1623" s="370"/>
    </row>
    <row r="1624" spans="1:14" s="347" customFormat="1" x14ac:dyDescent="0.25">
      <c r="A1624" s="369">
        <f>+A1623</f>
        <v>44300</v>
      </c>
      <c r="B1624" s="347">
        <f>+B1623</f>
        <v>4</v>
      </c>
      <c r="C1624" s="347">
        <v>3450</v>
      </c>
      <c r="D1624" s="340" t="str">
        <f>VLOOKUP(C1624,Plan!A$1:B$65542,2,0)</f>
        <v>Pastoral Social</v>
      </c>
      <c r="E1624" s="396">
        <f>-G1624</f>
        <v>-40000</v>
      </c>
      <c r="F1624" s="396">
        <v>0</v>
      </c>
      <c r="G1624" s="396">
        <f>+F1623</f>
        <v>40000</v>
      </c>
      <c r="H1624" s="347" t="str">
        <f>+H1623</f>
        <v>Canasta Marcela Nuñez</v>
      </c>
      <c r="I1624" s="347" t="s">
        <v>1303</v>
      </c>
      <c r="K1624" s="370"/>
      <c r="N1624" s="370"/>
    </row>
    <row r="1625" spans="1:14" s="347" customFormat="1" x14ac:dyDescent="0.25">
      <c r="A1625" s="369"/>
      <c r="E1625" s="396"/>
      <c r="F1625" s="396"/>
      <c r="G1625" s="396"/>
      <c r="K1625" s="370"/>
      <c r="N1625" s="370"/>
    </row>
    <row r="1626" spans="1:14" s="347" customFormat="1" x14ac:dyDescent="0.25">
      <c r="A1626" s="369">
        <v>44300</v>
      </c>
      <c r="B1626" s="340">
        <f>+MONTH(A1626)</f>
        <v>4</v>
      </c>
      <c r="C1626" s="347">
        <v>110</v>
      </c>
      <c r="D1626" s="340" t="str">
        <f>VLOOKUP(C1626,Plan!A$1:B$65542,2,0)</f>
        <v>Disponible Administración</v>
      </c>
      <c r="E1626" s="341">
        <f>+F1626-G1626</f>
        <v>40000</v>
      </c>
      <c r="F1626" s="396">
        <v>40000</v>
      </c>
      <c r="G1626" s="396">
        <v>0</v>
      </c>
      <c r="H1626" t="s">
        <v>1350</v>
      </c>
      <c r="I1626" s="347" t="s">
        <v>1303</v>
      </c>
      <c r="K1626" s="370"/>
      <c r="N1626" s="370"/>
    </row>
    <row r="1627" spans="1:14" s="347" customFormat="1" x14ac:dyDescent="0.25">
      <c r="A1627" s="369">
        <f>+A1626</f>
        <v>44300</v>
      </c>
      <c r="B1627" s="347">
        <f>+B1626</f>
        <v>4</v>
      </c>
      <c r="C1627" s="347">
        <v>3450</v>
      </c>
      <c r="D1627" s="340" t="str">
        <f>VLOOKUP(C1627,Plan!A$1:B$65542,2,0)</f>
        <v>Pastoral Social</v>
      </c>
      <c r="E1627" s="396">
        <f>-G1627</f>
        <v>-40000</v>
      </c>
      <c r="F1627" s="396">
        <v>0</v>
      </c>
      <c r="G1627" s="396">
        <f>+F1626</f>
        <v>40000</v>
      </c>
      <c r="H1627" s="347" t="str">
        <f>+H1626</f>
        <v>Canasta Francisco Messina</v>
      </c>
      <c r="I1627" s="347" t="s">
        <v>1303</v>
      </c>
      <c r="K1627" s="370"/>
      <c r="N1627" s="370"/>
    </row>
    <row r="1628" spans="1:14" s="347" customFormat="1" x14ac:dyDescent="0.25">
      <c r="A1628" s="369"/>
      <c r="E1628" s="396"/>
      <c r="F1628" s="396"/>
      <c r="G1628" s="396"/>
      <c r="K1628" s="370"/>
      <c r="N1628" s="370"/>
    </row>
    <row r="1629" spans="1:14" s="347" customFormat="1" x14ac:dyDescent="0.25">
      <c r="A1629" s="369">
        <v>44300</v>
      </c>
      <c r="B1629" s="340">
        <f>+MONTH(A1629)</f>
        <v>4</v>
      </c>
      <c r="C1629" s="347">
        <v>110</v>
      </c>
      <c r="D1629" s="340" t="str">
        <f>VLOOKUP(C1629,Plan!A$1:B$65542,2,0)</f>
        <v>Disponible Administración</v>
      </c>
      <c r="E1629" s="341">
        <f>+F1629-G1629</f>
        <v>50000</v>
      </c>
      <c r="F1629" s="396">
        <v>50000</v>
      </c>
      <c r="G1629" s="396">
        <v>0</v>
      </c>
      <c r="H1629" t="s">
        <v>1351</v>
      </c>
      <c r="I1629" s="347" t="s">
        <v>1303</v>
      </c>
      <c r="K1629" s="370"/>
      <c r="N1629" s="370"/>
    </row>
    <row r="1630" spans="1:14" s="347" customFormat="1" x14ac:dyDescent="0.25">
      <c r="A1630" s="369">
        <f>+A1629</f>
        <v>44300</v>
      </c>
      <c r="B1630" s="347">
        <f>+B1629</f>
        <v>4</v>
      </c>
      <c r="C1630" s="347">
        <v>3450</v>
      </c>
      <c r="D1630" s="340" t="str">
        <f>VLOOKUP(C1630,Plan!A$1:B$65542,2,0)</f>
        <v>Pastoral Social</v>
      </c>
      <c r="E1630" s="396">
        <f>-G1630</f>
        <v>-50000</v>
      </c>
      <c r="F1630" s="396">
        <v>0</v>
      </c>
      <c r="G1630" s="396">
        <f>+F1629</f>
        <v>50000</v>
      </c>
      <c r="H1630" s="347" t="str">
        <f>+H1629</f>
        <v>Canasta Blanca Browne</v>
      </c>
      <c r="I1630" s="347" t="s">
        <v>1303</v>
      </c>
      <c r="K1630" s="370"/>
      <c r="N1630" s="370"/>
    </row>
    <row r="1631" spans="1:14" s="347" customFormat="1" x14ac:dyDescent="0.25">
      <c r="A1631" s="369"/>
      <c r="E1631" s="396"/>
      <c r="F1631" s="396"/>
      <c r="G1631" s="396"/>
      <c r="K1631" s="370"/>
      <c r="N1631" s="370"/>
    </row>
    <row r="1632" spans="1:14" s="347" customFormat="1" x14ac:dyDescent="0.25">
      <c r="A1632" s="369">
        <v>44300</v>
      </c>
      <c r="B1632" s="340">
        <f>+MONTH(A1632)</f>
        <v>4</v>
      </c>
      <c r="C1632" s="347">
        <v>110</v>
      </c>
      <c r="D1632" s="340" t="str">
        <f>VLOOKUP(C1632,Plan!A$1:B$65542,2,0)</f>
        <v>Disponible Administración</v>
      </c>
      <c r="E1632" s="341">
        <f>+F1632-G1632</f>
        <v>20000</v>
      </c>
      <c r="F1632" s="396">
        <v>20000</v>
      </c>
      <c r="G1632" s="396">
        <v>0</v>
      </c>
      <c r="H1632" t="s">
        <v>1352</v>
      </c>
      <c r="I1632" s="347" t="s">
        <v>1303</v>
      </c>
      <c r="K1632" s="370"/>
      <c r="N1632" s="370"/>
    </row>
    <row r="1633" spans="1:14" s="347" customFormat="1" x14ac:dyDescent="0.25">
      <c r="A1633" s="369">
        <f>+A1632</f>
        <v>44300</v>
      </c>
      <c r="B1633" s="347">
        <f>+B1632</f>
        <v>4</v>
      </c>
      <c r="C1633" s="347">
        <v>215</v>
      </c>
      <c r="D1633" s="340" t="str">
        <f>VLOOKUP(C1633,Plan!A$1:B$65542,2,0)</f>
        <v>Cuenta por Pagar a Cali</v>
      </c>
      <c r="E1633" s="396">
        <f>-G1633</f>
        <v>-20000</v>
      </c>
      <c r="F1633" s="396">
        <v>0</v>
      </c>
      <c r="G1633" s="396">
        <f>+F1632</f>
        <v>20000</v>
      </c>
      <c r="H1633" s="347" t="str">
        <f>+H1632</f>
        <v>María Isabel Grez Armanet/Azul</v>
      </c>
      <c r="I1633" s="347" t="s">
        <v>1303</v>
      </c>
      <c r="K1633" s="370"/>
      <c r="N1633" s="370"/>
    </row>
    <row r="1634" spans="1:14" s="347" customFormat="1" x14ac:dyDescent="0.25">
      <c r="A1634" s="369"/>
      <c r="E1634" s="396"/>
      <c r="F1634" s="396"/>
      <c r="G1634" s="396"/>
      <c r="K1634" s="370"/>
      <c r="N1634" s="370"/>
    </row>
    <row r="1635" spans="1:14" s="347" customFormat="1" x14ac:dyDescent="0.25">
      <c r="A1635" s="369">
        <v>44300</v>
      </c>
      <c r="B1635" s="340">
        <f>+MONTH(A1635)</f>
        <v>4</v>
      </c>
      <c r="C1635" s="347">
        <v>110</v>
      </c>
      <c r="D1635" s="340" t="str">
        <f>VLOOKUP(C1635,Plan!A$1:B$65542,2,0)</f>
        <v>Disponible Administración</v>
      </c>
      <c r="E1635" s="341">
        <f>+F1635-G1635</f>
        <v>11000</v>
      </c>
      <c r="F1635" s="396">
        <v>11000</v>
      </c>
      <c r="G1635" s="396">
        <v>0</v>
      </c>
      <c r="H1635" t="s">
        <v>1153</v>
      </c>
      <c r="I1635" s="347" t="s">
        <v>1303</v>
      </c>
      <c r="K1635" s="370"/>
      <c r="N1635" s="370"/>
    </row>
    <row r="1636" spans="1:14" s="347" customFormat="1" x14ac:dyDescent="0.25">
      <c r="A1636" s="369">
        <f>+A1635</f>
        <v>44300</v>
      </c>
      <c r="B1636" s="347">
        <f>+B1635</f>
        <v>4</v>
      </c>
      <c r="C1636" s="347">
        <v>3110</v>
      </c>
      <c r="D1636" s="340" t="str">
        <f>VLOOKUP(C1636,Plan!A$1:B$65542,2,0)</f>
        <v>Colectas Normales</v>
      </c>
      <c r="E1636" s="396">
        <f>-G1636</f>
        <v>-11000</v>
      </c>
      <c r="F1636" s="396">
        <v>0</v>
      </c>
      <c r="G1636" s="396">
        <f>+F1635</f>
        <v>11000</v>
      </c>
      <c r="H1636" s="347" t="str">
        <f>+H1635</f>
        <v>Colecta M. Fca. Llona Tagle</v>
      </c>
      <c r="I1636" s="347" t="s">
        <v>1303</v>
      </c>
      <c r="K1636" s="370"/>
      <c r="N1636" s="370"/>
    </row>
    <row r="1637" spans="1:14" s="347" customFormat="1" x14ac:dyDescent="0.25">
      <c r="A1637" s="369"/>
      <c r="E1637" s="396"/>
      <c r="F1637" s="396"/>
      <c r="G1637" s="396"/>
      <c r="K1637" s="370"/>
      <c r="N1637" s="370"/>
    </row>
    <row r="1638" spans="1:14" s="347" customFormat="1" x14ac:dyDescent="0.25">
      <c r="A1638" s="369">
        <v>44300</v>
      </c>
      <c r="B1638" s="340">
        <f>+MONTH(A1638)</f>
        <v>4</v>
      </c>
      <c r="C1638" s="347">
        <v>110</v>
      </c>
      <c r="D1638" s="340" t="str">
        <f>VLOOKUP(C1638,Plan!A$1:B$65542,2,0)</f>
        <v>Disponible Administración</v>
      </c>
      <c r="E1638" s="341">
        <f>+F1638-G1638</f>
        <v>40000</v>
      </c>
      <c r="F1638" s="396">
        <v>40000</v>
      </c>
      <c r="G1638" s="396">
        <v>0</v>
      </c>
      <c r="H1638" t="s">
        <v>1353</v>
      </c>
      <c r="I1638" s="347" t="s">
        <v>1303</v>
      </c>
      <c r="K1638" s="370"/>
      <c r="N1638" s="370"/>
    </row>
    <row r="1639" spans="1:14" s="347" customFormat="1" x14ac:dyDescent="0.25">
      <c r="A1639" s="369">
        <f>+A1638</f>
        <v>44300</v>
      </c>
      <c r="B1639" s="347">
        <f>+B1638</f>
        <v>4</v>
      </c>
      <c r="C1639" s="347">
        <v>3450</v>
      </c>
      <c r="D1639" s="340" t="str">
        <f>VLOOKUP(C1639,Plan!A$1:B$65542,2,0)</f>
        <v>Pastoral Social</v>
      </c>
      <c r="E1639" s="396">
        <f>-G1639</f>
        <v>-40000</v>
      </c>
      <c r="F1639" s="396">
        <v>0</v>
      </c>
      <c r="G1639" s="396">
        <f>+F1638</f>
        <v>40000</v>
      </c>
      <c r="H1639" s="347" t="str">
        <f>+H1638</f>
        <v>Canasta Cristian Espinosa</v>
      </c>
      <c r="I1639" s="347" t="s">
        <v>1303</v>
      </c>
      <c r="K1639" s="370"/>
      <c r="N1639" s="370"/>
    </row>
    <row r="1640" spans="1:14" s="347" customFormat="1" x14ac:dyDescent="0.25">
      <c r="A1640" s="369"/>
      <c r="E1640" s="396"/>
      <c r="F1640" s="396"/>
      <c r="G1640" s="396"/>
      <c r="K1640" s="370"/>
      <c r="N1640" s="370"/>
    </row>
    <row r="1641" spans="1:14" s="347" customFormat="1" x14ac:dyDescent="0.25">
      <c r="A1641" s="369">
        <v>44300</v>
      </c>
      <c r="B1641" s="340">
        <f>+MONTH(A1641)</f>
        <v>4</v>
      </c>
      <c r="C1641" s="347">
        <v>110</v>
      </c>
      <c r="D1641" s="340" t="str">
        <f>VLOOKUP(C1641,Plan!A$1:B$65542,2,0)</f>
        <v>Disponible Administración</v>
      </c>
      <c r="E1641" s="341">
        <f>+F1641-G1641</f>
        <v>20000</v>
      </c>
      <c r="F1641" s="396">
        <v>20000</v>
      </c>
      <c r="G1641" s="396">
        <v>0</v>
      </c>
      <c r="H1641" t="s">
        <v>1354</v>
      </c>
      <c r="I1641" s="347" t="s">
        <v>1303</v>
      </c>
      <c r="K1641" s="370"/>
      <c r="N1641" s="370"/>
    </row>
    <row r="1642" spans="1:14" s="347" customFormat="1" x14ac:dyDescent="0.25">
      <c r="A1642" s="369">
        <f>+A1641</f>
        <v>44300</v>
      </c>
      <c r="B1642" s="347">
        <f>+B1641</f>
        <v>4</v>
      </c>
      <c r="C1642" s="347">
        <v>3110</v>
      </c>
      <c r="D1642" s="340" t="str">
        <f>VLOOKUP(C1642,Plan!A$1:B$65542,2,0)</f>
        <v>Colectas Normales</v>
      </c>
      <c r="E1642" s="396">
        <f>-G1642</f>
        <v>-20000</v>
      </c>
      <c r="F1642" s="396">
        <v>0</v>
      </c>
      <c r="G1642" s="396">
        <f>+F1641</f>
        <v>20000</v>
      </c>
      <c r="H1642" s="347" t="str">
        <f>+H1641</f>
        <v>Colecta Ernesto Hevia</v>
      </c>
      <c r="I1642" s="347" t="s">
        <v>1303</v>
      </c>
      <c r="K1642" s="370"/>
      <c r="N1642" s="370"/>
    </row>
    <row r="1643" spans="1:14" s="347" customFormat="1" x14ac:dyDescent="0.25">
      <c r="A1643" s="369"/>
      <c r="E1643" s="396"/>
      <c r="F1643" s="396"/>
      <c r="G1643" s="396"/>
      <c r="K1643" s="370"/>
      <c r="N1643" s="370"/>
    </row>
    <row r="1644" spans="1:14" s="347" customFormat="1" x14ac:dyDescent="0.25">
      <c r="A1644" s="369">
        <v>44300</v>
      </c>
      <c r="B1644" s="340">
        <f>+MONTH(A1644)</f>
        <v>4</v>
      </c>
      <c r="C1644" s="347">
        <v>110</v>
      </c>
      <c r="D1644" s="340" t="str">
        <f>VLOOKUP(C1644,Plan!A$1:B$65542,2,0)</f>
        <v>Disponible Administración</v>
      </c>
      <c r="E1644" s="341">
        <f>+F1644-G1644</f>
        <v>50000</v>
      </c>
      <c r="F1644" s="396">
        <v>50000</v>
      </c>
      <c r="G1644" s="396">
        <v>0</v>
      </c>
      <c r="H1644" t="s">
        <v>1355</v>
      </c>
      <c r="I1644" s="347" t="s">
        <v>1303</v>
      </c>
      <c r="K1644" s="370"/>
      <c r="N1644" s="370"/>
    </row>
    <row r="1645" spans="1:14" s="347" customFormat="1" x14ac:dyDescent="0.25">
      <c r="A1645" s="369">
        <f>+A1644</f>
        <v>44300</v>
      </c>
      <c r="B1645" s="347">
        <f>+B1644</f>
        <v>4</v>
      </c>
      <c r="C1645" s="347">
        <v>3450</v>
      </c>
      <c r="D1645" s="340" t="str">
        <f>VLOOKUP(C1645,Plan!A$1:B$65542,2,0)</f>
        <v>Pastoral Social</v>
      </c>
      <c r="E1645" s="396">
        <f>-G1645</f>
        <v>-50000</v>
      </c>
      <c r="F1645" s="396">
        <v>0</v>
      </c>
      <c r="G1645" s="396">
        <f>+F1644</f>
        <v>50000</v>
      </c>
      <c r="H1645" s="347" t="str">
        <f>+H1644</f>
        <v>Canasta Maria Luisa Rojas Cruz</v>
      </c>
      <c r="I1645" s="347" t="s">
        <v>1303</v>
      </c>
      <c r="K1645" s="370"/>
      <c r="N1645" s="370"/>
    </row>
    <row r="1646" spans="1:14" s="347" customFormat="1" x14ac:dyDescent="0.25">
      <c r="A1646" s="369"/>
      <c r="E1646" s="396"/>
      <c r="F1646" s="396"/>
      <c r="G1646" s="396"/>
      <c r="K1646" s="370"/>
      <c r="N1646" s="370"/>
    </row>
    <row r="1647" spans="1:14" s="347" customFormat="1" x14ac:dyDescent="0.25">
      <c r="A1647" s="369">
        <v>44300</v>
      </c>
      <c r="B1647" s="340">
        <f>+MONTH(A1647)</f>
        <v>4</v>
      </c>
      <c r="C1647" s="347">
        <v>110</v>
      </c>
      <c r="D1647" s="340" t="str">
        <f>VLOOKUP(C1647,Plan!A$1:B$65542,2,0)</f>
        <v>Disponible Administración</v>
      </c>
      <c r="E1647" s="341">
        <f>+F1647-G1647</f>
        <v>20000</v>
      </c>
      <c r="F1647" s="396">
        <v>20000</v>
      </c>
      <c r="G1647" s="396">
        <v>0</v>
      </c>
      <c r="H1647" t="s">
        <v>1356</v>
      </c>
      <c r="I1647" s="347" t="s">
        <v>1303</v>
      </c>
      <c r="K1647" s="370"/>
      <c r="N1647" s="370"/>
    </row>
    <row r="1648" spans="1:14" s="347" customFormat="1" x14ac:dyDescent="0.25">
      <c r="A1648" s="369">
        <f>+A1647</f>
        <v>44300</v>
      </c>
      <c r="B1648" s="347">
        <f>+B1647</f>
        <v>4</v>
      </c>
      <c r="C1648" s="347">
        <v>3110</v>
      </c>
      <c r="D1648" s="340" t="str">
        <f>VLOOKUP(C1648,Plan!A$1:B$65542,2,0)</f>
        <v>Colectas Normales</v>
      </c>
      <c r="E1648" s="396">
        <f>-G1648</f>
        <v>-20000</v>
      </c>
      <c r="F1648" s="396">
        <v>0</v>
      </c>
      <c r="G1648" s="396">
        <f>+F1647</f>
        <v>20000</v>
      </c>
      <c r="H1648" s="347" t="str">
        <f>+H1647</f>
        <v>Colecta Maria Luisa Rojas Cruz</v>
      </c>
      <c r="I1648" s="347" t="s">
        <v>1303</v>
      </c>
      <c r="K1648" s="370"/>
      <c r="N1648" s="370"/>
    </row>
    <row r="1649" spans="1:14" s="347" customFormat="1" x14ac:dyDescent="0.25">
      <c r="A1649" s="369"/>
      <c r="E1649" s="396"/>
      <c r="F1649" s="396"/>
      <c r="G1649" s="396"/>
      <c r="K1649" s="370"/>
      <c r="N1649" s="370"/>
    </row>
    <row r="1650" spans="1:14" s="347" customFormat="1" x14ac:dyDescent="0.25">
      <c r="A1650" s="369">
        <v>44301</v>
      </c>
      <c r="B1650" s="340">
        <f>+MONTH(A1650)</f>
        <v>4</v>
      </c>
      <c r="C1650" s="347">
        <v>110</v>
      </c>
      <c r="D1650" s="340" t="str">
        <f>VLOOKUP(C1650,Plan!A$1:B$65542,2,0)</f>
        <v>Disponible Administración</v>
      </c>
      <c r="E1650" s="341">
        <f>+F1650-G1650</f>
        <v>15000</v>
      </c>
      <c r="F1650" s="396">
        <v>15000</v>
      </c>
      <c r="G1650" s="396">
        <v>0</v>
      </c>
      <c r="H1650" t="s">
        <v>1357</v>
      </c>
      <c r="I1650" s="347" t="s">
        <v>1303</v>
      </c>
      <c r="K1650" s="370"/>
      <c r="N1650" s="370"/>
    </row>
    <row r="1651" spans="1:14" s="347" customFormat="1" x14ac:dyDescent="0.25">
      <c r="A1651" s="369">
        <f>+A1650</f>
        <v>44301</v>
      </c>
      <c r="B1651" s="347">
        <f>+B1650</f>
        <v>4</v>
      </c>
      <c r="C1651" s="347">
        <v>3450</v>
      </c>
      <c r="D1651" s="340" t="str">
        <f>VLOOKUP(C1651,Plan!A$1:B$65542,2,0)</f>
        <v>Pastoral Social</v>
      </c>
      <c r="E1651" s="396">
        <f>-G1651</f>
        <v>-15000</v>
      </c>
      <c r="F1651" s="396">
        <v>0</v>
      </c>
      <c r="G1651" s="396">
        <f>+F1650</f>
        <v>15000</v>
      </c>
      <c r="H1651" s="347" t="str">
        <f>+H1650</f>
        <v>Canasta Sofia Vives Ekdahl</v>
      </c>
      <c r="I1651" s="347" t="s">
        <v>1303</v>
      </c>
      <c r="K1651" s="370"/>
      <c r="N1651" s="370"/>
    </row>
    <row r="1652" spans="1:14" s="347" customFormat="1" x14ac:dyDescent="0.25">
      <c r="A1652" s="369"/>
      <c r="E1652" s="396"/>
      <c r="F1652" s="396"/>
      <c r="G1652" s="396"/>
      <c r="K1652" s="370"/>
      <c r="N1652" s="370"/>
    </row>
    <row r="1653" spans="1:14" s="347" customFormat="1" x14ac:dyDescent="0.25">
      <c r="A1653" s="369">
        <v>44301</v>
      </c>
      <c r="B1653" s="340">
        <f>+MONTH(A1653)</f>
        <v>4</v>
      </c>
      <c r="C1653" s="347">
        <v>110</v>
      </c>
      <c r="D1653" s="340" t="str">
        <f>VLOOKUP(C1653,Plan!A$1:B$65542,2,0)</f>
        <v>Disponible Administración</v>
      </c>
      <c r="E1653" s="341">
        <f>+F1653-G1653</f>
        <v>150000</v>
      </c>
      <c r="F1653" s="396">
        <v>150000</v>
      </c>
      <c r="G1653" s="396">
        <v>0</v>
      </c>
      <c r="H1653" t="s">
        <v>1358</v>
      </c>
      <c r="I1653" s="347" t="s">
        <v>1303</v>
      </c>
      <c r="K1653" s="370"/>
      <c r="N1653" s="370"/>
    </row>
    <row r="1654" spans="1:14" s="347" customFormat="1" x14ac:dyDescent="0.25">
      <c r="A1654" s="369">
        <f>+A1653</f>
        <v>44301</v>
      </c>
      <c r="B1654" s="347">
        <f>+B1653</f>
        <v>4</v>
      </c>
      <c r="C1654" s="347">
        <v>3110</v>
      </c>
      <c r="D1654" s="340" t="str">
        <f>VLOOKUP(C1654,Plan!A$1:B$65542,2,0)</f>
        <v>Colectas Normales</v>
      </c>
      <c r="E1654" s="396">
        <f>-G1654</f>
        <v>-150000</v>
      </c>
      <c r="F1654" s="396">
        <v>0</v>
      </c>
      <c r="G1654" s="396">
        <f>+F1653</f>
        <v>150000</v>
      </c>
      <c r="H1654" s="347" t="str">
        <f>+H1653</f>
        <v>Colecta Marcela Maria Wielandt Necochea</v>
      </c>
      <c r="I1654" s="347" t="s">
        <v>1303</v>
      </c>
      <c r="K1654" s="370"/>
      <c r="N1654" s="370"/>
    </row>
    <row r="1655" spans="1:14" s="347" customFormat="1" x14ac:dyDescent="0.25">
      <c r="A1655" s="369"/>
      <c r="E1655" s="396"/>
      <c r="F1655" s="396"/>
      <c r="G1655" s="396"/>
      <c r="K1655" s="370"/>
      <c r="N1655" s="370"/>
    </row>
    <row r="1656" spans="1:14" s="347" customFormat="1" x14ac:dyDescent="0.25">
      <c r="A1656" s="369">
        <v>44301</v>
      </c>
      <c r="B1656" s="340">
        <f>+MONTH(A1656)</f>
        <v>4</v>
      </c>
      <c r="C1656" s="347">
        <v>110</v>
      </c>
      <c r="D1656" s="340" t="str">
        <f>VLOOKUP(C1656,Plan!A$1:B$65542,2,0)</f>
        <v>Disponible Administración</v>
      </c>
      <c r="E1656" s="341">
        <f>+F1656-G1656</f>
        <v>20000</v>
      </c>
      <c r="F1656" s="396">
        <v>20000</v>
      </c>
      <c r="G1656" s="396">
        <v>0</v>
      </c>
      <c r="H1656" t="s">
        <v>951</v>
      </c>
      <c r="I1656" s="347" t="s">
        <v>1303</v>
      </c>
      <c r="K1656" s="370"/>
      <c r="N1656" s="370"/>
    </row>
    <row r="1657" spans="1:14" s="347" customFormat="1" x14ac:dyDescent="0.25">
      <c r="A1657" s="369">
        <f>+A1656</f>
        <v>44301</v>
      </c>
      <c r="B1657" s="347">
        <f>+B1656</f>
        <v>4</v>
      </c>
      <c r="C1657" s="347">
        <v>3110</v>
      </c>
      <c r="D1657" s="340" t="str">
        <f>VLOOKUP(C1657,Plan!A$1:B$65542,2,0)</f>
        <v>Colectas Normales</v>
      </c>
      <c r="E1657" s="396">
        <f>-G1657</f>
        <v>-20000</v>
      </c>
      <c r="F1657" s="396">
        <v>0</v>
      </c>
      <c r="G1657" s="396">
        <f>+F1656</f>
        <v>20000</v>
      </c>
      <c r="H1657" s="347" t="str">
        <f>+H1656</f>
        <v>Colecta Cyril Hodgson Larrain</v>
      </c>
      <c r="I1657" s="347" t="s">
        <v>1303</v>
      </c>
      <c r="K1657" s="370"/>
      <c r="N1657" s="370"/>
    </row>
    <row r="1658" spans="1:14" s="347" customFormat="1" x14ac:dyDescent="0.25">
      <c r="A1658" s="369"/>
      <c r="E1658" s="396"/>
      <c r="F1658" s="396"/>
      <c r="G1658" s="396"/>
      <c r="K1658" s="370"/>
      <c r="N1658" s="370"/>
    </row>
    <row r="1659" spans="1:14" s="347" customFormat="1" x14ac:dyDescent="0.25">
      <c r="A1659" s="369">
        <v>44301</v>
      </c>
      <c r="B1659" s="340">
        <f>+MONTH(A1659)</f>
        <v>4</v>
      </c>
      <c r="C1659" s="347">
        <v>4323</v>
      </c>
      <c r="D1659" s="340" t="str">
        <f>VLOOKUP(C1659,Plan!A$1:B$65542,2,0)</f>
        <v>Telefonía, Internet (VTR, Entel)</v>
      </c>
      <c r="E1659" s="341">
        <f>+F1659-G1659</f>
        <v>20990</v>
      </c>
      <c r="F1659" s="396">
        <v>20990</v>
      </c>
      <c r="G1659" s="396">
        <v>0</v>
      </c>
      <c r="H1659" t="s">
        <v>1359</v>
      </c>
      <c r="I1659" s="347" t="s">
        <v>1303</v>
      </c>
      <c r="K1659" s="370"/>
      <c r="N1659" s="370"/>
    </row>
    <row r="1660" spans="1:14" s="347" customFormat="1" x14ac:dyDescent="0.25">
      <c r="A1660" s="369">
        <f>+A1659</f>
        <v>44301</v>
      </c>
      <c r="B1660" s="347">
        <f>+B1659</f>
        <v>4</v>
      </c>
      <c r="C1660" s="347">
        <v>110</v>
      </c>
      <c r="D1660" s="340" t="str">
        <f>VLOOKUP(C1660,Plan!A$1:B$65542,2,0)</f>
        <v>Disponible Administración</v>
      </c>
      <c r="E1660" s="396">
        <f>-G1660</f>
        <v>-20990</v>
      </c>
      <c r="F1660" s="396">
        <v>0</v>
      </c>
      <c r="G1660" s="396">
        <f>+F1659</f>
        <v>20990</v>
      </c>
      <c r="H1660" s="347" t="str">
        <f>+H1659</f>
        <v>PAC ENTEL OFICINA</v>
      </c>
      <c r="I1660" s="347" t="s">
        <v>1303</v>
      </c>
      <c r="K1660" s="370"/>
      <c r="N1660" s="370"/>
    </row>
    <row r="1661" spans="1:14" s="347" customFormat="1" x14ac:dyDescent="0.25">
      <c r="A1661" s="369"/>
      <c r="E1661" s="396"/>
      <c r="F1661" s="396"/>
      <c r="G1661" s="396"/>
      <c r="K1661" s="370"/>
      <c r="N1661" s="370"/>
    </row>
    <row r="1662" spans="1:14" s="347" customFormat="1" x14ac:dyDescent="0.25">
      <c r="A1662" s="369">
        <v>44301</v>
      </c>
      <c r="B1662" s="340">
        <f>+MONTH(A1662)</f>
        <v>4</v>
      </c>
      <c r="C1662" s="347">
        <v>4326</v>
      </c>
      <c r="D1662" s="340" t="str">
        <f>VLOOKUP(C1662,Plan!A$1:B$65542,2,0)</f>
        <v>Seguros</v>
      </c>
      <c r="E1662" s="341">
        <f>+F1662-G1662</f>
        <v>42919</v>
      </c>
      <c r="F1662" s="396">
        <v>42919</v>
      </c>
      <c r="G1662" s="396">
        <v>0</v>
      </c>
      <c r="H1662" t="s">
        <v>1198</v>
      </c>
      <c r="I1662" s="347" t="s">
        <v>1303</v>
      </c>
      <c r="K1662" s="370"/>
      <c r="N1662" s="370"/>
    </row>
    <row r="1663" spans="1:14" s="347" customFormat="1" x14ac:dyDescent="0.25">
      <c r="A1663" s="369">
        <f>+A1662</f>
        <v>44301</v>
      </c>
      <c r="B1663" s="347">
        <f>+B1662</f>
        <v>4</v>
      </c>
      <c r="C1663" s="347">
        <v>110</v>
      </c>
      <c r="D1663" s="340" t="str">
        <f>VLOOKUP(C1663,Plan!A$1:B$65542,2,0)</f>
        <v>Disponible Administración</v>
      </c>
      <c r="E1663" s="396">
        <f>-G1663</f>
        <v>-42919</v>
      </c>
      <c r="F1663" s="396">
        <v>0</v>
      </c>
      <c r="G1663" s="396">
        <f>+F1662</f>
        <v>42919</v>
      </c>
      <c r="H1663" s="347" t="str">
        <f>+H1662</f>
        <v>PAC PORVENIR</v>
      </c>
      <c r="I1663" s="347" t="s">
        <v>1303</v>
      </c>
      <c r="K1663" s="370"/>
      <c r="N1663" s="370"/>
    </row>
    <row r="1664" spans="1:14" s="347" customFormat="1" x14ac:dyDescent="0.25">
      <c r="A1664" s="369"/>
      <c r="E1664" s="396"/>
      <c r="F1664" s="396"/>
      <c r="G1664" s="396"/>
      <c r="K1664" s="370"/>
      <c r="N1664" s="370"/>
    </row>
    <row r="1665" spans="1:14" s="347" customFormat="1" x14ac:dyDescent="0.25">
      <c r="A1665" s="369">
        <v>44302</v>
      </c>
      <c r="B1665" s="340">
        <f>+MONTH(A1665)</f>
        <v>4</v>
      </c>
      <c r="C1665" s="347">
        <v>4223</v>
      </c>
      <c r="D1665" s="340" t="str">
        <f>VLOOKUP(C1665,Plan!A$1:B$65542,2,0)</f>
        <v xml:space="preserve">         Comunicaciones</v>
      </c>
      <c r="E1665" s="341">
        <f>+F1665-G1665</f>
        <v>338983</v>
      </c>
      <c r="F1665" s="396">
        <v>338983</v>
      </c>
      <c r="G1665" s="396">
        <v>0</v>
      </c>
      <c r="H1665" t="s">
        <v>1360</v>
      </c>
      <c r="I1665" s="347" t="s">
        <v>1303</v>
      </c>
      <c r="K1665" s="370"/>
      <c r="N1665" s="370"/>
    </row>
    <row r="1666" spans="1:14" s="347" customFormat="1" x14ac:dyDescent="0.25">
      <c r="A1666" s="369">
        <f>+A1665</f>
        <v>44302</v>
      </c>
      <c r="B1666" s="347">
        <v>4</v>
      </c>
      <c r="C1666" s="347">
        <v>223</v>
      </c>
      <c r="D1666" s="340" t="str">
        <f>VLOOKUP(C1666,Plan!A$1:B$65542,2,0)</f>
        <v>Ret. Hon.  e Impto. Unico Administración</v>
      </c>
      <c r="E1666" s="396">
        <f>-G1666</f>
        <v>-38983</v>
      </c>
      <c r="F1666" s="396">
        <v>0</v>
      </c>
      <c r="G1666" s="396">
        <v>38983</v>
      </c>
      <c r="H1666" s="347" t="str">
        <f>+H1665</f>
        <v>BH26, Hon Marzo /2021 Maria Ines Jara Lama</v>
      </c>
      <c r="I1666" s="347" t="s">
        <v>1303</v>
      </c>
      <c r="K1666" s="370"/>
      <c r="N1666" s="370"/>
    </row>
    <row r="1667" spans="1:14" s="347" customFormat="1" x14ac:dyDescent="0.25">
      <c r="A1667" s="369">
        <f>+A1665</f>
        <v>44302</v>
      </c>
      <c r="B1667" s="347">
        <f>+B1665</f>
        <v>4</v>
      </c>
      <c r="C1667" s="347">
        <v>110</v>
      </c>
      <c r="D1667" s="340" t="str">
        <f>VLOOKUP(C1667,Plan!A$1:B$65542,2,0)</f>
        <v>Disponible Administración</v>
      </c>
      <c r="E1667" s="396">
        <f>-G1667</f>
        <v>-300000</v>
      </c>
      <c r="F1667" s="396">
        <v>0</v>
      </c>
      <c r="G1667" s="396">
        <v>300000</v>
      </c>
      <c r="H1667" s="347" t="str">
        <f>+H1665</f>
        <v>BH26, Hon Marzo /2021 Maria Ines Jara Lama</v>
      </c>
      <c r="I1667" s="347" t="s">
        <v>1303</v>
      </c>
      <c r="K1667" s="370"/>
      <c r="N1667" s="370"/>
    </row>
    <row r="1668" spans="1:14" s="347" customFormat="1" x14ac:dyDescent="0.25">
      <c r="A1668" s="369"/>
      <c r="E1668" s="396"/>
      <c r="F1668" s="396"/>
      <c r="G1668" s="396"/>
      <c r="K1668" s="370"/>
      <c r="N1668" s="370"/>
    </row>
    <row r="1669" spans="1:14" s="347" customFormat="1" x14ac:dyDescent="0.25">
      <c r="A1669" s="369">
        <v>44302</v>
      </c>
      <c r="B1669" s="340">
        <f>+MONTH(A1669)</f>
        <v>4</v>
      </c>
      <c r="C1669" s="347">
        <v>4650</v>
      </c>
      <c r="D1669" s="340" t="str">
        <f>VLOOKUP(C1669,Plan!A$1:B$65542,2,0)</f>
        <v>Pastoral Social</v>
      </c>
      <c r="E1669" s="341">
        <f>+F1669-G1669</f>
        <v>1800000</v>
      </c>
      <c r="F1669" s="396">
        <v>1800000</v>
      </c>
      <c r="G1669" s="396">
        <v>0</v>
      </c>
      <c r="H1669" t="s">
        <v>1361</v>
      </c>
      <c r="I1669" s="347" t="s">
        <v>1303</v>
      </c>
      <c r="K1669" s="370"/>
      <c r="N1669" s="370"/>
    </row>
    <row r="1670" spans="1:14" s="347" customFormat="1" x14ac:dyDescent="0.25">
      <c r="A1670" s="369">
        <f>+A1669</f>
        <v>44302</v>
      </c>
      <c r="B1670" s="347">
        <f>+B1669</f>
        <v>4</v>
      </c>
      <c r="C1670" s="347">
        <v>110</v>
      </c>
      <c r="D1670" s="340" t="str">
        <f>VLOOKUP(C1670,Plan!A$1:B$65542,2,0)</f>
        <v>Disponible Administración</v>
      </c>
      <c r="E1670" s="396">
        <f>-G1670</f>
        <v>-1800000</v>
      </c>
      <c r="F1670" s="396">
        <v>0</v>
      </c>
      <c r="G1670" s="396">
        <f>+F1669</f>
        <v>1800000</v>
      </c>
      <c r="H1670" s="347" t="str">
        <f>+H1669</f>
        <v>F.384397 por 90 Cajas Servicefood SpA</v>
      </c>
      <c r="I1670" s="347" t="s">
        <v>1303</v>
      </c>
      <c r="K1670" s="370"/>
      <c r="N1670" s="370"/>
    </row>
    <row r="1671" spans="1:14" s="347" customFormat="1" x14ac:dyDescent="0.25">
      <c r="A1671" s="369"/>
      <c r="E1671" s="396"/>
      <c r="F1671" s="396"/>
      <c r="G1671" s="396"/>
      <c r="K1671" s="370"/>
      <c r="N1671" s="370"/>
    </row>
    <row r="1672" spans="1:14" s="347" customFormat="1" x14ac:dyDescent="0.25">
      <c r="A1672" s="369">
        <v>44302</v>
      </c>
      <c r="B1672" s="340">
        <f>+MONTH(A1672)</f>
        <v>4</v>
      </c>
      <c r="C1672" s="347">
        <v>110</v>
      </c>
      <c r="D1672" s="340" t="str">
        <f>VLOOKUP(C1672,Plan!A$1:B$65542,2,0)</f>
        <v>Disponible Administración</v>
      </c>
      <c r="E1672" s="341">
        <f>+F1672-G1672</f>
        <v>20000</v>
      </c>
      <c r="F1672" s="396">
        <v>20000</v>
      </c>
      <c r="G1672" s="396">
        <v>0</v>
      </c>
      <c r="H1672" t="s">
        <v>1362</v>
      </c>
      <c r="I1672" s="347" t="s">
        <v>1303</v>
      </c>
      <c r="K1672" s="370"/>
      <c r="N1672" s="370"/>
    </row>
    <row r="1673" spans="1:14" s="347" customFormat="1" x14ac:dyDescent="0.25">
      <c r="A1673" s="369">
        <f>+A1672</f>
        <v>44302</v>
      </c>
      <c r="B1673" s="347">
        <f>+B1672</f>
        <v>4</v>
      </c>
      <c r="C1673" s="347">
        <v>3450</v>
      </c>
      <c r="D1673" s="340" t="str">
        <f>VLOOKUP(C1673,Plan!A$1:B$65542,2,0)</f>
        <v>Pastoral Social</v>
      </c>
      <c r="E1673" s="396">
        <f>-G1673</f>
        <v>-20000</v>
      </c>
      <c r="F1673" s="396">
        <v>0</v>
      </c>
      <c r="G1673" s="396">
        <f>+F1672</f>
        <v>20000</v>
      </c>
      <c r="H1673" s="347" t="str">
        <f>+H1672</f>
        <v xml:space="preserve">Canasta Pamela Alvarado Valenzuela </v>
      </c>
      <c r="I1673" s="347" t="s">
        <v>1303</v>
      </c>
      <c r="K1673" s="370"/>
      <c r="N1673" s="370"/>
    </row>
    <row r="1674" spans="1:14" s="347" customFormat="1" x14ac:dyDescent="0.25">
      <c r="A1674" s="369"/>
      <c r="E1674" s="396"/>
      <c r="F1674" s="396"/>
      <c r="G1674" s="396"/>
      <c r="K1674" s="370"/>
      <c r="N1674" s="370"/>
    </row>
    <row r="1675" spans="1:14" s="347" customFormat="1" x14ac:dyDescent="0.25">
      <c r="A1675" s="369">
        <v>44302</v>
      </c>
      <c r="B1675" s="340">
        <f>+MONTH(A1675)</f>
        <v>4</v>
      </c>
      <c r="C1675" s="347">
        <v>110</v>
      </c>
      <c r="D1675" s="340" t="str">
        <f>VLOOKUP(C1675,Plan!A$1:B$65542,2,0)</f>
        <v>Disponible Administración</v>
      </c>
      <c r="E1675" s="341">
        <f>+F1675-G1675</f>
        <v>50000</v>
      </c>
      <c r="F1675" s="396">
        <v>50000</v>
      </c>
      <c r="G1675" s="396">
        <v>0</v>
      </c>
      <c r="H1675" t="s">
        <v>1363</v>
      </c>
      <c r="I1675" s="347" t="s">
        <v>1303</v>
      </c>
      <c r="K1675" s="370"/>
      <c r="N1675" s="370"/>
    </row>
    <row r="1676" spans="1:14" s="347" customFormat="1" x14ac:dyDescent="0.25">
      <c r="A1676" s="369">
        <f>+A1675</f>
        <v>44302</v>
      </c>
      <c r="B1676" s="347">
        <f>+B1675</f>
        <v>4</v>
      </c>
      <c r="C1676" s="347">
        <v>3450</v>
      </c>
      <c r="D1676" s="340" t="str">
        <f>VLOOKUP(C1676,Plan!A$1:B$65542,2,0)</f>
        <v>Pastoral Social</v>
      </c>
      <c r="E1676" s="396">
        <f>-G1676</f>
        <v>-50000</v>
      </c>
      <c r="F1676" s="396">
        <v>0</v>
      </c>
      <c r="G1676" s="396">
        <f>+F1675</f>
        <v>50000</v>
      </c>
      <c r="H1676" s="347" t="str">
        <f>+H1675</f>
        <v>Canasta Ana Maria Alvarez T</v>
      </c>
      <c r="I1676" s="347" t="s">
        <v>1303</v>
      </c>
      <c r="K1676" s="370"/>
      <c r="N1676" s="370"/>
    </row>
    <row r="1677" spans="1:14" s="347" customFormat="1" x14ac:dyDescent="0.25">
      <c r="A1677" s="369"/>
      <c r="E1677" s="396"/>
      <c r="F1677" s="396"/>
      <c r="G1677" s="396"/>
      <c r="K1677" s="370"/>
      <c r="N1677" s="370"/>
    </row>
    <row r="1678" spans="1:14" s="347" customFormat="1" x14ac:dyDescent="0.25">
      <c r="A1678" s="369">
        <v>44302</v>
      </c>
      <c r="B1678" s="340">
        <f>+MONTH(A1678)</f>
        <v>4</v>
      </c>
      <c r="C1678" s="347">
        <v>110</v>
      </c>
      <c r="D1678" s="340" t="str">
        <f>VLOOKUP(C1678,Plan!A$1:B$65542,2,0)</f>
        <v>Disponible Administración</v>
      </c>
      <c r="E1678" s="341">
        <f>+F1678-G1678</f>
        <v>30000</v>
      </c>
      <c r="F1678" s="396">
        <v>30000</v>
      </c>
      <c r="G1678" s="396">
        <v>0</v>
      </c>
      <c r="H1678" t="s">
        <v>1364</v>
      </c>
      <c r="I1678" s="347" t="s">
        <v>1303</v>
      </c>
      <c r="K1678" s="370"/>
      <c r="N1678" s="370"/>
    </row>
    <row r="1679" spans="1:14" s="347" customFormat="1" x14ac:dyDescent="0.25">
      <c r="A1679" s="369">
        <f>+A1678</f>
        <v>44302</v>
      </c>
      <c r="B1679" s="347">
        <f>+B1678</f>
        <v>4</v>
      </c>
      <c r="C1679" s="347">
        <v>3110</v>
      </c>
      <c r="D1679" s="340" t="str">
        <f>VLOOKUP(C1679,Plan!A$1:B$65542,2,0)</f>
        <v>Colectas Normales</v>
      </c>
      <c r="E1679" s="396">
        <f>-G1679</f>
        <v>-30000</v>
      </c>
      <c r="F1679" s="396">
        <v>0</v>
      </c>
      <c r="G1679" s="396">
        <f>+F1678</f>
        <v>30000</v>
      </c>
      <c r="H1679" s="347" t="str">
        <f>+H1678</f>
        <v>Colecta Yolanda Hasse</v>
      </c>
      <c r="I1679" s="347" t="s">
        <v>1303</v>
      </c>
      <c r="K1679" s="370"/>
      <c r="N1679" s="370"/>
    </row>
    <row r="1680" spans="1:14" s="347" customFormat="1" x14ac:dyDescent="0.25">
      <c r="A1680" s="369"/>
      <c r="E1680" s="396"/>
      <c r="F1680" s="396"/>
      <c r="G1680" s="396"/>
      <c r="K1680" s="370"/>
      <c r="N1680" s="370"/>
    </row>
    <row r="1681" spans="1:14" s="347" customFormat="1" x14ac:dyDescent="0.25">
      <c r="A1681" s="369">
        <v>44302</v>
      </c>
      <c r="B1681" s="340">
        <f>+MONTH(A1681)</f>
        <v>4</v>
      </c>
      <c r="C1681" s="347">
        <v>110</v>
      </c>
      <c r="D1681" s="340" t="str">
        <f>VLOOKUP(C1681,Plan!A$1:B$65542,2,0)</f>
        <v>Disponible Administración</v>
      </c>
      <c r="E1681" s="341">
        <f>+F1681-G1681</f>
        <v>30000</v>
      </c>
      <c r="F1681" s="396">
        <v>30000</v>
      </c>
      <c r="G1681" s="396">
        <v>0</v>
      </c>
      <c r="H1681" t="s">
        <v>1365</v>
      </c>
      <c r="I1681" s="347" t="s">
        <v>1303</v>
      </c>
      <c r="K1681" s="370"/>
      <c r="N1681" s="370"/>
    </row>
    <row r="1682" spans="1:14" s="347" customFormat="1" x14ac:dyDescent="0.25">
      <c r="A1682" s="369">
        <f>+A1681</f>
        <v>44302</v>
      </c>
      <c r="B1682" s="347">
        <f>+B1681</f>
        <v>4</v>
      </c>
      <c r="C1682" s="347">
        <v>3450</v>
      </c>
      <c r="D1682" s="340" t="str">
        <f>VLOOKUP(C1682,Plan!A$1:B$65542,2,0)</f>
        <v>Pastoral Social</v>
      </c>
      <c r="E1682" s="396">
        <f>-G1682</f>
        <v>-30000</v>
      </c>
      <c r="F1682" s="396">
        <v>0</v>
      </c>
      <c r="G1682" s="396">
        <f>+F1681</f>
        <v>30000</v>
      </c>
      <c r="H1682" s="347" t="str">
        <f>+H1681</f>
        <v>Canasta Yolanda Hasse</v>
      </c>
      <c r="I1682" s="347" t="s">
        <v>1303</v>
      </c>
      <c r="K1682" s="370"/>
      <c r="N1682" s="370"/>
    </row>
    <row r="1683" spans="1:14" s="347" customFormat="1" x14ac:dyDescent="0.25">
      <c r="A1683" s="369"/>
      <c r="E1683" s="396"/>
      <c r="F1683" s="396"/>
      <c r="G1683" s="396"/>
      <c r="K1683" s="370"/>
      <c r="N1683" s="370"/>
    </row>
    <row r="1684" spans="1:14" s="347" customFormat="1" x14ac:dyDescent="0.25">
      <c r="A1684" s="369">
        <v>44302</v>
      </c>
      <c r="B1684" s="340">
        <f>+MONTH(A1684)</f>
        <v>4</v>
      </c>
      <c r="C1684" s="347">
        <v>110</v>
      </c>
      <c r="D1684" s="340" t="str">
        <f>VLOOKUP(C1684,Plan!A$1:B$65542,2,0)</f>
        <v>Disponible Administración</v>
      </c>
      <c r="E1684" s="341">
        <f>+F1684-G1684</f>
        <v>30000</v>
      </c>
      <c r="F1684" s="396">
        <v>30000</v>
      </c>
      <c r="G1684" s="396">
        <v>0</v>
      </c>
      <c r="H1684" t="s">
        <v>1366</v>
      </c>
      <c r="I1684" s="347" t="s">
        <v>1303</v>
      </c>
      <c r="K1684" s="370"/>
      <c r="N1684" s="370"/>
    </row>
    <row r="1685" spans="1:14" s="347" customFormat="1" x14ac:dyDescent="0.25">
      <c r="A1685" s="369">
        <f>+A1684</f>
        <v>44302</v>
      </c>
      <c r="B1685" s="347">
        <f>+B1684</f>
        <v>4</v>
      </c>
      <c r="C1685" s="347">
        <v>215</v>
      </c>
      <c r="D1685" s="340" t="str">
        <f>VLOOKUP(C1685,Plan!A$1:B$65542,2,0)</f>
        <v>Cuenta por Pagar a Cali</v>
      </c>
      <c r="E1685" s="396">
        <f>-G1685</f>
        <v>-30000</v>
      </c>
      <c r="F1685" s="396">
        <v>0</v>
      </c>
      <c r="G1685" s="396">
        <f>+F1684</f>
        <v>30000</v>
      </c>
      <c r="H1685" s="347" t="str">
        <f>+H1684</f>
        <v>Yolanda Hasse Baeza /249</v>
      </c>
      <c r="I1685" s="347" t="s">
        <v>1303</v>
      </c>
      <c r="K1685" s="370"/>
      <c r="N1685" s="370"/>
    </row>
    <row r="1686" spans="1:14" s="347" customFormat="1" x14ac:dyDescent="0.25">
      <c r="A1686" s="369"/>
      <c r="E1686" s="396"/>
      <c r="F1686" s="396"/>
      <c r="G1686" s="396"/>
      <c r="K1686" s="370"/>
      <c r="N1686" s="370"/>
    </row>
    <row r="1687" spans="1:14" s="347" customFormat="1" x14ac:dyDescent="0.25">
      <c r="A1687" s="369">
        <v>44302</v>
      </c>
      <c r="B1687" s="340">
        <f>+MONTH(A1687)</f>
        <v>4</v>
      </c>
      <c r="C1687" s="347">
        <v>110</v>
      </c>
      <c r="D1687" s="340" t="str">
        <f>VLOOKUP(C1687,Plan!A$1:B$65542,2,0)</f>
        <v>Disponible Administración</v>
      </c>
      <c r="E1687" s="341">
        <f>+F1687-G1687</f>
        <v>600000</v>
      </c>
      <c r="F1687" s="396">
        <v>600000</v>
      </c>
      <c r="G1687" s="396">
        <v>0</v>
      </c>
      <c r="H1687" t="s">
        <v>1367</v>
      </c>
      <c r="I1687" s="347" t="s">
        <v>1303</v>
      </c>
      <c r="K1687" s="370"/>
      <c r="N1687" s="370"/>
    </row>
    <row r="1688" spans="1:14" s="347" customFormat="1" x14ac:dyDescent="0.25">
      <c r="A1688" s="369">
        <f>+A1687</f>
        <v>44302</v>
      </c>
      <c r="B1688" s="347">
        <f>+B1687</f>
        <v>4</v>
      </c>
      <c r="C1688" s="347">
        <v>3450</v>
      </c>
      <c r="D1688" s="340" t="str">
        <f>VLOOKUP(C1688,Plan!A$1:B$65542,2,0)</f>
        <v>Pastoral Social</v>
      </c>
      <c r="E1688" s="396">
        <f>-G1688</f>
        <v>-600000</v>
      </c>
      <c r="F1688" s="396">
        <v>0</v>
      </c>
      <c r="G1688" s="396">
        <f>+F1687</f>
        <v>600000</v>
      </c>
      <c r="H1688" s="347" t="str">
        <f>+H1687</f>
        <v>Canasta Andrés van Wersch Calderón</v>
      </c>
      <c r="I1688" s="347" t="s">
        <v>1303</v>
      </c>
      <c r="K1688" s="370"/>
      <c r="N1688" s="370"/>
    </row>
    <row r="1689" spans="1:14" s="347" customFormat="1" x14ac:dyDescent="0.25">
      <c r="A1689" s="369"/>
      <c r="E1689" s="396"/>
      <c r="F1689" s="396"/>
      <c r="G1689" s="396"/>
      <c r="K1689" s="370"/>
      <c r="N1689" s="370"/>
    </row>
    <row r="1690" spans="1:14" s="347" customFormat="1" x14ac:dyDescent="0.25">
      <c r="A1690" s="369">
        <v>44305</v>
      </c>
      <c r="B1690" s="340">
        <f>+MONTH(A1690)</f>
        <v>4</v>
      </c>
      <c r="C1690" s="347">
        <v>110</v>
      </c>
      <c r="D1690" s="340" t="str">
        <f>VLOOKUP(C1690,Plan!A$1:B$65542,2,0)</f>
        <v>Disponible Administración</v>
      </c>
      <c r="E1690" s="341">
        <f>+F1690-G1690</f>
        <v>10000</v>
      </c>
      <c r="F1690" s="396">
        <v>10000</v>
      </c>
      <c r="G1690" s="396">
        <v>0</v>
      </c>
      <c r="H1690" t="s">
        <v>1183</v>
      </c>
      <c r="I1690" s="347" t="s">
        <v>1303</v>
      </c>
      <c r="K1690" s="370"/>
      <c r="N1690" s="370"/>
    </row>
    <row r="1691" spans="1:14" s="347" customFormat="1" x14ac:dyDescent="0.25">
      <c r="A1691" s="369">
        <f>+A1690</f>
        <v>44305</v>
      </c>
      <c r="B1691" s="347">
        <f>+B1690</f>
        <v>4</v>
      </c>
      <c r="C1691" s="347">
        <v>3110</v>
      </c>
      <c r="D1691" s="340" t="str">
        <f>VLOOKUP(C1691,Plan!A$1:B$65542,2,0)</f>
        <v>Colectas Normales</v>
      </c>
      <c r="E1691" s="396">
        <f>-G1691</f>
        <v>-10000</v>
      </c>
      <c r="F1691" s="396">
        <v>0</v>
      </c>
      <c r="G1691" s="396">
        <f>+F1690</f>
        <v>10000</v>
      </c>
      <c r="H1691" s="347" t="str">
        <f>+H1690</f>
        <v>Colecta Hilda Dougnac</v>
      </c>
      <c r="I1691" s="347" t="s">
        <v>1303</v>
      </c>
      <c r="K1691" s="370"/>
      <c r="N1691" s="370"/>
    </row>
    <row r="1692" spans="1:14" s="347" customFormat="1" x14ac:dyDescent="0.25">
      <c r="A1692" s="369"/>
      <c r="E1692" s="396"/>
      <c r="F1692" s="396"/>
      <c r="G1692" s="396"/>
      <c r="K1692" s="370"/>
      <c r="N1692" s="370"/>
    </row>
    <row r="1693" spans="1:14" s="347" customFormat="1" x14ac:dyDescent="0.25">
      <c r="A1693" s="369">
        <v>44305</v>
      </c>
      <c r="B1693" s="340">
        <f>+MONTH(A1693)</f>
        <v>4</v>
      </c>
      <c r="C1693" s="347">
        <v>110</v>
      </c>
      <c r="D1693" s="340" t="str">
        <f>VLOOKUP(C1693,Plan!A$1:B$65542,2,0)</f>
        <v>Disponible Administración</v>
      </c>
      <c r="E1693" s="341">
        <f>+F1693-G1693</f>
        <v>20000</v>
      </c>
      <c r="F1693" s="396">
        <v>20000</v>
      </c>
      <c r="G1693" s="396">
        <v>0</v>
      </c>
      <c r="H1693" t="s">
        <v>1368</v>
      </c>
      <c r="I1693" s="347" t="s">
        <v>1303</v>
      </c>
      <c r="K1693" s="370"/>
      <c r="N1693" s="370"/>
    </row>
    <row r="1694" spans="1:14" s="347" customFormat="1" x14ac:dyDescent="0.25">
      <c r="A1694" s="369">
        <f>+A1693</f>
        <v>44305</v>
      </c>
      <c r="B1694" s="347">
        <f>+B1693</f>
        <v>4</v>
      </c>
      <c r="C1694" s="347">
        <v>3450</v>
      </c>
      <c r="D1694" s="340" t="str">
        <f>VLOOKUP(C1694,Plan!A$1:B$65542,2,0)</f>
        <v>Pastoral Social</v>
      </c>
      <c r="E1694" s="396">
        <f>-G1694</f>
        <v>-20000</v>
      </c>
      <c r="F1694" s="396">
        <v>0</v>
      </c>
      <c r="G1694" s="396">
        <f>+F1693</f>
        <v>20000</v>
      </c>
      <c r="H1694" s="347" t="str">
        <f>+H1693</f>
        <v>Canasta Hilda Dougnac</v>
      </c>
      <c r="I1694" s="347" t="s">
        <v>1303</v>
      </c>
      <c r="K1694" s="370"/>
      <c r="N1694" s="370"/>
    </row>
    <row r="1695" spans="1:14" s="347" customFormat="1" x14ac:dyDescent="0.25">
      <c r="A1695" s="369"/>
      <c r="E1695" s="396"/>
      <c r="F1695" s="396"/>
      <c r="G1695" s="396"/>
      <c r="K1695" s="370"/>
      <c r="N1695" s="370"/>
    </row>
    <row r="1696" spans="1:14" s="347" customFormat="1" x14ac:dyDescent="0.25">
      <c r="A1696" s="369">
        <v>44305</v>
      </c>
      <c r="B1696" s="340">
        <f>+MONTH(A1696)</f>
        <v>4</v>
      </c>
      <c r="C1696" s="347">
        <v>110</v>
      </c>
      <c r="D1696" s="340" t="str">
        <f>VLOOKUP(C1696,Plan!A$1:B$65542,2,0)</f>
        <v>Disponible Administración</v>
      </c>
      <c r="E1696" s="341">
        <f>+F1696-G1696</f>
        <v>40000</v>
      </c>
      <c r="F1696" s="396">
        <v>40000</v>
      </c>
      <c r="G1696" s="396">
        <v>0</v>
      </c>
      <c r="H1696" t="s">
        <v>939</v>
      </c>
      <c r="I1696" s="347" t="s">
        <v>1303</v>
      </c>
      <c r="K1696" s="370"/>
      <c r="N1696" s="370"/>
    </row>
    <row r="1697" spans="1:14" s="347" customFormat="1" x14ac:dyDescent="0.25">
      <c r="A1697" s="369">
        <f>+A1696</f>
        <v>44305</v>
      </c>
      <c r="B1697" s="347">
        <f>+B1696</f>
        <v>4</v>
      </c>
      <c r="C1697" s="347">
        <v>3110</v>
      </c>
      <c r="D1697" s="340" t="str">
        <f>VLOOKUP(C1697,Plan!A$1:B$65542,2,0)</f>
        <v>Colectas Normales</v>
      </c>
      <c r="E1697" s="396">
        <f>-G1697</f>
        <v>-40000</v>
      </c>
      <c r="F1697" s="396">
        <v>0</v>
      </c>
      <c r="G1697" s="396">
        <f>+F1696</f>
        <v>40000</v>
      </c>
      <c r="H1697" s="347" t="str">
        <f>+H1696</f>
        <v>Colecta Guido Albornoz Gomez</v>
      </c>
      <c r="I1697" s="347" t="s">
        <v>1303</v>
      </c>
      <c r="K1697" s="370"/>
      <c r="N1697" s="370"/>
    </row>
    <row r="1698" spans="1:14" s="347" customFormat="1" x14ac:dyDescent="0.25">
      <c r="A1698" s="369"/>
      <c r="E1698" s="396"/>
      <c r="F1698" s="396"/>
      <c r="G1698" s="396"/>
      <c r="K1698" s="370"/>
      <c r="N1698" s="370"/>
    </row>
    <row r="1699" spans="1:14" s="347" customFormat="1" x14ac:dyDescent="0.25">
      <c r="A1699" s="369">
        <v>44305</v>
      </c>
      <c r="B1699" s="340">
        <f>+MONTH(A1699)</f>
        <v>4</v>
      </c>
      <c r="C1699" s="347">
        <v>110</v>
      </c>
      <c r="D1699" s="340" t="str">
        <f>VLOOKUP(C1699,Plan!A$1:B$65542,2,0)</f>
        <v>Disponible Administración</v>
      </c>
      <c r="E1699" s="341">
        <f>+F1699-G1699</f>
        <v>10000</v>
      </c>
      <c r="F1699" s="396">
        <v>10000</v>
      </c>
      <c r="G1699" s="396">
        <v>0</v>
      </c>
      <c r="H1699" t="s">
        <v>881</v>
      </c>
      <c r="I1699" s="347" t="s">
        <v>1303</v>
      </c>
      <c r="K1699" s="370"/>
      <c r="N1699" s="370"/>
    </row>
    <row r="1700" spans="1:14" s="347" customFormat="1" x14ac:dyDescent="0.25">
      <c r="A1700" s="369">
        <f>+A1699</f>
        <v>44305</v>
      </c>
      <c r="B1700" s="347">
        <f>+B1699</f>
        <v>4</v>
      </c>
      <c r="C1700" s="347">
        <v>3110</v>
      </c>
      <c r="D1700" s="340" t="str">
        <f>VLOOKUP(C1700,Plan!A$1:B$65542,2,0)</f>
        <v>Colectas Normales</v>
      </c>
      <c r="E1700" s="396">
        <f>-G1700</f>
        <v>-10000</v>
      </c>
      <c r="F1700" s="396">
        <v>0</v>
      </c>
      <c r="G1700" s="396">
        <f>+F1699</f>
        <v>10000</v>
      </c>
      <c r="H1700" s="347" t="str">
        <f>+H1699</f>
        <v>Colecta Rafael Marin Jordan</v>
      </c>
      <c r="I1700" s="347" t="s">
        <v>1303</v>
      </c>
      <c r="K1700" s="370"/>
      <c r="N1700" s="370"/>
    </row>
    <row r="1701" spans="1:14" s="347" customFormat="1" x14ac:dyDescent="0.25">
      <c r="A1701" s="369"/>
      <c r="E1701" s="396"/>
      <c r="F1701" s="396"/>
      <c r="G1701" s="396"/>
      <c r="K1701" s="370"/>
      <c r="N1701" s="370"/>
    </row>
    <row r="1702" spans="1:14" s="347" customFormat="1" x14ac:dyDescent="0.25">
      <c r="A1702" s="369">
        <v>44305</v>
      </c>
      <c r="B1702" s="340">
        <f>+MONTH(A1702)</f>
        <v>4</v>
      </c>
      <c r="C1702" s="347">
        <v>110</v>
      </c>
      <c r="D1702" s="340" t="str">
        <f>VLOOKUP(C1702,Plan!A$1:B$65542,2,0)</f>
        <v>Disponible Administración</v>
      </c>
      <c r="E1702" s="341">
        <f>+F1702-G1702</f>
        <v>5000</v>
      </c>
      <c r="F1702" s="396">
        <v>5000</v>
      </c>
      <c r="G1702" s="396">
        <v>0</v>
      </c>
      <c r="H1702" t="s">
        <v>1135</v>
      </c>
      <c r="I1702" s="347" t="s">
        <v>1303</v>
      </c>
      <c r="K1702" s="370"/>
      <c r="N1702" s="370"/>
    </row>
    <row r="1703" spans="1:14" s="347" customFormat="1" x14ac:dyDescent="0.25">
      <c r="A1703" s="369">
        <f>+A1702</f>
        <v>44305</v>
      </c>
      <c r="B1703" s="347">
        <f>+B1702</f>
        <v>4</v>
      </c>
      <c r="C1703" s="347">
        <v>3110</v>
      </c>
      <c r="D1703" s="340" t="str">
        <f>VLOOKUP(C1703,Plan!A$1:B$65542,2,0)</f>
        <v>Colectas Normales</v>
      </c>
      <c r="E1703" s="396">
        <f>-G1703</f>
        <v>-5000</v>
      </c>
      <c r="F1703" s="396">
        <v>0</v>
      </c>
      <c r="G1703" s="396">
        <f>+F1702</f>
        <v>5000</v>
      </c>
      <c r="H1703" s="347" t="str">
        <f>+H1702</f>
        <v>Colecta Francisco Guimpert</v>
      </c>
      <c r="I1703" s="347" t="s">
        <v>1303</v>
      </c>
      <c r="K1703" s="370"/>
      <c r="N1703" s="370"/>
    </row>
    <row r="1704" spans="1:14" s="347" customFormat="1" x14ac:dyDescent="0.25">
      <c r="A1704" s="369"/>
      <c r="E1704" s="396"/>
      <c r="F1704" s="396"/>
      <c r="G1704" s="396"/>
      <c r="K1704" s="370"/>
      <c r="N1704" s="370"/>
    </row>
    <row r="1705" spans="1:14" s="347" customFormat="1" x14ac:dyDescent="0.25">
      <c r="A1705" s="369">
        <v>44305</v>
      </c>
      <c r="B1705" s="340">
        <f>+MONTH(A1705)</f>
        <v>4</v>
      </c>
      <c r="C1705" s="347">
        <v>110</v>
      </c>
      <c r="D1705" s="340" t="str">
        <f>VLOOKUP(C1705,Plan!A$1:B$65542,2,0)</f>
        <v>Disponible Administración</v>
      </c>
      <c r="E1705" s="341">
        <f>+F1705-G1705</f>
        <v>20000</v>
      </c>
      <c r="F1705" s="396">
        <v>20000</v>
      </c>
      <c r="G1705" s="396">
        <v>0</v>
      </c>
      <c r="H1705" t="s">
        <v>1159</v>
      </c>
      <c r="I1705" s="347" t="s">
        <v>1303</v>
      </c>
      <c r="K1705" s="370"/>
      <c r="N1705" s="370"/>
    </row>
    <row r="1706" spans="1:14" s="347" customFormat="1" x14ac:dyDescent="0.25">
      <c r="A1706" s="369">
        <f>+A1705</f>
        <v>44305</v>
      </c>
      <c r="B1706" s="347">
        <f>+B1705</f>
        <v>4</v>
      </c>
      <c r="C1706" s="347">
        <v>3110</v>
      </c>
      <c r="D1706" s="340" t="str">
        <f>VLOOKUP(C1706,Plan!A$1:B$65542,2,0)</f>
        <v>Colectas Normales</v>
      </c>
      <c r="E1706" s="396">
        <f>-G1706</f>
        <v>-20000</v>
      </c>
      <c r="F1706" s="396">
        <v>0</v>
      </c>
      <c r="G1706" s="396">
        <f>+F1705</f>
        <v>20000</v>
      </c>
      <c r="H1706" s="347" t="str">
        <f>+H1705</f>
        <v>Colecta Guillermo Turner Olea</v>
      </c>
      <c r="I1706" s="347" t="s">
        <v>1303</v>
      </c>
      <c r="K1706" s="370"/>
      <c r="N1706" s="370"/>
    </row>
    <row r="1707" spans="1:14" s="347" customFormat="1" x14ac:dyDescent="0.25">
      <c r="A1707" s="369"/>
      <c r="E1707" s="396"/>
      <c r="F1707" s="396"/>
      <c r="G1707" s="396"/>
      <c r="K1707" s="370"/>
      <c r="N1707" s="370"/>
    </row>
    <row r="1708" spans="1:14" s="347" customFormat="1" x14ac:dyDescent="0.25">
      <c r="A1708" s="369">
        <v>44305</v>
      </c>
      <c r="B1708" s="340">
        <f>+MONTH(A1708)</f>
        <v>4</v>
      </c>
      <c r="C1708" s="347">
        <v>110</v>
      </c>
      <c r="D1708" s="340" t="str">
        <f>VLOOKUP(C1708,Plan!A$1:B$65542,2,0)</f>
        <v>Disponible Administración</v>
      </c>
      <c r="E1708" s="341">
        <f>+F1708-G1708</f>
        <v>3000</v>
      </c>
      <c r="F1708" s="396">
        <v>3000</v>
      </c>
      <c r="G1708" s="396">
        <v>0</v>
      </c>
      <c r="H1708" t="s">
        <v>1158</v>
      </c>
      <c r="I1708" s="347" t="s">
        <v>1303</v>
      </c>
      <c r="K1708" s="370"/>
      <c r="N1708" s="370"/>
    </row>
    <row r="1709" spans="1:14" s="347" customFormat="1" x14ac:dyDescent="0.25">
      <c r="A1709" s="369">
        <f>+A1708</f>
        <v>44305</v>
      </c>
      <c r="B1709" s="347">
        <f>+B1708</f>
        <v>4</v>
      </c>
      <c r="C1709" s="347">
        <v>3110</v>
      </c>
      <c r="D1709" s="340" t="str">
        <f>VLOOKUP(C1709,Plan!A$1:B$65542,2,0)</f>
        <v>Colectas Normales</v>
      </c>
      <c r="E1709" s="396">
        <f>-G1709</f>
        <v>-3000</v>
      </c>
      <c r="F1709" s="396">
        <v>0</v>
      </c>
      <c r="G1709" s="396">
        <f>+F1708</f>
        <v>3000</v>
      </c>
      <c r="H1709" s="347" t="str">
        <f>+H1708</f>
        <v>Colecta Jose Perez De Castro</v>
      </c>
      <c r="I1709" s="347" t="s">
        <v>1303</v>
      </c>
      <c r="K1709" s="370"/>
      <c r="N1709" s="370"/>
    </row>
    <row r="1710" spans="1:14" s="347" customFormat="1" x14ac:dyDescent="0.25">
      <c r="A1710" s="369"/>
      <c r="E1710" s="396"/>
      <c r="F1710" s="396"/>
      <c r="G1710" s="396"/>
      <c r="K1710" s="370"/>
      <c r="N1710" s="370"/>
    </row>
    <row r="1711" spans="1:14" s="347" customFormat="1" x14ac:dyDescent="0.25">
      <c r="A1711" s="369">
        <v>44305</v>
      </c>
      <c r="B1711" s="340">
        <f>+MONTH(A1711)</f>
        <v>4</v>
      </c>
      <c r="C1711" s="347">
        <v>110</v>
      </c>
      <c r="D1711" s="340" t="str">
        <f>VLOOKUP(C1711,Plan!A$1:B$65542,2,0)</f>
        <v>Disponible Administración</v>
      </c>
      <c r="E1711" s="341">
        <f>+F1711-G1711</f>
        <v>10000</v>
      </c>
      <c r="F1711" s="396">
        <v>10000</v>
      </c>
      <c r="G1711" s="396">
        <v>0</v>
      </c>
      <c r="H1711" t="s">
        <v>1369</v>
      </c>
      <c r="I1711" s="347" t="s">
        <v>1303</v>
      </c>
      <c r="K1711" s="370"/>
      <c r="N1711" s="370"/>
    </row>
    <row r="1712" spans="1:14" s="347" customFormat="1" x14ac:dyDescent="0.25">
      <c r="A1712" s="369">
        <f>+A1711</f>
        <v>44305</v>
      </c>
      <c r="B1712" s="347">
        <f>+B1711</f>
        <v>4</v>
      </c>
      <c r="C1712" s="347">
        <v>3110</v>
      </c>
      <c r="D1712" s="340" t="str">
        <f>VLOOKUP(C1712,Plan!A$1:B$65542,2,0)</f>
        <v>Colectas Normales</v>
      </c>
      <c r="E1712" s="396">
        <f>-G1712</f>
        <v>-10000</v>
      </c>
      <c r="F1712" s="396">
        <v>0</v>
      </c>
      <c r="G1712" s="396">
        <f>+F1711</f>
        <v>10000</v>
      </c>
      <c r="H1712" s="347" t="str">
        <f>+H1711</f>
        <v>Colecta M. Gabriela Aequeros E.</v>
      </c>
      <c r="I1712" s="347" t="s">
        <v>1303</v>
      </c>
      <c r="K1712" s="370"/>
      <c r="N1712" s="370"/>
    </row>
    <row r="1713" spans="1:14" s="347" customFormat="1" x14ac:dyDescent="0.25">
      <c r="A1713" s="369"/>
      <c r="E1713" s="396"/>
      <c r="F1713" s="396"/>
      <c r="G1713" s="396"/>
      <c r="K1713" s="370"/>
      <c r="N1713" s="370"/>
    </row>
    <row r="1714" spans="1:14" s="347" customFormat="1" x14ac:dyDescent="0.25">
      <c r="A1714" s="369">
        <v>44305</v>
      </c>
      <c r="B1714" s="340">
        <f>+MONTH(A1714)</f>
        <v>4</v>
      </c>
      <c r="C1714" s="347">
        <v>110</v>
      </c>
      <c r="D1714" s="340" t="str">
        <f>VLOOKUP(C1714,Plan!A$1:B$65542,2,0)</f>
        <v>Disponible Administración</v>
      </c>
      <c r="E1714" s="341">
        <f>+F1714-G1714</f>
        <v>5000</v>
      </c>
      <c r="F1714" s="396">
        <v>5000</v>
      </c>
      <c r="G1714" s="396">
        <v>0</v>
      </c>
      <c r="H1714" t="s">
        <v>1370</v>
      </c>
      <c r="I1714" s="347" t="s">
        <v>1303</v>
      </c>
      <c r="K1714" s="370"/>
      <c r="N1714" s="370"/>
    </row>
    <row r="1715" spans="1:14" s="347" customFormat="1" x14ac:dyDescent="0.25">
      <c r="A1715" s="369">
        <f>+A1714</f>
        <v>44305</v>
      </c>
      <c r="B1715" s="347">
        <f>+B1714</f>
        <v>4</v>
      </c>
      <c r="C1715" s="347">
        <v>3340</v>
      </c>
      <c r="D1715" s="340" t="str">
        <f>VLOOKUP(C1715,Plan!A$1:B$65542,2,0)</f>
        <v>Misas</v>
      </c>
      <c r="E1715" s="396">
        <f>-G1715</f>
        <v>-5000</v>
      </c>
      <c r="F1715" s="396">
        <v>0</v>
      </c>
      <c r="G1715" s="396">
        <f>+F1714</f>
        <v>5000</v>
      </c>
      <c r="H1715" s="347" t="str">
        <f>+H1714</f>
        <v>Misa M. De Los Angeles Palma</v>
      </c>
      <c r="I1715" s="347" t="s">
        <v>1303</v>
      </c>
      <c r="K1715" s="370"/>
      <c r="N1715" s="370"/>
    </row>
    <row r="1716" spans="1:14" s="347" customFormat="1" x14ac:dyDescent="0.25">
      <c r="A1716" s="369"/>
      <c r="E1716" s="396"/>
      <c r="F1716" s="396"/>
      <c r="G1716" s="396"/>
      <c r="K1716" s="370"/>
      <c r="N1716" s="370"/>
    </row>
    <row r="1717" spans="1:14" s="347" customFormat="1" x14ac:dyDescent="0.25">
      <c r="A1717" s="369">
        <v>44305</v>
      </c>
      <c r="B1717" s="340">
        <f>+MONTH(A1717)</f>
        <v>4</v>
      </c>
      <c r="C1717" s="347">
        <v>110</v>
      </c>
      <c r="D1717" s="340" t="str">
        <f>VLOOKUP(C1717,Plan!A$1:B$65542,2,0)</f>
        <v>Disponible Administración</v>
      </c>
      <c r="E1717" s="341">
        <f>+F1717-G1717</f>
        <v>10000</v>
      </c>
      <c r="F1717" s="396">
        <v>10000</v>
      </c>
      <c r="G1717" s="396">
        <v>0</v>
      </c>
      <c r="H1717" t="s">
        <v>945</v>
      </c>
      <c r="I1717" s="347" t="s">
        <v>1303</v>
      </c>
      <c r="K1717" s="370"/>
      <c r="N1717" s="370"/>
    </row>
    <row r="1718" spans="1:14" s="347" customFormat="1" x14ac:dyDescent="0.25">
      <c r="A1718" s="369">
        <f>+A1717</f>
        <v>44305</v>
      </c>
      <c r="B1718" s="347">
        <f>+B1717</f>
        <v>4</v>
      </c>
      <c r="C1718" s="347">
        <v>3110</v>
      </c>
      <c r="D1718" s="340" t="str">
        <f>VLOOKUP(C1718,Plan!A$1:B$65542,2,0)</f>
        <v>Colectas Normales</v>
      </c>
      <c r="E1718" s="396">
        <f>-G1718</f>
        <v>-10000</v>
      </c>
      <c r="F1718" s="396">
        <v>0</v>
      </c>
      <c r="G1718" s="396">
        <f>+F1717</f>
        <v>10000</v>
      </c>
      <c r="H1718" s="347" t="str">
        <f>+H1717</f>
        <v>Colecta Maria Corte</v>
      </c>
      <c r="I1718" s="347" t="s">
        <v>1303</v>
      </c>
      <c r="K1718" s="370"/>
      <c r="N1718" s="370"/>
    </row>
    <row r="1719" spans="1:14" s="347" customFormat="1" x14ac:dyDescent="0.25">
      <c r="A1719" s="369"/>
      <c r="E1719" s="396"/>
      <c r="F1719" s="396"/>
      <c r="G1719" s="396"/>
      <c r="K1719" s="370"/>
      <c r="N1719" s="370"/>
    </row>
    <row r="1720" spans="1:14" s="347" customFormat="1" x14ac:dyDescent="0.25">
      <c r="A1720" s="369">
        <v>44305</v>
      </c>
      <c r="B1720" s="340">
        <f>+MONTH(A1720)</f>
        <v>4</v>
      </c>
      <c r="C1720" s="347">
        <v>110</v>
      </c>
      <c r="D1720" s="340" t="str">
        <f>VLOOKUP(C1720,Plan!A$1:B$65542,2,0)</f>
        <v>Disponible Administración</v>
      </c>
      <c r="E1720" s="341">
        <f>+F1720-G1720</f>
        <v>20000</v>
      </c>
      <c r="F1720" s="396">
        <v>20000</v>
      </c>
      <c r="G1720" s="396">
        <v>0</v>
      </c>
      <c r="H1720" t="s">
        <v>1371</v>
      </c>
      <c r="I1720" s="347" t="s">
        <v>1303</v>
      </c>
      <c r="K1720" s="370"/>
      <c r="N1720" s="370"/>
    </row>
    <row r="1721" spans="1:14" s="347" customFormat="1" x14ac:dyDescent="0.25">
      <c r="A1721" s="369">
        <f>+A1720</f>
        <v>44305</v>
      </c>
      <c r="B1721" s="347">
        <f>+B1720</f>
        <v>4</v>
      </c>
      <c r="C1721" s="347">
        <v>3450</v>
      </c>
      <c r="D1721" s="340" t="str">
        <f>VLOOKUP(C1721,Plan!A$1:B$65542,2,0)</f>
        <v>Pastoral Social</v>
      </c>
      <c r="E1721" s="396">
        <f>-G1721</f>
        <v>-20000</v>
      </c>
      <c r="F1721" s="396">
        <v>0</v>
      </c>
      <c r="G1721" s="396">
        <f>+F1720</f>
        <v>20000</v>
      </c>
      <c r="H1721" s="347" t="str">
        <f>+H1720</f>
        <v>Canasta Maria Garcia</v>
      </c>
      <c r="I1721" s="347" t="s">
        <v>1303</v>
      </c>
      <c r="K1721" s="370"/>
      <c r="N1721" s="370"/>
    </row>
    <row r="1722" spans="1:14" s="347" customFormat="1" x14ac:dyDescent="0.25">
      <c r="A1722" s="369"/>
      <c r="E1722" s="396"/>
      <c r="F1722" s="396"/>
      <c r="G1722" s="396"/>
      <c r="K1722" s="370"/>
      <c r="N1722" s="370"/>
    </row>
    <row r="1723" spans="1:14" s="347" customFormat="1" x14ac:dyDescent="0.25">
      <c r="A1723" s="369">
        <v>44305</v>
      </c>
      <c r="B1723" s="340">
        <f>+MONTH(A1723)</f>
        <v>4</v>
      </c>
      <c r="C1723" s="347">
        <v>110</v>
      </c>
      <c r="D1723" s="340" t="str">
        <f>VLOOKUP(C1723,Plan!A$1:B$65542,2,0)</f>
        <v>Disponible Administración</v>
      </c>
      <c r="E1723" s="341">
        <f>+F1723-G1723</f>
        <v>15000</v>
      </c>
      <c r="F1723" s="396">
        <v>15000</v>
      </c>
      <c r="G1723" s="396">
        <v>0</v>
      </c>
      <c r="H1723" t="s">
        <v>1205</v>
      </c>
      <c r="I1723" s="347" t="s">
        <v>1303</v>
      </c>
      <c r="K1723" s="370"/>
      <c r="N1723" s="370"/>
    </row>
    <row r="1724" spans="1:14" s="347" customFormat="1" x14ac:dyDescent="0.25">
      <c r="A1724" s="369">
        <f>+A1723</f>
        <v>44305</v>
      </c>
      <c r="B1724" s="347">
        <f>+B1723</f>
        <v>4</v>
      </c>
      <c r="C1724" s="347">
        <v>3110</v>
      </c>
      <c r="D1724" s="340" t="str">
        <f>VLOOKUP(C1724,Plan!A$1:B$65542,2,0)</f>
        <v>Colectas Normales</v>
      </c>
      <c r="E1724" s="396">
        <f>-G1724</f>
        <v>-15000</v>
      </c>
      <c r="F1724" s="396">
        <v>0</v>
      </c>
      <c r="G1724" s="396">
        <f>+F1723</f>
        <v>15000</v>
      </c>
      <c r="H1724" s="347" t="str">
        <f>+H1723</f>
        <v>Colecta Gonzalo Nieto Valdes</v>
      </c>
      <c r="I1724" s="347" t="s">
        <v>1303</v>
      </c>
      <c r="K1724" s="370"/>
      <c r="N1724" s="370"/>
    </row>
    <row r="1725" spans="1:14" s="347" customFormat="1" x14ac:dyDescent="0.25">
      <c r="A1725" s="369"/>
      <c r="E1725" s="396"/>
      <c r="F1725" s="396"/>
      <c r="G1725" s="396"/>
      <c r="K1725" s="370"/>
      <c r="N1725" s="370"/>
    </row>
    <row r="1726" spans="1:14" s="347" customFormat="1" x14ac:dyDescent="0.25">
      <c r="A1726" s="369">
        <v>44305</v>
      </c>
      <c r="B1726" s="340">
        <f>+MONTH(A1726)</f>
        <v>4</v>
      </c>
      <c r="C1726" s="347">
        <v>110</v>
      </c>
      <c r="D1726" s="340" t="str">
        <f>VLOOKUP(C1726,Plan!A$1:B$65542,2,0)</f>
        <v>Disponible Administración</v>
      </c>
      <c r="E1726" s="341">
        <f>+F1726-G1726</f>
        <v>5000</v>
      </c>
      <c r="F1726" s="396">
        <v>5000</v>
      </c>
      <c r="G1726" s="396">
        <v>0</v>
      </c>
      <c r="H1726" t="s">
        <v>899</v>
      </c>
      <c r="I1726" s="347" t="s">
        <v>1303</v>
      </c>
      <c r="K1726" s="370"/>
      <c r="N1726" s="370"/>
    </row>
    <row r="1727" spans="1:14" s="347" customFormat="1" x14ac:dyDescent="0.25">
      <c r="A1727" s="369">
        <f>+A1726</f>
        <v>44305</v>
      </c>
      <c r="B1727" s="347">
        <f>+B1726</f>
        <v>4</v>
      </c>
      <c r="C1727" s="347">
        <v>3110</v>
      </c>
      <c r="D1727" s="340" t="str">
        <f>VLOOKUP(C1727,Plan!A$1:B$65542,2,0)</f>
        <v>Colectas Normales</v>
      </c>
      <c r="E1727" s="396">
        <f>-G1727</f>
        <v>-5000</v>
      </c>
      <c r="F1727" s="396">
        <v>0</v>
      </c>
      <c r="G1727" s="396">
        <f>+F1726</f>
        <v>5000</v>
      </c>
      <c r="H1727" s="347" t="str">
        <f>+H1726</f>
        <v>Colecta Carlos Anwandter</v>
      </c>
      <c r="I1727" s="347" t="s">
        <v>1303</v>
      </c>
      <c r="K1727" s="370"/>
      <c r="N1727" s="370"/>
    </row>
    <row r="1728" spans="1:14" s="347" customFormat="1" x14ac:dyDescent="0.25">
      <c r="A1728" s="369"/>
      <c r="E1728" s="396"/>
      <c r="F1728" s="396"/>
      <c r="G1728" s="396"/>
      <c r="K1728" s="370"/>
      <c r="N1728" s="370"/>
    </row>
    <row r="1729" spans="1:14" s="347" customFormat="1" x14ac:dyDescent="0.25">
      <c r="A1729" s="369">
        <v>44305</v>
      </c>
      <c r="B1729" s="340">
        <f>+MONTH(A1729)</f>
        <v>4</v>
      </c>
      <c r="C1729" s="347">
        <v>110</v>
      </c>
      <c r="D1729" s="340" t="str">
        <f>VLOOKUP(C1729,Plan!A$1:B$65542,2,0)</f>
        <v>Disponible Administración</v>
      </c>
      <c r="E1729" s="341">
        <f>+F1729-G1729</f>
        <v>51000</v>
      </c>
      <c r="F1729" s="396">
        <v>51000</v>
      </c>
      <c r="G1729" s="396">
        <v>0</v>
      </c>
      <c r="H1729" t="s">
        <v>1372</v>
      </c>
      <c r="I1729" s="347" t="s">
        <v>1303</v>
      </c>
      <c r="K1729" s="370"/>
      <c r="N1729" s="370"/>
    </row>
    <row r="1730" spans="1:14" s="347" customFormat="1" x14ac:dyDescent="0.25">
      <c r="A1730" s="369">
        <f>+A1729</f>
        <v>44305</v>
      </c>
      <c r="B1730" s="347">
        <f>+B1729</f>
        <v>4</v>
      </c>
      <c r="C1730" s="347">
        <v>3110</v>
      </c>
      <c r="D1730" s="340" t="str">
        <f>VLOOKUP(C1730,Plan!A$1:B$65542,2,0)</f>
        <v>Colectas Normales</v>
      </c>
      <c r="E1730" s="396">
        <f>-G1730</f>
        <v>-51000</v>
      </c>
      <c r="F1730" s="396">
        <v>0</v>
      </c>
      <c r="G1730" s="396">
        <f>+F1729</f>
        <v>51000</v>
      </c>
      <c r="H1730" s="347" t="str">
        <f>+H1729</f>
        <v>Colecta Misas Presencial</v>
      </c>
      <c r="I1730" s="347" t="s">
        <v>1303</v>
      </c>
      <c r="K1730" s="370"/>
      <c r="N1730" s="370"/>
    </row>
    <row r="1731" spans="1:14" s="347" customFormat="1" x14ac:dyDescent="0.25">
      <c r="A1731" s="369"/>
      <c r="E1731" s="396"/>
      <c r="F1731" s="396"/>
      <c r="G1731" s="396"/>
      <c r="K1731" s="370"/>
      <c r="N1731" s="370"/>
    </row>
    <row r="1732" spans="1:14" s="347" customFormat="1" x14ac:dyDescent="0.25">
      <c r="A1732" s="369">
        <v>44305</v>
      </c>
      <c r="B1732" s="340">
        <f>+MONTH(A1732)</f>
        <v>4</v>
      </c>
      <c r="C1732" s="347">
        <v>110</v>
      </c>
      <c r="D1732" s="340" t="str">
        <f>VLOOKUP(C1732,Plan!A$1:B$65542,2,0)</f>
        <v>Disponible Administración</v>
      </c>
      <c r="E1732" s="341">
        <f>+F1732-G1732</f>
        <v>50000</v>
      </c>
      <c r="F1732" s="396">
        <v>50000</v>
      </c>
      <c r="G1732" s="396">
        <v>0</v>
      </c>
      <c r="H1732" t="s">
        <v>1373</v>
      </c>
      <c r="I1732" s="347" t="s">
        <v>1303</v>
      </c>
      <c r="K1732" s="370"/>
      <c r="N1732" s="370"/>
    </row>
    <row r="1733" spans="1:14" s="347" customFormat="1" x14ac:dyDescent="0.25">
      <c r="A1733" s="369">
        <f>+A1732</f>
        <v>44305</v>
      </c>
      <c r="B1733" s="347">
        <f>+B1732</f>
        <v>4</v>
      </c>
      <c r="C1733" s="347">
        <v>3110</v>
      </c>
      <c r="D1733" s="340" t="str">
        <f>VLOOKUP(C1733,Plan!A$1:B$65542,2,0)</f>
        <v>Colectas Normales</v>
      </c>
      <c r="E1733" s="396">
        <f>-G1733</f>
        <v>-50000</v>
      </c>
      <c r="F1733" s="396">
        <v>0</v>
      </c>
      <c r="G1733" s="396">
        <f>+F1732</f>
        <v>50000</v>
      </c>
      <c r="H1733" s="347" t="str">
        <f>+H1732</f>
        <v>Colecta Gustavo Irarrazaval</v>
      </c>
      <c r="I1733" s="347" t="s">
        <v>1303</v>
      </c>
      <c r="K1733" s="370"/>
      <c r="N1733" s="370"/>
    </row>
    <row r="1734" spans="1:14" s="347" customFormat="1" x14ac:dyDescent="0.25">
      <c r="A1734" s="369"/>
      <c r="E1734" s="396"/>
      <c r="F1734" s="396"/>
      <c r="G1734" s="396"/>
      <c r="K1734" s="370"/>
      <c r="N1734" s="370"/>
    </row>
    <row r="1735" spans="1:14" s="347" customFormat="1" x14ac:dyDescent="0.25">
      <c r="A1735" s="369">
        <v>44305</v>
      </c>
      <c r="B1735" s="340">
        <f>+MONTH(A1735)</f>
        <v>4</v>
      </c>
      <c r="C1735" s="347">
        <v>110</v>
      </c>
      <c r="D1735" s="340" t="str">
        <f>VLOOKUP(C1735,Plan!A$1:B$65542,2,0)</f>
        <v>Disponible Administración</v>
      </c>
      <c r="E1735" s="341">
        <f>+F1735-G1735</f>
        <v>10000</v>
      </c>
      <c r="F1735" s="396">
        <v>10000</v>
      </c>
      <c r="G1735" s="396">
        <v>0</v>
      </c>
      <c r="H1735" t="s">
        <v>1374</v>
      </c>
      <c r="I1735" s="347" t="s">
        <v>1303</v>
      </c>
      <c r="K1735" s="370"/>
      <c r="N1735" s="370"/>
    </row>
    <row r="1736" spans="1:14" s="347" customFormat="1" x14ac:dyDescent="0.25">
      <c r="A1736" s="369">
        <f>+A1735</f>
        <v>44305</v>
      </c>
      <c r="B1736" s="347">
        <f>+B1735</f>
        <v>4</v>
      </c>
      <c r="C1736" s="347">
        <v>3110</v>
      </c>
      <c r="D1736" s="340" t="str">
        <f>VLOOKUP(C1736,Plan!A$1:B$65542,2,0)</f>
        <v>Colectas Normales</v>
      </c>
      <c r="E1736" s="396">
        <f>-G1736</f>
        <v>-10000</v>
      </c>
      <c r="F1736" s="396">
        <v>0</v>
      </c>
      <c r="G1736" s="396">
        <f>+F1735</f>
        <v>10000</v>
      </c>
      <c r="H1736" s="347" t="str">
        <f>+H1735</f>
        <v>Colecta Alexander Stehr</v>
      </c>
      <c r="I1736" s="347" t="s">
        <v>1303</v>
      </c>
      <c r="K1736" s="370"/>
      <c r="N1736" s="370"/>
    </row>
    <row r="1737" spans="1:14" s="347" customFormat="1" x14ac:dyDescent="0.25">
      <c r="A1737" s="369"/>
      <c r="E1737" s="396"/>
      <c r="F1737" s="396"/>
      <c r="G1737" s="396"/>
      <c r="K1737" s="370"/>
      <c r="N1737" s="370"/>
    </row>
    <row r="1738" spans="1:14" s="347" customFormat="1" x14ac:dyDescent="0.25">
      <c r="A1738" s="369">
        <v>44305</v>
      </c>
      <c r="B1738" s="340">
        <f>+MONTH(A1738)</f>
        <v>4</v>
      </c>
      <c r="C1738" s="347">
        <v>110</v>
      </c>
      <c r="D1738" s="340" t="str">
        <f>VLOOKUP(C1738,Plan!A$1:B$65542,2,0)</f>
        <v>Disponible Administración</v>
      </c>
      <c r="E1738" s="341">
        <f>+F1738-G1738</f>
        <v>2000</v>
      </c>
      <c r="F1738" s="396">
        <v>2000</v>
      </c>
      <c r="G1738" s="396">
        <v>0</v>
      </c>
      <c r="H1738" t="s">
        <v>1374</v>
      </c>
      <c r="I1738" s="347" t="s">
        <v>1303</v>
      </c>
      <c r="K1738" s="370"/>
      <c r="N1738" s="370"/>
    </row>
    <row r="1739" spans="1:14" s="347" customFormat="1" x14ac:dyDescent="0.25">
      <c r="A1739" s="369">
        <f>+A1738</f>
        <v>44305</v>
      </c>
      <c r="B1739" s="347">
        <f>+B1738</f>
        <v>4</v>
      </c>
      <c r="C1739" s="347">
        <v>3110</v>
      </c>
      <c r="D1739" s="340" t="str">
        <f>VLOOKUP(C1739,Plan!A$1:B$65542,2,0)</f>
        <v>Colectas Normales</v>
      </c>
      <c r="E1739" s="396">
        <f>-G1739</f>
        <v>-2000</v>
      </c>
      <c r="F1739" s="396">
        <v>0</v>
      </c>
      <c r="G1739" s="396">
        <f>+F1738</f>
        <v>2000</v>
      </c>
      <c r="H1739" s="347" t="str">
        <f>+H1738</f>
        <v>Colecta Alexander Stehr</v>
      </c>
      <c r="I1739" s="347" t="s">
        <v>1303</v>
      </c>
      <c r="K1739" s="370"/>
      <c r="N1739" s="370"/>
    </row>
    <row r="1740" spans="1:14" s="347" customFormat="1" x14ac:dyDescent="0.25">
      <c r="A1740" s="369"/>
      <c r="E1740" s="396"/>
      <c r="F1740" s="396"/>
      <c r="G1740" s="396"/>
      <c r="K1740" s="370"/>
      <c r="N1740" s="370"/>
    </row>
    <row r="1741" spans="1:14" s="347" customFormat="1" x14ac:dyDescent="0.25">
      <c r="A1741" s="369">
        <v>44305</v>
      </c>
      <c r="B1741" s="340">
        <f>+MONTH(A1741)</f>
        <v>4</v>
      </c>
      <c r="C1741" s="347">
        <v>110</v>
      </c>
      <c r="D1741" s="340" t="str">
        <f>VLOOKUP(C1741,Plan!A$1:B$65542,2,0)</f>
        <v>Disponible Administración</v>
      </c>
      <c r="E1741" s="341">
        <f>+F1741-G1741</f>
        <v>118656</v>
      </c>
      <c r="F1741" s="396">
        <v>118656</v>
      </c>
      <c r="G1741" s="396">
        <v>0</v>
      </c>
      <c r="H1741" t="s">
        <v>897</v>
      </c>
      <c r="I1741" s="347" t="s">
        <v>1303</v>
      </c>
      <c r="K1741" s="370"/>
      <c r="N1741" s="370"/>
    </row>
    <row r="1742" spans="1:14" s="347" customFormat="1" x14ac:dyDescent="0.25">
      <c r="A1742" s="369">
        <f>+A1741</f>
        <v>44305</v>
      </c>
      <c r="B1742" s="347">
        <f>+B1741</f>
        <v>4</v>
      </c>
      <c r="C1742" s="347">
        <v>3110</v>
      </c>
      <c r="D1742" s="340" t="str">
        <f>VLOOKUP(C1742,Plan!A$1:B$65542,2,0)</f>
        <v>Colectas Normales</v>
      </c>
      <c r="E1742" s="396">
        <f>-G1742</f>
        <v>-118656</v>
      </c>
      <c r="F1742" s="396">
        <v>0</v>
      </c>
      <c r="G1742" s="396">
        <f>+F1741</f>
        <v>118656</v>
      </c>
      <c r="H1742" s="347" t="str">
        <f>+H1741</f>
        <v>Colecta DCT</v>
      </c>
      <c r="I1742" s="347" t="s">
        <v>1303</v>
      </c>
      <c r="K1742" s="370"/>
      <c r="N1742" s="370"/>
    </row>
    <row r="1743" spans="1:14" s="347" customFormat="1" x14ac:dyDescent="0.25">
      <c r="A1743" s="369"/>
      <c r="E1743" s="396"/>
      <c r="F1743" s="396"/>
      <c r="G1743" s="396"/>
      <c r="K1743" s="370"/>
      <c r="N1743" s="370"/>
    </row>
    <row r="1744" spans="1:14" s="347" customFormat="1" x14ac:dyDescent="0.25">
      <c r="A1744" s="369">
        <v>44305</v>
      </c>
      <c r="B1744" s="340">
        <f>+MONTH(A1744)</f>
        <v>4</v>
      </c>
      <c r="C1744" s="347">
        <v>110</v>
      </c>
      <c r="D1744" s="340" t="str">
        <f>VLOOKUP(C1744,Plan!A$1:B$65542,2,0)</f>
        <v>Disponible Administración</v>
      </c>
      <c r="E1744" s="341">
        <f>+F1744-G1744</f>
        <v>40000</v>
      </c>
      <c r="F1744" s="396">
        <v>40000</v>
      </c>
      <c r="G1744" s="396">
        <v>0</v>
      </c>
      <c r="H1744" t="s">
        <v>1375</v>
      </c>
      <c r="I1744" s="347" t="s">
        <v>1303</v>
      </c>
      <c r="K1744" s="370"/>
      <c r="N1744" s="370"/>
    </row>
    <row r="1745" spans="1:14" s="347" customFormat="1" x14ac:dyDescent="0.25">
      <c r="A1745" s="369">
        <f>+A1744</f>
        <v>44305</v>
      </c>
      <c r="B1745" s="347">
        <f>+B1744</f>
        <v>4</v>
      </c>
      <c r="C1745" s="347">
        <v>3450</v>
      </c>
      <c r="D1745" s="340" t="str">
        <f>VLOOKUP(C1745,Plan!A$1:B$65542,2,0)</f>
        <v>Pastoral Social</v>
      </c>
      <c r="E1745" s="396">
        <f>-G1745</f>
        <v>-40000</v>
      </c>
      <c r="F1745" s="396">
        <v>0</v>
      </c>
      <c r="G1745" s="396">
        <f>+F1744</f>
        <v>40000</v>
      </c>
      <c r="H1745" s="347" t="str">
        <f>+H1744</f>
        <v>Canasta Alejandro Gutierrez</v>
      </c>
      <c r="I1745" s="347" t="s">
        <v>1303</v>
      </c>
      <c r="K1745" s="370"/>
      <c r="N1745" s="370"/>
    </row>
    <row r="1746" spans="1:14" s="347" customFormat="1" x14ac:dyDescent="0.25">
      <c r="A1746" s="369"/>
      <c r="E1746" s="396"/>
      <c r="F1746" s="396"/>
      <c r="G1746" s="396"/>
      <c r="K1746" s="370"/>
      <c r="N1746" s="370"/>
    </row>
    <row r="1747" spans="1:14" s="347" customFormat="1" x14ac:dyDescent="0.25">
      <c r="A1747" s="369">
        <v>44306</v>
      </c>
      <c r="B1747" s="340">
        <f>+MONTH(A1747)</f>
        <v>4</v>
      </c>
      <c r="C1747" s="347">
        <v>110</v>
      </c>
      <c r="D1747" s="340" t="str">
        <f>VLOOKUP(C1747,Plan!A$1:B$65542,2,0)</f>
        <v>Disponible Administración</v>
      </c>
      <c r="E1747" s="341">
        <f>+F1747-G1747</f>
        <v>5000</v>
      </c>
      <c r="F1747" s="396">
        <v>5000</v>
      </c>
      <c r="G1747" s="396">
        <v>0</v>
      </c>
      <c r="H1747" t="s">
        <v>1376</v>
      </c>
      <c r="I1747" s="347" t="s">
        <v>1303</v>
      </c>
      <c r="K1747" s="370"/>
      <c r="N1747" s="370"/>
    </row>
    <row r="1748" spans="1:14" s="347" customFormat="1" x14ac:dyDescent="0.25">
      <c r="A1748" s="369">
        <f>+A1747</f>
        <v>44306</v>
      </c>
      <c r="B1748" s="347">
        <f>+B1747</f>
        <v>4</v>
      </c>
      <c r="C1748" s="347">
        <v>3110</v>
      </c>
      <c r="D1748" s="340" t="str">
        <f>VLOOKUP(C1748,Plan!A$1:B$65542,2,0)</f>
        <v>Colectas Normales</v>
      </c>
      <c r="E1748" s="396">
        <f>-G1748</f>
        <v>-5000</v>
      </c>
      <c r="F1748" s="396">
        <v>0</v>
      </c>
      <c r="G1748" s="396">
        <f>+F1747</f>
        <v>5000</v>
      </c>
      <c r="H1748" s="347" t="str">
        <f>+H1747</f>
        <v>Colecta Ana Gloria Awad Yazigi</v>
      </c>
      <c r="I1748" s="347" t="s">
        <v>1303</v>
      </c>
      <c r="K1748" s="370"/>
      <c r="N1748" s="370"/>
    </row>
    <row r="1749" spans="1:14" s="347" customFormat="1" x14ac:dyDescent="0.25">
      <c r="A1749" s="369"/>
      <c r="E1749" s="396"/>
      <c r="F1749" s="396"/>
      <c r="G1749" s="396"/>
      <c r="K1749" s="370"/>
      <c r="N1749" s="370"/>
    </row>
    <row r="1750" spans="1:14" s="347" customFormat="1" x14ac:dyDescent="0.25">
      <c r="A1750" s="369">
        <v>44306</v>
      </c>
      <c r="B1750" s="340">
        <f>+MONTH(A1750)</f>
        <v>4</v>
      </c>
      <c r="C1750" s="347">
        <v>110</v>
      </c>
      <c r="D1750" s="340" t="str">
        <f>VLOOKUP(C1750,Plan!A$1:B$65542,2,0)</f>
        <v>Disponible Administración</v>
      </c>
      <c r="E1750" s="341">
        <f>+F1750-G1750</f>
        <v>14700</v>
      </c>
      <c r="F1750" s="396">
        <v>14700</v>
      </c>
      <c r="G1750" s="396">
        <v>0</v>
      </c>
      <c r="H1750" t="s">
        <v>897</v>
      </c>
      <c r="I1750" s="347" t="s">
        <v>1303</v>
      </c>
      <c r="K1750" s="370"/>
      <c r="N1750" s="370"/>
    </row>
    <row r="1751" spans="1:14" s="347" customFormat="1" x14ac:dyDescent="0.25">
      <c r="A1751" s="369">
        <f>+A1750</f>
        <v>44306</v>
      </c>
      <c r="B1751" s="347">
        <f>+B1750</f>
        <v>4</v>
      </c>
      <c r="C1751" s="347">
        <v>3110</v>
      </c>
      <c r="D1751" s="340" t="str">
        <f>VLOOKUP(C1751,Plan!A$1:B$65542,2,0)</f>
        <v>Colectas Normales</v>
      </c>
      <c r="E1751" s="396">
        <f>-G1751</f>
        <v>-14700</v>
      </c>
      <c r="F1751" s="396">
        <v>0</v>
      </c>
      <c r="G1751" s="396">
        <f>+F1750</f>
        <v>14700</v>
      </c>
      <c r="H1751" s="347" t="str">
        <f>+H1750</f>
        <v>Colecta DCT</v>
      </c>
      <c r="I1751" s="347" t="s">
        <v>1303</v>
      </c>
      <c r="K1751" s="370"/>
      <c r="N1751" s="370"/>
    </row>
    <row r="1752" spans="1:14" s="347" customFormat="1" x14ac:dyDescent="0.25">
      <c r="A1752" s="369"/>
      <c r="E1752" s="396"/>
      <c r="F1752" s="396"/>
      <c r="G1752" s="396"/>
      <c r="K1752" s="370"/>
      <c r="N1752" s="370"/>
    </row>
    <row r="1753" spans="1:14" s="347" customFormat="1" x14ac:dyDescent="0.25">
      <c r="A1753" s="369">
        <v>44306</v>
      </c>
      <c r="B1753" s="340">
        <f>+MONTH(A1753)</f>
        <v>4</v>
      </c>
      <c r="C1753" s="347">
        <v>4860</v>
      </c>
      <c r="D1753" s="340" t="str">
        <f>VLOOKUP(C1753,Plan!A$1:B$65542,2,0)</f>
        <v>Otros</v>
      </c>
      <c r="E1753" s="341">
        <f>+F1753-G1753</f>
        <v>2273</v>
      </c>
      <c r="F1753" s="396">
        <v>2273</v>
      </c>
      <c r="G1753" s="396">
        <v>0</v>
      </c>
      <c r="H1753" t="s">
        <v>1005</v>
      </c>
      <c r="I1753" s="347" t="s">
        <v>1303</v>
      </c>
      <c r="K1753" s="370"/>
      <c r="N1753" s="370"/>
    </row>
    <row r="1754" spans="1:14" s="347" customFormat="1" x14ac:dyDescent="0.25">
      <c r="A1754" s="369">
        <f>+A1753</f>
        <v>44306</v>
      </c>
      <c r="B1754" s="347">
        <f>+B1753</f>
        <v>4</v>
      </c>
      <c r="C1754" s="347">
        <v>110</v>
      </c>
      <c r="D1754" s="340" t="str">
        <f>VLOOKUP(C1754,Plan!A$1:B$65542,2,0)</f>
        <v>Disponible Administración</v>
      </c>
      <c r="E1754" s="396">
        <f>-G1754</f>
        <v>-2273</v>
      </c>
      <c r="F1754" s="396">
        <v>0</v>
      </c>
      <c r="G1754" s="396">
        <f>+F1753</f>
        <v>2273</v>
      </c>
      <c r="H1754" s="347" t="str">
        <f>+H1753</f>
        <v>Com.Bco.Chile</v>
      </c>
      <c r="I1754" s="347" t="s">
        <v>1303</v>
      </c>
      <c r="K1754" s="370"/>
      <c r="N1754" s="370"/>
    </row>
    <row r="1755" spans="1:14" s="347" customFormat="1" x14ac:dyDescent="0.25">
      <c r="A1755" s="369"/>
      <c r="E1755" s="396"/>
      <c r="F1755" s="396"/>
      <c r="G1755" s="396"/>
      <c r="K1755" s="370"/>
      <c r="N1755" s="370"/>
    </row>
    <row r="1756" spans="1:14" s="347" customFormat="1" x14ac:dyDescent="0.25">
      <c r="A1756" s="369">
        <v>44306</v>
      </c>
      <c r="B1756" s="340">
        <f>+MONTH(A1756)</f>
        <v>4</v>
      </c>
      <c r="C1756" s="347">
        <v>4860</v>
      </c>
      <c r="D1756" s="340" t="str">
        <f>VLOOKUP(C1756,Plan!A$1:B$65542,2,0)</f>
        <v>Otros</v>
      </c>
      <c r="E1756" s="341">
        <f>+F1756-G1756</f>
        <v>1049</v>
      </c>
      <c r="F1756" s="396">
        <v>1049</v>
      </c>
      <c r="G1756" s="396">
        <v>0</v>
      </c>
      <c r="H1756" t="s">
        <v>1005</v>
      </c>
      <c r="I1756" s="347" t="s">
        <v>1303</v>
      </c>
      <c r="K1756" s="370"/>
      <c r="N1756" s="370"/>
    </row>
    <row r="1757" spans="1:14" s="347" customFormat="1" x14ac:dyDescent="0.25">
      <c r="A1757" s="369">
        <f>+A1756</f>
        <v>44306</v>
      </c>
      <c r="B1757" s="347">
        <f>+B1756</f>
        <v>4</v>
      </c>
      <c r="C1757" s="347">
        <v>110</v>
      </c>
      <c r="D1757" s="340" t="str">
        <f>VLOOKUP(C1757,Plan!A$1:B$65542,2,0)</f>
        <v>Disponible Administración</v>
      </c>
      <c r="E1757" s="396">
        <f>-G1757</f>
        <v>-1049</v>
      </c>
      <c r="F1757" s="396">
        <v>0</v>
      </c>
      <c r="G1757" s="396">
        <f>+F1756</f>
        <v>1049</v>
      </c>
      <c r="H1757" s="347" t="str">
        <f>+H1756</f>
        <v>Com.Bco.Chile</v>
      </c>
      <c r="I1757" s="347" t="s">
        <v>1303</v>
      </c>
      <c r="K1757" s="370"/>
      <c r="N1757" s="370"/>
    </row>
    <row r="1758" spans="1:14" s="347" customFormat="1" x14ac:dyDescent="0.25">
      <c r="A1758" s="369"/>
      <c r="E1758" s="396"/>
      <c r="F1758" s="396"/>
      <c r="G1758" s="396"/>
      <c r="K1758" s="370"/>
      <c r="N1758" s="370"/>
    </row>
    <row r="1759" spans="1:14" s="347" customFormat="1" x14ac:dyDescent="0.25">
      <c r="A1759" s="369">
        <v>44307</v>
      </c>
      <c r="B1759" s="340">
        <f>+MONTH(A1759)</f>
        <v>4</v>
      </c>
      <c r="C1759" s="347">
        <v>110</v>
      </c>
      <c r="D1759" s="340" t="str">
        <f>VLOOKUP(C1759,Plan!A$1:B$65542,2,0)</f>
        <v>Disponible Administración</v>
      </c>
      <c r="E1759" s="341">
        <f>+F1759-G1759</f>
        <v>30000</v>
      </c>
      <c r="F1759" s="396">
        <v>30000</v>
      </c>
      <c r="G1759" s="396">
        <v>0</v>
      </c>
      <c r="H1759" t="s">
        <v>1377</v>
      </c>
      <c r="I1759" s="347" t="s">
        <v>1303</v>
      </c>
      <c r="K1759" s="370"/>
      <c r="N1759" s="370"/>
    </row>
    <row r="1760" spans="1:14" s="347" customFormat="1" x14ac:dyDescent="0.25">
      <c r="A1760" s="369">
        <f>+A1759</f>
        <v>44307</v>
      </c>
      <c r="B1760" s="347">
        <f>+B1759</f>
        <v>4</v>
      </c>
      <c r="C1760" s="347">
        <v>3450</v>
      </c>
      <c r="D1760" s="340" t="str">
        <f>VLOOKUP(C1760,Plan!A$1:B$65542,2,0)</f>
        <v>Pastoral Social</v>
      </c>
      <c r="E1760" s="396">
        <f>-G1760</f>
        <v>-30000</v>
      </c>
      <c r="F1760" s="396">
        <v>0</v>
      </c>
      <c r="G1760" s="396">
        <f>+F1759</f>
        <v>30000</v>
      </c>
      <c r="H1760" s="347" t="str">
        <f>+H1759</f>
        <v>Canasta Maria Teresa Santelices Puelma</v>
      </c>
      <c r="I1760" s="347" t="s">
        <v>1303</v>
      </c>
      <c r="K1760" s="370"/>
      <c r="N1760" s="370"/>
    </row>
    <row r="1761" spans="1:14" s="347" customFormat="1" x14ac:dyDescent="0.25">
      <c r="A1761" s="369"/>
      <c r="E1761" s="396"/>
      <c r="F1761" s="396"/>
      <c r="G1761" s="396"/>
      <c r="K1761" s="370"/>
      <c r="N1761" s="370"/>
    </row>
    <row r="1762" spans="1:14" s="347" customFormat="1" x14ac:dyDescent="0.25">
      <c r="A1762" s="369">
        <v>44307</v>
      </c>
      <c r="B1762" s="340">
        <f>+MONTH(A1762)</f>
        <v>4</v>
      </c>
      <c r="C1762" s="347">
        <v>110</v>
      </c>
      <c r="D1762" s="340" t="str">
        <f>VLOOKUP(C1762,Plan!A$1:B$65542,2,0)</f>
        <v>Disponible Administración</v>
      </c>
      <c r="E1762" s="341">
        <f>+F1762-G1762</f>
        <v>20000</v>
      </c>
      <c r="F1762" s="396">
        <v>20000</v>
      </c>
      <c r="G1762" s="396">
        <v>0</v>
      </c>
      <c r="H1762" t="s">
        <v>1378</v>
      </c>
      <c r="I1762" s="347" t="s">
        <v>1303</v>
      </c>
      <c r="K1762" s="370"/>
      <c r="N1762" s="370"/>
    </row>
    <row r="1763" spans="1:14" s="347" customFormat="1" x14ac:dyDescent="0.25">
      <c r="A1763" s="369">
        <f>+A1762</f>
        <v>44307</v>
      </c>
      <c r="B1763" s="347">
        <f>+B1762</f>
        <v>4</v>
      </c>
      <c r="C1763" s="347">
        <v>3110</v>
      </c>
      <c r="D1763" s="340" t="str">
        <f>VLOOKUP(C1763,Plan!A$1:B$65542,2,0)</f>
        <v>Colectas Normales</v>
      </c>
      <c r="E1763" s="396">
        <f>-G1763</f>
        <v>-20000</v>
      </c>
      <c r="F1763" s="396">
        <v>0</v>
      </c>
      <c r="G1763" s="396">
        <f>+F1762</f>
        <v>20000</v>
      </c>
      <c r="H1763" s="347" t="str">
        <f>+H1762</f>
        <v>Colecta Maria Teresa Santelices Puelma</v>
      </c>
      <c r="I1763" s="347" t="s">
        <v>1303</v>
      </c>
      <c r="K1763" s="370"/>
      <c r="N1763" s="370"/>
    </row>
    <row r="1764" spans="1:14" s="347" customFormat="1" x14ac:dyDescent="0.25">
      <c r="A1764" s="369"/>
      <c r="E1764" s="396"/>
      <c r="F1764" s="396"/>
      <c r="G1764" s="396"/>
      <c r="K1764" s="370"/>
      <c r="N1764" s="370"/>
    </row>
    <row r="1765" spans="1:14" s="347" customFormat="1" x14ac:dyDescent="0.25">
      <c r="A1765" s="369">
        <v>44307</v>
      </c>
      <c r="B1765" s="340">
        <f>+MONTH(A1765)</f>
        <v>4</v>
      </c>
      <c r="C1765" s="347">
        <v>110</v>
      </c>
      <c r="D1765" s="340" t="str">
        <f>VLOOKUP(C1765,Plan!A$1:B$65542,2,0)</f>
        <v>Disponible Administración</v>
      </c>
      <c r="E1765" s="341">
        <f>+F1765-G1765</f>
        <v>15000</v>
      </c>
      <c r="F1765" s="396">
        <v>15000</v>
      </c>
      <c r="G1765" s="396">
        <v>0</v>
      </c>
      <c r="H1765" t="s">
        <v>943</v>
      </c>
      <c r="I1765" s="347" t="s">
        <v>1303</v>
      </c>
      <c r="K1765" s="370"/>
      <c r="N1765" s="370"/>
    </row>
    <row r="1766" spans="1:14" s="347" customFormat="1" x14ac:dyDescent="0.25">
      <c r="A1766" s="369">
        <f>+A1765</f>
        <v>44307</v>
      </c>
      <c r="B1766" s="347">
        <f>+B1765</f>
        <v>4</v>
      </c>
      <c r="C1766" s="347">
        <v>3110</v>
      </c>
      <c r="D1766" s="340" t="str">
        <f>VLOOKUP(C1766,Plan!A$1:B$65542,2,0)</f>
        <v>Colectas Normales</v>
      </c>
      <c r="E1766" s="396">
        <f>-G1766</f>
        <v>-15000</v>
      </c>
      <c r="F1766" s="396">
        <v>0</v>
      </c>
      <c r="G1766" s="396">
        <f>+F1765</f>
        <v>15000</v>
      </c>
      <c r="H1766" s="347" t="str">
        <f>+H1765</f>
        <v>Colecta Carolina Guridi G</v>
      </c>
      <c r="I1766" s="347" t="s">
        <v>1303</v>
      </c>
      <c r="K1766" s="370"/>
      <c r="N1766" s="370"/>
    </row>
    <row r="1767" spans="1:14" s="347" customFormat="1" x14ac:dyDescent="0.25">
      <c r="A1767" s="369"/>
      <c r="E1767" s="396"/>
      <c r="F1767" s="396"/>
      <c r="G1767" s="396"/>
      <c r="K1767" s="370"/>
      <c r="N1767" s="370"/>
    </row>
    <row r="1768" spans="1:14" s="347" customFormat="1" x14ac:dyDescent="0.25">
      <c r="A1768" s="369">
        <v>44307</v>
      </c>
      <c r="B1768" s="340">
        <f>+MONTH(A1768)</f>
        <v>4</v>
      </c>
      <c r="C1768" s="347">
        <v>110</v>
      </c>
      <c r="D1768" s="340" t="str">
        <f>VLOOKUP(C1768,Plan!A$1:B$65542,2,0)</f>
        <v>Disponible Administración</v>
      </c>
      <c r="E1768" s="341">
        <f>+F1768-G1768</f>
        <v>4900</v>
      </c>
      <c r="F1768" s="396">
        <v>4900</v>
      </c>
      <c r="G1768" s="396">
        <v>0</v>
      </c>
      <c r="H1768" t="s">
        <v>897</v>
      </c>
      <c r="I1768" s="347" t="s">
        <v>1303</v>
      </c>
      <c r="K1768" s="370"/>
      <c r="N1768" s="370"/>
    </row>
    <row r="1769" spans="1:14" s="347" customFormat="1" x14ac:dyDescent="0.25">
      <c r="A1769" s="369">
        <f>+A1768</f>
        <v>44307</v>
      </c>
      <c r="B1769" s="347">
        <f>+B1768</f>
        <v>4</v>
      </c>
      <c r="C1769" s="347">
        <v>3110</v>
      </c>
      <c r="D1769" s="340" t="str">
        <f>VLOOKUP(C1769,Plan!A$1:B$65542,2,0)</f>
        <v>Colectas Normales</v>
      </c>
      <c r="E1769" s="396">
        <f>-G1769</f>
        <v>-4900</v>
      </c>
      <c r="F1769" s="396">
        <v>0</v>
      </c>
      <c r="G1769" s="396">
        <f>+F1768</f>
        <v>4900</v>
      </c>
      <c r="H1769" s="347" t="str">
        <f>+H1768</f>
        <v>Colecta DCT</v>
      </c>
      <c r="I1769" s="347" t="s">
        <v>1303</v>
      </c>
      <c r="K1769" s="370"/>
      <c r="N1769" s="370"/>
    </row>
    <row r="1770" spans="1:14" s="347" customFormat="1" x14ac:dyDescent="0.25">
      <c r="A1770" s="369"/>
      <c r="E1770" s="396"/>
      <c r="F1770" s="396"/>
      <c r="G1770" s="396"/>
      <c r="K1770" s="370"/>
      <c r="N1770" s="370"/>
    </row>
    <row r="1771" spans="1:14" s="347" customFormat="1" x14ac:dyDescent="0.25">
      <c r="A1771" s="369">
        <v>44308</v>
      </c>
      <c r="B1771" s="340">
        <f>+MONTH(A1771)</f>
        <v>4</v>
      </c>
      <c r="C1771" s="347">
        <v>110</v>
      </c>
      <c r="D1771" s="340" t="str">
        <f>VLOOKUP(C1771,Plan!A$1:B$65542,2,0)</f>
        <v>Disponible Administración</v>
      </c>
      <c r="E1771" s="341">
        <f>+F1771-G1771</f>
        <v>10000</v>
      </c>
      <c r="F1771" s="396">
        <v>10000</v>
      </c>
      <c r="G1771" s="396">
        <v>0</v>
      </c>
      <c r="H1771" t="s">
        <v>893</v>
      </c>
      <c r="I1771" s="347" t="s">
        <v>1303</v>
      </c>
      <c r="K1771" s="370"/>
      <c r="N1771" s="370"/>
    </row>
    <row r="1772" spans="1:14" s="347" customFormat="1" x14ac:dyDescent="0.25">
      <c r="A1772" s="369">
        <f>+A1771</f>
        <v>44308</v>
      </c>
      <c r="B1772" s="347">
        <f>+B1771</f>
        <v>4</v>
      </c>
      <c r="C1772" s="347">
        <v>3110</v>
      </c>
      <c r="D1772" s="340" t="str">
        <f>VLOOKUP(C1772,Plan!A$1:B$65542,2,0)</f>
        <v>Colectas Normales</v>
      </c>
      <c r="E1772" s="396">
        <f>-G1772</f>
        <v>-10000</v>
      </c>
      <c r="F1772" s="396">
        <v>0</v>
      </c>
      <c r="G1772" s="396">
        <f>+F1771</f>
        <v>10000</v>
      </c>
      <c r="H1772" s="347" t="str">
        <f>+H1771</f>
        <v>Colecta Martin Besfamille</v>
      </c>
      <c r="I1772" s="347" t="s">
        <v>1303</v>
      </c>
      <c r="K1772" s="370"/>
      <c r="N1772" s="370"/>
    </row>
    <row r="1773" spans="1:14" s="347" customFormat="1" x14ac:dyDescent="0.25">
      <c r="A1773" s="369"/>
      <c r="E1773" s="396"/>
      <c r="F1773" s="396"/>
      <c r="G1773" s="396"/>
      <c r="K1773" s="370"/>
      <c r="N1773" s="370"/>
    </row>
    <row r="1774" spans="1:14" s="347" customFormat="1" x14ac:dyDescent="0.25">
      <c r="A1774" s="369">
        <v>44308</v>
      </c>
      <c r="B1774" s="340">
        <f>+MONTH(A1774)</f>
        <v>4</v>
      </c>
      <c r="C1774" s="347">
        <v>110</v>
      </c>
      <c r="D1774" s="340" t="str">
        <f>VLOOKUP(C1774,Plan!A$1:B$65542,2,0)</f>
        <v>Disponible Administración</v>
      </c>
      <c r="E1774" s="341">
        <f>+F1774-G1774</f>
        <v>5000</v>
      </c>
      <c r="F1774" s="396">
        <v>5000</v>
      </c>
      <c r="G1774" s="396">
        <v>0</v>
      </c>
      <c r="H1774" t="s">
        <v>1151</v>
      </c>
      <c r="I1774" s="347" t="s">
        <v>1303</v>
      </c>
      <c r="K1774" s="370"/>
      <c r="N1774" s="370"/>
    </row>
    <row r="1775" spans="1:14" s="347" customFormat="1" x14ac:dyDescent="0.25">
      <c r="A1775" s="369">
        <f>+A1774</f>
        <v>44308</v>
      </c>
      <c r="B1775" s="347">
        <f>+B1774</f>
        <v>4</v>
      </c>
      <c r="C1775" s="347">
        <v>3110</v>
      </c>
      <c r="D1775" s="340" t="str">
        <f>VLOOKUP(C1775,Plan!A$1:B$65542,2,0)</f>
        <v>Colectas Normales</v>
      </c>
      <c r="E1775" s="396">
        <f>-G1775</f>
        <v>-5000</v>
      </c>
      <c r="F1775" s="396">
        <v>0</v>
      </c>
      <c r="G1775" s="396">
        <f>+F1774</f>
        <v>5000</v>
      </c>
      <c r="H1775" s="347" t="str">
        <f>+H1774</f>
        <v>Colecta Eduardo Boys M</v>
      </c>
      <c r="I1775" s="347" t="s">
        <v>1303</v>
      </c>
      <c r="K1775" s="370"/>
      <c r="N1775" s="370"/>
    </row>
    <row r="1776" spans="1:14" s="347" customFormat="1" x14ac:dyDescent="0.25">
      <c r="A1776" s="369"/>
      <c r="E1776" s="396"/>
      <c r="F1776" s="396"/>
      <c r="G1776" s="396"/>
      <c r="K1776" s="370"/>
      <c r="N1776" s="370"/>
    </row>
    <row r="1777" spans="1:14" s="347" customFormat="1" x14ac:dyDescent="0.25">
      <c r="A1777" s="369">
        <v>44308</v>
      </c>
      <c r="B1777" s="340">
        <f>+MONTH(A1777)</f>
        <v>4</v>
      </c>
      <c r="C1777" s="347">
        <v>110</v>
      </c>
      <c r="D1777" s="340" t="str">
        <f>VLOOKUP(C1777,Plan!A$1:B$65542,2,0)</f>
        <v>Disponible Administración</v>
      </c>
      <c r="E1777" s="341">
        <f>+F1777-G1777</f>
        <v>20000</v>
      </c>
      <c r="F1777" s="396">
        <v>20000</v>
      </c>
      <c r="G1777" s="396">
        <v>0</v>
      </c>
      <c r="H1777" t="s">
        <v>895</v>
      </c>
      <c r="I1777" s="347" t="s">
        <v>1303</v>
      </c>
      <c r="K1777" s="370"/>
      <c r="N1777" s="370"/>
    </row>
    <row r="1778" spans="1:14" s="347" customFormat="1" x14ac:dyDescent="0.25">
      <c r="A1778" s="369">
        <f>+A1777</f>
        <v>44308</v>
      </c>
      <c r="B1778" s="347">
        <f>+B1777</f>
        <v>4</v>
      </c>
      <c r="C1778" s="347">
        <v>3110</v>
      </c>
      <c r="D1778" s="340" t="str">
        <f>VLOOKUP(C1778,Plan!A$1:B$65542,2,0)</f>
        <v>Colectas Normales</v>
      </c>
      <c r="E1778" s="396">
        <f>-G1778</f>
        <v>-20000</v>
      </c>
      <c r="F1778" s="396">
        <v>0</v>
      </c>
      <c r="G1778" s="396">
        <f>+F1777</f>
        <v>20000</v>
      </c>
      <c r="H1778" s="347" t="str">
        <f>+H1777</f>
        <v>Colecta Luis Larenas Vergara</v>
      </c>
      <c r="I1778" s="347" t="s">
        <v>1303</v>
      </c>
      <c r="K1778" s="370"/>
      <c r="N1778" s="370"/>
    </row>
    <row r="1779" spans="1:14" s="347" customFormat="1" x14ac:dyDescent="0.25">
      <c r="A1779" s="369"/>
      <c r="E1779" s="396"/>
      <c r="F1779" s="396"/>
      <c r="G1779" s="396"/>
      <c r="K1779" s="370"/>
      <c r="N1779" s="370"/>
    </row>
    <row r="1780" spans="1:14" s="347" customFormat="1" x14ac:dyDescent="0.25">
      <c r="A1780" s="369">
        <v>44309</v>
      </c>
      <c r="B1780" s="340">
        <f>+MONTH(A1780)</f>
        <v>4</v>
      </c>
      <c r="C1780" s="347">
        <v>110</v>
      </c>
      <c r="D1780" s="340" t="str">
        <f>VLOOKUP(C1780,Plan!A$1:B$65542,2,0)</f>
        <v>Disponible Administración</v>
      </c>
      <c r="E1780" s="341">
        <f>+F1780-G1780</f>
        <v>50000</v>
      </c>
      <c r="F1780" s="396">
        <v>50000</v>
      </c>
      <c r="G1780" s="396">
        <v>0</v>
      </c>
      <c r="H1780" t="s">
        <v>1122</v>
      </c>
      <c r="I1780" s="347" t="s">
        <v>1303</v>
      </c>
      <c r="K1780" s="370"/>
      <c r="N1780" s="370"/>
    </row>
    <row r="1781" spans="1:14" s="347" customFormat="1" x14ac:dyDescent="0.25">
      <c r="A1781" s="369">
        <f>+A1780</f>
        <v>44309</v>
      </c>
      <c r="B1781" s="347">
        <f>+B1780</f>
        <v>4</v>
      </c>
      <c r="C1781" s="347">
        <v>3110</v>
      </c>
      <c r="D1781" s="340" t="str">
        <f>VLOOKUP(C1781,Plan!A$1:B$65542,2,0)</f>
        <v>Colectas Normales</v>
      </c>
      <c r="E1781" s="396">
        <f>-G1781</f>
        <v>-50000</v>
      </c>
      <c r="F1781" s="396">
        <v>0</v>
      </c>
      <c r="G1781" s="396">
        <f>+F1780</f>
        <v>50000</v>
      </c>
      <c r="H1781" s="347" t="str">
        <f>+H1780</f>
        <v>Colecta Juan Muzio Muzio</v>
      </c>
      <c r="I1781" s="347" t="s">
        <v>1303</v>
      </c>
      <c r="K1781" s="370"/>
      <c r="N1781" s="370"/>
    </row>
    <row r="1782" spans="1:14" s="347" customFormat="1" x14ac:dyDescent="0.25">
      <c r="A1782" s="369"/>
      <c r="E1782" s="396"/>
      <c r="F1782" s="396"/>
      <c r="G1782" s="396"/>
      <c r="K1782" s="370"/>
      <c r="N1782" s="370"/>
    </row>
    <row r="1783" spans="1:14" s="347" customFormat="1" x14ac:dyDescent="0.25">
      <c r="A1783" s="369">
        <v>44312</v>
      </c>
      <c r="B1783" s="340">
        <f>+MONTH(A1783)</f>
        <v>4</v>
      </c>
      <c r="C1783" s="347">
        <v>110</v>
      </c>
      <c r="D1783" s="340" t="str">
        <f>VLOOKUP(C1783,Plan!A$1:B$65542,2,0)</f>
        <v>Disponible Administración</v>
      </c>
      <c r="E1783" s="341">
        <f>+F1783-G1783</f>
        <v>5000</v>
      </c>
      <c r="F1783" s="396">
        <v>5000</v>
      </c>
      <c r="G1783" s="396">
        <v>0</v>
      </c>
      <c r="H1783" t="s">
        <v>1379</v>
      </c>
      <c r="I1783" s="347" t="s">
        <v>1303</v>
      </c>
      <c r="K1783" s="370"/>
      <c r="N1783" s="370"/>
    </row>
    <row r="1784" spans="1:14" s="347" customFormat="1" x14ac:dyDescent="0.25">
      <c r="A1784" s="369">
        <f>+A1783</f>
        <v>44312</v>
      </c>
      <c r="B1784" s="347">
        <f>+B1783</f>
        <v>4</v>
      </c>
      <c r="C1784" s="347">
        <v>3110</v>
      </c>
      <c r="D1784" s="340" t="str">
        <f>VLOOKUP(C1784,Plan!A$1:B$65542,2,0)</f>
        <v>Colectas Normales</v>
      </c>
      <c r="E1784" s="396">
        <f>-G1784</f>
        <v>-5000</v>
      </c>
      <c r="F1784" s="396">
        <v>0</v>
      </c>
      <c r="G1784" s="396">
        <f>+F1783</f>
        <v>5000</v>
      </c>
      <c r="H1784" s="347" t="str">
        <f>+H1783</f>
        <v>Colecta Constanza Illanes</v>
      </c>
      <c r="I1784" s="347" t="s">
        <v>1303</v>
      </c>
      <c r="K1784" s="370"/>
      <c r="N1784" s="370"/>
    </row>
    <row r="1785" spans="1:14" s="347" customFormat="1" x14ac:dyDescent="0.25">
      <c r="A1785" s="369"/>
      <c r="E1785" s="396"/>
      <c r="F1785" s="396"/>
      <c r="G1785" s="396"/>
      <c r="K1785" s="370"/>
      <c r="N1785" s="370"/>
    </row>
    <row r="1786" spans="1:14" s="347" customFormat="1" x14ac:dyDescent="0.25">
      <c r="A1786" s="369">
        <v>44312</v>
      </c>
      <c r="B1786" s="340">
        <f>+MONTH(A1786)</f>
        <v>4</v>
      </c>
      <c r="C1786" s="347">
        <v>110</v>
      </c>
      <c r="D1786" s="340" t="str">
        <f>VLOOKUP(C1786,Plan!A$1:B$65542,2,0)</f>
        <v>Disponible Administración</v>
      </c>
      <c r="E1786" s="341">
        <f>+F1786-G1786</f>
        <v>20000</v>
      </c>
      <c r="F1786" s="396">
        <v>20000</v>
      </c>
      <c r="G1786" s="396">
        <v>0</v>
      </c>
      <c r="H1786" t="s">
        <v>1380</v>
      </c>
      <c r="I1786" s="347" t="s">
        <v>1303</v>
      </c>
      <c r="K1786" s="370"/>
      <c r="N1786" s="370"/>
    </row>
    <row r="1787" spans="1:14" s="347" customFormat="1" x14ac:dyDescent="0.25">
      <c r="A1787" s="369">
        <f>+A1786</f>
        <v>44312</v>
      </c>
      <c r="B1787" s="347">
        <f>+B1786</f>
        <v>4</v>
      </c>
      <c r="C1787" s="347">
        <v>3450</v>
      </c>
      <c r="D1787" s="340" t="str">
        <f>VLOOKUP(C1787,Plan!A$1:B$65542,2,0)</f>
        <v>Pastoral Social</v>
      </c>
      <c r="E1787" s="396">
        <f>-G1787</f>
        <v>-20000</v>
      </c>
      <c r="F1787" s="396">
        <v>0</v>
      </c>
      <c r="G1787" s="396">
        <f>+F1786</f>
        <v>20000</v>
      </c>
      <c r="H1787" s="347" t="str">
        <f>+H1786</f>
        <v>Canasta Oscar Guarda</v>
      </c>
      <c r="I1787" s="347" t="s">
        <v>1303</v>
      </c>
      <c r="K1787" s="370"/>
      <c r="N1787" s="370"/>
    </row>
    <row r="1788" spans="1:14" s="347" customFormat="1" x14ac:dyDescent="0.25">
      <c r="A1788" s="369"/>
      <c r="E1788" s="396"/>
      <c r="F1788" s="396"/>
      <c r="G1788" s="396"/>
      <c r="K1788" s="370"/>
      <c r="N1788" s="370"/>
    </row>
    <row r="1789" spans="1:14" s="347" customFormat="1" x14ac:dyDescent="0.25">
      <c r="A1789" s="369">
        <v>44312</v>
      </c>
      <c r="B1789" s="340">
        <f>+MONTH(A1789)</f>
        <v>4</v>
      </c>
      <c r="C1789" s="347">
        <v>110</v>
      </c>
      <c r="D1789" s="340" t="str">
        <f>VLOOKUP(C1789,Plan!A$1:B$65542,2,0)</f>
        <v>Disponible Administración</v>
      </c>
      <c r="E1789" s="341">
        <f>+F1789-G1789</f>
        <v>5000</v>
      </c>
      <c r="F1789" s="396">
        <v>5000</v>
      </c>
      <c r="G1789" s="396">
        <v>0</v>
      </c>
      <c r="H1789" t="s">
        <v>1381</v>
      </c>
      <c r="I1789" s="347" t="s">
        <v>1303</v>
      </c>
      <c r="K1789" s="370"/>
      <c r="N1789" s="370"/>
    </row>
    <row r="1790" spans="1:14" s="347" customFormat="1" x14ac:dyDescent="0.25">
      <c r="A1790" s="369">
        <f>+A1789</f>
        <v>44312</v>
      </c>
      <c r="B1790" s="347">
        <f>+B1789</f>
        <v>4</v>
      </c>
      <c r="C1790" s="347">
        <v>3110</v>
      </c>
      <c r="D1790" s="340" t="str">
        <f>VLOOKUP(C1790,Plan!A$1:B$65542,2,0)</f>
        <v>Colectas Normales</v>
      </c>
      <c r="E1790" s="396">
        <f>-G1790</f>
        <v>-5000</v>
      </c>
      <c r="F1790" s="396">
        <v>0</v>
      </c>
      <c r="G1790" s="396">
        <f>+F1789</f>
        <v>5000</v>
      </c>
      <c r="H1790" s="347" t="str">
        <f>+H1789</f>
        <v>Colecta Ingrid Maria Nielsen Galli</v>
      </c>
      <c r="I1790" s="347" t="s">
        <v>1303</v>
      </c>
      <c r="K1790" s="370"/>
      <c r="N1790" s="370"/>
    </row>
    <row r="1791" spans="1:14" s="347" customFormat="1" x14ac:dyDescent="0.25">
      <c r="A1791" s="369"/>
      <c r="E1791" s="396"/>
      <c r="F1791" s="396"/>
      <c r="G1791" s="396"/>
      <c r="K1791" s="370"/>
      <c r="N1791" s="370"/>
    </row>
    <row r="1792" spans="1:14" s="347" customFormat="1" x14ac:dyDescent="0.25">
      <c r="A1792" s="369">
        <v>44312</v>
      </c>
      <c r="B1792" s="340">
        <f>+MONTH(A1792)</f>
        <v>4</v>
      </c>
      <c r="C1792" s="347">
        <v>110</v>
      </c>
      <c r="D1792" s="340" t="str">
        <f>VLOOKUP(C1792,Plan!A$1:B$65542,2,0)</f>
        <v>Disponible Administración</v>
      </c>
      <c r="E1792" s="341">
        <f>+F1792-G1792</f>
        <v>10000</v>
      </c>
      <c r="F1792" s="396">
        <v>10000</v>
      </c>
      <c r="G1792" s="396">
        <v>0</v>
      </c>
      <c r="H1792" t="s">
        <v>1382</v>
      </c>
      <c r="I1792" s="347" t="s">
        <v>1303</v>
      </c>
      <c r="K1792" s="370"/>
      <c r="N1792" s="370"/>
    </row>
    <row r="1793" spans="1:14" s="347" customFormat="1" x14ac:dyDescent="0.25">
      <c r="A1793" s="369">
        <f>+A1792</f>
        <v>44312</v>
      </c>
      <c r="B1793" s="347">
        <f>+B1792</f>
        <v>4</v>
      </c>
      <c r="C1793" s="347">
        <v>3450</v>
      </c>
      <c r="D1793" s="340" t="str">
        <f>VLOOKUP(C1793,Plan!A$1:B$65542,2,0)</f>
        <v>Pastoral Social</v>
      </c>
      <c r="E1793" s="396">
        <f>-G1793</f>
        <v>-10000</v>
      </c>
      <c r="F1793" s="396">
        <v>0</v>
      </c>
      <c r="G1793" s="396">
        <f>+F1792</f>
        <v>10000</v>
      </c>
      <c r="H1793" s="347" t="str">
        <f>+H1792</f>
        <v>Canasta Ingrid Maria Nielsen Galli</v>
      </c>
      <c r="I1793" s="347" t="s">
        <v>1303</v>
      </c>
      <c r="K1793" s="370"/>
      <c r="N1793" s="370"/>
    </row>
    <row r="1794" spans="1:14" s="347" customFormat="1" x14ac:dyDescent="0.25">
      <c r="A1794" s="369"/>
      <c r="E1794" s="396"/>
      <c r="F1794" s="396"/>
      <c r="G1794" s="396"/>
      <c r="K1794" s="370"/>
      <c r="N1794" s="370"/>
    </row>
    <row r="1795" spans="1:14" s="347" customFormat="1" x14ac:dyDescent="0.25">
      <c r="A1795" s="369">
        <v>44312</v>
      </c>
      <c r="B1795" s="340">
        <f>+MONTH(A1795)</f>
        <v>4</v>
      </c>
      <c r="C1795" s="347">
        <v>110</v>
      </c>
      <c r="D1795" s="340" t="str">
        <f>VLOOKUP(C1795,Plan!A$1:B$65542,2,0)</f>
        <v>Disponible Administración</v>
      </c>
      <c r="E1795" s="341">
        <f>+F1795-G1795</f>
        <v>20000</v>
      </c>
      <c r="F1795" s="396">
        <v>20000</v>
      </c>
      <c r="G1795" s="396">
        <v>0</v>
      </c>
      <c r="H1795" t="s">
        <v>1383</v>
      </c>
      <c r="I1795" s="347" t="s">
        <v>1303</v>
      </c>
      <c r="K1795" s="370"/>
      <c r="N1795" s="370"/>
    </row>
    <row r="1796" spans="1:14" s="347" customFormat="1" x14ac:dyDescent="0.25">
      <c r="A1796" s="369">
        <f>+A1795</f>
        <v>44312</v>
      </c>
      <c r="B1796" s="347">
        <f>+B1795</f>
        <v>4</v>
      </c>
      <c r="C1796" s="347">
        <v>215</v>
      </c>
      <c r="D1796" s="340" t="str">
        <f>VLOOKUP(C1796,Plan!A$1:B$65542,2,0)</f>
        <v>Cuenta por Pagar a Cali</v>
      </c>
      <c r="E1796" s="396">
        <f>-G1796</f>
        <v>-20000</v>
      </c>
      <c r="F1796" s="396">
        <v>0</v>
      </c>
      <c r="G1796" s="396">
        <f>+F1795</f>
        <v>20000</v>
      </c>
      <c r="H1796" s="347" t="str">
        <f>+H1795</f>
        <v>Ingrid Maria Nielsen Galli /azul</v>
      </c>
      <c r="I1796" s="347" t="s">
        <v>1303</v>
      </c>
      <c r="K1796" s="370"/>
      <c r="N1796" s="370"/>
    </row>
    <row r="1797" spans="1:14" s="347" customFormat="1" x14ac:dyDescent="0.25">
      <c r="A1797" s="369"/>
      <c r="E1797" s="396"/>
      <c r="F1797" s="396"/>
      <c r="G1797" s="396"/>
      <c r="K1797" s="370"/>
      <c r="N1797" s="370"/>
    </row>
    <row r="1798" spans="1:14" s="347" customFormat="1" x14ac:dyDescent="0.25">
      <c r="A1798" s="369">
        <v>44312</v>
      </c>
      <c r="B1798" s="340">
        <f>+MONTH(A1798)</f>
        <v>4</v>
      </c>
      <c r="C1798" s="347">
        <v>110</v>
      </c>
      <c r="D1798" s="340" t="str">
        <f>VLOOKUP(C1798,Plan!A$1:B$65542,2,0)</f>
        <v>Disponible Administración</v>
      </c>
      <c r="E1798" s="341">
        <f>+F1798-G1798</f>
        <v>50000</v>
      </c>
      <c r="F1798" s="396">
        <v>50000</v>
      </c>
      <c r="G1798" s="396">
        <v>0</v>
      </c>
      <c r="H1798" t="s">
        <v>1384</v>
      </c>
      <c r="I1798" s="347" t="s">
        <v>1303</v>
      </c>
      <c r="K1798" s="370"/>
      <c r="N1798" s="370"/>
    </row>
    <row r="1799" spans="1:14" s="347" customFormat="1" x14ac:dyDescent="0.25">
      <c r="A1799" s="369">
        <f>+A1798</f>
        <v>44312</v>
      </c>
      <c r="B1799" s="347">
        <f>+B1798</f>
        <v>4</v>
      </c>
      <c r="C1799" s="347">
        <v>3110</v>
      </c>
      <c r="D1799" s="340" t="str">
        <f>VLOOKUP(C1799,Plan!A$1:B$65542,2,0)</f>
        <v>Colectas Normales</v>
      </c>
      <c r="E1799" s="396">
        <f>-G1799</f>
        <v>-50000</v>
      </c>
      <c r="F1799" s="396">
        <v>0</v>
      </c>
      <c r="G1799" s="396">
        <f>+F1798</f>
        <v>50000</v>
      </c>
      <c r="H1799" s="347" t="str">
        <f>+H1798</f>
        <v>Colecta Marcio Almeida Dos Santos</v>
      </c>
      <c r="I1799" s="347" t="s">
        <v>1303</v>
      </c>
      <c r="K1799" s="370"/>
      <c r="N1799" s="370"/>
    </row>
    <row r="1800" spans="1:14" s="347" customFormat="1" x14ac:dyDescent="0.25">
      <c r="A1800" s="369"/>
      <c r="E1800" s="396"/>
      <c r="F1800" s="396"/>
      <c r="G1800" s="396"/>
      <c r="K1800" s="370"/>
      <c r="N1800" s="370"/>
    </row>
    <row r="1801" spans="1:14" s="347" customFormat="1" x14ac:dyDescent="0.25">
      <c r="A1801" s="369">
        <v>44312</v>
      </c>
      <c r="B1801" s="340">
        <f>+MONTH(A1801)</f>
        <v>4</v>
      </c>
      <c r="C1801" s="347">
        <v>110</v>
      </c>
      <c r="D1801" s="340" t="str">
        <f>VLOOKUP(C1801,Plan!A$1:B$65542,2,0)</f>
        <v>Disponible Administración</v>
      </c>
      <c r="E1801" s="341">
        <f>+F1801-G1801</f>
        <v>10000</v>
      </c>
      <c r="F1801" s="396">
        <v>10000</v>
      </c>
      <c r="G1801" s="396">
        <v>0</v>
      </c>
      <c r="H1801" t="s">
        <v>881</v>
      </c>
      <c r="I1801" s="347" t="s">
        <v>1303</v>
      </c>
      <c r="K1801" s="370"/>
      <c r="N1801" s="370"/>
    </row>
    <row r="1802" spans="1:14" s="347" customFormat="1" x14ac:dyDescent="0.25">
      <c r="A1802" s="369">
        <f>+A1801</f>
        <v>44312</v>
      </c>
      <c r="B1802" s="347">
        <f>+B1801</f>
        <v>4</v>
      </c>
      <c r="C1802" s="347">
        <v>3110</v>
      </c>
      <c r="D1802" s="340" t="str">
        <f>VLOOKUP(C1802,Plan!A$1:B$65542,2,0)</f>
        <v>Colectas Normales</v>
      </c>
      <c r="E1802" s="396">
        <f>-G1802</f>
        <v>-10000</v>
      </c>
      <c r="F1802" s="396">
        <v>0</v>
      </c>
      <c r="G1802" s="396">
        <f>+F1801</f>
        <v>10000</v>
      </c>
      <c r="H1802" s="347" t="str">
        <f>+H1801</f>
        <v>Colecta Rafael Marin Jordan</v>
      </c>
      <c r="I1802" s="347" t="s">
        <v>1303</v>
      </c>
      <c r="K1802" s="370"/>
      <c r="N1802" s="370"/>
    </row>
    <row r="1803" spans="1:14" s="347" customFormat="1" x14ac:dyDescent="0.25">
      <c r="A1803" s="369"/>
      <c r="E1803" s="396"/>
      <c r="F1803" s="396"/>
      <c r="G1803" s="396"/>
      <c r="K1803" s="370"/>
      <c r="N1803" s="370"/>
    </row>
    <row r="1804" spans="1:14" s="347" customFormat="1" x14ac:dyDescent="0.25">
      <c r="A1804" s="369">
        <v>44312</v>
      </c>
      <c r="B1804" s="340">
        <f>+MONTH(A1804)</f>
        <v>4</v>
      </c>
      <c r="C1804" s="347">
        <v>110</v>
      </c>
      <c r="D1804" s="340" t="str">
        <f>VLOOKUP(C1804,Plan!A$1:B$65542,2,0)</f>
        <v>Disponible Administración</v>
      </c>
      <c r="E1804" s="341">
        <f>+F1804-G1804</f>
        <v>10000</v>
      </c>
      <c r="F1804" s="396">
        <v>10000</v>
      </c>
      <c r="G1804" s="396">
        <v>0</v>
      </c>
      <c r="H1804" t="s">
        <v>1385</v>
      </c>
      <c r="I1804" s="347" t="s">
        <v>1303</v>
      </c>
      <c r="K1804" s="370"/>
      <c r="N1804" s="370"/>
    </row>
    <row r="1805" spans="1:14" s="347" customFormat="1" x14ac:dyDescent="0.25">
      <c r="A1805" s="369">
        <f>+A1804</f>
        <v>44312</v>
      </c>
      <c r="B1805" s="347">
        <f>+B1804</f>
        <v>4</v>
      </c>
      <c r="C1805" s="347">
        <v>3110</v>
      </c>
      <c r="D1805" s="340" t="str">
        <f>VLOOKUP(C1805,Plan!A$1:B$65542,2,0)</f>
        <v>Colectas Normales</v>
      </c>
      <c r="E1805" s="396">
        <f>-G1805</f>
        <v>-10000</v>
      </c>
      <c r="F1805" s="396">
        <v>0</v>
      </c>
      <c r="G1805" s="396">
        <f>+F1804</f>
        <v>10000</v>
      </c>
      <c r="H1805" s="347" t="str">
        <f>+H1804</f>
        <v>Colecta Hilda dougnac R</v>
      </c>
      <c r="I1805" s="347" t="s">
        <v>1303</v>
      </c>
      <c r="K1805" s="370"/>
      <c r="N1805" s="370"/>
    </row>
    <row r="1806" spans="1:14" s="347" customFormat="1" x14ac:dyDescent="0.25">
      <c r="A1806" s="369"/>
      <c r="E1806" s="396"/>
      <c r="F1806" s="396"/>
      <c r="G1806" s="396"/>
      <c r="K1806" s="370"/>
      <c r="N1806" s="370"/>
    </row>
    <row r="1807" spans="1:14" s="347" customFormat="1" x14ac:dyDescent="0.25">
      <c r="A1807" s="369">
        <v>44312</v>
      </c>
      <c r="B1807" s="340">
        <f>+MONTH(A1807)</f>
        <v>4</v>
      </c>
      <c r="C1807" s="347">
        <v>110</v>
      </c>
      <c r="D1807" s="340" t="str">
        <f>VLOOKUP(C1807,Plan!A$1:B$65542,2,0)</f>
        <v>Disponible Administración</v>
      </c>
      <c r="E1807" s="341">
        <f>+F1807-G1807</f>
        <v>20000</v>
      </c>
      <c r="F1807" s="396">
        <v>20000</v>
      </c>
      <c r="G1807" s="396">
        <v>0</v>
      </c>
      <c r="H1807" t="s">
        <v>1159</v>
      </c>
      <c r="I1807" s="347" t="s">
        <v>1303</v>
      </c>
      <c r="K1807" s="370"/>
      <c r="N1807" s="370"/>
    </row>
    <row r="1808" spans="1:14" s="347" customFormat="1" x14ac:dyDescent="0.25">
      <c r="A1808" s="369">
        <f>+A1807</f>
        <v>44312</v>
      </c>
      <c r="B1808" s="347">
        <f>+B1807</f>
        <v>4</v>
      </c>
      <c r="C1808" s="347">
        <v>3110</v>
      </c>
      <c r="D1808" s="340" t="str">
        <f>VLOOKUP(C1808,Plan!A$1:B$65542,2,0)</f>
        <v>Colectas Normales</v>
      </c>
      <c r="E1808" s="396">
        <f>-G1808</f>
        <v>-20000</v>
      </c>
      <c r="F1808" s="396">
        <v>0</v>
      </c>
      <c r="G1808" s="396">
        <f>+F1807</f>
        <v>20000</v>
      </c>
      <c r="H1808" s="347" t="str">
        <f>+H1807</f>
        <v>Colecta Guillermo Turner Olea</v>
      </c>
      <c r="I1808" s="347" t="s">
        <v>1303</v>
      </c>
      <c r="K1808" s="370"/>
      <c r="N1808" s="370"/>
    </row>
    <row r="1809" spans="1:14" s="347" customFormat="1" x14ac:dyDescent="0.25">
      <c r="A1809" s="369"/>
      <c r="E1809" s="396"/>
      <c r="F1809" s="396"/>
      <c r="G1809" s="396"/>
      <c r="K1809" s="370"/>
      <c r="N1809" s="370"/>
    </row>
    <row r="1810" spans="1:14" s="347" customFormat="1" x14ac:dyDescent="0.25">
      <c r="A1810" s="369">
        <v>44312</v>
      </c>
      <c r="B1810" s="340">
        <f>+MONTH(A1810)</f>
        <v>4</v>
      </c>
      <c r="C1810" s="347">
        <v>110</v>
      </c>
      <c r="D1810" s="340" t="str">
        <f>VLOOKUP(C1810,Plan!A$1:B$65542,2,0)</f>
        <v>Disponible Administración</v>
      </c>
      <c r="E1810" s="341">
        <f>+F1810-G1810</f>
        <v>5000</v>
      </c>
      <c r="F1810" s="396">
        <v>5000</v>
      </c>
      <c r="G1810" s="396">
        <v>0</v>
      </c>
      <c r="H1810" t="s">
        <v>1386</v>
      </c>
      <c r="I1810" s="347" t="s">
        <v>1303</v>
      </c>
      <c r="K1810" s="370"/>
      <c r="N1810" s="370"/>
    </row>
    <row r="1811" spans="1:14" s="347" customFormat="1" x14ac:dyDescent="0.25">
      <c r="A1811" s="369">
        <f>+A1810</f>
        <v>44312</v>
      </c>
      <c r="B1811" s="347">
        <f>+B1810</f>
        <v>4</v>
      </c>
      <c r="C1811" s="347">
        <v>3110</v>
      </c>
      <c r="D1811" s="340" t="str">
        <f>VLOOKUP(C1811,Plan!A$1:B$65542,2,0)</f>
        <v>Colectas Normales</v>
      </c>
      <c r="E1811" s="396">
        <f>-G1811</f>
        <v>-5000</v>
      </c>
      <c r="F1811" s="396">
        <v>0</v>
      </c>
      <c r="G1811" s="396">
        <f>+F1810</f>
        <v>5000</v>
      </c>
      <c r="H1811" s="347" t="str">
        <f>+H1810</f>
        <v>Colecta Francisco guimpert</v>
      </c>
      <c r="I1811" s="347" t="s">
        <v>1303</v>
      </c>
      <c r="K1811" s="370"/>
      <c r="N1811" s="370"/>
    </row>
    <row r="1812" spans="1:14" s="347" customFormat="1" x14ac:dyDescent="0.25">
      <c r="A1812" s="369"/>
      <c r="E1812" s="396"/>
      <c r="F1812" s="396"/>
      <c r="G1812" s="396"/>
      <c r="K1812" s="370"/>
      <c r="N1812" s="370"/>
    </row>
    <row r="1813" spans="1:14" s="347" customFormat="1" x14ac:dyDescent="0.25">
      <c r="A1813" s="369">
        <v>44312</v>
      </c>
      <c r="B1813" s="340">
        <f>+MONTH(A1813)</f>
        <v>4</v>
      </c>
      <c r="C1813" s="347">
        <v>110</v>
      </c>
      <c r="D1813" s="340" t="str">
        <f>VLOOKUP(C1813,Plan!A$1:B$65542,2,0)</f>
        <v>Disponible Administración</v>
      </c>
      <c r="E1813" s="341">
        <f>+F1813-G1813</f>
        <v>3000</v>
      </c>
      <c r="F1813" s="396">
        <v>3000</v>
      </c>
      <c r="G1813" s="396">
        <v>0</v>
      </c>
      <c r="H1813" t="s">
        <v>1158</v>
      </c>
      <c r="I1813" s="347" t="s">
        <v>1303</v>
      </c>
      <c r="K1813" s="370"/>
      <c r="N1813" s="370"/>
    </row>
    <row r="1814" spans="1:14" s="347" customFormat="1" x14ac:dyDescent="0.25">
      <c r="A1814" s="369">
        <f>+A1813</f>
        <v>44312</v>
      </c>
      <c r="B1814" s="347">
        <f>+B1813</f>
        <v>4</v>
      </c>
      <c r="C1814" s="347">
        <v>3110</v>
      </c>
      <c r="D1814" s="340" t="str">
        <f>VLOOKUP(C1814,Plan!A$1:B$65542,2,0)</f>
        <v>Colectas Normales</v>
      </c>
      <c r="E1814" s="396">
        <f>-G1814</f>
        <v>-3000</v>
      </c>
      <c r="F1814" s="396">
        <v>0</v>
      </c>
      <c r="G1814" s="396">
        <f>+F1813</f>
        <v>3000</v>
      </c>
      <c r="H1814" s="347" t="str">
        <f>+H1813</f>
        <v>Colecta Jose Perez De Castro</v>
      </c>
      <c r="I1814" s="347" t="s">
        <v>1303</v>
      </c>
      <c r="K1814" s="370"/>
      <c r="N1814" s="370"/>
    </row>
    <row r="1815" spans="1:14" s="347" customFormat="1" x14ac:dyDescent="0.25">
      <c r="K1815" s="370"/>
      <c r="N1815" s="370"/>
    </row>
    <row r="1816" spans="1:14" s="347" customFormat="1" x14ac:dyDescent="0.25">
      <c r="A1816" s="369">
        <v>44312</v>
      </c>
      <c r="B1816" s="340">
        <f>+MONTH(A1816)</f>
        <v>4</v>
      </c>
      <c r="C1816" s="347">
        <v>110</v>
      </c>
      <c r="D1816" s="340" t="str">
        <f>VLOOKUP(C1816,Plan!A$1:B$65542,2,0)</f>
        <v>Disponible Administración</v>
      </c>
      <c r="E1816" s="341">
        <f>+F1816-G1816</f>
        <v>10000</v>
      </c>
      <c r="F1816" s="396">
        <v>10000</v>
      </c>
      <c r="G1816" s="396">
        <v>0</v>
      </c>
      <c r="H1816" t="s">
        <v>1387</v>
      </c>
      <c r="I1816" s="347" t="s">
        <v>1303</v>
      </c>
      <c r="K1816" s="370"/>
      <c r="N1816" s="370"/>
    </row>
    <row r="1817" spans="1:14" s="347" customFormat="1" x14ac:dyDescent="0.25">
      <c r="A1817" s="369">
        <f>+A1816</f>
        <v>44312</v>
      </c>
      <c r="B1817" s="347">
        <f>+B1816</f>
        <v>4</v>
      </c>
      <c r="C1817" s="347">
        <v>3110</v>
      </c>
      <c r="D1817" s="340" t="str">
        <f>VLOOKUP(C1817,Plan!A$1:B$65542,2,0)</f>
        <v>Colectas Normales</v>
      </c>
      <c r="E1817" s="396">
        <f>-G1817</f>
        <v>-10000</v>
      </c>
      <c r="F1817" s="396">
        <v>0</v>
      </c>
      <c r="G1817" s="396">
        <f>+F1816</f>
        <v>10000</v>
      </c>
      <c r="H1817" s="347" t="str">
        <f>+H1816</f>
        <v>Colecta Pedro Irureta</v>
      </c>
      <c r="I1817" s="347" t="s">
        <v>1303</v>
      </c>
      <c r="K1817" s="370"/>
      <c r="N1817" s="370"/>
    </row>
    <row r="1818" spans="1:14" s="347" customFormat="1" x14ac:dyDescent="0.25">
      <c r="A1818" s="369"/>
      <c r="E1818" s="396"/>
      <c r="F1818" s="396"/>
      <c r="G1818" s="396"/>
      <c r="K1818" s="370"/>
      <c r="N1818" s="370"/>
    </row>
    <row r="1819" spans="1:14" s="347" customFormat="1" x14ac:dyDescent="0.25">
      <c r="A1819" s="369">
        <v>44312</v>
      </c>
      <c r="B1819" s="340">
        <f>+MONTH(A1819)</f>
        <v>4</v>
      </c>
      <c r="C1819" s="347">
        <v>110</v>
      </c>
      <c r="D1819" s="340" t="str">
        <f>VLOOKUP(C1819,Plan!A$1:B$65542,2,0)</f>
        <v>Disponible Administración</v>
      </c>
      <c r="E1819" s="341">
        <f>+F1819-G1819</f>
        <v>20000</v>
      </c>
      <c r="F1819" s="396">
        <v>20000</v>
      </c>
      <c r="G1819" s="396">
        <v>0</v>
      </c>
      <c r="H1819" t="s">
        <v>1125</v>
      </c>
      <c r="I1819" s="347" t="s">
        <v>1303</v>
      </c>
      <c r="K1819" s="370"/>
      <c r="N1819" s="370"/>
    </row>
    <row r="1820" spans="1:14" s="347" customFormat="1" x14ac:dyDescent="0.25">
      <c r="A1820" s="369">
        <f>+A1819</f>
        <v>44312</v>
      </c>
      <c r="B1820" s="347">
        <f>+B1819</f>
        <v>4</v>
      </c>
      <c r="C1820" s="347">
        <v>3110</v>
      </c>
      <c r="D1820" s="340" t="str">
        <f>VLOOKUP(C1820,Plan!A$1:B$65542,2,0)</f>
        <v>Colectas Normales</v>
      </c>
      <c r="E1820" s="396">
        <f>-G1820</f>
        <v>-20000</v>
      </c>
      <c r="F1820" s="396">
        <v>0</v>
      </c>
      <c r="G1820" s="396">
        <f>+F1819</f>
        <v>20000</v>
      </c>
      <c r="H1820" s="347" t="str">
        <f>+H1819</f>
        <v>Colecta Sandra Rivadeneira</v>
      </c>
      <c r="I1820" s="347" t="s">
        <v>1303</v>
      </c>
      <c r="K1820" s="370"/>
      <c r="N1820" s="370"/>
    </row>
    <row r="1821" spans="1:14" s="347" customFormat="1" x14ac:dyDescent="0.25">
      <c r="A1821" s="369"/>
      <c r="E1821" s="396"/>
      <c r="F1821" s="396"/>
      <c r="G1821" s="396"/>
      <c r="K1821" s="370"/>
      <c r="N1821" s="370"/>
    </row>
    <row r="1822" spans="1:14" s="347" customFormat="1" x14ac:dyDescent="0.25">
      <c r="A1822" s="369">
        <v>44312</v>
      </c>
      <c r="B1822" s="340">
        <f>+MONTH(A1822)</f>
        <v>4</v>
      </c>
      <c r="C1822" s="347">
        <v>110</v>
      </c>
      <c r="D1822" s="340" t="str">
        <f>VLOOKUP(C1822,Plan!A$1:B$65542,2,0)</f>
        <v>Disponible Administración</v>
      </c>
      <c r="E1822" s="341">
        <f>+F1822-G1822</f>
        <v>30000</v>
      </c>
      <c r="F1822" s="396">
        <v>30000</v>
      </c>
      <c r="G1822" s="396">
        <v>0</v>
      </c>
      <c r="H1822" t="s">
        <v>1388</v>
      </c>
      <c r="I1822" s="347" t="s">
        <v>1303</v>
      </c>
      <c r="K1822" s="370"/>
      <c r="N1822" s="370"/>
    </row>
    <row r="1823" spans="1:14" s="347" customFormat="1" x14ac:dyDescent="0.25">
      <c r="A1823" s="369">
        <f>+A1822</f>
        <v>44312</v>
      </c>
      <c r="B1823" s="347">
        <f>+B1822</f>
        <v>4</v>
      </c>
      <c r="C1823" s="347">
        <v>3450</v>
      </c>
      <c r="D1823" s="340" t="str">
        <f>VLOOKUP(C1823,Plan!A$1:B$65542,2,0)</f>
        <v>Pastoral Social</v>
      </c>
      <c r="E1823" s="396">
        <f>-G1823</f>
        <v>-30000</v>
      </c>
      <c r="F1823" s="396">
        <v>0</v>
      </c>
      <c r="G1823" s="396">
        <f>+F1822</f>
        <v>30000</v>
      </c>
      <c r="H1823" s="347" t="str">
        <f>+H1822</f>
        <v>Canasta Sandra Rivadeneira</v>
      </c>
      <c r="I1823" s="347" t="s">
        <v>1303</v>
      </c>
      <c r="K1823" s="370"/>
      <c r="N1823" s="370"/>
    </row>
    <row r="1824" spans="1:14" s="347" customFormat="1" x14ac:dyDescent="0.25">
      <c r="A1824" s="369"/>
      <c r="E1824" s="396"/>
      <c r="F1824" s="396"/>
      <c r="G1824" s="396"/>
      <c r="K1824" s="370"/>
      <c r="N1824" s="370"/>
    </row>
    <row r="1825" spans="1:14" s="347" customFormat="1" x14ac:dyDescent="0.25">
      <c r="A1825" s="369">
        <v>44312</v>
      </c>
      <c r="B1825" s="340">
        <f>+MONTH(A1825)</f>
        <v>4</v>
      </c>
      <c r="C1825" s="347">
        <v>110</v>
      </c>
      <c r="D1825" s="340" t="str">
        <f>VLOOKUP(C1825,Plan!A$1:B$65542,2,0)</f>
        <v>Disponible Administración</v>
      </c>
      <c r="E1825" s="341">
        <f>+F1825-G1825</f>
        <v>20000</v>
      </c>
      <c r="F1825" s="396">
        <v>20000</v>
      </c>
      <c r="G1825" s="396">
        <v>0</v>
      </c>
      <c r="H1825" t="s">
        <v>1389</v>
      </c>
      <c r="I1825" s="347" t="s">
        <v>1303</v>
      </c>
      <c r="K1825" s="370"/>
      <c r="N1825" s="370"/>
    </row>
    <row r="1826" spans="1:14" s="347" customFormat="1" x14ac:dyDescent="0.25">
      <c r="A1826" s="369">
        <f>+A1825</f>
        <v>44312</v>
      </c>
      <c r="B1826" s="347">
        <f>+B1825</f>
        <v>4</v>
      </c>
      <c r="C1826" s="347">
        <v>3450</v>
      </c>
      <c r="D1826" s="340" t="str">
        <f>VLOOKUP(C1826,Plan!A$1:B$65542,2,0)</f>
        <v>Pastoral Social</v>
      </c>
      <c r="E1826" s="396">
        <f>-G1826</f>
        <v>-20000</v>
      </c>
      <c r="F1826" s="396">
        <v>0</v>
      </c>
      <c r="G1826" s="396">
        <f>+F1825</f>
        <v>20000</v>
      </c>
      <c r="H1826" s="347" t="str">
        <f>+H1825</f>
        <v>Canasta Juan Luis Hurtado</v>
      </c>
      <c r="I1826" s="347" t="s">
        <v>1303</v>
      </c>
      <c r="K1826" s="370"/>
      <c r="N1826" s="370"/>
    </row>
    <row r="1827" spans="1:14" s="347" customFormat="1" x14ac:dyDescent="0.25">
      <c r="A1827" s="369"/>
      <c r="E1827" s="396"/>
      <c r="F1827" s="396"/>
      <c r="G1827" s="396"/>
      <c r="K1827" s="370"/>
      <c r="N1827" s="370"/>
    </row>
    <row r="1828" spans="1:14" s="347" customFormat="1" x14ac:dyDescent="0.25">
      <c r="A1828" s="369">
        <v>44312</v>
      </c>
      <c r="B1828" s="340">
        <f>+MONTH(A1828)</f>
        <v>4</v>
      </c>
      <c r="C1828" s="347">
        <v>110</v>
      </c>
      <c r="D1828" s="340" t="str">
        <f>VLOOKUP(C1828,Plan!A$1:B$65542,2,0)</f>
        <v>Disponible Administración</v>
      </c>
      <c r="E1828" s="341">
        <f>+F1828-G1828</f>
        <v>10000</v>
      </c>
      <c r="F1828" s="396">
        <v>10000</v>
      </c>
      <c r="G1828" s="396">
        <v>0</v>
      </c>
      <c r="H1828" t="s">
        <v>880</v>
      </c>
      <c r="I1828" s="347" t="s">
        <v>1303</v>
      </c>
      <c r="K1828" s="370"/>
      <c r="N1828" s="370"/>
    </row>
    <row r="1829" spans="1:14" s="347" customFormat="1" x14ac:dyDescent="0.25">
      <c r="A1829" s="369">
        <f>+A1828</f>
        <v>44312</v>
      </c>
      <c r="B1829" s="347">
        <f>+B1828</f>
        <v>4</v>
      </c>
      <c r="C1829" s="347">
        <v>3110</v>
      </c>
      <c r="D1829" s="340" t="str">
        <f>VLOOKUP(C1829,Plan!A$1:B$65542,2,0)</f>
        <v>Colectas Normales</v>
      </c>
      <c r="E1829" s="396">
        <f>-G1829</f>
        <v>-10000</v>
      </c>
      <c r="F1829" s="396">
        <v>0</v>
      </c>
      <c r="G1829" s="396">
        <f>+F1828</f>
        <v>10000</v>
      </c>
      <c r="H1829" s="347" t="str">
        <f>+H1828</f>
        <v>Colecta Sebastian Rios</v>
      </c>
      <c r="I1829" s="347" t="s">
        <v>1303</v>
      </c>
      <c r="K1829" s="370"/>
      <c r="N1829" s="370"/>
    </row>
    <row r="1830" spans="1:14" s="347" customFormat="1" x14ac:dyDescent="0.25">
      <c r="A1830" s="369"/>
      <c r="E1830" s="396"/>
      <c r="F1830" s="396"/>
      <c r="G1830" s="396"/>
      <c r="K1830" s="370"/>
      <c r="N1830" s="370"/>
    </row>
    <row r="1831" spans="1:14" s="347" customFormat="1" x14ac:dyDescent="0.25">
      <c r="A1831" s="369">
        <v>44312</v>
      </c>
      <c r="B1831" s="340">
        <f>+MONTH(A1831)</f>
        <v>4</v>
      </c>
      <c r="C1831" s="347">
        <v>110</v>
      </c>
      <c r="D1831" s="340" t="str">
        <f>VLOOKUP(C1831,Plan!A$1:B$65542,2,0)</f>
        <v>Disponible Administración</v>
      </c>
      <c r="E1831" s="341">
        <f>+F1831-G1831</f>
        <v>10000</v>
      </c>
      <c r="F1831" s="396">
        <v>10000</v>
      </c>
      <c r="G1831" s="396">
        <v>0</v>
      </c>
      <c r="H1831" t="s">
        <v>893</v>
      </c>
      <c r="I1831" s="347" t="s">
        <v>1303</v>
      </c>
      <c r="K1831" s="370"/>
      <c r="N1831" s="370"/>
    </row>
    <row r="1832" spans="1:14" s="347" customFormat="1" x14ac:dyDescent="0.25">
      <c r="A1832" s="369">
        <f>+A1831</f>
        <v>44312</v>
      </c>
      <c r="B1832" s="347">
        <f>+B1831</f>
        <v>4</v>
      </c>
      <c r="C1832" s="347">
        <v>3110</v>
      </c>
      <c r="D1832" s="340" t="str">
        <f>VLOOKUP(C1832,Plan!A$1:B$65542,2,0)</f>
        <v>Colectas Normales</v>
      </c>
      <c r="E1832" s="396">
        <f>-G1832</f>
        <v>-10000</v>
      </c>
      <c r="F1832" s="396">
        <v>0</v>
      </c>
      <c r="G1832" s="396">
        <f>+F1831</f>
        <v>10000</v>
      </c>
      <c r="H1832" s="347" t="str">
        <f>+H1831</f>
        <v>Colecta Martin Besfamille</v>
      </c>
      <c r="I1832" s="347" t="s">
        <v>1303</v>
      </c>
      <c r="K1832" s="370"/>
      <c r="N1832" s="370"/>
    </row>
    <row r="1833" spans="1:14" s="347" customFormat="1" x14ac:dyDescent="0.25">
      <c r="A1833" s="369"/>
      <c r="E1833" s="396"/>
      <c r="F1833" s="396"/>
      <c r="G1833" s="396"/>
      <c r="K1833" s="370"/>
      <c r="N1833" s="370"/>
    </row>
    <row r="1834" spans="1:14" s="347" customFormat="1" x14ac:dyDescent="0.25">
      <c r="A1834" s="369">
        <v>44312</v>
      </c>
      <c r="B1834" s="340">
        <f>+MONTH(A1834)</f>
        <v>4</v>
      </c>
      <c r="C1834" s="347">
        <v>110</v>
      </c>
      <c r="D1834" s="340" t="str">
        <f>VLOOKUP(C1834,Plan!A$1:B$65542,2,0)</f>
        <v>Disponible Administración</v>
      </c>
      <c r="E1834" s="341">
        <f>+F1834-G1834</f>
        <v>30000</v>
      </c>
      <c r="F1834" s="396">
        <v>30000</v>
      </c>
      <c r="G1834" s="396">
        <v>0</v>
      </c>
      <c r="H1834" t="s">
        <v>1390</v>
      </c>
      <c r="I1834" s="347" t="s">
        <v>1303</v>
      </c>
      <c r="K1834" s="370"/>
      <c r="N1834" s="370"/>
    </row>
    <row r="1835" spans="1:14" s="347" customFormat="1" x14ac:dyDescent="0.25">
      <c r="A1835" s="369">
        <f>+A1834</f>
        <v>44312</v>
      </c>
      <c r="B1835" s="347">
        <f>+B1834</f>
        <v>4</v>
      </c>
      <c r="C1835" s="347">
        <v>3450</v>
      </c>
      <c r="D1835" s="340" t="str">
        <f>VLOOKUP(C1835,Plan!A$1:B$65542,2,0)</f>
        <v>Pastoral Social</v>
      </c>
      <c r="E1835" s="396">
        <f>-G1835</f>
        <v>-30000</v>
      </c>
      <c r="F1835" s="396">
        <v>0</v>
      </c>
      <c r="G1835" s="396">
        <f>+F1834</f>
        <v>30000</v>
      </c>
      <c r="H1835" s="347" t="str">
        <f>+H1834</f>
        <v>Canasta Ignacio Ureta Larenas</v>
      </c>
      <c r="I1835" s="347" t="s">
        <v>1303</v>
      </c>
      <c r="K1835" s="370"/>
      <c r="N1835" s="370"/>
    </row>
    <row r="1836" spans="1:14" s="347" customFormat="1" x14ac:dyDescent="0.25">
      <c r="A1836" s="369"/>
      <c r="E1836" s="396"/>
      <c r="F1836" s="396"/>
      <c r="G1836" s="396"/>
      <c r="K1836" s="370"/>
      <c r="N1836" s="370"/>
    </row>
    <row r="1837" spans="1:14" s="347" customFormat="1" x14ac:dyDescent="0.25">
      <c r="A1837" s="369">
        <v>44312</v>
      </c>
      <c r="B1837" s="340">
        <f>+MONTH(A1837)</f>
        <v>4</v>
      </c>
      <c r="C1837" s="347">
        <v>110</v>
      </c>
      <c r="D1837" s="340" t="str">
        <f>VLOOKUP(C1837,Plan!A$1:B$65542,2,0)</f>
        <v>Disponible Administración</v>
      </c>
      <c r="E1837" s="341">
        <f>+F1837-G1837</f>
        <v>20000</v>
      </c>
      <c r="F1837" s="396">
        <v>20000</v>
      </c>
      <c r="G1837" s="396">
        <v>0</v>
      </c>
      <c r="H1837" t="s">
        <v>1199</v>
      </c>
      <c r="I1837" s="347" t="s">
        <v>1303</v>
      </c>
      <c r="K1837" s="370"/>
      <c r="N1837" s="370"/>
    </row>
    <row r="1838" spans="1:14" s="347" customFormat="1" x14ac:dyDescent="0.25">
      <c r="A1838" s="369">
        <f>+A1837</f>
        <v>44312</v>
      </c>
      <c r="B1838" s="347">
        <f>+B1837</f>
        <v>4</v>
      </c>
      <c r="C1838" s="347">
        <v>3110</v>
      </c>
      <c r="D1838" s="340" t="str">
        <f>VLOOKUP(C1838,Plan!A$1:B$65542,2,0)</f>
        <v>Colectas Normales</v>
      </c>
      <c r="E1838" s="396">
        <f>-G1838</f>
        <v>-20000</v>
      </c>
      <c r="F1838" s="396">
        <v>0</v>
      </c>
      <c r="G1838" s="396">
        <f>+F1837</f>
        <v>20000</v>
      </c>
      <c r="H1838" s="347" t="str">
        <f>+H1837</f>
        <v>Colecta Maria Loreto Valenzuela Arata</v>
      </c>
      <c r="I1838" s="347" t="s">
        <v>1303</v>
      </c>
      <c r="K1838" s="370"/>
      <c r="N1838" s="370"/>
    </row>
    <row r="1839" spans="1:14" s="347" customFormat="1" x14ac:dyDescent="0.25">
      <c r="A1839" s="369"/>
      <c r="E1839" s="396"/>
      <c r="F1839" s="396"/>
      <c r="G1839" s="396"/>
      <c r="K1839" s="370"/>
      <c r="N1839" s="370"/>
    </row>
    <row r="1840" spans="1:14" s="347" customFormat="1" x14ac:dyDescent="0.25">
      <c r="A1840" s="369">
        <v>44312</v>
      </c>
      <c r="B1840" s="340">
        <f>+MONTH(A1840)</f>
        <v>4</v>
      </c>
      <c r="C1840" s="347">
        <v>110</v>
      </c>
      <c r="D1840" s="340" t="str">
        <f>VLOOKUP(C1840,Plan!A$1:B$65542,2,0)</f>
        <v>Disponible Administración</v>
      </c>
      <c r="E1840" s="341">
        <f>+F1840-G1840</f>
        <v>2000</v>
      </c>
      <c r="F1840" s="396">
        <v>2000</v>
      </c>
      <c r="G1840" s="396">
        <v>0</v>
      </c>
      <c r="H1840" t="s">
        <v>1216</v>
      </c>
      <c r="I1840" s="347" t="s">
        <v>1303</v>
      </c>
      <c r="K1840" s="370"/>
      <c r="N1840" s="370"/>
    </row>
    <row r="1841" spans="1:14" s="347" customFormat="1" x14ac:dyDescent="0.25">
      <c r="A1841" s="369">
        <f>+A1840</f>
        <v>44312</v>
      </c>
      <c r="B1841" s="347">
        <f>+B1840</f>
        <v>4</v>
      </c>
      <c r="C1841" s="347">
        <v>3110</v>
      </c>
      <c r="D1841" s="340" t="str">
        <f>VLOOKUP(C1841,Plan!A$1:B$65542,2,0)</f>
        <v>Colectas Normales</v>
      </c>
      <c r="E1841" s="396">
        <f>-G1841</f>
        <v>-2000</v>
      </c>
      <c r="F1841" s="396">
        <v>0</v>
      </c>
      <c r="G1841" s="396">
        <f>+F1840</f>
        <v>2000</v>
      </c>
      <c r="H1841" s="347" t="str">
        <f>+H1840</f>
        <v>Colecta Trinidad Barriga Cruzat</v>
      </c>
      <c r="I1841" s="347" t="s">
        <v>1303</v>
      </c>
      <c r="K1841" s="370"/>
      <c r="N1841" s="370"/>
    </row>
    <row r="1842" spans="1:14" s="347" customFormat="1" x14ac:dyDescent="0.25">
      <c r="A1842" s="369"/>
      <c r="E1842" s="396"/>
      <c r="F1842" s="396"/>
      <c r="G1842" s="396"/>
      <c r="K1842" s="370"/>
      <c r="N1842" s="370"/>
    </row>
    <row r="1843" spans="1:14" s="347" customFormat="1" x14ac:dyDescent="0.25">
      <c r="A1843" s="369">
        <v>44312</v>
      </c>
      <c r="B1843" s="340">
        <f>+MONTH(A1843)</f>
        <v>4</v>
      </c>
      <c r="C1843" s="347">
        <v>110</v>
      </c>
      <c r="D1843" s="340" t="str">
        <f>VLOOKUP(C1843,Plan!A$1:B$65542,2,0)</f>
        <v>Disponible Administración</v>
      </c>
      <c r="E1843" s="341">
        <f>+F1843-G1843</f>
        <v>9800</v>
      </c>
      <c r="F1843" s="396">
        <v>9800</v>
      </c>
      <c r="G1843" s="396">
        <v>0</v>
      </c>
      <c r="H1843" t="s">
        <v>1338</v>
      </c>
      <c r="I1843" s="347" t="s">
        <v>1303</v>
      </c>
      <c r="K1843" s="370"/>
      <c r="N1843" s="370"/>
    </row>
    <row r="1844" spans="1:14" s="347" customFormat="1" x14ac:dyDescent="0.25">
      <c r="A1844" s="369">
        <f>+A1843</f>
        <v>44312</v>
      </c>
      <c r="B1844" s="347">
        <f>+B1843</f>
        <v>4</v>
      </c>
      <c r="C1844" s="347">
        <v>3340</v>
      </c>
      <c r="D1844" s="340" t="str">
        <f>VLOOKUP(C1844,Plan!A$1:B$65542,2,0)</f>
        <v>Misas</v>
      </c>
      <c r="E1844" s="396">
        <f>-G1844</f>
        <v>-9800</v>
      </c>
      <c r="F1844" s="396">
        <v>0</v>
      </c>
      <c r="G1844" s="396">
        <f>+F1843</f>
        <v>9800</v>
      </c>
      <c r="H1844" s="347" t="str">
        <f>+H1843</f>
        <v>Misa DCT</v>
      </c>
      <c r="I1844" s="347" t="s">
        <v>1303</v>
      </c>
      <c r="K1844" s="370"/>
      <c r="N1844" s="370"/>
    </row>
    <row r="1845" spans="1:14" s="347" customFormat="1" x14ac:dyDescent="0.25">
      <c r="A1845" s="369"/>
      <c r="E1845" s="396"/>
      <c r="F1845" s="396"/>
      <c r="G1845" s="396"/>
      <c r="K1845" s="370"/>
      <c r="N1845" s="370"/>
    </row>
    <row r="1846" spans="1:14" s="347" customFormat="1" x14ac:dyDescent="0.25">
      <c r="A1846" s="369">
        <v>44312</v>
      </c>
      <c r="B1846" s="340">
        <f>+MONTH(A1846)</f>
        <v>4</v>
      </c>
      <c r="C1846" s="347">
        <v>110</v>
      </c>
      <c r="D1846" s="340" t="str">
        <f>VLOOKUP(C1846,Plan!A$1:B$65542,2,0)</f>
        <v>Disponible Administración</v>
      </c>
      <c r="E1846" s="341">
        <f>+F1846-G1846</f>
        <v>60000</v>
      </c>
      <c r="F1846" s="396">
        <v>60000</v>
      </c>
      <c r="G1846" s="396">
        <v>0</v>
      </c>
      <c r="H1846" t="s">
        <v>1391</v>
      </c>
      <c r="I1846" s="347" t="s">
        <v>1303</v>
      </c>
      <c r="K1846" s="370"/>
      <c r="N1846" s="370"/>
    </row>
    <row r="1847" spans="1:14" s="347" customFormat="1" x14ac:dyDescent="0.25">
      <c r="A1847" s="369">
        <f>+A1846</f>
        <v>44312</v>
      </c>
      <c r="B1847" s="347">
        <f>+B1846</f>
        <v>4</v>
      </c>
      <c r="C1847" s="347">
        <v>3110</v>
      </c>
      <c r="D1847" s="340" t="str">
        <f>VLOOKUP(C1847,Plan!A$1:B$65542,2,0)</f>
        <v>Colectas Normales</v>
      </c>
      <c r="E1847" s="396">
        <f>-G1847</f>
        <v>-60000</v>
      </c>
      <c r="F1847" s="396">
        <v>0</v>
      </c>
      <c r="G1847" s="396">
        <f>+F1846</f>
        <v>60000</v>
      </c>
      <c r="H1847" s="347" t="str">
        <f>+H1846</f>
        <v>Colecta Karina Rabino</v>
      </c>
      <c r="I1847" s="347" t="s">
        <v>1303</v>
      </c>
      <c r="K1847" s="370"/>
      <c r="N1847" s="370"/>
    </row>
    <row r="1848" spans="1:14" s="347" customFormat="1" x14ac:dyDescent="0.25">
      <c r="A1848" s="369"/>
      <c r="E1848" s="396"/>
      <c r="F1848" s="396"/>
      <c r="G1848" s="396"/>
      <c r="K1848" s="370"/>
      <c r="N1848" s="370"/>
    </row>
    <row r="1849" spans="1:14" s="347" customFormat="1" x14ac:dyDescent="0.25">
      <c r="A1849" s="369">
        <v>44312</v>
      </c>
      <c r="B1849" s="340">
        <f>+MONTH(A1849)</f>
        <v>4</v>
      </c>
      <c r="C1849" s="347">
        <v>110</v>
      </c>
      <c r="D1849" s="340" t="str">
        <f>VLOOKUP(C1849,Plan!A$1:B$65542,2,0)</f>
        <v>Disponible Administración</v>
      </c>
      <c r="E1849" s="341">
        <f>+F1849-G1849</f>
        <v>10000</v>
      </c>
      <c r="F1849" s="396">
        <v>10000</v>
      </c>
      <c r="G1849" s="396">
        <v>0</v>
      </c>
      <c r="H1849" t="s">
        <v>945</v>
      </c>
      <c r="I1849" s="347" t="s">
        <v>1303</v>
      </c>
      <c r="K1849" s="370"/>
      <c r="N1849" s="370"/>
    </row>
    <row r="1850" spans="1:14" s="347" customFormat="1" x14ac:dyDescent="0.25">
      <c r="A1850" s="369">
        <f>+A1849</f>
        <v>44312</v>
      </c>
      <c r="B1850" s="347">
        <f>+B1849</f>
        <v>4</v>
      </c>
      <c r="C1850" s="347">
        <v>3110</v>
      </c>
      <c r="D1850" s="340" t="str">
        <f>VLOOKUP(C1850,Plan!A$1:B$65542,2,0)</f>
        <v>Colectas Normales</v>
      </c>
      <c r="E1850" s="396">
        <f>-G1850</f>
        <v>-10000</v>
      </c>
      <c r="F1850" s="396">
        <v>0</v>
      </c>
      <c r="G1850" s="396">
        <f>+F1849</f>
        <v>10000</v>
      </c>
      <c r="H1850" s="347" t="str">
        <f>+H1849</f>
        <v>Colecta Maria Corte</v>
      </c>
      <c r="I1850" s="347" t="s">
        <v>1303</v>
      </c>
      <c r="K1850" s="370"/>
      <c r="N1850" s="370"/>
    </row>
    <row r="1851" spans="1:14" s="347" customFormat="1" x14ac:dyDescent="0.25">
      <c r="A1851" s="369"/>
      <c r="E1851" s="396"/>
      <c r="F1851" s="396"/>
      <c r="G1851" s="396"/>
      <c r="K1851" s="370"/>
      <c r="N1851" s="370"/>
    </row>
    <row r="1852" spans="1:14" s="347" customFormat="1" x14ac:dyDescent="0.25">
      <c r="A1852" s="369">
        <v>44312</v>
      </c>
      <c r="B1852" s="340">
        <f>+MONTH(A1852)</f>
        <v>4</v>
      </c>
      <c r="C1852" s="347">
        <v>110</v>
      </c>
      <c r="D1852" s="340" t="str">
        <f>VLOOKUP(C1852,Plan!A$1:B$65542,2,0)</f>
        <v>Disponible Administración</v>
      </c>
      <c r="E1852" s="341">
        <f>+F1852-G1852</f>
        <v>45000</v>
      </c>
      <c r="F1852" s="396">
        <v>45000</v>
      </c>
      <c r="G1852" s="396">
        <v>0</v>
      </c>
      <c r="H1852" t="s">
        <v>1392</v>
      </c>
      <c r="I1852" s="347" t="s">
        <v>1303</v>
      </c>
      <c r="K1852" s="370"/>
      <c r="N1852" s="370"/>
    </row>
    <row r="1853" spans="1:14" s="347" customFormat="1" x14ac:dyDescent="0.25">
      <c r="A1853" s="369">
        <f>+A1852</f>
        <v>44312</v>
      </c>
      <c r="B1853" s="347">
        <f>+B1852</f>
        <v>4</v>
      </c>
      <c r="C1853" s="347">
        <v>3110</v>
      </c>
      <c r="D1853" s="340" t="str">
        <f>VLOOKUP(C1853,Plan!A$1:B$65542,2,0)</f>
        <v>Colectas Normales</v>
      </c>
      <c r="E1853" s="396">
        <f>-G1853</f>
        <v>-45000</v>
      </c>
      <c r="F1853" s="396">
        <v>0</v>
      </c>
      <c r="G1853" s="396">
        <f>+F1852</f>
        <v>45000</v>
      </c>
      <c r="H1853" s="347" t="str">
        <f>+H1852</f>
        <v>Dep. Colecta Col. Cordillera (Coti)</v>
      </c>
      <c r="I1853" s="347" t="s">
        <v>1303</v>
      </c>
      <c r="K1853" s="370"/>
      <c r="N1853" s="370"/>
    </row>
    <row r="1854" spans="1:14" s="347" customFormat="1" x14ac:dyDescent="0.25">
      <c r="A1854" s="369"/>
      <c r="E1854" s="396"/>
      <c r="F1854" s="396"/>
      <c r="G1854" s="396"/>
      <c r="K1854" s="370"/>
      <c r="N1854" s="370"/>
    </row>
    <row r="1855" spans="1:14" s="347" customFormat="1" x14ac:dyDescent="0.25">
      <c r="A1855" s="369">
        <v>44312</v>
      </c>
      <c r="B1855" s="340">
        <f>+MONTH(A1855)</f>
        <v>4</v>
      </c>
      <c r="C1855" s="347">
        <v>110</v>
      </c>
      <c r="D1855" s="340" t="str">
        <f>VLOOKUP(C1855,Plan!A$1:B$65542,2,0)</f>
        <v>Disponible Administración</v>
      </c>
      <c r="E1855" s="341">
        <f>+F1855-G1855</f>
        <v>20000</v>
      </c>
      <c r="F1855" s="396">
        <v>20000</v>
      </c>
      <c r="G1855" s="396">
        <v>0</v>
      </c>
      <c r="H1855" t="s">
        <v>1131</v>
      </c>
      <c r="I1855" s="347" t="s">
        <v>1303</v>
      </c>
      <c r="K1855" s="370"/>
      <c r="N1855" s="370"/>
    </row>
    <row r="1856" spans="1:14" s="347" customFormat="1" x14ac:dyDescent="0.25">
      <c r="A1856" s="369">
        <f>+A1855</f>
        <v>44312</v>
      </c>
      <c r="B1856" s="347">
        <f>+B1855</f>
        <v>4</v>
      </c>
      <c r="C1856" s="347">
        <v>3110</v>
      </c>
      <c r="D1856" s="340" t="str">
        <f>VLOOKUP(C1856,Plan!A$1:B$65542,2,0)</f>
        <v>Colectas Normales</v>
      </c>
      <c r="E1856" s="396">
        <f>-G1856</f>
        <v>-20000</v>
      </c>
      <c r="F1856" s="396">
        <v>0</v>
      </c>
      <c r="G1856" s="396">
        <f>+F1855</f>
        <v>20000</v>
      </c>
      <c r="H1856" s="347" t="str">
        <f>+H1855</f>
        <v>Colecta Sandra Socias R</v>
      </c>
      <c r="I1856" s="347" t="s">
        <v>1303</v>
      </c>
      <c r="K1856" s="370"/>
      <c r="N1856" s="370"/>
    </row>
    <row r="1857" spans="1:14" s="347" customFormat="1" x14ac:dyDescent="0.25">
      <c r="A1857" s="369"/>
      <c r="E1857" s="396"/>
      <c r="F1857" s="396"/>
      <c r="G1857" s="396"/>
      <c r="K1857" s="370"/>
      <c r="N1857" s="370"/>
    </row>
    <row r="1858" spans="1:14" s="347" customFormat="1" x14ac:dyDescent="0.25">
      <c r="A1858" s="369">
        <v>44312</v>
      </c>
      <c r="B1858" s="340">
        <f>+MONTH(A1858)</f>
        <v>4</v>
      </c>
      <c r="C1858" s="347">
        <v>110</v>
      </c>
      <c r="D1858" s="340" t="str">
        <f>VLOOKUP(C1858,Plan!A$1:B$65542,2,0)</f>
        <v>Disponible Administración</v>
      </c>
      <c r="E1858" s="341">
        <f>+F1858-G1858</f>
        <v>50000</v>
      </c>
      <c r="F1858" s="396">
        <v>50000</v>
      </c>
      <c r="G1858" s="396">
        <v>0</v>
      </c>
      <c r="H1858" t="s">
        <v>1393</v>
      </c>
      <c r="I1858" s="347" t="s">
        <v>1303</v>
      </c>
      <c r="K1858" s="370"/>
      <c r="N1858" s="370"/>
    </row>
    <row r="1859" spans="1:14" s="347" customFormat="1" x14ac:dyDescent="0.25">
      <c r="A1859" s="369">
        <f>+A1858</f>
        <v>44312</v>
      </c>
      <c r="B1859" s="347">
        <f>+B1858</f>
        <v>4</v>
      </c>
      <c r="C1859" s="347">
        <v>3110</v>
      </c>
      <c r="D1859" s="340" t="str">
        <f>VLOOKUP(C1859,Plan!A$1:B$65542,2,0)</f>
        <v>Colectas Normales</v>
      </c>
      <c r="E1859" s="396">
        <f>-G1859</f>
        <v>-50000</v>
      </c>
      <c r="F1859" s="396">
        <v>0</v>
      </c>
      <c r="G1859" s="396">
        <f>+F1858</f>
        <v>50000</v>
      </c>
      <c r="H1859" s="347" t="str">
        <f>+H1858</f>
        <v>Colecta Luis Montes</v>
      </c>
      <c r="I1859" s="347" t="s">
        <v>1303</v>
      </c>
      <c r="K1859" s="370"/>
      <c r="N1859" s="370"/>
    </row>
    <row r="1860" spans="1:14" s="347" customFormat="1" x14ac:dyDescent="0.25">
      <c r="A1860" s="369"/>
      <c r="E1860" s="396"/>
      <c r="F1860" s="396"/>
      <c r="G1860" s="396"/>
      <c r="K1860" s="370"/>
      <c r="N1860" s="370"/>
    </row>
    <row r="1861" spans="1:14" s="347" customFormat="1" x14ac:dyDescent="0.25">
      <c r="A1861" s="369">
        <v>44313</v>
      </c>
      <c r="B1861" s="340">
        <f>+MONTH(A1861)</f>
        <v>4</v>
      </c>
      <c r="C1861" s="347">
        <v>110</v>
      </c>
      <c r="D1861" s="340" t="str">
        <f>VLOOKUP(C1861,Plan!A$1:B$65542,2,0)</f>
        <v>Disponible Administración</v>
      </c>
      <c r="E1861" s="341">
        <f>+F1861-G1861</f>
        <v>30000</v>
      </c>
      <c r="F1861" s="396">
        <v>30000</v>
      </c>
      <c r="G1861" s="396">
        <v>0</v>
      </c>
      <c r="H1861" t="s">
        <v>1394</v>
      </c>
      <c r="I1861" s="347" t="s">
        <v>1303</v>
      </c>
      <c r="K1861" s="370"/>
      <c r="N1861" s="370"/>
    </row>
    <row r="1862" spans="1:14" s="347" customFormat="1" x14ac:dyDescent="0.25">
      <c r="A1862" s="369">
        <f>+A1861</f>
        <v>44313</v>
      </c>
      <c r="B1862" s="347">
        <f>+B1861</f>
        <v>4</v>
      </c>
      <c r="C1862" s="347">
        <v>3110</v>
      </c>
      <c r="D1862" s="340" t="str">
        <f>VLOOKUP(C1862,Plan!A$1:B$65542,2,0)</f>
        <v>Colectas Normales</v>
      </c>
      <c r="E1862" s="396">
        <f>-G1862</f>
        <v>-30000</v>
      </c>
      <c r="F1862" s="396">
        <v>0</v>
      </c>
      <c r="G1862" s="396">
        <f>+F1861</f>
        <v>30000</v>
      </c>
      <c r="H1862" s="347" t="str">
        <f>+H1861</f>
        <v>Colecta Luz Maria Almarza B</v>
      </c>
      <c r="I1862" s="347" t="s">
        <v>1303</v>
      </c>
      <c r="K1862" s="370"/>
      <c r="N1862" s="370"/>
    </row>
    <row r="1863" spans="1:14" s="347" customFormat="1" x14ac:dyDescent="0.25">
      <c r="A1863" s="369"/>
      <c r="E1863" s="396"/>
      <c r="F1863" s="396"/>
      <c r="G1863" s="396"/>
      <c r="K1863" s="370"/>
      <c r="N1863" s="370"/>
    </row>
    <row r="1864" spans="1:14" s="347" customFormat="1" x14ac:dyDescent="0.25">
      <c r="A1864" s="369">
        <v>44313</v>
      </c>
      <c r="B1864" s="340">
        <f>+MONTH(A1864)</f>
        <v>4</v>
      </c>
      <c r="C1864" s="347">
        <v>110</v>
      </c>
      <c r="D1864" s="340" t="str">
        <f>VLOOKUP(C1864,Plan!A$1:B$65542,2,0)</f>
        <v>Disponible Administración</v>
      </c>
      <c r="E1864" s="341">
        <f>+F1864-G1864</f>
        <v>20000</v>
      </c>
      <c r="F1864" s="396">
        <v>20000</v>
      </c>
      <c r="G1864" s="396">
        <v>0</v>
      </c>
      <c r="H1864" t="s">
        <v>1395</v>
      </c>
      <c r="I1864" s="347" t="s">
        <v>1303</v>
      </c>
      <c r="K1864" s="370"/>
      <c r="N1864" s="370"/>
    </row>
    <row r="1865" spans="1:14" s="347" customFormat="1" x14ac:dyDescent="0.25">
      <c r="A1865" s="369">
        <f>+A1864</f>
        <v>44313</v>
      </c>
      <c r="B1865" s="347">
        <f>+B1864</f>
        <v>4</v>
      </c>
      <c r="C1865" s="347">
        <v>3450</v>
      </c>
      <c r="D1865" s="340" t="str">
        <f>VLOOKUP(C1865,Plan!A$1:B$65542,2,0)</f>
        <v>Pastoral Social</v>
      </c>
      <c r="E1865" s="396">
        <f>-G1865</f>
        <v>-20000</v>
      </c>
      <c r="F1865" s="396">
        <v>0</v>
      </c>
      <c r="G1865" s="396">
        <f>+F1864</f>
        <v>20000</v>
      </c>
      <c r="H1865" s="347" t="str">
        <f>+H1864</f>
        <v>Canasta Jaime Gonzalez fabres</v>
      </c>
      <c r="I1865" s="347" t="s">
        <v>1303</v>
      </c>
      <c r="K1865" s="370"/>
      <c r="N1865" s="370"/>
    </row>
    <row r="1866" spans="1:14" s="347" customFormat="1" x14ac:dyDescent="0.25">
      <c r="A1866" s="369"/>
      <c r="E1866" s="396"/>
      <c r="F1866" s="396"/>
      <c r="G1866" s="396"/>
      <c r="K1866" s="370"/>
      <c r="N1866" s="370"/>
    </row>
    <row r="1867" spans="1:14" s="347" customFormat="1" x14ac:dyDescent="0.25">
      <c r="A1867" s="369">
        <v>44313</v>
      </c>
      <c r="B1867" s="340">
        <f>+MONTH(A1867)</f>
        <v>4</v>
      </c>
      <c r="C1867" s="347">
        <v>110</v>
      </c>
      <c r="D1867" s="340" t="str">
        <f>VLOOKUP(C1867,Plan!A$1:B$65542,2,0)</f>
        <v>Disponible Administración</v>
      </c>
      <c r="E1867" s="341">
        <f>+F1867-G1867</f>
        <v>5000</v>
      </c>
      <c r="F1867" s="396">
        <v>5000</v>
      </c>
      <c r="G1867" s="396">
        <v>0</v>
      </c>
      <c r="H1867" t="s">
        <v>1108</v>
      </c>
      <c r="I1867" s="347" t="s">
        <v>1303</v>
      </c>
      <c r="K1867" s="370"/>
      <c r="N1867" s="370"/>
    </row>
    <row r="1868" spans="1:14" s="347" customFormat="1" x14ac:dyDescent="0.25">
      <c r="A1868" s="369">
        <f>+A1867</f>
        <v>44313</v>
      </c>
      <c r="B1868" s="347">
        <f>+B1867</f>
        <v>4</v>
      </c>
      <c r="C1868" s="347">
        <v>3110</v>
      </c>
      <c r="D1868" s="340" t="str">
        <f>VLOOKUP(C1868,Plan!A$1:B$65542,2,0)</f>
        <v>Colectas Normales</v>
      </c>
      <c r="E1868" s="396">
        <f>-G1868</f>
        <v>-5000</v>
      </c>
      <c r="F1868" s="396">
        <v>0</v>
      </c>
      <c r="G1868" s="396">
        <f>+F1867</f>
        <v>5000</v>
      </c>
      <c r="H1868" s="347" t="str">
        <f>+H1867</f>
        <v>Colecta Ricardo Fernandez</v>
      </c>
      <c r="I1868" s="347" t="s">
        <v>1303</v>
      </c>
      <c r="K1868" s="370"/>
      <c r="N1868" s="370"/>
    </row>
    <row r="1869" spans="1:14" s="347" customFormat="1" x14ac:dyDescent="0.25">
      <c r="A1869" s="369"/>
      <c r="E1869" s="396"/>
      <c r="F1869" s="396"/>
      <c r="G1869" s="396"/>
      <c r="K1869" s="370"/>
      <c r="N1869" s="370"/>
    </row>
    <row r="1870" spans="1:14" s="347" customFormat="1" x14ac:dyDescent="0.25">
      <c r="A1870" s="369">
        <v>44313</v>
      </c>
      <c r="B1870" s="340">
        <f>+MONTH(A1870)</f>
        <v>4</v>
      </c>
      <c r="C1870" s="347">
        <v>110</v>
      </c>
      <c r="D1870" s="340" t="str">
        <f>VLOOKUP(C1870,Plan!A$1:B$65542,2,0)</f>
        <v>Disponible Administración</v>
      </c>
      <c r="E1870" s="341">
        <f>+F1870-G1870</f>
        <v>14700</v>
      </c>
      <c r="F1870" s="396">
        <v>14700</v>
      </c>
      <c r="G1870" s="396">
        <v>0</v>
      </c>
      <c r="H1870" t="s">
        <v>897</v>
      </c>
      <c r="I1870" s="347" t="s">
        <v>1303</v>
      </c>
      <c r="K1870" s="370"/>
      <c r="N1870" s="370"/>
    </row>
    <row r="1871" spans="1:14" s="347" customFormat="1" x14ac:dyDescent="0.25">
      <c r="A1871" s="369">
        <f>+A1870</f>
        <v>44313</v>
      </c>
      <c r="B1871" s="347">
        <f>+B1870</f>
        <v>4</v>
      </c>
      <c r="C1871" s="347">
        <v>3110</v>
      </c>
      <c r="D1871" s="340" t="str">
        <f>VLOOKUP(C1871,Plan!A$1:B$65542,2,0)</f>
        <v>Colectas Normales</v>
      </c>
      <c r="E1871" s="396">
        <f>-G1871</f>
        <v>-14700</v>
      </c>
      <c r="F1871" s="396">
        <v>0</v>
      </c>
      <c r="G1871" s="396">
        <f>+F1870</f>
        <v>14700</v>
      </c>
      <c r="H1871" s="347" t="str">
        <f>+H1870</f>
        <v>Colecta DCT</v>
      </c>
      <c r="I1871" s="347" t="s">
        <v>1303</v>
      </c>
      <c r="K1871" s="370"/>
      <c r="N1871" s="370"/>
    </row>
    <row r="1872" spans="1:14" s="347" customFormat="1" x14ac:dyDescent="0.25">
      <c r="A1872" s="369"/>
      <c r="E1872" s="396"/>
      <c r="F1872" s="396"/>
      <c r="G1872" s="396"/>
      <c r="K1872" s="370"/>
      <c r="N1872" s="370"/>
    </row>
    <row r="1873" spans="1:14" s="347" customFormat="1" x14ac:dyDescent="0.25">
      <c r="A1873" s="369">
        <v>44313</v>
      </c>
      <c r="B1873" s="340">
        <f>+MONTH(A1873)</f>
        <v>4</v>
      </c>
      <c r="C1873" s="347">
        <v>110</v>
      </c>
      <c r="D1873" s="340" t="str">
        <f>VLOOKUP(C1873,Plan!A$1:B$65542,2,0)</f>
        <v>Disponible Administración</v>
      </c>
      <c r="E1873" s="341">
        <f>+F1873-G1873</f>
        <v>5000</v>
      </c>
      <c r="F1873" s="396">
        <v>5000</v>
      </c>
      <c r="G1873" s="396">
        <v>0</v>
      </c>
      <c r="H1873" t="s">
        <v>908</v>
      </c>
      <c r="I1873" s="347" t="s">
        <v>1303</v>
      </c>
      <c r="K1873" s="370"/>
      <c r="N1873" s="370"/>
    </row>
    <row r="1874" spans="1:14" s="347" customFormat="1" x14ac:dyDescent="0.25">
      <c r="A1874" s="369">
        <f>+A1873</f>
        <v>44313</v>
      </c>
      <c r="B1874" s="347">
        <f>+B1873</f>
        <v>4</v>
      </c>
      <c r="C1874" s="347">
        <v>3110</v>
      </c>
      <c r="D1874" s="340" t="str">
        <f>VLOOKUP(C1874,Plan!A$1:B$65542,2,0)</f>
        <v>Colectas Normales</v>
      </c>
      <c r="E1874" s="396">
        <f>-G1874</f>
        <v>-5000</v>
      </c>
      <c r="F1874" s="396">
        <v>0</v>
      </c>
      <c r="G1874" s="396">
        <f>+F1873</f>
        <v>5000</v>
      </c>
      <c r="H1874" s="347" t="str">
        <f>+H1873</f>
        <v>Colecta Silvia Bozzo</v>
      </c>
      <c r="I1874" s="347" t="s">
        <v>1303</v>
      </c>
      <c r="K1874" s="370"/>
      <c r="N1874" s="370"/>
    </row>
    <row r="1875" spans="1:14" s="347" customFormat="1" x14ac:dyDescent="0.25">
      <c r="A1875" s="369"/>
      <c r="E1875" s="396"/>
      <c r="F1875" s="396"/>
      <c r="G1875" s="396"/>
      <c r="K1875" s="370"/>
      <c r="N1875" s="370"/>
    </row>
    <row r="1876" spans="1:14" s="347" customFormat="1" x14ac:dyDescent="0.25">
      <c r="A1876" s="369">
        <v>44314</v>
      </c>
      <c r="B1876" s="340">
        <f>+MONTH(A1876)</f>
        <v>4</v>
      </c>
      <c r="C1876" s="347">
        <v>110</v>
      </c>
      <c r="D1876" s="340" t="str">
        <f>VLOOKUP(C1876,Plan!A$1:B$65542,2,0)</f>
        <v>Disponible Administración</v>
      </c>
      <c r="E1876" s="341">
        <f>+F1876-G1876</f>
        <v>5000</v>
      </c>
      <c r="F1876" s="396">
        <v>5000</v>
      </c>
      <c r="G1876" s="396">
        <v>0</v>
      </c>
      <c r="H1876" t="s">
        <v>1310</v>
      </c>
      <c r="I1876" s="347" t="s">
        <v>1303</v>
      </c>
      <c r="K1876" s="370"/>
      <c r="N1876" s="370"/>
    </row>
    <row r="1877" spans="1:14" s="347" customFormat="1" x14ac:dyDescent="0.25">
      <c r="A1877" s="369">
        <f>+A1876</f>
        <v>44314</v>
      </c>
      <c r="B1877" s="347">
        <f>+B1876</f>
        <v>4</v>
      </c>
      <c r="C1877" s="347">
        <v>3340</v>
      </c>
      <c r="D1877" s="340" t="str">
        <f>VLOOKUP(C1877,Plan!A$1:B$65542,2,0)</f>
        <v>Misas</v>
      </c>
      <c r="E1877" s="396">
        <f>-G1877</f>
        <v>-5000</v>
      </c>
      <c r="F1877" s="396">
        <v>0</v>
      </c>
      <c r="G1877" s="396">
        <f>+F1876</f>
        <v>5000</v>
      </c>
      <c r="H1877" s="347" t="str">
        <f>+H1876</f>
        <v>Misa Veronica Rojas</v>
      </c>
      <c r="I1877" s="347" t="s">
        <v>1303</v>
      </c>
      <c r="K1877" s="370"/>
      <c r="N1877" s="370"/>
    </row>
    <row r="1878" spans="1:14" s="347" customFormat="1" x14ac:dyDescent="0.25">
      <c r="A1878" s="369"/>
      <c r="E1878" s="396"/>
      <c r="F1878" s="396"/>
      <c r="G1878" s="396"/>
      <c r="K1878" s="370"/>
      <c r="N1878" s="370"/>
    </row>
    <row r="1879" spans="1:14" s="347" customFormat="1" x14ac:dyDescent="0.25">
      <c r="A1879" s="369">
        <v>44314</v>
      </c>
      <c r="B1879" s="340">
        <f>+MONTH(A1879)</f>
        <v>4</v>
      </c>
      <c r="C1879" s="347">
        <v>110</v>
      </c>
      <c r="D1879" s="340" t="str">
        <f>VLOOKUP(C1879,Plan!A$1:B$65542,2,0)</f>
        <v>Disponible Administración</v>
      </c>
      <c r="E1879" s="341">
        <f>+F1879-G1879</f>
        <v>40000</v>
      </c>
      <c r="F1879" s="396">
        <v>40000</v>
      </c>
      <c r="G1879" s="396">
        <v>0</v>
      </c>
      <c r="H1879" t="s">
        <v>877</v>
      </c>
      <c r="I1879" s="347" t="s">
        <v>1303</v>
      </c>
      <c r="K1879" s="370"/>
      <c r="N1879" s="370"/>
    </row>
    <row r="1880" spans="1:14" s="347" customFormat="1" x14ac:dyDescent="0.25">
      <c r="A1880" s="369">
        <f>+A1879</f>
        <v>44314</v>
      </c>
      <c r="B1880" s="347">
        <f>+B1879</f>
        <v>4</v>
      </c>
      <c r="C1880" s="347">
        <v>3110</v>
      </c>
      <c r="D1880" s="340" t="str">
        <f>VLOOKUP(C1880,Plan!A$1:B$65542,2,0)</f>
        <v>Colectas Normales</v>
      </c>
      <c r="E1880" s="396">
        <f>-G1880</f>
        <v>-40000</v>
      </c>
      <c r="F1880" s="396">
        <v>0</v>
      </c>
      <c r="G1880" s="396">
        <f>+F1879</f>
        <v>40000</v>
      </c>
      <c r="H1880" s="347" t="str">
        <f>+H1879</f>
        <v>Colecta Manuel Uzal C</v>
      </c>
      <c r="I1880" s="347" t="s">
        <v>1303</v>
      </c>
      <c r="K1880" s="370"/>
      <c r="N1880" s="370"/>
    </row>
    <row r="1881" spans="1:14" s="347" customFormat="1" x14ac:dyDescent="0.25">
      <c r="A1881" s="369"/>
      <c r="E1881" s="396"/>
      <c r="F1881" s="396"/>
      <c r="G1881" s="396"/>
      <c r="K1881" s="370"/>
      <c r="N1881" s="370"/>
    </row>
    <row r="1882" spans="1:14" s="347" customFormat="1" x14ac:dyDescent="0.25">
      <c r="A1882" s="369">
        <v>44314</v>
      </c>
      <c r="B1882" s="340">
        <f>+MONTH(A1882)</f>
        <v>4</v>
      </c>
      <c r="C1882" s="347">
        <v>110</v>
      </c>
      <c r="D1882" s="340" t="str">
        <f>VLOOKUP(C1882,Plan!A$1:B$65542,2,0)</f>
        <v>Disponible Administración</v>
      </c>
      <c r="E1882" s="341">
        <f>+F1882-G1882</f>
        <v>40000</v>
      </c>
      <c r="F1882" s="396">
        <v>40000</v>
      </c>
      <c r="G1882" s="396">
        <v>0</v>
      </c>
      <c r="H1882" t="s">
        <v>1396</v>
      </c>
      <c r="I1882" s="347" t="s">
        <v>1303</v>
      </c>
      <c r="K1882" s="370"/>
      <c r="N1882" s="370"/>
    </row>
    <row r="1883" spans="1:14" s="347" customFormat="1" x14ac:dyDescent="0.25">
      <c r="A1883" s="369">
        <f>+A1882</f>
        <v>44314</v>
      </c>
      <c r="B1883" s="347">
        <f>+B1882</f>
        <v>4</v>
      </c>
      <c r="C1883" s="347">
        <v>3450</v>
      </c>
      <c r="D1883" s="340" t="str">
        <f>VLOOKUP(C1883,Plan!A$1:B$65542,2,0)</f>
        <v>Pastoral Social</v>
      </c>
      <c r="E1883" s="396">
        <f>-G1883</f>
        <v>-40000</v>
      </c>
      <c r="F1883" s="396">
        <v>0</v>
      </c>
      <c r="G1883" s="396">
        <f>+F1882</f>
        <v>40000</v>
      </c>
      <c r="H1883" s="347" t="str">
        <f>+H1882</f>
        <v>Canasta Manuel Uzal C</v>
      </c>
      <c r="I1883" s="347" t="s">
        <v>1303</v>
      </c>
      <c r="K1883" s="370"/>
      <c r="N1883" s="370"/>
    </row>
    <row r="1884" spans="1:14" s="347" customFormat="1" x14ac:dyDescent="0.25">
      <c r="A1884" s="369"/>
      <c r="E1884" s="396"/>
      <c r="F1884" s="396"/>
      <c r="G1884" s="396"/>
      <c r="K1884" s="370"/>
      <c r="N1884" s="370"/>
    </row>
    <row r="1885" spans="1:14" s="347" customFormat="1" x14ac:dyDescent="0.25">
      <c r="A1885" s="369">
        <v>44314</v>
      </c>
      <c r="B1885" s="340">
        <f>+MONTH(A1885)</f>
        <v>4</v>
      </c>
      <c r="C1885" s="347">
        <v>110</v>
      </c>
      <c r="D1885" s="340" t="str">
        <f>VLOOKUP(C1885,Plan!A$1:B$65542,2,0)</f>
        <v>Disponible Administración</v>
      </c>
      <c r="E1885" s="341">
        <f>+F1885-G1885</f>
        <v>4000000</v>
      </c>
      <c r="F1885" s="396">
        <v>4000000</v>
      </c>
      <c r="G1885" s="396">
        <v>0</v>
      </c>
      <c r="H1885" s="370" t="s">
        <v>1397</v>
      </c>
      <c r="I1885" s="347" t="s">
        <v>1303</v>
      </c>
      <c r="K1885" s="370"/>
      <c r="N1885" s="370"/>
    </row>
    <row r="1886" spans="1:14" s="347" customFormat="1" x14ac:dyDescent="0.25">
      <c r="A1886" s="369">
        <f>+A1885</f>
        <v>44314</v>
      </c>
      <c r="B1886" s="347">
        <f>+B1885</f>
        <v>4</v>
      </c>
      <c r="C1886" s="347">
        <v>215</v>
      </c>
      <c r="D1886" s="340" t="str">
        <f>VLOOKUP(C1886,Plan!A$1:B$65542,2,0)</f>
        <v>Cuenta por Pagar a Cali</v>
      </c>
      <c r="E1886" s="396">
        <f>-G1886</f>
        <v>-4000000</v>
      </c>
      <c r="F1886" s="396">
        <v>0</v>
      </c>
      <c r="G1886" s="396">
        <f>+F1885</f>
        <v>4000000</v>
      </c>
      <c r="H1886" s="347" t="str">
        <f>+H1885</f>
        <v>Traspaso Cta. CALI a Adm</v>
      </c>
      <c r="I1886" s="347" t="s">
        <v>1303</v>
      </c>
      <c r="K1886" s="370"/>
      <c r="N1886" s="370"/>
    </row>
    <row r="1887" spans="1:14" s="347" customFormat="1" x14ac:dyDescent="0.25">
      <c r="A1887" s="369"/>
      <c r="E1887" s="396"/>
      <c r="F1887" s="396"/>
      <c r="G1887" s="396"/>
      <c r="K1887" s="370"/>
      <c r="N1887" s="370"/>
    </row>
    <row r="1888" spans="1:14" s="347" customFormat="1" x14ac:dyDescent="0.25">
      <c r="A1888" s="369">
        <v>44314</v>
      </c>
      <c r="B1888" s="340">
        <f>+MONTH(A1888)</f>
        <v>4</v>
      </c>
      <c r="C1888" s="347">
        <v>110</v>
      </c>
      <c r="D1888" s="340" t="str">
        <f>VLOOKUP(C1888,Plan!A$1:B$65542,2,0)</f>
        <v>Disponible Administración</v>
      </c>
      <c r="E1888" s="341">
        <f>+F1888-G1888</f>
        <v>19761</v>
      </c>
      <c r="F1888" s="396">
        <v>19761</v>
      </c>
      <c r="G1888" s="396">
        <v>0</v>
      </c>
      <c r="H1888" s="370" t="s">
        <v>897</v>
      </c>
      <c r="I1888" s="347" t="s">
        <v>1303</v>
      </c>
      <c r="K1888" s="370"/>
      <c r="N1888" s="370"/>
    </row>
    <row r="1889" spans="1:14" s="347" customFormat="1" x14ac:dyDescent="0.25">
      <c r="A1889" s="369">
        <f>+A1888</f>
        <v>44314</v>
      </c>
      <c r="B1889" s="347">
        <f>+B1888</f>
        <v>4</v>
      </c>
      <c r="C1889" s="347">
        <v>3110</v>
      </c>
      <c r="D1889" s="340" t="str">
        <f>VLOOKUP(C1889,Plan!A$1:B$65542,2,0)</f>
        <v>Colectas Normales</v>
      </c>
      <c r="E1889" s="396">
        <f>-G1889</f>
        <v>-19761</v>
      </c>
      <c r="F1889" s="396">
        <v>0</v>
      </c>
      <c r="G1889" s="396">
        <f>+F1888</f>
        <v>19761</v>
      </c>
      <c r="H1889" s="347" t="str">
        <f>+H1888</f>
        <v>Colecta DCT</v>
      </c>
      <c r="I1889" s="347" t="s">
        <v>1303</v>
      </c>
      <c r="K1889" s="370"/>
      <c r="N1889" s="370"/>
    </row>
    <row r="1890" spans="1:14" s="347" customFormat="1" x14ac:dyDescent="0.25">
      <c r="A1890" s="369"/>
      <c r="E1890" s="396"/>
      <c r="F1890" s="396"/>
      <c r="G1890" s="396"/>
      <c r="K1890" s="370"/>
      <c r="N1890" s="370"/>
    </row>
    <row r="1891" spans="1:14" s="347" customFormat="1" x14ac:dyDescent="0.25">
      <c r="A1891" s="369">
        <v>44314</v>
      </c>
      <c r="B1891" s="340">
        <f>+MONTH(A1891)</f>
        <v>4</v>
      </c>
      <c r="C1891" s="347">
        <v>110</v>
      </c>
      <c r="D1891" s="340" t="str">
        <f>VLOOKUP(C1891,Plan!A$1:B$65542,2,0)</f>
        <v>Disponible Administración</v>
      </c>
      <c r="E1891" s="341">
        <f>+F1891-G1891</f>
        <v>5000</v>
      </c>
      <c r="F1891" s="396">
        <v>5000</v>
      </c>
      <c r="G1891" s="396">
        <v>0</v>
      </c>
      <c r="H1891" s="370" t="s">
        <v>1398</v>
      </c>
      <c r="I1891" s="347" t="s">
        <v>1303</v>
      </c>
      <c r="K1891" s="370"/>
      <c r="N1891" s="370"/>
    </row>
    <row r="1892" spans="1:14" s="347" customFormat="1" x14ac:dyDescent="0.25">
      <c r="A1892" s="369">
        <f>+A1891</f>
        <v>44314</v>
      </c>
      <c r="B1892" s="347">
        <f>+B1891</f>
        <v>4</v>
      </c>
      <c r="C1892" s="347">
        <v>3110</v>
      </c>
      <c r="D1892" s="340" t="str">
        <f>VLOOKUP(C1892,Plan!A$1:B$65542,2,0)</f>
        <v>Colectas Normales</v>
      </c>
      <c r="E1892" s="396">
        <f>-G1892</f>
        <v>-5000</v>
      </c>
      <c r="F1892" s="396">
        <v>0</v>
      </c>
      <c r="G1892" s="396">
        <f>+F1891</f>
        <v>5000</v>
      </c>
      <c r="H1892" s="347" t="str">
        <f>+H1891</f>
        <v>Colecta Maria Fca. Llona</v>
      </c>
      <c r="I1892" s="347" t="s">
        <v>1303</v>
      </c>
      <c r="K1892" s="370"/>
      <c r="N1892" s="370"/>
    </row>
    <row r="1893" spans="1:14" s="347" customFormat="1" x14ac:dyDescent="0.25">
      <c r="A1893" s="369"/>
      <c r="E1893" s="396"/>
      <c r="F1893" s="396"/>
      <c r="G1893" s="396"/>
      <c r="K1893" s="370"/>
      <c r="N1893" s="370"/>
    </row>
    <row r="1894" spans="1:14" s="347" customFormat="1" x14ac:dyDescent="0.25">
      <c r="A1894" s="369">
        <v>44314</v>
      </c>
      <c r="B1894" s="340">
        <f>+MONTH(A1894)</f>
        <v>4</v>
      </c>
      <c r="C1894" s="347">
        <v>110</v>
      </c>
      <c r="D1894" s="340" t="str">
        <f>VLOOKUP(C1894,Plan!A$1:B$65542,2,0)</f>
        <v>Disponible Administración</v>
      </c>
      <c r="E1894" s="341">
        <f>+F1894-G1894</f>
        <v>100000</v>
      </c>
      <c r="F1894" s="396">
        <v>100000</v>
      </c>
      <c r="G1894" s="396">
        <v>0</v>
      </c>
      <c r="H1894" s="370" t="s">
        <v>1398</v>
      </c>
      <c r="I1894" s="347" t="s">
        <v>1303</v>
      </c>
      <c r="K1894" s="370"/>
      <c r="N1894" s="370"/>
    </row>
    <row r="1895" spans="1:14" s="347" customFormat="1" x14ac:dyDescent="0.25">
      <c r="A1895" s="369">
        <f>+A1894</f>
        <v>44314</v>
      </c>
      <c r="B1895" s="347">
        <f>+B1894</f>
        <v>4</v>
      </c>
      <c r="C1895" s="347">
        <v>3110</v>
      </c>
      <c r="D1895" s="340" t="str">
        <f>VLOOKUP(C1895,Plan!A$1:B$65542,2,0)</f>
        <v>Colectas Normales</v>
      </c>
      <c r="E1895" s="396">
        <f>-G1895</f>
        <v>-100000</v>
      </c>
      <c r="F1895" s="396">
        <v>0</v>
      </c>
      <c r="G1895" s="396">
        <f>+F1894</f>
        <v>100000</v>
      </c>
      <c r="H1895" s="347" t="str">
        <f>+H1894</f>
        <v>Colecta Maria Fca. Llona</v>
      </c>
      <c r="I1895" s="347" t="s">
        <v>1303</v>
      </c>
      <c r="K1895" s="370"/>
      <c r="N1895" s="370"/>
    </row>
    <row r="1896" spans="1:14" s="347" customFormat="1" x14ac:dyDescent="0.25">
      <c r="A1896" s="369"/>
      <c r="E1896" s="396"/>
      <c r="F1896" s="396"/>
      <c r="G1896" s="396"/>
      <c r="K1896" s="370"/>
      <c r="N1896" s="370"/>
    </row>
    <row r="1897" spans="1:14" s="347" customFormat="1" x14ac:dyDescent="0.25">
      <c r="A1897" s="369">
        <v>44314</v>
      </c>
      <c r="B1897" s="340">
        <f>+MONTH(A1897)</f>
        <v>4</v>
      </c>
      <c r="C1897" s="347">
        <v>110</v>
      </c>
      <c r="D1897" s="340" t="str">
        <f>VLOOKUP(C1897,Plan!A$1:B$65542,2,0)</f>
        <v>Disponible Administración</v>
      </c>
      <c r="E1897" s="341">
        <f>+F1897-G1897</f>
        <v>20000</v>
      </c>
      <c r="F1897" s="396">
        <v>20000</v>
      </c>
      <c r="G1897" s="396">
        <v>0</v>
      </c>
      <c r="H1897" s="370" t="s">
        <v>1399</v>
      </c>
      <c r="I1897" s="347" t="s">
        <v>1303</v>
      </c>
      <c r="K1897" s="370"/>
      <c r="N1897" s="370"/>
    </row>
    <row r="1898" spans="1:14" s="347" customFormat="1" x14ac:dyDescent="0.25">
      <c r="A1898" s="369">
        <f>+A1897</f>
        <v>44314</v>
      </c>
      <c r="B1898" s="347">
        <f>+B1897</f>
        <v>4</v>
      </c>
      <c r="C1898" s="347">
        <v>3110</v>
      </c>
      <c r="D1898" s="340" t="str">
        <f>VLOOKUP(C1898,Plan!A$1:B$65542,2,0)</f>
        <v>Colectas Normales</v>
      </c>
      <c r="E1898" s="396">
        <f>-G1898</f>
        <v>-20000</v>
      </c>
      <c r="F1898" s="396">
        <v>0</v>
      </c>
      <c r="G1898" s="396">
        <f>+F1897</f>
        <v>20000</v>
      </c>
      <c r="H1898" s="347" t="str">
        <f>+H1897</f>
        <v>Colecta Carmen Gloria Rios Rivas</v>
      </c>
      <c r="I1898" s="347" t="s">
        <v>1303</v>
      </c>
      <c r="K1898" s="370"/>
      <c r="N1898" s="370"/>
    </row>
    <row r="1899" spans="1:14" s="347" customFormat="1" x14ac:dyDescent="0.25">
      <c r="A1899" s="369"/>
      <c r="E1899" s="396"/>
      <c r="F1899" s="396"/>
      <c r="G1899" s="396"/>
      <c r="K1899" s="370"/>
      <c r="N1899" s="370"/>
    </row>
    <row r="1900" spans="1:14" s="347" customFormat="1" x14ac:dyDescent="0.25">
      <c r="A1900" s="369">
        <v>44315</v>
      </c>
      <c r="B1900" s="340">
        <f>+MONTH(A1900)</f>
        <v>4</v>
      </c>
      <c r="C1900" s="347">
        <v>110</v>
      </c>
      <c r="D1900" s="340" t="str">
        <f>VLOOKUP(C1900,Plan!A$1:B$65542,2,0)</f>
        <v>Disponible Administración</v>
      </c>
      <c r="E1900" s="341">
        <f>+F1900-G1900</f>
        <v>20000</v>
      </c>
      <c r="F1900" s="396">
        <v>20000</v>
      </c>
      <c r="G1900" s="396">
        <v>0</v>
      </c>
      <c r="H1900" s="370" t="s">
        <v>962</v>
      </c>
      <c r="I1900" s="347" t="s">
        <v>1303</v>
      </c>
      <c r="K1900" s="370"/>
      <c r="N1900" s="370"/>
    </row>
    <row r="1901" spans="1:14" s="347" customFormat="1" x14ac:dyDescent="0.25">
      <c r="A1901" s="369">
        <f>+A1900</f>
        <v>44315</v>
      </c>
      <c r="B1901" s="347">
        <f>+B1900</f>
        <v>4</v>
      </c>
      <c r="C1901" s="347">
        <v>3110</v>
      </c>
      <c r="D1901" s="340" t="str">
        <f>VLOOKUP(C1901,Plan!A$1:B$65542,2,0)</f>
        <v>Colectas Normales</v>
      </c>
      <c r="E1901" s="396">
        <f>-G1901</f>
        <v>-20000</v>
      </c>
      <c r="F1901" s="396">
        <v>0</v>
      </c>
      <c r="G1901" s="396">
        <f>+F1900</f>
        <v>20000</v>
      </c>
      <c r="H1901" s="347" t="str">
        <f>+H1900</f>
        <v>Colecta Pablo Garcia</v>
      </c>
      <c r="I1901" s="347" t="s">
        <v>1303</v>
      </c>
      <c r="K1901" s="370"/>
      <c r="N1901" s="370"/>
    </row>
    <row r="1902" spans="1:14" s="347" customFormat="1" x14ac:dyDescent="0.25">
      <c r="A1902" s="369"/>
      <c r="E1902" s="396"/>
      <c r="F1902" s="396"/>
      <c r="G1902" s="396"/>
      <c r="K1902" s="370"/>
      <c r="N1902" s="370"/>
    </row>
    <row r="1903" spans="1:14" s="347" customFormat="1" x14ac:dyDescent="0.25">
      <c r="A1903" s="369">
        <v>44315</v>
      </c>
      <c r="B1903" s="340">
        <f>+MONTH(A1903)</f>
        <v>4</v>
      </c>
      <c r="C1903" s="347">
        <v>110</v>
      </c>
      <c r="D1903" s="340" t="str">
        <f>VLOOKUP(C1903,Plan!A$1:B$65542,2,0)</f>
        <v>Disponible Administración</v>
      </c>
      <c r="E1903" s="341">
        <f>+F1903-G1903</f>
        <v>40000</v>
      </c>
      <c r="F1903" s="396">
        <v>40000</v>
      </c>
      <c r="G1903" s="396">
        <v>0</v>
      </c>
      <c r="H1903" s="370" t="s">
        <v>1400</v>
      </c>
      <c r="I1903" s="347" t="s">
        <v>1303</v>
      </c>
      <c r="K1903" s="370"/>
      <c r="N1903" s="370"/>
    </row>
    <row r="1904" spans="1:14" s="347" customFormat="1" x14ac:dyDescent="0.25">
      <c r="A1904" s="369">
        <f>+A1903</f>
        <v>44315</v>
      </c>
      <c r="B1904" s="347">
        <f>+B1903</f>
        <v>4</v>
      </c>
      <c r="C1904" s="347">
        <v>3450</v>
      </c>
      <c r="D1904" s="340" t="str">
        <f>VLOOKUP(C1904,Plan!A$1:B$65542,2,0)</f>
        <v>Pastoral Social</v>
      </c>
      <c r="E1904" s="396">
        <f>-G1904</f>
        <v>-40000</v>
      </c>
      <c r="F1904" s="396">
        <v>0</v>
      </c>
      <c r="G1904" s="396">
        <f>+F1903</f>
        <v>40000</v>
      </c>
      <c r="H1904" s="347" t="str">
        <f>+H1903</f>
        <v>Canasta Pablo Garcia</v>
      </c>
      <c r="I1904" s="347" t="s">
        <v>1303</v>
      </c>
      <c r="K1904" s="370"/>
      <c r="N1904" s="370"/>
    </row>
    <row r="1905" spans="1:14" s="347" customFormat="1" x14ac:dyDescent="0.25">
      <c r="A1905" s="369"/>
      <c r="E1905" s="396"/>
      <c r="F1905" s="396"/>
      <c r="G1905" s="396"/>
      <c r="K1905" s="370"/>
      <c r="N1905" s="370"/>
    </row>
    <row r="1906" spans="1:14" s="347" customFormat="1" x14ac:dyDescent="0.25">
      <c r="A1906" s="369">
        <v>44315</v>
      </c>
      <c r="B1906" s="340">
        <f>+MONTH(A1906)</f>
        <v>4</v>
      </c>
      <c r="C1906" s="347">
        <v>110</v>
      </c>
      <c r="D1906" s="340" t="str">
        <f>VLOOKUP(C1906,Plan!A$1:B$65542,2,0)</f>
        <v>Disponible Administración</v>
      </c>
      <c r="E1906" s="341">
        <f>+F1906-G1906</f>
        <v>75000</v>
      </c>
      <c r="F1906" s="396">
        <v>75000</v>
      </c>
      <c r="G1906" s="396">
        <v>0</v>
      </c>
      <c r="H1906" s="370" t="s">
        <v>1401</v>
      </c>
      <c r="I1906" s="347" t="s">
        <v>1303</v>
      </c>
      <c r="K1906" s="370"/>
      <c r="N1906" s="370"/>
    </row>
    <row r="1907" spans="1:14" s="347" customFormat="1" x14ac:dyDescent="0.25">
      <c r="A1907" s="369">
        <f>+A1906</f>
        <v>44315</v>
      </c>
      <c r="B1907" s="347">
        <f>+B1906</f>
        <v>4</v>
      </c>
      <c r="C1907" s="347">
        <v>3360</v>
      </c>
      <c r="D1907" s="340" t="str">
        <f>VLOOKUP(C1907,Plan!A$1:B$65542,2,0)</f>
        <v>Otros</v>
      </c>
      <c r="E1907" s="396">
        <f>-G1907</f>
        <v>-75000</v>
      </c>
      <c r="F1907" s="396">
        <v>0</v>
      </c>
      <c r="G1907" s="396">
        <f>+F1906</f>
        <v>75000</v>
      </c>
      <c r="H1907" s="347" t="str">
        <f>+H1906</f>
        <v>Curso Biblia Maria Luisa Toso Loyola</v>
      </c>
      <c r="I1907" s="347" t="s">
        <v>1303</v>
      </c>
      <c r="K1907" s="370"/>
      <c r="N1907" s="370"/>
    </row>
    <row r="1908" spans="1:14" s="347" customFormat="1" x14ac:dyDescent="0.25">
      <c r="A1908" s="369"/>
      <c r="E1908" s="396"/>
      <c r="F1908" s="396"/>
      <c r="G1908" s="396"/>
      <c r="K1908" s="370"/>
      <c r="N1908" s="370"/>
    </row>
    <row r="1909" spans="1:14" s="347" customFormat="1" x14ac:dyDescent="0.25">
      <c r="A1909" s="369">
        <v>44315</v>
      </c>
      <c r="B1909" s="340">
        <f>+MONTH(A1909)</f>
        <v>4</v>
      </c>
      <c r="C1909" s="347">
        <v>110</v>
      </c>
      <c r="D1909" s="340" t="str">
        <f>VLOOKUP(C1909,Plan!A$1:B$65542,2,0)</f>
        <v>Disponible Administración</v>
      </c>
      <c r="E1909" s="341">
        <f>+F1909-G1909</f>
        <v>12000</v>
      </c>
      <c r="F1909" s="396">
        <v>12000</v>
      </c>
      <c r="G1909" s="396">
        <v>0</v>
      </c>
      <c r="H1909" s="370" t="s">
        <v>1141</v>
      </c>
      <c r="I1909" s="347" t="s">
        <v>1303</v>
      </c>
      <c r="K1909" s="370"/>
      <c r="N1909" s="370"/>
    </row>
    <row r="1910" spans="1:14" s="347" customFormat="1" x14ac:dyDescent="0.25">
      <c r="A1910" s="369">
        <f>+A1909</f>
        <v>44315</v>
      </c>
      <c r="B1910" s="347">
        <f>+B1909</f>
        <v>4</v>
      </c>
      <c r="C1910" s="347">
        <v>3110</v>
      </c>
      <c r="D1910" s="340" t="str">
        <f>VLOOKUP(C1910,Plan!A$1:B$65542,2,0)</f>
        <v>Colectas Normales</v>
      </c>
      <c r="E1910" s="396">
        <f>-G1910</f>
        <v>-12000</v>
      </c>
      <c r="F1910" s="396">
        <v>0</v>
      </c>
      <c r="G1910" s="396">
        <f>+F1909</f>
        <v>12000</v>
      </c>
      <c r="H1910" s="347" t="str">
        <f>+H1909</f>
        <v>Colecta Cristian Huidobro Lermanda</v>
      </c>
      <c r="I1910" s="347" t="s">
        <v>1303</v>
      </c>
      <c r="K1910" s="370"/>
      <c r="N1910" s="370"/>
    </row>
    <row r="1911" spans="1:14" s="347" customFormat="1" x14ac:dyDescent="0.25">
      <c r="A1911" s="369"/>
      <c r="E1911" s="396"/>
      <c r="F1911" s="396"/>
      <c r="G1911" s="396"/>
      <c r="K1911" s="370"/>
      <c r="N1911" s="370"/>
    </row>
    <row r="1912" spans="1:14" s="347" customFormat="1" x14ac:dyDescent="0.25">
      <c r="A1912" s="369">
        <v>44315</v>
      </c>
      <c r="B1912" s="340">
        <f>+MONTH(A1912)</f>
        <v>4</v>
      </c>
      <c r="C1912" s="347">
        <v>110</v>
      </c>
      <c r="D1912" s="340" t="str">
        <f>VLOOKUP(C1912,Plan!A$1:B$65542,2,0)</f>
        <v>Disponible Administración</v>
      </c>
      <c r="E1912" s="341">
        <f>+F1912-G1912</f>
        <v>20000</v>
      </c>
      <c r="F1912" s="396">
        <v>20000</v>
      </c>
      <c r="G1912" s="396">
        <v>0</v>
      </c>
      <c r="H1912" s="370" t="s">
        <v>1402</v>
      </c>
      <c r="I1912" s="347" t="s">
        <v>1303</v>
      </c>
      <c r="K1912" s="370"/>
      <c r="N1912" s="370"/>
    </row>
    <row r="1913" spans="1:14" s="347" customFormat="1" x14ac:dyDescent="0.25">
      <c r="A1913" s="369">
        <f>+A1912</f>
        <v>44315</v>
      </c>
      <c r="B1913" s="347">
        <f>+B1912</f>
        <v>4</v>
      </c>
      <c r="C1913" s="347">
        <v>3450</v>
      </c>
      <c r="D1913" s="340" t="str">
        <f>VLOOKUP(C1913,Plan!A$1:B$65542,2,0)</f>
        <v>Pastoral Social</v>
      </c>
      <c r="E1913" s="396">
        <f>-G1913</f>
        <v>-20000</v>
      </c>
      <c r="F1913" s="396">
        <v>0</v>
      </c>
      <c r="G1913" s="396">
        <f>+F1912</f>
        <v>20000</v>
      </c>
      <c r="H1913" s="347" t="str">
        <f>+H1912</f>
        <v>Canasta Fco. Campos</v>
      </c>
      <c r="I1913" s="347" t="s">
        <v>1303</v>
      </c>
      <c r="K1913" s="370"/>
      <c r="N1913" s="370"/>
    </row>
    <row r="1914" spans="1:14" s="347" customFormat="1" x14ac:dyDescent="0.25">
      <c r="A1914" s="369"/>
      <c r="E1914" s="396"/>
      <c r="F1914" s="396"/>
      <c r="G1914" s="396"/>
      <c r="K1914" s="370"/>
      <c r="N1914" s="370"/>
    </row>
    <row r="1915" spans="1:14" s="347" customFormat="1" x14ac:dyDescent="0.25">
      <c r="A1915" s="369">
        <v>44315</v>
      </c>
      <c r="B1915" s="340">
        <f>+MONTH(A1915)</f>
        <v>4</v>
      </c>
      <c r="C1915" s="347">
        <v>110</v>
      </c>
      <c r="D1915" s="340" t="str">
        <f>VLOOKUP(C1915,Plan!A$1:B$65542,2,0)</f>
        <v>Disponible Administración</v>
      </c>
      <c r="E1915" s="341">
        <f>+F1915-G1915</f>
        <v>20000</v>
      </c>
      <c r="F1915" s="396">
        <v>20000</v>
      </c>
      <c r="G1915" s="396">
        <v>0</v>
      </c>
      <c r="H1915" s="370" t="s">
        <v>1403</v>
      </c>
      <c r="I1915" s="347" t="s">
        <v>1303</v>
      </c>
      <c r="K1915" s="370"/>
      <c r="N1915" s="370"/>
    </row>
    <row r="1916" spans="1:14" s="347" customFormat="1" x14ac:dyDescent="0.25">
      <c r="A1916" s="369">
        <f>+A1915</f>
        <v>44315</v>
      </c>
      <c r="B1916" s="347">
        <f>+B1915</f>
        <v>4</v>
      </c>
      <c r="C1916" s="347">
        <v>3110</v>
      </c>
      <c r="D1916" s="340" t="str">
        <f>VLOOKUP(C1916,Plan!A$1:B$65542,2,0)</f>
        <v>Colectas Normales</v>
      </c>
      <c r="E1916" s="396">
        <f>-G1916</f>
        <v>-20000</v>
      </c>
      <c r="F1916" s="396">
        <v>0</v>
      </c>
      <c r="G1916" s="396">
        <f>+F1915</f>
        <v>20000</v>
      </c>
      <c r="H1916" s="347" t="str">
        <f>+H1915</f>
        <v>Colecta M. Loreto Naranjo</v>
      </c>
      <c r="I1916" s="347" t="s">
        <v>1303</v>
      </c>
      <c r="K1916" s="370"/>
      <c r="N1916" s="370"/>
    </row>
    <row r="1917" spans="1:14" s="347" customFormat="1" x14ac:dyDescent="0.25">
      <c r="A1917" s="369"/>
      <c r="E1917" s="396"/>
      <c r="F1917" s="396"/>
      <c r="G1917" s="396"/>
      <c r="K1917" s="370"/>
      <c r="N1917" s="370"/>
    </row>
    <row r="1918" spans="1:14" s="347" customFormat="1" x14ac:dyDescent="0.25">
      <c r="A1918" s="369">
        <v>44315</v>
      </c>
      <c r="B1918" s="340">
        <f>+MONTH(A1918)</f>
        <v>4</v>
      </c>
      <c r="C1918" s="347">
        <v>110</v>
      </c>
      <c r="D1918" s="340" t="str">
        <f>VLOOKUP(C1918,Plan!A$1:B$65542,2,0)</f>
        <v>Disponible Administración</v>
      </c>
      <c r="E1918" s="341">
        <f>+F1918-G1918</f>
        <v>15000</v>
      </c>
      <c r="F1918" s="396">
        <v>15000</v>
      </c>
      <c r="G1918" s="396">
        <v>0</v>
      </c>
      <c r="H1918" s="370" t="s">
        <v>1404</v>
      </c>
      <c r="I1918" s="347" t="s">
        <v>1303</v>
      </c>
      <c r="K1918" s="370"/>
      <c r="N1918" s="370"/>
    </row>
    <row r="1919" spans="1:14" s="347" customFormat="1" x14ac:dyDescent="0.25">
      <c r="A1919" s="369">
        <f>+A1918</f>
        <v>44315</v>
      </c>
      <c r="B1919" s="347">
        <f>+B1918</f>
        <v>4</v>
      </c>
      <c r="C1919" s="347">
        <v>215</v>
      </c>
      <c r="D1919" s="340" t="str">
        <f>VLOOKUP(C1919,Plan!A$1:B$65542,2,0)</f>
        <v>Cuenta por Pagar a Cali</v>
      </c>
      <c r="E1919" s="396">
        <f>-G1919</f>
        <v>-15000</v>
      </c>
      <c r="F1919" s="396">
        <v>0</v>
      </c>
      <c r="G1919" s="396">
        <f>+F1918</f>
        <v>15000</v>
      </c>
      <c r="H1919" s="347" t="str">
        <f>+H1918</f>
        <v>Sebastian Lagos Valdivieso / Azul</v>
      </c>
      <c r="I1919" s="347" t="s">
        <v>1303</v>
      </c>
      <c r="K1919" s="370"/>
      <c r="N1919" s="370"/>
    </row>
    <row r="1920" spans="1:14" s="347" customFormat="1" x14ac:dyDescent="0.25">
      <c r="A1920" s="369"/>
      <c r="E1920" s="396"/>
      <c r="F1920" s="396"/>
      <c r="G1920" s="396"/>
      <c r="K1920" s="370"/>
      <c r="N1920" s="370"/>
    </row>
    <row r="1921" spans="1:14" s="347" customFormat="1" x14ac:dyDescent="0.25">
      <c r="A1921" s="369">
        <v>44315</v>
      </c>
      <c r="B1921" s="340">
        <f>+MONTH(A1921)</f>
        <v>4</v>
      </c>
      <c r="C1921" s="347">
        <v>110</v>
      </c>
      <c r="D1921" s="340" t="str">
        <f>VLOOKUP(C1921,Plan!A$1:B$65542,2,0)</f>
        <v>Disponible Administración</v>
      </c>
      <c r="E1921" s="341">
        <f>+F1921-G1921</f>
        <v>30000</v>
      </c>
      <c r="F1921" s="396">
        <v>30000</v>
      </c>
      <c r="G1921" s="396">
        <v>0</v>
      </c>
      <c r="H1921" s="370" t="s">
        <v>1405</v>
      </c>
      <c r="I1921" s="347" t="s">
        <v>1303</v>
      </c>
      <c r="K1921" s="370"/>
      <c r="N1921" s="370"/>
    </row>
    <row r="1922" spans="1:14" s="347" customFormat="1" x14ac:dyDescent="0.25">
      <c r="A1922" s="369">
        <f>+A1921</f>
        <v>44315</v>
      </c>
      <c r="B1922" s="347">
        <f>+B1921</f>
        <v>4</v>
      </c>
      <c r="C1922" s="347">
        <v>3450</v>
      </c>
      <c r="D1922" s="340" t="str">
        <f>VLOOKUP(C1922,Plan!A$1:B$65542,2,0)</f>
        <v>Pastoral Social</v>
      </c>
      <c r="E1922" s="396">
        <f>-G1922</f>
        <v>-30000</v>
      </c>
      <c r="F1922" s="396">
        <v>0</v>
      </c>
      <c r="G1922" s="396">
        <f>+F1921</f>
        <v>30000</v>
      </c>
      <c r="H1922" s="347" t="str">
        <f>+H1921</f>
        <v>Canasta Benjamin Andrighetti A.</v>
      </c>
      <c r="I1922" s="347" t="s">
        <v>1303</v>
      </c>
      <c r="K1922" s="370"/>
      <c r="N1922" s="370"/>
    </row>
    <row r="1923" spans="1:14" s="347" customFormat="1" x14ac:dyDescent="0.25">
      <c r="A1923" s="369"/>
      <c r="E1923" s="396"/>
      <c r="F1923" s="396"/>
      <c r="G1923" s="396"/>
      <c r="K1923" s="370"/>
      <c r="N1923" s="370"/>
    </row>
    <row r="1924" spans="1:14" s="347" customFormat="1" x14ac:dyDescent="0.25">
      <c r="A1924" s="369">
        <v>44315</v>
      </c>
      <c r="B1924" s="340">
        <f>+MONTH(A1924)</f>
        <v>4</v>
      </c>
      <c r="C1924" s="347">
        <v>110</v>
      </c>
      <c r="D1924" s="340" t="str">
        <f>VLOOKUP(C1924,Plan!A$1:B$65542,2,0)</f>
        <v>Disponible Administración</v>
      </c>
      <c r="E1924" s="341">
        <f>+F1924-G1924</f>
        <v>60000</v>
      </c>
      <c r="F1924" s="396">
        <v>60000</v>
      </c>
      <c r="G1924" s="396">
        <v>0</v>
      </c>
      <c r="H1924" s="370" t="s">
        <v>1406</v>
      </c>
      <c r="I1924" s="347" t="s">
        <v>1303</v>
      </c>
      <c r="K1924" s="370"/>
      <c r="N1924" s="370"/>
    </row>
    <row r="1925" spans="1:14" s="347" customFormat="1" x14ac:dyDescent="0.25">
      <c r="A1925" s="369">
        <f>+A1924</f>
        <v>44315</v>
      </c>
      <c r="B1925" s="347">
        <f>+B1924</f>
        <v>4</v>
      </c>
      <c r="C1925" s="347">
        <v>3450</v>
      </c>
      <c r="D1925" s="340" t="str">
        <f>VLOOKUP(C1925,Plan!A$1:B$65542,2,0)</f>
        <v>Pastoral Social</v>
      </c>
      <c r="E1925" s="396">
        <f>-G1925</f>
        <v>-60000</v>
      </c>
      <c r="F1925" s="396">
        <v>0</v>
      </c>
      <c r="G1925" s="396">
        <f>+F1924</f>
        <v>60000</v>
      </c>
      <c r="H1925" s="347" t="str">
        <f>+H1924</f>
        <v>Canasta Helena Quiñones F.</v>
      </c>
      <c r="I1925" s="347" t="s">
        <v>1303</v>
      </c>
      <c r="K1925" s="370"/>
      <c r="N1925" s="370"/>
    </row>
    <row r="1926" spans="1:14" s="347" customFormat="1" x14ac:dyDescent="0.25">
      <c r="A1926" s="369"/>
      <c r="E1926" s="396"/>
      <c r="F1926" s="396"/>
      <c r="G1926" s="396"/>
      <c r="K1926" s="370"/>
      <c r="N1926" s="370"/>
    </row>
    <row r="1927" spans="1:14" s="347" customFormat="1" x14ac:dyDescent="0.25">
      <c r="A1927" s="369">
        <v>44315</v>
      </c>
      <c r="B1927" s="340">
        <f>+MONTH(A1927)</f>
        <v>4</v>
      </c>
      <c r="C1927" s="347">
        <v>110</v>
      </c>
      <c r="D1927" s="340" t="str">
        <f>VLOOKUP(C1927,Plan!A$1:B$65542,2,0)</f>
        <v>Disponible Administración</v>
      </c>
      <c r="E1927" s="341">
        <f>+F1927-G1927</f>
        <v>20000</v>
      </c>
      <c r="F1927" s="396">
        <v>20000</v>
      </c>
      <c r="G1927" s="396">
        <v>0</v>
      </c>
      <c r="H1927" s="370" t="s">
        <v>1407</v>
      </c>
      <c r="I1927" s="347" t="s">
        <v>1303</v>
      </c>
      <c r="K1927" s="370"/>
      <c r="N1927" s="370"/>
    </row>
    <row r="1928" spans="1:14" s="347" customFormat="1" x14ac:dyDescent="0.25">
      <c r="A1928" s="369">
        <f>+A1927</f>
        <v>44315</v>
      </c>
      <c r="B1928" s="347">
        <f>+B1927</f>
        <v>4</v>
      </c>
      <c r="C1928" s="347">
        <v>3450</v>
      </c>
      <c r="D1928" s="340" t="str">
        <f>VLOOKUP(C1928,Plan!A$1:B$65542,2,0)</f>
        <v>Pastoral Social</v>
      </c>
      <c r="E1928" s="396">
        <f>-G1928</f>
        <v>-20000</v>
      </c>
      <c r="F1928" s="396">
        <v>0</v>
      </c>
      <c r="G1928" s="396">
        <f>+F1927</f>
        <v>20000</v>
      </c>
      <c r="H1928" s="347" t="str">
        <f>+H1927</f>
        <v>Canasta Carmen Gloria Ovalle</v>
      </c>
      <c r="I1928" s="347" t="s">
        <v>1303</v>
      </c>
      <c r="K1928" s="370"/>
      <c r="N1928" s="370"/>
    </row>
    <row r="1929" spans="1:14" s="347" customFormat="1" x14ac:dyDescent="0.25">
      <c r="A1929" s="369"/>
      <c r="E1929" s="396"/>
      <c r="F1929" s="396"/>
      <c r="G1929" s="396"/>
      <c r="K1929" s="370"/>
      <c r="N1929" s="370"/>
    </row>
    <row r="1930" spans="1:14" s="347" customFormat="1" x14ac:dyDescent="0.25">
      <c r="A1930" s="369">
        <v>44315</v>
      </c>
      <c r="B1930" s="340">
        <f>+MONTH(A1930)</f>
        <v>4</v>
      </c>
      <c r="C1930" s="347">
        <v>110</v>
      </c>
      <c r="D1930" s="340" t="str">
        <f>VLOOKUP(C1930,Plan!A$1:B$65542,2,0)</f>
        <v>Disponible Administración</v>
      </c>
      <c r="E1930" s="341">
        <f>+F1930-G1930</f>
        <v>100000</v>
      </c>
      <c r="F1930" s="396">
        <v>100000</v>
      </c>
      <c r="G1930" s="396">
        <v>0</v>
      </c>
      <c r="H1930" t="s">
        <v>1812</v>
      </c>
      <c r="I1930" s="347" t="s">
        <v>1303</v>
      </c>
      <c r="K1930" s="370"/>
      <c r="N1930" s="370"/>
    </row>
    <row r="1931" spans="1:14" s="347" customFormat="1" x14ac:dyDescent="0.25">
      <c r="A1931" s="369">
        <f>+A1930</f>
        <v>44315</v>
      </c>
      <c r="B1931" s="347">
        <f>+B1930</f>
        <v>4</v>
      </c>
      <c r="C1931" s="347">
        <v>3450</v>
      </c>
      <c r="D1931" s="340" t="str">
        <f>VLOOKUP(C1931,Plan!A$1:B$65542,2,0)</f>
        <v>Pastoral Social</v>
      </c>
      <c r="E1931" s="396">
        <f>-G1931</f>
        <v>-100000</v>
      </c>
      <c r="F1931" s="396">
        <v>0</v>
      </c>
      <c r="G1931" s="396">
        <f>+F1930</f>
        <v>100000</v>
      </c>
      <c r="H1931" s="347" t="str">
        <f>+H1930</f>
        <v xml:space="preserve">Canastas Hugo Rosende </v>
      </c>
      <c r="I1931" s="347" t="s">
        <v>1303</v>
      </c>
      <c r="K1931" s="370"/>
      <c r="N1931" s="370"/>
    </row>
    <row r="1932" spans="1:14" s="347" customFormat="1" x14ac:dyDescent="0.25">
      <c r="A1932" s="369"/>
      <c r="E1932" s="396"/>
      <c r="F1932" s="396"/>
      <c r="G1932" s="396"/>
      <c r="K1932" s="370"/>
      <c r="N1932" s="370"/>
    </row>
    <row r="1933" spans="1:14" s="347" customFormat="1" x14ac:dyDescent="0.25">
      <c r="A1933" s="369">
        <v>44315</v>
      </c>
      <c r="B1933" s="340">
        <f>+MONTH(A1933)</f>
        <v>4</v>
      </c>
      <c r="C1933" s="347">
        <v>110</v>
      </c>
      <c r="D1933" s="340" t="str">
        <f>VLOOKUP(C1933,Plan!A$1:B$65542,2,0)</f>
        <v>Disponible Administración</v>
      </c>
      <c r="E1933" s="341">
        <f>+F1933-G1933</f>
        <v>100000</v>
      </c>
      <c r="F1933" s="396">
        <v>100000</v>
      </c>
      <c r="G1933" s="396">
        <v>0</v>
      </c>
      <c r="H1933" t="s">
        <v>1813</v>
      </c>
      <c r="I1933" s="347" t="s">
        <v>1303</v>
      </c>
      <c r="K1933" s="370"/>
      <c r="N1933" s="370"/>
    </row>
    <row r="1934" spans="1:14" s="347" customFormat="1" x14ac:dyDescent="0.25">
      <c r="A1934" s="369">
        <f>+A1933</f>
        <v>44315</v>
      </c>
      <c r="B1934" s="347">
        <f>+B1933</f>
        <v>4</v>
      </c>
      <c r="C1934" s="347">
        <v>3110</v>
      </c>
      <c r="D1934" s="340" t="str">
        <f>VLOOKUP(C1934,Plan!A$1:B$65542,2,0)</f>
        <v>Colectas Normales</v>
      </c>
      <c r="E1934" s="396">
        <f>-G1934</f>
        <v>-100000</v>
      </c>
      <c r="F1934" s="396">
        <v>0</v>
      </c>
      <c r="G1934" s="396">
        <f>+F1933</f>
        <v>100000</v>
      </c>
      <c r="H1934" s="347" t="str">
        <f>+H1933</f>
        <v xml:space="preserve">Colecta Hugo Rosende </v>
      </c>
      <c r="I1934" s="347" t="s">
        <v>1303</v>
      </c>
      <c r="K1934" s="370"/>
      <c r="N1934" s="370"/>
    </row>
    <row r="1935" spans="1:14" s="347" customFormat="1" x14ac:dyDescent="0.25">
      <c r="A1935" s="369"/>
      <c r="E1935" s="396"/>
      <c r="F1935" s="396"/>
      <c r="G1935" s="396"/>
      <c r="K1935" s="370"/>
      <c r="N1935" s="370"/>
    </row>
    <row r="1936" spans="1:14" s="347" customFormat="1" x14ac:dyDescent="0.25">
      <c r="A1936" s="369">
        <v>44316</v>
      </c>
      <c r="B1936" s="340">
        <f>+MONTH(A1936)</f>
        <v>4</v>
      </c>
      <c r="C1936" s="347">
        <v>110</v>
      </c>
      <c r="D1936" s="340" t="str">
        <f>VLOOKUP(C1936,Plan!A$1:B$65542,2,0)</f>
        <v>Disponible Administración</v>
      </c>
      <c r="E1936" s="341">
        <f>+F1936-G1936</f>
        <v>20000</v>
      </c>
      <c r="F1936" s="396">
        <v>20000</v>
      </c>
      <c r="G1936" s="396">
        <v>0</v>
      </c>
      <c r="H1936" t="s">
        <v>1408</v>
      </c>
      <c r="I1936" s="347" t="s">
        <v>1303</v>
      </c>
      <c r="K1936" s="370"/>
      <c r="N1936" s="370"/>
    </row>
    <row r="1937" spans="1:14" s="347" customFormat="1" x14ac:dyDescent="0.25">
      <c r="A1937" s="369">
        <f>+A1936</f>
        <v>44316</v>
      </c>
      <c r="B1937" s="347">
        <f>+B1936</f>
        <v>4</v>
      </c>
      <c r="C1937" s="347">
        <v>3450</v>
      </c>
      <c r="D1937" s="340" t="str">
        <f>VLOOKUP(C1937,Plan!A$1:B$65542,2,0)</f>
        <v>Pastoral Social</v>
      </c>
      <c r="E1937" s="396">
        <f>-G1937</f>
        <v>-20000</v>
      </c>
      <c r="F1937" s="396">
        <v>0</v>
      </c>
      <c r="G1937" s="396">
        <f>+F1936</f>
        <v>20000</v>
      </c>
      <c r="H1937" s="347" t="str">
        <f>+H1936</f>
        <v>Canasta M. Angelica Arancibia Larenas</v>
      </c>
      <c r="I1937" s="347" t="s">
        <v>1303</v>
      </c>
      <c r="K1937" s="370"/>
      <c r="N1937" s="370"/>
    </row>
    <row r="1938" spans="1:14" s="347" customFormat="1" x14ac:dyDescent="0.25">
      <c r="A1938" s="369"/>
      <c r="E1938" s="396"/>
      <c r="F1938" s="396"/>
      <c r="G1938" s="396"/>
      <c r="K1938" s="370"/>
      <c r="N1938" s="370"/>
    </row>
    <row r="1939" spans="1:14" s="347" customFormat="1" x14ac:dyDescent="0.25">
      <c r="A1939" s="369">
        <v>44316</v>
      </c>
      <c r="B1939" s="340">
        <f>+MONTH(A1939)</f>
        <v>4</v>
      </c>
      <c r="C1939" s="347">
        <v>110</v>
      </c>
      <c r="D1939" s="340" t="str">
        <f>VLOOKUP(C1939,Plan!A$1:B$65542,2,0)</f>
        <v>Disponible Administración</v>
      </c>
      <c r="E1939" s="341">
        <f>+F1939-G1939</f>
        <v>30000</v>
      </c>
      <c r="F1939" s="396">
        <v>30000</v>
      </c>
      <c r="G1939" s="396">
        <v>0</v>
      </c>
      <c r="H1939" t="s">
        <v>1199</v>
      </c>
      <c r="I1939" s="347" t="s">
        <v>1303</v>
      </c>
      <c r="K1939" s="370"/>
      <c r="N1939" s="370"/>
    </row>
    <row r="1940" spans="1:14" s="347" customFormat="1" x14ac:dyDescent="0.25">
      <c r="A1940" s="369">
        <f>+A1939</f>
        <v>44316</v>
      </c>
      <c r="B1940" s="347">
        <f>+B1939</f>
        <v>4</v>
      </c>
      <c r="C1940" s="347">
        <v>3110</v>
      </c>
      <c r="D1940" s="340" t="str">
        <f>VLOOKUP(C1940,Plan!A$1:B$65542,2,0)</f>
        <v>Colectas Normales</v>
      </c>
      <c r="E1940" s="396">
        <f>-G1940</f>
        <v>-30000</v>
      </c>
      <c r="F1940" s="396">
        <v>0</v>
      </c>
      <c r="G1940" s="396">
        <f>+F1939</f>
        <v>30000</v>
      </c>
      <c r="H1940" s="347" t="str">
        <f>+H1939</f>
        <v>Colecta Maria Loreto Valenzuela Arata</v>
      </c>
      <c r="I1940" s="347" t="s">
        <v>1303</v>
      </c>
      <c r="K1940" s="370"/>
      <c r="N1940" s="370"/>
    </row>
    <row r="1941" spans="1:14" s="347" customFormat="1" x14ac:dyDescent="0.25">
      <c r="A1941" s="369"/>
      <c r="E1941" s="396"/>
      <c r="F1941" s="396"/>
      <c r="G1941" s="396"/>
      <c r="K1941" s="370"/>
      <c r="N1941" s="370"/>
    </row>
    <row r="1942" spans="1:14" s="347" customFormat="1" x14ac:dyDescent="0.25">
      <c r="A1942" s="369">
        <v>44316</v>
      </c>
      <c r="B1942" s="340">
        <f>+MONTH(A1942)</f>
        <v>4</v>
      </c>
      <c r="C1942" s="347">
        <v>110</v>
      </c>
      <c r="D1942" s="340" t="str">
        <f>VLOOKUP(C1942,Plan!A$1:B$65542,2,0)</f>
        <v>Disponible Administración</v>
      </c>
      <c r="E1942" s="341">
        <f>+F1942-G1942</f>
        <v>40000</v>
      </c>
      <c r="F1942" s="396">
        <v>40000</v>
      </c>
      <c r="G1942" s="396">
        <v>0</v>
      </c>
      <c r="H1942" t="s">
        <v>1121</v>
      </c>
      <c r="I1942" s="347" t="s">
        <v>1303</v>
      </c>
      <c r="K1942" s="370"/>
      <c r="N1942" s="370"/>
    </row>
    <row r="1943" spans="1:14" s="347" customFormat="1" x14ac:dyDescent="0.25">
      <c r="A1943" s="369">
        <f>+A1942</f>
        <v>44316</v>
      </c>
      <c r="B1943" s="347">
        <f>+B1942</f>
        <v>4</v>
      </c>
      <c r="C1943" s="347">
        <v>3110</v>
      </c>
      <c r="D1943" s="340" t="str">
        <f>VLOOKUP(C1943,Plan!A$1:B$65542,2,0)</f>
        <v>Colectas Normales</v>
      </c>
      <c r="E1943" s="396">
        <f>-G1943</f>
        <v>-40000</v>
      </c>
      <c r="F1943" s="396">
        <v>0</v>
      </c>
      <c r="G1943" s="396">
        <f>+F1942</f>
        <v>40000</v>
      </c>
      <c r="H1943" s="347" t="str">
        <f>+H1942</f>
        <v>Colecta Luis Marin J.</v>
      </c>
      <c r="I1943" s="347" t="s">
        <v>1303</v>
      </c>
      <c r="K1943" s="370"/>
      <c r="N1943" s="370"/>
    </row>
    <row r="1944" spans="1:14" s="347" customFormat="1" x14ac:dyDescent="0.25">
      <c r="A1944" s="369"/>
      <c r="E1944" s="396"/>
      <c r="F1944" s="396"/>
      <c r="G1944" s="396"/>
      <c r="K1944" s="370"/>
      <c r="N1944" s="370"/>
    </row>
    <row r="1945" spans="1:14" s="347" customFormat="1" x14ac:dyDescent="0.25">
      <c r="A1945" s="369">
        <v>44316</v>
      </c>
      <c r="B1945" s="340">
        <f>+MONTH(A1945)</f>
        <v>4</v>
      </c>
      <c r="C1945" s="347">
        <v>110</v>
      </c>
      <c r="D1945" s="340" t="str">
        <f>VLOOKUP(C1945,Plan!A$1:B$65542,2,0)</f>
        <v>Disponible Administración</v>
      </c>
      <c r="E1945" s="341">
        <f>+F1945-G1945</f>
        <v>50000</v>
      </c>
      <c r="F1945" s="396">
        <v>50000</v>
      </c>
      <c r="G1945" s="396">
        <v>0</v>
      </c>
      <c r="H1945" t="s">
        <v>960</v>
      </c>
      <c r="I1945" s="347" t="s">
        <v>1303</v>
      </c>
      <c r="K1945" s="370"/>
      <c r="N1945" s="370"/>
    </row>
    <row r="1946" spans="1:14" s="347" customFormat="1" x14ac:dyDescent="0.25">
      <c r="A1946" s="369">
        <f>+A1945</f>
        <v>44316</v>
      </c>
      <c r="B1946" s="347">
        <f>+B1945</f>
        <v>4</v>
      </c>
      <c r="C1946" s="347">
        <v>3110</v>
      </c>
      <c r="D1946" s="340" t="str">
        <f>VLOOKUP(C1946,Plan!A$1:B$65542,2,0)</f>
        <v>Colectas Normales</v>
      </c>
      <c r="E1946" s="396">
        <f>-G1946</f>
        <v>-50000</v>
      </c>
      <c r="F1946" s="396">
        <v>0</v>
      </c>
      <c r="G1946" s="396">
        <f>+F1945</f>
        <v>50000</v>
      </c>
      <c r="H1946" s="347" t="str">
        <f>+H1945</f>
        <v>Colecta Ximena Garcia</v>
      </c>
      <c r="I1946" s="347" t="s">
        <v>1303</v>
      </c>
      <c r="K1946" s="370"/>
      <c r="N1946" s="370"/>
    </row>
    <row r="1947" spans="1:14" s="347" customFormat="1" x14ac:dyDescent="0.25">
      <c r="A1947" s="369"/>
      <c r="E1947" s="396"/>
      <c r="F1947" s="396"/>
      <c r="G1947" s="396"/>
      <c r="K1947" s="370"/>
      <c r="N1947" s="370"/>
    </row>
    <row r="1948" spans="1:14" s="347" customFormat="1" x14ac:dyDescent="0.25">
      <c r="A1948" s="369">
        <v>44316</v>
      </c>
      <c r="B1948" s="340">
        <f>+MONTH(A1948)</f>
        <v>4</v>
      </c>
      <c r="C1948" s="347">
        <v>4321</v>
      </c>
      <c r="D1948" s="340" t="str">
        <f>VLOOKUP(C1948,Plan!A$1:B$65542,2,0)</f>
        <v>Electricidad</v>
      </c>
      <c r="E1948" s="341">
        <f>+F1948-G1948</f>
        <v>9412</v>
      </c>
      <c r="F1948" s="396">
        <v>9412</v>
      </c>
      <c r="G1948" s="396">
        <v>0</v>
      </c>
      <c r="H1948" t="s">
        <v>1240</v>
      </c>
      <c r="I1948" s="347" t="s">
        <v>1303</v>
      </c>
      <c r="K1948" s="370"/>
      <c r="N1948" s="370"/>
    </row>
    <row r="1949" spans="1:14" s="347" customFormat="1" x14ac:dyDescent="0.25">
      <c r="A1949" s="369">
        <f>+A1948</f>
        <v>44316</v>
      </c>
      <c r="B1949" s="347">
        <f>+B1948</f>
        <v>4</v>
      </c>
      <c r="C1949" s="347">
        <v>110</v>
      </c>
      <c r="D1949" s="340" t="str">
        <f>VLOOKUP(C1949,Plan!A$1:B$65542,2,0)</f>
        <v>Disponible Administración</v>
      </c>
      <c r="E1949" s="396">
        <f>-G1949</f>
        <v>-9412</v>
      </c>
      <c r="F1949" s="396">
        <v>0</v>
      </c>
      <c r="G1949" s="396">
        <f>+F1948</f>
        <v>9412</v>
      </c>
      <c r="H1949" s="347" t="str">
        <f>+H1948</f>
        <v>PAC ENEL OFICINA</v>
      </c>
      <c r="I1949" s="347" t="s">
        <v>1303</v>
      </c>
      <c r="K1949" s="370"/>
      <c r="N1949" s="370"/>
    </row>
    <row r="1950" spans="1:14" s="347" customFormat="1" x14ac:dyDescent="0.25">
      <c r="A1950" s="369"/>
      <c r="E1950" s="396"/>
      <c r="F1950" s="396"/>
      <c r="G1950" s="396"/>
      <c r="K1950" s="370"/>
      <c r="N1950" s="370"/>
    </row>
    <row r="1951" spans="1:14" s="347" customFormat="1" x14ac:dyDescent="0.25">
      <c r="A1951" s="369">
        <v>44316</v>
      </c>
      <c r="B1951" s="340">
        <f>+MONTH(A1951)</f>
        <v>4</v>
      </c>
      <c r="C1951" s="347">
        <v>110</v>
      </c>
      <c r="D1951" s="340" t="str">
        <f>VLOOKUP(C1951,Plan!A$1:B$65542,2,0)</f>
        <v>Disponible Administración</v>
      </c>
      <c r="E1951" s="341">
        <f>+F1951-G1951</f>
        <v>40000</v>
      </c>
      <c r="F1951" s="396">
        <v>40000</v>
      </c>
      <c r="G1951" s="396">
        <v>0</v>
      </c>
      <c r="H1951" t="s">
        <v>1409</v>
      </c>
      <c r="I1951" s="347" t="s">
        <v>1303</v>
      </c>
      <c r="K1951" s="370"/>
      <c r="N1951" s="370"/>
    </row>
    <row r="1952" spans="1:14" s="347" customFormat="1" x14ac:dyDescent="0.25">
      <c r="A1952" s="369">
        <f>+A1951</f>
        <v>44316</v>
      </c>
      <c r="B1952" s="347">
        <f>+B1951</f>
        <v>4</v>
      </c>
      <c r="C1952" s="347">
        <v>215</v>
      </c>
      <c r="D1952" s="340" t="str">
        <f>VLOOKUP(C1952,Plan!A$1:B$65542,2,0)</f>
        <v>Cuenta por Pagar a Cali</v>
      </c>
      <c r="E1952" s="396">
        <f>-G1952</f>
        <v>-40000</v>
      </c>
      <c r="F1952" s="396">
        <v>0</v>
      </c>
      <c r="G1952" s="396">
        <f>+F1951</f>
        <v>40000</v>
      </c>
      <c r="H1952" s="347" t="str">
        <f>+H1951</f>
        <v>Eduardo Castro De La Barra /249</v>
      </c>
      <c r="I1952" s="347" t="s">
        <v>1303</v>
      </c>
      <c r="K1952" s="370"/>
      <c r="N1952" s="370"/>
    </row>
    <row r="1953" spans="1:14" s="347" customFormat="1" x14ac:dyDescent="0.25">
      <c r="A1953" s="369"/>
      <c r="E1953" s="396"/>
      <c r="F1953" s="396"/>
      <c r="G1953" s="396"/>
      <c r="K1953" s="370"/>
      <c r="N1953" s="370"/>
    </row>
    <row r="1954" spans="1:14" s="347" customFormat="1" x14ac:dyDescent="0.25">
      <c r="A1954" s="369">
        <v>44316</v>
      </c>
      <c r="B1954" s="340">
        <f>+MONTH(A1954)</f>
        <v>4</v>
      </c>
      <c r="C1954" s="347">
        <v>110</v>
      </c>
      <c r="D1954" s="340" t="str">
        <f>VLOOKUP(C1954,Plan!A$1:B$65542,2,0)</f>
        <v>Disponible Administración</v>
      </c>
      <c r="E1954" s="341">
        <f>+F1954-G1954</f>
        <v>20000</v>
      </c>
      <c r="F1954" s="396">
        <v>20000</v>
      </c>
      <c r="G1954" s="396">
        <v>0</v>
      </c>
      <c r="H1954" t="s">
        <v>961</v>
      </c>
      <c r="I1954" s="347" t="s">
        <v>1303</v>
      </c>
      <c r="K1954" s="370"/>
      <c r="N1954" s="370"/>
    </row>
    <row r="1955" spans="1:14" s="347" customFormat="1" x14ac:dyDescent="0.25">
      <c r="A1955" s="369">
        <f>+A1954</f>
        <v>44316</v>
      </c>
      <c r="B1955" s="347">
        <f>+B1954</f>
        <v>4</v>
      </c>
      <c r="C1955" s="347">
        <v>3110</v>
      </c>
      <c r="D1955" s="340" t="str">
        <f>VLOOKUP(C1955,Plan!A$1:B$65542,2,0)</f>
        <v>Colectas Normales</v>
      </c>
      <c r="E1955" s="396">
        <f>-G1955</f>
        <v>-20000</v>
      </c>
      <c r="F1955" s="396">
        <v>0</v>
      </c>
      <c r="G1955" s="396">
        <f>+F1954</f>
        <v>20000</v>
      </c>
      <c r="H1955" s="347" t="str">
        <f>+H1954</f>
        <v>Colecta Jose Luis Bustamante G</v>
      </c>
      <c r="I1955" s="347" t="s">
        <v>1303</v>
      </c>
      <c r="K1955" s="370"/>
      <c r="N1955" s="370"/>
    </row>
    <row r="1956" spans="1:14" s="347" customFormat="1" x14ac:dyDescent="0.25">
      <c r="A1956" s="369"/>
      <c r="E1956" s="396"/>
      <c r="F1956" s="396"/>
      <c r="G1956" s="396"/>
      <c r="K1956" s="370"/>
      <c r="N1956" s="370"/>
    </row>
    <row r="1957" spans="1:14" s="347" customFormat="1" x14ac:dyDescent="0.25">
      <c r="A1957" s="369">
        <v>44316</v>
      </c>
      <c r="B1957" s="340">
        <f>+MONTH(A1957)</f>
        <v>4</v>
      </c>
      <c r="C1957" s="347">
        <v>110</v>
      </c>
      <c r="D1957" s="340" t="str">
        <f>VLOOKUP(C1957,Plan!A$1:B$65542,2,0)</f>
        <v>Disponible Administración</v>
      </c>
      <c r="E1957" s="341">
        <f>+F1957-G1957</f>
        <v>14740</v>
      </c>
      <c r="F1957" s="396">
        <v>14740</v>
      </c>
      <c r="G1957" s="396">
        <v>0</v>
      </c>
      <c r="H1957" t="s">
        <v>897</v>
      </c>
      <c r="I1957" s="347" t="s">
        <v>1303</v>
      </c>
      <c r="K1957" s="370"/>
      <c r="N1957" s="370"/>
    </row>
    <row r="1958" spans="1:14" s="347" customFormat="1" x14ac:dyDescent="0.25">
      <c r="A1958" s="369">
        <f>+A1957</f>
        <v>44316</v>
      </c>
      <c r="B1958" s="347">
        <f>+B1957</f>
        <v>4</v>
      </c>
      <c r="C1958" s="347">
        <v>3110</v>
      </c>
      <c r="D1958" s="340" t="str">
        <f>VLOOKUP(C1958,Plan!A$1:B$65542,2,0)</f>
        <v>Colectas Normales</v>
      </c>
      <c r="E1958" s="396">
        <f>-G1958</f>
        <v>-14740</v>
      </c>
      <c r="F1958" s="396">
        <v>0</v>
      </c>
      <c r="G1958" s="396">
        <f>+F1957</f>
        <v>14740</v>
      </c>
      <c r="H1958" s="347" t="str">
        <f>+H1957</f>
        <v>Colecta DCT</v>
      </c>
      <c r="I1958" s="347" t="s">
        <v>1303</v>
      </c>
      <c r="K1958" s="370"/>
      <c r="N1958" s="370"/>
    </row>
    <row r="1959" spans="1:14" s="347" customFormat="1" x14ac:dyDescent="0.25">
      <c r="A1959" s="369"/>
      <c r="E1959" s="396"/>
      <c r="F1959" s="396"/>
      <c r="G1959" s="396"/>
      <c r="K1959" s="370"/>
      <c r="N1959" s="370"/>
    </row>
    <row r="1960" spans="1:14" s="347" customFormat="1" x14ac:dyDescent="0.25">
      <c r="A1960" s="369">
        <v>44316</v>
      </c>
      <c r="B1960" s="340">
        <f>+MONTH(A1960)</f>
        <v>4</v>
      </c>
      <c r="C1960" s="347">
        <v>110</v>
      </c>
      <c r="D1960" s="340" t="str">
        <f>VLOOKUP(C1960,Plan!A$1:B$65542,2,0)</f>
        <v>Disponible Administración</v>
      </c>
      <c r="E1960" s="341">
        <f>+F1960-G1960</f>
        <v>10000</v>
      </c>
      <c r="F1960" s="396">
        <v>10000</v>
      </c>
      <c r="G1960" s="396">
        <v>0</v>
      </c>
      <c r="H1960" t="s">
        <v>1410</v>
      </c>
      <c r="I1960" s="347" t="s">
        <v>1303</v>
      </c>
      <c r="K1960" s="370"/>
      <c r="N1960" s="370"/>
    </row>
    <row r="1961" spans="1:14" s="347" customFormat="1" x14ac:dyDescent="0.25">
      <c r="A1961" s="369">
        <f>+A1960</f>
        <v>44316</v>
      </c>
      <c r="B1961" s="347">
        <f>+B1960</f>
        <v>4</v>
      </c>
      <c r="C1961" s="347">
        <v>3110</v>
      </c>
      <c r="D1961" s="340" t="str">
        <f>VLOOKUP(C1961,Plan!A$1:B$65542,2,0)</f>
        <v>Colectas Normales</v>
      </c>
      <c r="E1961" s="396">
        <f>-G1961</f>
        <v>-10000</v>
      </c>
      <c r="F1961" s="396">
        <v>0</v>
      </c>
      <c r="G1961" s="396">
        <f>+F1960</f>
        <v>10000</v>
      </c>
      <c r="H1961" s="347" t="str">
        <f>+H1960</f>
        <v>Colecta Col. Cordillera</v>
      </c>
      <c r="I1961" s="347" t="s">
        <v>1303</v>
      </c>
      <c r="K1961" s="370"/>
      <c r="N1961" s="370"/>
    </row>
    <row r="1962" spans="1:14" s="347" customFormat="1" x14ac:dyDescent="0.25">
      <c r="A1962" s="369"/>
      <c r="E1962" s="396"/>
      <c r="F1962" s="396"/>
      <c r="G1962" s="396"/>
      <c r="K1962" s="370"/>
      <c r="N1962" s="370"/>
    </row>
    <row r="1963" spans="1:14" s="347" customFormat="1" x14ac:dyDescent="0.25">
      <c r="A1963" s="369">
        <v>44316</v>
      </c>
      <c r="B1963" s="340">
        <f>+MONTH(A1963)</f>
        <v>4</v>
      </c>
      <c r="C1963" s="347">
        <v>110</v>
      </c>
      <c r="D1963" s="340" t="str">
        <f>VLOOKUP(C1963,Plan!A$1:B$65542,2,0)</f>
        <v>Disponible Administración</v>
      </c>
      <c r="E1963" s="341">
        <f>+F1963-G1963</f>
        <v>15000</v>
      </c>
      <c r="F1963" s="396">
        <v>15000</v>
      </c>
      <c r="G1963" s="396">
        <v>0</v>
      </c>
      <c r="H1963" t="s">
        <v>1411</v>
      </c>
      <c r="I1963" s="347" t="s">
        <v>1303</v>
      </c>
      <c r="K1963" s="370"/>
      <c r="N1963" s="370"/>
    </row>
    <row r="1964" spans="1:14" s="347" customFormat="1" x14ac:dyDescent="0.25">
      <c r="A1964" s="369">
        <f>+A1963</f>
        <v>44316</v>
      </c>
      <c r="B1964" s="347">
        <f>+B1963</f>
        <v>4</v>
      </c>
      <c r="C1964" s="347">
        <v>3110</v>
      </c>
      <c r="D1964" s="340" t="str">
        <f>VLOOKUP(C1964,Plan!A$1:B$65542,2,0)</f>
        <v>Colectas Normales</v>
      </c>
      <c r="E1964" s="396">
        <f>-G1964</f>
        <v>-15000</v>
      </c>
      <c r="F1964" s="396">
        <v>0</v>
      </c>
      <c r="G1964" s="396">
        <f>+F1963</f>
        <v>15000</v>
      </c>
      <c r="H1964" s="347" t="str">
        <f>+H1963</f>
        <v>Colecta Marcela Bengoa</v>
      </c>
      <c r="I1964" s="347" t="s">
        <v>1303</v>
      </c>
      <c r="K1964" s="370"/>
      <c r="N1964" s="370"/>
    </row>
    <row r="1965" spans="1:14" s="347" customFormat="1" x14ac:dyDescent="0.25">
      <c r="A1965" s="369"/>
      <c r="E1965" s="396"/>
      <c r="F1965" s="396"/>
      <c r="G1965" s="396"/>
      <c r="K1965" s="370"/>
      <c r="N1965" s="370"/>
    </row>
    <row r="1966" spans="1:14" s="347" customFormat="1" x14ac:dyDescent="0.25">
      <c r="A1966" s="369">
        <v>44316</v>
      </c>
      <c r="B1966" s="340">
        <f>+MONTH(A1966)</f>
        <v>4</v>
      </c>
      <c r="C1966" s="347">
        <v>110</v>
      </c>
      <c r="D1966" s="340" t="str">
        <f>VLOOKUP(C1966,Plan!A$1:B$65542,2,0)</f>
        <v>Disponible Administración</v>
      </c>
      <c r="E1966" s="341">
        <f>+F1966-G1966</f>
        <v>20000</v>
      </c>
      <c r="F1966" s="396">
        <v>20000</v>
      </c>
      <c r="G1966" s="396">
        <v>0</v>
      </c>
      <c r="H1966" t="s">
        <v>1412</v>
      </c>
      <c r="I1966" s="347" t="s">
        <v>1303</v>
      </c>
      <c r="K1966" s="370"/>
      <c r="N1966" s="370"/>
    </row>
    <row r="1967" spans="1:14" s="347" customFormat="1" x14ac:dyDescent="0.25">
      <c r="A1967" s="369">
        <f>+A1966</f>
        <v>44316</v>
      </c>
      <c r="B1967" s="347">
        <f>+B1966</f>
        <v>4</v>
      </c>
      <c r="C1967" s="347">
        <v>3450</v>
      </c>
      <c r="D1967" s="340" t="str">
        <f>VLOOKUP(C1967,Plan!A$1:B$65542,2,0)</f>
        <v>Pastoral Social</v>
      </c>
      <c r="E1967" s="396">
        <f>-G1967</f>
        <v>-20000</v>
      </c>
      <c r="F1967" s="396">
        <v>0</v>
      </c>
      <c r="G1967" s="396">
        <f>+F1966</f>
        <v>20000</v>
      </c>
      <c r="H1967" s="347" t="str">
        <f>+H1966</f>
        <v>Canasta Marcela Bengoa</v>
      </c>
      <c r="I1967" s="347" t="s">
        <v>1303</v>
      </c>
      <c r="K1967" s="370"/>
      <c r="N1967" s="370"/>
    </row>
    <row r="1968" spans="1:14" s="347" customFormat="1" x14ac:dyDescent="0.25">
      <c r="A1968" s="369"/>
      <c r="E1968" s="396"/>
      <c r="F1968" s="396"/>
      <c r="G1968" s="396"/>
      <c r="K1968" s="370"/>
      <c r="N1968" s="370"/>
    </row>
    <row r="1969" spans="1:14" s="347" customFormat="1" x14ac:dyDescent="0.25">
      <c r="A1969" s="369">
        <v>44316</v>
      </c>
      <c r="B1969" s="340">
        <f>+MONTH(A1969)</f>
        <v>4</v>
      </c>
      <c r="C1969" s="347">
        <v>110</v>
      </c>
      <c r="D1969" s="340" t="str">
        <f>VLOOKUP(C1969,Plan!A$1:B$65542,2,0)</f>
        <v>Disponible Administración</v>
      </c>
      <c r="E1969" s="341">
        <f>+F1969-G1969</f>
        <v>20</v>
      </c>
      <c r="F1969" s="396">
        <v>20</v>
      </c>
      <c r="G1969" s="396">
        <v>0</v>
      </c>
      <c r="H1969" t="s">
        <v>1413</v>
      </c>
      <c r="I1969" s="347" t="s">
        <v>1303</v>
      </c>
      <c r="K1969" s="370"/>
      <c r="N1969" s="370"/>
    </row>
    <row r="1970" spans="1:14" s="347" customFormat="1" x14ac:dyDescent="0.25">
      <c r="A1970" s="369">
        <f>+A1969</f>
        <v>44316</v>
      </c>
      <c r="B1970" s="347">
        <f>+B1969</f>
        <v>4</v>
      </c>
      <c r="C1970" s="347">
        <v>215</v>
      </c>
      <c r="D1970" s="340" t="str">
        <f>VLOOKUP(C1970,Plan!A$1:B$65542,2,0)</f>
        <v>Cuenta por Pagar a Cali</v>
      </c>
      <c r="E1970" s="396">
        <f>-G1970</f>
        <v>-20</v>
      </c>
      <c r="F1970" s="396">
        <v>0</v>
      </c>
      <c r="G1970" s="396">
        <f>+F1969</f>
        <v>20</v>
      </c>
      <c r="H1970" s="347" t="str">
        <f>+H1969</f>
        <v>María Macarena Besa Prieto/248</v>
      </c>
      <c r="I1970" s="347" t="s">
        <v>1303</v>
      </c>
      <c r="K1970" s="370"/>
      <c r="N1970" s="370"/>
    </row>
    <row r="1971" spans="1:14" s="347" customFormat="1" x14ac:dyDescent="0.25">
      <c r="A1971" s="369"/>
      <c r="E1971" s="396"/>
      <c r="F1971" s="396"/>
      <c r="G1971" s="396"/>
      <c r="K1971" s="370"/>
      <c r="N1971" s="370"/>
    </row>
    <row r="1972" spans="1:14" s="347" customFormat="1" x14ac:dyDescent="0.25">
      <c r="A1972" s="369">
        <v>44316</v>
      </c>
      <c r="B1972" s="340">
        <f>+MONTH(A1972)</f>
        <v>4</v>
      </c>
      <c r="C1972" s="347">
        <v>110</v>
      </c>
      <c r="D1972" s="340" t="str">
        <f>VLOOKUP(C1972,Plan!A$1:B$65542,2,0)</f>
        <v>Disponible Administración</v>
      </c>
      <c r="E1972" s="341">
        <f>+F1972-G1972</f>
        <v>20000</v>
      </c>
      <c r="F1972" s="396">
        <v>20000</v>
      </c>
      <c r="G1972" s="396">
        <v>0</v>
      </c>
      <c r="H1972" t="s">
        <v>1413</v>
      </c>
      <c r="I1972" s="347" t="s">
        <v>1303</v>
      </c>
      <c r="K1972" s="370"/>
      <c r="N1972" s="370"/>
    </row>
    <row r="1973" spans="1:14" s="347" customFormat="1" x14ac:dyDescent="0.25">
      <c r="A1973" s="369">
        <f>+A1972</f>
        <v>44316</v>
      </c>
      <c r="B1973" s="347">
        <f>+B1972</f>
        <v>4</v>
      </c>
      <c r="C1973" s="347">
        <v>215</v>
      </c>
      <c r="D1973" s="340" t="str">
        <f>VLOOKUP(C1973,Plan!A$1:B$65542,2,0)</f>
        <v>Cuenta por Pagar a Cali</v>
      </c>
      <c r="E1973" s="396">
        <f>-G1973</f>
        <v>-20000</v>
      </c>
      <c r="F1973" s="396">
        <v>0</v>
      </c>
      <c r="G1973" s="396">
        <f>+F1972</f>
        <v>20000</v>
      </c>
      <c r="H1973" s="347" t="str">
        <f>+H1972</f>
        <v>María Macarena Besa Prieto/248</v>
      </c>
      <c r="I1973" s="347" t="s">
        <v>1303</v>
      </c>
      <c r="K1973" s="370"/>
      <c r="N1973" s="370"/>
    </row>
    <row r="1974" spans="1:14" s="347" customFormat="1" x14ac:dyDescent="0.25">
      <c r="A1974" s="369"/>
      <c r="E1974" s="396"/>
      <c r="F1974" s="396"/>
      <c r="G1974" s="396"/>
      <c r="K1974" s="370"/>
      <c r="N1974" s="370"/>
    </row>
    <row r="1975" spans="1:14" s="347" customFormat="1" x14ac:dyDescent="0.25">
      <c r="A1975" s="369">
        <v>44316</v>
      </c>
      <c r="B1975" s="340">
        <f>+MONTH(A1975)</f>
        <v>4</v>
      </c>
      <c r="C1975" s="347">
        <v>110</v>
      </c>
      <c r="D1975" s="340" t="str">
        <f>VLOOKUP(C1975,Plan!A$1:B$65542,2,0)</f>
        <v>Disponible Administración</v>
      </c>
      <c r="E1975" s="341">
        <f>+F1975-G1975</f>
        <v>127000</v>
      </c>
      <c r="F1975" s="396">
        <v>127000</v>
      </c>
      <c r="G1975" s="396">
        <v>0</v>
      </c>
      <c r="H1975" t="s">
        <v>1414</v>
      </c>
      <c r="I1975" s="347" t="s">
        <v>1303</v>
      </c>
      <c r="K1975" s="370"/>
      <c r="N1975" s="370"/>
    </row>
    <row r="1976" spans="1:14" s="347" customFormat="1" x14ac:dyDescent="0.25">
      <c r="A1976" s="369">
        <f>+A1975</f>
        <v>44316</v>
      </c>
      <c r="B1976" s="347">
        <f>+B1975</f>
        <v>4</v>
      </c>
      <c r="C1976" s="347">
        <v>3110</v>
      </c>
      <c r="D1976" s="340" t="str">
        <f>VLOOKUP(C1976,Plan!A$1:B$65542,2,0)</f>
        <v>Colectas Normales</v>
      </c>
      <c r="E1976" s="396">
        <f>-G1976</f>
        <v>-127000</v>
      </c>
      <c r="F1976" s="396">
        <v>0</v>
      </c>
      <c r="G1976" s="396">
        <f>+F1975</f>
        <v>127000</v>
      </c>
      <c r="H1976" s="347" t="str">
        <f>+H1975</f>
        <v>Colecta Maite Compra Dolares</v>
      </c>
      <c r="I1976" s="347" t="s">
        <v>1303</v>
      </c>
      <c r="K1976" s="370"/>
      <c r="N1976" s="370"/>
    </row>
    <row r="1977" spans="1:14" s="347" customFormat="1" x14ac:dyDescent="0.25">
      <c r="A1977" s="369"/>
      <c r="E1977" s="396"/>
      <c r="F1977" s="396"/>
      <c r="G1977" s="396"/>
      <c r="K1977" s="370"/>
      <c r="N1977" s="370"/>
    </row>
    <row r="1978" spans="1:14" s="347" customFormat="1" x14ac:dyDescent="0.25">
      <c r="A1978" s="369">
        <v>44316</v>
      </c>
      <c r="B1978" s="340">
        <f>+MONTH(A1978)</f>
        <v>4</v>
      </c>
      <c r="C1978" s="347">
        <v>110</v>
      </c>
      <c r="D1978" s="340" t="str">
        <f>VLOOKUP(C1978,Plan!A$1:B$65542,2,0)</f>
        <v>Disponible Administración</v>
      </c>
      <c r="E1978" s="341">
        <f>+F1978-G1978</f>
        <v>20000</v>
      </c>
      <c r="F1978" s="396">
        <v>20000</v>
      </c>
      <c r="G1978" s="396">
        <v>0</v>
      </c>
      <c r="H1978" t="s">
        <v>1415</v>
      </c>
      <c r="I1978" s="347" t="s">
        <v>1303</v>
      </c>
      <c r="K1978" s="370"/>
      <c r="N1978" s="370"/>
    </row>
    <row r="1979" spans="1:14" s="347" customFormat="1" x14ac:dyDescent="0.25">
      <c r="A1979" s="369">
        <f>+A1978</f>
        <v>44316</v>
      </c>
      <c r="B1979" s="347">
        <f>+B1978</f>
        <v>4</v>
      </c>
      <c r="C1979" s="347">
        <v>3450</v>
      </c>
      <c r="D1979" s="340" t="str">
        <f>VLOOKUP(C1979,Plan!A$1:B$65542,2,0)</f>
        <v>Pastoral Social</v>
      </c>
      <c r="E1979" s="396">
        <f>-G1979</f>
        <v>-20000</v>
      </c>
      <c r="F1979" s="396">
        <v>0</v>
      </c>
      <c r="G1979" s="396">
        <f>+F1978</f>
        <v>20000</v>
      </c>
      <c r="H1979" s="347" t="str">
        <f>+H1978</f>
        <v>Canasta Francisco Rodriguez B.</v>
      </c>
      <c r="I1979" s="347" t="s">
        <v>1303</v>
      </c>
      <c r="K1979" s="370"/>
      <c r="N1979" s="370"/>
    </row>
    <row r="1980" spans="1:14" s="347" customFormat="1" x14ac:dyDescent="0.25">
      <c r="A1980" s="369"/>
      <c r="E1980" s="396"/>
      <c r="F1980" s="396"/>
      <c r="G1980" s="396"/>
      <c r="K1980" s="370"/>
      <c r="N1980" s="370"/>
    </row>
    <row r="1981" spans="1:14" s="347" customFormat="1" x14ac:dyDescent="0.25">
      <c r="A1981" s="339">
        <v>44316</v>
      </c>
      <c r="B1981" s="340">
        <f>+MONTH(A1981)</f>
        <v>4</v>
      </c>
      <c r="C1981" s="347">
        <v>225</v>
      </c>
      <c r="D1981" s="347" t="str">
        <f>VLOOKUP(C1981,Plan!A$1:B$65542,2,0)</f>
        <v>Sueldos por Pagar</v>
      </c>
      <c r="E1981" s="396">
        <f t="shared" ref="E1981:E1986" si="15">+F1981-G1981</f>
        <v>780569</v>
      </c>
      <c r="F1981" s="397">
        <v>780569</v>
      </c>
      <c r="G1981" s="397">
        <v>0</v>
      </c>
      <c r="H1981" s="347" t="s">
        <v>1219</v>
      </c>
      <c r="I1981" s="398" t="s">
        <v>296</v>
      </c>
      <c r="K1981" s="370"/>
      <c r="N1981" s="370"/>
    </row>
    <row r="1982" spans="1:14" s="347" customFormat="1" x14ac:dyDescent="0.25">
      <c r="A1982" s="369">
        <f t="shared" ref="A1982:B1985" si="16">+A1981</f>
        <v>44316</v>
      </c>
      <c r="B1982" s="347">
        <f t="shared" si="16"/>
        <v>4</v>
      </c>
      <c r="C1982" s="347">
        <v>225</v>
      </c>
      <c r="D1982" s="347" t="str">
        <f>VLOOKUP(C1982,Plan!A$1:B$65542,2,0)</f>
        <v>Sueldos por Pagar</v>
      </c>
      <c r="E1982" s="396">
        <f t="shared" si="15"/>
        <v>515955</v>
      </c>
      <c r="F1982" s="397">
        <v>515955</v>
      </c>
      <c r="G1982" s="397">
        <v>0</v>
      </c>
      <c r="H1982" s="347" t="s">
        <v>1224</v>
      </c>
      <c r="I1982" s="398" t="s">
        <v>296</v>
      </c>
      <c r="K1982" s="370"/>
      <c r="N1982" s="370"/>
    </row>
    <row r="1983" spans="1:14" s="347" customFormat="1" x14ac:dyDescent="0.25">
      <c r="A1983" s="369">
        <f t="shared" si="16"/>
        <v>44316</v>
      </c>
      <c r="B1983" s="347">
        <f t="shared" si="16"/>
        <v>4</v>
      </c>
      <c r="C1983" s="347">
        <v>225</v>
      </c>
      <c r="D1983" s="347" t="str">
        <f>VLOOKUP(C1983,Plan!A$1:B$65542,2,0)</f>
        <v>Sueldos por Pagar</v>
      </c>
      <c r="E1983" s="396">
        <f t="shared" si="15"/>
        <v>270605</v>
      </c>
      <c r="F1983" s="397">
        <v>270605</v>
      </c>
      <c r="G1983" s="397">
        <v>0</v>
      </c>
      <c r="H1983" s="347" t="s">
        <v>1223</v>
      </c>
      <c r="I1983" s="398" t="s">
        <v>296</v>
      </c>
      <c r="K1983" s="370"/>
      <c r="N1983" s="370"/>
    </row>
    <row r="1984" spans="1:14" s="347" customFormat="1" x14ac:dyDescent="0.25">
      <c r="A1984" s="369">
        <f t="shared" si="16"/>
        <v>44316</v>
      </c>
      <c r="B1984" s="347">
        <f t="shared" si="16"/>
        <v>4</v>
      </c>
      <c r="C1984" s="347">
        <v>225</v>
      </c>
      <c r="D1984" s="347" t="str">
        <f>VLOOKUP(C1984,Plan!A$1:B$65542,2,0)</f>
        <v>Sueldos por Pagar</v>
      </c>
      <c r="E1984" s="396">
        <f t="shared" si="15"/>
        <v>1118210</v>
      </c>
      <c r="F1984" s="397">
        <v>1118210</v>
      </c>
      <c r="G1984" s="397">
        <v>0</v>
      </c>
      <c r="H1984" s="347" t="s">
        <v>1220</v>
      </c>
      <c r="I1984" s="398" t="s">
        <v>296</v>
      </c>
      <c r="K1984" s="370"/>
      <c r="N1984" s="370"/>
    </row>
    <row r="1985" spans="1:14" s="347" customFormat="1" x14ac:dyDescent="0.25">
      <c r="A1985" s="369">
        <f t="shared" si="16"/>
        <v>44316</v>
      </c>
      <c r="B1985" s="347">
        <f t="shared" si="16"/>
        <v>4</v>
      </c>
      <c r="C1985" s="347">
        <v>225</v>
      </c>
      <c r="D1985" s="347" t="str">
        <f>VLOOKUP(C1985,Plan!A$1:B$65542,2,0)</f>
        <v>Sueldos por Pagar</v>
      </c>
      <c r="E1985" s="396">
        <f t="shared" si="15"/>
        <v>735000</v>
      </c>
      <c r="F1985" s="397">
        <v>735000</v>
      </c>
      <c r="G1985" s="397">
        <v>0</v>
      </c>
      <c r="H1985" s="347" t="s">
        <v>1221</v>
      </c>
      <c r="I1985" s="398" t="s">
        <v>296</v>
      </c>
      <c r="K1985" s="370"/>
      <c r="N1985" s="370"/>
    </row>
    <row r="1986" spans="1:14" s="347" customFormat="1" x14ac:dyDescent="0.25">
      <c r="A1986" s="369">
        <f>+A1985</f>
        <v>44316</v>
      </c>
      <c r="B1986" s="347">
        <f>+B1985</f>
        <v>4</v>
      </c>
      <c r="C1986" s="347">
        <v>110</v>
      </c>
      <c r="D1986" s="340" t="str">
        <f>VLOOKUP(C1986,Plan!A$1:B$65542,2,0)</f>
        <v>Disponible Administración</v>
      </c>
      <c r="E1986" s="341">
        <f t="shared" si="15"/>
        <v>-3420339</v>
      </c>
      <c r="F1986" s="397">
        <v>0</v>
      </c>
      <c r="G1986" s="397">
        <v>3420339</v>
      </c>
      <c r="H1986" s="347" t="s">
        <v>1222</v>
      </c>
      <c r="I1986" s="398" t="s">
        <v>296</v>
      </c>
      <c r="K1986" s="370"/>
      <c r="N1986" s="370"/>
    </row>
    <row r="1987" spans="1:14" s="347" customFormat="1" x14ac:dyDescent="0.25">
      <c r="A1987" s="369"/>
      <c r="D1987" s="340"/>
      <c r="E1987" s="341"/>
      <c r="F1987" s="409"/>
      <c r="G1987" s="409"/>
      <c r="I1987" s="398"/>
      <c r="K1987" s="370"/>
      <c r="N1987" s="370"/>
    </row>
    <row r="1988" spans="1:14" s="347" customFormat="1" x14ac:dyDescent="0.25">
      <c r="A1988" s="369">
        <v>44316</v>
      </c>
      <c r="B1988" s="340">
        <f>+MONTH(A1988)</f>
        <v>4</v>
      </c>
      <c r="C1988" s="347">
        <v>4231</v>
      </c>
      <c r="D1988" s="340" t="str">
        <f>VLOOKUP(C1988,Plan!A$1:B$65542,2,0)</f>
        <v>Auxiliares, secretarias y administración</v>
      </c>
      <c r="E1988" s="341">
        <v>3070435</v>
      </c>
      <c r="F1988" s="409">
        <v>3070435</v>
      </c>
      <c r="G1988" s="409">
        <v>0</v>
      </c>
      <c r="H1988" s="347" t="s">
        <v>410</v>
      </c>
      <c r="I1988" s="398" t="s">
        <v>296</v>
      </c>
      <c r="K1988" s="370"/>
      <c r="N1988" s="370"/>
    </row>
    <row r="1989" spans="1:14" s="347" customFormat="1" x14ac:dyDescent="0.25">
      <c r="A1989" s="369">
        <f t="shared" ref="A1989:B1994" si="17">+A1988</f>
        <v>44316</v>
      </c>
      <c r="B1989" s="347">
        <f t="shared" si="17"/>
        <v>4</v>
      </c>
      <c r="C1989" s="347">
        <v>9011</v>
      </c>
      <c r="D1989" s="340" t="str">
        <f>VLOOKUP(C1989,Plan!A$1:B$65542,2,0)</f>
        <v>Sueldo Sacerdotes</v>
      </c>
      <c r="E1989" s="341">
        <v>907010</v>
      </c>
      <c r="F1989" s="409">
        <v>907010</v>
      </c>
      <c r="G1989" s="409">
        <v>0</v>
      </c>
      <c r="H1989" s="347" t="s">
        <v>410</v>
      </c>
      <c r="I1989" s="398" t="s">
        <v>296</v>
      </c>
      <c r="K1989" s="370"/>
      <c r="N1989" s="370"/>
    </row>
    <row r="1990" spans="1:14" s="347" customFormat="1" x14ac:dyDescent="0.25">
      <c r="A1990" s="369">
        <f t="shared" si="17"/>
        <v>44316</v>
      </c>
      <c r="B1990" s="347">
        <f t="shared" si="17"/>
        <v>4</v>
      </c>
      <c r="C1990" s="347">
        <v>4231</v>
      </c>
      <c r="D1990" s="340" t="str">
        <f>VLOOKUP(C1990,Plan!A$1:B$65542,2,0)</f>
        <v>Auxiliares, secretarias y administración</v>
      </c>
      <c r="E1990" s="341">
        <v>47252</v>
      </c>
      <c r="F1990" s="409">
        <v>47252</v>
      </c>
      <c r="G1990" s="409">
        <v>0</v>
      </c>
      <c r="H1990" s="347" t="s">
        <v>410</v>
      </c>
      <c r="I1990" s="398" t="s">
        <v>296</v>
      </c>
      <c r="K1990" s="370"/>
      <c r="N1990" s="370"/>
    </row>
    <row r="1991" spans="1:14" s="347" customFormat="1" x14ac:dyDescent="0.25">
      <c r="A1991" s="369">
        <f t="shared" si="17"/>
        <v>44316</v>
      </c>
      <c r="B1991" s="347">
        <f t="shared" si="17"/>
        <v>4</v>
      </c>
      <c r="C1991" s="347">
        <v>225</v>
      </c>
      <c r="D1991" s="340" t="str">
        <f>VLOOKUP(C1991,Plan!A$1:B$65542,2,0)</f>
        <v>Sueldos por Pagar</v>
      </c>
      <c r="E1991" s="341">
        <v>-3420339</v>
      </c>
      <c r="F1991" s="409">
        <v>0</v>
      </c>
      <c r="G1991" s="409">
        <v>3420339</v>
      </c>
      <c r="H1991" s="347" t="s">
        <v>410</v>
      </c>
      <c r="I1991" s="398" t="s">
        <v>296</v>
      </c>
      <c r="K1991" s="370"/>
      <c r="N1991" s="370"/>
    </row>
    <row r="1992" spans="1:14" s="347" customFormat="1" x14ac:dyDescent="0.25">
      <c r="A1992" s="369">
        <f t="shared" si="17"/>
        <v>44316</v>
      </c>
      <c r="B1992" s="347">
        <f t="shared" si="17"/>
        <v>4</v>
      </c>
      <c r="C1992" s="347">
        <v>224</v>
      </c>
      <c r="D1992" s="340" t="str">
        <f>VLOOKUP(C1992,Plan!A$1:B$65542,2,0)</f>
        <v>Cotizaciones por Pagar</v>
      </c>
      <c r="E1992" s="341">
        <v>-416088</v>
      </c>
      <c r="F1992" s="409">
        <v>0</v>
      </c>
      <c r="G1992" s="409">
        <v>416088</v>
      </c>
      <c r="H1992" s="347" t="s">
        <v>410</v>
      </c>
      <c r="I1992" s="398" t="s">
        <v>296</v>
      </c>
      <c r="K1992" s="370"/>
      <c r="N1992" s="370"/>
    </row>
    <row r="1993" spans="1:14" s="347" customFormat="1" x14ac:dyDescent="0.25">
      <c r="A1993" s="369">
        <f t="shared" si="17"/>
        <v>44316</v>
      </c>
      <c r="B1993" s="347">
        <f>+B1992</f>
        <v>4</v>
      </c>
      <c r="C1993" s="347">
        <v>224</v>
      </c>
      <c r="D1993" s="340" t="str">
        <f>VLOOKUP(C1993,Plan!A$1:B$65542,2,0)</f>
        <v>Cotizaciones por Pagar</v>
      </c>
      <c r="E1993" s="341">
        <v>-172010</v>
      </c>
      <c r="F1993" s="409">
        <v>0</v>
      </c>
      <c r="G1993" s="409">
        <v>172010</v>
      </c>
      <c r="H1993" s="347" t="s">
        <v>410</v>
      </c>
      <c r="I1993" s="398" t="s">
        <v>296</v>
      </c>
      <c r="K1993" s="370"/>
      <c r="N1993" s="370"/>
    </row>
    <row r="1994" spans="1:14" s="347" customFormat="1" x14ac:dyDescent="0.25">
      <c r="A1994" s="369">
        <f t="shared" si="17"/>
        <v>44316</v>
      </c>
      <c r="B1994" s="347">
        <f>+B1993</f>
        <v>4</v>
      </c>
      <c r="C1994" s="347">
        <v>223</v>
      </c>
      <c r="D1994" s="340" t="str">
        <f>VLOOKUP(C1994,Plan!A$1:B$65542,2,0)</f>
        <v>Ret. Hon.  e Impto. Unico Administración</v>
      </c>
      <c r="E1994" s="341">
        <v>-16260</v>
      </c>
      <c r="F1994" s="409">
        <v>0</v>
      </c>
      <c r="G1994" s="409">
        <v>16260</v>
      </c>
      <c r="H1994" s="347" t="s">
        <v>410</v>
      </c>
      <c r="I1994" s="398" t="s">
        <v>296</v>
      </c>
      <c r="K1994" s="370"/>
      <c r="N1994" s="370"/>
    </row>
    <row r="1995" spans="1:14" s="347" customFormat="1" x14ac:dyDescent="0.25">
      <c r="A1995" s="369"/>
      <c r="D1995" s="340"/>
      <c r="E1995" s="341"/>
      <c r="F1995" s="409"/>
      <c r="G1995" s="409"/>
      <c r="I1995" s="398"/>
      <c r="K1995" s="370"/>
      <c r="N1995" s="370"/>
    </row>
    <row r="1996" spans="1:14" s="347" customFormat="1" x14ac:dyDescent="0.25">
      <c r="A1996" s="369"/>
      <c r="D1996" s="340"/>
      <c r="E1996" s="341"/>
      <c r="F1996" s="409"/>
      <c r="G1996" s="409"/>
      <c r="I1996" s="398"/>
      <c r="K1996" s="370"/>
      <c r="N1996" s="370"/>
    </row>
    <row r="1997" spans="1:14" s="347" customFormat="1" x14ac:dyDescent="0.25">
      <c r="A1997" s="369"/>
      <c r="E1997" s="396"/>
      <c r="F1997" s="396"/>
      <c r="G1997" s="396"/>
      <c r="K1997" s="370"/>
      <c r="N1997" s="370"/>
    </row>
    <row r="1998" spans="1:14" s="347" customFormat="1" x14ac:dyDescent="0.25">
      <c r="A1998" s="369">
        <v>44316</v>
      </c>
      <c r="B1998" s="340">
        <f>+MONTH(A1998)</f>
        <v>4</v>
      </c>
      <c r="C1998" s="347">
        <v>4680</v>
      </c>
      <c r="D1998" s="340" t="str">
        <f>VLOOKUP(C1998,Plan!A$1:B$65542,2,0)</f>
        <v>Pastoral Comunicacional</v>
      </c>
      <c r="E1998" s="341">
        <f>+F1998-G1998</f>
        <v>478498</v>
      </c>
      <c r="F1998" s="396">
        <v>478498</v>
      </c>
      <c r="G1998" s="396">
        <v>0</v>
      </c>
      <c r="H1998" t="s">
        <v>1416</v>
      </c>
      <c r="I1998" s="347" t="s">
        <v>1303</v>
      </c>
      <c r="K1998" s="370"/>
      <c r="N1998" s="370"/>
    </row>
    <row r="1999" spans="1:14" s="347" customFormat="1" x14ac:dyDescent="0.25">
      <c r="A1999" s="369">
        <f>+A1998</f>
        <v>44316</v>
      </c>
      <c r="B1999" s="347">
        <f>+B1998</f>
        <v>4</v>
      </c>
      <c r="C1999" s="347">
        <v>110</v>
      </c>
      <c r="D1999" s="340" t="str">
        <f>VLOOKUP(C1999,Plan!A$1:B$65542,2,0)</f>
        <v>Disponible Administración</v>
      </c>
      <c r="E1999" s="396">
        <f>-G1999</f>
        <v>-478498</v>
      </c>
      <c r="F1999" s="396">
        <v>0</v>
      </c>
      <c r="G1999" s="396">
        <f>+F1998</f>
        <v>478498</v>
      </c>
      <c r="H1999" s="347" t="str">
        <f>+H1998</f>
        <v>F.769 Serv. Abr.21</v>
      </c>
      <c r="I1999" s="347" t="s">
        <v>1303</v>
      </c>
      <c r="K1999" s="370"/>
      <c r="N1999" s="370"/>
    </row>
    <row r="2000" spans="1:14" s="347" customFormat="1" x14ac:dyDescent="0.25">
      <c r="A2000" s="369"/>
      <c r="E2000" s="396"/>
      <c r="F2000" s="396"/>
      <c r="G2000" s="396"/>
      <c r="K2000" s="370"/>
      <c r="N2000" s="370"/>
    </row>
    <row r="2001" spans="1:14" s="347" customFormat="1" x14ac:dyDescent="0.25">
      <c r="A2001" s="369">
        <v>44316</v>
      </c>
      <c r="B2001" s="340">
        <f>+MONTH(A2001)</f>
        <v>4</v>
      </c>
      <c r="C2001" s="347">
        <v>229</v>
      </c>
      <c r="D2001" s="340" t="str">
        <f>VLOOKUP(C2001,Plan!A$1:B$65542,2,0)</f>
        <v>Provisiones Administración</v>
      </c>
      <c r="E2001" s="341">
        <f>+F2001-G2001</f>
        <v>951186</v>
      </c>
      <c r="F2001" s="396">
        <v>951186</v>
      </c>
      <c r="G2001" s="396">
        <v>0</v>
      </c>
      <c r="H2001" t="s">
        <v>1417</v>
      </c>
      <c r="I2001" s="347" t="s">
        <v>1303</v>
      </c>
      <c r="K2001" s="370"/>
      <c r="N2001" s="370"/>
    </row>
    <row r="2002" spans="1:14" s="347" customFormat="1" x14ac:dyDescent="0.25">
      <c r="A2002" s="369">
        <f>+A2001</f>
        <v>44316</v>
      </c>
      <c r="B2002" s="347">
        <f>+B2001</f>
        <v>4</v>
      </c>
      <c r="C2002" s="347">
        <v>110</v>
      </c>
      <c r="D2002" s="340" t="str">
        <f>VLOOKUP(C2002,Plan!A$1:B$65542,2,0)</f>
        <v>Disponible Administración</v>
      </c>
      <c r="E2002" s="396">
        <f>-G2002</f>
        <v>-951186</v>
      </c>
      <c r="F2002" s="396">
        <v>0</v>
      </c>
      <c r="G2002" s="396">
        <f>+F2001</f>
        <v>951186</v>
      </c>
      <c r="H2002" s="347" t="str">
        <f>+H2001</f>
        <v>F.131 32hr. Balance 30/12/20</v>
      </c>
      <c r="I2002" s="347" t="s">
        <v>1303</v>
      </c>
      <c r="K2002" s="370"/>
      <c r="N2002" s="370"/>
    </row>
    <row r="2003" spans="1:14" s="347" customFormat="1" x14ac:dyDescent="0.25">
      <c r="A2003" s="369"/>
      <c r="E2003" s="396"/>
      <c r="F2003" s="396"/>
      <c r="G2003" s="396"/>
      <c r="K2003" s="370"/>
      <c r="N2003" s="370"/>
    </row>
    <row r="2004" spans="1:14" s="347" customFormat="1" x14ac:dyDescent="0.25">
      <c r="A2004" s="369">
        <v>44316</v>
      </c>
      <c r="B2004" s="340">
        <f>+MONTH(A2004)</f>
        <v>4</v>
      </c>
      <c r="C2004" s="347">
        <v>4340</v>
      </c>
      <c r="D2004" s="340" t="str">
        <f>VLOOKUP(C2004,Plan!A$1:B$65542,2,0)</f>
        <v>Caja Chica</v>
      </c>
      <c r="E2004" s="341">
        <f>+F2004-G2004</f>
        <v>57440</v>
      </c>
      <c r="F2004" s="396">
        <v>57440</v>
      </c>
      <c r="G2004" s="396">
        <v>0</v>
      </c>
      <c r="H2004" t="s">
        <v>929</v>
      </c>
      <c r="I2004" s="347" t="s">
        <v>1303</v>
      </c>
      <c r="K2004" s="370"/>
      <c r="N2004" s="370"/>
    </row>
    <row r="2005" spans="1:14" s="347" customFormat="1" x14ac:dyDescent="0.25">
      <c r="A2005" s="369">
        <f>+A2004</f>
        <v>44316</v>
      </c>
      <c r="B2005" s="347">
        <f>+B2004</f>
        <v>4</v>
      </c>
      <c r="C2005" s="347">
        <v>110</v>
      </c>
      <c r="D2005" s="340" t="str">
        <f>VLOOKUP(C2005,Plan!A$1:B$65542,2,0)</f>
        <v>Disponible Administración</v>
      </c>
      <c r="E2005" s="396">
        <f>-G2005</f>
        <v>-57440</v>
      </c>
      <c r="F2005" s="396">
        <v>0</v>
      </c>
      <c r="G2005" s="396">
        <f>+F2004</f>
        <v>57440</v>
      </c>
      <c r="H2005" s="347" t="str">
        <f>+H2004</f>
        <v>Rend. Compra Utiles escritorio</v>
      </c>
      <c r="I2005" s="347" t="s">
        <v>1303</v>
      </c>
      <c r="K2005" s="370"/>
      <c r="N2005" s="370"/>
    </row>
    <row r="2006" spans="1:14" s="347" customFormat="1" x14ac:dyDescent="0.25">
      <c r="A2006" s="369"/>
      <c r="E2006" s="396"/>
      <c r="F2006" s="396"/>
      <c r="G2006" s="396"/>
      <c r="K2006" s="370"/>
      <c r="N2006" s="370"/>
    </row>
    <row r="2007" spans="1:14" s="347" customFormat="1" x14ac:dyDescent="0.25">
      <c r="A2007" s="369">
        <v>44316</v>
      </c>
      <c r="B2007" s="340">
        <f>+MONTH(A2007)</f>
        <v>4</v>
      </c>
      <c r="C2007" s="347">
        <v>4650</v>
      </c>
      <c r="D2007" s="340" t="str">
        <f>VLOOKUP(C2007,Plan!A$1:B$65542,2,0)</f>
        <v>Pastoral Social</v>
      </c>
      <c r="E2007" s="341">
        <f>+F2007-G2007</f>
        <v>480000</v>
      </c>
      <c r="F2007" s="396">
        <v>480000</v>
      </c>
      <c r="G2007" s="396">
        <v>0</v>
      </c>
      <c r="H2007" s="468" t="s">
        <v>1418</v>
      </c>
      <c r="I2007" s="347" t="s">
        <v>1303</v>
      </c>
      <c r="K2007" s="370"/>
      <c r="N2007" s="370"/>
    </row>
    <row r="2008" spans="1:14" s="347" customFormat="1" x14ac:dyDescent="0.25">
      <c r="A2008" s="369">
        <f>+A2007</f>
        <v>44316</v>
      </c>
      <c r="B2008" s="347">
        <f>+B2007</f>
        <v>4</v>
      </c>
      <c r="C2008" s="347">
        <v>110</v>
      </c>
      <c r="D2008" s="340" t="str">
        <f>VLOOKUP(C2008,Plan!A$1:B$65542,2,0)</f>
        <v>Disponible Administración</v>
      </c>
      <c r="E2008" s="396">
        <f>-G2008</f>
        <v>-480000</v>
      </c>
      <c r="F2008" s="396">
        <v>0</v>
      </c>
      <c r="G2008" s="396">
        <f>+F2007</f>
        <v>480000</v>
      </c>
      <c r="H2008" s="347" t="str">
        <f>+H2007</f>
        <v xml:space="preserve">F. por 24 Cajas Pte.Alto </v>
      </c>
      <c r="I2008" s="347" t="s">
        <v>1303</v>
      </c>
      <c r="K2008" s="370"/>
      <c r="N2008" s="370"/>
    </row>
    <row r="2009" spans="1:14" s="347" customFormat="1" x14ac:dyDescent="0.25">
      <c r="A2009" s="369"/>
      <c r="E2009" s="396"/>
      <c r="F2009" s="396"/>
      <c r="G2009" s="396"/>
      <c r="K2009" s="370"/>
      <c r="N2009" s="370"/>
    </row>
    <row r="2010" spans="1:14" s="347" customFormat="1" x14ac:dyDescent="0.25">
      <c r="A2010" s="369">
        <v>44316</v>
      </c>
      <c r="B2010" s="340">
        <f>+MONTH(A2010)</f>
        <v>4</v>
      </c>
      <c r="C2010" s="347">
        <v>110</v>
      </c>
      <c r="D2010" s="340" t="str">
        <f>VLOOKUP(C2010,Plan!A$1:B$65542,2,0)</f>
        <v>Disponible Administración</v>
      </c>
      <c r="E2010" s="341">
        <f>+F2010-G2010</f>
        <v>1118210</v>
      </c>
      <c r="F2010" s="396">
        <v>1118210</v>
      </c>
      <c r="G2010" s="396">
        <v>0</v>
      </c>
      <c r="H2010" t="s">
        <v>1419</v>
      </c>
      <c r="I2010" s="347" t="s">
        <v>1303</v>
      </c>
      <c r="K2010" s="370"/>
      <c r="N2010" s="370"/>
    </row>
    <row r="2011" spans="1:14" s="347" customFormat="1" x14ac:dyDescent="0.25">
      <c r="A2011" s="369">
        <f>+A2010</f>
        <v>44316</v>
      </c>
      <c r="B2011" s="347">
        <f>+B2010</f>
        <v>4</v>
      </c>
      <c r="C2011" s="347">
        <v>4210</v>
      </c>
      <c r="D2011" s="340" t="str">
        <f>VLOOKUP(C2011,Plan!A$1:B$65542,2,0)</f>
        <v>Sueldos</v>
      </c>
      <c r="E2011" s="396">
        <f>-G2011</f>
        <v>-1118210</v>
      </c>
      <c r="F2011" s="396">
        <v>0</v>
      </c>
      <c r="G2011" s="396">
        <f>+F2010</f>
        <v>1118210</v>
      </c>
      <c r="H2011" s="347" t="str">
        <f>+H2010</f>
        <v>Devolucion Sueldo Rafael Valdes Searle</v>
      </c>
      <c r="I2011" s="347" t="s">
        <v>1303</v>
      </c>
      <c r="K2011" s="370"/>
      <c r="N2011" s="370"/>
    </row>
    <row r="2012" spans="1:14" s="347" customFormat="1" x14ac:dyDescent="0.25">
      <c r="A2012" s="369"/>
      <c r="E2012" s="396"/>
      <c r="F2012" s="396"/>
      <c r="G2012" s="396"/>
      <c r="K2012" s="370"/>
      <c r="N2012" s="370"/>
    </row>
    <row r="2013" spans="1:14" s="347" customFormat="1" x14ac:dyDescent="0.25">
      <c r="A2013" s="369">
        <v>44316</v>
      </c>
      <c r="B2013" s="340">
        <f>+MONTH(A2013)</f>
        <v>4</v>
      </c>
      <c r="C2013" s="347">
        <v>4861</v>
      </c>
      <c r="D2013" s="340" t="str">
        <f>VLOOKUP(C2013,Plan!A$1:B$65542,2,0)</f>
        <v>Curso Biblia</v>
      </c>
      <c r="E2013" s="341">
        <f>+F2013-G2013</f>
        <v>245250</v>
      </c>
      <c r="F2013" s="396">
        <f>+G2014+G2015</f>
        <v>245250</v>
      </c>
      <c r="G2013" s="396">
        <v>0</v>
      </c>
      <c r="H2013" t="s">
        <v>1448</v>
      </c>
      <c r="I2013" s="347" t="s">
        <v>1303</v>
      </c>
      <c r="K2013" s="370"/>
      <c r="N2013" s="370"/>
    </row>
    <row r="2014" spans="1:14" s="347" customFormat="1" x14ac:dyDescent="0.25">
      <c r="A2014" s="369">
        <f>+A2013</f>
        <v>44316</v>
      </c>
      <c r="B2014" s="340">
        <f>+MONTH(A2014)</f>
        <v>4</v>
      </c>
      <c r="C2014" s="347">
        <v>223</v>
      </c>
      <c r="D2014" s="340" t="str">
        <f>VLOOKUP(C2014,Plan!A$1:B$65542,2,0)</f>
        <v>Ret. Hon.  e Impto. Unico Administración</v>
      </c>
      <c r="E2014" s="341">
        <f>+F2014-G2014</f>
        <v>-28204</v>
      </c>
      <c r="F2014" s="396">
        <v>0</v>
      </c>
      <c r="G2014" s="396">
        <v>28204</v>
      </c>
      <c r="H2014" t="str">
        <f>+H2013</f>
        <v>BE-157 Rodrigo Vidal Paiva Curso Biblia</v>
      </c>
      <c r="I2014" s="347" t="s">
        <v>1303</v>
      </c>
      <c r="K2014" s="370"/>
      <c r="N2014" s="370"/>
    </row>
    <row r="2015" spans="1:14" s="347" customFormat="1" x14ac:dyDescent="0.25">
      <c r="A2015" s="369">
        <f>+A2013</f>
        <v>44316</v>
      </c>
      <c r="B2015" s="347">
        <f>+B2013</f>
        <v>4</v>
      </c>
      <c r="C2015" s="347">
        <v>222</v>
      </c>
      <c r="D2015" s="340" t="str">
        <f>VLOOKUP(C2015,Plan!A$1:B$65542,2,0)</f>
        <v>Honorarios por pagar Administración</v>
      </c>
      <c r="E2015" s="396">
        <f>-G2015</f>
        <v>-217046</v>
      </c>
      <c r="F2015" s="396">
        <v>0</v>
      </c>
      <c r="G2015" s="396">
        <v>217046</v>
      </c>
      <c r="H2015" s="347" t="str">
        <f>+H2013</f>
        <v>BE-157 Rodrigo Vidal Paiva Curso Biblia</v>
      </c>
      <c r="I2015" s="347" t="s">
        <v>1303</v>
      </c>
      <c r="K2015" s="370"/>
      <c r="N2015" s="370"/>
    </row>
    <row r="2016" spans="1:14" s="347" customFormat="1" x14ac:dyDescent="0.25">
      <c r="A2016" s="369"/>
      <c r="D2016" s="340"/>
      <c r="E2016" s="396"/>
      <c r="F2016" s="396"/>
      <c r="G2016" s="396"/>
      <c r="K2016" s="370"/>
      <c r="N2016" s="370"/>
    </row>
    <row r="2017" spans="1:14" s="347" customFormat="1" x14ac:dyDescent="0.25">
      <c r="A2017" s="369">
        <v>44316</v>
      </c>
      <c r="B2017" s="340">
        <f>+MONTH(A2017)</f>
        <v>4</v>
      </c>
      <c r="C2017" s="347">
        <v>142</v>
      </c>
      <c r="D2017" s="340" t="str">
        <f>VLOOKUP(C2017,Plan!A$1:B$65542,2,0)</f>
        <v>Cuentas por Cobrar a CALI (Colectas)</v>
      </c>
      <c r="E2017" s="341">
        <f>+F2017-G2017</f>
        <v>12000</v>
      </c>
      <c r="F2017" s="347">
        <v>12000</v>
      </c>
      <c r="G2017" s="396">
        <v>0</v>
      </c>
      <c r="H2017" s="370" t="s">
        <v>982</v>
      </c>
      <c r="I2017" s="347" t="s">
        <v>1303</v>
      </c>
      <c r="K2017" s="370"/>
      <c r="N2017" s="370"/>
    </row>
    <row r="2018" spans="1:14" s="347" customFormat="1" x14ac:dyDescent="0.25">
      <c r="A2018" s="369">
        <v>44316</v>
      </c>
      <c r="B2018" s="340">
        <f t="shared" ref="B2018:B2037" si="18">+MONTH(A2018)</f>
        <v>4</v>
      </c>
      <c r="C2018" s="347">
        <v>142</v>
      </c>
      <c r="D2018" s="340" t="str">
        <f>VLOOKUP(C2018,Plan!A$1:B$65542,2,0)</f>
        <v>Cuentas por Cobrar a CALI (Colectas)</v>
      </c>
      <c r="E2018" s="341">
        <f t="shared" ref="E2018:E2026" si="19">+F2018-G2018</f>
        <v>20000</v>
      </c>
      <c r="F2018" s="347">
        <v>20000</v>
      </c>
      <c r="G2018" s="396">
        <v>0</v>
      </c>
      <c r="H2018" s="370" t="s">
        <v>1046</v>
      </c>
      <c r="I2018" s="347" t="s">
        <v>1303</v>
      </c>
      <c r="K2018" s="370"/>
      <c r="N2018" s="370"/>
    </row>
    <row r="2019" spans="1:14" s="347" customFormat="1" x14ac:dyDescent="0.25">
      <c r="A2019" s="369">
        <v>44316</v>
      </c>
      <c r="B2019" s="340">
        <f t="shared" si="18"/>
        <v>4</v>
      </c>
      <c r="C2019" s="347">
        <v>142</v>
      </c>
      <c r="D2019" s="340" t="str">
        <f>VLOOKUP(C2019,Plan!A$1:B$65542,2,0)</f>
        <v>Cuentas por Cobrar a CALI (Colectas)</v>
      </c>
      <c r="E2019" s="341">
        <f t="shared" si="19"/>
        <v>5000</v>
      </c>
      <c r="F2019" s="347">
        <v>5000</v>
      </c>
      <c r="G2019" s="396">
        <v>0</v>
      </c>
      <c r="H2019" s="370" t="s">
        <v>1081</v>
      </c>
      <c r="I2019" s="347" t="s">
        <v>1303</v>
      </c>
      <c r="K2019" s="370"/>
      <c r="N2019" s="370"/>
    </row>
    <row r="2020" spans="1:14" s="347" customFormat="1" x14ac:dyDescent="0.25">
      <c r="A2020" s="369">
        <v>44316</v>
      </c>
      <c r="B2020" s="340">
        <f t="shared" si="18"/>
        <v>4</v>
      </c>
      <c r="C2020" s="347">
        <v>142</v>
      </c>
      <c r="D2020" s="340" t="str">
        <f>VLOOKUP(C2020,Plan!A$1:B$65542,2,0)</f>
        <v>Cuentas por Cobrar a CALI (Colectas)</v>
      </c>
      <c r="E2020" s="341">
        <f t="shared" si="19"/>
        <v>20000</v>
      </c>
      <c r="F2020" s="347">
        <v>20000</v>
      </c>
      <c r="G2020" s="396">
        <v>0</v>
      </c>
      <c r="H2020" s="370" t="s">
        <v>971</v>
      </c>
      <c r="I2020" s="347" t="s">
        <v>1303</v>
      </c>
      <c r="N2020" s="370"/>
    </row>
    <row r="2021" spans="1:14" s="347" customFormat="1" x14ac:dyDescent="0.25">
      <c r="A2021" s="369">
        <v>44316</v>
      </c>
      <c r="B2021" s="340">
        <f t="shared" si="18"/>
        <v>4</v>
      </c>
      <c r="C2021" s="347">
        <v>142</v>
      </c>
      <c r="D2021" s="340" t="str">
        <f>VLOOKUP(C2021,Plan!A$1:B$65542,2,0)</f>
        <v>Cuentas por Cobrar a CALI (Colectas)</v>
      </c>
      <c r="E2021" s="341">
        <f t="shared" si="19"/>
        <v>7000</v>
      </c>
      <c r="F2021" s="347">
        <v>7000</v>
      </c>
      <c r="G2021" s="396">
        <v>0</v>
      </c>
      <c r="H2021" s="370" t="s">
        <v>1010</v>
      </c>
      <c r="I2021" s="347" t="s">
        <v>1303</v>
      </c>
      <c r="N2021" s="370"/>
    </row>
    <row r="2022" spans="1:14" s="347" customFormat="1" x14ac:dyDescent="0.25">
      <c r="A2022" s="369">
        <v>44316</v>
      </c>
      <c r="B2022" s="340">
        <f t="shared" si="18"/>
        <v>4</v>
      </c>
      <c r="C2022" s="347">
        <v>142</v>
      </c>
      <c r="D2022" s="340" t="str">
        <f>VLOOKUP(C2022,Plan!A$1:B$65542,2,0)</f>
        <v>Cuentas por Cobrar a CALI (Colectas)</v>
      </c>
      <c r="E2022" s="341">
        <f t="shared" si="19"/>
        <v>30000</v>
      </c>
      <c r="F2022" s="347">
        <v>30000</v>
      </c>
      <c r="G2022" s="396">
        <v>0</v>
      </c>
      <c r="H2022" s="370" t="s">
        <v>1683</v>
      </c>
      <c r="I2022" s="347" t="s">
        <v>1303</v>
      </c>
      <c r="N2022" s="370"/>
    </row>
    <row r="2023" spans="1:14" s="347" customFormat="1" x14ac:dyDescent="0.25">
      <c r="A2023" s="369">
        <v>44316</v>
      </c>
      <c r="B2023" s="340">
        <f t="shared" si="18"/>
        <v>4</v>
      </c>
      <c r="C2023" s="347">
        <v>142</v>
      </c>
      <c r="D2023" s="340" t="str">
        <f>VLOOKUP(C2023,Plan!A$1:B$65542,2,0)</f>
        <v>Cuentas por Cobrar a CALI (Colectas)</v>
      </c>
      <c r="E2023" s="341">
        <f t="shared" si="19"/>
        <v>46</v>
      </c>
      <c r="F2023" s="347">
        <v>46</v>
      </c>
      <c r="G2023" s="396">
        <v>0</v>
      </c>
      <c r="H2023" s="370" t="s">
        <v>1217</v>
      </c>
      <c r="I2023" s="347" t="s">
        <v>1303</v>
      </c>
      <c r="N2023" s="370"/>
    </row>
    <row r="2024" spans="1:14" s="347" customFormat="1" x14ac:dyDescent="0.25">
      <c r="A2024" s="369">
        <v>44316</v>
      </c>
      <c r="B2024" s="340">
        <f t="shared" si="18"/>
        <v>4</v>
      </c>
      <c r="C2024" s="347">
        <v>142</v>
      </c>
      <c r="D2024" s="340" t="str">
        <f>VLOOKUP(C2024,Plan!A$1:B$65542,2,0)</f>
        <v>Cuentas por Cobrar a CALI (Colectas)</v>
      </c>
      <c r="E2024" s="341">
        <f t="shared" si="19"/>
        <v>40000</v>
      </c>
      <c r="F2024" s="347">
        <v>40000</v>
      </c>
      <c r="G2024" s="396">
        <v>0</v>
      </c>
      <c r="H2024" s="370" t="s">
        <v>1694</v>
      </c>
      <c r="I2024" s="347" t="s">
        <v>1303</v>
      </c>
      <c r="N2024" s="370"/>
    </row>
    <row r="2025" spans="1:14" s="347" customFormat="1" x14ac:dyDescent="0.25">
      <c r="A2025" s="369">
        <v>44316</v>
      </c>
      <c r="B2025" s="340">
        <f t="shared" si="18"/>
        <v>4</v>
      </c>
      <c r="C2025" s="347">
        <v>142</v>
      </c>
      <c r="D2025" s="340" t="str">
        <f>VLOOKUP(C2025,Plan!A$1:B$65542,2,0)</f>
        <v>Cuentas por Cobrar a CALI (Colectas)</v>
      </c>
      <c r="E2025" s="341">
        <f t="shared" si="19"/>
        <v>50000</v>
      </c>
      <c r="F2025" s="347">
        <v>50000</v>
      </c>
      <c r="G2025" s="396">
        <v>0</v>
      </c>
      <c r="H2025" s="370" t="s">
        <v>1704</v>
      </c>
      <c r="I2025" s="347" t="s">
        <v>1303</v>
      </c>
      <c r="N2025" s="370"/>
    </row>
    <row r="2026" spans="1:14" s="347" customFormat="1" x14ac:dyDescent="0.25">
      <c r="A2026" s="369">
        <v>44316</v>
      </c>
      <c r="B2026" s="340">
        <f>+MONTH(A2026)</f>
        <v>4</v>
      </c>
      <c r="C2026" s="347">
        <v>3110</v>
      </c>
      <c r="D2026" s="340" t="str">
        <f>VLOOKUP(C2026,Plan!A$1:B$65542,2,0)</f>
        <v>Colectas Normales</v>
      </c>
      <c r="E2026" s="341">
        <f t="shared" si="19"/>
        <v>-12000</v>
      </c>
      <c r="F2026" s="347">
        <v>0</v>
      </c>
      <c r="G2026" s="347">
        <v>12000</v>
      </c>
      <c r="H2026" s="370" t="s">
        <v>982</v>
      </c>
      <c r="I2026" s="347" t="s">
        <v>1303</v>
      </c>
      <c r="N2026" s="370"/>
    </row>
    <row r="2027" spans="1:14" s="347" customFormat="1" x14ac:dyDescent="0.25">
      <c r="A2027" s="369">
        <v>44316</v>
      </c>
      <c r="B2027" s="340">
        <f t="shared" si="18"/>
        <v>4</v>
      </c>
      <c r="C2027" s="347">
        <v>3110</v>
      </c>
      <c r="D2027" s="340" t="str">
        <f>VLOOKUP(C2027,Plan!A$1:B$65542,2,0)</f>
        <v>Colectas Normales</v>
      </c>
      <c r="E2027" s="341">
        <f t="shared" ref="E2027:E2034" si="20">+F2027-G2027</f>
        <v>-20000</v>
      </c>
      <c r="F2027" s="398">
        <v>0</v>
      </c>
      <c r="G2027" s="347">
        <v>20000</v>
      </c>
      <c r="H2027" s="370" t="s">
        <v>1046</v>
      </c>
      <c r="I2027" s="347" t="s">
        <v>1303</v>
      </c>
      <c r="N2027" s="370"/>
    </row>
    <row r="2028" spans="1:14" s="347" customFormat="1" x14ac:dyDescent="0.25">
      <c r="A2028" s="369">
        <v>44316</v>
      </c>
      <c r="B2028" s="340">
        <f t="shared" si="18"/>
        <v>4</v>
      </c>
      <c r="C2028" s="347">
        <v>3110</v>
      </c>
      <c r="D2028" s="340" t="str">
        <f>VLOOKUP(C2028,Plan!A$1:B$65542,2,0)</f>
        <v>Colectas Normales</v>
      </c>
      <c r="E2028" s="341">
        <f t="shared" si="20"/>
        <v>-5000</v>
      </c>
      <c r="F2028" s="347">
        <v>0</v>
      </c>
      <c r="G2028" s="347">
        <v>5000</v>
      </c>
      <c r="H2028" s="370" t="s">
        <v>1081</v>
      </c>
      <c r="I2028" s="347" t="s">
        <v>1303</v>
      </c>
      <c r="N2028" s="370"/>
    </row>
    <row r="2029" spans="1:14" s="347" customFormat="1" x14ac:dyDescent="0.25">
      <c r="A2029" s="369">
        <v>44316</v>
      </c>
      <c r="B2029" s="340">
        <f t="shared" si="18"/>
        <v>4</v>
      </c>
      <c r="C2029" s="347">
        <v>3110</v>
      </c>
      <c r="D2029" s="340" t="str">
        <f>VLOOKUP(C2029,Plan!A$1:B$65542,2,0)</f>
        <v>Colectas Normales</v>
      </c>
      <c r="E2029" s="341">
        <f t="shared" si="20"/>
        <v>-20000</v>
      </c>
      <c r="F2029" s="347">
        <v>0</v>
      </c>
      <c r="G2029" s="347">
        <v>20000</v>
      </c>
      <c r="H2029" s="370" t="s">
        <v>971</v>
      </c>
      <c r="I2029" s="347" t="s">
        <v>1303</v>
      </c>
      <c r="K2029" s="370"/>
      <c r="N2029" s="370"/>
    </row>
    <row r="2030" spans="1:14" s="347" customFormat="1" x14ac:dyDescent="0.25">
      <c r="A2030" s="369">
        <v>44316</v>
      </c>
      <c r="B2030" s="340">
        <f t="shared" si="18"/>
        <v>4</v>
      </c>
      <c r="C2030" s="347">
        <v>3110</v>
      </c>
      <c r="D2030" s="340" t="str">
        <f>VLOOKUP(C2030,Plan!A$1:B$65542,2,0)</f>
        <v>Colectas Normales</v>
      </c>
      <c r="E2030" s="341">
        <f t="shared" si="20"/>
        <v>-7000</v>
      </c>
      <c r="F2030" s="347">
        <v>0</v>
      </c>
      <c r="G2030" s="347">
        <v>7000</v>
      </c>
      <c r="H2030" s="370" t="s">
        <v>1010</v>
      </c>
      <c r="I2030" s="347" t="s">
        <v>1303</v>
      </c>
      <c r="K2030" s="370"/>
      <c r="N2030" s="370"/>
    </row>
    <row r="2031" spans="1:14" s="347" customFormat="1" x14ac:dyDescent="0.25">
      <c r="A2031" s="369">
        <v>44316</v>
      </c>
      <c r="B2031" s="340">
        <f t="shared" si="18"/>
        <v>4</v>
      </c>
      <c r="C2031" s="347">
        <v>3110</v>
      </c>
      <c r="D2031" s="340" t="str">
        <f>VLOOKUP(C2031,Plan!A$1:B$65542,2,0)</f>
        <v>Colectas Normales</v>
      </c>
      <c r="E2031" s="341">
        <f t="shared" si="20"/>
        <v>-30000</v>
      </c>
      <c r="F2031" s="347">
        <v>0</v>
      </c>
      <c r="G2031" s="347">
        <v>30000</v>
      </c>
      <c r="H2031" s="370" t="s">
        <v>1683</v>
      </c>
      <c r="I2031" s="347" t="s">
        <v>1303</v>
      </c>
      <c r="K2031" s="370"/>
      <c r="N2031" s="370"/>
    </row>
    <row r="2032" spans="1:14" s="347" customFormat="1" x14ac:dyDescent="0.25">
      <c r="A2032" s="369">
        <v>44316</v>
      </c>
      <c r="B2032" s="340">
        <f t="shared" si="18"/>
        <v>4</v>
      </c>
      <c r="C2032" s="347">
        <v>3110</v>
      </c>
      <c r="D2032" s="340" t="str">
        <f>VLOOKUP(C2032,Plan!A$1:B$65542,2,0)</f>
        <v>Colectas Normales</v>
      </c>
      <c r="E2032" s="341">
        <f t="shared" si="20"/>
        <v>-46</v>
      </c>
      <c r="F2032" s="347">
        <v>0</v>
      </c>
      <c r="G2032" s="347">
        <v>46</v>
      </c>
      <c r="H2032" s="370" t="s">
        <v>1217</v>
      </c>
      <c r="I2032" s="347" t="s">
        <v>1303</v>
      </c>
      <c r="K2032" s="370"/>
      <c r="N2032" s="370"/>
    </row>
    <row r="2033" spans="1:14" s="347" customFormat="1" x14ac:dyDescent="0.25">
      <c r="A2033" s="369">
        <v>44316</v>
      </c>
      <c r="B2033" s="340">
        <f t="shared" si="18"/>
        <v>4</v>
      </c>
      <c r="C2033" s="347">
        <v>3110</v>
      </c>
      <c r="D2033" s="340" t="str">
        <f>VLOOKUP(C2033,Plan!A$1:B$65542,2,0)</f>
        <v>Colectas Normales</v>
      </c>
      <c r="E2033" s="341">
        <f t="shared" si="20"/>
        <v>-40000</v>
      </c>
      <c r="F2033" s="347">
        <v>0</v>
      </c>
      <c r="G2033" s="347">
        <v>40000</v>
      </c>
      <c r="H2033" s="370" t="s">
        <v>1694</v>
      </c>
      <c r="I2033" s="347" t="s">
        <v>1303</v>
      </c>
      <c r="K2033" s="370"/>
      <c r="N2033" s="370"/>
    </row>
    <row r="2034" spans="1:14" s="347" customFormat="1" x14ac:dyDescent="0.25">
      <c r="A2034" s="369">
        <v>44316</v>
      </c>
      <c r="B2034" s="340">
        <f t="shared" si="18"/>
        <v>4</v>
      </c>
      <c r="C2034" s="347">
        <v>3110</v>
      </c>
      <c r="D2034" s="340" t="str">
        <f>VLOOKUP(C2034,Plan!A$1:B$65542,2,0)</f>
        <v>Colectas Normales</v>
      </c>
      <c r="E2034" s="341">
        <f t="shared" si="20"/>
        <v>-50000</v>
      </c>
      <c r="F2034" s="347">
        <v>0</v>
      </c>
      <c r="G2034" s="347">
        <v>50000</v>
      </c>
      <c r="H2034" s="370" t="s">
        <v>1704</v>
      </c>
      <c r="I2034" s="347" t="s">
        <v>1303</v>
      </c>
      <c r="K2034" s="370"/>
      <c r="N2034" s="370"/>
    </row>
    <row r="2035" spans="1:14" s="347" customFormat="1" x14ac:dyDescent="0.25">
      <c r="A2035" s="369"/>
      <c r="D2035" s="340"/>
      <c r="E2035" s="396"/>
      <c r="F2035" s="396"/>
      <c r="G2035" s="396"/>
      <c r="K2035" s="370"/>
      <c r="N2035" s="370"/>
    </row>
    <row r="2036" spans="1:14" s="347" customFormat="1" x14ac:dyDescent="0.25">
      <c r="A2036" s="369">
        <v>44316</v>
      </c>
      <c r="B2036" s="340">
        <f t="shared" si="18"/>
        <v>4</v>
      </c>
      <c r="C2036" s="347">
        <v>143</v>
      </c>
      <c r="D2036" s="340" t="str">
        <f>VLOOKUP(C2036,Plan!A$1:B$65542,2,0)</f>
        <v>Cuentas por Cobrar a CALI (Canastas)</v>
      </c>
      <c r="E2036" s="341">
        <f>+F2036-G2036</f>
        <v>20000</v>
      </c>
      <c r="F2036" s="347">
        <v>20000</v>
      </c>
      <c r="G2036" s="347">
        <v>0</v>
      </c>
      <c r="H2036" t="s">
        <v>1686</v>
      </c>
      <c r="I2036" s="347" t="s">
        <v>1303</v>
      </c>
      <c r="K2036" s="370"/>
      <c r="N2036" s="370"/>
    </row>
    <row r="2037" spans="1:14" s="347" customFormat="1" x14ac:dyDescent="0.25">
      <c r="A2037" s="369">
        <v>44316</v>
      </c>
      <c r="B2037" s="340">
        <f t="shared" si="18"/>
        <v>4</v>
      </c>
      <c r="C2037" s="347">
        <v>3450</v>
      </c>
      <c r="D2037" s="340" t="str">
        <f>VLOOKUP(C2037,Plan!A$1:B$65542,2,0)</f>
        <v>Pastoral Social</v>
      </c>
      <c r="E2037" s="341">
        <f>+F2037-G2037</f>
        <v>-20000</v>
      </c>
      <c r="F2037" s="347">
        <v>0</v>
      </c>
      <c r="G2037" s="347">
        <f>+F2036</f>
        <v>20000</v>
      </c>
      <c r="H2037" t="s">
        <v>1686</v>
      </c>
      <c r="I2037" s="347" t="s">
        <v>1303</v>
      </c>
      <c r="K2037" s="370"/>
      <c r="N2037" s="370"/>
    </row>
    <row r="2038" spans="1:14" s="347" customFormat="1" x14ac:dyDescent="0.25">
      <c r="A2038" s="369"/>
      <c r="D2038" s="340"/>
      <c r="E2038" s="396"/>
      <c r="F2038" s="396"/>
      <c r="G2038" s="396"/>
      <c r="K2038" s="370"/>
      <c r="N2038" s="370"/>
    </row>
    <row r="2039" spans="1:14" s="347" customFormat="1" x14ac:dyDescent="0.25">
      <c r="A2039" s="369">
        <v>44319</v>
      </c>
      <c r="B2039" s="340">
        <f>+MONTH(A2039)</f>
        <v>5</v>
      </c>
      <c r="C2039" s="347">
        <v>110</v>
      </c>
      <c r="D2039" s="340" t="str">
        <f>VLOOKUP(C2039,Plan!A$1:B$65542,2,0)</f>
        <v>Disponible Administración</v>
      </c>
      <c r="E2039" s="341">
        <f>+F2039-G2039</f>
        <v>100000</v>
      </c>
      <c r="F2039" s="396">
        <v>100000</v>
      </c>
      <c r="G2039" s="396">
        <v>0</v>
      </c>
      <c r="H2039" t="s">
        <v>1420</v>
      </c>
      <c r="I2039" s="347" t="s">
        <v>1303</v>
      </c>
      <c r="K2039" s="370"/>
      <c r="N2039" s="370"/>
    </row>
    <row r="2040" spans="1:14" s="347" customFormat="1" x14ac:dyDescent="0.25">
      <c r="A2040" s="369">
        <f>+A2039</f>
        <v>44319</v>
      </c>
      <c r="B2040" s="347">
        <f>+B2039</f>
        <v>5</v>
      </c>
      <c r="C2040" s="347">
        <v>3450</v>
      </c>
      <c r="D2040" s="340" t="str">
        <f>VLOOKUP(C2040,Plan!A$1:B$65542,2,0)</f>
        <v>Pastoral Social</v>
      </c>
      <c r="E2040" s="396">
        <f>-G2040</f>
        <v>-100000</v>
      </c>
      <c r="F2040" s="396">
        <v>0</v>
      </c>
      <c r="G2040" s="396">
        <f>+F2039</f>
        <v>100000</v>
      </c>
      <c r="H2040" s="347" t="str">
        <f>+H2039</f>
        <v>Canastas Jaime Carafí Melero</v>
      </c>
      <c r="I2040" s="347" t="s">
        <v>1303</v>
      </c>
      <c r="K2040" s="370"/>
      <c r="N2040" s="370"/>
    </row>
    <row r="2041" spans="1:14" s="347" customFormat="1" x14ac:dyDescent="0.25">
      <c r="A2041" s="369"/>
      <c r="E2041" s="396"/>
      <c r="F2041" s="396"/>
      <c r="G2041" s="396"/>
      <c r="K2041" s="370"/>
      <c r="N2041" s="370"/>
    </row>
    <row r="2042" spans="1:14" s="347" customFormat="1" x14ac:dyDescent="0.25">
      <c r="A2042" s="369">
        <v>44319</v>
      </c>
      <c r="B2042" s="340">
        <f>+MONTH(A2042)</f>
        <v>5</v>
      </c>
      <c r="C2042" s="347">
        <v>110</v>
      </c>
      <c r="D2042" s="340" t="str">
        <f>VLOOKUP(C2042,Plan!A$1:B$65542,2,0)</f>
        <v>Disponible Administración</v>
      </c>
      <c r="E2042" s="341">
        <f>+F2042-G2042</f>
        <v>5000</v>
      </c>
      <c r="F2042" s="396">
        <v>5000</v>
      </c>
      <c r="G2042" s="396">
        <v>0</v>
      </c>
      <c r="H2042" t="s">
        <v>1310</v>
      </c>
      <c r="I2042" s="347" t="s">
        <v>1303</v>
      </c>
      <c r="K2042" s="370"/>
      <c r="N2042" s="370"/>
    </row>
    <row r="2043" spans="1:14" s="347" customFormat="1" x14ac:dyDescent="0.25">
      <c r="A2043" s="369">
        <f>+A2042</f>
        <v>44319</v>
      </c>
      <c r="B2043" s="347">
        <f>+B2042</f>
        <v>5</v>
      </c>
      <c r="C2043" s="347">
        <v>3340</v>
      </c>
      <c r="D2043" s="340" t="str">
        <f>VLOOKUP(C2043,Plan!A$1:B$65542,2,0)</f>
        <v>Misas</v>
      </c>
      <c r="E2043" s="396">
        <f>-G2043</f>
        <v>-5000</v>
      </c>
      <c r="F2043" s="396">
        <v>0</v>
      </c>
      <c r="G2043" s="396">
        <f>+F2042</f>
        <v>5000</v>
      </c>
      <c r="H2043" s="347" t="str">
        <f>+H2042</f>
        <v>Misa Veronica Rojas</v>
      </c>
      <c r="I2043" s="347" t="s">
        <v>1303</v>
      </c>
      <c r="K2043" s="370"/>
      <c r="N2043" s="370"/>
    </row>
    <row r="2044" spans="1:14" s="347" customFormat="1" x14ac:dyDescent="0.25">
      <c r="A2044" s="369"/>
      <c r="E2044" s="396"/>
      <c r="F2044" s="396"/>
      <c r="G2044" s="396"/>
      <c r="K2044" s="370"/>
      <c r="N2044" s="370"/>
    </row>
    <row r="2045" spans="1:14" s="347" customFormat="1" x14ac:dyDescent="0.25">
      <c r="A2045" s="369">
        <v>44319</v>
      </c>
      <c r="B2045" s="340">
        <f>+MONTH(A2045)</f>
        <v>5</v>
      </c>
      <c r="C2045" s="347">
        <v>110</v>
      </c>
      <c r="D2045" s="340" t="str">
        <f>VLOOKUP(C2045,Plan!A$1:B$65542,2,0)</f>
        <v>Disponible Administración</v>
      </c>
      <c r="E2045" s="341">
        <f>+F2045-G2045</f>
        <v>20000</v>
      </c>
      <c r="F2045" s="396">
        <v>20000</v>
      </c>
      <c r="G2045" s="396">
        <v>0</v>
      </c>
      <c r="H2045" t="s">
        <v>926</v>
      </c>
      <c r="I2045" s="347" t="s">
        <v>1303</v>
      </c>
      <c r="K2045" s="370"/>
      <c r="N2045" s="370"/>
    </row>
    <row r="2046" spans="1:14" s="347" customFormat="1" x14ac:dyDescent="0.25">
      <c r="A2046" s="369">
        <f>+A2045</f>
        <v>44319</v>
      </c>
      <c r="B2046" s="347">
        <f>+B2045</f>
        <v>5</v>
      </c>
      <c r="C2046" s="347">
        <v>3110</v>
      </c>
      <c r="D2046" s="340" t="str">
        <f>VLOOKUP(C2046,Plan!A$1:B$65542,2,0)</f>
        <v>Colectas Normales</v>
      </c>
      <c r="E2046" s="396">
        <f>-G2046</f>
        <v>-20000</v>
      </c>
      <c r="F2046" s="396">
        <v>0</v>
      </c>
      <c r="G2046" s="396">
        <f>+F2045</f>
        <v>20000</v>
      </c>
      <c r="H2046" s="347" t="str">
        <f>+H2045</f>
        <v>Colecta Rodrigo Eduardo Duran Cuinas</v>
      </c>
      <c r="I2046" s="347" t="s">
        <v>1303</v>
      </c>
      <c r="K2046" s="370"/>
      <c r="N2046" s="370"/>
    </row>
    <row r="2047" spans="1:14" s="347" customFormat="1" x14ac:dyDescent="0.25">
      <c r="A2047" s="369"/>
      <c r="E2047" s="396"/>
      <c r="F2047" s="396"/>
      <c r="G2047" s="396"/>
      <c r="K2047" s="370"/>
      <c r="N2047" s="370"/>
    </row>
    <row r="2048" spans="1:14" s="347" customFormat="1" x14ac:dyDescent="0.25">
      <c r="A2048" s="369">
        <v>44319</v>
      </c>
      <c r="B2048" s="340">
        <f>+MONTH(A2048)</f>
        <v>5</v>
      </c>
      <c r="C2048" s="347">
        <v>110</v>
      </c>
      <c r="D2048" s="340" t="str">
        <f>VLOOKUP(C2048,Plan!A$1:B$65542,2,0)</f>
        <v>Disponible Administración</v>
      </c>
      <c r="E2048" s="341">
        <f>+F2048-G2048</f>
        <v>100000</v>
      </c>
      <c r="F2048" s="396">
        <v>100000</v>
      </c>
      <c r="G2048" s="396">
        <v>0</v>
      </c>
      <c r="H2048" t="s">
        <v>887</v>
      </c>
      <c r="I2048" s="347" t="s">
        <v>1303</v>
      </c>
      <c r="K2048" s="370"/>
      <c r="N2048" s="370"/>
    </row>
    <row r="2049" spans="1:14" s="347" customFormat="1" x14ac:dyDescent="0.25">
      <c r="A2049" s="369">
        <f>+A2048</f>
        <v>44319</v>
      </c>
      <c r="B2049" s="347">
        <f>+B2048</f>
        <v>5</v>
      </c>
      <c r="C2049" s="347">
        <v>3110</v>
      </c>
      <c r="D2049" s="340" t="str">
        <f>VLOOKUP(C2049,Plan!A$1:B$65542,2,0)</f>
        <v>Colectas Normales</v>
      </c>
      <c r="E2049" s="396">
        <f>-G2049</f>
        <v>-100000</v>
      </c>
      <c r="F2049" s="396">
        <v>0</v>
      </c>
      <c r="G2049" s="396">
        <f>+F2048</f>
        <v>100000</v>
      </c>
      <c r="H2049" s="347" t="str">
        <f>+H2048</f>
        <v>Colecta Fernando Varela</v>
      </c>
      <c r="I2049" s="347" t="s">
        <v>1303</v>
      </c>
      <c r="K2049" s="370"/>
      <c r="N2049" s="370"/>
    </row>
    <row r="2050" spans="1:14" s="347" customFormat="1" x14ac:dyDescent="0.25">
      <c r="A2050" s="369"/>
      <c r="E2050" s="396"/>
      <c r="F2050" s="396"/>
      <c r="G2050" s="396"/>
      <c r="K2050" s="370"/>
      <c r="N2050" s="370"/>
    </row>
    <row r="2051" spans="1:14" s="347" customFormat="1" x14ac:dyDescent="0.25">
      <c r="A2051" s="369">
        <v>44319</v>
      </c>
      <c r="B2051" s="340">
        <f>+MONTH(A2051)</f>
        <v>5</v>
      </c>
      <c r="C2051" s="347">
        <v>110</v>
      </c>
      <c r="D2051" s="340" t="str">
        <f>VLOOKUP(C2051,Plan!A$1:B$65542,2,0)</f>
        <v>Disponible Administración</v>
      </c>
      <c r="E2051" s="341">
        <f>+F2051-G2051</f>
        <v>12000</v>
      </c>
      <c r="F2051" s="396">
        <v>12000</v>
      </c>
      <c r="G2051" s="396">
        <v>0</v>
      </c>
      <c r="H2051" t="s">
        <v>1163</v>
      </c>
      <c r="I2051" s="347" t="s">
        <v>1303</v>
      </c>
      <c r="K2051" s="370"/>
      <c r="N2051" s="370"/>
    </row>
    <row r="2052" spans="1:14" s="347" customFormat="1" x14ac:dyDescent="0.25">
      <c r="A2052" s="369">
        <f>+A2051</f>
        <v>44319</v>
      </c>
      <c r="B2052" s="347">
        <f>+B2051</f>
        <v>5</v>
      </c>
      <c r="C2052" s="347">
        <v>3110</v>
      </c>
      <c r="D2052" s="340" t="str">
        <f>VLOOKUP(C2052,Plan!A$1:B$65542,2,0)</f>
        <v>Colectas Normales</v>
      </c>
      <c r="E2052" s="396">
        <f>-G2052</f>
        <v>-12000</v>
      </c>
      <c r="F2052" s="396">
        <v>0</v>
      </c>
      <c r="G2052" s="396">
        <f>+F2051</f>
        <v>12000</v>
      </c>
      <c r="H2052" s="347" t="str">
        <f>+H2051</f>
        <v>Colecta Ricardo Cañas Cambiaso</v>
      </c>
      <c r="I2052" s="347" t="s">
        <v>1303</v>
      </c>
      <c r="K2052" s="370"/>
      <c r="N2052" s="370"/>
    </row>
    <row r="2053" spans="1:14" s="347" customFormat="1" x14ac:dyDescent="0.25">
      <c r="A2053" s="369"/>
      <c r="E2053" s="396"/>
      <c r="F2053" s="396"/>
      <c r="G2053" s="396"/>
      <c r="K2053" s="370"/>
      <c r="N2053" s="370"/>
    </row>
    <row r="2054" spans="1:14" s="347" customFormat="1" x14ac:dyDescent="0.25">
      <c r="A2054" s="369">
        <v>44319</v>
      </c>
      <c r="B2054" s="340">
        <f>+MONTH(A2054)</f>
        <v>5</v>
      </c>
      <c r="C2054" s="347">
        <v>110</v>
      </c>
      <c r="D2054" s="340" t="str">
        <f>VLOOKUP(C2054,Plan!A$1:B$65542,2,0)</f>
        <v>Disponible Administración</v>
      </c>
      <c r="E2054" s="341">
        <f>+F2054-G2054</f>
        <v>70000</v>
      </c>
      <c r="F2054" s="396">
        <v>70000</v>
      </c>
      <c r="G2054" s="396">
        <v>0</v>
      </c>
      <c r="H2054" t="s">
        <v>1323</v>
      </c>
      <c r="I2054" s="347" t="s">
        <v>1303</v>
      </c>
      <c r="K2054" s="370"/>
      <c r="N2054" s="370"/>
    </row>
    <row r="2055" spans="1:14" s="347" customFormat="1" x14ac:dyDescent="0.25">
      <c r="A2055" s="369">
        <f>+A2054</f>
        <v>44319</v>
      </c>
      <c r="B2055" s="347">
        <f>+B2054</f>
        <v>5</v>
      </c>
      <c r="C2055" s="347">
        <v>3110</v>
      </c>
      <c r="D2055" s="340" t="str">
        <f>VLOOKUP(C2055,Plan!A$1:B$65542,2,0)</f>
        <v>Colectas Normales</v>
      </c>
      <c r="E2055" s="396">
        <f>-G2055</f>
        <v>-70000</v>
      </c>
      <c r="F2055" s="396">
        <v>0</v>
      </c>
      <c r="G2055" s="396">
        <f>+F2054</f>
        <v>70000</v>
      </c>
      <c r="H2055" s="347" t="str">
        <f>+H2054</f>
        <v>Colecta Giorgo Sertsios</v>
      </c>
      <c r="I2055" s="347" t="s">
        <v>1303</v>
      </c>
      <c r="K2055" s="370"/>
      <c r="N2055" s="370"/>
    </row>
    <row r="2056" spans="1:14" s="347" customFormat="1" x14ac:dyDescent="0.25">
      <c r="A2056" s="369"/>
      <c r="E2056" s="396"/>
      <c r="F2056" s="396"/>
      <c r="G2056" s="396"/>
      <c r="K2056" s="370"/>
      <c r="N2056" s="370"/>
    </row>
    <row r="2057" spans="1:14" s="347" customFormat="1" x14ac:dyDescent="0.25">
      <c r="A2057" s="369">
        <v>44319</v>
      </c>
      <c r="B2057" s="340">
        <f>+MONTH(A2057)</f>
        <v>5</v>
      </c>
      <c r="C2057" s="347">
        <v>110</v>
      </c>
      <c r="D2057" s="340" t="str">
        <f>VLOOKUP(C2057,Plan!A$1:B$65542,2,0)</f>
        <v>Disponible Administración</v>
      </c>
      <c r="E2057" s="341">
        <f>+F2057-G2057</f>
        <v>40000</v>
      </c>
      <c r="F2057" s="396">
        <v>40000</v>
      </c>
      <c r="G2057" s="396">
        <v>0</v>
      </c>
      <c r="H2057" t="s">
        <v>1421</v>
      </c>
      <c r="I2057" s="347" t="s">
        <v>1303</v>
      </c>
      <c r="K2057" s="370"/>
      <c r="N2057" s="370"/>
    </row>
    <row r="2058" spans="1:14" s="347" customFormat="1" x14ac:dyDescent="0.25">
      <c r="A2058" s="369">
        <f>+A2057</f>
        <v>44319</v>
      </c>
      <c r="B2058" s="347">
        <f>+B2057</f>
        <v>5</v>
      </c>
      <c r="C2058" s="347">
        <v>3110</v>
      </c>
      <c r="D2058" s="340" t="str">
        <f>VLOOKUP(C2058,Plan!A$1:B$65542,2,0)</f>
        <v>Colectas Normales</v>
      </c>
      <c r="E2058" s="396">
        <f>-G2058</f>
        <v>-40000</v>
      </c>
      <c r="F2058" s="396">
        <v>0</v>
      </c>
      <c r="G2058" s="396">
        <f>+F2057</f>
        <v>40000</v>
      </c>
      <c r="H2058" s="347" t="str">
        <f>+H2057</f>
        <v>Colecta Maria del Pilar Ríos D.</v>
      </c>
      <c r="I2058" s="347" t="s">
        <v>1303</v>
      </c>
      <c r="K2058" s="370"/>
      <c r="N2058" s="370"/>
    </row>
    <row r="2059" spans="1:14" s="347" customFormat="1" x14ac:dyDescent="0.25">
      <c r="A2059" s="369"/>
      <c r="E2059" s="396"/>
      <c r="F2059" s="396"/>
      <c r="G2059" s="396"/>
      <c r="K2059" s="370"/>
      <c r="N2059" s="370"/>
    </row>
    <row r="2060" spans="1:14" s="347" customFormat="1" x14ac:dyDescent="0.25">
      <c r="A2060" s="369">
        <v>44319</v>
      </c>
      <c r="B2060" s="340">
        <f>+MONTH(A2060)</f>
        <v>5</v>
      </c>
      <c r="C2060" s="347">
        <v>110</v>
      </c>
      <c r="D2060" s="340" t="str">
        <f>VLOOKUP(C2060,Plan!A$1:B$65542,2,0)</f>
        <v>Disponible Administración</v>
      </c>
      <c r="E2060" s="341">
        <f>+F2060-G2060</f>
        <v>30000</v>
      </c>
      <c r="F2060" s="396">
        <v>30000</v>
      </c>
      <c r="G2060" s="396">
        <v>0</v>
      </c>
      <c r="H2060" t="s">
        <v>1421</v>
      </c>
      <c r="I2060" s="347" t="s">
        <v>1303</v>
      </c>
      <c r="K2060" s="370"/>
      <c r="N2060" s="370"/>
    </row>
    <row r="2061" spans="1:14" s="347" customFormat="1" x14ac:dyDescent="0.25">
      <c r="A2061" s="369">
        <f>+A2060</f>
        <v>44319</v>
      </c>
      <c r="B2061" s="347">
        <f>+B2060</f>
        <v>5</v>
      </c>
      <c r="C2061" s="347">
        <v>3110</v>
      </c>
      <c r="D2061" s="340" t="str">
        <f>VLOOKUP(C2061,Plan!A$1:B$65542,2,0)</f>
        <v>Colectas Normales</v>
      </c>
      <c r="E2061" s="396">
        <f>-G2061</f>
        <v>-30000</v>
      </c>
      <c r="F2061" s="396">
        <v>0</v>
      </c>
      <c r="G2061" s="396">
        <f>+F2060</f>
        <v>30000</v>
      </c>
      <c r="H2061" s="347" t="str">
        <f>+H2060</f>
        <v>Colecta Maria del Pilar Ríos D.</v>
      </c>
      <c r="I2061" s="347" t="s">
        <v>1303</v>
      </c>
      <c r="K2061" s="370"/>
      <c r="N2061" s="370"/>
    </row>
    <row r="2062" spans="1:14" s="347" customFormat="1" x14ac:dyDescent="0.25">
      <c r="A2062" s="369"/>
      <c r="E2062" s="396"/>
      <c r="F2062" s="396"/>
      <c r="G2062" s="396"/>
      <c r="K2062" s="370"/>
      <c r="N2062" s="370"/>
    </row>
    <row r="2063" spans="1:14" s="347" customFormat="1" x14ac:dyDescent="0.25">
      <c r="A2063" s="369">
        <v>44319</v>
      </c>
      <c r="B2063" s="340">
        <f>+MONTH(A2063)</f>
        <v>5</v>
      </c>
      <c r="C2063" s="347">
        <v>110</v>
      </c>
      <c r="D2063" s="340" t="str">
        <f>VLOOKUP(C2063,Plan!A$1:B$65542,2,0)</f>
        <v>Disponible Administración</v>
      </c>
      <c r="E2063" s="341">
        <f>+F2063-G2063</f>
        <v>10000</v>
      </c>
      <c r="F2063" s="396">
        <v>10000</v>
      </c>
      <c r="G2063" s="396">
        <v>0</v>
      </c>
      <c r="H2063" t="s">
        <v>1422</v>
      </c>
      <c r="I2063" s="347" t="s">
        <v>1303</v>
      </c>
      <c r="K2063" s="370"/>
      <c r="N2063" s="370"/>
    </row>
    <row r="2064" spans="1:14" s="347" customFormat="1" x14ac:dyDescent="0.25">
      <c r="A2064" s="369">
        <f>+A2063</f>
        <v>44319</v>
      </c>
      <c r="B2064" s="347">
        <f>+B2063</f>
        <v>5</v>
      </c>
      <c r="C2064" s="347">
        <v>3340</v>
      </c>
      <c r="D2064" s="340" t="str">
        <f>VLOOKUP(C2064,Plan!A$1:B$65542,2,0)</f>
        <v>Misas</v>
      </c>
      <c r="E2064" s="396">
        <f>-G2064</f>
        <v>-10000</v>
      </c>
      <c r="F2064" s="396">
        <v>0</v>
      </c>
      <c r="G2064" s="396">
        <f>+F2063</f>
        <v>10000</v>
      </c>
      <c r="H2064" s="347" t="str">
        <f>+H2063</f>
        <v>Misa Sonia Schmidt / R. Carrasco</v>
      </c>
      <c r="I2064" s="347" t="s">
        <v>1303</v>
      </c>
      <c r="K2064" s="370"/>
      <c r="N2064" s="370"/>
    </row>
    <row r="2065" spans="1:14" s="347" customFormat="1" x14ac:dyDescent="0.25">
      <c r="A2065" s="369"/>
      <c r="E2065" s="396"/>
      <c r="F2065" s="396"/>
      <c r="G2065" s="396"/>
      <c r="K2065" s="370"/>
      <c r="N2065" s="370"/>
    </row>
    <row r="2066" spans="1:14" s="347" customFormat="1" x14ac:dyDescent="0.25">
      <c r="A2066" s="369">
        <v>44319</v>
      </c>
      <c r="B2066" s="340">
        <f>+MONTH(A2066)</f>
        <v>5</v>
      </c>
      <c r="C2066" s="347">
        <v>110</v>
      </c>
      <c r="D2066" s="340" t="str">
        <f>VLOOKUP(C2066,Plan!A$1:B$65542,2,0)</f>
        <v>Disponible Administración</v>
      </c>
      <c r="E2066" s="341">
        <f>+F2066-G2066</f>
        <v>10000</v>
      </c>
      <c r="F2066" s="396">
        <v>10000</v>
      </c>
      <c r="G2066" s="396">
        <v>0</v>
      </c>
      <c r="H2066" t="s">
        <v>1423</v>
      </c>
      <c r="I2066" s="347" t="s">
        <v>1303</v>
      </c>
      <c r="K2066" s="370"/>
      <c r="N2066" s="370"/>
    </row>
    <row r="2067" spans="1:14" s="347" customFormat="1" x14ac:dyDescent="0.25">
      <c r="A2067" s="369">
        <f>+A2066</f>
        <v>44319</v>
      </c>
      <c r="B2067" s="347">
        <f>+B2066</f>
        <v>5</v>
      </c>
      <c r="C2067" s="347">
        <v>3110</v>
      </c>
      <c r="D2067" s="340" t="str">
        <f>VLOOKUP(C2067,Plan!A$1:B$65542,2,0)</f>
        <v>Colectas Normales</v>
      </c>
      <c r="E2067" s="396">
        <f>-G2067</f>
        <v>-10000</v>
      </c>
      <c r="F2067" s="396">
        <v>0</v>
      </c>
      <c r="G2067" s="396">
        <f>+F2066</f>
        <v>10000</v>
      </c>
      <c r="H2067" s="347" t="str">
        <f>+H2066</f>
        <v>Colecta Susana Ruiz Tagle Cox</v>
      </c>
      <c r="I2067" s="347" t="s">
        <v>1303</v>
      </c>
      <c r="K2067" s="370"/>
      <c r="N2067" s="370"/>
    </row>
    <row r="2068" spans="1:14" s="347" customFormat="1" x14ac:dyDescent="0.25">
      <c r="A2068" s="369"/>
      <c r="E2068" s="396"/>
      <c r="F2068" s="396"/>
      <c r="G2068" s="396"/>
      <c r="K2068" s="370"/>
      <c r="N2068" s="370"/>
    </row>
    <row r="2069" spans="1:14" s="347" customFormat="1" x14ac:dyDescent="0.25">
      <c r="A2069" s="369">
        <v>44319</v>
      </c>
      <c r="B2069" s="340">
        <f>+MONTH(A2069)</f>
        <v>5</v>
      </c>
      <c r="C2069" s="347">
        <v>110</v>
      </c>
      <c r="D2069" s="340" t="str">
        <f>VLOOKUP(C2069,Plan!A$1:B$65542,2,0)</f>
        <v>Disponible Administración</v>
      </c>
      <c r="E2069" s="341">
        <f>+F2069-G2069</f>
        <v>70000</v>
      </c>
      <c r="F2069" s="396">
        <v>70000</v>
      </c>
      <c r="G2069" s="396">
        <v>0</v>
      </c>
      <c r="H2069" s="347" t="s">
        <v>892</v>
      </c>
      <c r="I2069" s="347" t="s">
        <v>1303</v>
      </c>
      <c r="K2069" s="370"/>
      <c r="N2069" s="370"/>
    </row>
    <row r="2070" spans="1:14" s="347" customFormat="1" x14ac:dyDescent="0.25">
      <c r="A2070" s="369">
        <f>+A2069</f>
        <v>44319</v>
      </c>
      <c r="B2070" s="347">
        <f>+B2069</f>
        <v>5</v>
      </c>
      <c r="C2070" s="347">
        <v>3110</v>
      </c>
      <c r="D2070" s="340" t="str">
        <f>VLOOKUP(C2070,Plan!A$1:B$65542,2,0)</f>
        <v>Colectas Normales</v>
      </c>
      <c r="E2070" s="396">
        <f>-G2070</f>
        <v>-70000</v>
      </c>
      <c r="F2070" s="396">
        <v>0</v>
      </c>
      <c r="G2070" s="396">
        <f>+F2069</f>
        <v>70000</v>
      </c>
      <c r="H2070" s="347" t="s">
        <v>892</v>
      </c>
      <c r="I2070" s="347" t="s">
        <v>1303</v>
      </c>
      <c r="K2070" s="370"/>
      <c r="N2070" s="370"/>
    </row>
    <row r="2071" spans="1:14" s="347" customFormat="1" x14ac:dyDescent="0.25">
      <c r="A2071" s="369"/>
      <c r="E2071" s="396"/>
      <c r="F2071" s="396"/>
      <c r="G2071" s="396"/>
      <c r="K2071" s="370"/>
      <c r="N2071" s="370"/>
    </row>
    <row r="2072" spans="1:14" s="347" customFormat="1" x14ac:dyDescent="0.25">
      <c r="A2072" s="369">
        <v>44319</v>
      </c>
      <c r="B2072" s="340">
        <f>+MONTH(A2072)</f>
        <v>5</v>
      </c>
      <c r="C2072" s="347">
        <v>110</v>
      </c>
      <c r="D2072" s="340" t="str">
        <f>VLOOKUP(C2072,Plan!A$1:B$65542,2,0)</f>
        <v>Disponible Administración</v>
      </c>
      <c r="E2072" s="341">
        <f>+F2072-G2072</f>
        <v>100000</v>
      </c>
      <c r="F2072" s="396">
        <v>100000</v>
      </c>
      <c r="G2072" s="396">
        <v>0</v>
      </c>
      <c r="H2072" t="s">
        <v>1424</v>
      </c>
      <c r="I2072" s="347" t="s">
        <v>1303</v>
      </c>
      <c r="K2072" s="370"/>
      <c r="N2072" s="370"/>
    </row>
    <row r="2073" spans="1:14" s="347" customFormat="1" x14ac:dyDescent="0.25">
      <c r="A2073" s="369">
        <f>+A2072</f>
        <v>44319</v>
      </c>
      <c r="B2073" s="347">
        <f>+B2072</f>
        <v>5</v>
      </c>
      <c r="C2073" s="347">
        <v>3450</v>
      </c>
      <c r="D2073" s="340" t="str">
        <f>VLOOKUP(C2073,Plan!A$1:B$65542,2,0)</f>
        <v>Pastoral Social</v>
      </c>
      <c r="E2073" s="396">
        <f>-G2073</f>
        <v>-100000</v>
      </c>
      <c r="F2073" s="396">
        <v>0</v>
      </c>
      <c r="G2073" s="396">
        <f>+F2072</f>
        <v>100000</v>
      </c>
      <c r="H2073" s="347" t="str">
        <f>+H2072</f>
        <v>Canasta SERVICIOS E INVERSIONES VARIOS SPA</v>
      </c>
      <c r="I2073" s="347" t="s">
        <v>1303</v>
      </c>
      <c r="K2073" s="370"/>
      <c r="N2073" s="370"/>
    </row>
    <row r="2074" spans="1:14" s="347" customFormat="1" x14ac:dyDescent="0.25">
      <c r="A2074" s="369"/>
      <c r="E2074" s="396"/>
      <c r="F2074" s="396"/>
      <c r="G2074" s="396"/>
      <c r="K2074" s="370"/>
      <c r="N2074" s="370"/>
    </row>
    <row r="2075" spans="1:14" s="347" customFormat="1" x14ac:dyDescent="0.25">
      <c r="A2075" s="369">
        <v>44319</v>
      </c>
      <c r="B2075" s="340">
        <f>+MONTH(A2075)</f>
        <v>5</v>
      </c>
      <c r="C2075" s="347">
        <v>110</v>
      </c>
      <c r="D2075" s="340" t="str">
        <f>VLOOKUP(C2075,Plan!A$1:B$65542,2,0)</f>
        <v>Disponible Administración</v>
      </c>
      <c r="E2075" s="341">
        <f>+F2075-G2075</f>
        <v>15000</v>
      </c>
      <c r="F2075" s="396">
        <v>15000</v>
      </c>
      <c r="G2075" s="396">
        <v>0</v>
      </c>
      <c r="H2075" t="s">
        <v>1120</v>
      </c>
      <c r="I2075" s="347" t="s">
        <v>1303</v>
      </c>
      <c r="K2075" s="370"/>
      <c r="N2075" s="370"/>
    </row>
    <row r="2076" spans="1:14" s="347" customFormat="1" x14ac:dyDescent="0.25">
      <c r="A2076" s="369">
        <f>+A2075</f>
        <v>44319</v>
      </c>
      <c r="B2076" s="347">
        <f>+B2075</f>
        <v>5</v>
      </c>
      <c r="C2076" s="347">
        <v>3110</v>
      </c>
      <c r="D2076" s="340" t="str">
        <f>VLOOKUP(C2076,Plan!A$1:B$65542,2,0)</f>
        <v>Colectas Normales</v>
      </c>
      <c r="E2076" s="396">
        <f>-G2076</f>
        <v>-15000</v>
      </c>
      <c r="F2076" s="396">
        <v>0</v>
      </c>
      <c r="G2076" s="396">
        <f>+F2075</f>
        <v>15000</v>
      </c>
      <c r="H2076" s="347" t="str">
        <f>+H2075</f>
        <v>Colecta Maria Car Rios R</v>
      </c>
      <c r="I2076" s="347" t="s">
        <v>1303</v>
      </c>
      <c r="K2076" s="370"/>
      <c r="N2076" s="370"/>
    </row>
    <row r="2077" spans="1:14" s="347" customFormat="1" x14ac:dyDescent="0.25">
      <c r="A2077" s="369"/>
      <c r="E2077" s="396"/>
      <c r="F2077" s="396"/>
      <c r="G2077" s="396"/>
      <c r="K2077" s="370"/>
      <c r="N2077" s="370"/>
    </row>
    <row r="2078" spans="1:14" s="347" customFormat="1" x14ac:dyDescent="0.25">
      <c r="A2078" s="369">
        <v>44319</v>
      </c>
      <c r="B2078" s="340">
        <f>+MONTH(A2078)</f>
        <v>5</v>
      </c>
      <c r="C2078" s="347">
        <v>110</v>
      </c>
      <c r="D2078" s="340" t="str">
        <f>VLOOKUP(C2078,Plan!A$1:B$65542,2,0)</f>
        <v>Disponible Administración</v>
      </c>
      <c r="E2078" s="341">
        <f>+F2078-G2078</f>
        <v>15000</v>
      </c>
      <c r="F2078" s="396">
        <v>15000</v>
      </c>
      <c r="G2078" s="396">
        <v>0</v>
      </c>
      <c r="H2078" t="s">
        <v>906</v>
      </c>
      <c r="I2078" s="347" t="s">
        <v>1303</v>
      </c>
      <c r="K2078" s="370"/>
      <c r="N2078" s="370"/>
    </row>
    <row r="2079" spans="1:14" s="347" customFormat="1" x14ac:dyDescent="0.25">
      <c r="A2079" s="369">
        <f>+A2078</f>
        <v>44319</v>
      </c>
      <c r="B2079" s="347">
        <f>+B2078</f>
        <v>5</v>
      </c>
      <c r="C2079" s="347">
        <v>3110</v>
      </c>
      <c r="D2079" s="340" t="str">
        <f>VLOOKUP(C2079,Plan!A$1:B$65542,2,0)</f>
        <v>Colectas Normales</v>
      </c>
      <c r="E2079" s="396">
        <f>-G2079</f>
        <v>-15000</v>
      </c>
      <c r="F2079" s="396">
        <v>0</v>
      </c>
      <c r="G2079" s="396">
        <f>+F2078</f>
        <v>15000</v>
      </c>
      <c r="H2079" s="347" t="str">
        <f>+H2078</f>
        <v>Colecta Carmen Barañao</v>
      </c>
      <c r="I2079" s="347" t="s">
        <v>1303</v>
      </c>
      <c r="K2079" s="370"/>
      <c r="N2079" s="370"/>
    </row>
    <row r="2080" spans="1:14" s="347" customFormat="1" x14ac:dyDescent="0.25">
      <c r="A2080" s="369"/>
      <c r="E2080" s="396"/>
      <c r="F2080" s="396"/>
      <c r="G2080" s="396"/>
      <c r="K2080" s="370"/>
      <c r="N2080" s="370"/>
    </row>
    <row r="2081" spans="1:14" s="347" customFormat="1" x14ac:dyDescent="0.25">
      <c r="A2081" s="369">
        <v>44319</v>
      </c>
      <c r="B2081" s="340">
        <f>+MONTH(A2081)</f>
        <v>5</v>
      </c>
      <c r="C2081" s="347">
        <v>110</v>
      </c>
      <c r="D2081" s="340" t="str">
        <f>VLOOKUP(C2081,Plan!A$1:B$65542,2,0)</f>
        <v>Disponible Administración</v>
      </c>
      <c r="E2081" s="341">
        <f>+F2081-G2081</f>
        <v>25000</v>
      </c>
      <c r="F2081" s="396">
        <v>25000</v>
      </c>
      <c r="G2081" s="396">
        <v>0</v>
      </c>
      <c r="H2081" t="s">
        <v>1425</v>
      </c>
      <c r="I2081" s="347" t="s">
        <v>1303</v>
      </c>
      <c r="K2081" s="370"/>
      <c r="N2081" s="370"/>
    </row>
    <row r="2082" spans="1:14" s="347" customFormat="1" x14ac:dyDescent="0.25">
      <c r="A2082" s="369">
        <f>+A2081</f>
        <v>44319</v>
      </c>
      <c r="B2082" s="347">
        <f>+B2081</f>
        <v>5</v>
      </c>
      <c r="C2082" s="347">
        <v>3360</v>
      </c>
      <c r="D2082" s="340" t="str">
        <f>VLOOKUP(C2082,Plan!A$1:B$65542,2,0)</f>
        <v>Otros</v>
      </c>
      <c r="E2082" s="396">
        <f>-G2082</f>
        <v>-25000</v>
      </c>
      <c r="F2082" s="396">
        <v>0</v>
      </c>
      <c r="G2082" s="396">
        <f>+F2081</f>
        <v>25000</v>
      </c>
      <c r="H2082" s="347" t="str">
        <f>+H2081</f>
        <v>Curso Maria Soledad Toso Loyola</v>
      </c>
      <c r="I2082" s="347" t="s">
        <v>1303</v>
      </c>
      <c r="K2082" s="370"/>
      <c r="N2082" s="370"/>
    </row>
    <row r="2083" spans="1:14" s="347" customFormat="1" x14ac:dyDescent="0.25">
      <c r="A2083" s="369"/>
      <c r="E2083" s="396"/>
      <c r="F2083" s="396"/>
      <c r="G2083" s="396"/>
      <c r="K2083" s="370"/>
      <c r="N2083" s="370"/>
    </row>
    <row r="2084" spans="1:14" s="347" customFormat="1" x14ac:dyDescent="0.25">
      <c r="A2084" s="369">
        <v>44319</v>
      </c>
      <c r="B2084" s="340">
        <f>+MONTH(A2084)</f>
        <v>5</v>
      </c>
      <c r="C2084" s="347">
        <v>110</v>
      </c>
      <c r="D2084" s="340" t="str">
        <f>VLOOKUP(C2084,Plan!A$1:B$65542,2,0)</f>
        <v>Disponible Administración</v>
      </c>
      <c r="E2084" s="341">
        <f>+F2084-G2084</f>
        <v>20000</v>
      </c>
      <c r="F2084" s="396">
        <v>20000</v>
      </c>
      <c r="G2084" s="396">
        <v>0</v>
      </c>
      <c r="H2084" t="s">
        <v>1426</v>
      </c>
      <c r="I2084" s="347" t="s">
        <v>1303</v>
      </c>
      <c r="K2084" s="370"/>
      <c r="N2084" s="370"/>
    </row>
    <row r="2085" spans="1:14" s="347" customFormat="1" x14ac:dyDescent="0.25">
      <c r="A2085" s="369">
        <f>+A2084</f>
        <v>44319</v>
      </c>
      <c r="B2085" s="347">
        <f>+B2084</f>
        <v>5</v>
      </c>
      <c r="C2085" s="347">
        <v>3450</v>
      </c>
      <c r="D2085" s="340" t="str">
        <f>VLOOKUP(C2085,Plan!A$1:B$65542,2,0)</f>
        <v>Pastoral Social</v>
      </c>
      <c r="E2085" s="396">
        <f>-G2085</f>
        <v>-20000</v>
      </c>
      <c r="F2085" s="396">
        <v>0</v>
      </c>
      <c r="G2085" s="396">
        <f>+F2084</f>
        <v>20000</v>
      </c>
      <c r="H2085" s="347" t="str">
        <f>+H2084</f>
        <v>Canastas Monica Gibson Z.</v>
      </c>
      <c r="I2085" s="347" t="s">
        <v>1303</v>
      </c>
      <c r="K2085" s="370"/>
      <c r="N2085" s="370"/>
    </row>
    <row r="2086" spans="1:14" s="347" customFormat="1" x14ac:dyDescent="0.25">
      <c r="A2086" s="369"/>
      <c r="E2086" s="396"/>
      <c r="F2086" s="396"/>
      <c r="G2086" s="396"/>
      <c r="K2086" s="370"/>
      <c r="N2086" s="370"/>
    </row>
    <row r="2087" spans="1:14" s="347" customFormat="1" x14ac:dyDescent="0.25">
      <c r="A2087" s="369">
        <v>44319</v>
      </c>
      <c r="B2087" s="340">
        <f>+MONTH(A2087)</f>
        <v>5</v>
      </c>
      <c r="C2087" s="347">
        <v>110</v>
      </c>
      <c r="D2087" s="340" t="str">
        <f>VLOOKUP(C2087,Plan!A$1:B$65542,2,0)</f>
        <v>Disponible Administración</v>
      </c>
      <c r="E2087" s="341">
        <f>+F2087-G2087</f>
        <v>10000</v>
      </c>
      <c r="F2087" s="396">
        <v>10000</v>
      </c>
      <c r="G2087" s="396">
        <v>0</v>
      </c>
      <c r="H2087" t="s">
        <v>917</v>
      </c>
      <c r="I2087" s="347" t="s">
        <v>1303</v>
      </c>
      <c r="K2087" s="370"/>
      <c r="N2087" s="370"/>
    </row>
    <row r="2088" spans="1:14" s="347" customFormat="1" x14ac:dyDescent="0.25">
      <c r="A2088" s="369">
        <f>+A2087</f>
        <v>44319</v>
      </c>
      <c r="B2088" s="347">
        <f>+B2087</f>
        <v>5</v>
      </c>
      <c r="C2088" s="347">
        <v>3110</v>
      </c>
      <c r="D2088" s="340" t="str">
        <f>VLOOKUP(C2088,Plan!A$1:B$65542,2,0)</f>
        <v>Colectas Normales</v>
      </c>
      <c r="E2088" s="396">
        <f>-G2088</f>
        <v>-10000</v>
      </c>
      <c r="F2088" s="396">
        <v>0</v>
      </c>
      <c r="G2088" s="396">
        <f>+F2087</f>
        <v>10000</v>
      </c>
      <c r="H2088" s="347" t="str">
        <f>+H2087</f>
        <v>Colecta Hilda Dougnac R</v>
      </c>
      <c r="I2088" s="347" t="s">
        <v>1303</v>
      </c>
      <c r="K2088" s="370"/>
      <c r="N2088" s="370"/>
    </row>
    <row r="2089" spans="1:14" s="347" customFormat="1" x14ac:dyDescent="0.25">
      <c r="A2089" s="369"/>
      <c r="E2089" s="396"/>
      <c r="F2089" s="396"/>
      <c r="G2089" s="396"/>
      <c r="K2089" s="370"/>
      <c r="N2089" s="370"/>
    </row>
    <row r="2090" spans="1:14" s="347" customFormat="1" x14ac:dyDescent="0.25">
      <c r="A2090" s="369">
        <v>44319</v>
      </c>
      <c r="B2090" s="340">
        <f>+MONTH(A2090)</f>
        <v>5</v>
      </c>
      <c r="C2090" s="347">
        <v>110</v>
      </c>
      <c r="D2090" s="340" t="str">
        <f>VLOOKUP(C2090,Plan!A$1:B$65542,2,0)</f>
        <v>Disponible Administración</v>
      </c>
      <c r="E2090" s="341">
        <f>+F2090-G2090</f>
        <v>50000</v>
      </c>
      <c r="F2090" s="396">
        <v>50000</v>
      </c>
      <c r="G2090" s="396">
        <v>0</v>
      </c>
      <c r="H2090" t="s">
        <v>733</v>
      </c>
      <c r="I2090" s="347" t="s">
        <v>1303</v>
      </c>
      <c r="K2090" s="370"/>
      <c r="N2090" s="370"/>
    </row>
    <row r="2091" spans="1:14" s="347" customFormat="1" x14ac:dyDescent="0.25">
      <c r="A2091" s="369">
        <f>+A2090</f>
        <v>44319</v>
      </c>
      <c r="B2091" s="347">
        <f>+B2090</f>
        <v>5</v>
      </c>
      <c r="C2091" s="347">
        <v>215</v>
      </c>
      <c r="D2091" s="340" t="str">
        <f>VLOOKUP(C2091,Plan!A$1:B$65542,2,0)</f>
        <v>Cuenta por Pagar a Cali</v>
      </c>
      <c r="E2091" s="396">
        <f>-G2091</f>
        <v>-50000</v>
      </c>
      <c r="F2091" s="396">
        <v>0</v>
      </c>
      <c r="G2091" s="396">
        <f>+F2090</f>
        <v>50000</v>
      </c>
      <c r="H2091" s="347" t="str">
        <f>+H2090</f>
        <v>Hilda Dougnac Rodríguez / Azul</v>
      </c>
      <c r="I2091" s="347" t="s">
        <v>1303</v>
      </c>
      <c r="K2091" s="370"/>
      <c r="N2091" s="370"/>
    </row>
    <row r="2092" spans="1:14" s="347" customFormat="1" x14ac:dyDescent="0.25">
      <c r="A2092" s="369"/>
      <c r="E2092" s="396"/>
      <c r="F2092" s="396"/>
      <c r="G2092" s="396"/>
      <c r="K2092" s="370"/>
      <c r="N2092" s="370"/>
    </row>
    <row r="2093" spans="1:14" s="347" customFormat="1" x14ac:dyDescent="0.25">
      <c r="A2093" s="369">
        <v>44319</v>
      </c>
      <c r="B2093" s="340">
        <f>+MONTH(A2093)</f>
        <v>5</v>
      </c>
      <c r="C2093" s="347">
        <v>110</v>
      </c>
      <c r="D2093" s="340" t="str">
        <f>VLOOKUP(C2093,Plan!A$1:B$65542,2,0)</f>
        <v>Disponible Administración</v>
      </c>
      <c r="E2093" s="341">
        <f>+F2093-G2093</f>
        <v>40000</v>
      </c>
      <c r="F2093" s="396">
        <v>40000</v>
      </c>
      <c r="G2093" s="396">
        <v>0</v>
      </c>
      <c r="H2093" t="s">
        <v>894</v>
      </c>
      <c r="I2093" s="347" t="s">
        <v>1303</v>
      </c>
      <c r="K2093" s="370"/>
      <c r="N2093" s="370"/>
    </row>
    <row r="2094" spans="1:14" s="347" customFormat="1" x14ac:dyDescent="0.25">
      <c r="A2094" s="369">
        <f>+A2093</f>
        <v>44319</v>
      </c>
      <c r="B2094" s="347">
        <f>+B2093</f>
        <v>5</v>
      </c>
      <c r="C2094" s="347">
        <v>3110</v>
      </c>
      <c r="D2094" s="340" t="str">
        <f>VLOOKUP(C2094,Plan!A$1:B$65542,2,0)</f>
        <v>Colectas Normales</v>
      </c>
      <c r="E2094" s="396">
        <f>-G2094</f>
        <v>-40000</v>
      </c>
      <c r="F2094" s="396">
        <v>0</v>
      </c>
      <c r="G2094" s="396">
        <f>+F2093</f>
        <v>40000</v>
      </c>
      <c r="H2094" s="347" t="str">
        <f>+H2093</f>
        <v>Colecta Maria Jose Fernandez Cifuentes</v>
      </c>
      <c r="I2094" s="347" t="s">
        <v>1303</v>
      </c>
      <c r="K2094" s="370"/>
      <c r="N2094" s="370"/>
    </row>
    <row r="2095" spans="1:14" s="347" customFormat="1" x14ac:dyDescent="0.25">
      <c r="A2095" s="369"/>
      <c r="E2095" s="396"/>
      <c r="F2095" s="396"/>
      <c r="G2095" s="396"/>
      <c r="K2095" s="370"/>
      <c r="N2095" s="370"/>
    </row>
    <row r="2096" spans="1:14" s="347" customFormat="1" x14ac:dyDescent="0.25">
      <c r="A2096" s="369">
        <v>44319</v>
      </c>
      <c r="B2096" s="340">
        <f>+MONTH(A2096)</f>
        <v>5</v>
      </c>
      <c r="C2096" s="347">
        <v>110</v>
      </c>
      <c r="D2096" s="340" t="str">
        <f>VLOOKUP(C2096,Plan!A$1:B$65542,2,0)</f>
        <v>Disponible Administración</v>
      </c>
      <c r="E2096" s="341">
        <f>+F2096-G2096</f>
        <v>5000</v>
      </c>
      <c r="F2096" s="396">
        <v>5000</v>
      </c>
      <c r="G2096" s="396">
        <v>0</v>
      </c>
      <c r="H2096" t="s">
        <v>1427</v>
      </c>
      <c r="I2096" s="347" t="s">
        <v>1303</v>
      </c>
      <c r="K2096" s="370"/>
      <c r="N2096" s="370"/>
    </row>
    <row r="2097" spans="1:14" s="347" customFormat="1" x14ac:dyDescent="0.25">
      <c r="A2097" s="369">
        <f>+A2096</f>
        <v>44319</v>
      </c>
      <c r="B2097" s="347">
        <f>+B2096</f>
        <v>5</v>
      </c>
      <c r="C2097" s="347">
        <v>3110</v>
      </c>
      <c r="D2097" s="340" t="str">
        <f>VLOOKUP(C2097,Plan!A$1:B$65542,2,0)</f>
        <v>Colectas Normales</v>
      </c>
      <c r="E2097" s="396">
        <f>-G2097</f>
        <v>-5000</v>
      </c>
      <c r="F2097" s="396">
        <v>0</v>
      </c>
      <c r="G2097" s="396">
        <f>+F2096</f>
        <v>5000</v>
      </c>
      <c r="H2097" s="347" t="str">
        <f>+H2096</f>
        <v>Colecta M. Angelica Arancibia Larenas</v>
      </c>
      <c r="I2097" s="347" t="s">
        <v>1303</v>
      </c>
      <c r="K2097" s="370"/>
      <c r="N2097" s="370"/>
    </row>
    <row r="2098" spans="1:14" s="347" customFormat="1" x14ac:dyDescent="0.25">
      <c r="A2098" s="369"/>
      <c r="E2098" s="396"/>
      <c r="F2098" s="396"/>
      <c r="G2098" s="396"/>
      <c r="K2098" s="370"/>
      <c r="N2098" s="370"/>
    </row>
    <row r="2099" spans="1:14" s="347" customFormat="1" x14ac:dyDescent="0.25">
      <c r="A2099" s="369">
        <v>44319</v>
      </c>
      <c r="B2099" s="340">
        <f>+MONTH(A2099)</f>
        <v>5</v>
      </c>
      <c r="C2099" s="347">
        <v>110</v>
      </c>
      <c r="D2099" s="340" t="str">
        <f>VLOOKUP(C2099,Plan!A$1:B$65542,2,0)</f>
        <v>Disponible Administración</v>
      </c>
      <c r="E2099" s="341">
        <f>+F2099-G2099</f>
        <v>10000</v>
      </c>
      <c r="F2099" s="396">
        <v>10000</v>
      </c>
      <c r="G2099" s="396">
        <v>0</v>
      </c>
      <c r="H2099" t="s">
        <v>881</v>
      </c>
      <c r="I2099" s="347" t="s">
        <v>1303</v>
      </c>
      <c r="K2099" s="370"/>
      <c r="N2099" s="370"/>
    </row>
    <row r="2100" spans="1:14" s="347" customFormat="1" x14ac:dyDescent="0.25">
      <c r="A2100" s="369">
        <f>+A2099</f>
        <v>44319</v>
      </c>
      <c r="B2100" s="347">
        <f>+B2099</f>
        <v>5</v>
      </c>
      <c r="C2100" s="347">
        <v>3110</v>
      </c>
      <c r="D2100" s="340" t="str">
        <f>VLOOKUP(C2100,Plan!A$1:B$65542,2,0)</f>
        <v>Colectas Normales</v>
      </c>
      <c r="E2100" s="396">
        <f>-G2100</f>
        <v>-10000</v>
      </c>
      <c r="F2100" s="396">
        <v>0</v>
      </c>
      <c r="G2100" s="396">
        <f>+F2099</f>
        <v>10000</v>
      </c>
      <c r="H2100" s="347" t="str">
        <f>+H2099</f>
        <v>Colecta Rafael Marin Jordan</v>
      </c>
      <c r="I2100" s="347" t="s">
        <v>1303</v>
      </c>
      <c r="K2100" s="370"/>
      <c r="N2100" s="370"/>
    </row>
    <row r="2101" spans="1:14" s="347" customFormat="1" x14ac:dyDescent="0.25">
      <c r="A2101" s="369"/>
      <c r="E2101" s="396"/>
      <c r="F2101" s="396"/>
      <c r="G2101" s="396"/>
      <c r="K2101" s="370"/>
      <c r="N2101" s="370"/>
    </row>
    <row r="2102" spans="1:14" s="347" customFormat="1" x14ac:dyDescent="0.25">
      <c r="A2102" s="369">
        <v>44319</v>
      </c>
      <c r="B2102" s="340">
        <f>+MONTH(A2102)</f>
        <v>5</v>
      </c>
      <c r="C2102" s="347">
        <v>110</v>
      </c>
      <c r="D2102" s="340" t="str">
        <f>VLOOKUP(C2102,Plan!A$1:B$65542,2,0)</f>
        <v>Disponible Administración</v>
      </c>
      <c r="E2102" s="341">
        <f>+F2102-G2102</f>
        <v>10000</v>
      </c>
      <c r="F2102" s="396">
        <v>10000</v>
      </c>
      <c r="G2102" s="396">
        <v>0</v>
      </c>
      <c r="H2102" t="s">
        <v>933</v>
      </c>
      <c r="I2102" s="347" t="s">
        <v>1303</v>
      </c>
      <c r="K2102" s="370"/>
      <c r="N2102" s="370"/>
    </row>
    <row r="2103" spans="1:14" s="347" customFormat="1" x14ac:dyDescent="0.25">
      <c r="A2103" s="369">
        <f>+A2102</f>
        <v>44319</v>
      </c>
      <c r="B2103" s="347">
        <f>+B2102</f>
        <v>5</v>
      </c>
      <c r="C2103" s="347">
        <v>3110</v>
      </c>
      <c r="D2103" s="340" t="str">
        <f>VLOOKUP(C2103,Plan!A$1:B$65542,2,0)</f>
        <v>Colectas Normales</v>
      </c>
      <c r="E2103" s="396">
        <f>-G2103</f>
        <v>-10000</v>
      </c>
      <c r="F2103" s="396">
        <v>0</v>
      </c>
      <c r="G2103" s="396">
        <f>+F2102</f>
        <v>10000</v>
      </c>
      <c r="H2103" s="347" t="str">
        <f>+H2102</f>
        <v>Colecta Edita Gonzalez Marquez</v>
      </c>
      <c r="I2103" s="347" t="s">
        <v>1303</v>
      </c>
      <c r="K2103" s="370"/>
      <c r="N2103" s="370"/>
    </row>
    <row r="2104" spans="1:14" s="347" customFormat="1" x14ac:dyDescent="0.25">
      <c r="A2104" s="369"/>
      <c r="E2104" s="396"/>
      <c r="F2104" s="396"/>
      <c r="G2104" s="396"/>
      <c r="K2104" s="370"/>
      <c r="N2104" s="370"/>
    </row>
    <row r="2105" spans="1:14" s="347" customFormat="1" x14ac:dyDescent="0.25">
      <c r="A2105" s="369">
        <v>44319</v>
      </c>
      <c r="B2105" s="340">
        <f>+MONTH(A2105)</f>
        <v>5</v>
      </c>
      <c r="C2105" s="347">
        <v>110</v>
      </c>
      <c r="D2105" s="340" t="str">
        <f>VLOOKUP(C2105,Plan!A$1:B$65542,2,0)</f>
        <v>Disponible Administración</v>
      </c>
      <c r="E2105" s="341">
        <f>+F2105-G2105</f>
        <v>20000</v>
      </c>
      <c r="F2105" s="396">
        <v>20000</v>
      </c>
      <c r="G2105" s="396">
        <v>0</v>
      </c>
      <c r="H2105" t="s">
        <v>1428</v>
      </c>
      <c r="I2105" s="347" t="s">
        <v>1303</v>
      </c>
      <c r="K2105" s="370"/>
      <c r="N2105" s="370"/>
    </row>
    <row r="2106" spans="1:14" s="347" customFormat="1" x14ac:dyDescent="0.25">
      <c r="A2106" s="369">
        <f>+A2105</f>
        <v>44319</v>
      </c>
      <c r="B2106" s="347">
        <f>+B2105</f>
        <v>5</v>
      </c>
      <c r="C2106" s="347">
        <v>3450</v>
      </c>
      <c r="D2106" s="340" t="str">
        <f>VLOOKUP(C2106,Plan!A$1:B$65542,2,0)</f>
        <v>Pastoral Social</v>
      </c>
      <c r="E2106" s="396">
        <f>-G2106</f>
        <v>-20000</v>
      </c>
      <c r="F2106" s="396">
        <v>0</v>
      </c>
      <c r="G2106" s="396">
        <f>+F2105</f>
        <v>20000</v>
      </c>
      <c r="H2106" s="347" t="str">
        <f>+H2105</f>
        <v>Canasta Carmen Gloria Rivas Varas</v>
      </c>
      <c r="I2106" s="347" t="s">
        <v>1303</v>
      </c>
      <c r="K2106" s="370"/>
      <c r="N2106" s="370"/>
    </row>
    <row r="2107" spans="1:14" s="347" customFormat="1" x14ac:dyDescent="0.25">
      <c r="A2107" s="369"/>
      <c r="E2107" s="396"/>
      <c r="F2107" s="396"/>
      <c r="G2107" s="396"/>
      <c r="K2107" s="370"/>
      <c r="N2107" s="370"/>
    </row>
    <row r="2108" spans="1:14" s="347" customFormat="1" x14ac:dyDescent="0.25">
      <c r="A2108" s="369">
        <v>44319</v>
      </c>
      <c r="B2108" s="340">
        <f>+MONTH(A2108)</f>
        <v>5</v>
      </c>
      <c r="C2108" s="347">
        <v>110</v>
      </c>
      <c r="D2108" s="340" t="str">
        <f>VLOOKUP(C2108,Plan!A$1:B$65542,2,0)</f>
        <v>Disponible Administración</v>
      </c>
      <c r="E2108" s="341">
        <f>+F2108-G2108</f>
        <v>10000</v>
      </c>
      <c r="F2108" s="396">
        <v>10000</v>
      </c>
      <c r="G2108" s="396">
        <v>0</v>
      </c>
      <c r="H2108" t="s">
        <v>1429</v>
      </c>
      <c r="I2108" s="347" t="s">
        <v>1303</v>
      </c>
      <c r="K2108" s="370"/>
      <c r="N2108" s="370"/>
    </row>
    <row r="2109" spans="1:14" s="347" customFormat="1" x14ac:dyDescent="0.25">
      <c r="A2109" s="369">
        <f>+A2108</f>
        <v>44319</v>
      </c>
      <c r="B2109" s="347">
        <f>+B2108</f>
        <v>5</v>
      </c>
      <c r="C2109" s="347">
        <v>3340</v>
      </c>
      <c r="D2109" s="340" t="str">
        <f>VLOOKUP(C2109,Plan!A$1:B$65542,2,0)</f>
        <v>Misas</v>
      </c>
      <c r="E2109" s="396">
        <f>-G2109</f>
        <v>-10000</v>
      </c>
      <c r="F2109" s="396">
        <v>0</v>
      </c>
      <c r="G2109" s="396">
        <f>+F2108</f>
        <v>10000</v>
      </c>
      <c r="H2109" s="347" t="str">
        <f>+H2108</f>
        <v>Misa Carmen Gloria Rivas Varas</v>
      </c>
      <c r="I2109" s="347" t="s">
        <v>1303</v>
      </c>
      <c r="K2109" s="370"/>
      <c r="N2109" s="370"/>
    </row>
    <row r="2110" spans="1:14" s="347" customFormat="1" x14ac:dyDescent="0.25">
      <c r="A2110" s="369"/>
      <c r="E2110" s="396"/>
      <c r="F2110" s="396"/>
      <c r="G2110" s="396"/>
      <c r="K2110" s="370"/>
      <c r="N2110" s="370"/>
    </row>
    <row r="2111" spans="1:14" s="347" customFormat="1" x14ac:dyDescent="0.25">
      <c r="A2111" s="369">
        <v>44319</v>
      </c>
      <c r="B2111" s="340">
        <f>+MONTH(A2111)</f>
        <v>5</v>
      </c>
      <c r="C2111" s="347">
        <v>110</v>
      </c>
      <c r="D2111" s="340" t="str">
        <f>VLOOKUP(C2111,Plan!A$1:B$65542,2,0)</f>
        <v>Disponible Administración</v>
      </c>
      <c r="E2111" s="341">
        <f>+F2111-G2111</f>
        <v>30000</v>
      </c>
      <c r="F2111" s="396">
        <v>30000</v>
      </c>
      <c r="G2111" s="396">
        <v>0</v>
      </c>
      <c r="H2111" t="s">
        <v>747</v>
      </c>
      <c r="I2111" s="347" t="s">
        <v>1303</v>
      </c>
      <c r="K2111" s="370"/>
      <c r="N2111" s="370"/>
    </row>
    <row r="2112" spans="1:14" s="347" customFormat="1" x14ac:dyDescent="0.25">
      <c r="A2112" s="369">
        <f>+A2111</f>
        <v>44319</v>
      </c>
      <c r="B2112" s="347">
        <f>+B2111</f>
        <v>5</v>
      </c>
      <c r="C2112" s="347">
        <v>215</v>
      </c>
      <c r="D2112" s="340" t="str">
        <f>VLOOKUP(C2112,Plan!A$1:B$65542,2,0)</f>
        <v>Cuenta por Pagar a Cali</v>
      </c>
      <c r="E2112" s="396">
        <f>-G2112</f>
        <v>-30000</v>
      </c>
      <c r="F2112" s="396">
        <v>0</v>
      </c>
      <c r="G2112" s="396">
        <f>+F2111</f>
        <v>30000</v>
      </c>
      <c r="H2112" s="347" t="str">
        <f>+H2111</f>
        <v>Carlos Celis Celedón / Azul</v>
      </c>
      <c r="I2112" s="347" t="s">
        <v>1303</v>
      </c>
      <c r="K2112" s="370"/>
      <c r="N2112" s="370"/>
    </row>
    <row r="2113" spans="1:14" s="347" customFormat="1" x14ac:dyDescent="0.25">
      <c r="A2113" s="369"/>
      <c r="E2113" s="396"/>
      <c r="F2113" s="396"/>
      <c r="G2113" s="396"/>
      <c r="K2113" s="370"/>
      <c r="N2113" s="370"/>
    </row>
    <row r="2114" spans="1:14" s="347" customFormat="1" x14ac:dyDescent="0.25">
      <c r="A2114" s="369">
        <v>44319</v>
      </c>
      <c r="B2114" s="340">
        <f>+MONTH(A2114)</f>
        <v>5</v>
      </c>
      <c r="C2114" s="347">
        <v>110</v>
      </c>
      <c r="D2114" s="340" t="str">
        <f>VLOOKUP(C2114,Plan!A$1:B$65542,2,0)</f>
        <v>Disponible Administración</v>
      </c>
      <c r="E2114" s="341">
        <f>+F2114-G2114</f>
        <v>20000</v>
      </c>
      <c r="F2114" s="396">
        <v>20000</v>
      </c>
      <c r="G2114" s="396">
        <v>0</v>
      </c>
      <c r="H2114" t="s">
        <v>1159</v>
      </c>
      <c r="I2114" s="347" t="s">
        <v>1303</v>
      </c>
      <c r="K2114" s="370"/>
      <c r="N2114" s="370"/>
    </row>
    <row r="2115" spans="1:14" s="347" customFormat="1" x14ac:dyDescent="0.25">
      <c r="A2115" s="369">
        <f>+A2114</f>
        <v>44319</v>
      </c>
      <c r="B2115" s="347">
        <f>+B2114</f>
        <v>5</v>
      </c>
      <c r="C2115" s="347">
        <v>3110</v>
      </c>
      <c r="D2115" s="340" t="str">
        <f>VLOOKUP(C2115,Plan!A$1:B$65542,2,0)</f>
        <v>Colectas Normales</v>
      </c>
      <c r="E2115" s="396">
        <f>-G2115</f>
        <v>-20000</v>
      </c>
      <c r="F2115" s="396">
        <v>0</v>
      </c>
      <c r="G2115" s="396">
        <f>+F2114</f>
        <v>20000</v>
      </c>
      <c r="H2115" s="347" t="str">
        <f>+H2114</f>
        <v>Colecta Guillermo Turner Olea</v>
      </c>
      <c r="I2115" s="347" t="s">
        <v>1303</v>
      </c>
      <c r="K2115" s="370"/>
      <c r="N2115" s="370"/>
    </row>
    <row r="2116" spans="1:14" s="347" customFormat="1" x14ac:dyDescent="0.25">
      <c r="A2116" s="369"/>
      <c r="E2116" s="396"/>
      <c r="F2116" s="396"/>
      <c r="G2116" s="396"/>
      <c r="K2116" s="370"/>
      <c r="N2116" s="370"/>
    </row>
    <row r="2117" spans="1:14" s="347" customFormat="1" x14ac:dyDescent="0.25">
      <c r="A2117" s="369">
        <v>44319</v>
      </c>
      <c r="B2117" s="340">
        <f>+MONTH(A2117)</f>
        <v>5</v>
      </c>
      <c r="C2117" s="347">
        <v>110</v>
      </c>
      <c r="D2117" s="340" t="str">
        <f>VLOOKUP(C2117,Plan!A$1:B$65542,2,0)</f>
        <v>Disponible Administración</v>
      </c>
      <c r="E2117" s="341">
        <f>+F2117-G2117</f>
        <v>10000</v>
      </c>
      <c r="F2117" s="396">
        <v>10000</v>
      </c>
      <c r="G2117" s="396">
        <v>0</v>
      </c>
      <c r="H2117" t="s">
        <v>945</v>
      </c>
      <c r="I2117" s="347" t="s">
        <v>1303</v>
      </c>
      <c r="K2117" s="370"/>
      <c r="N2117" s="370"/>
    </row>
    <row r="2118" spans="1:14" s="347" customFormat="1" x14ac:dyDescent="0.25">
      <c r="A2118" s="369">
        <f>+A2117</f>
        <v>44319</v>
      </c>
      <c r="B2118" s="347">
        <f>+B2117</f>
        <v>5</v>
      </c>
      <c r="C2118" s="347">
        <v>3110</v>
      </c>
      <c r="D2118" s="340" t="str">
        <f>VLOOKUP(C2118,Plan!A$1:B$65542,2,0)</f>
        <v>Colectas Normales</v>
      </c>
      <c r="E2118" s="396">
        <f>-G2118</f>
        <v>-10000</v>
      </c>
      <c r="F2118" s="396">
        <v>0</v>
      </c>
      <c r="G2118" s="396">
        <f>+F2117</f>
        <v>10000</v>
      </c>
      <c r="H2118" s="347" t="str">
        <f>+H2117</f>
        <v>Colecta Maria Corte</v>
      </c>
      <c r="I2118" s="347" t="s">
        <v>1303</v>
      </c>
      <c r="K2118" s="370"/>
      <c r="N2118" s="370"/>
    </row>
    <row r="2119" spans="1:14" s="347" customFormat="1" x14ac:dyDescent="0.25">
      <c r="A2119" s="369"/>
      <c r="E2119" s="396"/>
      <c r="F2119" s="396"/>
      <c r="G2119" s="396"/>
      <c r="K2119" s="370"/>
      <c r="N2119" s="370"/>
    </row>
    <row r="2120" spans="1:14" s="347" customFormat="1" x14ac:dyDescent="0.25">
      <c r="A2120" s="369">
        <v>44319</v>
      </c>
      <c r="B2120" s="340">
        <f>+MONTH(A2120)</f>
        <v>5</v>
      </c>
      <c r="C2120" s="347">
        <v>110</v>
      </c>
      <c r="D2120" s="340" t="str">
        <f>VLOOKUP(C2120,Plan!A$1:B$65542,2,0)</f>
        <v>Disponible Administración</v>
      </c>
      <c r="E2120" s="341">
        <f>+F2120-G2120</f>
        <v>5000</v>
      </c>
      <c r="F2120" s="396">
        <v>5000</v>
      </c>
      <c r="G2120" s="396">
        <v>0</v>
      </c>
      <c r="H2120" t="s">
        <v>1108</v>
      </c>
      <c r="I2120" s="347" t="s">
        <v>1303</v>
      </c>
      <c r="K2120" s="370"/>
      <c r="N2120" s="370"/>
    </row>
    <row r="2121" spans="1:14" s="347" customFormat="1" x14ac:dyDescent="0.25">
      <c r="A2121" s="369">
        <f>+A2120</f>
        <v>44319</v>
      </c>
      <c r="B2121" s="347">
        <f>+B2120</f>
        <v>5</v>
      </c>
      <c r="C2121" s="347">
        <v>3110</v>
      </c>
      <c r="D2121" s="340" t="str">
        <f>VLOOKUP(C2121,Plan!A$1:B$65542,2,0)</f>
        <v>Colectas Normales</v>
      </c>
      <c r="E2121" s="396">
        <f>-G2121</f>
        <v>-5000</v>
      </c>
      <c r="F2121" s="396">
        <v>0</v>
      </c>
      <c r="G2121" s="396">
        <f>+F2120</f>
        <v>5000</v>
      </c>
      <c r="H2121" s="347" t="str">
        <f>+H2120</f>
        <v>Colecta Ricardo Fernandez</v>
      </c>
      <c r="I2121" s="347" t="s">
        <v>1303</v>
      </c>
      <c r="K2121" s="370"/>
      <c r="N2121" s="370"/>
    </row>
    <row r="2122" spans="1:14" s="347" customFormat="1" x14ac:dyDescent="0.25">
      <c r="A2122" s="369"/>
      <c r="E2122" s="396"/>
      <c r="F2122" s="396"/>
      <c r="G2122" s="396"/>
      <c r="K2122" s="370"/>
      <c r="N2122" s="370"/>
    </row>
    <row r="2123" spans="1:14" s="347" customFormat="1" x14ac:dyDescent="0.25">
      <c r="A2123" s="369">
        <v>44319</v>
      </c>
      <c r="B2123" s="340">
        <f>+MONTH(A2123)</f>
        <v>5</v>
      </c>
      <c r="C2123" s="347">
        <v>110</v>
      </c>
      <c r="D2123" s="340" t="str">
        <f>VLOOKUP(C2123,Plan!A$1:B$65542,2,0)</f>
        <v>Disponible Administración</v>
      </c>
      <c r="E2123" s="341">
        <f>+F2123-G2123</f>
        <v>25000</v>
      </c>
      <c r="F2123" s="396">
        <v>25000</v>
      </c>
      <c r="G2123" s="396">
        <v>0</v>
      </c>
      <c r="H2123" t="s">
        <v>1430</v>
      </c>
      <c r="I2123" s="347" t="s">
        <v>1303</v>
      </c>
      <c r="K2123" s="370"/>
      <c r="N2123" s="370"/>
    </row>
    <row r="2124" spans="1:14" s="347" customFormat="1" x14ac:dyDescent="0.25">
      <c r="A2124" s="369">
        <f>+A2123</f>
        <v>44319</v>
      </c>
      <c r="B2124" s="347">
        <f>+B2123</f>
        <v>5</v>
      </c>
      <c r="C2124" s="347">
        <v>3450</v>
      </c>
      <c r="D2124" s="340" t="str">
        <f>VLOOKUP(C2124,Plan!A$1:B$65542,2,0)</f>
        <v>Pastoral Social</v>
      </c>
      <c r="E2124" s="396">
        <f>-G2124</f>
        <v>-25000</v>
      </c>
      <c r="F2124" s="396">
        <v>0</v>
      </c>
      <c r="G2124" s="396">
        <f>+F2123</f>
        <v>25000</v>
      </c>
      <c r="H2124" s="347" t="str">
        <f>+H2123</f>
        <v>Canasta Ricardo Fernandez</v>
      </c>
      <c r="I2124" s="347" t="s">
        <v>1303</v>
      </c>
      <c r="K2124" s="370"/>
      <c r="N2124" s="370"/>
    </row>
    <row r="2125" spans="1:14" s="347" customFormat="1" x14ac:dyDescent="0.25">
      <c r="A2125" s="369"/>
      <c r="E2125" s="396"/>
      <c r="F2125" s="396"/>
      <c r="G2125" s="396"/>
      <c r="K2125" s="370"/>
      <c r="N2125" s="370"/>
    </row>
    <row r="2126" spans="1:14" s="347" customFormat="1" x14ac:dyDescent="0.25">
      <c r="A2126" s="369">
        <v>44319</v>
      </c>
      <c r="B2126" s="340">
        <f>+MONTH(A2126)</f>
        <v>5</v>
      </c>
      <c r="C2126" s="347">
        <v>110</v>
      </c>
      <c r="D2126" s="340" t="str">
        <f>VLOOKUP(C2126,Plan!A$1:B$65542,2,0)</f>
        <v>Disponible Administración</v>
      </c>
      <c r="E2126" s="341">
        <f>+F2126-G2126</f>
        <v>3000</v>
      </c>
      <c r="F2126" s="396">
        <v>3000</v>
      </c>
      <c r="G2126" s="396">
        <v>0</v>
      </c>
      <c r="H2126" t="s">
        <v>915</v>
      </c>
      <c r="I2126" s="347" t="s">
        <v>1303</v>
      </c>
      <c r="K2126" s="370"/>
      <c r="N2126" s="370"/>
    </row>
    <row r="2127" spans="1:14" s="347" customFormat="1" x14ac:dyDescent="0.25">
      <c r="A2127" s="369">
        <f>+A2126</f>
        <v>44319</v>
      </c>
      <c r="B2127" s="347">
        <f>+B2126</f>
        <v>5</v>
      </c>
      <c r="C2127" s="347">
        <v>3110</v>
      </c>
      <c r="D2127" s="340" t="str">
        <f>VLOOKUP(C2127,Plan!A$1:B$65542,2,0)</f>
        <v>Colectas Normales</v>
      </c>
      <c r="E2127" s="396">
        <f>-G2127</f>
        <v>-3000</v>
      </c>
      <c r="F2127" s="396">
        <v>0</v>
      </c>
      <c r="G2127" s="396">
        <f>+F2126</f>
        <v>3000</v>
      </c>
      <c r="H2127" s="347" t="str">
        <f>+H2126</f>
        <v>Colecta Jose Perez de Castro</v>
      </c>
      <c r="I2127" s="347" t="s">
        <v>1303</v>
      </c>
      <c r="K2127" s="370"/>
      <c r="N2127" s="370"/>
    </row>
    <row r="2128" spans="1:14" s="347" customFormat="1" x14ac:dyDescent="0.25">
      <c r="A2128" s="369"/>
      <c r="E2128" s="396"/>
      <c r="F2128" s="396"/>
      <c r="G2128" s="396"/>
      <c r="K2128" s="370"/>
      <c r="N2128" s="370"/>
    </row>
    <row r="2129" spans="1:14" s="347" customFormat="1" x14ac:dyDescent="0.25">
      <c r="A2129" s="369">
        <v>44319</v>
      </c>
      <c r="B2129" s="340">
        <f>+MONTH(A2129)</f>
        <v>5</v>
      </c>
      <c r="C2129" s="347">
        <v>110</v>
      </c>
      <c r="D2129" s="340" t="str">
        <f>VLOOKUP(C2129,Plan!A$1:B$65542,2,0)</f>
        <v>Disponible Administración</v>
      </c>
      <c r="E2129" s="341">
        <f>+F2129-G2129</f>
        <v>20000</v>
      </c>
      <c r="F2129" s="396">
        <v>20000</v>
      </c>
      <c r="G2129" s="396">
        <v>0</v>
      </c>
      <c r="H2129" t="s">
        <v>1431</v>
      </c>
      <c r="I2129" s="347" t="s">
        <v>1303</v>
      </c>
      <c r="K2129" s="370"/>
      <c r="N2129" s="370"/>
    </row>
    <row r="2130" spans="1:14" s="347" customFormat="1" x14ac:dyDescent="0.25">
      <c r="A2130" s="369">
        <f>+A2129</f>
        <v>44319</v>
      </c>
      <c r="B2130" s="347">
        <f>+B2129</f>
        <v>5</v>
      </c>
      <c r="C2130" s="347">
        <v>3450</v>
      </c>
      <c r="D2130" s="340" t="str">
        <f>VLOOKUP(C2130,Plan!A$1:B$65542,2,0)</f>
        <v>Pastoral Social</v>
      </c>
      <c r="E2130" s="396">
        <f>-G2130</f>
        <v>-20000</v>
      </c>
      <c r="F2130" s="396">
        <v>0</v>
      </c>
      <c r="G2130" s="396">
        <f>+F2129</f>
        <v>20000</v>
      </c>
      <c r="H2130" s="347" t="str">
        <f>+H2129</f>
        <v>Canastas Carmen Gloria Gomez P</v>
      </c>
      <c r="I2130" s="347" t="s">
        <v>1303</v>
      </c>
      <c r="K2130" s="370"/>
      <c r="N2130" s="370"/>
    </row>
    <row r="2131" spans="1:14" s="347" customFormat="1" x14ac:dyDescent="0.25">
      <c r="A2131" s="369"/>
      <c r="E2131" s="396"/>
      <c r="F2131" s="396"/>
      <c r="G2131" s="396"/>
      <c r="K2131" s="370"/>
      <c r="N2131" s="370"/>
    </row>
    <row r="2132" spans="1:14" s="347" customFormat="1" x14ac:dyDescent="0.25">
      <c r="A2132" s="369">
        <v>44319</v>
      </c>
      <c r="B2132" s="340">
        <f>+MONTH(A2132)</f>
        <v>5</v>
      </c>
      <c r="C2132" s="347">
        <v>110</v>
      </c>
      <c r="D2132" s="340" t="str">
        <f>VLOOKUP(C2132,Plan!A$1:B$65542,2,0)</f>
        <v>Disponible Administración</v>
      </c>
      <c r="E2132" s="341">
        <f>+F2132-G2132</f>
        <v>10000</v>
      </c>
      <c r="F2132" s="396">
        <v>10000</v>
      </c>
      <c r="G2132" s="396">
        <v>0</v>
      </c>
      <c r="H2132" t="s">
        <v>1432</v>
      </c>
      <c r="I2132" s="347" t="s">
        <v>1303</v>
      </c>
      <c r="K2132" s="370"/>
      <c r="N2132" s="370"/>
    </row>
    <row r="2133" spans="1:14" s="347" customFormat="1" x14ac:dyDescent="0.25">
      <c r="A2133" s="369">
        <f>+A2132</f>
        <v>44319</v>
      </c>
      <c r="B2133" s="347">
        <f>+B2132</f>
        <v>5</v>
      </c>
      <c r="C2133" s="347">
        <v>3110</v>
      </c>
      <c r="D2133" s="340" t="str">
        <f>VLOOKUP(C2133,Plan!A$1:B$65542,2,0)</f>
        <v>Colectas Normales</v>
      </c>
      <c r="E2133" s="396">
        <f>-G2133</f>
        <v>-10000</v>
      </c>
      <c r="F2133" s="396">
        <v>0</v>
      </c>
      <c r="G2133" s="396">
        <f>+F2132</f>
        <v>10000</v>
      </c>
      <c r="H2133" s="347" t="str">
        <f>+H2132</f>
        <v>Colecta Carmen Gloria Gomez P</v>
      </c>
      <c r="I2133" s="347" t="s">
        <v>1303</v>
      </c>
      <c r="K2133" s="370"/>
      <c r="N2133" s="370"/>
    </row>
    <row r="2134" spans="1:14" s="347" customFormat="1" x14ac:dyDescent="0.25">
      <c r="A2134" s="369"/>
      <c r="E2134" s="396"/>
      <c r="F2134" s="396"/>
      <c r="G2134" s="396"/>
      <c r="K2134" s="370"/>
      <c r="N2134" s="370"/>
    </row>
    <row r="2135" spans="1:14" s="347" customFormat="1" x14ac:dyDescent="0.25">
      <c r="A2135" s="369">
        <v>44319</v>
      </c>
      <c r="B2135" s="340">
        <f>+MONTH(A2135)</f>
        <v>5</v>
      </c>
      <c r="C2135" s="347">
        <v>110</v>
      </c>
      <c r="D2135" s="340" t="str">
        <f>VLOOKUP(C2135,Plan!A$1:B$65542,2,0)</f>
        <v>Disponible Administración</v>
      </c>
      <c r="E2135" s="341">
        <f>+F2135-G2135</f>
        <v>10000</v>
      </c>
      <c r="F2135" s="396">
        <v>10000</v>
      </c>
      <c r="G2135" s="396">
        <v>0</v>
      </c>
      <c r="H2135" t="s">
        <v>880</v>
      </c>
      <c r="I2135" s="347" t="s">
        <v>1303</v>
      </c>
      <c r="K2135" s="370"/>
      <c r="N2135" s="370"/>
    </row>
    <row r="2136" spans="1:14" s="347" customFormat="1" x14ac:dyDescent="0.25">
      <c r="A2136" s="369">
        <f>+A2135</f>
        <v>44319</v>
      </c>
      <c r="B2136" s="347">
        <f>+B2135</f>
        <v>5</v>
      </c>
      <c r="C2136" s="347">
        <v>3110</v>
      </c>
      <c r="D2136" s="340" t="str">
        <f>VLOOKUP(C2136,Plan!A$1:B$65542,2,0)</f>
        <v>Colectas Normales</v>
      </c>
      <c r="E2136" s="396">
        <f>-G2136</f>
        <v>-10000</v>
      </c>
      <c r="F2136" s="396">
        <v>0</v>
      </c>
      <c r="G2136" s="396">
        <f>+F2135</f>
        <v>10000</v>
      </c>
      <c r="H2136" s="347" t="str">
        <f>+H2135</f>
        <v>Colecta Sebastian Rios</v>
      </c>
      <c r="I2136" s="347" t="s">
        <v>1303</v>
      </c>
      <c r="K2136" s="370"/>
      <c r="N2136" s="370"/>
    </row>
    <row r="2137" spans="1:14" s="347" customFormat="1" x14ac:dyDescent="0.25">
      <c r="A2137" s="369"/>
      <c r="E2137" s="396"/>
      <c r="F2137" s="396"/>
      <c r="G2137" s="396"/>
      <c r="K2137" s="370"/>
      <c r="N2137" s="370"/>
    </row>
    <row r="2138" spans="1:14" s="347" customFormat="1" x14ac:dyDescent="0.25">
      <c r="A2138" s="369">
        <v>44319</v>
      </c>
      <c r="B2138" s="340">
        <f>+MONTH(A2138)</f>
        <v>5</v>
      </c>
      <c r="C2138" s="347">
        <v>110</v>
      </c>
      <c r="D2138" s="340" t="str">
        <f>VLOOKUP(C2138,Plan!A$1:B$65542,2,0)</f>
        <v>Disponible Administración</v>
      </c>
      <c r="E2138" s="341">
        <f>+F2138-G2138</f>
        <v>30000</v>
      </c>
      <c r="F2138" s="396">
        <v>30000</v>
      </c>
      <c r="G2138" s="396">
        <v>0</v>
      </c>
      <c r="H2138" t="s">
        <v>1433</v>
      </c>
      <c r="I2138" s="347" t="s">
        <v>1303</v>
      </c>
      <c r="K2138" s="370"/>
      <c r="N2138" s="370"/>
    </row>
    <row r="2139" spans="1:14" s="347" customFormat="1" x14ac:dyDescent="0.25">
      <c r="A2139" s="369">
        <f>+A2138</f>
        <v>44319</v>
      </c>
      <c r="B2139" s="347">
        <f>+B2138</f>
        <v>5</v>
      </c>
      <c r="C2139" s="347">
        <v>3450</v>
      </c>
      <c r="D2139" s="340" t="str">
        <f>VLOOKUP(C2139,Plan!A$1:B$65542,2,0)</f>
        <v>Pastoral Social</v>
      </c>
      <c r="E2139" s="396">
        <f>-G2139</f>
        <v>-30000</v>
      </c>
      <c r="F2139" s="396">
        <v>0</v>
      </c>
      <c r="G2139" s="396">
        <f>+F2138</f>
        <v>30000</v>
      </c>
      <c r="H2139" s="347" t="str">
        <f>+H2138</f>
        <v>Canasta Francisco Arteaga Errazuriz</v>
      </c>
      <c r="I2139" s="347" t="s">
        <v>1303</v>
      </c>
      <c r="K2139" s="370"/>
      <c r="N2139" s="370"/>
    </row>
    <row r="2140" spans="1:14" s="347" customFormat="1" x14ac:dyDescent="0.25">
      <c r="A2140" s="369"/>
      <c r="E2140" s="396"/>
      <c r="F2140" s="396"/>
      <c r="G2140" s="396"/>
      <c r="K2140" s="370"/>
      <c r="N2140" s="370"/>
    </row>
    <row r="2141" spans="1:14" s="347" customFormat="1" x14ac:dyDescent="0.25">
      <c r="A2141" s="369">
        <v>44319</v>
      </c>
      <c r="B2141" s="340">
        <f>+MONTH(A2141)</f>
        <v>5</v>
      </c>
      <c r="C2141" s="347">
        <v>110</v>
      </c>
      <c r="D2141" s="340" t="str">
        <f>VLOOKUP(C2141,Plan!A$1:B$65542,2,0)</f>
        <v>Disponible Administración</v>
      </c>
      <c r="E2141" s="341">
        <f>+F2141-G2141</f>
        <v>10000</v>
      </c>
      <c r="F2141" s="396">
        <v>10000</v>
      </c>
      <c r="G2141" s="396">
        <v>0</v>
      </c>
      <c r="H2141" t="s">
        <v>916</v>
      </c>
      <c r="I2141" s="347" t="s">
        <v>1303</v>
      </c>
      <c r="K2141" s="370"/>
      <c r="N2141" s="370"/>
    </row>
    <row r="2142" spans="1:14" s="347" customFormat="1" x14ac:dyDescent="0.25">
      <c r="A2142" s="369">
        <f>+A2141</f>
        <v>44319</v>
      </c>
      <c r="B2142" s="347">
        <f>+B2141</f>
        <v>5</v>
      </c>
      <c r="C2142" s="347">
        <v>3110</v>
      </c>
      <c r="D2142" s="340" t="str">
        <f>VLOOKUP(C2142,Plan!A$1:B$65542,2,0)</f>
        <v>Colectas Normales</v>
      </c>
      <c r="E2142" s="396">
        <f>-G2142</f>
        <v>-10000</v>
      </c>
      <c r="F2142" s="396">
        <v>0</v>
      </c>
      <c r="G2142" s="396">
        <f>+F2141</f>
        <v>10000</v>
      </c>
      <c r="H2142" s="347" t="str">
        <f>+H2141</f>
        <v>Colecta Francisco Arteaga Errazuriz</v>
      </c>
      <c r="I2142" s="347" t="s">
        <v>1303</v>
      </c>
      <c r="K2142" s="370"/>
      <c r="N2142" s="370"/>
    </row>
    <row r="2143" spans="1:14" s="347" customFormat="1" x14ac:dyDescent="0.25">
      <c r="A2143" s="369"/>
      <c r="E2143" s="396"/>
      <c r="F2143" s="396"/>
      <c r="G2143" s="396"/>
      <c r="K2143" s="370"/>
      <c r="N2143" s="370"/>
    </row>
    <row r="2144" spans="1:14" s="347" customFormat="1" x14ac:dyDescent="0.25">
      <c r="A2144" s="369">
        <v>44319</v>
      </c>
      <c r="B2144" s="340">
        <f>+MONTH(A2144)</f>
        <v>5</v>
      </c>
      <c r="C2144" s="347">
        <v>110</v>
      </c>
      <c r="D2144" s="340" t="str">
        <f>VLOOKUP(C2144,Plan!A$1:B$65542,2,0)</f>
        <v>Disponible Administración</v>
      </c>
      <c r="E2144" s="341">
        <f>+F2144-G2144</f>
        <v>40000</v>
      </c>
      <c r="F2144" s="396">
        <v>40000</v>
      </c>
      <c r="G2144" s="396">
        <v>0</v>
      </c>
      <c r="H2144" t="s">
        <v>1434</v>
      </c>
      <c r="I2144" s="347" t="s">
        <v>1303</v>
      </c>
      <c r="K2144" s="370"/>
      <c r="N2144" s="370"/>
    </row>
    <row r="2145" spans="1:14" s="347" customFormat="1" x14ac:dyDescent="0.25">
      <c r="A2145" s="369">
        <f>+A2144</f>
        <v>44319</v>
      </c>
      <c r="B2145" s="347">
        <f>+B2144</f>
        <v>5</v>
      </c>
      <c r="C2145" s="347">
        <v>3450</v>
      </c>
      <c r="D2145" s="340" t="str">
        <f>VLOOKUP(C2145,Plan!A$1:B$65542,2,0)</f>
        <v>Pastoral Social</v>
      </c>
      <c r="E2145" s="396">
        <f>-G2145</f>
        <v>-40000</v>
      </c>
      <c r="F2145" s="396">
        <v>0</v>
      </c>
      <c r="G2145" s="396">
        <f>+F2144</f>
        <v>40000</v>
      </c>
      <c r="H2145" s="347" t="str">
        <f>+H2144</f>
        <v>Canasta Andrea Rolla</v>
      </c>
      <c r="I2145" s="347" t="s">
        <v>1303</v>
      </c>
      <c r="K2145" s="370"/>
      <c r="N2145" s="370"/>
    </row>
    <row r="2146" spans="1:14" s="347" customFormat="1" x14ac:dyDescent="0.25">
      <c r="A2146" s="369"/>
      <c r="E2146" s="396"/>
      <c r="F2146" s="396"/>
      <c r="G2146" s="396"/>
      <c r="K2146" s="370"/>
      <c r="N2146" s="370"/>
    </row>
    <row r="2147" spans="1:14" s="347" customFormat="1" x14ac:dyDescent="0.25">
      <c r="A2147" s="369">
        <v>44319</v>
      </c>
      <c r="B2147" s="340">
        <f>+MONTH(A2147)</f>
        <v>5</v>
      </c>
      <c r="C2147" s="347">
        <v>110</v>
      </c>
      <c r="D2147" s="340" t="str">
        <f>VLOOKUP(C2147,Plan!A$1:B$65542,2,0)</f>
        <v>Disponible Administración</v>
      </c>
      <c r="E2147" s="341">
        <f>+F2147-G2147</f>
        <v>10000</v>
      </c>
      <c r="F2147" s="396">
        <v>10000</v>
      </c>
      <c r="G2147" s="396">
        <v>0</v>
      </c>
      <c r="H2147" t="s">
        <v>900</v>
      </c>
      <c r="I2147" s="347" t="s">
        <v>1303</v>
      </c>
      <c r="K2147" s="370"/>
      <c r="N2147" s="370"/>
    </row>
    <row r="2148" spans="1:14" s="347" customFormat="1" x14ac:dyDescent="0.25">
      <c r="A2148" s="369">
        <f>+A2147</f>
        <v>44319</v>
      </c>
      <c r="B2148" s="347">
        <f>+B2147</f>
        <v>5</v>
      </c>
      <c r="C2148" s="347">
        <v>3110</v>
      </c>
      <c r="D2148" s="340" t="str">
        <f>VLOOKUP(C2148,Plan!A$1:B$65542,2,0)</f>
        <v>Colectas Normales</v>
      </c>
      <c r="E2148" s="396">
        <f>-G2148</f>
        <v>-10000</v>
      </c>
      <c r="F2148" s="396">
        <v>0</v>
      </c>
      <c r="G2148" s="396">
        <f>+F2147</f>
        <v>10000</v>
      </c>
      <c r="H2148" s="347" t="str">
        <f>+H2147</f>
        <v>Colecta Paula Fernandez</v>
      </c>
      <c r="I2148" s="347" t="s">
        <v>1303</v>
      </c>
      <c r="K2148" s="370"/>
      <c r="N2148" s="370"/>
    </row>
    <row r="2149" spans="1:14" s="347" customFormat="1" x14ac:dyDescent="0.25">
      <c r="A2149" s="369"/>
      <c r="E2149" s="396"/>
      <c r="F2149" s="396"/>
      <c r="G2149" s="396"/>
      <c r="K2149" s="370"/>
      <c r="N2149" s="370"/>
    </row>
    <row r="2150" spans="1:14" s="347" customFormat="1" x14ac:dyDescent="0.25">
      <c r="A2150" s="369">
        <v>44319</v>
      </c>
      <c r="B2150" s="340">
        <f>+MONTH(A2150)</f>
        <v>5</v>
      </c>
      <c r="C2150" s="347">
        <v>110</v>
      </c>
      <c r="D2150" s="340" t="str">
        <f>VLOOKUP(C2150,Plan!A$1:B$65542,2,0)</f>
        <v>Disponible Administración</v>
      </c>
      <c r="E2150" s="341">
        <f>+F2150-G2150</f>
        <v>40000</v>
      </c>
      <c r="F2150" s="396">
        <v>40000</v>
      </c>
      <c r="G2150" s="396">
        <v>0</v>
      </c>
      <c r="H2150" t="s">
        <v>1435</v>
      </c>
      <c r="I2150" s="347" t="s">
        <v>1303</v>
      </c>
      <c r="K2150" s="370"/>
      <c r="N2150" s="370"/>
    </row>
    <row r="2151" spans="1:14" s="347" customFormat="1" x14ac:dyDescent="0.25">
      <c r="A2151" s="369">
        <f>+A2150</f>
        <v>44319</v>
      </c>
      <c r="B2151" s="347">
        <f>+B2150</f>
        <v>5</v>
      </c>
      <c r="C2151" s="347">
        <v>3450</v>
      </c>
      <c r="D2151" s="340" t="str">
        <f>VLOOKUP(C2151,Plan!A$1:B$65542,2,0)</f>
        <v>Pastoral Social</v>
      </c>
      <c r="E2151" s="396">
        <f>-G2151</f>
        <v>-40000</v>
      </c>
      <c r="F2151" s="396">
        <v>0</v>
      </c>
      <c r="G2151" s="396">
        <f>+F2150</f>
        <v>40000</v>
      </c>
      <c r="H2151" s="347" t="str">
        <f>+H2150</f>
        <v>Canastas Alejandro Gutierrez</v>
      </c>
      <c r="I2151" s="347" t="s">
        <v>1303</v>
      </c>
      <c r="K2151" s="370"/>
      <c r="N2151" s="370"/>
    </row>
    <row r="2152" spans="1:14" s="347" customFormat="1" x14ac:dyDescent="0.25">
      <c r="A2152" s="369"/>
      <c r="E2152" s="396"/>
      <c r="F2152" s="396"/>
      <c r="G2152" s="396"/>
      <c r="K2152" s="370"/>
      <c r="N2152" s="370"/>
    </row>
    <row r="2153" spans="1:14" s="347" customFormat="1" x14ac:dyDescent="0.25">
      <c r="A2153" s="369">
        <v>44319</v>
      </c>
      <c r="B2153" s="340">
        <f>+MONTH(A2153)</f>
        <v>5</v>
      </c>
      <c r="C2153" s="347">
        <v>110</v>
      </c>
      <c r="D2153" s="340" t="str">
        <f>VLOOKUP(C2153,Plan!A$1:B$65542,2,0)</f>
        <v>Disponible Administración</v>
      </c>
      <c r="E2153" s="341">
        <f>+F2153-G2153</f>
        <v>5000</v>
      </c>
      <c r="F2153" s="396">
        <v>5000</v>
      </c>
      <c r="G2153" s="396">
        <v>0</v>
      </c>
      <c r="H2153" t="s">
        <v>899</v>
      </c>
      <c r="I2153" s="347" t="s">
        <v>1303</v>
      </c>
      <c r="K2153" s="370"/>
      <c r="N2153" s="370"/>
    </row>
    <row r="2154" spans="1:14" s="347" customFormat="1" x14ac:dyDescent="0.25">
      <c r="A2154" s="369">
        <f>+A2153</f>
        <v>44319</v>
      </c>
      <c r="B2154" s="347">
        <f>+B2153</f>
        <v>5</v>
      </c>
      <c r="C2154" s="347">
        <v>3110</v>
      </c>
      <c r="D2154" s="340" t="str">
        <f>VLOOKUP(C2154,Plan!A$1:B$65542,2,0)</f>
        <v>Colectas Normales</v>
      </c>
      <c r="E2154" s="396">
        <f>-G2154</f>
        <v>-5000</v>
      </c>
      <c r="F2154" s="396">
        <v>0</v>
      </c>
      <c r="G2154" s="396">
        <f>+F2153</f>
        <v>5000</v>
      </c>
      <c r="H2154" s="347" t="str">
        <f>+H2153</f>
        <v>Colecta Carlos Anwandter</v>
      </c>
      <c r="I2154" s="347" t="s">
        <v>1303</v>
      </c>
      <c r="K2154" s="370"/>
      <c r="N2154" s="370"/>
    </row>
    <row r="2155" spans="1:14" s="347" customFormat="1" x14ac:dyDescent="0.25">
      <c r="A2155" s="369"/>
      <c r="E2155" s="396"/>
      <c r="F2155" s="396"/>
      <c r="G2155" s="396"/>
      <c r="K2155" s="370"/>
      <c r="N2155" s="370"/>
    </row>
    <row r="2156" spans="1:14" s="347" customFormat="1" x14ac:dyDescent="0.25">
      <c r="A2156" s="369">
        <v>44319</v>
      </c>
      <c r="B2156" s="340">
        <f>+MONTH(A2156)</f>
        <v>5</v>
      </c>
      <c r="C2156" s="347">
        <v>110</v>
      </c>
      <c r="D2156" s="340" t="str">
        <f>VLOOKUP(C2156,Plan!A$1:B$65542,2,0)</f>
        <v>Disponible Administración</v>
      </c>
      <c r="E2156" s="341">
        <f>+F2156-G2156</f>
        <v>50000</v>
      </c>
      <c r="F2156" s="396">
        <v>50000</v>
      </c>
      <c r="G2156" s="396">
        <v>0</v>
      </c>
      <c r="H2156" t="s">
        <v>1436</v>
      </c>
      <c r="I2156" s="347" t="s">
        <v>1303</v>
      </c>
      <c r="K2156" s="370"/>
      <c r="N2156" s="370"/>
    </row>
    <row r="2157" spans="1:14" s="347" customFormat="1" x14ac:dyDescent="0.25">
      <c r="A2157" s="369">
        <f>+A2156</f>
        <v>44319</v>
      </c>
      <c r="B2157" s="347">
        <f>+B2156</f>
        <v>5</v>
      </c>
      <c r="C2157" s="347">
        <v>3110</v>
      </c>
      <c r="D2157" s="340" t="str">
        <f>VLOOKUP(C2157,Plan!A$1:B$65542,2,0)</f>
        <v>Colectas Normales</v>
      </c>
      <c r="E2157" s="396">
        <f>-G2157</f>
        <v>-50000</v>
      </c>
      <c r="F2157" s="396">
        <v>0</v>
      </c>
      <c r="G2157" s="396">
        <f>+F2156</f>
        <v>50000</v>
      </c>
      <c r="H2157" s="347" t="str">
        <f>+H2156</f>
        <v>Colecta Ignacio Ureta Larenas</v>
      </c>
      <c r="I2157" s="347" t="s">
        <v>1303</v>
      </c>
      <c r="K2157" s="370"/>
      <c r="N2157" s="370"/>
    </row>
    <row r="2158" spans="1:14" s="347" customFormat="1" x14ac:dyDescent="0.25">
      <c r="A2158" s="369"/>
      <c r="E2158" s="396"/>
      <c r="F2158" s="396"/>
      <c r="G2158" s="396"/>
      <c r="K2158" s="370"/>
      <c r="N2158" s="370"/>
    </row>
    <row r="2159" spans="1:14" s="347" customFormat="1" x14ac:dyDescent="0.25">
      <c r="A2159" s="369">
        <v>44319</v>
      </c>
      <c r="B2159" s="340">
        <f>+MONTH(A2159)</f>
        <v>5</v>
      </c>
      <c r="C2159" s="347">
        <v>110</v>
      </c>
      <c r="D2159" s="340" t="str">
        <f>VLOOKUP(C2159,Plan!A$1:B$65542,2,0)</f>
        <v>Disponible Administración</v>
      </c>
      <c r="E2159" s="341">
        <f>+F2159-G2159</f>
        <v>30000</v>
      </c>
      <c r="F2159" s="396">
        <v>30000</v>
      </c>
      <c r="G2159" s="396">
        <v>0</v>
      </c>
      <c r="H2159" t="s">
        <v>1437</v>
      </c>
      <c r="I2159" s="347" t="s">
        <v>1303</v>
      </c>
      <c r="K2159" s="370"/>
      <c r="N2159" s="370"/>
    </row>
    <row r="2160" spans="1:14" s="347" customFormat="1" x14ac:dyDescent="0.25">
      <c r="A2160" s="369">
        <f>+A2159</f>
        <v>44319</v>
      </c>
      <c r="B2160" s="347">
        <f>+B2159</f>
        <v>5</v>
      </c>
      <c r="C2160" s="347">
        <v>3450</v>
      </c>
      <c r="D2160" s="340" t="str">
        <f>VLOOKUP(C2160,Plan!A$1:B$65542,2,0)</f>
        <v>Pastoral Social</v>
      </c>
      <c r="E2160" s="396">
        <f>-G2160</f>
        <v>-30000</v>
      </c>
      <c r="F2160" s="396">
        <v>0</v>
      </c>
      <c r="G2160" s="396">
        <f>+F2159</f>
        <v>30000</v>
      </c>
      <c r="H2160" s="347" t="str">
        <f>+H2159</f>
        <v>Canastas Ignacio Ureta Larenas</v>
      </c>
      <c r="I2160" s="347" t="s">
        <v>1303</v>
      </c>
      <c r="K2160" s="370"/>
      <c r="N2160" s="370"/>
    </row>
    <row r="2161" spans="1:14" s="347" customFormat="1" x14ac:dyDescent="0.25">
      <c r="A2161" s="369"/>
      <c r="E2161" s="396"/>
      <c r="F2161" s="396"/>
      <c r="G2161" s="396"/>
      <c r="K2161" s="370"/>
      <c r="N2161" s="370"/>
    </row>
    <row r="2162" spans="1:14" s="347" customFormat="1" x14ac:dyDescent="0.25">
      <c r="A2162" s="369">
        <v>44319</v>
      </c>
      <c r="B2162" s="340">
        <f>+MONTH(A2162)</f>
        <v>5</v>
      </c>
      <c r="C2162" s="347">
        <v>110</v>
      </c>
      <c r="D2162" s="340" t="str">
        <f>VLOOKUP(C2162,Plan!A$1:B$65542,2,0)</f>
        <v>Disponible Administración</v>
      </c>
      <c r="E2162" s="341">
        <f>+F2162-G2162</f>
        <v>5000</v>
      </c>
      <c r="F2162" s="396">
        <v>5000</v>
      </c>
      <c r="G2162" s="396">
        <v>0</v>
      </c>
      <c r="H2162" t="s">
        <v>899</v>
      </c>
      <c r="I2162" s="347" t="s">
        <v>1303</v>
      </c>
      <c r="K2162" s="370"/>
      <c r="N2162" s="370"/>
    </row>
    <row r="2163" spans="1:14" s="347" customFormat="1" x14ac:dyDescent="0.25">
      <c r="A2163" s="369">
        <f>+A2162</f>
        <v>44319</v>
      </c>
      <c r="B2163" s="347">
        <f>+B2162</f>
        <v>5</v>
      </c>
      <c r="C2163" s="347">
        <v>3110</v>
      </c>
      <c r="D2163" s="340" t="str">
        <f>VLOOKUP(C2163,Plan!A$1:B$65542,2,0)</f>
        <v>Colectas Normales</v>
      </c>
      <c r="E2163" s="396">
        <f>-G2163</f>
        <v>-5000</v>
      </c>
      <c r="F2163" s="396">
        <v>0</v>
      </c>
      <c r="G2163" s="396">
        <f>+F2162</f>
        <v>5000</v>
      </c>
      <c r="H2163" s="347" t="str">
        <f>+H2162</f>
        <v>Colecta Carlos Anwandter</v>
      </c>
      <c r="I2163" s="347" t="s">
        <v>1303</v>
      </c>
      <c r="K2163" s="370"/>
      <c r="N2163" s="370"/>
    </row>
    <row r="2164" spans="1:14" s="347" customFormat="1" x14ac:dyDescent="0.25">
      <c r="A2164" s="369"/>
      <c r="E2164" s="396"/>
      <c r="F2164" s="396"/>
      <c r="G2164" s="396"/>
      <c r="K2164" s="370"/>
      <c r="N2164" s="370"/>
    </row>
    <row r="2165" spans="1:14" s="347" customFormat="1" x14ac:dyDescent="0.25">
      <c r="A2165" s="369">
        <v>44319</v>
      </c>
      <c r="B2165" s="340">
        <f>+MONTH(A2165)</f>
        <v>5</v>
      </c>
      <c r="C2165" s="347">
        <v>110</v>
      </c>
      <c r="D2165" s="340" t="str">
        <f>VLOOKUP(C2165,Plan!A$1:B$65542,2,0)</f>
        <v>Disponible Administración</v>
      </c>
      <c r="E2165" s="341">
        <f>+F2165-G2165</f>
        <v>50000</v>
      </c>
      <c r="F2165" s="396">
        <v>50000</v>
      </c>
      <c r="G2165" s="396">
        <v>0</v>
      </c>
      <c r="H2165" t="s">
        <v>1438</v>
      </c>
      <c r="I2165" s="347" t="s">
        <v>1303</v>
      </c>
      <c r="K2165" s="370"/>
      <c r="N2165" s="370"/>
    </row>
    <row r="2166" spans="1:14" s="347" customFormat="1" x14ac:dyDescent="0.25">
      <c r="A2166" s="369">
        <f>+A2165</f>
        <v>44319</v>
      </c>
      <c r="B2166" s="347">
        <f>+B2165</f>
        <v>5</v>
      </c>
      <c r="C2166" s="347">
        <v>3110</v>
      </c>
      <c r="D2166" s="340" t="str">
        <f>VLOOKUP(C2166,Plan!A$1:B$65542,2,0)</f>
        <v>Colectas Normales</v>
      </c>
      <c r="E2166" s="396">
        <f>-G2166</f>
        <v>-50000</v>
      </c>
      <c r="F2166" s="396">
        <v>0</v>
      </c>
      <c r="G2166" s="396">
        <f>+F2165</f>
        <v>50000</v>
      </c>
      <c r="H2166" s="347" t="str">
        <f>+H2165</f>
        <v>Colecta Felipe Varela Venegas</v>
      </c>
      <c r="I2166" s="347" t="s">
        <v>1303</v>
      </c>
      <c r="K2166" s="370"/>
      <c r="N2166" s="370"/>
    </row>
    <row r="2167" spans="1:14" s="347" customFormat="1" x14ac:dyDescent="0.25">
      <c r="A2167" s="369"/>
      <c r="E2167" s="396"/>
      <c r="F2167" s="396"/>
      <c r="G2167" s="396"/>
      <c r="K2167" s="370"/>
      <c r="N2167" s="370"/>
    </row>
    <row r="2168" spans="1:14" s="347" customFormat="1" x14ac:dyDescent="0.25">
      <c r="A2168" s="369">
        <v>44319</v>
      </c>
      <c r="B2168" s="340">
        <f>+MONTH(A2168)</f>
        <v>5</v>
      </c>
      <c r="C2168" s="347">
        <v>110</v>
      </c>
      <c r="D2168" s="340" t="str">
        <f>VLOOKUP(C2168,Plan!A$1:B$65542,2,0)</f>
        <v>Disponible Administración</v>
      </c>
      <c r="E2168" s="341">
        <f>+F2168-G2168</f>
        <v>20000</v>
      </c>
      <c r="F2168" s="396">
        <v>20000</v>
      </c>
      <c r="G2168" s="396">
        <v>0</v>
      </c>
      <c r="H2168" t="s">
        <v>1131</v>
      </c>
      <c r="I2168" s="347" t="s">
        <v>1303</v>
      </c>
      <c r="K2168" s="370"/>
      <c r="N2168" s="370"/>
    </row>
    <row r="2169" spans="1:14" s="347" customFormat="1" x14ac:dyDescent="0.25">
      <c r="A2169" s="369">
        <f>+A2168</f>
        <v>44319</v>
      </c>
      <c r="B2169" s="347">
        <f>+B2168</f>
        <v>5</v>
      </c>
      <c r="C2169" s="347">
        <v>3110</v>
      </c>
      <c r="D2169" s="340" t="str">
        <f>VLOOKUP(C2169,Plan!A$1:B$65542,2,0)</f>
        <v>Colectas Normales</v>
      </c>
      <c r="E2169" s="396">
        <f>-G2169</f>
        <v>-20000</v>
      </c>
      <c r="F2169" s="396">
        <v>0</v>
      </c>
      <c r="G2169" s="396">
        <f>+F2168</f>
        <v>20000</v>
      </c>
      <c r="H2169" s="347" t="str">
        <f>+H2168</f>
        <v>Colecta Sandra Socias R</v>
      </c>
      <c r="I2169" s="347" t="s">
        <v>1303</v>
      </c>
      <c r="K2169" s="370"/>
      <c r="N2169" s="370"/>
    </row>
    <row r="2170" spans="1:14" s="347" customFormat="1" x14ac:dyDescent="0.25">
      <c r="A2170" s="369"/>
      <c r="E2170" s="396"/>
      <c r="F2170" s="396"/>
      <c r="G2170" s="396"/>
      <c r="K2170" s="370"/>
      <c r="N2170" s="370"/>
    </row>
    <row r="2171" spans="1:14" s="347" customFormat="1" x14ac:dyDescent="0.25">
      <c r="A2171" s="369">
        <v>44319</v>
      </c>
      <c r="B2171" s="340">
        <f>+MONTH(A2171)</f>
        <v>5</v>
      </c>
      <c r="C2171" s="347">
        <v>110</v>
      </c>
      <c r="D2171" s="340" t="str">
        <f>VLOOKUP(C2171,Plan!A$1:B$65542,2,0)</f>
        <v>Disponible Administración</v>
      </c>
      <c r="E2171" s="341">
        <f>+F2171-G2171</f>
        <v>2000</v>
      </c>
      <c r="F2171" s="396">
        <v>2000</v>
      </c>
      <c r="G2171" s="396">
        <v>0</v>
      </c>
      <c r="H2171" t="s">
        <v>1216</v>
      </c>
      <c r="I2171" s="347" t="s">
        <v>1303</v>
      </c>
      <c r="K2171" s="370"/>
      <c r="N2171" s="370"/>
    </row>
    <row r="2172" spans="1:14" s="347" customFormat="1" x14ac:dyDescent="0.25">
      <c r="A2172" s="369">
        <f>+A2171</f>
        <v>44319</v>
      </c>
      <c r="B2172" s="347">
        <f>+B2171</f>
        <v>5</v>
      </c>
      <c r="C2172" s="347">
        <v>3110</v>
      </c>
      <c r="D2172" s="340" t="str">
        <f>VLOOKUP(C2172,Plan!A$1:B$65542,2,0)</f>
        <v>Colectas Normales</v>
      </c>
      <c r="E2172" s="396">
        <f>-G2172</f>
        <v>-2000</v>
      </c>
      <c r="F2172" s="396">
        <v>0</v>
      </c>
      <c r="G2172" s="396">
        <f>+F2171</f>
        <v>2000</v>
      </c>
      <c r="H2172" s="347" t="str">
        <f>+H2171</f>
        <v>Colecta Trinidad Barriga Cruzat</v>
      </c>
      <c r="I2172" s="347" t="s">
        <v>1303</v>
      </c>
      <c r="K2172" s="370"/>
      <c r="N2172" s="370"/>
    </row>
    <row r="2173" spans="1:14" s="347" customFormat="1" x14ac:dyDescent="0.25">
      <c r="A2173" s="369"/>
      <c r="E2173" s="396"/>
      <c r="F2173" s="396"/>
      <c r="G2173" s="396"/>
      <c r="K2173" s="370"/>
      <c r="N2173" s="370"/>
    </row>
    <row r="2174" spans="1:14" s="347" customFormat="1" x14ac:dyDescent="0.25">
      <c r="A2174" s="369">
        <v>44319</v>
      </c>
      <c r="B2174" s="340">
        <f>+MONTH(A2174)</f>
        <v>5</v>
      </c>
      <c r="C2174" s="347">
        <v>110</v>
      </c>
      <c r="D2174" s="340" t="str">
        <f>VLOOKUP(C2174,Plan!A$1:B$65542,2,0)</f>
        <v>Disponible Administración</v>
      </c>
      <c r="E2174" s="341">
        <f>+F2174-G2174</f>
        <v>249160</v>
      </c>
      <c r="F2174" s="396">
        <v>249160</v>
      </c>
      <c r="G2174" s="396">
        <v>0</v>
      </c>
      <c r="H2174" t="s">
        <v>1439</v>
      </c>
      <c r="I2174" s="347" t="s">
        <v>1303</v>
      </c>
      <c r="K2174" s="370"/>
      <c r="N2174" s="370"/>
    </row>
    <row r="2175" spans="1:14" s="347" customFormat="1" x14ac:dyDescent="0.25">
      <c r="A2175" s="369">
        <f>+A2174</f>
        <v>44319</v>
      </c>
      <c r="B2175" s="347">
        <f>+B2174</f>
        <v>5</v>
      </c>
      <c r="C2175" s="347">
        <v>3110</v>
      </c>
      <c r="D2175" s="340" t="str">
        <f>VLOOKUP(C2175,Plan!A$1:B$65542,2,0)</f>
        <v>Colectas Normales</v>
      </c>
      <c r="E2175" s="396">
        <f>-G2175</f>
        <v>-249160</v>
      </c>
      <c r="F2175" s="396">
        <v>0</v>
      </c>
      <c r="G2175" s="396">
        <f>+F2174</f>
        <v>249160</v>
      </c>
      <c r="H2175" s="347" t="str">
        <f>+H2174</f>
        <v>Dep. Colecta Col. Cordillera</v>
      </c>
      <c r="I2175" s="347" t="s">
        <v>1303</v>
      </c>
      <c r="K2175" s="370"/>
      <c r="N2175" s="370"/>
    </row>
    <row r="2176" spans="1:14" s="347" customFormat="1" x14ac:dyDescent="0.25">
      <c r="A2176" s="369"/>
      <c r="E2176" s="396"/>
      <c r="F2176" s="396"/>
      <c r="G2176" s="396"/>
      <c r="K2176" s="370"/>
      <c r="N2176" s="370"/>
    </row>
    <row r="2177" spans="1:14" s="347" customFormat="1" x14ac:dyDescent="0.25">
      <c r="A2177" s="369">
        <v>44320</v>
      </c>
      <c r="B2177" s="340">
        <f>+MONTH(A2177)</f>
        <v>5</v>
      </c>
      <c r="C2177" s="347">
        <v>110</v>
      </c>
      <c r="D2177" s="340" t="str">
        <f>VLOOKUP(C2177,Plan!A$1:B$65542,2,0)</f>
        <v>Disponible Administración</v>
      </c>
      <c r="E2177" s="341">
        <f>+F2177-G2177</f>
        <v>5000</v>
      </c>
      <c r="F2177" s="396">
        <v>5000</v>
      </c>
      <c r="G2177" s="396">
        <v>0</v>
      </c>
      <c r="H2177" t="s">
        <v>1439</v>
      </c>
      <c r="I2177" s="347" t="s">
        <v>1303</v>
      </c>
      <c r="K2177" s="370"/>
      <c r="N2177" s="370"/>
    </row>
    <row r="2178" spans="1:14" s="347" customFormat="1" x14ac:dyDescent="0.25">
      <c r="A2178" s="369">
        <f>+A2177</f>
        <v>44320</v>
      </c>
      <c r="B2178" s="347">
        <f>+B2177</f>
        <v>5</v>
      </c>
      <c r="C2178" s="347">
        <v>3110</v>
      </c>
      <c r="D2178" s="340" t="str">
        <f>VLOOKUP(C2178,Plan!A$1:B$65542,2,0)</f>
        <v>Colectas Normales</v>
      </c>
      <c r="E2178" s="396">
        <f>-G2178</f>
        <v>-5000</v>
      </c>
      <c r="F2178" s="396">
        <v>0</v>
      </c>
      <c r="G2178" s="396">
        <f>+F2177</f>
        <v>5000</v>
      </c>
      <c r="H2178" s="347" t="str">
        <f>+H2177</f>
        <v>Dep. Colecta Col. Cordillera</v>
      </c>
      <c r="I2178" s="347" t="s">
        <v>1303</v>
      </c>
      <c r="K2178" s="370"/>
      <c r="N2178" s="370"/>
    </row>
    <row r="2179" spans="1:14" s="347" customFormat="1" x14ac:dyDescent="0.25">
      <c r="A2179" s="369"/>
      <c r="E2179" s="396"/>
      <c r="F2179" s="396"/>
      <c r="G2179" s="396"/>
      <c r="K2179" s="370"/>
      <c r="N2179" s="370"/>
    </row>
    <row r="2180" spans="1:14" s="347" customFormat="1" x14ac:dyDescent="0.25">
      <c r="A2180" s="369">
        <v>44320</v>
      </c>
      <c r="B2180" s="340">
        <f>+MONTH(A2180)</f>
        <v>5</v>
      </c>
      <c r="C2180" s="347">
        <v>110</v>
      </c>
      <c r="D2180" s="340" t="str">
        <f>VLOOKUP(C2180,Plan!A$1:B$65542,2,0)</f>
        <v>Disponible Administración</v>
      </c>
      <c r="E2180" s="341">
        <f>+F2180-G2180</f>
        <v>12000</v>
      </c>
      <c r="F2180" s="396">
        <v>12000</v>
      </c>
      <c r="G2180" s="396">
        <v>0</v>
      </c>
      <c r="H2180" t="s">
        <v>1381</v>
      </c>
      <c r="I2180" s="347" t="s">
        <v>1303</v>
      </c>
      <c r="K2180" s="370"/>
      <c r="N2180" s="370"/>
    </row>
    <row r="2181" spans="1:14" s="347" customFormat="1" x14ac:dyDescent="0.25">
      <c r="A2181" s="369">
        <f>+A2180</f>
        <v>44320</v>
      </c>
      <c r="B2181" s="347">
        <f>+B2180</f>
        <v>5</v>
      </c>
      <c r="C2181" s="347">
        <v>3110</v>
      </c>
      <c r="D2181" s="340" t="str">
        <f>VLOOKUP(C2181,Plan!A$1:B$65542,2,0)</f>
        <v>Colectas Normales</v>
      </c>
      <c r="E2181" s="396">
        <f>-G2181</f>
        <v>-12000</v>
      </c>
      <c r="F2181" s="396">
        <v>0</v>
      </c>
      <c r="G2181" s="396">
        <f>+F2180</f>
        <v>12000</v>
      </c>
      <c r="H2181" s="347" t="str">
        <f>+H2180</f>
        <v>Colecta Ingrid Maria Nielsen Galli</v>
      </c>
      <c r="I2181" s="347" t="s">
        <v>1303</v>
      </c>
      <c r="K2181" s="370"/>
      <c r="N2181" s="370"/>
    </row>
    <row r="2182" spans="1:14" s="347" customFormat="1" x14ac:dyDescent="0.25">
      <c r="A2182" s="369"/>
      <c r="E2182" s="396"/>
      <c r="F2182" s="396"/>
      <c r="G2182" s="396"/>
      <c r="K2182" s="370"/>
      <c r="N2182" s="370"/>
    </row>
    <row r="2183" spans="1:14" s="347" customFormat="1" x14ac:dyDescent="0.25">
      <c r="A2183" s="369">
        <v>44320</v>
      </c>
      <c r="B2183" s="340">
        <f>+MONTH(A2183)</f>
        <v>5</v>
      </c>
      <c r="C2183" s="347">
        <v>110</v>
      </c>
      <c r="D2183" s="340" t="str">
        <f>VLOOKUP(C2183,Plan!A$1:B$65542,2,0)</f>
        <v>Disponible Administración</v>
      </c>
      <c r="E2183" s="341">
        <f>+F2183-G2183</f>
        <v>20000</v>
      </c>
      <c r="F2183" s="396">
        <v>20000</v>
      </c>
      <c r="G2183" s="396">
        <v>0</v>
      </c>
      <c r="H2183" t="s">
        <v>1440</v>
      </c>
      <c r="I2183" s="347" t="s">
        <v>1303</v>
      </c>
      <c r="K2183" s="370"/>
      <c r="N2183" s="370"/>
    </row>
    <row r="2184" spans="1:14" s="347" customFormat="1" x14ac:dyDescent="0.25">
      <c r="A2184" s="369">
        <f>+A2183</f>
        <v>44320</v>
      </c>
      <c r="B2184" s="347">
        <f>+B2183</f>
        <v>5</v>
      </c>
      <c r="C2184" s="347">
        <v>215</v>
      </c>
      <c r="D2184" s="340" t="str">
        <f>VLOOKUP(C2184,Plan!A$1:B$65542,2,0)</f>
        <v>Cuenta por Pagar a Cali</v>
      </c>
      <c r="E2184" s="396">
        <f>-G2184</f>
        <v>-20000</v>
      </c>
      <c r="F2184" s="396">
        <v>0</v>
      </c>
      <c r="G2184" s="396">
        <f>+F2183</f>
        <v>20000</v>
      </c>
      <c r="H2184" s="347" t="str">
        <f>+H2183</f>
        <v xml:space="preserve">Ingrid María Nielsen Galli/Azul </v>
      </c>
      <c r="I2184" s="347" t="s">
        <v>1303</v>
      </c>
      <c r="K2184" s="370"/>
      <c r="N2184" s="370"/>
    </row>
    <row r="2185" spans="1:14" s="347" customFormat="1" x14ac:dyDescent="0.25">
      <c r="A2185" s="369"/>
      <c r="E2185" s="396"/>
      <c r="F2185" s="396"/>
      <c r="G2185" s="396"/>
      <c r="K2185" s="370"/>
      <c r="N2185" s="370"/>
    </row>
    <row r="2186" spans="1:14" s="347" customFormat="1" x14ac:dyDescent="0.25">
      <c r="A2186" s="369">
        <v>44320</v>
      </c>
      <c r="B2186" s="340">
        <f>+MONTH(A2186)</f>
        <v>5</v>
      </c>
      <c r="C2186" s="347">
        <v>110</v>
      </c>
      <c r="D2186" s="340" t="str">
        <f>VLOOKUP(C2186,Plan!A$1:B$65542,2,0)</f>
        <v>Disponible Administración</v>
      </c>
      <c r="E2186" s="341">
        <f>+F2186-G2186</f>
        <v>20000</v>
      </c>
      <c r="F2186" s="396">
        <v>20000</v>
      </c>
      <c r="G2186" s="396">
        <v>0</v>
      </c>
      <c r="H2186" t="s">
        <v>1441</v>
      </c>
      <c r="I2186" s="347" t="s">
        <v>1303</v>
      </c>
      <c r="K2186" s="370"/>
      <c r="N2186" s="370"/>
    </row>
    <row r="2187" spans="1:14" s="347" customFormat="1" x14ac:dyDescent="0.25">
      <c r="A2187" s="369">
        <f>+A2186</f>
        <v>44320</v>
      </c>
      <c r="B2187" s="347">
        <f>+B2186</f>
        <v>5</v>
      </c>
      <c r="C2187" s="347">
        <v>3450</v>
      </c>
      <c r="D2187" s="340" t="str">
        <f>VLOOKUP(C2187,Plan!A$1:B$65542,2,0)</f>
        <v>Pastoral Social</v>
      </c>
      <c r="E2187" s="396">
        <f>-G2187</f>
        <v>-20000</v>
      </c>
      <c r="F2187" s="396">
        <v>0</v>
      </c>
      <c r="G2187" s="396">
        <f>+F2186</f>
        <v>20000</v>
      </c>
      <c r="H2187" s="347" t="str">
        <f>+H2186</f>
        <v>Canastas Maria Rosa Masjuan G.</v>
      </c>
      <c r="I2187" s="347" t="s">
        <v>1303</v>
      </c>
      <c r="K2187" s="370"/>
      <c r="N2187" s="370"/>
    </row>
    <row r="2188" spans="1:14" s="347" customFormat="1" x14ac:dyDescent="0.25">
      <c r="A2188" s="369"/>
      <c r="E2188" s="396"/>
      <c r="F2188" s="396"/>
      <c r="G2188" s="396"/>
      <c r="K2188" s="370"/>
      <c r="N2188" s="370"/>
    </row>
    <row r="2189" spans="1:14" s="347" customFormat="1" x14ac:dyDescent="0.25">
      <c r="A2189" s="369">
        <v>44320</v>
      </c>
      <c r="B2189" s="340">
        <f>+MONTH(A2189)</f>
        <v>5</v>
      </c>
      <c r="C2189" s="347">
        <v>110</v>
      </c>
      <c r="D2189" s="340" t="str">
        <f>VLOOKUP(C2189,Plan!A$1:B$65542,2,0)</f>
        <v>Disponible Administración</v>
      </c>
      <c r="E2189" s="341">
        <f>+F2189-G2189</f>
        <v>25000</v>
      </c>
      <c r="F2189" s="396">
        <v>25000</v>
      </c>
      <c r="G2189" s="396">
        <v>0</v>
      </c>
      <c r="H2189" t="s">
        <v>1442</v>
      </c>
      <c r="I2189" s="347" t="s">
        <v>1303</v>
      </c>
      <c r="K2189" s="370"/>
      <c r="N2189" s="370"/>
    </row>
    <row r="2190" spans="1:14" s="347" customFormat="1" x14ac:dyDescent="0.25">
      <c r="A2190" s="369">
        <f>+A2189</f>
        <v>44320</v>
      </c>
      <c r="B2190" s="347">
        <f>+B2189</f>
        <v>5</v>
      </c>
      <c r="C2190" s="347">
        <v>3360</v>
      </c>
      <c r="D2190" s="340" t="str">
        <f>VLOOKUP(C2190,Plan!A$1:B$65542,2,0)</f>
        <v>Otros</v>
      </c>
      <c r="E2190" s="396">
        <f>-G2190</f>
        <v>-25000</v>
      </c>
      <c r="F2190" s="396">
        <v>0</v>
      </c>
      <c r="G2190" s="396">
        <f>+F2189</f>
        <v>25000</v>
      </c>
      <c r="H2190" s="347" t="str">
        <f>+H2189</f>
        <v>Curso Jorge Larrañaga</v>
      </c>
      <c r="I2190" s="347" t="s">
        <v>1303</v>
      </c>
      <c r="K2190" s="370"/>
      <c r="N2190" s="370"/>
    </row>
    <row r="2191" spans="1:14" s="347" customFormat="1" x14ac:dyDescent="0.25">
      <c r="A2191" s="369"/>
      <c r="E2191" s="396"/>
      <c r="F2191" s="396"/>
      <c r="G2191" s="396"/>
      <c r="K2191" s="370"/>
      <c r="N2191" s="370"/>
    </row>
    <row r="2192" spans="1:14" s="347" customFormat="1" x14ac:dyDescent="0.25">
      <c r="A2192" s="369">
        <v>44320</v>
      </c>
      <c r="B2192" s="340">
        <f>+MONTH(A2192)</f>
        <v>5</v>
      </c>
      <c r="C2192" s="347">
        <v>110</v>
      </c>
      <c r="D2192" s="340" t="str">
        <f>VLOOKUP(C2192,Plan!A$1:B$65542,2,0)</f>
        <v>Disponible Administración</v>
      </c>
      <c r="E2192" s="341">
        <f>+F2192-G2192</f>
        <v>20000</v>
      </c>
      <c r="F2192" s="396">
        <v>20000</v>
      </c>
      <c r="G2192" s="396">
        <v>0</v>
      </c>
      <c r="H2192" t="s">
        <v>1201</v>
      </c>
      <c r="I2192" s="347" t="s">
        <v>1303</v>
      </c>
      <c r="K2192" s="370"/>
      <c r="N2192" s="370"/>
    </row>
    <row r="2193" spans="1:14" s="347" customFormat="1" x14ac:dyDescent="0.25">
      <c r="A2193" s="369">
        <f>+A2192</f>
        <v>44320</v>
      </c>
      <c r="B2193" s="347">
        <f>+B2192</f>
        <v>5</v>
      </c>
      <c r="C2193" s="347">
        <v>3110</v>
      </c>
      <c r="D2193" s="340" t="str">
        <f>VLOOKUP(C2193,Plan!A$1:B$65542,2,0)</f>
        <v>Colectas Normales</v>
      </c>
      <c r="E2193" s="396">
        <f>-G2193</f>
        <v>-20000</v>
      </c>
      <c r="F2193" s="396">
        <v>0</v>
      </c>
      <c r="G2193" s="396">
        <f>+F2192</f>
        <v>20000</v>
      </c>
      <c r="H2193" s="347" t="str">
        <f>+H2192</f>
        <v>Colecta Jorge Larrañaga</v>
      </c>
      <c r="I2193" s="347" t="s">
        <v>1303</v>
      </c>
      <c r="K2193" s="370"/>
      <c r="N2193" s="370"/>
    </row>
    <row r="2194" spans="1:14" s="347" customFormat="1" x14ac:dyDescent="0.25">
      <c r="A2194" s="369"/>
      <c r="E2194" s="396"/>
      <c r="F2194" s="396"/>
      <c r="G2194" s="396"/>
      <c r="K2194" s="370"/>
      <c r="N2194" s="370"/>
    </row>
    <row r="2195" spans="1:14" s="347" customFormat="1" x14ac:dyDescent="0.25">
      <c r="A2195" s="369">
        <v>44320</v>
      </c>
      <c r="B2195" s="340">
        <f>+MONTH(A2195)</f>
        <v>5</v>
      </c>
      <c r="C2195" s="347">
        <v>110</v>
      </c>
      <c r="D2195" s="340" t="str">
        <f>VLOOKUP(C2195,Plan!A$1:B$65542,2,0)</f>
        <v>Disponible Administración</v>
      </c>
      <c r="E2195" s="341">
        <f>+F2195-G2195</f>
        <v>15000</v>
      </c>
      <c r="F2195" s="396">
        <v>15000</v>
      </c>
      <c r="G2195" s="396">
        <v>0</v>
      </c>
      <c r="H2195" t="s">
        <v>888</v>
      </c>
      <c r="I2195" s="347" t="s">
        <v>1303</v>
      </c>
      <c r="K2195" s="370"/>
      <c r="N2195" s="370"/>
    </row>
    <row r="2196" spans="1:14" s="347" customFormat="1" x14ac:dyDescent="0.25">
      <c r="A2196" s="369">
        <f>+A2195</f>
        <v>44320</v>
      </c>
      <c r="B2196" s="347">
        <f>+B2195</f>
        <v>5</v>
      </c>
      <c r="C2196" s="347">
        <v>3110</v>
      </c>
      <c r="D2196" s="340" t="str">
        <f>VLOOKUP(C2196,Plan!A$1:B$65542,2,0)</f>
        <v>Colectas Normales</v>
      </c>
      <c r="E2196" s="396">
        <f>-G2196</f>
        <v>-15000</v>
      </c>
      <c r="F2196" s="396">
        <v>0</v>
      </c>
      <c r="G2196" s="396">
        <f>+F2195</f>
        <v>15000</v>
      </c>
      <c r="H2196" s="347" t="str">
        <f>+H2195</f>
        <v>Colecta Gonzalo Contardo M</v>
      </c>
      <c r="I2196" s="347" t="s">
        <v>1303</v>
      </c>
      <c r="K2196" s="370"/>
      <c r="N2196" s="370"/>
    </row>
    <row r="2197" spans="1:14" s="347" customFormat="1" x14ac:dyDescent="0.25">
      <c r="A2197" s="369"/>
      <c r="E2197" s="396"/>
      <c r="F2197" s="396"/>
      <c r="G2197" s="396"/>
      <c r="K2197" s="370"/>
      <c r="N2197" s="370"/>
    </row>
    <row r="2198" spans="1:14" s="347" customFormat="1" x14ac:dyDescent="0.25">
      <c r="A2198" s="369">
        <v>44320</v>
      </c>
      <c r="B2198" s="340">
        <f>+MONTH(A2198)</f>
        <v>5</v>
      </c>
      <c r="C2198" s="347">
        <v>110</v>
      </c>
      <c r="D2198" s="340" t="str">
        <f>VLOOKUP(C2198,Plan!A$1:B$65542,2,0)</f>
        <v>Disponible Administración</v>
      </c>
      <c r="E2198" s="341">
        <f>+F2198-G2198</f>
        <v>40000</v>
      </c>
      <c r="F2198" s="396">
        <v>40000</v>
      </c>
      <c r="G2198" s="396">
        <v>0</v>
      </c>
      <c r="H2198" t="s">
        <v>1443</v>
      </c>
      <c r="I2198" s="347" t="s">
        <v>1303</v>
      </c>
      <c r="K2198" s="370"/>
      <c r="N2198" s="370"/>
    </row>
    <row r="2199" spans="1:14" s="347" customFormat="1" x14ac:dyDescent="0.25">
      <c r="A2199" s="369">
        <f>+A2198</f>
        <v>44320</v>
      </c>
      <c r="B2199" s="347">
        <f>+B2198</f>
        <v>5</v>
      </c>
      <c r="C2199" s="347">
        <v>3110</v>
      </c>
      <c r="D2199" s="340" t="str">
        <f>VLOOKUP(C2199,Plan!A$1:B$65542,2,0)</f>
        <v>Colectas Normales</v>
      </c>
      <c r="E2199" s="396">
        <f>-G2199</f>
        <v>-40000</v>
      </c>
      <c r="F2199" s="396">
        <v>0</v>
      </c>
      <c r="G2199" s="396">
        <f>+F2198</f>
        <v>40000</v>
      </c>
      <c r="H2199" s="347" t="str">
        <f>+H2198</f>
        <v>Colecta Patricio Latapiat H</v>
      </c>
      <c r="I2199" s="347" t="s">
        <v>1303</v>
      </c>
      <c r="K2199" s="370"/>
      <c r="N2199" s="370"/>
    </row>
    <row r="2200" spans="1:14" s="347" customFormat="1" x14ac:dyDescent="0.25">
      <c r="A2200" s="369"/>
      <c r="E2200" s="396"/>
      <c r="F2200" s="396"/>
      <c r="G2200" s="396"/>
      <c r="K2200" s="370"/>
      <c r="N2200" s="370"/>
    </row>
    <row r="2201" spans="1:14" s="347" customFormat="1" x14ac:dyDescent="0.25">
      <c r="A2201" s="369">
        <v>44320</v>
      </c>
      <c r="B2201" s="340">
        <f>+MONTH(A2201)</f>
        <v>5</v>
      </c>
      <c r="C2201" s="347">
        <v>110</v>
      </c>
      <c r="D2201" s="340" t="str">
        <f>VLOOKUP(C2201,Plan!A$1:B$65542,2,0)</f>
        <v>Disponible Administración</v>
      </c>
      <c r="E2201" s="341">
        <f>+F2201-G2201</f>
        <v>8825</v>
      </c>
      <c r="F2201" s="396">
        <v>8825</v>
      </c>
      <c r="G2201" s="396">
        <v>0</v>
      </c>
      <c r="H2201" t="s">
        <v>897</v>
      </c>
      <c r="I2201" s="347" t="s">
        <v>1303</v>
      </c>
      <c r="K2201" s="370"/>
      <c r="N2201" s="370"/>
    </row>
    <row r="2202" spans="1:14" s="347" customFormat="1" x14ac:dyDescent="0.25">
      <c r="A2202" s="369">
        <f>+A2201</f>
        <v>44320</v>
      </c>
      <c r="B2202" s="347">
        <f>+B2201</f>
        <v>5</v>
      </c>
      <c r="C2202" s="347">
        <v>3110</v>
      </c>
      <c r="D2202" s="340" t="str">
        <f>VLOOKUP(C2202,Plan!A$1:B$65542,2,0)</f>
        <v>Colectas Normales</v>
      </c>
      <c r="E2202" s="396">
        <f>-G2202</f>
        <v>-8825</v>
      </c>
      <c r="F2202" s="396">
        <v>0</v>
      </c>
      <c r="G2202" s="396">
        <f>+F2201</f>
        <v>8825</v>
      </c>
      <c r="H2202" s="347" t="str">
        <f>+H2201</f>
        <v>Colecta DCT</v>
      </c>
      <c r="I2202" s="347" t="s">
        <v>1303</v>
      </c>
      <c r="K2202" s="370"/>
      <c r="N2202" s="370"/>
    </row>
    <row r="2203" spans="1:14" s="347" customFormat="1" x14ac:dyDescent="0.25">
      <c r="A2203" s="369"/>
      <c r="E2203" s="396"/>
      <c r="F2203" s="396"/>
      <c r="G2203" s="396"/>
      <c r="K2203" s="370"/>
      <c r="N2203" s="370"/>
    </row>
    <row r="2204" spans="1:14" s="347" customFormat="1" x14ac:dyDescent="0.25">
      <c r="A2204" s="369">
        <v>44320</v>
      </c>
      <c r="B2204" s="340">
        <f>+MONTH(A2204)</f>
        <v>5</v>
      </c>
      <c r="C2204" s="347">
        <v>110</v>
      </c>
      <c r="D2204" s="340" t="str">
        <f>VLOOKUP(C2204,Plan!A$1:B$65542,2,0)</f>
        <v>Disponible Administración</v>
      </c>
      <c r="E2204" s="341">
        <f>+F2204-G2204</f>
        <v>30000</v>
      </c>
      <c r="F2204" s="396">
        <v>30000</v>
      </c>
      <c r="G2204" s="396">
        <v>0</v>
      </c>
      <c r="H2204" t="s">
        <v>919</v>
      </c>
      <c r="I2204" s="347" t="s">
        <v>1303</v>
      </c>
      <c r="K2204" s="370"/>
      <c r="N2204" s="370"/>
    </row>
    <row r="2205" spans="1:14" s="347" customFormat="1" x14ac:dyDescent="0.25">
      <c r="A2205" s="369">
        <f>+A2204</f>
        <v>44320</v>
      </c>
      <c r="B2205" s="347">
        <f>+B2204</f>
        <v>5</v>
      </c>
      <c r="C2205" s="347">
        <v>3110</v>
      </c>
      <c r="D2205" s="340" t="str">
        <f>VLOOKUP(C2205,Plan!A$1:B$65542,2,0)</f>
        <v>Colectas Normales</v>
      </c>
      <c r="E2205" s="396">
        <f>-G2205</f>
        <v>-30000</v>
      </c>
      <c r="F2205" s="396">
        <v>0</v>
      </c>
      <c r="G2205" s="396">
        <f>+F2204</f>
        <v>30000</v>
      </c>
      <c r="H2205" s="347" t="str">
        <f>+H2204</f>
        <v>Colecta Maria Josefina Jofre M</v>
      </c>
      <c r="I2205" s="347" t="s">
        <v>1303</v>
      </c>
      <c r="K2205" s="370"/>
      <c r="N2205" s="370"/>
    </row>
    <row r="2206" spans="1:14" s="347" customFormat="1" x14ac:dyDescent="0.25">
      <c r="A2206" s="369"/>
      <c r="E2206" s="396"/>
      <c r="F2206" s="396"/>
      <c r="G2206" s="396"/>
      <c r="K2206" s="370"/>
      <c r="N2206" s="370"/>
    </row>
    <row r="2207" spans="1:14" s="347" customFormat="1" x14ac:dyDescent="0.25">
      <c r="A2207" s="369">
        <v>44320</v>
      </c>
      <c r="B2207" s="340">
        <f>+MONTH(A2207)</f>
        <v>5</v>
      </c>
      <c r="C2207" s="347">
        <v>110</v>
      </c>
      <c r="D2207" s="340" t="str">
        <f>VLOOKUP(C2207,Plan!A$1:B$65542,2,0)</f>
        <v>Disponible Administración</v>
      </c>
      <c r="E2207" s="341">
        <f>+F2207-G2207</f>
        <v>15000</v>
      </c>
      <c r="F2207" s="396">
        <v>15000</v>
      </c>
      <c r="G2207" s="396">
        <v>0</v>
      </c>
      <c r="H2207" t="s">
        <v>1444</v>
      </c>
      <c r="I2207" s="347" t="s">
        <v>1303</v>
      </c>
      <c r="K2207" s="370"/>
      <c r="N2207" s="370"/>
    </row>
    <row r="2208" spans="1:14" s="347" customFormat="1" x14ac:dyDescent="0.25">
      <c r="A2208" s="369">
        <f>+A2207</f>
        <v>44320</v>
      </c>
      <c r="B2208" s="347">
        <f>+B2207</f>
        <v>5</v>
      </c>
      <c r="C2208" s="347">
        <v>3110</v>
      </c>
      <c r="D2208" s="340" t="str">
        <f>VLOOKUP(C2208,Plan!A$1:B$65542,2,0)</f>
        <v>Colectas Normales</v>
      </c>
      <c r="E2208" s="396">
        <f>-G2208</f>
        <v>-15000</v>
      </c>
      <c r="F2208" s="396">
        <v>0</v>
      </c>
      <c r="G2208" s="396">
        <f>+F2207</f>
        <v>15000</v>
      </c>
      <c r="H2208" s="347" t="str">
        <f>+H2207</f>
        <v>Colecta Ana maria Alvarez T</v>
      </c>
      <c r="I2208" s="347" t="s">
        <v>1303</v>
      </c>
      <c r="K2208" s="370"/>
      <c r="N2208" s="370"/>
    </row>
    <row r="2209" spans="1:14" s="347" customFormat="1" x14ac:dyDescent="0.25">
      <c r="A2209" s="369"/>
      <c r="E2209" s="396"/>
      <c r="F2209" s="396"/>
      <c r="G2209" s="396"/>
      <c r="K2209" s="370"/>
      <c r="N2209" s="370"/>
    </row>
    <row r="2210" spans="1:14" s="347" customFormat="1" x14ac:dyDescent="0.25">
      <c r="A2210" s="369">
        <v>44320</v>
      </c>
      <c r="B2210" s="340">
        <f>+MONTH(A2210)</f>
        <v>5</v>
      </c>
      <c r="C2210" s="347">
        <v>110</v>
      </c>
      <c r="D2210" s="340" t="str">
        <f>VLOOKUP(C2210,Plan!A$1:B$65542,2,0)</f>
        <v>Disponible Administración</v>
      </c>
      <c r="E2210" s="341">
        <f>+F2210-G2210</f>
        <v>25000</v>
      </c>
      <c r="F2210" s="396">
        <v>25000</v>
      </c>
      <c r="G2210" s="396">
        <v>0</v>
      </c>
      <c r="H2210" t="s">
        <v>1445</v>
      </c>
      <c r="I2210" s="347" t="s">
        <v>1303</v>
      </c>
      <c r="K2210" s="370"/>
      <c r="N2210" s="370"/>
    </row>
    <row r="2211" spans="1:14" s="347" customFormat="1" x14ac:dyDescent="0.25">
      <c r="A2211" s="369">
        <f>+A2210</f>
        <v>44320</v>
      </c>
      <c r="B2211" s="347">
        <f>+B2210</f>
        <v>5</v>
      </c>
      <c r="C2211" s="347">
        <v>3360</v>
      </c>
      <c r="D2211" s="340" t="str">
        <f>VLOOKUP(C2211,Plan!A$1:B$65542,2,0)</f>
        <v>Otros</v>
      </c>
      <c r="E2211" s="396">
        <f>-G2211</f>
        <v>-25000</v>
      </c>
      <c r="F2211" s="396">
        <v>0</v>
      </c>
      <c r="G2211" s="396">
        <f>+F2210</f>
        <v>25000</v>
      </c>
      <c r="H2211" s="347" t="str">
        <f>+H2210</f>
        <v>Curso Ana Maria Alvarez Toro</v>
      </c>
      <c r="I2211" s="347" t="s">
        <v>1303</v>
      </c>
      <c r="K2211" s="370"/>
      <c r="N2211" s="370"/>
    </row>
    <row r="2212" spans="1:14" s="347" customFormat="1" x14ac:dyDescent="0.25">
      <c r="A2212" s="369"/>
      <c r="E2212" s="396"/>
      <c r="F2212" s="396"/>
      <c r="G2212" s="396"/>
      <c r="K2212" s="370"/>
      <c r="N2212" s="370"/>
    </row>
    <row r="2213" spans="1:14" s="347" customFormat="1" x14ac:dyDescent="0.25">
      <c r="A2213" s="369">
        <v>44320</v>
      </c>
      <c r="B2213" s="340">
        <f>+MONTH(A2213)</f>
        <v>5</v>
      </c>
      <c r="C2213" s="347">
        <v>110</v>
      </c>
      <c r="D2213" s="340" t="str">
        <f>VLOOKUP(C2213,Plan!A$1:B$65542,2,0)</f>
        <v>Disponible Administración</v>
      </c>
      <c r="E2213" s="341">
        <f>+F2213-G2213</f>
        <v>40000</v>
      </c>
      <c r="F2213" s="396">
        <v>40000</v>
      </c>
      <c r="G2213" s="396">
        <v>0</v>
      </c>
      <c r="H2213" t="s">
        <v>912</v>
      </c>
      <c r="I2213" s="347" t="s">
        <v>1303</v>
      </c>
      <c r="K2213" s="370"/>
      <c r="N2213" s="370"/>
    </row>
    <row r="2214" spans="1:14" s="347" customFormat="1" x14ac:dyDescent="0.25">
      <c r="A2214" s="369">
        <f>+A2213</f>
        <v>44320</v>
      </c>
      <c r="B2214" s="347">
        <f>+B2213</f>
        <v>5</v>
      </c>
      <c r="C2214" s="347">
        <v>3110</v>
      </c>
      <c r="D2214" s="340" t="str">
        <f>VLOOKUP(C2214,Plan!A$1:B$65542,2,0)</f>
        <v>Colectas Normales</v>
      </c>
      <c r="E2214" s="396">
        <f>-G2214</f>
        <v>-40000</v>
      </c>
      <c r="F2214" s="396">
        <v>0</v>
      </c>
      <c r="G2214" s="396">
        <f>+F2213</f>
        <v>40000</v>
      </c>
      <c r="H2214" s="347" t="str">
        <f>+H2213</f>
        <v>Colecta Patricia Andrea Lorca Koch</v>
      </c>
      <c r="I2214" s="347" t="s">
        <v>1303</v>
      </c>
      <c r="K2214" s="370"/>
      <c r="N2214" s="370"/>
    </row>
    <row r="2215" spans="1:14" s="347" customFormat="1" x14ac:dyDescent="0.25">
      <c r="A2215" s="369"/>
      <c r="E2215" s="396"/>
      <c r="F2215" s="396"/>
      <c r="G2215" s="396"/>
      <c r="K2215" s="370"/>
      <c r="N2215" s="370"/>
    </row>
    <row r="2216" spans="1:14" s="347" customFormat="1" x14ac:dyDescent="0.25">
      <c r="A2216" s="369">
        <v>44321</v>
      </c>
      <c r="B2216" s="340">
        <f>+MONTH(A2216)</f>
        <v>5</v>
      </c>
      <c r="C2216" s="347">
        <v>4210</v>
      </c>
      <c r="D2216" s="340" t="str">
        <f>VLOOKUP(C2216,Plan!A$1:B$65542,2,0)</f>
        <v>Sueldos</v>
      </c>
      <c r="E2216" s="341">
        <f>+F2216-G2216</f>
        <v>1118210</v>
      </c>
      <c r="F2216" s="396">
        <v>1118210</v>
      </c>
      <c r="G2216" s="396">
        <v>0</v>
      </c>
      <c r="H2216" t="s">
        <v>1446</v>
      </c>
      <c r="I2216" s="347" t="s">
        <v>1303</v>
      </c>
      <c r="K2216" s="370"/>
      <c r="N2216" s="370"/>
    </row>
    <row r="2217" spans="1:14" s="347" customFormat="1" x14ac:dyDescent="0.25">
      <c r="A2217" s="369">
        <f>+A2216</f>
        <v>44321</v>
      </c>
      <c r="B2217" s="347">
        <f>+B2216</f>
        <v>5</v>
      </c>
      <c r="C2217" s="347">
        <v>110</v>
      </c>
      <c r="D2217" s="340" t="str">
        <f>VLOOKUP(C2217,Plan!A$1:B$65542,2,0)</f>
        <v>Disponible Administración</v>
      </c>
      <c r="E2217" s="396">
        <f>-G2217</f>
        <v>-1118210</v>
      </c>
      <c r="F2217" s="396">
        <v>0</v>
      </c>
      <c r="G2217" s="396">
        <f>+F2216</f>
        <v>1118210</v>
      </c>
      <c r="H2217" s="347" t="str">
        <f>+H2216</f>
        <v>Sueldo Rafael Valdes Searle Abril</v>
      </c>
      <c r="I2217" s="347" t="s">
        <v>1303</v>
      </c>
      <c r="K2217" s="370"/>
      <c r="N2217" s="370"/>
    </row>
    <row r="2218" spans="1:14" s="347" customFormat="1" x14ac:dyDescent="0.25">
      <c r="A2218" s="369"/>
      <c r="E2218" s="396"/>
      <c r="F2218" s="396"/>
      <c r="G2218" s="396"/>
      <c r="K2218" s="370"/>
      <c r="N2218" s="370"/>
    </row>
    <row r="2219" spans="1:14" s="347" customFormat="1" x14ac:dyDescent="0.25">
      <c r="A2219" s="369">
        <v>44321</v>
      </c>
      <c r="B2219" s="340">
        <f>+MONTH(A2219)</f>
        <v>5</v>
      </c>
      <c r="C2219" s="347">
        <v>4310</v>
      </c>
      <c r="D2219" s="340" t="str">
        <f>VLOOKUP(C2219,Plan!A$1:B$65542,2,0)</f>
        <v>Arriendos / Dividendos</v>
      </c>
      <c r="E2219" s="341">
        <f>+F2219-G2219</f>
        <v>802153</v>
      </c>
      <c r="F2219" s="396">
        <v>802153</v>
      </c>
      <c r="G2219" s="396">
        <v>0</v>
      </c>
      <c r="H2219" t="s">
        <v>1447</v>
      </c>
      <c r="I2219" s="347" t="s">
        <v>1303</v>
      </c>
      <c r="K2219" s="370"/>
      <c r="N2219" s="370"/>
    </row>
    <row r="2220" spans="1:14" s="347" customFormat="1" x14ac:dyDescent="0.25">
      <c r="A2220" s="369">
        <f>+A2219</f>
        <v>44321</v>
      </c>
      <c r="B2220" s="347">
        <f>+B2219</f>
        <v>5</v>
      </c>
      <c r="C2220" s="347">
        <v>110</v>
      </c>
      <c r="D2220" s="340" t="str">
        <f>VLOOKUP(C2220,Plan!A$1:B$65542,2,0)</f>
        <v>Disponible Administración</v>
      </c>
      <c r="E2220" s="396">
        <f>-G2220</f>
        <v>-802153</v>
      </c>
      <c r="F2220" s="396">
        <v>0</v>
      </c>
      <c r="G2220" s="396">
        <f>+F2219</f>
        <v>802153</v>
      </c>
      <c r="H2220" s="347" t="str">
        <f>+H2219</f>
        <v>Arriendo Mayo 2021 Claudio Valedez Searle</v>
      </c>
      <c r="I2220" s="347" t="s">
        <v>1303</v>
      </c>
      <c r="K2220" s="370"/>
      <c r="N2220" s="370"/>
    </row>
    <row r="2221" spans="1:14" s="347" customFormat="1" x14ac:dyDescent="0.25">
      <c r="A2221" s="369"/>
      <c r="E2221" s="396"/>
      <c r="F2221" s="396"/>
      <c r="G2221" s="396"/>
      <c r="K2221" s="370"/>
      <c r="N2221" s="370"/>
    </row>
    <row r="2222" spans="1:14" s="347" customFormat="1" x14ac:dyDescent="0.25">
      <c r="A2222" s="369">
        <v>44321</v>
      </c>
      <c r="B2222" s="340">
        <f>+MONTH(A2222)</f>
        <v>5</v>
      </c>
      <c r="C2222" s="347">
        <v>222</v>
      </c>
      <c r="D2222" s="340" t="str">
        <f>VLOOKUP(C2222,Plan!A$1:B$65542,2,0)</f>
        <v>Honorarios por pagar Administración</v>
      </c>
      <c r="E2222" s="341">
        <f>+F2222-G2222</f>
        <v>217046</v>
      </c>
      <c r="F2222" s="396">
        <v>217046</v>
      </c>
      <c r="G2222" s="396">
        <v>0</v>
      </c>
      <c r="H2222" t="s">
        <v>1448</v>
      </c>
      <c r="I2222" s="347" t="s">
        <v>1303</v>
      </c>
      <c r="K2222" s="370"/>
      <c r="N2222" s="370"/>
    </row>
    <row r="2223" spans="1:14" s="347" customFormat="1" x14ac:dyDescent="0.25">
      <c r="A2223" s="369">
        <f>+A2222</f>
        <v>44321</v>
      </c>
      <c r="B2223" s="347">
        <f>+B2222</f>
        <v>5</v>
      </c>
      <c r="C2223" s="347">
        <v>110</v>
      </c>
      <c r="D2223" s="340" t="str">
        <f>VLOOKUP(C2223,Plan!A$1:B$65542,2,0)</f>
        <v>Disponible Administración</v>
      </c>
      <c r="E2223" s="396">
        <f>-G2223</f>
        <v>-217046</v>
      </c>
      <c r="F2223" s="396">
        <v>0</v>
      </c>
      <c r="G2223" s="396">
        <v>217046</v>
      </c>
      <c r="H2223" s="347" t="str">
        <f>+H2222</f>
        <v>BE-157 Rodrigo Vidal Paiva Curso Biblia</v>
      </c>
      <c r="I2223" s="347" t="s">
        <v>1303</v>
      </c>
      <c r="K2223" s="370"/>
      <c r="N2223" s="370"/>
    </row>
    <row r="2224" spans="1:14" s="347" customFormat="1" x14ac:dyDescent="0.25">
      <c r="A2224" s="369"/>
      <c r="E2224" s="396"/>
      <c r="F2224" s="396"/>
      <c r="G2224" s="396"/>
      <c r="K2224" s="370"/>
      <c r="N2224" s="370"/>
    </row>
    <row r="2225" spans="1:14" s="347" customFormat="1" x14ac:dyDescent="0.25">
      <c r="A2225" s="369">
        <v>44321</v>
      </c>
      <c r="B2225" s="340">
        <f>+MONTH(A2225)</f>
        <v>5</v>
      </c>
      <c r="C2225" s="347">
        <v>110</v>
      </c>
      <c r="D2225" s="340" t="str">
        <f>VLOOKUP(C2225,Plan!A$1:B$65542,2,0)</f>
        <v>Disponible Administración</v>
      </c>
      <c r="E2225" s="341">
        <f>+F2225-G2225</f>
        <v>25000</v>
      </c>
      <c r="F2225" s="396">
        <v>25000</v>
      </c>
      <c r="G2225" s="396">
        <v>0</v>
      </c>
      <c r="H2225" t="s">
        <v>1449</v>
      </c>
      <c r="I2225" s="347" t="s">
        <v>1303</v>
      </c>
      <c r="K2225" s="370"/>
      <c r="N2225" s="370"/>
    </row>
    <row r="2226" spans="1:14" s="347" customFormat="1" x14ac:dyDescent="0.25">
      <c r="A2226" s="369">
        <f>+A2225</f>
        <v>44321</v>
      </c>
      <c r="B2226" s="347">
        <f>+B2225</f>
        <v>5</v>
      </c>
      <c r="C2226" s="347">
        <v>3360</v>
      </c>
      <c r="D2226" s="340" t="str">
        <f>VLOOKUP(C2226,Plan!A$1:B$65542,2,0)</f>
        <v>Otros</v>
      </c>
      <c r="E2226" s="396">
        <f>-G2226</f>
        <v>-25000</v>
      </c>
      <c r="F2226" s="396">
        <v>0</v>
      </c>
      <c r="G2226" s="396">
        <f>+F2225</f>
        <v>25000</v>
      </c>
      <c r="H2226" s="347" t="str">
        <f>+H2225</f>
        <v>Curso Sofia Vives Ekdahl</v>
      </c>
      <c r="I2226" s="347" t="s">
        <v>1303</v>
      </c>
      <c r="K2226" s="370"/>
      <c r="N2226" s="370"/>
    </row>
    <row r="2227" spans="1:14" s="347" customFormat="1" x14ac:dyDescent="0.25">
      <c r="A2227" s="369"/>
      <c r="E2227" s="396"/>
      <c r="F2227" s="396"/>
      <c r="G2227" s="396"/>
      <c r="K2227" s="370"/>
      <c r="N2227" s="370"/>
    </row>
    <row r="2228" spans="1:14" s="347" customFormat="1" x14ac:dyDescent="0.25">
      <c r="A2228" s="369">
        <v>44321</v>
      </c>
      <c r="B2228" s="340">
        <f>+MONTH(A2228)</f>
        <v>5</v>
      </c>
      <c r="C2228" s="347">
        <v>110</v>
      </c>
      <c r="D2228" s="340" t="str">
        <f>VLOOKUP(C2228,Plan!A$1:B$65542,2,0)</f>
        <v>Disponible Administración</v>
      </c>
      <c r="E2228" s="341">
        <f>+F2228-G2228</f>
        <v>20000</v>
      </c>
      <c r="F2228" s="396">
        <v>20000</v>
      </c>
      <c r="G2228" s="396">
        <v>0</v>
      </c>
      <c r="H2228" t="s">
        <v>913</v>
      </c>
      <c r="I2228" s="347" t="s">
        <v>1303</v>
      </c>
      <c r="K2228" s="370"/>
      <c r="N2228" s="370"/>
    </row>
    <row r="2229" spans="1:14" s="347" customFormat="1" x14ac:dyDescent="0.25">
      <c r="A2229" s="369">
        <f>+A2228</f>
        <v>44321</v>
      </c>
      <c r="B2229" s="347">
        <f>+B2228</f>
        <v>5</v>
      </c>
      <c r="C2229" s="347">
        <v>3110</v>
      </c>
      <c r="D2229" s="340" t="str">
        <f>VLOOKUP(C2229,Plan!A$1:B$65542,2,0)</f>
        <v>Colectas Normales</v>
      </c>
      <c r="E2229" s="396">
        <f>-G2229</f>
        <v>-20000</v>
      </c>
      <c r="F2229" s="396">
        <v>0</v>
      </c>
      <c r="G2229" s="396">
        <f>+F2228</f>
        <v>20000</v>
      </c>
      <c r="H2229" s="347" t="str">
        <f>+H2228</f>
        <v>Colecta Sofia Vives Ekdahl</v>
      </c>
      <c r="I2229" s="347" t="s">
        <v>1303</v>
      </c>
      <c r="K2229" s="370"/>
      <c r="N2229" s="370"/>
    </row>
    <row r="2230" spans="1:14" s="347" customFormat="1" x14ac:dyDescent="0.25">
      <c r="A2230" s="369"/>
      <c r="E2230" s="396"/>
      <c r="F2230" s="396"/>
      <c r="G2230" s="396"/>
      <c r="K2230" s="370"/>
      <c r="N2230" s="370"/>
    </row>
    <row r="2231" spans="1:14" s="347" customFormat="1" x14ac:dyDescent="0.25">
      <c r="A2231" s="369">
        <v>44321</v>
      </c>
      <c r="B2231" s="340">
        <f>+MONTH(A2231)</f>
        <v>5</v>
      </c>
      <c r="C2231" s="347">
        <v>110</v>
      </c>
      <c r="D2231" s="340" t="str">
        <f>VLOOKUP(C2231,Plan!A$1:B$65542,2,0)</f>
        <v>Disponible Administración</v>
      </c>
      <c r="E2231" s="341">
        <f>+F2231-G2231</f>
        <v>20000</v>
      </c>
      <c r="F2231" s="396">
        <v>20000</v>
      </c>
      <c r="G2231" s="396">
        <v>0</v>
      </c>
      <c r="H2231" t="s">
        <v>1450</v>
      </c>
      <c r="I2231" s="347" t="s">
        <v>1303</v>
      </c>
      <c r="K2231" s="370"/>
      <c r="N2231" s="370"/>
    </row>
    <row r="2232" spans="1:14" s="347" customFormat="1" x14ac:dyDescent="0.25">
      <c r="A2232" s="369">
        <f>+A2231</f>
        <v>44321</v>
      </c>
      <c r="B2232" s="347">
        <f>+B2231</f>
        <v>5</v>
      </c>
      <c r="C2232" s="347">
        <v>3350</v>
      </c>
      <c r="D2232" s="340" t="str">
        <f>VLOOKUP(C2232,Plan!A$1:B$65542,2,0)</f>
        <v>Bautizos</v>
      </c>
      <c r="E2232" s="396">
        <f>-G2232</f>
        <v>-20000</v>
      </c>
      <c r="F2232" s="396">
        <v>0</v>
      </c>
      <c r="G2232" s="396">
        <f>+F2231</f>
        <v>20000</v>
      </c>
      <c r="H2232" s="347" t="str">
        <f>+H2231</f>
        <v>Bautizo Maria Fca. Lazcano</v>
      </c>
      <c r="I2232" s="347" t="s">
        <v>1303</v>
      </c>
      <c r="K2232" s="370"/>
      <c r="N2232" s="370"/>
    </row>
    <row r="2233" spans="1:14" s="347" customFormat="1" x14ac:dyDescent="0.25">
      <c r="A2233" s="369"/>
      <c r="E2233" s="396"/>
      <c r="F2233" s="396"/>
      <c r="G2233" s="396"/>
      <c r="K2233" s="370"/>
      <c r="N2233" s="370"/>
    </row>
    <row r="2234" spans="1:14" s="347" customFormat="1" x14ac:dyDescent="0.25">
      <c r="A2234" s="369">
        <v>44321</v>
      </c>
      <c r="B2234" s="340">
        <f>+MONTH(A2234)</f>
        <v>5</v>
      </c>
      <c r="C2234" s="347">
        <v>110</v>
      </c>
      <c r="D2234" s="340" t="str">
        <f>VLOOKUP(C2234,Plan!A$1:B$65542,2,0)</f>
        <v>Disponible Administración</v>
      </c>
      <c r="E2234" s="341">
        <f>+F2234-G2234</f>
        <v>20000</v>
      </c>
      <c r="F2234" s="396">
        <v>20000</v>
      </c>
      <c r="G2234" s="396">
        <v>0</v>
      </c>
      <c r="H2234" t="s">
        <v>1451</v>
      </c>
      <c r="I2234" s="347" t="s">
        <v>1303</v>
      </c>
      <c r="K2234" s="370"/>
      <c r="N2234" s="370"/>
    </row>
    <row r="2235" spans="1:14" s="347" customFormat="1" x14ac:dyDescent="0.25">
      <c r="A2235" s="369">
        <f>+A2234</f>
        <v>44321</v>
      </c>
      <c r="B2235" s="347">
        <f>+B2234</f>
        <v>5</v>
      </c>
      <c r="C2235" s="347">
        <v>3110</v>
      </c>
      <c r="D2235" s="340" t="str">
        <f>VLOOKUP(C2235,Plan!A$1:B$65542,2,0)</f>
        <v>Colectas Normales</v>
      </c>
      <c r="E2235" s="396">
        <f>-G2235</f>
        <v>-20000</v>
      </c>
      <c r="F2235" s="396">
        <v>0</v>
      </c>
      <c r="G2235" s="396">
        <f>+F2234</f>
        <v>20000</v>
      </c>
      <c r="H2235" s="347" t="str">
        <f>+H2234</f>
        <v>Colecta Fca. Orrego</v>
      </c>
      <c r="I2235" s="347" t="s">
        <v>1303</v>
      </c>
      <c r="K2235" s="370"/>
      <c r="N2235" s="370"/>
    </row>
    <row r="2236" spans="1:14" s="347" customFormat="1" x14ac:dyDescent="0.25">
      <c r="A2236" s="369"/>
      <c r="E2236" s="396"/>
      <c r="F2236" s="396"/>
      <c r="G2236" s="396"/>
      <c r="K2236" s="370"/>
      <c r="N2236" s="370"/>
    </row>
    <row r="2237" spans="1:14" s="347" customFormat="1" x14ac:dyDescent="0.25">
      <c r="A2237" s="369">
        <v>44321</v>
      </c>
      <c r="B2237" s="340">
        <f>+MONTH(A2237)</f>
        <v>5</v>
      </c>
      <c r="C2237" s="347">
        <v>110</v>
      </c>
      <c r="D2237" s="340" t="str">
        <f>VLOOKUP(C2237,Plan!A$1:B$65542,2,0)</f>
        <v>Disponible Administración</v>
      </c>
      <c r="E2237" s="341">
        <f>+F2237-G2237</f>
        <v>20000</v>
      </c>
      <c r="F2237" s="396">
        <v>20000</v>
      </c>
      <c r="G2237" s="396">
        <v>0</v>
      </c>
      <c r="H2237" t="s">
        <v>951</v>
      </c>
      <c r="I2237" s="347" t="s">
        <v>1303</v>
      </c>
      <c r="K2237" s="370"/>
      <c r="N2237" s="370"/>
    </row>
    <row r="2238" spans="1:14" s="347" customFormat="1" x14ac:dyDescent="0.25">
      <c r="A2238" s="369">
        <f>+A2237</f>
        <v>44321</v>
      </c>
      <c r="B2238" s="347">
        <f>+B2237</f>
        <v>5</v>
      </c>
      <c r="C2238" s="347">
        <v>3110</v>
      </c>
      <c r="D2238" s="340" t="str">
        <f>VLOOKUP(C2238,Plan!A$1:B$65542,2,0)</f>
        <v>Colectas Normales</v>
      </c>
      <c r="E2238" s="396">
        <f>-G2238</f>
        <v>-20000</v>
      </c>
      <c r="F2238" s="396">
        <v>0</v>
      </c>
      <c r="G2238" s="396">
        <f>+F2237</f>
        <v>20000</v>
      </c>
      <c r="H2238" s="347" t="str">
        <f>+H2237</f>
        <v>Colecta Cyril Hodgson Larrain</v>
      </c>
      <c r="I2238" s="347" t="s">
        <v>1303</v>
      </c>
      <c r="K2238" s="370"/>
      <c r="N2238" s="370"/>
    </row>
    <row r="2239" spans="1:14" s="347" customFormat="1" x14ac:dyDescent="0.25">
      <c r="A2239" s="369"/>
      <c r="E2239" s="396"/>
      <c r="F2239" s="396"/>
      <c r="G2239" s="396"/>
      <c r="K2239" s="370"/>
      <c r="N2239" s="370"/>
    </row>
    <row r="2240" spans="1:14" s="347" customFormat="1" x14ac:dyDescent="0.25">
      <c r="A2240" s="369">
        <v>44321</v>
      </c>
      <c r="B2240" s="340">
        <f>+MONTH(A2240)</f>
        <v>5</v>
      </c>
      <c r="C2240" s="347">
        <v>110</v>
      </c>
      <c r="D2240" s="340" t="str">
        <f>VLOOKUP(C2240,Plan!A$1:B$65542,2,0)</f>
        <v>Disponible Administración</v>
      </c>
      <c r="E2240" s="341">
        <f>+F2240-G2240</f>
        <v>30000</v>
      </c>
      <c r="F2240" s="396">
        <v>30000</v>
      </c>
      <c r="G2240" s="396">
        <v>0</v>
      </c>
      <c r="H2240" t="s">
        <v>1452</v>
      </c>
      <c r="I2240" s="347" t="s">
        <v>1303</v>
      </c>
      <c r="K2240" s="370"/>
      <c r="N2240" s="370"/>
    </row>
    <row r="2241" spans="1:14" s="347" customFormat="1" x14ac:dyDescent="0.25">
      <c r="A2241" s="369">
        <f>+A2240</f>
        <v>44321</v>
      </c>
      <c r="B2241" s="347">
        <f>+B2240</f>
        <v>5</v>
      </c>
      <c r="C2241" s="347">
        <v>3450</v>
      </c>
      <c r="D2241" s="340" t="str">
        <f>VLOOKUP(C2241,Plan!A$1:B$65542,2,0)</f>
        <v>Pastoral Social</v>
      </c>
      <c r="E2241" s="396">
        <f>-G2241</f>
        <v>-30000</v>
      </c>
      <c r="F2241" s="396">
        <v>0</v>
      </c>
      <c r="G2241" s="396">
        <f>+F2240</f>
        <v>30000</v>
      </c>
      <c r="H2241" s="347" t="str">
        <f>+H2240</f>
        <v>Canasta Cyril Hodgson Larrain</v>
      </c>
      <c r="I2241" s="347" t="s">
        <v>1303</v>
      </c>
      <c r="K2241" s="370"/>
      <c r="N2241" s="370"/>
    </row>
    <row r="2242" spans="1:14" s="347" customFormat="1" x14ac:dyDescent="0.25">
      <c r="A2242" s="369"/>
      <c r="E2242" s="396"/>
      <c r="F2242" s="396"/>
      <c r="G2242" s="396"/>
      <c r="K2242" s="370"/>
      <c r="N2242" s="370"/>
    </row>
    <row r="2243" spans="1:14" s="347" customFormat="1" x14ac:dyDescent="0.25">
      <c r="A2243" s="369">
        <v>44321</v>
      </c>
      <c r="B2243" s="340">
        <f>+MONTH(A2243)</f>
        <v>5</v>
      </c>
      <c r="C2243" s="347">
        <v>110</v>
      </c>
      <c r="D2243" s="340" t="str">
        <f>VLOOKUP(C2243,Plan!A$1:B$65542,2,0)</f>
        <v>Disponible Administración</v>
      </c>
      <c r="E2243" s="341">
        <f>+F2243-G2243</f>
        <v>30000</v>
      </c>
      <c r="F2243" s="396">
        <v>30000</v>
      </c>
      <c r="G2243" s="396">
        <v>0</v>
      </c>
      <c r="H2243" t="s">
        <v>1364</v>
      </c>
      <c r="I2243" s="347" t="s">
        <v>1303</v>
      </c>
      <c r="K2243" s="370"/>
      <c r="N2243" s="370"/>
    </row>
    <row r="2244" spans="1:14" s="347" customFormat="1" x14ac:dyDescent="0.25">
      <c r="A2244" s="369">
        <f>+A2243</f>
        <v>44321</v>
      </c>
      <c r="B2244" s="347">
        <f>+B2243</f>
        <v>5</v>
      </c>
      <c r="C2244" s="347">
        <v>3110</v>
      </c>
      <c r="D2244" s="340" t="str">
        <f>VLOOKUP(C2244,Plan!A$1:B$65542,2,0)</f>
        <v>Colectas Normales</v>
      </c>
      <c r="E2244" s="396">
        <f>-G2244</f>
        <v>-30000</v>
      </c>
      <c r="F2244" s="396">
        <v>0</v>
      </c>
      <c r="G2244" s="396">
        <f>+F2243</f>
        <v>30000</v>
      </c>
      <c r="H2244" s="347" t="str">
        <f>+H2243</f>
        <v>Colecta Yolanda Hasse</v>
      </c>
      <c r="I2244" s="347" t="s">
        <v>1303</v>
      </c>
      <c r="K2244" s="370"/>
      <c r="N2244" s="370"/>
    </row>
    <row r="2245" spans="1:14" s="347" customFormat="1" x14ac:dyDescent="0.25">
      <c r="A2245" s="369"/>
      <c r="E2245" s="396"/>
      <c r="F2245" s="396"/>
      <c r="G2245" s="396"/>
      <c r="K2245" s="370"/>
      <c r="N2245" s="370"/>
    </row>
    <row r="2246" spans="1:14" s="347" customFormat="1" x14ac:dyDescent="0.25">
      <c r="A2246" s="369">
        <v>44321</v>
      </c>
      <c r="B2246" s="340">
        <f>+MONTH(A2246)</f>
        <v>5</v>
      </c>
      <c r="C2246" s="347">
        <v>110</v>
      </c>
      <c r="D2246" s="340" t="str">
        <f>VLOOKUP(C2246,Plan!A$1:B$65542,2,0)</f>
        <v>Disponible Administración</v>
      </c>
      <c r="E2246" s="341">
        <f>+F2246-G2246</f>
        <v>30000</v>
      </c>
      <c r="F2246" s="396">
        <v>30000</v>
      </c>
      <c r="G2246" s="396">
        <v>0</v>
      </c>
      <c r="H2246" t="s">
        <v>1365</v>
      </c>
      <c r="I2246" s="347" t="s">
        <v>1303</v>
      </c>
      <c r="K2246" s="370"/>
      <c r="N2246" s="370"/>
    </row>
    <row r="2247" spans="1:14" s="347" customFormat="1" x14ac:dyDescent="0.25">
      <c r="A2247" s="369">
        <f>+A2246</f>
        <v>44321</v>
      </c>
      <c r="B2247" s="347">
        <f>+B2246</f>
        <v>5</v>
      </c>
      <c r="C2247" s="347">
        <v>3450</v>
      </c>
      <c r="D2247" s="340" t="str">
        <f>VLOOKUP(C2247,Plan!A$1:B$65542,2,0)</f>
        <v>Pastoral Social</v>
      </c>
      <c r="E2247" s="396">
        <f>-G2247</f>
        <v>-30000</v>
      </c>
      <c r="F2247" s="396">
        <v>0</v>
      </c>
      <c r="G2247" s="396">
        <f>+F2246</f>
        <v>30000</v>
      </c>
      <c r="H2247" s="347" t="str">
        <f>+H2246</f>
        <v>Canasta Yolanda Hasse</v>
      </c>
      <c r="I2247" s="347" t="s">
        <v>1303</v>
      </c>
      <c r="K2247" s="370"/>
      <c r="N2247" s="370"/>
    </row>
    <row r="2248" spans="1:14" s="347" customFormat="1" x14ac:dyDescent="0.25">
      <c r="A2248" s="369"/>
      <c r="E2248" s="396"/>
      <c r="F2248" s="396"/>
      <c r="G2248" s="396"/>
      <c r="K2248" s="370"/>
      <c r="N2248" s="370"/>
    </row>
    <row r="2249" spans="1:14" s="347" customFormat="1" x14ac:dyDescent="0.25">
      <c r="A2249" s="369">
        <v>44321</v>
      </c>
      <c r="B2249" s="340">
        <f>+MONTH(A2249)</f>
        <v>5</v>
      </c>
      <c r="C2249" s="347">
        <v>110</v>
      </c>
      <c r="D2249" s="340" t="str">
        <f>VLOOKUP(C2249,Plan!A$1:B$65542,2,0)</f>
        <v>Disponible Administración</v>
      </c>
      <c r="E2249" s="341">
        <f>+F2249-G2249</f>
        <v>30000</v>
      </c>
      <c r="F2249" s="396">
        <v>30000</v>
      </c>
      <c r="G2249" s="396">
        <v>0</v>
      </c>
      <c r="H2249" t="s">
        <v>675</v>
      </c>
      <c r="I2249" s="347" t="s">
        <v>1303</v>
      </c>
      <c r="K2249" s="370"/>
      <c r="N2249" s="370"/>
    </row>
    <row r="2250" spans="1:14" s="347" customFormat="1" x14ac:dyDescent="0.25">
      <c r="A2250" s="369">
        <f>+A2249</f>
        <v>44321</v>
      </c>
      <c r="B2250" s="347">
        <f>+B2249</f>
        <v>5</v>
      </c>
      <c r="C2250" s="347">
        <v>215</v>
      </c>
      <c r="D2250" s="340" t="str">
        <f>VLOOKUP(C2250,Plan!A$1:B$65542,2,0)</f>
        <v>Cuenta por Pagar a Cali</v>
      </c>
      <c r="E2250" s="396">
        <f>-G2250</f>
        <v>-30000</v>
      </c>
      <c r="F2250" s="396">
        <v>0</v>
      </c>
      <c r="G2250" s="396">
        <f>+F2249</f>
        <v>30000</v>
      </c>
      <c r="H2250" s="347" t="str">
        <f>+H2249</f>
        <v>Yolanda Haase Baeza / 249</v>
      </c>
      <c r="I2250" s="347" t="s">
        <v>1303</v>
      </c>
      <c r="K2250" s="370"/>
      <c r="N2250" s="370"/>
    </row>
    <row r="2251" spans="1:14" s="347" customFormat="1" x14ac:dyDescent="0.25">
      <c r="A2251" s="369"/>
      <c r="E2251" s="396"/>
      <c r="F2251" s="396"/>
      <c r="G2251" s="396"/>
      <c r="K2251" s="370"/>
      <c r="N2251" s="370"/>
    </row>
    <row r="2252" spans="1:14" s="347" customFormat="1" x14ac:dyDescent="0.25">
      <c r="A2252" s="369">
        <v>44321</v>
      </c>
      <c r="B2252" s="340">
        <f>+MONTH(A2252)</f>
        <v>5</v>
      </c>
      <c r="C2252" s="347">
        <v>110</v>
      </c>
      <c r="D2252" s="340" t="str">
        <f>VLOOKUP(C2252,Plan!A$1:B$65542,2,0)</f>
        <v>Disponible Administración</v>
      </c>
      <c r="E2252" s="341">
        <f>+F2252-G2252</f>
        <v>20000</v>
      </c>
      <c r="F2252" s="396">
        <v>20000</v>
      </c>
      <c r="G2252" s="396">
        <v>0</v>
      </c>
      <c r="H2252" t="s">
        <v>1453</v>
      </c>
      <c r="I2252" s="347" t="s">
        <v>1303</v>
      </c>
      <c r="K2252" s="370"/>
      <c r="N2252" s="370"/>
    </row>
    <row r="2253" spans="1:14" s="347" customFormat="1" x14ac:dyDescent="0.25">
      <c r="A2253" s="369">
        <f>+A2252</f>
        <v>44321</v>
      </c>
      <c r="B2253" s="347">
        <f>+B2252</f>
        <v>5</v>
      </c>
      <c r="C2253" s="347">
        <v>3350</v>
      </c>
      <c r="D2253" s="340" t="str">
        <f>VLOOKUP(C2253,Plan!A$1:B$65542,2,0)</f>
        <v>Bautizos</v>
      </c>
      <c r="E2253" s="396">
        <f>-G2253</f>
        <v>-20000</v>
      </c>
      <c r="F2253" s="396">
        <v>0</v>
      </c>
      <c r="G2253" s="396">
        <f>+F2252</f>
        <v>20000</v>
      </c>
      <c r="H2253" s="347" t="str">
        <f>+H2252</f>
        <v>Bautizo Maite Larrañaga</v>
      </c>
      <c r="I2253" s="347" t="s">
        <v>1303</v>
      </c>
      <c r="K2253" s="370"/>
      <c r="N2253" s="370"/>
    </row>
    <row r="2254" spans="1:14" s="347" customFormat="1" x14ac:dyDescent="0.25">
      <c r="A2254" s="369"/>
      <c r="E2254" s="396"/>
      <c r="F2254" s="396"/>
      <c r="G2254" s="396"/>
      <c r="K2254" s="370"/>
      <c r="N2254" s="370"/>
    </row>
    <row r="2255" spans="1:14" s="347" customFormat="1" x14ac:dyDescent="0.25">
      <c r="A2255" s="369">
        <v>44321</v>
      </c>
      <c r="B2255" s="340">
        <f>+MONTH(A2255)</f>
        <v>5</v>
      </c>
      <c r="C2255" s="347">
        <v>110</v>
      </c>
      <c r="D2255" s="340" t="str">
        <f>VLOOKUP(C2255,Plan!A$1:B$65542,2,0)</f>
        <v>Disponible Administración</v>
      </c>
      <c r="E2255" s="341">
        <f>+F2255-G2255</f>
        <v>60000</v>
      </c>
      <c r="F2255" s="396">
        <v>60000</v>
      </c>
      <c r="G2255" s="396">
        <v>0</v>
      </c>
      <c r="H2255" t="s">
        <v>1454</v>
      </c>
      <c r="I2255" s="347" t="s">
        <v>1303</v>
      </c>
      <c r="K2255" s="370"/>
      <c r="N2255" s="370"/>
    </row>
    <row r="2256" spans="1:14" s="347" customFormat="1" x14ac:dyDescent="0.25">
      <c r="A2256" s="369">
        <f>+A2255</f>
        <v>44321</v>
      </c>
      <c r="B2256" s="347">
        <f>+B2255</f>
        <v>5</v>
      </c>
      <c r="C2256" s="347">
        <v>3110</v>
      </c>
      <c r="D2256" s="340" t="str">
        <f>VLOOKUP(C2256,Plan!A$1:B$65542,2,0)</f>
        <v>Colectas Normales</v>
      </c>
      <c r="E2256" s="396">
        <f>-G2256</f>
        <v>-60000</v>
      </c>
      <c r="F2256" s="396">
        <v>0</v>
      </c>
      <c r="G2256" s="396">
        <f>+F2255</f>
        <v>60000</v>
      </c>
      <c r="H2256" s="347" t="str">
        <f>+H2255</f>
        <v>Colecta Maite Larrañaga</v>
      </c>
      <c r="I2256" s="347" t="s">
        <v>1303</v>
      </c>
      <c r="K2256" s="370"/>
      <c r="N2256" s="370"/>
    </row>
    <row r="2257" spans="1:14" s="347" customFormat="1" x14ac:dyDescent="0.25">
      <c r="A2257" s="369"/>
      <c r="E2257" s="396"/>
      <c r="F2257" s="396"/>
      <c r="G2257" s="396"/>
      <c r="K2257" s="370"/>
      <c r="N2257" s="370"/>
    </row>
    <row r="2258" spans="1:14" s="347" customFormat="1" x14ac:dyDescent="0.25">
      <c r="A2258" s="369">
        <v>44321</v>
      </c>
      <c r="B2258" s="340">
        <f>+MONTH(A2258)</f>
        <v>5</v>
      </c>
      <c r="C2258" s="347">
        <v>110</v>
      </c>
      <c r="D2258" s="340" t="str">
        <f>VLOOKUP(C2258,Plan!A$1:B$65542,2,0)</f>
        <v>Disponible Administración</v>
      </c>
      <c r="E2258" s="341">
        <f>+F2258-G2258</f>
        <v>20000</v>
      </c>
      <c r="F2258" s="396">
        <v>20000</v>
      </c>
      <c r="G2258" s="396">
        <v>0</v>
      </c>
      <c r="H2258" t="s">
        <v>1455</v>
      </c>
      <c r="I2258" s="347" t="s">
        <v>1303</v>
      </c>
      <c r="K2258" s="370"/>
      <c r="N2258" s="370"/>
    </row>
    <row r="2259" spans="1:14" s="347" customFormat="1" x14ac:dyDescent="0.25">
      <c r="A2259" s="369">
        <f>+A2258</f>
        <v>44321</v>
      </c>
      <c r="B2259" s="347">
        <f>+B2258</f>
        <v>5</v>
      </c>
      <c r="C2259" s="347">
        <v>3350</v>
      </c>
      <c r="D2259" s="340" t="str">
        <f>VLOOKUP(C2259,Plan!A$1:B$65542,2,0)</f>
        <v>Bautizos</v>
      </c>
      <c r="E2259" s="396">
        <f>-G2259</f>
        <v>-20000</v>
      </c>
      <c r="F2259" s="396">
        <v>0</v>
      </c>
      <c r="G2259" s="396">
        <f>+F2258</f>
        <v>20000</v>
      </c>
      <c r="H2259" s="347" t="str">
        <f>+H2258</f>
        <v>Bautizo Maria Jose Blanco Calderon</v>
      </c>
      <c r="I2259" s="347" t="s">
        <v>1303</v>
      </c>
      <c r="K2259" s="370"/>
      <c r="N2259" s="370"/>
    </row>
    <row r="2260" spans="1:14" s="347" customFormat="1" x14ac:dyDescent="0.25">
      <c r="A2260" s="369"/>
      <c r="E2260" s="396"/>
      <c r="F2260" s="396"/>
      <c r="G2260" s="396"/>
      <c r="K2260" s="370"/>
      <c r="N2260" s="370"/>
    </row>
    <row r="2261" spans="1:14" s="347" customFormat="1" x14ac:dyDescent="0.25">
      <c r="A2261" s="369">
        <v>44321</v>
      </c>
      <c r="B2261" s="340">
        <f>+MONTH(A2261)</f>
        <v>5</v>
      </c>
      <c r="C2261" s="347">
        <v>110</v>
      </c>
      <c r="D2261" s="340" t="str">
        <f>VLOOKUP(C2261,Plan!A$1:B$65542,2,0)</f>
        <v>Disponible Administración</v>
      </c>
      <c r="E2261" s="341">
        <f>+F2261-G2261</f>
        <v>60000</v>
      </c>
      <c r="F2261" s="396">
        <v>60000</v>
      </c>
      <c r="G2261" s="396">
        <v>0</v>
      </c>
      <c r="H2261" t="s">
        <v>1355</v>
      </c>
      <c r="I2261" s="347" t="s">
        <v>1303</v>
      </c>
      <c r="K2261" s="370"/>
      <c r="N2261" s="370"/>
    </row>
    <row r="2262" spans="1:14" s="347" customFormat="1" x14ac:dyDescent="0.25">
      <c r="A2262" s="369">
        <f>+A2261</f>
        <v>44321</v>
      </c>
      <c r="B2262" s="347">
        <f>+B2261</f>
        <v>5</v>
      </c>
      <c r="C2262" s="347">
        <v>3450</v>
      </c>
      <c r="D2262" s="340" t="str">
        <f>VLOOKUP(C2262,Plan!A$1:B$65542,2,0)</f>
        <v>Pastoral Social</v>
      </c>
      <c r="E2262" s="396">
        <f>-G2262</f>
        <v>-60000</v>
      </c>
      <c r="F2262" s="396">
        <v>0</v>
      </c>
      <c r="G2262" s="396">
        <f>+F2261</f>
        <v>60000</v>
      </c>
      <c r="H2262" s="347" t="str">
        <f>+H2261</f>
        <v>Canasta Maria Luisa Rojas Cruz</v>
      </c>
      <c r="I2262" s="347" t="s">
        <v>1303</v>
      </c>
      <c r="K2262" s="370"/>
      <c r="N2262" s="370"/>
    </row>
    <row r="2263" spans="1:14" s="347" customFormat="1" x14ac:dyDescent="0.25">
      <c r="A2263" s="369"/>
      <c r="E2263" s="396"/>
      <c r="F2263" s="396"/>
      <c r="G2263" s="396"/>
      <c r="K2263" s="370"/>
      <c r="N2263" s="370"/>
    </row>
    <row r="2264" spans="1:14" s="347" customFormat="1" x14ac:dyDescent="0.25">
      <c r="A2264" s="369">
        <v>44321</v>
      </c>
      <c r="B2264" s="340">
        <f>+MONTH(A2264)</f>
        <v>5</v>
      </c>
      <c r="C2264" s="347">
        <v>4322</v>
      </c>
      <c r="D2264" s="340" t="str">
        <f>VLOOKUP(C2264,Plan!A$1:B$65542,2,0)</f>
        <v>Agua</v>
      </c>
      <c r="E2264" s="341">
        <f>+F2264-G2264</f>
        <v>52131</v>
      </c>
      <c r="F2264" s="396">
        <v>52131</v>
      </c>
      <c r="G2264" s="396">
        <v>0</v>
      </c>
      <c r="H2264" t="s">
        <v>1456</v>
      </c>
      <c r="I2264" s="347" t="s">
        <v>1303</v>
      </c>
      <c r="K2264" s="370"/>
      <c r="N2264" s="370"/>
    </row>
    <row r="2265" spans="1:14" s="347" customFormat="1" x14ac:dyDescent="0.25">
      <c r="A2265" s="369">
        <f>+A2264</f>
        <v>44321</v>
      </c>
      <c r="B2265" s="347">
        <f>+B2264</f>
        <v>5</v>
      </c>
      <c r="C2265" s="347">
        <v>110</v>
      </c>
      <c r="D2265" s="340" t="str">
        <f>VLOOKUP(C2265,Plan!A$1:B$65542,2,0)</f>
        <v>Disponible Administración</v>
      </c>
      <c r="E2265" s="396">
        <f>-G2265</f>
        <v>-52131</v>
      </c>
      <c r="F2265" s="396">
        <v>0</v>
      </c>
      <c r="G2265" s="396">
        <f>+F2264</f>
        <v>52131</v>
      </c>
      <c r="H2265" s="347" t="str">
        <f>+H2264</f>
        <v>PAC Aguas Cordillera Oficina</v>
      </c>
      <c r="I2265" s="347" t="s">
        <v>1303</v>
      </c>
      <c r="K2265" s="370"/>
      <c r="N2265" s="370"/>
    </row>
    <row r="2266" spans="1:14" s="347" customFormat="1" x14ac:dyDescent="0.25">
      <c r="A2266" s="369"/>
      <c r="E2266" s="396"/>
      <c r="F2266" s="396"/>
      <c r="G2266" s="396"/>
      <c r="K2266" s="370"/>
      <c r="N2266" s="370"/>
    </row>
    <row r="2267" spans="1:14" s="347" customFormat="1" x14ac:dyDescent="0.25">
      <c r="A2267" s="369">
        <v>44321</v>
      </c>
      <c r="B2267" s="340">
        <f>+MONTH(A2267)</f>
        <v>5</v>
      </c>
      <c r="C2267" s="347">
        <v>110</v>
      </c>
      <c r="D2267" s="340" t="str">
        <f>VLOOKUP(C2267,Plan!A$1:B$65542,2,0)</f>
        <v>Disponible Administración</v>
      </c>
      <c r="E2267" s="341">
        <f>+F2267-G2267</f>
        <v>25000</v>
      </c>
      <c r="F2267" s="396">
        <v>25000</v>
      </c>
      <c r="G2267" s="396">
        <v>0</v>
      </c>
      <c r="H2267" t="s">
        <v>931</v>
      </c>
      <c r="I2267" s="347" t="s">
        <v>1303</v>
      </c>
      <c r="K2267" s="370"/>
      <c r="N2267" s="370"/>
    </row>
    <row r="2268" spans="1:14" s="347" customFormat="1" x14ac:dyDescent="0.25">
      <c r="A2268" s="369">
        <f>+A2267</f>
        <v>44321</v>
      </c>
      <c r="B2268" s="347">
        <f>+B2267</f>
        <v>5</v>
      </c>
      <c r="C2268" s="347">
        <v>3110</v>
      </c>
      <c r="D2268" s="340" t="str">
        <f>VLOOKUP(C2268,Plan!A$1:B$65542,2,0)</f>
        <v>Colectas Normales</v>
      </c>
      <c r="E2268" s="396">
        <f>-G2268</f>
        <v>-25000</v>
      </c>
      <c r="F2268" s="396">
        <v>0</v>
      </c>
      <c r="G2268" s="396">
        <f>+F2267</f>
        <v>25000</v>
      </c>
      <c r="H2268" s="347" t="str">
        <f>+H2267</f>
        <v>Colecta Eduardo Calvimontes Candia</v>
      </c>
      <c r="I2268" s="347" t="s">
        <v>1303</v>
      </c>
      <c r="K2268" s="370"/>
      <c r="N2268" s="370"/>
    </row>
    <row r="2269" spans="1:14" s="347" customFormat="1" x14ac:dyDescent="0.25">
      <c r="A2269" s="369"/>
      <c r="E2269" s="396"/>
      <c r="F2269" s="396"/>
      <c r="G2269" s="396"/>
      <c r="K2269" s="370"/>
      <c r="N2269" s="370"/>
    </row>
    <row r="2270" spans="1:14" s="347" customFormat="1" x14ac:dyDescent="0.25">
      <c r="A2270" s="369">
        <v>44321</v>
      </c>
      <c r="B2270" s="340">
        <f>+MONTH(A2270)</f>
        <v>5</v>
      </c>
      <c r="C2270" s="347">
        <v>110</v>
      </c>
      <c r="D2270" s="340" t="str">
        <f>VLOOKUP(C2270,Plan!A$1:B$65542,2,0)</f>
        <v>Disponible Administración</v>
      </c>
      <c r="E2270" s="341">
        <f>+F2270-G2270</f>
        <v>20000</v>
      </c>
      <c r="F2270" s="396">
        <v>20000</v>
      </c>
      <c r="G2270" s="396">
        <v>0</v>
      </c>
      <c r="H2270" s="347" t="s">
        <v>1457</v>
      </c>
      <c r="I2270" s="347" t="s">
        <v>1303</v>
      </c>
      <c r="K2270" s="370"/>
      <c r="N2270" s="370"/>
    </row>
    <row r="2271" spans="1:14" s="347" customFormat="1" x14ac:dyDescent="0.25">
      <c r="A2271" s="369">
        <f>+A2270</f>
        <v>44321</v>
      </c>
      <c r="B2271" s="347">
        <f>+B2270</f>
        <v>5</v>
      </c>
      <c r="C2271" s="347">
        <v>215</v>
      </c>
      <c r="D2271" s="340" t="str">
        <f>VLOOKUP(C2271,Plan!A$1:B$65542,2,0)</f>
        <v>Cuenta por Pagar a Cali</v>
      </c>
      <c r="E2271" s="396">
        <f>-G2271</f>
        <v>-20000</v>
      </c>
      <c r="F2271" s="396">
        <v>0</v>
      </c>
      <c r="G2271" s="396">
        <f>+F2270</f>
        <v>20000</v>
      </c>
      <c r="H2271" s="347" t="str">
        <f>+H2270</f>
        <v>Eduardo Calvimontes Candia/Azul</v>
      </c>
      <c r="I2271" s="347" t="s">
        <v>1303</v>
      </c>
      <c r="K2271" s="370"/>
      <c r="N2271" s="370"/>
    </row>
    <row r="2272" spans="1:14" s="347" customFormat="1" x14ac:dyDescent="0.25">
      <c r="A2272" s="369"/>
      <c r="E2272" s="396"/>
      <c r="F2272" s="396"/>
      <c r="G2272" s="396"/>
      <c r="K2272" s="370"/>
      <c r="N2272" s="370"/>
    </row>
    <row r="2273" spans="1:14" s="347" customFormat="1" x14ac:dyDescent="0.25">
      <c r="A2273" s="369">
        <v>44321</v>
      </c>
      <c r="B2273" s="340">
        <f>+MONTH(A2273)</f>
        <v>5</v>
      </c>
      <c r="C2273" s="347">
        <v>110</v>
      </c>
      <c r="D2273" s="340" t="str">
        <f>VLOOKUP(C2273,Plan!A$1:B$65542,2,0)</f>
        <v>Disponible Administración</v>
      </c>
      <c r="E2273" s="341">
        <f>+F2273-G2273</f>
        <v>2000</v>
      </c>
      <c r="F2273" s="396">
        <v>2000</v>
      </c>
      <c r="G2273" s="396">
        <v>0</v>
      </c>
      <c r="H2273" s="347" t="s">
        <v>911</v>
      </c>
      <c r="I2273" s="347" t="s">
        <v>1303</v>
      </c>
      <c r="K2273" s="370"/>
      <c r="N2273" s="370"/>
    </row>
    <row r="2274" spans="1:14" s="347" customFormat="1" x14ac:dyDescent="0.25">
      <c r="A2274" s="369">
        <f>+A2273</f>
        <v>44321</v>
      </c>
      <c r="B2274" s="347">
        <f>+B2273</f>
        <v>5</v>
      </c>
      <c r="C2274" s="347">
        <v>3110</v>
      </c>
      <c r="D2274" s="340" t="str">
        <f>VLOOKUP(C2274,Plan!A$1:B$65542,2,0)</f>
        <v>Colectas Normales</v>
      </c>
      <c r="E2274" s="396">
        <f>-G2274</f>
        <v>-2000</v>
      </c>
      <c r="F2274" s="396">
        <v>0</v>
      </c>
      <c r="G2274" s="396">
        <f>+F2273</f>
        <v>2000</v>
      </c>
      <c r="H2274" s="347" t="str">
        <f>+H2273</f>
        <v>Colecta Andres Vial Infante</v>
      </c>
      <c r="I2274" s="347" t="s">
        <v>1303</v>
      </c>
      <c r="K2274" s="370"/>
      <c r="N2274" s="370"/>
    </row>
    <row r="2275" spans="1:14" s="347" customFormat="1" x14ac:dyDescent="0.25">
      <c r="A2275" s="369"/>
      <c r="E2275" s="396"/>
      <c r="F2275" s="396"/>
      <c r="G2275" s="396"/>
      <c r="K2275" s="370"/>
      <c r="N2275" s="370"/>
    </row>
    <row r="2276" spans="1:14" s="347" customFormat="1" x14ac:dyDescent="0.25">
      <c r="A2276" s="369">
        <v>44321</v>
      </c>
      <c r="B2276" s="340">
        <f>+MONTH(A2276)</f>
        <v>5</v>
      </c>
      <c r="C2276" s="347">
        <v>110</v>
      </c>
      <c r="D2276" s="340" t="str">
        <f>VLOOKUP(C2276,Plan!A$1:B$65542,2,0)</f>
        <v>Disponible Administración</v>
      </c>
      <c r="E2276" s="341">
        <f>+F2276-G2276</f>
        <v>60000</v>
      </c>
      <c r="F2276" s="396">
        <v>60000</v>
      </c>
      <c r="G2276" s="396">
        <v>0</v>
      </c>
      <c r="H2276" s="347" t="s">
        <v>1458</v>
      </c>
      <c r="I2276" s="347" t="s">
        <v>1303</v>
      </c>
      <c r="K2276" s="370"/>
      <c r="N2276" s="370"/>
    </row>
    <row r="2277" spans="1:14" s="347" customFormat="1" x14ac:dyDescent="0.25">
      <c r="A2277" s="369">
        <f>+A2276</f>
        <v>44321</v>
      </c>
      <c r="B2277" s="347">
        <f>+B2276</f>
        <v>5</v>
      </c>
      <c r="C2277" s="347">
        <v>3450</v>
      </c>
      <c r="D2277" s="340" t="str">
        <f>VLOOKUP(C2277,Plan!A$1:B$65542,2,0)</f>
        <v>Pastoral Social</v>
      </c>
      <c r="E2277" s="396">
        <f>-G2277</f>
        <v>-60000</v>
      </c>
      <c r="F2277" s="396">
        <v>0</v>
      </c>
      <c r="G2277" s="396">
        <f>+F2276</f>
        <v>60000</v>
      </c>
      <c r="H2277" s="347" t="str">
        <f>+H2276</f>
        <v>Canasta Carolina Hernandez Bustos</v>
      </c>
      <c r="I2277" s="347" t="s">
        <v>1303</v>
      </c>
      <c r="K2277" s="370"/>
      <c r="N2277" s="370"/>
    </row>
    <row r="2278" spans="1:14" s="347" customFormat="1" x14ac:dyDescent="0.25">
      <c r="A2278" s="369"/>
      <c r="E2278" s="396"/>
      <c r="F2278" s="396"/>
      <c r="G2278" s="396"/>
      <c r="K2278" s="370"/>
      <c r="N2278" s="370"/>
    </row>
    <row r="2279" spans="1:14" s="347" customFormat="1" x14ac:dyDescent="0.25">
      <c r="A2279" s="369">
        <v>44321</v>
      </c>
      <c r="B2279" s="340">
        <f>+MONTH(A2279)</f>
        <v>5</v>
      </c>
      <c r="C2279" s="347">
        <v>110</v>
      </c>
      <c r="D2279" s="340" t="str">
        <f>VLOOKUP(C2279,Plan!A$1:B$65542,2,0)</f>
        <v>Disponible Administración</v>
      </c>
      <c r="E2279" s="341">
        <f>+F2279-G2279</f>
        <v>14821</v>
      </c>
      <c r="F2279" s="396">
        <v>14821</v>
      </c>
      <c r="G2279" s="396">
        <v>0</v>
      </c>
      <c r="H2279" s="347" t="s">
        <v>897</v>
      </c>
      <c r="I2279" s="347" t="s">
        <v>1303</v>
      </c>
      <c r="K2279" s="370"/>
      <c r="N2279" s="370"/>
    </row>
    <row r="2280" spans="1:14" s="347" customFormat="1" x14ac:dyDescent="0.25">
      <c r="A2280" s="369">
        <f>+A2279</f>
        <v>44321</v>
      </c>
      <c r="B2280" s="347">
        <f>+B2279</f>
        <v>5</v>
      </c>
      <c r="C2280" s="347">
        <v>3110</v>
      </c>
      <c r="D2280" s="340" t="str">
        <f>VLOOKUP(C2280,Plan!A$1:B$65542,2,0)</f>
        <v>Colectas Normales</v>
      </c>
      <c r="E2280" s="396">
        <f>-G2280</f>
        <v>-14821</v>
      </c>
      <c r="F2280" s="396">
        <v>0</v>
      </c>
      <c r="G2280" s="396">
        <f>+F2279</f>
        <v>14821</v>
      </c>
      <c r="H2280" s="347" t="str">
        <f>+H2279</f>
        <v>Colecta DCT</v>
      </c>
      <c r="I2280" s="347" t="s">
        <v>1303</v>
      </c>
      <c r="K2280" s="370"/>
      <c r="N2280" s="370"/>
    </row>
    <row r="2281" spans="1:14" s="347" customFormat="1" x14ac:dyDescent="0.25">
      <c r="A2281" s="369"/>
      <c r="E2281" s="396"/>
      <c r="F2281" s="396"/>
      <c r="G2281" s="396"/>
      <c r="K2281" s="370"/>
      <c r="N2281" s="370"/>
    </row>
    <row r="2282" spans="1:14" s="347" customFormat="1" x14ac:dyDescent="0.25">
      <c r="A2282" s="369">
        <v>44321</v>
      </c>
      <c r="B2282" s="340">
        <f>+MONTH(A2282)</f>
        <v>5</v>
      </c>
      <c r="C2282" s="347">
        <v>110</v>
      </c>
      <c r="D2282" s="340" t="str">
        <f>VLOOKUP(C2282,Plan!A$1:B$65542,2,0)</f>
        <v>Disponible Administración</v>
      </c>
      <c r="E2282" s="341">
        <f>+F2282-G2282</f>
        <v>50000</v>
      </c>
      <c r="F2282" s="396">
        <v>50000</v>
      </c>
      <c r="G2282" s="396">
        <v>0</v>
      </c>
      <c r="H2282" s="347" t="s">
        <v>1459</v>
      </c>
      <c r="I2282" s="347" t="s">
        <v>1303</v>
      </c>
      <c r="K2282" s="370"/>
      <c r="N2282" s="370"/>
    </row>
    <row r="2283" spans="1:14" s="347" customFormat="1" x14ac:dyDescent="0.25">
      <c r="A2283" s="369">
        <f>+A2282</f>
        <v>44321</v>
      </c>
      <c r="B2283" s="347">
        <f>+B2282</f>
        <v>5</v>
      </c>
      <c r="C2283" s="347">
        <v>215</v>
      </c>
      <c r="D2283" s="340" t="str">
        <f>VLOOKUP(C2283,Plan!A$1:B$65542,2,0)</f>
        <v>Cuenta por Pagar a Cali</v>
      </c>
      <c r="E2283" s="396">
        <f>-G2283</f>
        <v>-50000</v>
      </c>
      <c r="F2283" s="396">
        <v>0</v>
      </c>
      <c r="G2283" s="396">
        <f>+F2282</f>
        <v>50000</v>
      </c>
      <c r="H2283" s="347" t="str">
        <f>+H2282</f>
        <v>María Teresa Gil Gómez / 249</v>
      </c>
      <c r="I2283" s="347" t="s">
        <v>1303</v>
      </c>
      <c r="K2283" s="370"/>
      <c r="N2283" s="370"/>
    </row>
    <row r="2284" spans="1:14" s="347" customFormat="1" x14ac:dyDescent="0.25">
      <c r="A2284" s="369"/>
      <c r="E2284" s="396"/>
      <c r="F2284" s="396"/>
      <c r="G2284" s="396"/>
      <c r="K2284" s="370"/>
      <c r="N2284" s="370"/>
    </row>
    <row r="2285" spans="1:14" s="347" customFormat="1" x14ac:dyDescent="0.25">
      <c r="A2285" s="369">
        <v>44321</v>
      </c>
      <c r="B2285" s="340">
        <f>+MONTH(A2285)</f>
        <v>5</v>
      </c>
      <c r="C2285" s="347">
        <v>110</v>
      </c>
      <c r="D2285" s="340" t="str">
        <f>VLOOKUP(C2285,Plan!A$1:B$65542,2,0)</f>
        <v>Disponible Administración</v>
      </c>
      <c r="E2285" s="341">
        <f>+F2285-G2285</f>
        <v>10000</v>
      </c>
      <c r="F2285" s="396">
        <v>10000</v>
      </c>
      <c r="G2285" s="396">
        <v>0</v>
      </c>
      <c r="H2285" s="347" t="s">
        <v>1151</v>
      </c>
      <c r="I2285" s="347" t="s">
        <v>1303</v>
      </c>
      <c r="K2285" s="370"/>
      <c r="N2285" s="370"/>
    </row>
    <row r="2286" spans="1:14" s="347" customFormat="1" x14ac:dyDescent="0.25">
      <c r="A2286" s="369">
        <f>+A2285</f>
        <v>44321</v>
      </c>
      <c r="B2286" s="347">
        <f>+B2285</f>
        <v>5</v>
      </c>
      <c r="C2286" s="347">
        <v>3110</v>
      </c>
      <c r="D2286" s="340" t="str">
        <f>VLOOKUP(C2286,Plan!A$1:B$65542,2,0)</f>
        <v>Colectas Normales</v>
      </c>
      <c r="E2286" s="396">
        <f>-G2286</f>
        <v>-10000</v>
      </c>
      <c r="F2286" s="396">
        <v>0</v>
      </c>
      <c r="G2286" s="396">
        <f>+F2285</f>
        <v>10000</v>
      </c>
      <c r="H2286" s="347" t="str">
        <f>+H2285</f>
        <v>Colecta Eduardo Boys M</v>
      </c>
      <c r="I2286" s="347" t="s">
        <v>1303</v>
      </c>
      <c r="K2286" s="370"/>
      <c r="N2286" s="370"/>
    </row>
    <row r="2287" spans="1:14" s="347" customFormat="1" x14ac:dyDescent="0.25">
      <c r="A2287" s="369"/>
      <c r="E2287" s="396"/>
      <c r="F2287" s="396"/>
      <c r="G2287" s="396"/>
      <c r="K2287" s="370"/>
      <c r="N2287" s="370"/>
    </row>
    <row r="2288" spans="1:14" s="347" customFormat="1" x14ac:dyDescent="0.25">
      <c r="A2288" s="369">
        <v>44321</v>
      </c>
      <c r="B2288" s="340">
        <f>+MONTH(A2288)</f>
        <v>5</v>
      </c>
      <c r="C2288" s="347">
        <v>110</v>
      </c>
      <c r="D2288" s="340" t="str">
        <f>VLOOKUP(C2288,Plan!A$1:B$65542,2,0)</f>
        <v>Disponible Administración</v>
      </c>
      <c r="E2288" s="341">
        <f>+F2288-G2288</f>
        <v>20000</v>
      </c>
      <c r="F2288" s="396">
        <v>20000</v>
      </c>
      <c r="G2288" s="396">
        <v>0</v>
      </c>
      <c r="H2288" s="347" t="s">
        <v>1460</v>
      </c>
      <c r="I2288" s="347" t="s">
        <v>1303</v>
      </c>
      <c r="K2288" s="370"/>
      <c r="N2288" s="370"/>
    </row>
    <row r="2289" spans="1:14" s="347" customFormat="1" x14ac:dyDescent="0.25">
      <c r="A2289" s="369">
        <f>+A2288</f>
        <v>44321</v>
      </c>
      <c r="B2289" s="347">
        <f>+B2288</f>
        <v>5</v>
      </c>
      <c r="C2289" s="347">
        <v>3110</v>
      </c>
      <c r="D2289" s="340" t="str">
        <f>VLOOKUP(C2289,Plan!A$1:B$65542,2,0)</f>
        <v>Colectas Normales</v>
      </c>
      <c r="E2289" s="396">
        <f>-G2289</f>
        <v>-20000</v>
      </c>
      <c r="F2289" s="396">
        <v>0</v>
      </c>
      <c r="G2289" s="396">
        <f>+F2288</f>
        <v>20000</v>
      </c>
      <c r="H2289" s="347" t="str">
        <f>+H2288</f>
        <v>Colecta Maria Veronica Rios D.</v>
      </c>
      <c r="I2289" s="347" t="s">
        <v>1303</v>
      </c>
      <c r="K2289" s="370"/>
      <c r="N2289" s="370"/>
    </row>
    <row r="2290" spans="1:14" s="347" customFormat="1" x14ac:dyDescent="0.25">
      <c r="A2290" s="369"/>
      <c r="E2290" s="396"/>
      <c r="F2290" s="396"/>
      <c r="G2290" s="396"/>
      <c r="K2290" s="370"/>
      <c r="N2290" s="370"/>
    </row>
    <row r="2291" spans="1:14" s="347" customFormat="1" x14ac:dyDescent="0.25">
      <c r="A2291" s="369">
        <v>44321</v>
      </c>
      <c r="B2291" s="340">
        <f>+MONTH(A2291)</f>
        <v>5</v>
      </c>
      <c r="C2291" s="347">
        <v>110</v>
      </c>
      <c r="D2291" s="340" t="str">
        <f>VLOOKUP(C2291,Plan!A$1:B$65542,2,0)</f>
        <v>Disponible Administración</v>
      </c>
      <c r="E2291" s="341">
        <f>+F2291-G2291</f>
        <v>100000</v>
      </c>
      <c r="F2291" s="396">
        <v>100000</v>
      </c>
      <c r="G2291" s="396">
        <v>0</v>
      </c>
      <c r="H2291" s="347" t="s">
        <v>1312</v>
      </c>
      <c r="I2291" s="347" t="s">
        <v>1303</v>
      </c>
      <c r="K2291" s="370"/>
      <c r="N2291" s="370"/>
    </row>
    <row r="2292" spans="1:14" s="347" customFormat="1" x14ac:dyDescent="0.25">
      <c r="A2292" s="369">
        <f>+A2291</f>
        <v>44321</v>
      </c>
      <c r="B2292" s="347">
        <f>+B2291</f>
        <v>5</v>
      </c>
      <c r="C2292" s="347">
        <v>3110</v>
      </c>
      <c r="D2292" s="340" t="str">
        <f>VLOOKUP(C2292,Plan!A$1:B$65542,2,0)</f>
        <v>Colectas Normales</v>
      </c>
      <c r="E2292" s="396">
        <f>-G2292</f>
        <v>-100000</v>
      </c>
      <c r="F2292" s="396">
        <v>0</v>
      </c>
      <c r="G2292" s="396">
        <f>+F2291</f>
        <v>100000</v>
      </c>
      <c r="H2292" s="347" t="str">
        <f>+H2291</f>
        <v>Colecta Jose Antonio Marin Jordan</v>
      </c>
      <c r="I2292" s="347" t="s">
        <v>1303</v>
      </c>
      <c r="K2292" s="370"/>
      <c r="N2292" s="370"/>
    </row>
    <row r="2293" spans="1:14" s="347" customFormat="1" x14ac:dyDescent="0.25">
      <c r="A2293" s="369"/>
      <c r="E2293" s="396"/>
      <c r="F2293" s="396"/>
      <c r="G2293" s="396"/>
      <c r="K2293" s="370"/>
      <c r="N2293" s="370"/>
    </row>
    <row r="2294" spans="1:14" s="347" customFormat="1" x14ac:dyDescent="0.25">
      <c r="A2294" s="369">
        <v>44322</v>
      </c>
      <c r="B2294" s="340">
        <f>+MONTH(A2294)</f>
        <v>5</v>
      </c>
      <c r="C2294" s="347">
        <v>110</v>
      </c>
      <c r="D2294" s="340" t="str">
        <f>VLOOKUP(C2294,Plan!A$1:B$65542,2,0)</f>
        <v>Disponible Administración</v>
      </c>
      <c r="E2294" s="341">
        <f>+F2294-G2294</f>
        <v>100000</v>
      </c>
      <c r="F2294" s="396">
        <v>100000</v>
      </c>
      <c r="G2294" s="396">
        <v>0</v>
      </c>
      <c r="H2294" s="347" t="s">
        <v>1128</v>
      </c>
      <c r="I2294" s="347" t="s">
        <v>1303</v>
      </c>
      <c r="K2294" s="370"/>
      <c r="N2294" s="370"/>
    </row>
    <row r="2295" spans="1:14" s="347" customFormat="1" x14ac:dyDescent="0.25">
      <c r="A2295" s="369">
        <f>+A2294</f>
        <v>44322</v>
      </c>
      <c r="B2295" s="347">
        <f>+B2294</f>
        <v>5</v>
      </c>
      <c r="C2295" s="347">
        <v>3110</v>
      </c>
      <c r="D2295" s="340" t="str">
        <f>VLOOKUP(C2295,Plan!A$1:B$65542,2,0)</f>
        <v>Colectas Normales</v>
      </c>
      <c r="E2295" s="396">
        <f>-G2295</f>
        <v>-100000</v>
      </c>
      <c r="F2295" s="396">
        <v>0</v>
      </c>
      <c r="G2295" s="396">
        <f>+F2294</f>
        <v>100000</v>
      </c>
      <c r="H2295" s="347" t="str">
        <f>+H2294</f>
        <v>Colecta Ximena Suspichiatti</v>
      </c>
      <c r="I2295" s="347" t="s">
        <v>1303</v>
      </c>
      <c r="K2295" s="370"/>
      <c r="N2295" s="370"/>
    </row>
    <row r="2296" spans="1:14" s="347" customFormat="1" x14ac:dyDescent="0.25">
      <c r="A2296" s="369"/>
      <c r="E2296" s="396"/>
      <c r="F2296" s="396"/>
      <c r="G2296" s="396"/>
      <c r="K2296" s="370"/>
      <c r="N2296" s="370"/>
    </row>
    <row r="2297" spans="1:14" s="347" customFormat="1" x14ac:dyDescent="0.25">
      <c r="A2297" s="369">
        <v>44322</v>
      </c>
      <c r="B2297" s="340">
        <f>+MONTH(A2297)</f>
        <v>5</v>
      </c>
      <c r="C2297" s="347">
        <v>110</v>
      </c>
      <c r="D2297" s="340" t="str">
        <f>VLOOKUP(C2297,Plan!A$1:B$65542,2,0)</f>
        <v>Disponible Administración</v>
      </c>
      <c r="E2297" s="341">
        <f>+F2297-G2297</f>
        <v>30000</v>
      </c>
      <c r="F2297" s="396">
        <v>30000</v>
      </c>
      <c r="G2297" s="396">
        <v>0</v>
      </c>
      <c r="H2297" s="347" t="s">
        <v>1403</v>
      </c>
      <c r="I2297" s="347" t="s">
        <v>1303</v>
      </c>
      <c r="K2297" s="370"/>
      <c r="N2297" s="370"/>
    </row>
    <row r="2298" spans="1:14" s="347" customFormat="1" x14ac:dyDescent="0.25">
      <c r="A2298" s="369">
        <f>+A2297</f>
        <v>44322</v>
      </c>
      <c r="B2298" s="347">
        <f>+B2297</f>
        <v>5</v>
      </c>
      <c r="C2298" s="347">
        <v>3110</v>
      </c>
      <c r="D2298" s="340" t="str">
        <f>VLOOKUP(C2298,Plan!A$1:B$65542,2,0)</f>
        <v>Colectas Normales</v>
      </c>
      <c r="E2298" s="396">
        <f>-G2298</f>
        <v>-30000</v>
      </c>
      <c r="F2298" s="396">
        <v>0</v>
      </c>
      <c r="G2298" s="396">
        <f>+F2297</f>
        <v>30000</v>
      </c>
      <c r="H2298" s="347" t="str">
        <f>+H2297</f>
        <v>Colecta M. Loreto Naranjo</v>
      </c>
      <c r="I2298" s="347" t="s">
        <v>1303</v>
      </c>
      <c r="K2298" s="370"/>
      <c r="N2298" s="370"/>
    </row>
    <row r="2299" spans="1:14" s="347" customFormat="1" x14ac:dyDescent="0.25">
      <c r="A2299" s="369"/>
      <c r="E2299" s="396"/>
      <c r="F2299" s="396"/>
      <c r="G2299" s="396"/>
      <c r="K2299" s="370"/>
      <c r="N2299" s="370"/>
    </row>
    <row r="2300" spans="1:14" s="347" customFormat="1" x14ac:dyDescent="0.25">
      <c r="A2300" s="369">
        <v>44322</v>
      </c>
      <c r="B2300" s="340">
        <f>+MONTH(A2300)</f>
        <v>5</v>
      </c>
      <c r="C2300" s="347">
        <v>110</v>
      </c>
      <c r="D2300" s="340" t="str">
        <f>VLOOKUP(C2300,Plan!A$1:B$65542,2,0)</f>
        <v>Disponible Administración</v>
      </c>
      <c r="E2300" s="341">
        <f>+F2300-G2300</f>
        <v>15000</v>
      </c>
      <c r="F2300" s="396">
        <v>15000</v>
      </c>
      <c r="G2300" s="396">
        <v>0</v>
      </c>
      <c r="H2300" s="347" t="s">
        <v>1461</v>
      </c>
      <c r="I2300" s="347" t="s">
        <v>1303</v>
      </c>
      <c r="K2300" s="370"/>
      <c r="N2300" s="370"/>
    </row>
    <row r="2301" spans="1:14" s="347" customFormat="1" x14ac:dyDescent="0.25">
      <c r="A2301" s="369">
        <f>+A2300</f>
        <v>44322</v>
      </c>
      <c r="B2301" s="347">
        <f>+B2300</f>
        <v>5</v>
      </c>
      <c r="C2301" s="347">
        <v>3110</v>
      </c>
      <c r="D2301" s="340" t="str">
        <f>VLOOKUP(C2301,Plan!A$1:B$65542,2,0)</f>
        <v>Colectas Normales</v>
      </c>
      <c r="E2301" s="396">
        <f>-G2301</f>
        <v>-15000</v>
      </c>
      <c r="F2301" s="396">
        <v>0</v>
      </c>
      <c r="G2301" s="396">
        <f>+F2300</f>
        <v>15000</v>
      </c>
      <c r="H2301" s="347" t="str">
        <f>+H2300</f>
        <v>Colecta Maria Jose Blanco Calderon</v>
      </c>
      <c r="I2301" s="347" t="s">
        <v>1303</v>
      </c>
      <c r="K2301" s="370"/>
      <c r="N2301" s="370"/>
    </row>
    <row r="2302" spans="1:14" s="347" customFormat="1" x14ac:dyDescent="0.25">
      <c r="A2302" s="369"/>
      <c r="E2302" s="396"/>
      <c r="F2302" s="396"/>
      <c r="G2302" s="396"/>
      <c r="K2302" s="370"/>
      <c r="N2302" s="370"/>
    </row>
    <row r="2303" spans="1:14" s="347" customFormat="1" x14ac:dyDescent="0.25">
      <c r="A2303" s="369">
        <v>44322</v>
      </c>
      <c r="B2303" s="340">
        <f>+MONTH(A2303)</f>
        <v>5</v>
      </c>
      <c r="C2303" s="347">
        <v>110</v>
      </c>
      <c r="D2303" s="340" t="str">
        <f>VLOOKUP(C2303,Plan!A$1:B$65542,2,0)</f>
        <v>Disponible Administración</v>
      </c>
      <c r="E2303" s="341">
        <f>+F2303-G2303</f>
        <v>29418</v>
      </c>
      <c r="F2303" s="396">
        <v>29418</v>
      </c>
      <c r="G2303" s="396">
        <v>0</v>
      </c>
      <c r="H2303" s="347" t="s">
        <v>897</v>
      </c>
      <c r="I2303" s="347" t="s">
        <v>1303</v>
      </c>
      <c r="K2303" s="370"/>
      <c r="N2303" s="370"/>
    </row>
    <row r="2304" spans="1:14" s="347" customFormat="1" x14ac:dyDescent="0.25">
      <c r="A2304" s="369">
        <f>+A2303</f>
        <v>44322</v>
      </c>
      <c r="B2304" s="347">
        <f>+B2303</f>
        <v>5</v>
      </c>
      <c r="C2304" s="347">
        <v>3110</v>
      </c>
      <c r="D2304" s="340" t="str">
        <f>VLOOKUP(C2304,Plan!A$1:B$65542,2,0)</f>
        <v>Colectas Normales</v>
      </c>
      <c r="E2304" s="396">
        <f>-G2304</f>
        <v>-29418</v>
      </c>
      <c r="F2304" s="396">
        <v>0</v>
      </c>
      <c r="G2304" s="396">
        <f>+F2303</f>
        <v>29418</v>
      </c>
      <c r="H2304" s="347" t="str">
        <f>+H2303</f>
        <v>Colecta DCT</v>
      </c>
      <c r="I2304" s="347" t="s">
        <v>1303</v>
      </c>
      <c r="K2304" s="370"/>
      <c r="N2304" s="370"/>
    </row>
    <row r="2305" spans="1:14" s="347" customFormat="1" x14ac:dyDescent="0.25">
      <c r="A2305" s="369"/>
      <c r="E2305" s="396"/>
      <c r="F2305" s="396"/>
      <c r="G2305" s="396"/>
      <c r="K2305" s="370"/>
      <c r="N2305" s="370"/>
    </row>
    <row r="2306" spans="1:14" s="347" customFormat="1" x14ac:dyDescent="0.25">
      <c r="A2306" s="369">
        <v>44322</v>
      </c>
      <c r="B2306" s="340">
        <f>+MONTH(A2306)</f>
        <v>5</v>
      </c>
      <c r="C2306" s="347">
        <v>110</v>
      </c>
      <c r="D2306" s="340" t="str">
        <f>VLOOKUP(C2306,Plan!A$1:B$65542,2,0)</f>
        <v>Disponible Administración</v>
      </c>
      <c r="E2306" s="341">
        <f>+F2306-G2306</f>
        <v>4902</v>
      </c>
      <c r="F2306" s="396">
        <v>4902</v>
      </c>
      <c r="G2306" s="396">
        <v>0</v>
      </c>
      <c r="H2306" s="347" t="s">
        <v>1338</v>
      </c>
      <c r="I2306" s="347" t="s">
        <v>1303</v>
      </c>
      <c r="K2306" s="370"/>
      <c r="N2306" s="370"/>
    </row>
    <row r="2307" spans="1:14" s="347" customFormat="1" x14ac:dyDescent="0.25">
      <c r="A2307" s="369">
        <f>+A2306</f>
        <v>44322</v>
      </c>
      <c r="B2307" s="347">
        <f>+B2306</f>
        <v>5</v>
      </c>
      <c r="C2307" s="347">
        <v>3340</v>
      </c>
      <c r="D2307" s="340" t="str">
        <f>VLOOKUP(C2307,Plan!A$1:B$65542,2,0)</f>
        <v>Misas</v>
      </c>
      <c r="E2307" s="396">
        <f>-G2307</f>
        <v>-4902</v>
      </c>
      <c r="F2307" s="396">
        <v>0</v>
      </c>
      <c r="G2307" s="396">
        <f>+F2306</f>
        <v>4902</v>
      </c>
      <c r="H2307" s="347" t="str">
        <f>+H2306</f>
        <v>Misa DCT</v>
      </c>
      <c r="I2307" s="347" t="s">
        <v>1303</v>
      </c>
      <c r="K2307" s="370"/>
      <c r="N2307" s="370"/>
    </row>
    <row r="2308" spans="1:14" s="347" customFormat="1" x14ac:dyDescent="0.25">
      <c r="A2308" s="369"/>
      <c r="E2308" s="396"/>
      <c r="F2308" s="396"/>
      <c r="G2308" s="396"/>
      <c r="K2308" s="370"/>
      <c r="N2308" s="370"/>
    </row>
    <row r="2309" spans="1:14" s="347" customFormat="1" x14ac:dyDescent="0.25">
      <c r="A2309" s="369">
        <v>44322</v>
      </c>
      <c r="B2309" s="340">
        <f>+MONTH(A2309)</f>
        <v>5</v>
      </c>
      <c r="C2309" s="347">
        <v>110</v>
      </c>
      <c r="D2309" s="340" t="str">
        <f>VLOOKUP(C2309,Plan!A$1:B$65542,2,0)</f>
        <v>Disponible Administración</v>
      </c>
      <c r="E2309" s="341">
        <f>+F2309-G2309</f>
        <v>15000</v>
      </c>
      <c r="F2309" s="396">
        <v>15000</v>
      </c>
      <c r="G2309" s="396">
        <v>0</v>
      </c>
      <c r="H2309" s="347" t="s">
        <v>688</v>
      </c>
      <c r="I2309" s="347" t="s">
        <v>1303</v>
      </c>
      <c r="K2309" s="370"/>
      <c r="N2309" s="370"/>
    </row>
    <row r="2310" spans="1:14" s="347" customFormat="1" x14ac:dyDescent="0.25">
      <c r="A2310" s="369">
        <f>+A2309</f>
        <v>44322</v>
      </c>
      <c r="B2310" s="347">
        <f>+B2309</f>
        <v>5</v>
      </c>
      <c r="C2310" s="347">
        <v>215</v>
      </c>
      <c r="D2310" s="340" t="str">
        <f>VLOOKUP(C2310,Plan!A$1:B$65542,2,0)</f>
        <v>Cuenta por Pagar a Cali</v>
      </c>
      <c r="E2310" s="396">
        <f>-G2310</f>
        <v>-15000</v>
      </c>
      <c r="F2310" s="396">
        <v>0</v>
      </c>
      <c r="G2310" s="396">
        <f>+F2309</f>
        <v>15000</v>
      </c>
      <c r="H2310" s="347" t="str">
        <f>+H2309</f>
        <v>María Elena de Castro Espinosa/249</v>
      </c>
      <c r="I2310" s="347" t="s">
        <v>1303</v>
      </c>
      <c r="K2310" s="370"/>
      <c r="N2310" s="370"/>
    </row>
    <row r="2311" spans="1:14" s="347" customFormat="1" x14ac:dyDescent="0.25">
      <c r="A2311" s="369"/>
      <c r="E2311" s="396"/>
      <c r="F2311" s="396"/>
      <c r="G2311" s="396"/>
      <c r="K2311" s="370"/>
      <c r="N2311" s="370"/>
    </row>
    <row r="2312" spans="1:14" s="347" customFormat="1" x14ac:dyDescent="0.25">
      <c r="A2312" s="369">
        <v>44322</v>
      </c>
      <c r="B2312" s="340">
        <f>+MONTH(A2312)</f>
        <v>5</v>
      </c>
      <c r="C2312" s="347">
        <v>110</v>
      </c>
      <c r="D2312" s="340" t="str">
        <f>VLOOKUP(C2312,Plan!A$1:B$65542,2,0)</f>
        <v>Disponible Administración</v>
      </c>
      <c r="E2312" s="341">
        <f>+F2312-G2312</f>
        <v>16000</v>
      </c>
      <c r="F2312" s="396">
        <v>16000</v>
      </c>
      <c r="G2312" s="396">
        <v>0</v>
      </c>
      <c r="H2312" s="347" t="s">
        <v>1330</v>
      </c>
      <c r="I2312" s="347" t="s">
        <v>1303</v>
      </c>
      <c r="K2312" s="370"/>
      <c r="N2312" s="370"/>
    </row>
    <row r="2313" spans="1:14" s="347" customFormat="1" x14ac:dyDescent="0.25">
      <c r="A2313" s="369">
        <f>+A2312</f>
        <v>44322</v>
      </c>
      <c r="B2313" s="347">
        <f>+B2312</f>
        <v>5</v>
      </c>
      <c r="C2313" s="347">
        <v>3110</v>
      </c>
      <c r="D2313" s="340" t="str">
        <f>VLOOKUP(C2313,Plan!A$1:B$65542,2,0)</f>
        <v>Colectas Normales</v>
      </c>
      <c r="E2313" s="396">
        <f>-G2313</f>
        <v>-16000</v>
      </c>
      <c r="F2313" s="396">
        <v>0</v>
      </c>
      <c r="G2313" s="396">
        <f>+F2312</f>
        <v>16000</v>
      </c>
      <c r="H2313" s="347" t="str">
        <f>+H2312</f>
        <v>Colecta Leonardo Robles Copello</v>
      </c>
      <c r="I2313" s="347" t="s">
        <v>1303</v>
      </c>
      <c r="K2313" s="370"/>
      <c r="N2313" s="370"/>
    </row>
    <row r="2314" spans="1:14" s="347" customFormat="1" x14ac:dyDescent="0.25">
      <c r="A2314" s="369"/>
      <c r="E2314" s="396"/>
      <c r="F2314" s="396"/>
      <c r="G2314" s="396"/>
      <c r="K2314" s="370"/>
      <c r="N2314" s="370"/>
    </row>
    <row r="2315" spans="1:14" s="347" customFormat="1" x14ac:dyDescent="0.25">
      <c r="A2315" s="369">
        <v>44322</v>
      </c>
      <c r="B2315" s="340">
        <f>+MONTH(A2315)</f>
        <v>5</v>
      </c>
      <c r="C2315" s="347">
        <v>110</v>
      </c>
      <c r="D2315" s="340" t="str">
        <f>VLOOKUP(C2315,Plan!A$1:B$65542,2,0)</f>
        <v>Disponible Administración</v>
      </c>
      <c r="E2315" s="341">
        <f>+F2315-G2315</f>
        <v>15000</v>
      </c>
      <c r="F2315" s="396">
        <v>15000</v>
      </c>
      <c r="G2315" s="396">
        <v>0</v>
      </c>
      <c r="H2315" s="347" t="s">
        <v>1318</v>
      </c>
      <c r="I2315" s="347" t="s">
        <v>1303</v>
      </c>
      <c r="K2315" s="370"/>
      <c r="N2315" s="370"/>
    </row>
    <row r="2316" spans="1:14" s="347" customFormat="1" x14ac:dyDescent="0.25">
      <c r="A2316" s="369">
        <f>+A2315</f>
        <v>44322</v>
      </c>
      <c r="B2316" s="347">
        <f>+B2315</f>
        <v>5</v>
      </c>
      <c r="C2316" s="347">
        <v>3110</v>
      </c>
      <c r="D2316" s="340" t="str">
        <f>VLOOKUP(C2316,Plan!A$1:B$65542,2,0)</f>
        <v>Colectas Normales</v>
      </c>
      <c r="E2316" s="396">
        <f>-G2316</f>
        <v>-15000</v>
      </c>
      <c r="F2316" s="396">
        <v>0</v>
      </c>
      <c r="G2316" s="396">
        <f>+F2315</f>
        <v>15000</v>
      </c>
      <c r="H2316" s="347" t="str">
        <f>+H2315</f>
        <v>Colecta Jaime Andres Court Viviani</v>
      </c>
      <c r="I2316" s="347" t="s">
        <v>1303</v>
      </c>
      <c r="K2316" s="370"/>
      <c r="N2316" s="370"/>
    </row>
    <row r="2317" spans="1:14" s="347" customFormat="1" x14ac:dyDescent="0.25">
      <c r="A2317" s="369"/>
      <c r="E2317" s="396"/>
      <c r="F2317" s="396"/>
      <c r="G2317" s="396"/>
      <c r="K2317" s="370"/>
      <c r="N2317" s="370"/>
    </row>
    <row r="2318" spans="1:14" s="347" customFormat="1" x14ac:dyDescent="0.25">
      <c r="A2318" s="369">
        <v>44322</v>
      </c>
      <c r="B2318" s="340">
        <f>+MONTH(A2318)</f>
        <v>5</v>
      </c>
      <c r="C2318" s="347">
        <v>110</v>
      </c>
      <c r="D2318" s="340" t="str">
        <f>VLOOKUP(C2318,Plan!A$1:B$65542,2,0)</f>
        <v>Disponible Administración</v>
      </c>
      <c r="E2318" s="341">
        <f>+F2318-G2318</f>
        <v>53000</v>
      </c>
      <c r="F2318" s="396">
        <v>53000</v>
      </c>
      <c r="G2318" s="396">
        <v>0</v>
      </c>
      <c r="H2318" s="347" t="s">
        <v>737</v>
      </c>
      <c r="I2318" s="347" t="s">
        <v>1303</v>
      </c>
      <c r="K2318" s="370"/>
      <c r="N2318" s="370"/>
    </row>
    <row r="2319" spans="1:14" s="347" customFormat="1" x14ac:dyDescent="0.25">
      <c r="A2319" s="369">
        <f>+A2318</f>
        <v>44322</v>
      </c>
      <c r="B2319" s="347">
        <f>+B2318</f>
        <v>5</v>
      </c>
      <c r="C2319" s="347">
        <v>215</v>
      </c>
      <c r="D2319" s="340" t="str">
        <f>VLOOKUP(C2319,Plan!A$1:B$65542,2,0)</f>
        <v>Cuenta por Pagar a Cali</v>
      </c>
      <c r="E2319" s="396">
        <f>-G2319</f>
        <v>-53000</v>
      </c>
      <c r="F2319" s="396">
        <v>0</v>
      </c>
      <c r="G2319" s="396">
        <f>+F2318</f>
        <v>53000</v>
      </c>
      <c r="H2319" s="347" t="str">
        <f>+H2318</f>
        <v>Jaime Andrés Court Viviani/249</v>
      </c>
      <c r="I2319" s="347" t="s">
        <v>1303</v>
      </c>
      <c r="K2319" s="370"/>
      <c r="N2319" s="370"/>
    </row>
    <row r="2320" spans="1:14" s="347" customFormat="1" x14ac:dyDescent="0.25">
      <c r="A2320" s="369"/>
      <c r="E2320" s="396"/>
      <c r="F2320" s="396"/>
      <c r="G2320" s="396"/>
      <c r="K2320" s="370"/>
      <c r="N2320" s="370"/>
    </row>
    <row r="2321" spans="1:14" s="347" customFormat="1" x14ac:dyDescent="0.25">
      <c r="A2321" s="369">
        <v>44323</v>
      </c>
      <c r="B2321" s="340">
        <f>+MONTH(A2321)</f>
        <v>5</v>
      </c>
      <c r="C2321" s="347">
        <v>110</v>
      </c>
      <c r="D2321" s="340" t="str">
        <f>VLOOKUP(C2321,Plan!A$1:B$65542,2,0)</f>
        <v>Disponible Administración</v>
      </c>
      <c r="E2321" s="341">
        <f>+F2321-G2321</f>
        <v>40000</v>
      </c>
      <c r="F2321" s="396">
        <v>40000</v>
      </c>
      <c r="G2321" s="396">
        <v>0</v>
      </c>
      <c r="H2321" s="347" t="s">
        <v>1333</v>
      </c>
      <c r="I2321" s="347" t="s">
        <v>1303</v>
      </c>
      <c r="K2321" s="370"/>
      <c r="N2321" s="370"/>
    </row>
    <row r="2322" spans="1:14" s="347" customFormat="1" x14ac:dyDescent="0.25">
      <c r="A2322" s="369">
        <f>+A2321</f>
        <v>44323</v>
      </c>
      <c r="B2322" s="347">
        <f>+B2321</f>
        <v>5</v>
      </c>
      <c r="C2322" s="347">
        <v>3110</v>
      </c>
      <c r="D2322" s="340" t="str">
        <f>VLOOKUP(C2322,Plan!A$1:B$65542,2,0)</f>
        <v>Colectas Normales</v>
      </c>
      <c r="E2322" s="396">
        <f>-G2322</f>
        <v>-40000</v>
      </c>
      <c r="F2322" s="396">
        <v>0</v>
      </c>
      <c r="G2322" s="396">
        <f>+F2321</f>
        <v>40000</v>
      </c>
      <c r="H2322" s="347" t="str">
        <f>+H2321</f>
        <v>Colecta Carlos Felix Mackenna Iniguez</v>
      </c>
      <c r="I2322" s="347" t="s">
        <v>1303</v>
      </c>
      <c r="K2322" s="370"/>
      <c r="N2322" s="370"/>
    </row>
    <row r="2323" spans="1:14" s="347" customFormat="1" x14ac:dyDescent="0.25">
      <c r="A2323" s="369"/>
      <c r="E2323" s="396"/>
      <c r="F2323" s="396"/>
      <c r="G2323" s="396"/>
      <c r="K2323" s="370"/>
      <c r="N2323" s="370"/>
    </row>
    <row r="2324" spans="1:14" s="347" customFormat="1" x14ac:dyDescent="0.25">
      <c r="A2324" s="369">
        <v>44323</v>
      </c>
      <c r="B2324" s="340">
        <f>+MONTH(A2324)</f>
        <v>5</v>
      </c>
      <c r="C2324" s="347">
        <v>110</v>
      </c>
      <c r="D2324" s="340" t="str">
        <f>VLOOKUP(C2324,Plan!A$1:B$65542,2,0)</f>
        <v>Disponible Administración</v>
      </c>
      <c r="E2324" s="341">
        <f>+F2324-G2324</f>
        <v>20000</v>
      </c>
      <c r="F2324" s="396">
        <v>20000</v>
      </c>
      <c r="G2324" s="396">
        <v>0</v>
      </c>
      <c r="H2324" s="347" t="s">
        <v>1332</v>
      </c>
      <c r="I2324" s="347" t="s">
        <v>1303</v>
      </c>
      <c r="K2324" s="370"/>
      <c r="N2324" s="370"/>
    </row>
    <row r="2325" spans="1:14" s="347" customFormat="1" x14ac:dyDescent="0.25">
      <c r="A2325" s="369">
        <f>+A2324</f>
        <v>44323</v>
      </c>
      <c r="B2325" s="347">
        <f>+B2324</f>
        <v>5</v>
      </c>
      <c r="C2325" s="347">
        <v>3110</v>
      </c>
      <c r="D2325" s="340" t="str">
        <f>VLOOKUP(C2325,Plan!A$1:B$65542,2,0)</f>
        <v>Colectas Normales</v>
      </c>
      <c r="E2325" s="396">
        <f>-G2325</f>
        <v>-20000</v>
      </c>
      <c r="F2325" s="396">
        <v>0</v>
      </c>
      <c r="G2325" s="396">
        <f>+F2324</f>
        <v>20000</v>
      </c>
      <c r="H2325" s="347" t="str">
        <f>+H2324</f>
        <v>Colecta Maria Luz Parodi Gil</v>
      </c>
      <c r="I2325" s="347" t="s">
        <v>1303</v>
      </c>
      <c r="K2325" s="370"/>
      <c r="N2325" s="370"/>
    </row>
    <row r="2326" spans="1:14" s="347" customFormat="1" x14ac:dyDescent="0.25">
      <c r="A2326" s="369"/>
      <c r="E2326" s="396"/>
      <c r="F2326" s="396"/>
      <c r="G2326" s="396"/>
      <c r="K2326" s="370"/>
      <c r="N2326" s="370"/>
    </row>
    <row r="2327" spans="1:14" s="347" customFormat="1" x14ac:dyDescent="0.25">
      <c r="A2327" s="369">
        <v>44323</v>
      </c>
      <c r="B2327" s="340">
        <f>+MONTH(A2327)</f>
        <v>5</v>
      </c>
      <c r="C2327" s="347">
        <v>110</v>
      </c>
      <c r="D2327" s="340" t="str">
        <f>VLOOKUP(C2327,Plan!A$1:B$65542,2,0)</f>
        <v>Disponible Administración</v>
      </c>
      <c r="E2327" s="341">
        <f>+F2327-G2327</f>
        <v>205927</v>
      </c>
      <c r="F2327" s="396">
        <v>205927</v>
      </c>
      <c r="G2327" s="396">
        <v>0</v>
      </c>
      <c r="H2327" s="347" t="s">
        <v>1338</v>
      </c>
      <c r="I2327" s="347" t="s">
        <v>1303</v>
      </c>
      <c r="K2327" s="370"/>
      <c r="N2327" s="370"/>
    </row>
    <row r="2328" spans="1:14" s="347" customFormat="1" x14ac:dyDescent="0.25">
      <c r="A2328" s="369">
        <f>+A2327</f>
        <v>44323</v>
      </c>
      <c r="B2328" s="347">
        <f>+B2327</f>
        <v>5</v>
      </c>
      <c r="C2328" s="347">
        <v>3340</v>
      </c>
      <c r="D2328" s="340" t="str">
        <f>VLOOKUP(C2328,Plan!A$1:B$65542,2,0)</f>
        <v>Misas</v>
      </c>
      <c r="E2328" s="396">
        <f>-G2328</f>
        <v>-205927</v>
      </c>
      <c r="F2328" s="396">
        <v>0</v>
      </c>
      <c r="G2328" s="396">
        <f>+F2327</f>
        <v>205927</v>
      </c>
      <c r="H2328" s="347" t="str">
        <f>+H2327</f>
        <v>Misa DCT</v>
      </c>
      <c r="I2328" s="347" t="s">
        <v>1303</v>
      </c>
      <c r="K2328" s="370"/>
      <c r="N2328" s="370"/>
    </row>
    <row r="2329" spans="1:14" s="347" customFormat="1" x14ac:dyDescent="0.25">
      <c r="A2329" s="369"/>
      <c r="E2329" s="396"/>
      <c r="F2329" s="396"/>
      <c r="G2329" s="396"/>
      <c r="K2329" s="370"/>
      <c r="N2329" s="370"/>
    </row>
    <row r="2330" spans="1:14" s="347" customFormat="1" x14ac:dyDescent="0.25">
      <c r="A2330" s="369">
        <v>44323</v>
      </c>
      <c r="B2330" s="340">
        <f>+MONTH(A2330)</f>
        <v>5</v>
      </c>
      <c r="C2330" s="347">
        <v>110</v>
      </c>
      <c r="D2330" s="340" t="str">
        <f>VLOOKUP(C2330,Plan!A$1:B$65542,2,0)</f>
        <v>Disponible Administración</v>
      </c>
      <c r="E2330" s="341">
        <f>+F2330-G2330</f>
        <v>15000</v>
      </c>
      <c r="F2330" s="396">
        <v>15000</v>
      </c>
      <c r="G2330" s="396">
        <v>0</v>
      </c>
      <c r="H2330" s="347" t="s">
        <v>1462</v>
      </c>
      <c r="I2330" s="347" t="s">
        <v>1303</v>
      </c>
      <c r="K2330" s="370"/>
      <c r="N2330" s="370"/>
    </row>
    <row r="2331" spans="1:14" s="347" customFormat="1" x14ac:dyDescent="0.25">
      <c r="A2331" s="369">
        <f>+A2330</f>
        <v>44323</v>
      </c>
      <c r="B2331" s="347">
        <f>+B2330</f>
        <v>5</v>
      </c>
      <c r="C2331" s="347">
        <v>3450</v>
      </c>
      <c r="D2331" s="340" t="str">
        <f>VLOOKUP(C2331,Plan!A$1:B$65542,2,0)</f>
        <v>Pastoral Social</v>
      </c>
      <c r="E2331" s="396">
        <f>-G2331</f>
        <v>-15000</v>
      </c>
      <c r="F2331" s="396">
        <v>0</v>
      </c>
      <c r="G2331" s="396">
        <f>+F2330</f>
        <v>15000</v>
      </c>
      <c r="H2331" s="347" t="str">
        <f>+H2330</f>
        <v>Canasta M. Fca. Rojas G.</v>
      </c>
      <c r="I2331" s="347" t="s">
        <v>1303</v>
      </c>
      <c r="K2331" s="370"/>
      <c r="N2331" s="370"/>
    </row>
    <row r="2332" spans="1:14" s="347" customFormat="1" x14ac:dyDescent="0.25">
      <c r="A2332" s="369"/>
      <c r="E2332" s="396"/>
      <c r="F2332" s="396"/>
      <c r="G2332" s="396"/>
      <c r="K2332" s="370"/>
      <c r="N2332" s="370"/>
    </row>
    <row r="2333" spans="1:14" s="347" customFormat="1" x14ac:dyDescent="0.25">
      <c r="A2333" s="369">
        <v>44323</v>
      </c>
      <c r="B2333" s="340">
        <f>+MONTH(A2333)</f>
        <v>5</v>
      </c>
      <c r="C2333" s="347">
        <v>110</v>
      </c>
      <c r="D2333" s="340" t="str">
        <f>VLOOKUP(C2333,Plan!A$1:B$65542,2,0)</f>
        <v>Disponible Administración</v>
      </c>
      <c r="E2333" s="341">
        <f>+F2333-G2333</f>
        <v>60000</v>
      </c>
      <c r="F2333" s="396">
        <v>60000</v>
      </c>
      <c r="G2333" s="396">
        <v>0</v>
      </c>
      <c r="H2333" s="347" t="s">
        <v>1463</v>
      </c>
      <c r="I2333" s="347" t="s">
        <v>1303</v>
      </c>
      <c r="K2333" s="370"/>
      <c r="N2333" s="370"/>
    </row>
    <row r="2334" spans="1:14" s="347" customFormat="1" x14ac:dyDescent="0.25">
      <c r="A2334" s="369">
        <f>+A2333</f>
        <v>44323</v>
      </c>
      <c r="B2334" s="347">
        <f>+B2333</f>
        <v>5</v>
      </c>
      <c r="C2334" s="347">
        <v>3110</v>
      </c>
      <c r="D2334" s="340" t="str">
        <f>VLOOKUP(C2334,Plan!A$1:B$65542,2,0)</f>
        <v>Colectas Normales</v>
      </c>
      <c r="E2334" s="396">
        <f>-G2334</f>
        <v>-60000</v>
      </c>
      <c r="F2334" s="396">
        <v>0</v>
      </c>
      <c r="G2334" s="396">
        <f>+F2333</f>
        <v>60000</v>
      </c>
      <c r="H2334" s="347" t="str">
        <f>+H2333</f>
        <v>Colecta Gabriela Sousa</v>
      </c>
      <c r="I2334" s="347" t="s">
        <v>1303</v>
      </c>
      <c r="K2334" s="370"/>
      <c r="N2334" s="370"/>
    </row>
    <row r="2335" spans="1:14" s="347" customFormat="1" x14ac:dyDescent="0.25">
      <c r="A2335" s="369"/>
      <c r="E2335" s="396"/>
      <c r="F2335" s="396"/>
      <c r="G2335" s="396"/>
      <c r="K2335" s="370"/>
      <c r="N2335" s="370"/>
    </row>
    <row r="2336" spans="1:14" s="347" customFormat="1" x14ac:dyDescent="0.25">
      <c r="A2336" s="369">
        <v>44323</v>
      </c>
      <c r="B2336" s="340">
        <f>+MONTH(A2336)</f>
        <v>5</v>
      </c>
      <c r="C2336" s="347">
        <v>110</v>
      </c>
      <c r="D2336" s="340" t="str">
        <f>VLOOKUP(C2336,Plan!A$1:B$65542,2,0)</f>
        <v>Disponible Administración</v>
      </c>
      <c r="E2336" s="341">
        <f>+F2336-G2336</f>
        <v>250000</v>
      </c>
      <c r="F2336" s="396">
        <v>250000</v>
      </c>
      <c r="G2336" s="396">
        <v>0</v>
      </c>
      <c r="H2336" s="347" t="s">
        <v>1210</v>
      </c>
      <c r="I2336" s="347" t="s">
        <v>1303</v>
      </c>
      <c r="K2336" s="370"/>
      <c r="N2336" s="370"/>
    </row>
    <row r="2337" spans="1:14" s="347" customFormat="1" x14ac:dyDescent="0.25">
      <c r="A2337" s="369">
        <f>+A2336</f>
        <v>44323</v>
      </c>
      <c r="B2337" s="347">
        <f>+B2336</f>
        <v>5</v>
      </c>
      <c r="C2337" s="347">
        <v>215</v>
      </c>
      <c r="D2337" s="340" t="str">
        <f>VLOOKUP(C2337,Plan!A$1:B$65542,2,0)</f>
        <v>Cuenta por Pagar a Cali</v>
      </c>
      <c r="E2337" s="396">
        <f>-G2337</f>
        <v>-250000</v>
      </c>
      <c r="F2337" s="396">
        <v>0</v>
      </c>
      <c r="G2337" s="396">
        <f>+F2336</f>
        <v>250000</v>
      </c>
      <c r="H2337" s="347" t="str">
        <f>+H2336</f>
        <v>Sandra Rivadeneira Almonacid/Azul</v>
      </c>
      <c r="I2337" s="347" t="s">
        <v>1303</v>
      </c>
      <c r="K2337" s="370"/>
      <c r="N2337" s="370"/>
    </row>
    <row r="2338" spans="1:14" s="347" customFormat="1" x14ac:dyDescent="0.25">
      <c r="A2338" s="369"/>
      <c r="E2338" s="396"/>
      <c r="F2338" s="396"/>
      <c r="G2338" s="396"/>
      <c r="K2338" s="370"/>
      <c r="N2338" s="370"/>
    </row>
    <row r="2339" spans="1:14" s="347" customFormat="1" x14ac:dyDescent="0.25">
      <c r="A2339" s="369">
        <v>44323</v>
      </c>
      <c r="B2339" s="340">
        <f>+MONTH(A2339)</f>
        <v>5</v>
      </c>
      <c r="C2339" s="347">
        <v>110</v>
      </c>
      <c r="D2339" s="340" t="str">
        <f>VLOOKUP(C2339,Plan!A$1:B$65542,2,0)</f>
        <v>Disponible Administración</v>
      </c>
      <c r="E2339" s="341">
        <f>+F2339-G2339</f>
        <v>50000</v>
      </c>
      <c r="F2339" s="396">
        <v>50000</v>
      </c>
      <c r="G2339" s="396">
        <v>0</v>
      </c>
      <c r="H2339" s="347" t="s">
        <v>1464</v>
      </c>
      <c r="I2339" s="347" t="s">
        <v>1303</v>
      </c>
      <c r="K2339" s="370"/>
      <c r="N2339" s="370"/>
    </row>
    <row r="2340" spans="1:14" s="347" customFormat="1" x14ac:dyDescent="0.25">
      <c r="A2340" s="369">
        <f>+A2339</f>
        <v>44323</v>
      </c>
      <c r="B2340" s="347">
        <f>+B2339</f>
        <v>5</v>
      </c>
      <c r="C2340" s="347">
        <v>3110</v>
      </c>
      <c r="D2340" s="340" t="str">
        <f>VLOOKUP(C2340,Plan!A$1:B$65542,2,0)</f>
        <v>Colectas Normales</v>
      </c>
      <c r="E2340" s="396">
        <f>-G2340</f>
        <v>-50000</v>
      </c>
      <c r="F2340" s="396">
        <v>0</v>
      </c>
      <c r="G2340" s="396">
        <f>+F2339</f>
        <v>50000</v>
      </c>
      <c r="H2340" s="347" t="str">
        <f>+H2339</f>
        <v>Colecta Alicia Bahamondes</v>
      </c>
      <c r="I2340" s="347" t="s">
        <v>1303</v>
      </c>
      <c r="K2340" s="370"/>
      <c r="N2340" s="370"/>
    </row>
    <row r="2341" spans="1:14" s="347" customFormat="1" x14ac:dyDescent="0.25">
      <c r="A2341" s="369"/>
      <c r="E2341" s="396"/>
      <c r="F2341" s="396"/>
      <c r="G2341" s="396"/>
      <c r="K2341" s="370"/>
      <c r="N2341" s="370"/>
    </row>
    <row r="2342" spans="1:14" s="347" customFormat="1" x14ac:dyDescent="0.25">
      <c r="A2342" s="369">
        <v>44323</v>
      </c>
      <c r="B2342" s="340">
        <f>+MONTH(A2342)</f>
        <v>5</v>
      </c>
      <c r="C2342" s="347">
        <v>110</v>
      </c>
      <c r="D2342" s="340" t="str">
        <f>VLOOKUP(C2342,Plan!A$1:B$65542,2,0)</f>
        <v>Disponible Administración</v>
      </c>
      <c r="E2342" s="341">
        <f>+F2342-G2342</f>
        <v>30000</v>
      </c>
      <c r="F2342" s="396">
        <v>30000</v>
      </c>
      <c r="G2342" s="396">
        <v>0</v>
      </c>
      <c r="H2342" s="347" t="s">
        <v>1465</v>
      </c>
      <c r="I2342" s="347" t="s">
        <v>1303</v>
      </c>
      <c r="K2342" s="370"/>
      <c r="N2342" s="370"/>
    </row>
    <row r="2343" spans="1:14" s="347" customFormat="1" x14ac:dyDescent="0.25">
      <c r="A2343" s="369">
        <f>+A2342</f>
        <v>44323</v>
      </c>
      <c r="B2343" s="347">
        <f>+B2342</f>
        <v>5</v>
      </c>
      <c r="C2343" s="347">
        <v>3350</v>
      </c>
      <c r="D2343" s="340" t="str">
        <f>VLOOKUP(C2343,Plan!A$1:B$65542,2,0)</f>
        <v>Bautizos</v>
      </c>
      <c r="E2343" s="396">
        <f>-G2343</f>
        <v>-30000</v>
      </c>
      <c r="F2343" s="396">
        <v>0</v>
      </c>
      <c r="G2343" s="396">
        <f>+F2342</f>
        <v>30000</v>
      </c>
      <c r="H2343" s="347" t="str">
        <f>+H2342</f>
        <v>Bautizo Stgo. Paut</v>
      </c>
      <c r="I2343" s="347" t="s">
        <v>1303</v>
      </c>
      <c r="K2343" s="370"/>
      <c r="N2343" s="370"/>
    </row>
    <row r="2344" spans="1:14" s="347" customFormat="1" x14ac:dyDescent="0.25">
      <c r="A2344" s="369"/>
      <c r="E2344" s="396"/>
      <c r="F2344" s="396"/>
      <c r="G2344" s="396"/>
      <c r="K2344" s="370"/>
      <c r="N2344" s="370"/>
    </row>
    <row r="2345" spans="1:14" s="347" customFormat="1" x14ac:dyDescent="0.25">
      <c r="A2345" s="369">
        <v>44323</v>
      </c>
      <c r="B2345" s="340">
        <f>+MONTH(A2345)</f>
        <v>5</v>
      </c>
      <c r="C2345" s="347">
        <v>110</v>
      </c>
      <c r="D2345" s="340" t="str">
        <f>VLOOKUP(C2345,Plan!A$1:B$65542,2,0)</f>
        <v>Disponible Administración</v>
      </c>
      <c r="E2345" s="341">
        <f>+F2345-G2345</f>
        <v>26802</v>
      </c>
      <c r="F2345" s="396">
        <v>26802</v>
      </c>
      <c r="G2345" s="396">
        <v>0</v>
      </c>
      <c r="H2345" s="347" t="s">
        <v>1465</v>
      </c>
      <c r="I2345" s="347" t="s">
        <v>1303</v>
      </c>
      <c r="K2345" s="370"/>
      <c r="N2345" s="370"/>
    </row>
    <row r="2346" spans="1:14" s="347" customFormat="1" x14ac:dyDescent="0.25">
      <c r="A2346" s="369">
        <f>+A2345</f>
        <v>44323</v>
      </c>
      <c r="B2346" s="347">
        <f>+B2345</f>
        <v>5</v>
      </c>
      <c r="C2346" s="347">
        <v>3520</v>
      </c>
      <c r="D2346" s="340" t="str">
        <f>VLOOKUP(C2346,Plan!A$1:B$65542,2,0)</f>
        <v>Otros Ingreso</v>
      </c>
      <c r="E2346" s="396">
        <f>-G2346</f>
        <v>-26802</v>
      </c>
      <c r="F2346" s="396">
        <v>0</v>
      </c>
      <c r="G2346" s="396">
        <f>+F2345</f>
        <v>26802</v>
      </c>
      <c r="H2346" s="347" t="str">
        <f>+H2345</f>
        <v>Bautizo Stgo. Paut</v>
      </c>
      <c r="I2346" s="347" t="s">
        <v>1303</v>
      </c>
      <c r="K2346" s="370"/>
      <c r="N2346" s="370"/>
    </row>
    <row r="2347" spans="1:14" s="347" customFormat="1" x14ac:dyDescent="0.25">
      <c r="A2347" s="369"/>
      <c r="E2347" s="396"/>
      <c r="F2347" s="396"/>
      <c r="G2347" s="396"/>
      <c r="K2347" s="370"/>
      <c r="N2347" s="370"/>
    </row>
    <row r="2348" spans="1:14" s="347" customFormat="1" x14ac:dyDescent="0.25">
      <c r="A2348" s="369">
        <v>44323</v>
      </c>
      <c r="B2348" s="340">
        <f>+MONTH(A2348)</f>
        <v>5</v>
      </c>
      <c r="C2348" s="347">
        <v>215</v>
      </c>
      <c r="D2348" s="340" t="str">
        <f>VLOOKUP(C2348,Plan!A$1:B$65542,2,0)</f>
        <v>Cuenta por Pagar a Cali</v>
      </c>
      <c r="E2348" s="341">
        <f>+F2348-G2348</f>
        <v>72321</v>
      </c>
      <c r="F2348" s="396">
        <f>+G2351-F2350-F2349</f>
        <v>72321</v>
      </c>
      <c r="G2348" s="396">
        <v>0</v>
      </c>
      <c r="H2348" s="347" t="s">
        <v>1466</v>
      </c>
      <c r="I2348" s="347" t="s">
        <v>1303</v>
      </c>
      <c r="K2348" s="370"/>
      <c r="N2348" s="370"/>
    </row>
    <row r="2349" spans="1:14" s="347" customFormat="1" x14ac:dyDescent="0.25">
      <c r="A2349" s="369">
        <v>44323</v>
      </c>
      <c r="B2349" s="340">
        <f>+MONTH(A2349)</f>
        <v>5</v>
      </c>
      <c r="C2349" s="347">
        <v>223</v>
      </c>
      <c r="D2349" s="340" t="str">
        <f>VLOOKUP(C2349,Plan!A$1:B$65542,2,0)</f>
        <v>Ret. Hon.  e Impto. Unico Administración</v>
      </c>
      <c r="E2349" s="341">
        <f>+F2349-G2349</f>
        <v>67187</v>
      </c>
      <c r="F2349" s="396">
        <f>38983+28204</f>
        <v>67187</v>
      </c>
      <c r="G2349" s="396">
        <v>0</v>
      </c>
      <c r="H2349" s="347" t="s">
        <v>1466</v>
      </c>
      <c r="I2349" s="347" t="s">
        <v>1303</v>
      </c>
      <c r="K2349" s="370"/>
      <c r="N2349" s="370"/>
    </row>
    <row r="2350" spans="1:14" s="347" customFormat="1" x14ac:dyDescent="0.25">
      <c r="A2350" s="369">
        <f>+A2348</f>
        <v>44323</v>
      </c>
      <c r="B2350" s="347">
        <f>+B2348</f>
        <v>5</v>
      </c>
      <c r="C2350" s="347">
        <v>223</v>
      </c>
      <c r="D2350" s="340" t="str">
        <f>VLOOKUP(C2350,Plan!A$1:B$65542,2,0)</f>
        <v>Ret. Hon.  e Impto. Unico Administración</v>
      </c>
      <c r="E2350" s="396">
        <f>-G2350+F2350</f>
        <v>16260</v>
      </c>
      <c r="F2350" s="396">
        <v>16260</v>
      </c>
      <c r="G2350" s="396">
        <v>0</v>
      </c>
      <c r="H2350" s="347" t="s">
        <v>1467</v>
      </c>
      <c r="I2350" s="347" t="s">
        <v>1303</v>
      </c>
      <c r="K2350" s="370"/>
      <c r="N2350" s="370"/>
    </row>
    <row r="2351" spans="1:14" s="347" customFormat="1" x14ac:dyDescent="0.25">
      <c r="A2351" s="369">
        <v>44323</v>
      </c>
      <c r="B2351" s="340">
        <f>+MONTH(A2351)</f>
        <v>5</v>
      </c>
      <c r="C2351" s="347">
        <v>110</v>
      </c>
      <c r="D2351" s="340" t="str">
        <f>VLOOKUP(C2351,Plan!A$1:B$65542,2,0)</f>
        <v>Disponible Administración</v>
      </c>
      <c r="E2351" s="341">
        <f>+F2351-G2351</f>
        <v>-155768</v>
      </c>
      <c r="F2351" s="396">
        <v>0</v>
      </c>
      <c r="G2351" s="396">
        <v>155768</v>
      </c>
      <c r="H2351" s="347" t="s">
        <v>1468</v>
      </c>
      <c r="I2351" s="347" t="s">
        <v>1303</v>
      </c>
      <c r="K2351" s="370"/>
      <c r="N2351" s="370"/>
    </row>
    <row r="2352" spans="1:14" s="347" customFormat="1" x14ac:dyDescent="0.25">
      <c r="A2352" s="369"/>
      <c r="E2352" s="396"/>
      <c r="F2352" s="396"/>
      <c r="G2352" s="396"/>
      <c r="K2352" s="370"/>
      <c r="N2352" s="370"/>
    </row>
    <row r="2353" spans="1:14" s="347" customFormat="1" x14ac:dyDescent="0.25">
      <c r="A2353" s="369">
        <v>44323</v>
      </c>
      <c r="B2353" s="340">
        <f>+MONTH(A2353)</f>
        <v>5</v>
      </c>
      <c r="C2353" s="347">
        <v>224</v>
      </c>
      <c r="D2353" s="340" t="str">
        <f>VLOOKUP(C2353,Plan!A$1:B$65542,2,0)</f>
        <v>Cotizaciones por Pagar</v>
      </c>
      <c r="E2353" s="341">
        <f>+F2353-G2353</f>
        <v>403208</v>
      </c>
      <c r="F2353" s="396">
        <v>403208</v>
      </c>
      <c r="G2353" s="396">
        <v>0</v>
      </c>
      <c r="H2353" s="347" t="s">
        <v>1327</v>
      </c>
      <c r="I2353" s="347" t="s">
        <v>1303</v>
      </c>
      <c r="K2353" s="370"/>
      <c r="N2353" s="370"/>
    </row>
    <row r="2354" spans="1:14" s="347" customFormat="1" x14ac:dyDescent="0.25">
      <c r="A2354" s="369">
        <f>+A2353</f>
        <v>44323</v>
      </c>
      <c r="B2354" s="347">
        <f>+B2353</f>
        <v>5</v>
      </c>
      <c r="C2354" s="347">
        <v>110</v>
      </c>
      <c r="D2354" s="340" t="str">
        <f>VLOOKUP(C2354,Plan!A$1:B$65542,2,0)</f>
        <v>Disponible Administración</v>
      </c>
      <c r="E2354" s="396">
        <f>-G2354</f>
        <v>-403208</v>
      </c>
      <c r="F2354" s="396">
        <v>0</v>
      </c>
      <c r="G2354" s="396">
        <f>+F2353</f>
        <v>403208</v>
      </c>
      <c r="H2354" s="347" t="str">
        <f>+H2353</f>
        <v>Prevision EE. PSAH</v>
      </c>
      <c r="I2354" s="347" t="s">
        <v>1303</v>
      </c>
      <c r="K2354" s="370"/>
      <c r="N2354" s="370"/>
    </row>
    <row r="2355" spans="1:14" s="347" customFormat="1" x14ac:dyDescent="0.25">
      <c r="A2355" s="369"/>
      <c r="E2355" s="396"/>
      <c r="F2355" s="396"/>
      <c r="G2355" s="396"/>
      <c r="K2355" s="370"/>
      <c r="N2355" s="370"/>
    </row>
    <row r="2356" spans="1:14" s="347" customFormat="1" x14ac:dyDescent="0.25">
      <c r="A2356" s="369">
        <v>44323</v>
      </c>
      <c r="B2356" s="340">
        <f>+MONTH(A2356)</f>
        <v>5</v>
      </c>
      <c r="C2356" s="347">
        <v>224</v>
      </c>
      <c r="D2356" s="340" t="str">
        <f>VLOOKUP(C2356,Plan!A$1:B$65542,2,0)</f>
        <v>Cotizaciones por Pagar</v>
      </c>
      <c r="E2356" s="341">
        <f>+F2356-G2356</f>
        <v>172010</v>
      </c>
      <c r="F2356" s="396">
        <v>172010</v>
      </c>
      <c r="G2356" s="396">
        <v>0</v>
      </c>
      <c r="H2356" s="347" t="s">
        <v>1469</v>
      </c>
      <c r="I2356" s="347" t="s">
        <v>1303</v>
      </c>
      <c r="K2356" s="370"/>
      <c r="N2356" s="370"/>
    </row>
    <row r="2357" spans="1:14" s="347" customFormat="1" x14ac:dyDescent="0.25">
      <c r="A2357" s="369">
        <f>+A2356</f>
        <v>44323</v>
      </c>
      <c r="B2357" s="347">
        <f>+B2356</f>
        <v>5</v>
      </c>
      <c r="C2357" s="347">
        <v>110</v>
      </c>
      <c r="D2357" s="340" t="str">
        <f>VLOOKUP(C2357,Plan!A$1:B$65542,2,0)</f>
        <v>Disponible Administración</v>
      </c>
      <c r="E2357" s="396">
        <f>-G2357</f>
        <v>-172010</v>
      </c>
      <c r="F2357" s="396">
        <v>0</v>
      </c>
      <c r="G2357" s="396">
        <f>+F2356</f>
        <v>172010</v>
      </c>
      <c r="H2357" s="347" t="str">
        <f>+H2356</f>
        <v>Prevision P. Pedro</v>
      </c>
      <c r="I2357" s="347" t="s">
        <v>1303</v>
      </c>
      <c r="K2357" s="370"/>
      <c r="N2357" s="370"/>
    </row>
    <row r="2358" spans="1:14" s="347" customFormat="1" x14ac:dyDescent="0.25">
      <c r="A2358" s="369"/>
      <c r="E2358" s="396"/>
      <c r="F2358" s="396"/>
      <c r="G2358" s="396"/>
      <c r="K2358" s="370"/>
      <c r="N2358" s="370"/>
    </row>
    <row r="2359" spans="1:14" s="347" customFormat="1" x14ac:dyDescent="0.25">
      <c r="A2359" s="369">
        <v>44326</v>
      </c>
      <c r="B2359" s="340">
        <f>+MONTH(A2359)</f>
        <v>5</v>
      </c>
      <c r="C2359" s="347">
        <v>4324</v>
      </c>
      <c r="D2359" s="340" t="str">
        <f>VLOOKUP(C2359,Plan!A$1:B$65542,2,0)</f>
        <v>Gas</v>
      </c>
      <c r="E2359" s="341">
        <f>+F2359-G2359</f>
        <v>1501</v>
      </c>
      <c r="F2359" s="396">
        <v>1501</v>
      </c>
      <c r="G2359" s="396">
        <v>0</v>
      </c>
      <c r="H2359" s="347" t="s">
        <v>1470</v>
      </c>
      <c r="I2359" s="347" t="s">
        <v>1303</v>
      </c>
      <c r="K2359" s="370"/>
      <c r="N2359" s="370"/>
    </row>
    <row r="2360" spans="1:14" s="347" customFormat="1" x14ac:dyDescent="0.25">
      <c r="A2360" s="369">
        <f>+A2359</f>
        <v>44326</v>
      </c>
      <c r="B2360" s="347">
        <f>+B2359</f>
        <v>5</v>
      </c>
      <c r="C2360" s="347">
        <v>110</v>
      </c>
      <c r="D2360" s="340" t="str">
        <f>VLOOKUP(C2360,Plan!A$1:B$65542,2,0)</f>
        <v>Disponible Administración</v>
      </c>
      <c r="E2360" s="396">
        <f>-G2360</f>
        <v>-1501</v>
      </c>
      <c r="F2360" s="396">
        <v>0</v>
      </c>
      <c r="G2360" s="396">
        <f>+F2359</f>
        <v>1501</v>
      </c>
      <c r="H2360" s="347" t="str">
        <f>+H2359</f>
        <v>PAC Gas Oficina</v>
      </c>
      <c r="I2360" s="347" t="s">
        <v>1303</v>
      </c>
      <c r="K2360" s="370"/>
      <c r="N2360" s="370"/>
    </row>
    <row r="2361" spans="1:14" s="347" customFormat="1" x14ac:dyDescent="0.25">
      <c r="A2361" s="369"/>
      <c r="E2361" s="396"/>
      <c r="F2361" s="396"/>
      <c r="G2361" s="396"/>
      <c r="K2361" s="370"/>
      <c r="N2361" s="370"/>
    </row>
    <row r="2362" spans="1:14" s="347" customFormat="1" x14ac:dyDescent="0.25">
      <c r="A2362" s="369">
        <v>44326</v>
      </c>
      <c r="B2362" s="340">
        <f>+MONTH(A2362)</f>
        <v>5</v>
      </c>
      <c r="C2362" s="347">
        <v>110</v>
      </c>
      <c r="D2362" s="340" t="str">
        <f>VLOOKUP(C2362,Plan!A$1:B$65542,2,0)</f>
        <v>Disponible Administración</v>
      </c>
      <c r="E2362" s="341">
        <f>+F2362-G2362</f>
        <v>5000</v>
      </c>
      <c r="F2362" s="396">
        <v>5000</v>
      </c>
      <c r="G2362" s="396">
        <v>0</v>
      </c>
      <c r="H2362" s="347" t="s">
        <v>1471</v>
      </c>
      <c r="I2362" s="347" t="s">
        <v>1303</v>
      </c>
      <c r="K2362" s="370"/>
      <c r="N2362" s="370"/>
    </row>
    <row r="2363" spans="1:14" s="347" customFormat="1" x14ac:dyDescent="0.25">
      <c r="A2363" s="369">
        <f>+A2362</f>
        <v>44326</v>
      </c>
      <c r="B2363" s="347">
        <f>+B2362</f>
        <v>5</v>
      </c>
      <c r="C2363" s="347">
        <v>3110</v>
      </c>
      <c r="D2363" s="340" t="str">
        <f>VLOOKUP(C2363,Plan!A$1:B$65542,2,0)</f>
        <v>Colectas Normales</v>
      </c>
      <c r="E2363" s="396">
        <f>-G2363</f>
        <v>-5000</v>
      </c>
      <c r="F2363" s="396">
        <v>0</v>
      </c>
      <c r="G2363" s="396">
        <f>+F2362</f>
        <v>5000</v>
      </c>
      <c r="H2363" s="347" t="str">
        <f>+H2362</f>
        <v>Colecta Ana Maria Awad</v>
      </c>
      <c r="I2363" s="347" t="s">
        <v>1303</v>
      </c>
      <c r="K2363" s="370"/>
      <c r="N2363" s="370"/>
    </row>
    <row r="2364" spans="1:14" s="347" customFormat="1" x14ac:dyDescent="0.25">
      <c r="A2364" s="369"/>
      <c r="E2364" s="396"/>
      <c r="F2364" s="396"/>
      <c r="G2364" s="396"/>
      <c r="K2364" s="370"/>
      <c r="N2364" s="370"/>
    </row>
    <row r="2365" spans="1:14" s="347" customFormat="1" x14ac:dyDescent="0.25">
      <c r="A2365" s="369">
        <v>44326</v>
      </c>
      <c r="B2365" s="340">
        <f>+MONTH(A2365)</f>
        <v>5</v>
      </c>
      <c r="C2365" s="347">
        <v>110</v>
      </c>
      <c r="D2365" s="340" t="str">
        <f>VLOOKUP(C2365,Plan!A$1:B$65542,2,0)</f>
        <v>Disponible Administración</v>
      </c>
      <c r="E2365" s="341">
        <f>+F2365-G2365</f>
        <v>20000</v>
      </c>
      <c r="F2365" s="396">
        <v>20000</v>
      </c>
      <c r="G2365" s="396">
        <v>0</v>
      </c>
      <c r="H2365" s="347" t="s">
        <v>1472</v>
      </c>
      <c r="I2365" s="347" t="s">
        <v>1303</v>
      </c>
      <c r="K2365" s="370"/>
      <c r="N2365" s="370"/>
    </row>
    <row r="2366" spans="1:14" s="347" customFormat="1" x14ac:dyDescent="0.25">
      <c r="A2366" s="369">
        <f>+A2365</f>
        <v>44326</v>
      </c>
      <c r="B2366" s="347">
        <f>+B2365</f>
        <v>5</v>
      </c>
      <c r="C2366" s="347">
        <v>3450</v>
      </c>
      <c r="D2366" s="340" t="str">
        <f>VLOOKUP(C2366,Plan!A$1:B$65542,2,0)</f>
        <v>Pastoral Social</v>
      </c>
      <c r="E2366" s="396">
        <f>-G2366</f>
        <v>-20000</v>
      </c>
      <c r="F2366" s="396">
        <v>0</v>
      </c>
      <c r="G2366" s="396">
        <f>+F2365</f>
        <v>20000</v>
      </c>
      <c r="H2366" s="347" t="str">
        <f>+H2365</f>
        <v>Canasta Luz Maria Galilea Fresno</v>
      </c>
      <c r="I2366" s="347" t="s">
        <v>1303</v>
      </c>
      <c r="K2366" s="370"/>
      <c r="N2366" s="370"/>
    </row>
    <row r="2367" spans="1:14" s="347" customFormat="1" x14ac:dyDescent="0.25">
      <c r="A2367" s="369"/>
      <c r="E2367" s="396"/>
      <c r="F2367" s="396"/>
      <c r="G2367" s="396"/>
      <c r="K2367" s="370"/>
      <c r="N2367" s="370"/>
    </row>
    <row r="2368" spans="1:14" s="347" customFormat="1" x14ac:dyDescent="0.25">
      <c r="A2368" s="369">
        <v>44326</v>
      </c>
      <c r="B2368" s="340">
        <f>+MONTH(A2368)</f>
        <v>5</v>
      </c>
      <c r="C2368" s="347">
        <v>110</v>
      </c>
      <c r="D2368" s="340" t="str">
        <f>VLOOKUP(C2368,Plan!A$1:B$65542,2,0)</f>
        <v>Disponible Administración</v>
      </c>
      <c r="E2368" s="341">
        <f>+F2368-G2368</f>
        <v>10000</v>
      </c>
      <c r="F2368" s="396">
        <v>10000</v>
      </c>
      <c r="G2368" s="396">
        <v>0</v>
      </c>
      <c r="H2368" s="347" t="s">
        <v>881</v>
      </c>
      <c r="I2368" s="347" t="s">
        <v>1303</v>
      </c>
      <c r="K2368" s="370"/>
      <c r="N2368" s="370"/>
    </row>
    <row r="2369" spans="1:14" s="347" customFormat="1" x14ac:dyDescent="0.25">
      <c r="A2369" s="369">
        <f>+A2368</f>
        <v>44326</v>
      </c>
      <c r="B2369" s="347">
        <f>+B2368</f>
        <v>5</v>
      </c>
      <c r="C2369" s="347">
        <v>3110</v>
      </c>
      <c r="D2369" s="340" t="str">
        <f>VLOOKUP(C2369,Plan!A$1:B$65542,2,0)</f>
        <v>Colectas Normales</v>
      </c>
      <c r="E2369" s="396">
        <f>-G2369</f>
        <v>-10000</v>
      </c>
      <c r="F2369" s="396">
        <v>0</v>
      </c>
      <c r="G2369" s="396">
        <f>+F2368</f>
        <v>10000</v>
      </c>
      <c r="H2369" s="347" t="str">
        <f>+H2368</f>
        <v>Colecta Rafael Marin Jordan</v>
      </c>
      <c r="I2369" s="347" t="s">
        <v>1303</v>
      </c>
      <c r="K2369" s="370"/>
      <c r="N2369" s="370"/>
    </row>
    <row r="2370" spans="1:14" s="347" customFormat="1" x14ac:dyDescent="0.25">
      <c r="A2370" s="369"/>
      <c r="E2370" s="396"/>
      <c r="F2370" s="396"/>
      <c r="G2370" s="396"/>
      <c r="K2370" s="370"/>
      <c r="N2370" s="370"/>
    </row>
    <row r="2371" spans="1:14" s="347" customFormat="1" x14ac:dyDescent="0.25">
      <c r="A2371" s="369">
        <v>44326</v>
      </c>
      <c r="B2371" s="340">
        <f>+MONTH(A2371)</f>
        <v>5</v>
      </c>
      <c r="C2371" s="347">
        <v>110</v>
      </c>
      <c r="D2371" s="340" t="str">
        <f>VLOOKUP(C2371,Plan!A$1:B$65542,2,0)</f>
        <v>Disponible Administración</v>
      </c>
      <c r="E2371" s="341">
        <f>+F2371-G2371</f>
        <v>20000</v>
      </c>
      <c r="F2371" s="396">
        <v>20000</v>
      </c>
      <c r="G2371" s="396">
        <v>0</v>
      </c>
      <c r="H2371" s="347" t="s">
        <v>945</v>
      </c>
      <c r="I2371" s="347" t="s">
        <v>1303</v>
      </c>
      <c r="K2371" s="370"/>
      <c r="N2371" s="370"/>
    </row>
    <row r="2372" spans="1:14" s="347" customFormat="1" x14ac:dyDescent="0.25">
      <c r="A2372" s="369">
        <f>+A2371</f>
        <v>44326</v>
      </c>
      <c r="B2372" s="347">
        <f>+B2371</f>
        <v>5</v>
      </c>
      <c r="C2372" s="347">
        <v>3110</v>
      </c>
      <c r="D2372" s="340" t="str">
        <f>VLOOKUP(C2372,Plan!A$1:B$65542,2,0)</f>
        <v>Colectas Normales</v>
      </c>
      <c r="E2372" s="396">
        <f>-G2372</f>
        <v>-20000</v>
      </c>
      <c r="F2372" s="396">
        <v>0</v>
      </c>
      <c r="G2372" s="396">
        <f>+F2371</f>
        <v>20000</v>
      </c>
      <c r="H2372" s="347" t="str">
        <f>+H2371</f>
        <v>Colecta Maria Corte</v>
      </c>
      <c r="I2372" s="347" t="s">
        <v>1303</v>
      </c>
      <c r="K2372" s="370"/>
      <c r="N2372" s="370"/>
    </row>
    <row r="2373" spans="1:14" s="347" customFormat="1" x14ac:dyDescent="0.25">
      <c r="A2373" s="369"/>
      <c r="E2373" s="396"/>
      <c r="F2373" s="396"/>
      <c r="G2373" s="396"/>
      <c r="K2373" s="370"/>
      <c r="N2373" s="370"/>
    </row>
    <row r="2374" spans="1:14" s="347" customFormat="1" x14ac:dyDescent="0.25">
      <c r="A2374" s="369">
        <v>44326</v>
      </c>
      <c r="B2374" s="340">
        <f>+MONTH(A2374)</f>
        <v>5</v>
      </c>
      <c r="C2374" s="347">
        <v>110</v>
      </c>
      <c r="D2374" s="340" t="str">
        <f>VLOOKUP(C2374,Plan!A$1:B$65542,2,0)</f>
        <v>Disponible Administración</v>
      </c>
      <c r="E2374" s="341">
        <f>+F2374-G2374</f>
        <v>10000</v>
      </c>
      <c r="F2374" s="396">
        <v>10000</v>
      </c>
      <c r="G2374" s="396">
        <v>0</v>
      </c>
      <c r="H2374" s="347" t="s">
        <v>880</v>
      </c>
      <c r="I2374" s="347" t="s">
        <v>1303</v>
      </c>
      <c r="K2374" s="370"/>
      <c r="N2374" s="370"/>
    </row>
    <row r="2375" spans="1:14" s="347" customFormat="1" x14ac:dyDescent="0.25">
      <c r="A2375" s="369">
        <f>+A2374</f>
        <v>44326</v>
      </c>
      <c r="B2375" s="347">
        <f>+B2374</f>
        <v>5</v>
      </c>
      <c r="C2375" s="347">
        <v>3110</v>
      </c>
      <c r="D2375" s="340" t="str">
        <f>VLOOKUP(C2375,Plan!A$1:B$65542,2,0)</f>
        <v>Colectas Normales</v>
      </c>
      <c r="E2375" s="396">
        <f>-G2375</f>
        <v>-10000</v>
      </c>
      <c r="F2375" s="396">
        <v>0</v>
      </c>
      <c r="G2375" s="396">
        <f>+F2374</f>
        <v>10000</v>
      </c>
      <c r="H2375" s="347" t="str">
        <f>+H2374</f>
        <v>Colecta Sebastian Rios</v>
      </c>
      <c r="I2375" s="347" t="s">
        <v>1303</v>
      </c>
      <c r="K2375" s="370"/>
      <c r="N2375" s="370"/>
    </row>
    <row r="2376" spans="1:14" s="347" customFormat="1" x14ac:dyDescent="0.25">
      <c r="A2376" s="369"/>
      <c r="E2376" s="396"/>
      <c r="F2376" s="396"/>
      <c r="G2376" s="396"/>
      <c r="K2376" s="370"/>
      <c r="N2376" s="370"/>
    </row>
    <row r="2377" spans="1:14" s="347" customFormat="1" x14ac:dyDescent="0.25">
      <c r="A2377" s="369">
        <v>44326</v>
      </c>
      <c r="B2377" s="340">
        <f>+MONTH(A2377)</f>
        <v>5</v>
      </c>
      <c r="C2377" s="347">
        <v>110</v>
      </c>
      <c r="D2377" s="340" t="str">
        <f>VLOOKUP(C2377,Plan!A$1:B$65542,2,0)</f>
        <v>Disponible Administración</v>
      </c>
      <c r="E2377" s="341">
        <f>+F2377-G2377</f>
        <v>3000</v>
      </c>
      <c r="F2377" s="396">
        <v>3000</v>
      </c>
      <c r="G2377" s="396">
        <v>0</v>
      </c>
      <c r="H2377" s="347" t="s">
        <v>915</v>
      </c>
      <c r="I2377" s="347" t="s">
        <v>1303</v>
      </c>
      <c r="K2377" s="370"/>
      <c r="N2377" s="370"/>
    </row>
    <row r="2378" spans="1:14" s="347" customFormat="1" x14ac:dyDescent="0.25">
      <c r="A2378" s="369">
        <f>+A2377</f>
        <v>44326</v>
      </c>
      <c r="B2378" s="347">
        <f>+B2377</f>
        <v>5</v>
      </c>
      <c r="C2378" s="347">
        <v>3110</v>
      </c>
      <c r="D2378" s="340" t="str">
        <f>VLOOKUP(C2378,Plan!A$1:B$65542,2,0)</f>
        <v>Colectas Normales</v>
      </c>
      <c r="E2378" s="396">
        <f>-G2378</f>
        <v>-3000</v>
      </c>
      <c r="F2378" s="396">
        <v>0</v>
      </c>
      <c r="G2378" s="396">
        <f>+F2377</f>
        <v>3000</v>
      </c>
      <c r="H2378" s="347" t="str">
        <f>+H2377</f>
        <v>Colecta Jose Perez de Castro</v>
      </c>
      <c r="I2378" s="347" t="s">
        <v>1303</v>
      </c>
      <c r="K2378" s="370"/>
      <c r="N2378" s="370"/>
    </row>
    <row r="2379" spans="1:14" s="347" customFormat="1" x14ac:dyDescent="0.25">
      <c r="A2379" s="369"/>
      <c r="E2379" s="396"/>
      <c r="F2379" s="396"/>
      <c r="G2379" s="396"/>
      <c r="K2379" s="370"/>
      <c r="N2379" s="370"/>
    </row>
    <row r="2380" spans="1:14" s="347" customFormat="1" x14ac:dyDescent="0.25">
      <c r="A2380" s="369">
        <v>44326</v>
      </c>
      <c r="B2380" s="340">
        <f>+MONTH(A2380)</f>
        <v>5</v>
      </c>
      <c r="C2380" s="347">
        <v>110</v>
      </c>
      <c r="D2380" s="340" t="str">
        <f>VLOOKUP(C2380,Plan!A$1:B$65542,2,0)</f>
        <v>Disponible Administración</v>
      </c>
      <c r="E2380" s="341">
        <f>+F2380-G2380</f>
        <v>15000</v>
      </c>
      <c r="F2380" s="396">
        <v>15000</v>
      </c>
      <c r="G2380" s="396">
        <v>0</v>
      </c>
      <c r="H2380" s="347" t="s">
        <v>1135</v>
      </c>
      <c r="I2380" s="347" t="s">
        <v>1303</v>
      </c>
      <c r="K2380" s="370"/>
      <c r="N2380" s="370"/>
    </row>
    <row r="2381" spans="1:14" s="347" customFormat="1" x14ac:dyDescent="0.25">
      <c r="A2381" s="369">
        <f>+A2380</f>
        <v>44326</v>
      </c>
      <c r="B2381" s="347">
        <f>+B2380</f>
        <v>5</v>
      </c>
      <c r="C2381" s="347">
        <v>3110</v>
      </c>
      <c r="D2381" s="340" t="str">
        <f>VLOOKUP(C2381,Plan!A$1:B$65542,2,0)</f>
        <v>Colectas Normales</v>
      </c>
      <c r="E2381" s="396">
        <f>-G2381</f>
        <v>-15000</v>
      </c>
      <c r="F2381" s="396">
        <v>0</v>
      </c>
      <c r="G2381" s="396">
        <f>+F2380</f>
        <v>15000</v>
      </c>
      <c r="H2381" s="347" t="str">
        <f>+H2380</f>
        <v>Colecta Francisco Guimpert</v>
      </c>
      <c r="I2381" s="347" t="s">
        <v>1303</v>
      </c>
      <c r="K2381" s="370"/>
      <c r="N2381" s="370"/>
    </row>
    <row r="2382" spans="1:14" s="347" customFormat="1" x14ac:dyDescent="0.25">
      <c r="A2382" s="369"/>
      <c r="E2382" s="396"/>
      <c r="F2382" s="396"/>
      <c r="G2382" s="396"/>
      <c r="K2382" s="370"/>
      <c r="N2382" s="370"/>
    </row>
    <row r="2383" spans="1:14" s="347" customFormat="1" x14ac:dyDescent="0.25">
      <c r="A2383" s="369">
        <v>44326</v>
      </c>
      <c r="B2383" s="340">
        <f>+MONTH(A2383)</f>
        <v>5</v>
      </c>
      <c r="C2383" s="347">
        <v>110</v>
      </c>
      <c r="D2383" s="340" t="str">
        <f>VLOOKUP(C2383,Plan!A$1:B$65542,2,0)</f>
        <v>Disponible Administración</v>
      </c>
      <c r="E2383" s="341">
        <f>+F2383-G2383</f>
        <v>20000</v>
      </c>
      <c r="F2383" s="396">
        <v>20000</v>
      </c>
      <c r="G2383" s="396">
        <v>0</v>
      </c>
      <c r="H2383" s="347" t="s">
        <v>1473</v>
      </c>
      <c r="I2383" s="347" t="s">
        <v>1303</v>
      </c>
      <c r="K2383" s="370"/>
      <c r="N2383" s="370"/>
    </row>
    <row r="2384" spans="1:14" s="347" customFormat="1" x14ac:dyDescent="0.25">
      <c r="A2384" s="369">
        <f>+A2383</f>
        <v>44326</v>
      </c>
      <c r="B2384" s="347">
        <f>+B2383</f>
        <v>5</v>
      </c>
      <c r="C2384" s="347">
        <v>3450</v>
      </c>
      <c r="D2384" s="340" t="str">
        <f>VLOOKUP(C2384,Plan!A$1:B$65542,2,0)</f>
        <v>Pastoral Social</v>
      </c>
      <c r="E2384" s="396">
        <f>-G2384</f>
        <v>-20000</v>
      </c>
      <c r="F2384" s="396">
        <v>0</v>
      </c>
      <c r="G2384" s="396">
        <f>+F2383</f>
        <v>20000</v>
      </c>
      <c r="H2384" s="347" t="str">
        <f>+H2383</f>
        <v>Canasta Gerardo Del Villar</v>
      </c>
      <c r="I2384" s="347" t="s">
        <v>1303</v>
      </c>
      <c r="K2384" s="370"/>
      <c r="N2384" s="370"/>
    </row>
    <row r="2385" spans="1:14" s="347" customFormat="1" x14ac:dyDescent="0.25">
      <c r="A2385" s="369"/>
      <c r="E2385" s="396"/>
      <c r="F2385" s="396"/>
      <c r="G2385" s="396"/>
      <c r="K2385" s="370"/>
      <c r="N2385" s="370"/>
    </row>
    <row r="2386" spans="1:14" s="347" customFormat="1" x14ac:dyDescent="0.25">
      <c r="A2386" s="369">
        <v>44326</v>
      </c>
      <c r="B2386" s="340">
        <f>+MONTH(A2386)</f>
        <v>5</v>
      </c>
      <c r="C2386" s="347">
        <v>110</v>
      </c>
      <c r="D2386" s="340" t="str">
        <f>VLOOKUP(C2386,Plan!A$1:B$65542,2,0)</f>
        <v>Disponible Administración</v>
      </c>
      <c r="E2386" s="341">
        <f>+F2386-G2386</f>
        <v>50000</v>
      </c>
      <c r="F2386" s="396">
        <v>50000</v>
      </c>
      <c r="G2386" s="396">
        <v>0</v>
      </c>
      <c r="H2386" s="347" t="s">
        <v>1438</v>
      </c>
      <c r="I2386" s="347" t="s">
        <v>1303</v>
      </c>
      <c r="K2386" s="370"/>
      <c r="N2386" s="370"/>
    </row>
    <row r="2387" spans="1:14" s="347" customFormat="1" x14ac:dyDescent="0.25">
      <c r="A2387" s="369">
        <f>+A2386</f>
        <v>44326</v>
      </c>
      <c r="B2387" s="347">
        <f>+B2386</f>
        <v>5</v>
      </c>
      <c r="C2387" s="347">
        <v>3110</v>
      </c>
      <c r="D2387" s="340" t="str">
        <f>VLOOKUP(C2387,Plan!A$1:B$65542,2,0)</f>
        <v>Colectas Normales</v>
      </c>
      <c r="E2387" s="396">
        <f>-G2387</f>
        <v>-50000</v>
      </c>
      <c r="F2387" s="396">
        <v>0</v>
      </c>
      <c r="G2387" s="396">
        <f>+F2386</f>
        <v>50000</v>
      </c>
      <c r="H2387" s="347" t="str">
        <f>+H2386</f>
        <v>Colecta Felipe Varela Venegas</v>
      </c>
      <c r="I2387" s="347" t="s">
        <v>1303</v>
      </c>
      <c r="K2387" s="370"/>
      <c r="N2387" s="370"/>
    </row>
    <row r="2388" spans="1:14" s="347" customFormat="1" x14ac:dyDescent="0.25">
      <c r="A2388" s="369"/>
      <c r="E2388" s="396"/>
      <c r="F2388" s="396"/>
      <c r="G2388" s="396"/>
      <c r="K2388" s="370"/>
      <c r="N2388" s="370"/>
    </row>
    <row r="2389" spans="1:14" s="347" customFormat="1" x14ac:dyDescent="0.25">
      <c r="A2389" s="369">
        <v>44326</v>
      </c>
      <c r="B2389" s="340">
        <f>+MONTH(A2389)</f>
        <v>5</v>
      </c>
      <c r="C2389" s="347">
        <v>110</v>
      </c>
      <c r="D2389" s="340" t="str">
        <f>VLOOKUP(C2389,Plan!A$1:B$65542,2,0)</f>
        <v>Disponible Administración</v>
      </c>
      <c r="E2389" s="341">
        <f>+F2389-G2389</f>
        <v>20000</v>
      </c>
      <c r="F2389" s="396">
        <v>20000</v>
      </c>
      <c r="G2389" s="396">
        <v>0</v>
      </c>
      <c r="H2389" s="347" t="s">
        <v>1474</v>
      </c>
      <c r="I2389" s="347" t="s">
        <v>1303</v>
      </c>
      <c r="K2389" s="370"/>
      <c r="N2389" s="370"/>
    </row>
    <row r="2390" spans="1:14" s="347" customFormat="1" x14ac:dyDescent="0.25">
      <c r="A2390" s="369">
        <f>+A2389</f>
        <v>44326</v>
      </c>
      <c r="B2390" s="347">
        <f>+B2389</f>
        <v>5</v>
      </c>
      <c r="C2390" s="347">
        <v>3450</v>
      </c>
      <c r="D2390" s="340" t="str">
        <f>VLOOKUP(C2390,Plan!A$1:B$65542,2,0)</f>
        <v>Pastoral Social</v>
      </c>
      <c r="E2390" s="396">
        <f>-G2390</f>
        <v>-20000</v>
      </c>
      <c r="F2390" s="396">
        <v>0</v>
      </c>
      <c r="G2390" s="396">
        <f>+F2389</f>
        <v>20000</v>
      </c>
      <c r="H2390" s="347" t="str">
        <f>+H2389</f>
        <v>Canasta Sonia Andrea Varas Mujica</v>
      </c>
      <c r="I2390" s="347" t="s">
        <v>1303</v>
      </c>
      <c r="K2390" s="370"/>
      <c r="N2390" s="370"/>
    </row>
    <row r="2391" spans="1:14" s="347" customFormat="1" x14ac:dyDescent="0.25">
      <c r="A2391" s="369"/>
      <c r="E2391" s="396"/>
      <c r="F2391" s="396"/>
      <c r="G2391" s="396"/>
      <c r="K2391" s="370"/>
      <c r="N2391" s="370"/>
    </row>
    <row r="2392" spans="1:14" s="347" customFormat="1" x14ac:dyDescent="0.25">
      <c r="A2392" s="369">
        <v>44326</v>
      </c>
      <c r="B2392" s="340">
        <f>+MONTH(A2392)</f>
        <v>5</v>
      </c>
      <c r="C2392" s="347">
        <v>110</v>
      </c>
      <c r="D2392" s="340" t="str">
        <f>VLOOKUP(C2392,Plan!A$1:B$65542,2,0)</f>
        <v>Disponible Administración</v>
      </c>
      <c r="E2392" s="341">
        <f>+F2392-G2392</f>
        <v>10000</v>
      </c>
      <c r="F2392" s="396">
        <v>10000</v>
      </c>
      <c r="G2392" s="396">
        <v>0</v>
      </c>
      <c r="H2392" s="347" t="s">
        <v>1156</v>
      </c>
      <c r="I2392" s="347" t="s">
        <v>1303</v>
      </c>
      <c r="K2392" s="370"/>
      <c r="N2392" s="370"/>
    </row>
    <row r="2393" spans="1:14" s="347" customFormat="1" x14ac:dyDescent="0.25">
      <c r="A2393" s="369">
        <f>+A2392</f>
        <v>44326</v>
      </c>
      <c r="B2393" s="347">
        <f>+B2392</f>
        <v>5</v>
      </c>
      <c r="C2393" s="347">
        <v>3110</v>
      </c>
      <c r="D2393" s="340" t="str">
        <f>VLOOKUP(C2393,Plan!A$1:B$65542,2,0)</f>
        <v>Colectas Normales</v>
      </c>
      <c r="E2393" s="396">
        <f>-G2393</f>
        <v>-10000</v>
      </c>
      <c r="F2393" s="396">
        <v>0</v>
      </c>
      <c r="G2393" s="396">
        <f>+F2392</f>
        <v>10000</v>
      </c>
      <c r="H2393" s="347" t="str">
        <f>+H2392</f>
        <v>Colecta Jaime Gonzalez Fabres</v>
      </c>
      <c r="I2393" s="347" t="s">
        <v>1303</v>
      </c>
      <c r="K2393" s="370"/>
      <c r="N2393" s="370"/>
    </row>
    <row r="2394" spans="1:14" s="347" customFormat="1" x14ac:dyDescent="0.25">
      <c r="A2394" s="369"/>
      <c r="E2394" s="396"/>
      <c r="F2394" s="396"/>
      <c r="G2394" s="396"/>
      <c r="K2394" s="370"/>
      <c r="N2394" s="370"/>
    </row>
    <row r="2395" spans="1:14" s="347" customFormat="1" x14ac:dyDescent="0.25">
      <c r="A2395" s="369">
        <v>44326</v>
      </c>
      <c r="B2395" s="340">
        <f>+MONTH(A2395)</f>
        <v>5</v>
      </c>
      <c r="C2395" s="347">
        <v>110</v>
      </c>
      <c r="D2395" s="340" t="str">
        <f>VLOOKUP(C2395,Plan!A$1:B$65542,2,0)</f>
        <v>Disponible Administración</v>
      </c>
      <c r="E2395" s="341">
        <f>+F2395-G2395</f>
        <v>5000</v>
      </c>
      <c r="F2395" s="396">
        <v>5000</v>
      </c>
      <c r="G2395" s="396">
        <v>0</v>
      </c>
      <c r="H2395" s="347" t="s">
        <v>1108</v>
      </c>
      <c r="I2395" s="347" t="s">
        <v>1303</v>
      </c>
      <c r="K2395" s="370"/>
      <c r="N2395" s="370"/>
    </row>
    <row r="2396" spans="1:14" s="347" customFormat="1" x14ac:dyDescent="0.25">
      <c r="A2396" s="369">
        <f>+A2395</f>
        <v>44326</v>
      </c>
      <c r="B2396" s="347">
        <f>+B2395</f>
        <v>5</v>
      </c>
      <c r="C2396" s="347">
        <v>3110</v>
      </c>
      <c r="D2396" s="340" t="str">
        <f>VLOOKUP(C2396,Plan!A$1:B$65542,2,0)</f>
        <v>Colectas Normales</v>
      </c>
      <c r="E2396" s="396">
        <f>-G2396</f>
        <v>-5000</v>
      </c>
      <c r="F2396" s="396">
        <v>0</v>
      </c>
      <c r="G2396" s="396">
        <f>+F2395</f>
        <v>5000</v>
      </c>
      <c r="H2396" s="347" t="str">
        <f>+H2395</f>
        <v>Colecta Ricardo Fernandez</v>
      </c>
      <c r="I2396" s="347" t="s">
        <v>1303</v>
      </c>
      <c r="K2396" s="370"/>
      <c r="N2396" s="370"/>
    </row>
    <row r="2397" spans="1:14" s="347" customFormat="1" x14ac:dyDescent="0.25">
      <c r="A2397" s="369"/>
      <c r="E2397" s="396"/>
      <c r="F2397" s="396"/>
      <c r="G2397" s="396"/>
      <c r="K2397" s="370"/>
      <c r="N2397" s="370"/>
    </row>
    <row r="2398" spans="1:14" s="347" customFormat="1" x14ac:dyDescent="0.25">
      <c r="A2398" s="369">
        <v>44326</v>
      </c>
      <c r="B2398" s="340">
        <f>+MONTH(A2398)</f>
        <v>5</v>
      </c>
      <c r="C2398" s="347">
        <v>110</v>
      </c>
      <c r="D2398" s="340" t="str">
        <f>VLOOKUP(C2398,Plan!A$1:B$65542,2,0)</f>
        <v>Disponible Administración</v>
      </c>
      <c r="E2398" s="341">
        <f>+F2398-G2398</f>
        <v>2000</v>
      </c>
      <c r="F2398" s="396">
        <v>2000</v>
      </c>
      <c r="G2398" s="396">
        <v>0</v>
      </c>
      <c r="H2398" s="347" t="s">
        <v>1216</v>
      </c>
      <c r="I2398" s="347" t="s">
        <v>1303</v>
      </c>
      <c r="K2398" s="370"/>
      <c r="N2398" s="370"/>
    </row>
    <row r="2399" spans="1:14" s="347" customFormat="1" x14ac:dyDescent="0.25">
      <c r="A2399" s="369">
        <f>+A2398</f>
        <v>44326</v>
      </c>
      <c r="B2399" s="347">
        <f>+B2398</f>
        <v>5</v>
      </c>
      <c r="C2399" s="347">
        <v>3110</v>
      </c>
      <c r="D2399" s="340" t="str">
        <f>VLOOKUP(C2399,Plan!A$1:B$65542,2,0)</f>
        <v>Colectas Normales</v>
      </c>
      <c r="E2399" s="396">
        <f>-G2399</f>
        <v>-2000</v>
      </c>
      <c r="F2399" s="396">
        <v>0</v>
      </c>
      <c r="G2399" s="396">
        <f>+F2398</f>
        <v>2000</v>
      </c>
      <c r="H2399" s="347" t="str">
        <f>+H2398</f>
        <v>Colecta Trinidad Barriga Cruzat</v>
      </c>
      <c r="I2399" s="347" t="s">
        <v>1303</v>
      </c>
      <c r="K2399" s="370"/>
      <c r="N2399" s="370"/>
    </row>
    <row r="2400" spans="1:14" s="347" customFormat="1" x14ac:dyDescent="0.25">
      <c r="A2400" s="369"/>
      <c r="E2400" s="396"/>
      <c r="F2400" s="396"/>
      <c r="G2400" s="396"/>
      <c r="K2400" s="370"/>
      <c r="N2400" s="370"/>
    </row>
    <row r="2401" spans="1:14" s="347" customFormat="1" x14ac:dyDescent="0.25">
      <c r="A2401" s="369">
        <v>44326</v>
      </c>
      <c r="B2401" s="340">
        <f>+MONTH(A2401)</f>
        <v>5</v>
      </c>
      <c r="C2401" s="347">
        <v>110</v>
      </c>
      <c r="D2401" s="340" t="str">
        <f>VLOOKUP(C2401,Plan!A$1:B$65542,2,0)</f>
        <v>Disponible Administración</v>
      </c>
      <c r="E2401" s="341">
        <f>+F2401-G2401</f>
        <v>29493</v>
      </c>
      <c r="F2401" s="396">
        <v>29493</v>
      </c>
      <c r="G2401" s="396">
        <v>0</v>
      </c>
      <c r="H2401" s="347" t="s">
        <v>1475</v>
      </c>
      <c r="I2401" s="347" t="s">
        <v>1303</v>
      </c>
      <c r="K2401" s="370"/>
      <c r="N2401" s="370"/>
    </row>
    <row r="2402" spans="1:14" s="347" customFormat="1" x14ac:dyDescent="0.25">
      <c r="A2402" s="369">
        <f>+A2401</f>
        <v>44326</v>
      </c>
      <c r="B2402" s="347">
        <f>+B2401</f>
        <v>5</v>
      </c>
      <c r="C2402" s="347">
        <v>3450</v>
      </c>
      <c r="D2402" s="340" t="str">
        <f>VLOOKUP(C2402,Plan!A$1:B$65542,2,0)</f>
        <v>Pastoral Social</v>
      </c>
      <c r="E2402" s="396">
        <f>-G2402</f>
        <v>-29493</v>
      </c>
      <c r="F2402" s="396">
        <v>0</v>
      </c>
      <c r="G2402" s="396">
        <f>+F2401</f>
        <v>29493</v>
      </c>
      <c r="H2402" s="347" t="str">
        <f>+H2401</f>
        <v>Canasta DCT</v>
      </c>
      <c r="I2402" s="347" t="s">
        <v>1303</v>
      </c>
      <c r="K2402" s="370"/>
      <c r="N2402" s="370"/>
    </row>
    <row r="2403" spans="1:14" s="347" customFormat="1" x14ac:dyDescent="0.25">
      <c r="A2403" s="369"/>
      <c r="E2403" s="396"/>
      <c r="F2403" s="396"/>
      <c r="G2403" s="396"/>
      <c r="K2403" s="370"/>
      <c r="N2403" s="370"/>
    </row>
    <row r="2404" spans="1:14" s="347" customFormat="1" x14ac:dyDescent="0.25">
      <c r="A2404" s="369">
        <v>44326</v>
      </c>
      <c r="B2404" s="340">
        <f>+MONTH(A2404)</f>
        <v>5</v>
      </c>
      <c r="C2404" s="347">
        <v>110</v>
      </c>
      <c r="D2404" s="340" t="str">
        <f>VLOOKUP(C2404,Plan!A$1:B$65542,2,0)</f>
        <v>Disponible Administración</v>
      </c>
      <c r="E2404" s="341">
        <f>+F2404-G2404</f>
        <v>40000</v>
      </c>
      <c r="F2404" s="396">
        <v>40000</v>
      </c>
      <c r="G2404" s="396">
        <v>0</v>
      </c>
      <c r="H2404" s="347" t="s">
        <v>1353</v>
      </c>
      <c r="I2404" s="347" t="s">
        <v>1303</v>
      </c>
      <c r="K2404" s="370"/>
      <c r="N2404" s="370"/>
    </row>
    <row r="2405" spans="1:14" s="347" customFormat="1" x14ac:dyDescent="0.25">
      <c r="A2405" s="369">
        <f>+A2404</f>
        <v>44326</v>
      </c>
      <c r="B2405" s="347">
        <f>+B2404</f>
        <v>5</v>
      </c>
      <c r="C2405" s="347">
        <v>3450</v>
      </c>
      <c r="D2405" s="340" t="str">
        <f>VLOOKUP(C2405,Plan!A$1:B$65542,2,0)</f>
        <v>Pastoral Social</v>
      </c>
      <c r="E2405" s="396">
        <f>-G2405</f>
        <v>-40000</v>
      </c>
      <c r="F2405" s="396">
        <v>0</v>
      </c>
      <c r="G2405" s="396">
        <f>+F2404</f>
        <v>40000</v>
      </c>
      <c r="H2405" s="347" t="str">
        <f>+H2404</f>
        <v>Canasta Cristian Espinosa</v>
      </c>
      <c r="I2405" s="347" t="s">
        <v>1303</v>
      </c>
      <c r="K2405" s="370"/>
      <c r="N2405" s="370"/>
    </row>
    <row r="2406" spans="1:14" s="347" customFormat="1" x14ac:dyDescent="0.25">
      <c r="A2406" s="369"/>
      <c r="E2406" s="396"/>
      <c r="F2406" s="396"/>
      <c r="G2406" s="396"/>
      <c r="K2406" s="370"/>
      <c r="N2406" s="370"/>
    </row>
    <row r="2407" spans="1:14" s="347" customFormat="1" x14ac:dyDescent="0.25">
      <c r="A2407" s="369">
        <v>44326</v>
      </c>
      <c r="B2407" s="340">
        <f>+MONTH(A2407)</f>
        <v>5</v>
      </c>
      <c r="C2407" s="347">
        <v>110</v>
      </c>
      <c r="D2407" s="340" t="str">
        <f>VLOOKUP(C2407,Plan!A$1:B$65542,2,0)</f>
        <v>Disponible Administración</v>
      </c>
      <c r="E2407" s="341">
        <f>+F2407-G2407</f>
        <v>5000</v>
      </c>
      <c r="F2407" s="396">
        <v>5000</v>
      </c>
      <c r="G2407" s="396">
        <v>0</v>
      </c>
      <c r="H2407" s="347" t="s">
        <v>1334</v>
      </c>
      <c r="I2407" s="347" t="s">
        <v>1303</v>
      </c>
      <c r="K2407" s="370"/>
      <c r="N2407" s="370"/>
    </row>
    <row r="2408" spans="1:14" s="347" customFormat="1" x14ac:dyDescent="0.25">
      <c r="A2408" s="369">
        <f>+A2407</f>
        <v>44326</v>
      </c>
      <c r="B2408" s="347">
        <f>+B2407</f>
        <v>5</v>
      </c>
      <c r="C2408" s="347">
        <v>3110</v>
      </c>
      <c r="D2408" s="340" t="str">
        <f>VLOOKUP(C2408,Plan!A$1:B$65542,2,0)</f>
        <v>Colectas Normales</v>
      </c>
      <c r="E2408" s="396">
        <f>-G2408</f>
        <v>-5000</v>
      </c>
      <c r="F2408" s="396">
        <v>0</v>
      </c>
      <c r="G2408" s="396">
        <f>+F2407</f>
        <v>5000</v>
      </c>
      <c r="H2408" s="347" t="str">
        <f>+H2407</f>
        <v>Colecta Ana Maria Alvarez T</v>
      </c>
      <c r="I2408" s="347" t="s">
        <v>1303</v>
      </c>
      <c r="K2408" s="370"/>
      <c r="N2408" s="370"/>
    </row>
    <row r="2409" spans="1:14" s="347" customFormat="1" x14ac:dyDescent="0.25">
      <c r="A2409" s="369"/>
      <c r="E2409" s="396"/>
      <c r="F2409" s="396"/>
      <c r="G2409" s="396"/>
      <c r="K2409" s="370"/>
      <c r="N2409" s="370"/>
    </row>
    <row r="2410" spans="1:14" s="347" customFormat="1" x14ac:dyDescent="0.25">
      <c r="A2410" s="369">
        <v>44326</v>
      </c>
      <c r="B2410" s="340">
        <f>+MONTH(A2410)</f>
        <v>5</v>
      </c>
      <c r="C2410" s="347">
        <v>110</v>
      </c>
      <c r="D2410" s="340" t="str">
        <f>VLOOKUP(C2410,Plan!A$1:B$65542,2,0)</f>
        <v>Disponible Administración</v>
      </c>
      <c r="E2410" s="341">
        <f>+F2410-G2410</f>
        <v>50000</v>
      </c>
      <c r="F2410" s="396">
        <v>50000</v>
      </c>
      <c r="G2410" s="396">
        <v>0</v>
      </c>
      <c r="H2410" s="347" t="s">
        <v>1476</v>
      </c>
      <c r="I2410" s="347" t="s">
        <v>1303</v>
      </c>
      <c r="K2410" s="370"/>
      <c r="N2410" s="370"/>
    </row>
    <row r="2411" spans="1:14" s="347" customFormat="1" x14ac:dyDescent="0.25">
      <c r="A2411" s="369">
        <f>+A2410</f>
        <v>44326</v>
      </c>
      <c r="B2411" s="347">
        <f>+B2410</f>
        <v>5</v>
      </c>
      <c r="C2411" s="347">
        <v>3450</v>
      </c>
      <c r="D2411" s="340" t="str">
        <f>VLOOKUP(C2411,Plan!A$1:B$65542,2,0)</f>
        <v>Pastoral Social</v>
      </c>
      <c r="E2411" s="396">
        <f>-G2411</f>
        <v>-50000</v>
      </c>
      <c r="F2411" s="396">
        <v>0</v>
      </c>
      <c r="G2411" s="396">
        <f>+F2410</f>
        <v>50000</v>
      </c>
      <c r="H2411" s="347" t="str">
        <f>+H2410</f>
        <v>Canastas Ana Maria Alvarez T</v>
      </c>
      <c r="I2411" s="347" t="s">
        <v>1303</v>
      </c>
      <c r="K2411" s="370"/>
      <c r="N2411" s="370"/>
    </row>
    <row r="2412" spans="1:14" s="347" customFormat="1" x14ac:dyDescent="0.25">
      <c r="A2412" s="369"/>
      <c r="E2412" s="396"/>
      <c r="F2412" s="396"/>
      <c r="G2412" s="396"/>
      <c r="K2412" s="370"/>
      <c r="N2412" s="370"/>
    </row>
    <row r="2413" spans="1:14" s="347" customFormat="1" x14ac:dyDescent="0.25">
      <c r="A2413" s="369">
        <v>44326</v>
      </c>
      <c r="B2413" s="340">
        <f>+MONTH(A2413)</f>
        <v>5</v>
      </c>
      <c r="C2413" s="347">
        <v>110</v>
      </c>
      <c r="D2413" s="340" t="str">
        <f>VLOOKUP(C2413,Plan!A$1:B$65542,2,0)</f>
        <v>Disponible Administración</v>
      </c>
      <c r="E2413" s="341">
        <f>+F2413-G2413</f>
        <v>100000</v>
      </c>
      <c r="F2413" s="396">
        <v>100000</v>
      </c>
      <c r="G2413" s="396">
        <v>0</v>
      </c>
      <c r="H2413" s="347" t="s">
        <v>1477</v>
      </c>
      <c r="I2413" s="347" t="s">
        <v>1303</v>
      </c>
      <c r="K2413" s="370"/>
      <c r="N2413" s="370"/>
    </row>
    <row r="2414" spans="1:14" s="347" customFormat="1" x14ac:dyDescent="0.25">
      <c r="A2414" s="369">
        <f>+A2413</f>
        <v>44326</v>
      </c>
      <c r="B2414" s="347">
        <f>+B2413</f>
        <v>5</v>
      </c>
      <c r="C2414" s="347">
        <v>3450</v>
      </c>
      <c r="D2414" s="340" t="str">
        <f>VLOOKUP(C2414,Plan!A$1:B$65542,2,0)</f>
        <v>Pastoral Social</v>
      </c>
      <c r="E2414" s="396">
        <f>-G2414</f>
        <v>-100000</v>
      </c>
      <c r="F2414" s="396">
        <v>0</v>
      </c>
      <c r="G2414" s="396">
        <f>+F2413</f>
        <v>100000</v>
      </c>
      <c r="H2414" s="347" t="str">
        <f>+H2413</f>
        <v>Canastas Juan Muzio Muzio</v>
      </c>
      <c r="I2414" s="347" t="s">
        <v>1303</v>
      </c>
      <c r="K2414" s="370"/>
      <c r="N2414" s="370"/>
    </row>
    <row r="2415" spans="1:14" s="347" customFormat="1" x14ac:dyDescent="0.25">
      <c r="A2415" s="369"/>
      <c r="E2415" s="396"/>
      <c r="F2415" s="396"/>
      <c r="G2415" s="396"/>
      <c r="K2415" s="370"/>
      <c r="N2415" s="370"/>
    </row>
    <row r="2416" spans="1:14" s="347" customFormat="1" x14ac:dyDescent="0.25">
      <c r="A2416" s="369">
        <v>44326</v>
      </c>
      <c r="B2416" s="340">
        <f>+MONTH(A2416)</f>
        <v>5</v>
      </c>
      <c r="C2416" s="347">
        <v>4860</v>
      </c>
      <c r="D2416" s="340" t="str">
        <f>VLOOKUP(C2416,Plan!A$1:B$65542,2,0)</f>
        <v>Otros</v>
      </c>
      <c r="E2416" s="341">
        <f>+F2416-G2416</f>
        <v>1755</v>
      </c>
      <c r="F2416" s="396">
        <v>1755</v>
      </c>
      <c r="G2416" s="396">
        <v>0</v>
      </c>
      <c r="H2416" s="347" t="s">
        <v>1478</v>
      </c>
      <c r="I2416" s="347" t="s">
        <v>1303</v>
      </c>
      <c r="K2416" s="370"/>
      <c r="N2416" s="370"/>
    </row>
    <row r="2417" spans="1:14" s="347" customFormat="1" x14ac:dyDescent="0.25">
      <c r="A2417" s="369">
        <f>+A2416</f>
        <v>44326</v>
      </c>
      <c r="B2417" s="347">
        <f>+B2416</f>
        <v>5</v>
      </c>
      <c r="C2417" s="347">
        <v>110</v>
      </c>
      <c r="D2417" s="340" t="str">
        <f>VLOOKUP(C2417,Plan!A$1:B$65542,2,0)</f>
        <v>Disponible Administración</v>
      </c>
      <c r="E2417" s="396">
        <f>-G2417</f>
        <v>-1755</v>
      </c>
      <c r="F2417" s="396">
        <v>0</v>
      </c>
      <c r="G2417" s="396">
        <f>+F2416</f>
        <v>1755</v>
      </c>
      <c r="H2417" s="347" t="str">
        <f>+H2416</f>
        <v>Com. Bco. Chile</v>
      </c>
      <c r="I2417" s="347" t="s">
        <v>1303</v>
      </c>
      <c r="K2417" s="370"/>
      <c r="N2417" s="370"/>
    </row>
    <row r="2418" spans="1:14" s="347" customFormat="1" x14ac:dyDescent="0.25">
      <c r="A2418" s="369"/>
      <c r="E2418" s="396"/>
      <c r="F2418" s="396"/>
      <c r="G2418" s="396"/>
      <c r="K2418" s="370"/>
      <c r="N2418" s="370"/>
    </row>
    <row r="2419" spans="1:14" s="347" customFormat="1" x14ac:dyDescent="0.25">
      <c r="A2419" s="369">
        <v>44326</v>
      </c>
      <c r="B2419" s="340">
        <f>+MONTH(A2419)</f>
        <v>5</v>
      </c>
      <c r="C2419" s="347">
        <v>4860</v>
      </c>
      <c r="D2419" s="340" t="str">
        <f>VLOOKUP(C2419,Plan!A$1:B$65542,2,0)</f>
        <v>Otros</v>
      </c>
      <c r="E2419" s="341">
        <f>+F2419-G2419</f>
        <v>702</v>
      </c>
      <c r="F2419" s="396">
        <v>702</v>
      </c>
      <c r="G2419" s="396">
        <v>0</v>
      </c>
      <c r="H2419" s="347" t="s">
        <v>1478</v>
      </c>
      <c r="I2419" s="347" t="s">
        <v>1303</v>
      </c>
      <c r="K2419" s="370"/>
      <c r="N2419" s="370"/>
    </row>
    <row r="2420" spans="1:14" s="347" customFormat="1" x14ac:dyDescent="0.25">
      <c r="A2420" s="369">
        <f>+A2419</f>
        <v>44326</v>
      </c>
      <c r="B2420" s="347">
        <f>+B2419</f>
        <v>5</v>
      </c>
      <c r="C2420" s="347">
        <v>110</v>
      </c>
      <c r="D2420" s="340" t="str">
        <f>VLOOKUP(C2420,Plan!A$1:B$65542,2,0)</f>
        <v>Disponible Administración</v>
      </c>
      <c r="E2420" s="396">
        <f>-G2420</f>
        <v>-702</v>
      </c>
      <c r="F2420" s="396">
        <v>0</v>
      </c>
      <c r="G2420" s="396">
        <f>+F2419</f>
        <v>702</v>
      </c>
      <c r="H2420" s="347" t="str">
        <f>+H2419</f>
        <v>Com. Bco. Chile</v>
      </c>
      <c r="I2420" s="347" t="s">
        <v>1303</v>
      </c>
      <c r="K2420" s="370"/>
      <c r="N2420" s="370"/>
    </row>
    <row r="2421" spans="1:14" s="347" customFormat="1" x14ac:dyDescent="0.25">
      <c r="A2421" s="369"/>
      <c r="E2421" s="396"/>
      <c r="F2421" s="396"/>
      <c r="G2421" s="396"/>
      <c r="K2421" s="370"/>
      <c r="N2421" s="370"/>
    </row>
    <row r="2422" spans="1:14" s="347" customFormat="1" x14ac:dyDescent="0.25">
      <c r="A2422" s="369">
        <v>44326</v>
      </c>
      <c r="B2422" s="340">
        <f>+MONTH(A2422)</f>
        <v>5</v>
      </c>
      <c r="C2422" s="347">
        <v>110</v>
      </c>
      <c r="D2422" s="340" t="str">
        <f>VLOOKUP(C2422,Plan!A$1:B$65542,2,0)</f>
        <v>Disponible Administración</v>
      </c>
      <c r="E2422" s="341">
        <f>+F2422-G2422</f>
        <v>94000</v>
      </c>
      <c r="F2422" s="396">
        <v>94000</v>
      </c>
      <c r="G2422" s="396">
        <v>0</v>
      </c>
      <c r="H2422" s="347" t="s">
        <v>1479</v>
      </c>
      <c r="I2422" s="347" t="s">
        <v>1303</v>
      </c>
      <c r="K2422" s="370"/>
      <c r="N2422" s="370"/>
    </row>
    <row r="2423" spans="1:14" s="347" customFormat="1" x14ac:dyDescent="0.25">
      <c r="A2423" s="369">
        <f>+A2422</f>
        <v>44326</v>
      </c>
      <c r="B2423" s="347">
        <f>+B2422</f>
        <v>5</v>
      </c>
      <c r="C2423" s="347">
        <v>3110</v>
      </c>
      <c r="D2423" s="340" t="str">
        <f>VLOOKUP(C2423,Plan!A$1:B$65542,2,0)</f>
        <v>Colectas Normales</v>
      </c>
      <c r="E2423" s="396">
        <f>-G2423</f>
        <v>-94000</v>
      </c>
      <c r="F2423" s="396">
        <v>0</v>
      </c>
      <c r="G2423" s="396">
        <f>+F2422</f>
        <v>94000</v>
      </c>
      <c r="H2423" s="347" t="str">
        <f>+H2422</f>
        <v xml:space="preserve">Colecta Col. Cordillera </v>
      </c>
      <c r="I2423" s="347" t="s">
        <v>1303</v>
      </c>
      <c r="K2423" s="370"/>
      <c r="N2423" s="370"/>
    </row>
    <row r="2424" spans="1:14" s="347" customFormat="1" x14ac:dyDescent="0.25">
      <c r="A2424" s="369"/>
      <c r="E2424" s="396"/>
      <c r="F2424" s="396"/>
      <c r="G2424" s="396"/>
      <c r="K2424" s="370"/>
      <c r="N2424" s="370"/>
    </row>
    <row r="2425" spans="1:14" s="347" customFormat="1" x14ac:dyDescent="0.25">
      <c r="A2425" s="369">
        <v>44327</v>
      </c>
      <c r="B2425" s="340">
        <f>+MONTH(A2425)</f>
        <v>5</v>
      </c>
      <c r="C2425" s="347">
        <v>110</v>
      </c>
      <c r="D2425" s="340" t="str">
        <f>VLOOKUP(C2425,Plan!A$1:B$65542,2,0)</f>
        <v>Disponible Administración</v>
      </c>
      <c r="E2425" s="341">
        <f>+F2425-G2425</f>
        <v>20000</v>
      </c>
      <c r="F2425" s="396">
        <v>20000</v>
      </c>
      <c r="G2425" s="396">
        <v>0</v>
      </c>
      <c r="H2425" s="347" t="s">
        <v>1195</v>
      </c>
      <c r="I2425" s="347" t="s">
        <v>1303</v>
      </c>
      <c r="K2425" s="370"/>
      <c r="N2425" s="370"/>
    </row>
    <row r="2426" spans="1:14" s="347" customFormat="1" x14ac:dyDescent="0.25">
      <c r="A2426" s="369">
        <f>+A2425</f>
        <v>44327</v>
      </c>
      <c r="B2426" s="347">
        <f>+B2425</f>
        <v>5</v>
      </c>
      <c r="C2426" s="347">
        <v>3110</v>
      </c>
      <c r="D2426" s="340" t="str">
        <f>VLOOKUP(C2426,Plan!A$1:B$65542,2,0)</f>
        <v>Colectas Normales</v>
      </c>
      <c r="E2426" s="396">
        <f>-G2426</f>
        <v>-20000</v>
      </c>
      <c r="F2426" s="396">
        <v>0</v>
      </c>
      <c r="G2426" s="396">
        <f>+F2425</f>
        <v>20000</v>
      </c>
      <c r="H2426" s="347" t="str">
        <f>+H2425</f>
        <v>Colecta Mane Jara</v>
      </c>
      <c r="I2426" s="347" t="s">
        <v>1303</v>
      </c>
      <c r="K2426" s="370"/>
      <c r="N2426" s="370"/>
    </row>
    <row r="2427" spans="1:14" s="347" customFormat="1" x14ac:dyDescent="0.25">
      <c r="A2427" s="369"/>
      <c r="E2427" s="396"/>
      <c r="F2427" s="396"/>
      <c r="G2427" s="396"/>
      <c r="K2427" s="370"/>
      <c r="N2427" s="370"/>
    </row>
    <row r="2428" spans="1:14" s="347" customFormat="1" x14ac:dyDescent="0.25">
      <c r="A2428" s="369">
        <v>44327</v>
      </c>
      <c r="B2428" s="340">
        <f>+MONTH(A2428)</f>
        <v>5</v>
      </c>
      <c r="C2428" s="347">
        <v>110</v>
      </c>
      <c r="D2428" s="340" t="str">
        <f>VLOOKUP(C2428,Plan!A$1:B$65542,2,0)</f>
        <v>Disponible Administración</v>
      </c>
      <c r="E2428" s="341">
        <f>+F2428-G2428</f>
        <v>30000</v>
      </c>
      <c r="F2428" s="396">
        <v>30000</v>
      </c>
      <c r="G2428" s="396">
        <v>0</v>
      </c>
      <c r="H2428" s="347" t="s">
        <v>1480</v>
      </c>
      <c r="I2428" s="347" t="s">
        <v>1303</v>
      </c>
      <c r="K2428" s="370"/>
      <c r="N2428" s="370"/>
    </row>
    <row r="2429" spans="1:14" s="347" customFormat="1" x14ac:dyDescent="0.25">
      <c r="A2429" s="369">
        <f>+A2428</f>
        <v>44327</v>
      </c>
      <c r="B2429" s="347">
        <f>+B2428</f>
        <v>5</v>
      </c>
      <c r="C2429" s="347">
        <v>3450</v>
      </c>
      <c r="D2429" s="340" t="str">
        <f>VLOOKUP(C2429,Plan!A$1:B$65542,2,0)</f>
        <v>Pastoral Social</v>
      </c>
      <c r="E2429" s="396">
        <f>-G2429</f>
        <v>-30000</v>
      </c>
      <c r="F2429" s="396">
        <v>0</v>
      </c>
      <c r="G2429" s="396">
        <f>+F2428</f>
        <v>30000</v>
      </c>
      <c r="H2429" s="347" t="str">
        <f>+H2428</f>
        <v>Canastas Mane Jara</v>
      </c>
      <c r="I2429" s="347" t="s">
        <v>1303</v>
      </c>
      <c r="K2429" s="370"/>
      <c r="N2429" s="370"/>
    </row>
    <row r="2430" spans="1:14" s="347" customFormat="1" ht="17.5" customHeight="1" x14ac:dyDescent="0.25">
      <c r="A2430" s="369"/>
      <c r="E2430" s="396"/>
      <c r="F2430" s="396"/>
      <c r="G2430" s="396"/>
      <c r="K2430" s="370"/>
      <c r="N2430" s="370"/>
    </row>
    <row r="2431" spans="1:14" s="347" customFormat="1" x14ac:dyDescent="0.25">
      <c r="A2431" s="369">
        <v>44327</v>
      </c>
      <c r="B2431" s="340">
        <f>+MONTH(A2431)</f>
        <v>5</v>
      </c>
      <c r="C2431" s="347">
        <v>110</v>
      </c>
      <c r="D2431" s="340" t="str">
        <f>VLOOKUP(C2431,Plan!A$1:B$65542,2,0)</f>
        <v>Disponible Administración</v>
      </c>
      <c r="E2431" s="341">
        <f>+F2431-G2431</f>
        <v>25000</v>
      </c>
      <c r="F2431" s="396">
        <v>25000</v>
      </c>
      <c r="G2431" s="396">
        <v>0</v>
      </c>
      <c r="H2431" s="347" t="s">
        <v>1481</v>
      </c>
      <c r="I2431" s="347" t="s">
        <v>1303</v>
      </c>
      <c r="K2431" s="370"/>
      <c r="N2431" s="370"/>
    </row>
    <row r="2432" spans="1:14" s="347" customFormat="1" x14ac:dyDescent="0.25">
      <c r="A2432" s="369">
        <f>+A2431</f>
        <v>44327</v>
      </c>
      <c r="B2432" s="347">
        <f>+B2431</f>
        <v>5</v>
      </c>
      <c r="C2432" s="347">
        <v>3110</v>
      </c>
      <c r="D2432" s="340" t="str">
        <f>VLOOKUP(C2432,Plan!A$1:B$65542,2,0)</f>
        <v>Colectas Normales</v>
      </c>
      <c r="E2432" s="396">
        <f>-G2432</f>
        <v>-25000</v>
      </c>
      <c r="F2432" s="396">
        <v>0</v>
      </c>
      <c r="G2432" s="396">
        <f>+F2431</f>
        <v>25000</v>
      </c>
      <c r="H2432" s="347" t="str">
        <f>+H2431</f>
        <v>Colecta Maria Naranjo</v>
      </c>
      <c r="I2432" s="347" t="s">
        <v>1303</v>
      </c>
      <c r="K2432" s="370"/>
      <c r="N2432" s="370"/>
    </row>
    <row r="2433" spans="1:14" s="347" customFormat="1" ht="17.5" customHeight="1" x14ac:dyDescent="0.25">
      <c r="A2433" s="369"/>
      <c r="E2433" s="396"/>
      <c r="F2433" s="396"/>
      <c r="G2433" s="396"/>
      <c r="K2433" s="370"/>
      <c r="N2433" s="370"/>
    </row>
    <row r="2434" spans="1:14" s="347" customFormat="1" x14ac:dyDescent="0.25">
      <c r="A2434" s="369">
        <v>44327</v>
      </c>
      <c r="B2434" s="340">
        <f>+MONTH(A2434)</f>
        <v>5</v>
      </c>
      <c r="C2434" s="347">
        <v>110</v>
      </c>
      <c r="D2434" s="340" t="str">
        <f>VLOOKUP(C2434,Plan!A$1:B$65542,2,0)</f>
        <v>Disponible Administración</v>
      </c>
      <c r="E2434" s="341">
        <f>+F2434-G2434</f>
        <v>25000</v>
      </c>
      <c r="F2434" s="396">
        <v>25000</v>
      </c>
      <c r="G2434" s="396">
        <v>0</v>
      </c>
      <c r="H2434" s="347" t="s">
        <v>1809</v>
      </c>
      <c r="I2434" s="347" t="s">
        <v>1303</v>
      </c>
      <c r="K2434" s="370"/>
      <c r="N2434" s="370"/>
    </row>
    <row r="2435" spans="1:14" s="347" customFormat="1" x14ac:dyDescent="0.25">
      <c r="A2435" s="369">
        <f>+A2434</f>
        <v>44327</v>
      </c>
      <c r="B2435" s="347">
        <f>+B2434</f>
        <v>5</v>
      </c>
      <c r="C2435" s="347">
        <v>3360</v>
      </c>
      <c r="D2435" s="340" t="str">
        <f>VLOOKUP(C2435,Plan!A$1:B$65542,2,0)</f>
        <v>Otros</v>
      </c>
      <c r="E2435" s="396">
        <f>-G2435</f>
        <v>-25000</v>
      </c>
      <c r="F2435" s="396">
        <v>0</v>
      </c>
      <c r="G2435" s="396">
        <f>+F2434</f>
        <v>25000</v>
      </c>
      <c r="H2435" s="347" t="str">
        <f>+H2434</f>
        <v>Curso Jose Miguel Carafi Melero</v>
      </c>
      <c r="I2435" s="347" t="s">
        <v>1303</v>
      </c>
      <c r="K2435" s="370"/>
      <c r="N2435" s="370"/>
    </row>
    <row r="2436" spans="1:14" s="347" customFormat="1" x14ac:dyDescent="0.25">
      <c r="A2436" s="369"/>
      <c r="E2436" s="396"/>
      <c r="F2436" s="396"/>
      <c r="G2436" s="396"/>
      <c r="K2436" s="370"/>
      <c r="N2436" s="370"/>
    </row>
    <row r="2437" spans="1:14" s="347" customFormat="1" x14ac:dyDescent="0.25">
      <c r="A2437" s="369">
        <v>44327</v>
      </c>
      <c r="B2437" s="340">
        <f>+MONTH(A2437)</f>
        <v>5</v>
      </c>
      <c r="C2437" s="347">
        <v>110</v>
      </c>
      <c r="D2437" s="340" t="str">
        <f>VLOOKUP(C2437,Plan!A$1:B$65542,2,0)</f>
        <v>Disponible Administración</v>
      </c>
      <c r="E2437" s="341">
        <f>+F2437-G2437</f>
        <v>30000</v>
      </c>
      <c r="F2437" s="396">
        <v>30000</v>
      </c>
      <c r="G2437" s="396">
        <v>0</v>
      </c>
      <c r="H2437" s="347" t="s">
        <v>1482</v>
      </c>
      <c r="I2437" s="347" t="s">
        <v>1303</v>
      </c>
      <c r="K2437" s="370"/>
      <c r="N2437" s="370"/>
    </row>
    <row r="2438" spans="1:14" s="347" customFormat="1" x14ac:dyDescent="0.25">
      <c r="A2438" s="369">
        <f>+A2437</f>
        <v>44327</v>
      </c>
      <c r="B2438" s="347">
        <f>+B2437</f>
        <v>5</v>
      </c>
      <c r="C2438" s="347">
        <v>3450</v>
      </c>
      <c r="D2438" s="340" t="str">
        <f>VLOOKUP(C2438,Plan!A$1:B$65542,2,0)</f>
        <v>Pastoral Social</v>
      </c>
      <c r="E2438" s="396">
        <f>-G2438</f>
        <v>-30000</v>
      </c>
      <c r="F2438" s="396">
        <v>0</v>
      </c>
      <c r="G2438" s="396">
        <f>+F2437</f>
        <v>30000</v>
      </c>
      <c r="H2438" s="347" t="str">
        <f>+H2437</f>
        <v>Canastas Maria Cecilia Laso R</v>
      </c>
      <c r="I2438" s="347" t="s">
        <v>1303</v>
      </c>
      <c r="K2438" s="370"/>
      <c r="N2438" s="370"/>
    </row>
    <row r="2439" spans="1:14" s="347" customFormat="1" x14ac:dyDescent="0.25">
      <c r="A2439" s="369"/>
      <c r="E2439" s="396"/>
      <c r="F2439" s="396"/>
      <c r="G2439" s="396"/>
      <c r="K2439" s="370"/>
      <c r="N2439" s="370"/>
    </row>
    <row r="2440" spans="1:14" s="347" customFormat="1" x14ac:dyDescent="0.25">
      <c r="A2440" s="369">
        <v>44327</v>
      </c>
      <c r="B2440" s="340">
        <f>+MONTH(A2440)</f>
        <v>5</v>
      </c>
      <c r="C2440" s="347">
        <v>4323</v>
      </c>
      <c r="D2440" s="340" t="str">
        <f>VLOOKUP(C2440,Plan!A$1:B$65542,2,0)</f>
        <v>Telefonía, Internet (VTR, Entel)</v>
      </c>
      <c r="E2440" s="341">
        <f>+F2440-G2440</f>
        <v>35155</v>
      </c>
      <c r="F2440" s="396">
        <v>35155</v>
      </c>
      <c r="G2440" s="396">
        <v>0</v>
      </c>
      <c r="H2440" s="347" t="s">
        <v>1483</v>
      </c>
      <c r="I2440" s="347" t="s">
        <v>1303</v>
      </c>
      <c r="K2440" s="370"/>
      <c r="N2440" s="370"/>
    </row>
    <row r="2441" spans="1:14" s="347" customFormat="1" x14ac:dyDescent="0.25">
      <c r="A2441" s="369">
        <f>+A2440</f>
        <v>44327</v>
      </c>
      <c r="B2441" s="347">
        <f>+B2440</f>
        <v>5</v>
      </c>
      <c r="C2441" s="347">
        <v>110</v>
      </c>
      <c r="D2441" s="340" t="str">
        <f>VLOOKUP(C2441,Plan!A$1:B$65542,2,0)</f>
        <v>Disponible Administración</v>
      </c>
      <c r="E2441" s="396">
        <f>-G2441</f>
        <v>-35155</v>
      </c>
      <c r="F2441" s="396">
        <v>0</v>
      </c>
      <c r="G2441" s="396">
        <f>+F2440</f>
        <v>35155</v>
      </c>
      <c r="H2441" s="347" t="str">
        <f>+H2440</f>
        <v>PAC VTR</v>
      </c>
      <c r="I2441" s="347" t="s">
        <v>1303</v>
      </c>
      <c r="K2441" s="370"/>
      <c r="N2441" s="370"/>
    </row>
    <row r="2442" spans="1:14" s="347" customFormat="1" x14ac:dyDescent="0.25">
      <c r="A2442" s="369"/>
      <c r="E2442" s="396"/>
      <c r="F2442" s="396"/>
      <c r="G2442" s="396"/>
      <c r="K2442" s="370"/>
      <c r="N2442" s="370"/>
    </row>
    <row r="2443" spans="1:14" s="347" customFormat="1" x14ac:dyDescent="0.25">
      <c r="A2443" s="369">
        <v>44327</v>
      </c>
      <c r="B2443" s="340">
        <f>+MONTH(A2443)</f>
        <v>5</v>
      </c>
      <c r="C2443" s="347">
        <v>110</v>
      </c>
      <c r="D2443" s="340" t="str">
        <f>VLOOKUP(C2443,Plan!A$1:B$65542,2,0)</f>
        <v>Disponible Administración</v>
      </c>
      <c r="E2443" s="341">
        <f>+F2443-G2443</f>
        <v>26490</v>
      </c>
      <c r="F2443" s="396">
        <v>26490</v>
      </c>
      <c r="G2443" s="396">
        <v>0</v>
      </c>
      <c r="H2443" s="347" t="s">
        <v>897</v>
      </c>
      <c r="I2443" s="347" t="s">
        <v>1303</v>
      </c>
      <c r="K2443" s="370"/>
      <c r="N2443" s="370"/>
    </row>
    <row r="2444" spans="1:14" s="347" customFormat="1" x14ac:dyDescent="0.25">
      <c r="A2444" s="369">
        <f>+A2443</f>
        <v>44327</v>
      </c>
      <c r="B2444" s="347">
        <f>+B2443</f>
        <v>5</v>
      </c>
      <c r="C2444" s="347">
        <v>3110</v>
      </c>
      <c r="D2444" s="340" t="str">
        <f>VLOOKUP(C2444,Plan!A$1:B$65542,2,0)</f>
        <v>Colectas Normales</v>
      </c>
      <c r="E2444" s="396">
        <f>-G2444</f>
        <v>-26490</v>
      </c>
      <c r="F2444" s="396">
        <v>0</v>
      </c>
      <c r="G2444" s="396">
        <f>+F2443</f>
        <v>26490</v>
      </c>
      <c r="H2444" s="347" t="str">
        <f>+H2443</f>
        <v>Colecta DCT</v>
      </c>
      <c r="I2444" s="347" t="s">
        <v>1303</v>
      </c>
      <c r="K2444" s="370"/>
      <c r="N2444" s="370"/>
    </row>
    <row r="2445" spans="1:14" s="347" customFormat="1" x14ac:dyDescent="0.25">
      <c r="A2445" s="369"/>
      <c r="E2445" s="396"/>
      <c r="F2445" s="396"/>
      <c r="G2445" s="396"/>
      <c r="K2445" s="370"/>
      <c r="N2445" s="370"/>
    </row>
    <row r="2446" spans="1:14" s="347" customFormat="1" x14ac:dyDescent="0.25">
      <c r="A2446" s="369">
        <v>44327</v>
      </c>
      <c r="B2446" s="340">
        <f>+MONTH(A2446)</f>
        <v>5</v>
      </c>
      <c r="C2446" s="347">
        <v>110</v>
      </c>
      <c r="D2446" s="340" t="str">
        <f>VLOOKUP(C2446,Plan!A$1:B$65542,2,0)</f>
        <v>Disponible Administración</v>
      </c>
      <c r="E2446" s="341">
        <f>+F2446-G2446</f>
        <v>100000</v>
      </c>
      <c r="F2446" s="396">
        <v>100000</v>
      </c>
      <c r="G2446" s="396">
        <v>0</v>
      </c>
      <c r="H2446" s="347" t="s">
        <v>743</v>
      </c>
      <c r="I2446" s="347" t="s">
        <v>1303</v>
      </c>
      <c r="K2446" s="370"/>
      <c r="N2446" s="370"/>
    </row>
    <row r="2447" spans="1:14" s="347" customFormat="1" x14ac:dyDescent="0.25">
      <c r="A2447" s="369">
        <f>+A2446</f>
        <v>44327</v>
      </c>
      <c r="B2447" s="347">
        <f>+B2446</f>
        <v>5</v>
      </c>
      <c r="C2447" s="347">
        <v>215</v>
      </c>
      <c r="D2447" s="340" t="str">
        <f>VLOOKUP(C2447,Plan!A$1:B$65542,2,0)</f>
        <v>Cuenta por Pagar a Cali</v>
      </c>
      <c r="E2447" s="396">
        <f>-G2447</f>
        <v>-100000</v>
      </c>
      <c r="F2447" s="396">
        <v>0</v>
      </c>
      <c r="G2447" s="396">
        <f>+F2446</f>
        <v>100000</v>
      </c>
      <c r="H2447" s="347" t="str">
        <f>+H2446</f>
        <v>Hugo Rosende Álvarez / 249</v>
      </c>
      <c r="I2447" s="347" t="s">
        <v>1303</v>
      </c>
      <c r="K2447" s="370"/>
      <c r="N2447" s="370"/>
    </row>
    <row r="2448" spans="1:14" s="347" customFormat="1" x14ac:dyDescent="0.25">
      <c r="A2448" s="369"/>
      <c r="E2448" s="396"/>
      <c r="F2448" s="396"/>
      <c r="G2448" s="396"/>
      <c r="K2448" s="370"/>
      <c r="N2448" s="370"/>
    </row>
    <row r="2449" spans="1:14" s="347" customFormat="1" x14ac:dyDescent="0.25">
      <c r="A2449" s="369">
        <v>44327</v>
      </c>
      <c r="B2449" s="340">
        <f>+MONTH(A2449)</f>
        <v>5</v>
      </c>
      <c r="C2449" s="347">
        <v>110</v>
      </c>
      <c r="D2449" s="340" t="str">
        <f>VLOOKUP(C2449,Plan!A$1:B$65542,2,0)</f>
        <v>Disponible Administración</v>
      </c>
      <c r="E2449" s="341">
        <f>+F2449-G2449</f>
        <v>10000</v>
      </c>
      <c r="F2449" s="396">
        <v>10000</v>
      </c>
      <c r="G2449" s="396">
        <v>0</v>
      </c>
      <c r="H2449" s="347" t="s">
        <v>1429</v>
      </c>
      <c r="I2449" s="347" t="s">
        <v>1303</v>
      </c>
      <c r="K2449" s="370"/>
      <c r="N2449" s="370"/>
    </row>
    <row r="2450" spans="1:14" s="347" customFormat="1" x14ac:dyDescent="0.25">
      <c r="A2450" s="369">
        <f>+A2449</f>
        <v>44327</v>
      </c>
      <c r="B2450" s="347">
        <f>+B2449</f>
        <v>5</v>
      </c>
      <c r="C2450" s="347">
        <v>3340</v>
      </c>
      <c r="D2450" s="340" t="str">
        <f>VLOOKUP(C2450,Plan!A$1:B$65542,2,0)</f>
        <v>Misas</v>
      </c>
      <c r="E2450" s="396">
        <f>-G2450</f>
        <v>-10000</v>
      </c>
      <c r="F2450" s="396">
        <v>0</v>
      </c>
      <c r="G2450" s="396">
        <f>+F2449</f>
        <v>10000</v>
      </c>
      <c r="H2450" s="347" t="str">
        <f>+H2449</f>
        <v>Misa Carmen Gloria Rivas Varas</v>
      </c>
      <c r="I2450" s="347" t="s">
        <v>1303</v>
      </c>
      <c r="K2450" s="370"/>
      <c r="N2450" s="370"/>
    </row>
    <row r="2451" spans="1:14" s="347" customFormat="1" x14ac:dyDescent="0.25">
      <c r="A2451" s="369"/>
      <c r="E2451" s="396"/>
      <c r="F2451" s="396"/>
      <c r="G2451" s="396"/>
      <c r="K2451" s="370"/>
      <c r="N2451" s="370"/>
    </row>
    <row r="2452" spans="1:14" s="347" customFormat="1" x14ac:dyDescent="0.25">
      <c r="A2452" s="369">
        <v>44328</v>
      </c>
      <c r="B2452" s="340">
        <f>+MONTH(A2452)</f>
        <v>5</v>
      </c>
      <c r="C2452" s="347">
        <v>110</v>
      </c>
      <c r="D2452" s="340" t="str">
        <f>VLOOKUP(C2452,Plan!A$1:B$65542,2,0)</f>
        <v>Disponible Administración</v>
      </c>
      <c r="E2452" s="341">
        <f>+F2452-G2452</f>
        <v>20000</v>
      </c>
      <c r="F2452" s="396">
        <v>20000</v>
      </c>
      <c r="G2452" s="396">
        <v>0</v>
      </c>
      <c r="H2452" s="347" t="s">
        <v>1484</v>
      </c>
      <c r="I2452" s="347" t="s">
        <v>1303</v>
      </c>
      <c r="K2452" s="370"/>
      <c r="N2452" s="370"/>
    </row>
    <row r="2453" spans="1:14" s="347" customFormat="1" x14ac:dyDescent="0.25">
      <c r="A2453" s="369">
        <f>+A2452</f>
        <v>44328</v>
      </c>
      <c r="B2453" s="347">
        <f>+B2452</f>
        <v>5</v>
      </c>
      <c r="C2453" s="347">
        <v>3450</v>
      </c>
      <c r="D2453" s="340" t="str">
        <f>VLOOKUP(C2453,Plan!A$1:B$65542,2,0)</f>
        <v>Pastoral Social</v>
      </c>
      <c r="E2453" s="396">
        <f>-G2453</f>
        <v>-20000</v>
      </c>
      <c r="F2453" s="396">
        <v>0</v>
      </c>
      <c r="G2453" s="396">
        <f>+F2452</f>
        <v>20000</v>
      </c>
      <c r="H2453" s="347" t="str">
        <f>+H2452</f>
        <v>Canastas Maria Angelica Arancibia</v>
      </c>
      <c r="I2453" s="347" t="s">
        <v>1303</v>
      </c>
      <c r="K2453" s="370"/>
      <c r="N2453" s="370"/>
    </row>
    <row r="2454" spans="1:14" s="347" customFormat="1" x14ac:dyDescent="0.25">
      <c r="A2454" s="369"/>
      <c r="E2454" s="396"/>
      <c r="F2454" s="396"/>
      <c r="G2454" s="396"/>
      <c r="K2454" s="370"/>
      <c r="N2454" s="370"/>
    </row>
    <row r="2455" spans="1:14" s="347" customFormat="1" x14ac:dyDescent="0.25">
      <c r="A2455" s="369">
        <v>44328</v>
      </c>
      <c r="B2455" s="340">
        <f>+MONTH(A2455)</f>
        <v>5</v>
      </c>
      <c r="C2455" s="347">
        <v>110</v>
      </c>
      <c r="D2455" s="340" t="str">
        <f>VLOOKUP(C2455,Plan!A$1:B$65542,2,0)</f>
        <v>Disponible Administración</v>
      </c>
      <c r="E2455" s="341">
        <f>+F2455-G2455</f>
        <v>4940</v>
      </c>
      <c r="F2455" s="396">
        <v>4940</v>
      </c>
      <c r="G2455" s="396">
        <v>0</v>
      </c>
      <c r="H2455" s="347" t="s">
        <v>897</v>
      </c>
      <c r="I2455" s="347" t="s">
        <v>1303</v>
      </c>
      <c r="K2455" s="370"/>
      <c r="N2455" s="370"/>
    </row>
    <row r="2456" spans="1:14" s="347" customFormat="1" x14ac:dyDescent="0.25">
      <c r="A2456" s="369">
        <f>+A2455</f>
        <v>44328</v>
      </c>
      <c r="B2456" s="347">
        <f>+B2455</f>
        <v>5</v>
      </c>
      <c r="C2456" s="347">
        <v>3110</v>
      </c>
      <c r="D2456" s="340" t="str">
        <f>VLOOKUP(C2456,Plan!A$1:B$65542,2,0)</f>
        <v>Colectas Normales</v>
      </c>
      <c r="E2456" s="396">
        <f>-G2456</f>
        <v>-4940</v>
      </c>
      <c r="F2456" s="396">
        <v>0</v>
      </c>
      <c r="G2456" s="396">
        <f>+F2455</f>
        <v>4940</v>
      </c>
      <c r="H2456" s="347" t="str">
        <f>+H2455</f>
        <v>Colecta DCT</v>
      </c>
      <c r="I2456" s="347" t="s">
        <v>1303</v>
      </c>
      <c r="K2456" s="370"/>
      <c r="N2456" s="370"/>
    </row>
    <row r="2457" spans="1:14" s="347" customFormat="1" x14ac:dyDescent="0.25">
      <c r="A2457" s="369"/>
      <c r="E2457" s="396"/>
      <c r="F2457" s="396"/>
      <c r="G2457" s="396"/>
      <c r="K2457" s="370"/>
      <c r="N2457" s="370"/>
    </row>
    <row r="2458" spans="1:14" s="347" customFormat="1" x14ac:dyDescent="0.25">
      <c r="A2458" s="369">
        <v>44328</v>
      </c>
      <c r="B2458" s="340">
        <f>+MONTH(A2458)</f>
        <v>5</v>
      </c>
      <c r="C2458" s="347">
        <v>110</v>
      </c>
      <c r="D2458" s="340" t="str">
        <f>VLOOKUP(C2458,Plan!A$1:B$65542,2,0)</f>
        <v>Disponible Administración</v>
      </c>
      <c r="E2458" s="341">
        <f>+F2458-G2458</f>
        <v>100000</v>
      </c>
      <c r="F2458" s="396">
        <v>100000</v>
      </c>
      <c r="G2458" s="396">
        <v>0</v>
      </c>
      <c r="H2458" s="347" t="s">
        <v>1485</v>
      </c>
      <c r="I2458" s="347" t="s">
        <v>1303</v>
      </c>
      <c r="K2458" s="370"/>
      <c r="N2458" s="370"/>
    </row>
    <row r="2459" spans="1:14" s="347" customFormat="1" x14ac:dyDescent="0.25">
      <c r="A2459" s="369">
        <f>+A2458</f>
        <v>44328</v>
      </c>
      <c r="B2459" s="347">
        <f>+B2458</f>
        <v>5</v>
      </c>
      <c r="C2459" s="347">
        <v>3450</v>
      </c>
      <c r="D2459" s="340" t="str">
        <f>VLOOKUP(C2459,Plan!A$1:B$65542,2,0)</f>
        <v>Pastoral Social</v>
      </c>
      <c r="E2459" s="396">
        <f>-G2459</f>
        <v>-100000</v>
      </c>
      <c r="F2459" s="396">
        <v>0</v>
      </c>
      <c r="G2459" s="396">
        <f>+F2458</f>
        <v>100000</v>
      </c>
      <c r="H2459" s="347" t="str">
        <f>+H2458</f>
        <v>Canastas Raimundo Barros Montaner</v>
      </c>
      <c r="I2459" s="347" t="s">
        <v>1303</v>
      </c>
      <c r="K2459" s="370"/>
      <c r="N2459" s="370"/>
    </row>
    <row r="2460" spans="1:14" s="347" customFormat="1" x14ac:dyDescent="0.25">
      <c r="A2460" s="369"/>
      <c r="E2460" s="396"/>
      <c r="F2460" s="396"/>
      <c r="G2460" s="396"/>
      <c r="K2460" s="370"/>
      <c r="N2460" s="370"/>
    </row>
    <row r="2461" spans="1:14" s="347" customFormat="1" x14ac:dyDescent="0.25">
      <c r="A2461" s="369">
        <v>44328</v>
      </c>
      <c r="B2461" s="340">
        <f>+MONTH(A2461)</f>
        <v>5</v>
      </c>
      <c r="C2461" s="347">
        <v>110</v>
      </c>
      <c r="D2461" s="340" t="str">
        <f>VLOOKUP(C2461,Plan!A$1:B$65542,2,0)</f>
        <v>Disponible Administración</v>
      </c>
      <c r="E2461" s="341">
        <f>+F2461-G2461</f>
        <v>5000</v>
      </c>
      <c r="F2461" s="396">
        <v>5000</v>
      </c>
      <c r="G2461" s="396">
        <v>0</v>
      </c>
      <c r="H2461" s="347" t="s">
        <v>1310</v>
      </c>
      <c r="I2461" s="347" t="s">
        <v>1303</v>
      </c>
      <c r="K2461" s="370"/>
      <c r="N2461" s="370"/>
    </row>
    <row r="2462" spans="1:14" s="347" customFormat="1" x14ac:dyDescent="0.25">
      <c r="A2462" s="369">
        <f>+A2461</f>
        <v>44328</v>
      </c>
      <c r="B2462" s="347">
        <f>+B2461</f>
        <v>5</v>
      </c>
      <c r="C2462" s="347">
        <v>3340</v>
      </c>
      <c r="D2462" s="340" t="str">
        <f>VLOOKUP(C2462,Plan!A$1:B$65542,2,0)</f>
        <v>Misas</v>
      </c>
      <c r="E2462" s="396">
        <f>-G2462</f>
        <v>-5000</v>
      </c>
      <c r="F2462" s="396">
        <v>0</v>
      </c>
      <c r="G2462" s="396">
        <f>+F2461</f>
        <v>5000</v>
      </c>
      <c r="H2462" s="347" t="str">
        <f>+H2461</f>
        <v>Misa Veronica Rojas</v>
      </c>
      <c r="I2462" s="347" t="s">
        <v>1303</v>
      </c>
      <c r="K2462" s="370"/>
      <c r="N2462" s="370"/>
    </row>
    <row r="2463" spans="1:14" s="347" customFormat="1" x14ac:dyDescent="0.25">
      <c r="A2463" s="369"/>
      <c r="E2463" s="396"/>
      <c r="F2463" s="396"/>
      <c r="G2463" s="396"/>
      <c r="K2463" s="370"/>
      <c r="N2463" s="370"/>
    </row>
    <row r="2464" spans="1:14" s="347" customFormat="1" x14ac:dyDescent="0.25">
      <c r="A2464" s="369">
        <v>44329</v>
      </c>
      <c r="B2464" s="340">
        <f>+MONTH(A2464)</f>
        <v>5</v>
      </c>
      <c r="C2464" s="347">
        <v>110</v>
      </c>
      <c r="D2464" s="340" t="str">
        <f>VLOOKUP(C2464,Plan!A$1:B$65542,2,0)</f>
        <v>Disponible Administración</v>
      </c>
      <c r="E2464" s="341">
        <f>+F2464-G2464</f>
        <v>20000</v>
      </c>
      <c r="F2464" s="396">
        <v>20000</v>
      </c>
      <c r="G2464" s="396">
        <v>0</v>
      </c>
      <c r="H2464" s="347" t="s">
        <v>1486</v>
      </c>
      <c r="I2464" s="347" t="s">
        <v>1303</v>
      </c>
      <c r="K2464" s="370"/>
      <c r="N2464" s="370"/>
    </row>
    <row r="2465" spans="1:14" s="347" customFormat="1" x14ac:dyDescent="0.25">
      <c r="A2465" s="369">
        <f>+A2464</f>
        <v>44329</v>
      </c>
      <c r="B2465" s="347">
        <f>+B2464</f>
        <v>5</v>
      </c>
      <c r="C2465" s="347">
        <v>3350</v>
      </c>
      <c r="D2465" s="340" t="str">
        <f>VLOOKUP(C2465,Plan!A$1:B$65542,2,0)</f>
        <v>Bautizos</v>
      </c>
      <c r="E2465" s="396">
        <f>-G2465</f>
        <v>-20000</v>
      </c>
      <c r="F2465" s="396">
        <v>0</v>
      </c>
      <c r="G2465" s="396">
        <f>+F2464</f>
        <v>20000</v>
      </c>
      <c r="H2465" s="347" t="str">
        <f>+H2464</f>
        <v>Bautizo Maria Paz Wiegand Lavin</v>
      </c>
      <c r="I2465" s="347" t="s">
        <v>1303</v>
      </c>
      <c r="K2465" s="370"/>
      <c r="N2465" s="370"/>
    </row>
    <row r="2466" spans="1:14" s="347" customFormat="1" x14ac:dyDescent="0.25">
      <c r="A2466" s="369"/>
      <c r="E2466" s="396"/>
      <c r="F2466" s="396"/>
      <c r="G2466" s="396"/>
      <c r="K2466" s="370"/>
      <c r="N2466" s="370"/>
    </row>
    <row r="2467" spans="1:14" s="347" customFormat="1" x14ac:dyDescent="0.25">
      <c r="A2467" s="369">
        <v>44329</v>
      </c>
      <c r="B2467" s="340">
        <f>+MONTH(A2467)</f>
        <v>5</v>
      </c>
      <c r="C2467" s="347">
        <v>110</v>
      </c>
      <c r="D2467" s="340" t="str">
        <f>VLOOKUP(C2467,Plan!A$1:B$65542,2,0)</f>
        <v>Disponible Administración</v>
      </c>
      <c r="E2467" s="341">
        <f>+F2467-G2467</f>
        <v>40000</v>
      </c>
      <c r="F2467" s="396">
        <v>40000</v>
      </c>
      <c r="G2467" s="396">
        <v>0</v>
      </c>
      <c r="H2467" s="347" t="s">
        <v>1487</v>
      </c>
      <c r="I2467" s="347" t="s">
        <v>1303</v>
      </c>
      <c r="K2467" s="370"/>
      <c r="N2467" s="370"/>
    </row>
    <row r="2468" spans="1:14" s="347" customFormat="1" x14ac:dyDescent="0.25">
      <c r="A2468" s="369">
        <f>+A2467</f>
        <v>44329</v>
      </c>
      <c r="B2468" s="347">
        <f>+B2467</f>
        <v>5</v>
      </c>
      <c r="C2468" s="347">
        <v>3450</v>
      </c>
      <c r="D2468" s="340" t="str">
        <f>VLOOKUP(C2468,Plan!A$1:B$65542,2,0)</f>
        <v>Pastoral Social</v>
      </c>
      <c r="E2468" s="396">
        <f>-G2468</f>
        <v>-40000</v>
      </c>
      <c r="F2468" s="396">
        <v>0</v>
      </c>
      <c r="G2468" s="396">
        <f>+F2467</f>
        <v>40000</v>
      </c>
      <c r="H2468" s="347" t="str">
        <f>+H2467</f>
        <v>Canastas Marcela Nuñez</v>
      </c>
      <c r="I2468" s="347" t="s">
        <v>1303</v>
      </c>
      <c r="K2468" s="370"/>
      <c r="N2468" s="370"/>
    </row>
    <row r="2469" spans="1:14" s="347" customFormat="1" x14ac:dyDescent="0.25">
      <c r="A2469" s="369"/>
      <c r="E2469" s="396"/>
      <c r="F2469" s="396"/>
      <c r="G2469" s="396"/>
      <c r="K2469" s="370"/>
      <c r="N2469" s="370"/>
    </row>
    <row r="2470" spans="1:14" s="347" customFormat="1" x14ac:dyDescent="0.25">
      <c r="A2470" s="369">
        <v>44329</v>
      </c>
      <c r="B2470" s="340">
        <f>+MONTH(A2470)</f>
        <v>5</v>
      </c>
      <c r="C2470" s="347">
        <v>110</v>
      </c>
      <c r="D2470" s="340" t="str">
        <f>VLOOKUP(C2470,Plan!A$1:B$65542,2,0)</f>
        <v>Disponible Administración</v>
      </c>
      <c r="E2470" s="341">
        <f>+F2470-G2470</f>
        <v>59286</v>
      </c>
      <c r="F2470" s="396">
        <v>59286</v>
      </c>
      <c r="G2470" s="396">
        <v>0</v>
      </c>
      <c r="H2470" s="347" t="s">
        <v>1488</v>
      </c>
      <c r="I2470" s="347" t="s">
        <v>1303</v>
      </c>
      <c r="K2470" s="370"/>
      <c r="N2470" s="370"/>
    </row>
    <row r="2471" spans="1:14" s="347" customFormat="1" x14ac:dyDescent="0.25">
      <c r="A2471" s="369">
        <f>+A2470</f>
        <v>44329</v>
      </c>
      <c r="B2471" s="347">
        <f>+B2470</f>
        <v>5</v>
      </c>
      <c r="C2471" s="347">
        <v>3450</v>
      </c>
      <c r="D2471" s="340" t="str">
        <f>VLOOKUP(C2471,Plan!A$1:B$65542,2,0)</f>
        <v>Pastoral Social</v>
      </c>
      <c r="E2471" s="396">
        <f>-G2471</f>
        <v>-59286</v>
      </c>
      <c r="F2471" s="396">
        <v>0</v>
      </c>
      <c r="G2471" s="396">
        <f>+F2470</f>
        <v>59286</v>
      </c>
      <c r="H2471" s="347" t="str">
        <f>+H2470</f>
        <v>Canastas DCT ( I. Ureta)</v>
      </c>
      <c r="I2471" s="347" t="s">
        <v>1303</v>
      </c>
      <c r="K2471" s="370"/>
      <c r="N2471" s="370"/>
    </row>
    <row r="2472" spans="1:14" s="347" customFormat="1" x14ac:dyDescent="0.25">
      <c r="A2472" s="369"/>
      <c r="E2472" s="396"/>
      <c r="F2472" s="396"/>
      <c r="G2472" s="396"/>
      <c r="K2472" s="370"/>
      <c r="N2472" s="370"/>
    </row>
    <row r="2473" spans="1:14" s="347" customFormat="1" x14ac:dyDescent="0.25">
      <c r="A2473" s="369">
        <v>44329</v>
      </c>
      <c r="B2473" s="340">
        <f>+MONTH(A2473)</f>
        <v>5</v>
      </c>
      <c r="C2473" s="347">
        <v>110</v>
      </c>
      <c r="D2473" s="340" t="str">
        <f>VLOOKUP(C2473,Plan!A$1:B$65542,2,0)</f>
        <v>Disponible Administración</v>
      </c>
      <c r="E2473" s="341">
        <f>+F2473-G2473</f>
        <v>5000</v>
      </c>
      <c r="F2473" s="396">
        <v>5000</v>
      </c>
      <c r="G2473" s="396">
        <v>0</v>
      </c>
      <c r="H2473" s="347" t="s">
        <v>1489</v>
      </c>
      <c r="I2473" s="347" t="s">
        <v>1303</v>
      </c>
      <c r="K2473" s="370"/>
      <c r="N2473" s="370"/>
    </row>
    <row r="2474" spans="1:14" s="347" customFormat="1" x14ac:dyDescent="0.25">
      <c r="A2474" s="369">
        <f>+A2473</f>
        <v>44329</v>
      </c>
      <c r="B2474" s="347">
        <f>+B2473</f>
        <v>5</v>
      </c>
      <c r="C2474" s="347">
        <v>3110</v>
      </c>
      <c r="D2474" s="340" t="str">
        <f>VLOOKUP(C2474,Plan!A$1:B$65542,2,0)</f>
        <v>Colectas Normales</v>
      </c>
      <c r="E2474" s="396">
        <f>-G2474</f>
        <v>-5000</v>
      </c>
      <c r="F2474" s="396">
        <v>0</v>
      </c>
      <c r="G2474" s="396">
        <f>+F2473</f>
        <v>5000</v>
      </c>
      <c r="H2474" s="347" t="str">
        <f>+H2473</f>
        <v>Colecta Ximena Suspichatti</v>
      </c>
      <c r="I2474" s="347" t="s">
        <v>1303</v>
      </c>
      <c r="K2474" s="370"/>
      <c r="N2474" s="370"/>
    </row>
    <row r="2475" spans="1:14" s="347" customFormat="1" x14ac:dyDescent="0.25">
      <c r="A2475" s="369"/>
      <c r="E2475" s="396"/>
      <c r="F2475" s="396"/>
      <c r="G2475" s="396"/>
      <c r="K2475" s="370"/>
      <c r="N2475" s="370"/>
    </row>
    <row r="2476" spans="1:14" s="347" customFormat="1" x14ac:dyDescent="0.25">
      <c r="A2476" s="369">
        <v>44329</v>
      </c>
      <c r="B2476" s="340">
        <f>+MONTH(A2476)</f>
        <v>5</v>
      </c>
      <c r="C2476" s="347">
        <v>110</v>
      </c>
      <c r="D2476" s="340" t="str">
        <f>VLOOKUP(C2476,Plan!A$1:B$65542,2,0)</f>
        <v>Disponible Administración</v>
      </c>
      <c r="E2476" s="341">
        <f>+F2476-G2476</f>
        <v>78000</v>
      </c>
      <c r="F2476" s="396">
        <v>78000</v>
      </c>
      <c r="G2476" s="396">
        <v>0</v>
      </c>
      <c r="H2476" s="347" t="s">
        <v>1410</v>
      </c>
      <c r="I2476" s="347" t="s">
        <v>1303</v>
      </c>
      <c r="K2476" s="370"/>
      <c r="N2476" s="370"/>
    </row>
    <row r="2477" spans="1:14" s="347" customFormat="1" x14ac:dyDescent="0.25">
      <c r="A2477" s="369">
        <f>+A2476</f>
        <v>44329</v>
      </c>
      <c r="B2477" s="347">
        <f>+B2476</f>
        <v>5</v>
      </c>
      <c r="C2477" s="347">
        <v>3110</v>
      </c>
      <c r="D2477" s="340" t="str">
        <f>VLOOKUP(C2477,Plan!A$1:B$65542,2,0)</f>
        <v>Colectas Normales</v>
      </c>
      <c r="E2477" s="396">
        <f>-G2477</f>
        <v>-78000</v>
      </c>
      <c r="F2477" s="396">
        <v>0</v>
      </c>
      <c r="G2477" s="396">
        <f>+F2476</f>
        <v>78000</v>
      </c>
      <c r="H2477" s="347" t="str">
        <f>+H2476</f>
        <v>Colecta Col. Cordillera</v>
      </c>
      <c r="I2477" s="347" t="s">
        <v>1303</v>
      </c>
      <c r="K2477" s="370"/>
      <c r="N2477" s="370"/>
    </row>
    <row r="2478" spans="1:14" s="347" customFormat="1" x14ac:dyDescent="0.25">
      <c r="A2478" s="369"/>
      <c r="E2478" s="396"/>
      <c r="F2478" s="396"/>
      <c r="G2478" s="396"/>
      <c r="K2478" s="370"/>
      <c r="N2478" s="370"/>
    </row>
    <row r="2479" spans="1:14" s="347" customFormat="1" x14ac:dyDescent="0.25">
      <c r="A2479" s="369">
        <v>44329</v>
      </c>
      <c r="B2479" s="340">
        <f>+MONTH(A2479)</f>
        <v>5</v>
      </c>
      <c r="C2479" s="347">
        <v>110</v>
      </c>
      <c r="D2479" s="340" t="str">
        <f>VLOOKUP(C2479,Plan!A$1:B$65542,2,0)</f>
        <v>Disponible Administración</v>
      </c>
      <c r="E2479" s="341">
        <f>+F2479-G2479</f>
        <v>100000</v>
      </c>
      <c r="F2479" s="396">
        <v>100000</v>
      </c>
      <c r="G2479" s="396">
        <v>0</v>
      </c>
      <c r="H2479" s="347" t="s">
        <v>1490</v>
      </c>
      <c r="I2479" s="347" t="s">
        <v>1303</v>
      </c>
      <c r="K2479" s="370"/>
      <c r="N2479" s="370"/>
    </row>
    <row r="2480" spans="1:14" s="347" customFormat="1" x14ac:dyDescent="0.25">
      <c r="A2480" s="369">
        <f>+A2479</f>
        <v>44329</v>
      </c>
      <c r="B2480" s="347">
        <f>+B2479</f>
        <v>5</v>
      </c>
      <c r="C2480" s="347">
        <v>3450</v>
      </c>
      <c r="D2480" s="340" t="str">
        <f>VLOOKUP(C2480,Plan!A$1:B$65542,2,0)</f>
        <v>Pastoral Social</v>
      </c>
      <c r="E2480" s="396">
        <f>-G2480</f>
        <v>-100000</v>
      </c>
      <c r="F2480" s="396">
        <v>0</v>
      </c>
      <c r="G2480" s="396">
        <f>+F2479</f>
        <v>100000</v>
      </c>
      <c r="H2480" s="347" t="str">
        <f>+H2479</f>
        <v>Canastas N.N.</v>
      </c>
      <c r="I2480" s="347" t="s">
        <v>1303</v>
      </c>
      <c r="K2480" s="370"/>
      <c r="N2480" s="370"/>
    </row>
    <row r="2481" spans="1:14" s="347" customFormat="1" x14ac:dyDescent="0.25">
      <c r="A2481" s="369"/>
      <c r="E2481" s="396"/>
      <c r="F2481" s="396"/>
      <c r="G2481" s="396"/>
      <c r="K2481" s="370"/>
      <c r="N2481" s="370"/>
    </row>
    <row r="2482" spans="1:14" s="347" customFormat="1" x14ac:dyDescent="0.25">
      <c r="A2482" s="369">
        <v>44329</v>
      </c>
      <c r="B2482" s="340">
        <f>+MONTH(A2482)</f>
        <v>5</v>
      </c>
      <c r="C2482" s="347">
        <v>110</v>
      </c>
      <c r="D2482" s="340" t="str">
        <f>VLOOKUP(C2482,Plan!A$1:B$65542,2,0)</f>
        <v>Disponible Administración</v>
      </c>
      <c r="E2482" s="341">
        <f>+F2482-G2482</f>
        <v>10000</v>
      </c>
      <c r="F2482" s="396">
        <v>10000</v>
      </c>
      <c r="G2482" s="396">
        <v>0</v>
      </c>
      <c r="H2482" s="347" t="s">
        <v>1491</v>
      </c>
      <c r="I2482" s="347" t="s">
        <v>1303</v>
      </c>
      <c r="K2482" s="370"/>
      <c r="N2482" s="370"/>
    </row>
    <row r="2483" spans="1:14" s="347" customFormat="1" x14ac:dyDescent="0.25">
      <c r="A2483" s="369">
        <f>+A2482</f>
        <v>44329</v>
      </c>
      <c r="B2483" s="347">
        <f>+B2482</f>
        <v>5</v>
      </c>
      <c r="C2483" s="347">
        <v>3350</v>
      </c>
      <c r="D2483" s="340" t="str">
        <f>VLOOKUP(C2483,Plan!A$1:B$65542,2,0)</f>
        <v>Bautizos</v>
      </c>
      <c r="E2483" s="396">
        <f>-G2483</f>
        <v>-10000</v>
      </c>
      <c r="F2483" s="396">
        <v>0</v>
      </c>
      <c r="G2483" s="396">
        <f>+F2482</f>
        <v>10000</v>
      </c>
      <c r="H2483" s="347" t="str">
        <f>+H2482</f>
        <v>Bautizo Maria Jose Gualda</v>
      </c>
      <c r="I2483" s="347" t="s">
        <v>1303</v>
      </c>
      <c r="K2483" s="370"/>
      <c r="N2483" s="370"/>
    </row>
    <row r="2484" spans="1:14" s="347" customFormat="1" x14ac:dyDescent="0.25">
      <c r="A2484" s="369"/>
      <c r="E2484" s="396"/>
      <c r="F2484" s="396"/>
      <c r="G2484" s="396"/>
      <c r="K2484" s="370"/>
      <c r="N2484" s="370"/>
    </row>
    <row r="2485" spans="1:14" s="347" customFormat="1" x14ac:dyDescent="0.25">
      <c r="A2485" s="369">
        <v>44330</v>
      </c>
      <c r="B2485" s="340">
        <f>+MONTH(A2485)</f>
        <v>5</v>
      </c>
      <c r="C2485" s="347">
        <v>4223</v>
      </c>
      <c r="D2485" s="340" t="str">
        <f>VLOOKUP(C2485,Plan!A$1:B$65542,2,0)</f>
        <v xml:space="preserve">         Comunicaciones</v>
      </c>
      <c r="E2485" s="341">
        <f>+F2485-G2485</f>
        <v>338983</v>
      </c>
      <c r="F2485" s="396">
        <v>338983</v>
      </c>
      <c r="G2485" s="396">
        <v>0</v>
      </c>
      <c r="H2485" s="347" t="s">
        <v>1492</v>
      </c>
      <c r="I2485" s="347" t="s">
        <v>1303</v>
      </c>
      <c r="K2485" s="370"/>
      <c r="N2485" s="370"/>
    </row>
    <row r="2486" spans="1:14" s="347" customFormat="1" x14ac:dyDescent="0.25">
      <c r="A2486" s="369">
        <v>44330</v>
      </c>
      <c r="B2486" s="340">
        <f>+MONTH(A2486)</f>
        <v>5</v>
      </c>
      <c r="C2486" s="347">
        <v>223</v>
      </c>
      <c r="D2486" s="340" t="str">
        <f>VLOOKUP(C2486,Plan!A$1:B$65542,2,0)</f>
        <v>Ret. Hon.  e Impto. Unico Administración</v>
      </c>
      <c r="E2486" s="341">
        <f>+F2486-G2486</f>
        <v>-38983</v>
      </c>
      <c r="F2486" s="396">
        <v>0</v>
      </c>
      <c r="G2486" s="396">
        <v>38983</v>
      </c>
      <c r="H2486" s="347" t="s">
        <v>1492</v>
      </c>
      <c r="I2486" s="347" t="s">
        <v>1303</v>
      </c>
      <c r="K2486" s="370"/>
      <c r="N2486" s="370"/>
    </row>
    <row r="2487" spans="1:14" s="347" customFormat="1" x14ac:dyDescent="0.25">
      <c r="A2487" s="369">
        <f>+A2485</f>
        <v>44330</v>
      </c>
      <c r="B2487" s="347">
        <f>+B2485</f>
        <v>5</v>
      </c>
      <c r="C2487" s="347">
        <v>110</v>
      </c>
      <c r="D2487" s="340" t="str">
        <f>VLOOKUP(C2487,Plan!A$1:B$65542,2,0)</f>
        <v>Disponible Administración</v>
      </c>
      <c r="E2487" s="396">
        <f>-G2487</f>
        <v>-300000</v>
      </c>
      <c r="F2487" s="396">
        <v>0</v>
      </c>
      <c r="G2487" s="396">
        <v>300000</v>
      </c>
      <c r="H2487" s="347" t="str">
        <f>+H2485</f>
        <v>BE-27 MARIA INES JARA LAMA HON ABRIL/21</v>
      </c>
      <c r="I2487" s="347" t="s">
        <v>1303</v>
      </c>
      <c r="K2487" s="370"/>
      <c r="N2487" s="370"/>
    </row>
    <row r="2488" spans="1:14" s="347" customFormat="1" x14ac:dyDescent="0.25">
      <c r="A2488" s="369"/>
      <c r="E2488" s="396"/>
      <c r="F2488" s="396"/>
      <c r="G2488" s="396"/>
      <c r="K2488" s="370"/>
      <c r="N2488" s="370"/>
    </row>
    <row r="2489" spans="1:14" s="347" customFormat="1" x14ac:dyDescent="0.25">
      <c r="A2489" s="369">
        <v>44330</v>
      </c>
      <c r="B2489" s="340">
        <f>+MONTH(A2489)</f>
        <v>5</v>
      </c>
      <c r="C2489" s="347">
        <v>4650</v>
      </c>
      <c r="D2489" s="340" t="str">
        <f>VLOOKUP(C2489,Plan!A$1:B$65542,2,0)</f>
        <v>Pastoral Social</v>
      </c>
      <c r="E2489" s="341">
        <f>+F2489-G2489</f>
        <v>70000</v>
      </c>
      <c r="F2489" s="396">
        <v>70000</v>
      </c>
      <c r="G2489" s="396">
        <v>0</v>
      </c>
      <c r="H2489" s="347" t="s">
        <v>1493</v>
      </c>
      <c r="I2489" s="347" t="s">
        <v>1303</v>
      </c>
      <c r="K2489" s="370"/>
      <c r="N2489" s="370"/>
    </row>
    <row r="2490" spans="1:14" s="347" customFormat="1" x14ac:dyDescent="0.25">
      <c r="A2490" s="369">
        <f>+A2489</f>
        <v>44330</v>
      </c>
      <c r="B2490" s="347">
        <f>+B2489</f>
        <v>5</v>
      </c>
      <c r="C2490" s="347">
        <v>110</v>
      </c>
      <c r="D2490" s="340" t="str">
        <f>VLOOKUP(C2490,Plan!A$1:B$65542,2,0)</f>
        <v>Disponible Administración</v>
      </c>
      <c r="E2490" s="396">
        <f>-G2490</f>
        <v>-70000</v>
      </c>
      <c r="F2490" s="396">
        <v>0</v>
      </c>
      <c r="G2490" s="396">
        <f>+F2489</f>
        <v>70000</v>
      </c>
      <c r="H2490" s="347" t="str">
        <f>+H2489</f>
        <v>F-392392 SERVICEFOOD</v>
      </c>
      <c r="I2490" s="347" t="s">
        <v>1303</v>
      </c>
      <c r="K2490" s="370"/>
      <c r="N2490" s="370"/>
    </row>
    <row r="2491" spans="1:14" s="347" customFormat="1" x14ac:dyDescent="0.25">
      <c r="A2491" s="369"/>
      <c r="E2491" s="396"/>
      <c r="F2491" s="396"/>
      <c r="G2491" s="396"/>
      <c r="K2491" s="370"/>
      <c r="N2491" s="370"/>
    </row>
    <row r="2492" spans="1:14" s="347" customFormat="1" x14ac:dyDescent="0.25">
      <c r="A2492" s="369">
        <v>44330</v>
      </c>
      <c r="B2492" s="340">
        <f>+MONTH(A2492)</f>
        <v>5</v>
      </c>
      <c r="C2492" s="347">
        <v>4430</v>
      </c>
      <c r="D2492" s="340" t="str">
        <f>VLOOKUP(C2492,Plan!A$1:B$65542,2,0)</f>
        <v>Varios</v>
      </c>
      <c r="E2492" s="341">
        <f>+F2492-G2492</f>
        <v>54999</v>
      </c>
      <c r="F2492" s="396">
        <v>54999</v>
      </c>
      <c r="G2492" s="396">
        <v>0</v>
      </c>
      <c r="H2492" s="347" t="s">
        <v>1494</v>
      </c>
      <c r="I2492" s="347" t="s">
        <v>1303</v>
      </c>
      <c r="K2492" s="370"/>
      <c r="N2492" s="370"/>
    </row>
    <row r="2493" spans="1:14" s="347" customFormat="1" x14ac:dyDescent="0.25">
      <c r="A2493" s="369">
        <f>+A2492</f>
        <v>44330</v>
      </c>
      <c r="B2493" s="347">
        <f>+B2492</f>
        <v>5</v>
      </c>
      <c r="C2493" s="347">
        <v>110</v>
      </c>
      <c r="D2493" s="340" t="str">
        <f>VLOOKUP(C2493,Plan!A$1:B$65542,2,0)</f>
        <v>Disponible Administración</v>
      </c>
      <c r="E2493" s="396">
        <f>-G2493</f>
        <v>-54999</v>
      </c>
      <c r="F2493" s="396">
        <v>0</v>
      </c>
      <c r="G2493" s="396">
        <f>+F2492</f>
        <v>54999</v>
      </c>
      <c r="H2493" s="347" t="str">
        <f>+H2492</f>
        <v>F-2514 REPARACION PC VERONICA</v>
      </c>
      <c r="I2493" s="347" t="s">
        <v>1303</v>
      </c>
      <c r="K2493" s="370"/>
      <c r="N2493" s="370"/>
    </row>
    <row r="2494" spans="1:14" s="347" customFormat="1" x14ac:dyDescent="0.25">
      <c r="A2494" s="369"/>
      <c r="E2494" s="396"/>
      <c r="F2494" s="396"/>
      <c r="G2494" s="396"/>
      <c r="K2494" s="370"/>
      <c r="N2494" s="370"/>
    </row>
    <row r="2495" spans="1:14" s="347" customFormat="1" x14ac:dyDescent="0.25">
      <c r="A2495" s="369">
        <v>44330</v>
      </c>
      <c r="B2495" s="340">
        <f>+MONTH(A2495)</f>
        <v>5</v>
      </c>
      <c r="C2495" s="347">
        <v>4420</v>
      </c>
      <c r="D2495" s="340" t="str">
        <f>VLOOKUP(C2495,Plan!A$1:B$65542,2,0)</f>
        <v>Aseo y Limpieza</v>
      </c>
      <c r="E2495" s="341">
        <f>+F2495-G2495</f>
        <v>20000</v>
      </c>
      <c r="F2495" s="396">
        <v>20000</v>
      </c>
      <c r="G2495" s="396">
        <v>0</v>
      </c>
      <c r="H2495" s="347" t="s">
        <v>1495</v>
      </c>
      <c r="I2495" s="347" t="s">
        <v>1303</v>
      </c>
      <c r="K2495" s="370"/>
      <c r="N2495" s="370"/>
    </row>
    <row r="2496" spans="1:14" s="347" customFormat="1" x14ac:dyDescent="0.25">
      <c r="A2496" s="369">
        <f>+A2495</f>
        <v>44330</v>
      </c>
      <c r="B2496" s="347">
        <f>+B2495</f>
        <v>5</v>
      </c>
      <c r="C2496" s="347">
        <v>110</v>
      </c>
      <c r="D2496" s="340" t="str">
        <f>VLOOKUP(C2496,Plan!A$1:B$65542,2,0)</f>
        <v>Disponible Administración</v>
      </c>
      <c r="E2496" s="396">
        <f>-G2496</f>
        <v>-20000</v>
      </c>
      <c r="F2496" s="396">
        <v>0</v>
      </c>
      <c r="G2496" s="396">
        <f>+F2495</f>
        <v>20000</v>
      </c>
      <c r="H2496" s="347" t="str">
        <f>+H2495</f>
        <v>GASTO SANITIZACION BAUTIZO</v>
      </c>
      <c r="I2496" s="347" t="s">
        <v>1303</v>
      </c>
      <c r="K2496" s="370"/>
      <c r="N2496" s="370"/>
    </row>
    <row r="2497" spans="1:14" s="347" customFormat="1" x14ac:dyDescent="0.25">
      <c r="A2497" s="369"/>
      <c r="E2497" s="396"/>
      <c r="F2497" s="396"/>
      <c r="G2497" s="396"/>
      <c r="K2497" s="370"/>
      <c r="N2497" s="370"/>
    </row>
    <row r="2498" spans="1:14" s="347" customFormat="1" x14ac:dyDescent="0.25">
      <c r="A2498" s="369">
        <v>44330</v>
      </c>
      <c r="B2498" s="340">
        <f>+MONTH(A2498)</f>
        <v>5</v>
      </c>
      <c r="C2498" s="347">
        <v>4325</v>
      </c>
      <c r="D2498" s="340" t="str">
        <f>VLOOKUP(C2498,Plan!A$1:B$65542,2,0)</f>
        <v>Alarma (ADT)</v>
      </c>
      <c r="E2498" s="341">
        <f>+F2498-G2498</f>
        <v>43067</v>
      </c>
      <c r="F2498" s="396">
        <v>43067</v>
      </c>
      <c r="G2498" s="396">
        <v>0</v>
      </c>
      <c r="H2498" s="347" t="s">
        <v>750</v>
      </c>
      <c r="I2498" s="347" t="s">
        <v>1303</v>
      </c>
      <c r="K2498" s="370"/>
      <c r="N2498" s="370"/>
    </row>
    <row r="2499" spans="1:14" s="347" customFormat="1" x14ac:dyDescent="0.25">
      <c r="A2499" s="369">
        <f>+A2498</f>
        <v>44330</v>
      </c>
      <c r="B2499" s="347">
        <f>+B2498</f>
        <v>5</v>
      </c>
      <c r="C2499" s="347">
        <v>110</v>
      </c>
      <c r="D2499" s="340" t="str">
        <f>VLOOKUP(C2499,Plan!A$1:B$65542,2,0)</f>
        <v>Disponible Administración</v>
      </c>
      <c r="E2499" s="396">
        <f>-G2499</f>
        <v>-43067</v>
      </c>
      <c r="F2499" s="396">
        <v>0</v>
      </c>
      <c r="G2499" s="396">
        <f>+F2498</f>
        <v>43067</v>
      </c>
      <c r="H2499" s="347" t="str">
        <f>+H2498</f>
        <v>PAC ADT</v>
      </c>
      <c r="I2499" s="347" t="s">
        <v>1303</v>
      </c>
      <c r="K2499" s="370"/>
      <c r="N2499" s="370"/>
    </row>
    <row r="2500" spans="1:14" s="347" customFormat="1" x14ac:dyDescent="0.25">
      <c r="A2500" s="369"/>
      <c r="E2500" s="396"/>
      <c r="F2500" s="396"/>
      <c r="G2500" s="396"/>
      <c r="K2500" s="370"/>
      <c r="N2500" s="370"/>
    </row>
    <row r="2501" spans="1:14" s="347" customFormat="1" x14ac:dyDescent="0.25">
      <c r="A2501" s="369">
        <v>44333</v>
      </c>
      <c r="B2501" s="340">
        <f>+MONTH(A2501)</f>
        <v>5</v>
      </c>
      <c r="C2501" s="347">
        <v>4323</v>
      </c>
      <c r="D2501" s="340" t="str">
        <f>VLOOKUP(C2501,Plan!A$1:B$65542,2,0)</f>
        <v>Telefonía, Internet (VTR, Entel)</v>
      </c>
      <c r="E2501" s="341">
        <f>+F2501-G2501</f>
        <v>20990</v>
      </c>
      <c r="F2501" s="396">
        <v>20990</v>
      </c>
      <c r="G2501" s="396">
        <v>0</v>
      </c>
      <c r="H2501" s="347" t="s">
        <v>1359</v>
      </c>
      <c r="I2501" s="347" t="s">
        <v>1303</v>
      </c>
      <c r="K2501" s="370"/>
      <c r="N2501" s="370"/>
    </row>
    <row r="2502" spans="1:14" s="347" customFormat="1" x14ac:dyDescent="0.25">
      <c r="A2502" s="369">
        <f>+A2501</f>
        <v>44333</v>
      </c>
      <c r="B2502" s="347">
        <f>+B2501</f>
        <v>5</v>
      </c>
      <c r="C2502" s="347">
        <v>110</v>
      </c>
      <c r="D2502" s="340" t="str">
        <f>VLOOKUP(C2502,Plan!A$1:B$65542,2,0)</f>
        <v>Disponible Administración</v>
      </c>
      <c r="E2502" s="396">
        <f>-G2502</f>
        <v>-20990</v>
      </c>
      <c r="F2502" s="396">
        <v>0</v>
      </c>
      <c r="G2502" s="396">
        <f>+F2501</f>
        <v>20990</v>
      </c>
      <c r="H2502" s="347" t="str">
        <f>+H2501</f>
        <v>PAC ENTEL OFICINA</v>
      </c>
      <c r="I2502" s="347" t="s">
        <v>1303</v>
      </c>
      <c r="K2502" s="370"/>
      <c r="N2502" s="370"/>
    </row>
    <row r="2503" spans="1:14" s="347" customFormat="1" x14ac:dyDescent="0.25">
      <c r="A2503" s="369"/>
      <c r="E2503" s="396"/>
      <c r="F2503" s="396"/>
      <c r="G2503" s="396"/>
      <c r="K2503" s="370"/>
      <c r="N2503" s="370"/>
    </row>
    <row r="2504" spans="1:14" s="347" customFormat="1" x14ac:dyDescent="0.25">
      <c r="A2504" s="369">
        <v>44333</v>
      </c>
      <c r="B2504" s="340">
        <f>+MONTH(A2504)</f>
        <v>5</v>
      </c>
      <c r="C2504" s="347">
        <v>110</v>
      </c>
      <c r="D2504" s="340" t="str">
        <f>VLOOKUP(C2504,Plan!A$1:B$65542,2,0)</f>
        <v>Disponible Administración</v>
      </c>
      <c r="E2504" s="341">
        <f>+F2504-G2504</f>
        <v>20000</v>
      </c>
      <c r="F2504" s="396">
        <v>20000</v>
      </c>
      <c r="G2504" s="396">
        <v>0</v>
      </c>
      <c r="H2504" s="347" t="s">
        <v>1496</v>
      </c>
      <c r="I2504" s="347" t="s">
        <v>1303</v>
      </c>
      <c r="K2504" s="370"/>
      <c r="N2504" s="370"/>
    </row>
    <row r="2505" spans="1:14" s="347" customFormat="1" x14ac:dyDescent="0.25">
      <c r="A2505" s="369">
        <f>+A2504</f>
        <v>44333</v>
      </c>
      <c r="B2505" s="347">
        <f>+B2504</f>
        <v>5</v>
      </c>
      <c r="C2505" s="347">
        <v>3450</v>
      </c>
      <c r="D2505" s="340" t="str">
        <f>VLOOKUP(C2505,Plan!A$1:B$65542,2,0)</f>
        <v>Pastoral Social</v>
      </c>
      <c r="E2505" s="396">
        <f>-G2505</f>
        <v>-20000</v>
      </c>
      <c r="F2505" s="396">
        <v>0</v>
      </c>
      <c r="G2505" s="396">
        <f>+F2504</f>
        <v>20000</v>
      </c>
      <c r="H2505" s="347" t="str">
        <f>+H2504</f>
        <v>CANASTAS ISABEL TEJEDA VIDELA</v>
      </c>
      <c r="I2505" s="347" t="s">
        <v>1303</v>
      </c>
      <c r="K2505" s="370"/>
      <c r="N2505" s="370"/>
    </row>
    <row r="2506" spans="1:14" s="347" customFormat="1" x14ac:dyDescent="0.25">
      <c r="A2506" s="369"/>
      <c r="E2506" s="396"/>
      <c r="F2506" s="396"/>
      <c r="G2506" s="396"/>
      <c r="K2506" s="370"/>
      <c r="N2506" s="370"/>
    </row>
    <row r="2507" spans="1:14" s="347" customFormat="1" x14ac:dyDescent="0.25">
      <c r="A2507" s="369">
        <v>44333</v>
      </c>
      <c r="B2507" s="340">
        <f>+MONTH(A2507)</f>
        <v>5</v>
      </c>
      <c r="C2507" s="347">
        <v>110</v>
      </c>
      <c r="D2507" s="340" t="str">
        <f>VLOOKUP(C2507,Plan!A$1:B$65542,2,0)</f>
        <v>Disponible Administración</v>
      </c>
      <c r="E2507" s="341">
        <f>+F2507-G2507</f>
        <v>50000</v>
      </c>
      <c r="F2507" s="396">
        <v>50000</v>
      </c>
      <c r="G2507" s="396">
        <v>0</v>
      </c>
      <c r="H2507" s="347" t="s">
        <v>1438</v>
      </c>
      <c r="I2507" s="347" t="s">
        <v>1303</v>
      </c>
      <c r="K2507" s="370"/>
      <c r="N2507" s="370"/>
    </row>
    <row r="2508" spans="1:14" s="347" customFormat="1" x14ac:dyDescent="0.25">
      <c r="A2508" s="369">
        <f>+A2507</f>
        <v>44333</v>
      </c>
      <c r="B2508" s="347">
        <f>+B2507</f>
        <v>5</v>
      </c>
      <c r="C2508" s="347">
        <v>3110</v>
      </c>
      <c r="D2508" s="340" t="str">
        <f>VLOOKUP(C2508,Plan!A$1:B$65542,2,0)</f>
        <v>Colectas Normales</v>
      </c>
      <c r="E2508" s="396">
        <f>-G2508</f>
        <v>-50000</v>
      </c>
      <c r="F2508" s="396">
        <v>0</v>
      </c>
      <c r="G2508" s="396">
        <f>+F2507</f>
        <v>50000</v>
      </c>
      <c r="H2508" s="347" t="str">
        <f>+H2507</f>
        <v>Colecta Felipe Varela Venegas</v>
      </c>
      <c r="I2508" s="347" t="s">
        <v>1303</v>
      </c>
      <c r="K2508" s="370"/>
      <c r="N2508" s="370"/>
    </row>
    <row r="2509" spans="1:14" s="347" customFormat="1" x14ac:dyDescent="0.25">
      <c r="A2509" s="369"/>
      <c r="E2509" s="396"/>
      <c r="F2509" s="396"/>
      <c r="G2509" s="396"/>
      <c r="K2509" s="370"/>
      <c r="N2509" s="370"/>
    </row>
    <row r="2510" spans="1:14" s="347" customFormat="1" x14ac:dyDescent="0.25">
      <c r="A2510" s="369">
        <v>44333</v>
      </c>
      <c r="B2510" s="340">
        <f>+MONTH(A2510)</f>
        <v>5</v>
      </c>
      <c r="C2510" s="347">
        <v>110</v>
      </c>
      <c r="D2510" s="340" t="str">
        <f>VLOOKUP(C2510,Plan!A$1:B$65542,2,0)</f>
        <v>Disponible Administración</v>
      </c>
      <c r="E2510" s="341">
        <f>+F2510-G2510</f>
        <v>10000</v>
      </c>
      <c r="F2510" s="396">
        <v>10000</v>
      </c>
      <c r="G2510" s="396">
        <v>0</v>
      </c>
      <c r="H2510" s="347" t="s">
        <v>881</v>
      </c>
      <c r="I2510" s="347" t="s">
        <v>1303</v>
      </c>
      <c r="K2510" s="370"/>
      <c r="N2510" s="370"/>
    </row>
    <row r="2511" spans="1:14" s="347" customFormat="1" x14ac:dyDescent="0.25">
      <c r="A2511" s="369">
        <f>+A2510</f>
        <v>44333</v>
      </c>
      <c r="B2511" s="347">
        <f>+B2510</f>
        <v>5</v>
      </c>
      <c r="C2511" s="347">
        <v>3110</v>
      </c>
      <c r="D2511" s="340" t="str">
        <f>VLOOKUP(C2511,Plan!A$1:B$65542,2,0)</f>
        <v>Colectas Normales</v>
      </c>
      <c r="E2511" s="396">
        <f>-G2511</f>
        <v>-10000</v>
      </c>
      <c r="F2511" s="396">
        <v>0</v>
      </c>
      <c r="G2511" s="396">
        <f>+F2510</f>
        <v>10000</v>
      </c>
      <c r="H2511" s="347" t="str">
        <f>+H2510</f>
        <v>Colecta Rafael Marin Jordan</v>
      </c>
      <c r="I2511" s="347" t="s">
        <v>1303</v>
      </c>
      <c r="K2511" s="370"/>
      <c r="N2511" s="370"/>
    </row>
    <row r="2512" spans="1:14" s="347" customFormat="1" x14ac:dyDescent="0.25">
      <c r="A2512" s="369"/>
      <c r="E2512" s="396"/>
      <c r="F2512" s="396"/>
      <c r="G2512" s="396"/>
      <c r="K2512" s="370"/>
      <c r="N2512" s="370"/>
    </row>
    <row r="2513" spans="1:14" s="347" customFormat="1" x14ac:dyDescent="0.25">
      <c r="A2513" s="369">
        <v>44333</v>
      </c>
      <c r="B2513" s="340">
        <f>+MONTH(A2513)</f>
        <v>5</v>
      </c>
      <c r="C2513" s="347">
        <v>110</v>
      </c>
      <c r="D2513" s="340" t="str">
        <f>VLOOKUP(C2513,Plan!A$1:B$65542,2,0)</f>
        <v>Disponible Administración</v>
      </c>
      <c r="E2513" s="341">
        <f>+F2513-G2513</f>
        <v>25000</v>
      </c>
      <c r="F2513" s="396">
        <v>25000</v>
      </c>
      <c r="G2513" s="396">
        <v>0</v>
      </c>
      <c r="H2513" s="347" t="s">
        <v>1137</v>
      </c>
      <c r="I2513" s="347" t="s">
        <v>1303</v>
      </c>
      <c r="K2513" s="370"/>
      <c r="N2513" s="370"/>
    </row>
    <row r="2514" spans="1:14" s="347" customFormat="1" x14ac:dyDescent="0.25">
      <c r="A2514" s="369">
        <f>+A2513</f>
        <v>44333</v>
      </c>
      <c r="B2514" s="347">
        <f>+B2513</f>
        <v>5</v>
      </c>
      <c r="C2514" s="347">
        <v>3110</v>
      </c>
      <c r="D2514" s="340" t="str">
        <f>VLOOKUP(C2514,Plan!A$1:B$65542,2,0)</f>
        <v>Colectas Normales</v>
      </c>
      <c r="E2514" s="396">
        <f>-G2514</f>
        <v>-25000</v>
      </c>
      <c r="F2514" s="396">
        <v>0</v>
      </c>
      <c r="G2514" s="396">
        <f>+F2513</f>
        <v>25000</v>
      </c>
      <c r="H2514" s="347" t="str">
        <f>+H2513</f>
        <v>Colecta Ismael Correa Vigneaux</v>
      </c>
      <c r="I2514" s="347" t="s">
        <v>1303</v>
      </c>
      <c r="K2514" s="370"/>
      <c r="N2514" s="370"/>
    </row>
    <row r="2515" spans="1:14" s="347" customFormat="1" x14ac:dyDescent="0.25">
      <c r="A2515" s="369"/>
      <c r="E2515" s="396"/>
      <c r="F2515" s="396"/>
      <c r="G2515" s="396"/>
      <c r="K2515" s="370"/>
      <c r="N2515" s="370"/>
    </row>
    <row r="2516" spans="1:14" s="347" customFormat="1" x14ac:dyDescent="0.25">
      <c r="A2516" s="369">
        <v>44336</v>
      </c>
      <c r="B2516" s="340">
        <f>+MONTH(A2516)</f>
        <v>5</v>
      </c>
      <c r="C2516" s="347">
        <v>110</v>
      </c>
      <c r="D2516" s="340" t="str">
        <f>VLOOKUP(C2516,Plan!A$1:B$65542,2,0)</f>
        <v>Disponible Administración</v>
      </c>
      <c r="E2516" s="341">
        <f>+F2516-G2516</f>
        <v>20000</v>
      </c>
      <c r="F2516" s="396">
        <v>20000</v>
      </c>
      <c r="G2516" s="396">
        <v>0</v>
      </c>
      <c r="H2516" s="347" t="s">
        <v>1159</v>
      </c>
      <c r="I2516" s="347" t="s">
        <v>1303</v>
      </c>
      <c r="K2516" s="370"/>
      <c r="N2516" s="370"/>
    </row>
    <row r="2517" spans="1:14" s="347" customFormat="1" x14ac:dyDescent="0.25">
      <c r="A2517" s="369">
        <f>+A2516</f>
        <v>44336</v>
      </c>
      <c r="B2517" s="347">
        <f>+B2516</f>
        <v>5</v>
      </c>
      <c r="C2517" s="347">
        <v>3110</v>
      </c>
      <c r="D2517" s="340" t="str">
        <f>VLOOKUP(C2517,Plan!A$1:B$65542,2,0)</f>
        <v>Colectas Normales</v>
      </c>
      <c r="E2517" s="396">
        <f>-G2517</f>
        <v>-20000</v>
      </c>
      <c r="F2517" s="396">
        <v>0</v>
      </c>
      <c r="G2517" s="396">
        <f>+F2516</f>
        <v>20000</v>
      </c>
      <c r="H2517" s="347" t="str">
        <f>+H2516</f>
        <v>Colecta Guillermo Turner Olea</v>
      </c>
      <c r="I2517" s="347" t="s">
        <v>1303</v>
      </c>
      <c r="K2517" s="370"/>
      <c r="N2517" s="370"/>
    </row>
    <row r="2518" spans="1:14" s="347" customFormat="1" x14ac:dyDescent="0.25">
      <c r="A2518" s="369"/>
      <c r="E2518" s="396"/>
      <c r="F2518" s="396"/>
      <c r="G2518" s="396"/>
      <c r="K2518" s="370"/>
      <c r="N2518" s="370"/>
    </row>
    <row r="2519" spans="1:14" s="347" customFormat="1" x14ac:dyDescent="0.25">
      <c r="A2519" s="369">
        <v>44333</v>
      </c>
      <c r="B2519" s="340">
        <f>+MONTH(A2519)</f>
        <v>5</v>
      </c>
      <c r="C2519" s="347">
        <v>110</v>
      </c>
      <c r="D2519" s="340" t="str">
        <f>VLOOKUP(C2519,Plan!A$1:B$65542,2,0)</f>
        <v>Disponible Administración</v>
      </c>
      <c r="E2519" s="341">
        <f>+F2519-G2519</f>
        <v>10000</v>
      </c>
      <c r="F2519" s="396">
        <v>10000</v>
      </c>
      <c r="G2519" s="396">
        <v>0</v>
      </c>
      <c r="H2519" s="347" t="s">
        <v>938</v>
      </c>
      <c r="I2519" s="347" t="s">
        <v>1303</v>
      </c>
      <c r="K2519" s="370"/>
      <c r="N2519" s="370"/>
    </row>
    <row r="2520" spans="1:14" s="347" customFormat="1" x14ac:dyDescent="0.25">
      <c r="A2520" s="369">
        <f>+A2519</f>
        <v>44333</v>
      </c>
      <c r="B2520" s="347">
        <f>+B2519</f>
        <v>5</v>
      </c>
      <c r="C2520" s="347">
        <v>3110</v>
      </c>
      <c r="D2520" s="340" t="str">
        <f>VLOOKUP(C2520,Plan!A$1:B$65542,2,0)</f>
        <v>Colectas Normales</v>
      </c>
      <c r="E2520" s="396">
        <f>-G2520</f>
        <v>-10000</v>
      </c>
      <c r="F2520" s="396">
        <v>0</v>
      </c>
      <c r="G2520" s="396">
        <f>+F2519</f>
        <v>10000</v>
      </c>
      <c r="H2520" s="347" t="str">
        <f>+H2519</f>
        <v>Colecta German Rios Dempster</v>
      </c>
      <c r="I2520" s="347" t="s">
        <v>1303</v>
      </c>
      <c r="K2520" s="370"/>
      <c r="N2520" s="370"/>
    </row>
    <row r="2521" spans="1:14" s="347" customFormat="1" x14ac:dyDescent="0.25">
      <c r="A2521" s="369"/>
      <c r="E2521" s="396"/>
      <c r="F2521" s="396"/>
      <c r="G2521" s="396"/>
      <c r="K2521" s="370"/>
      <c r="N2521" s="370"/>
    </row>
    <row r="2522" spans="1:14" s="347" customFormat="1" x14ac:dyDescent="0.25">
      <c r="A2522" s="369">
        <v>44333</v>
      </c>
      <c r="B2522" s="340">
        <f>+MONTH(A2522)</f>
        <v>5</v>
      </c>
      <c r="C2522" s="347">
        <v>110</v>
      </c>
      <c r="D2522" s="340" t="str">
        <f>VLOOKUP(C2522,Plan!A$1:B$65542,2,0)</f>
        <v>Disponible Administración</v>
      </c>
      <c r="E2522" s="341">
        <f>+F2522-G2522</f>
        <v>5000</v>
      </c>
      <c r="F2522" s="396">
        <v>5000</v>
      </c>
      <c r="G2522" s="396">
        <v>0</v>
      </c>
      <c r="H2522" s="347" t="s">
        <v>1108</v>
      </c>
      <c r="I2522" s="347" t="s">
        <v>1303</v>
      </c>
      <c r="K2522" s="370"/>
      <c r="N2522" s="370"/>
    </row>
    <row r="2523" spans="1:14" s="347" customFormat="1" x14ac:dyDescent="0.25">
      <c r="A2523" s="369">
        <f>+A2522</f>
        <v>44333</v>
      </c>
      <c r="B2523" s="347">
        <f>+B2522</f>
        <v>5</v>
      </c>
      <c r="C2523" s="347">
        <v>3110</v>
      </c>
      <c r="D2523" s="340" t="str">
        <f>VLOOKUP(C2523,Plan!A$1:B$65542,2,0)</f>
        <v>Colectas Normales</v>
      </c>
      <c r="E2523" s="396">
        <f>-G2523</f>
        <v>-5000</v>
      </c>
      <c r="F2523" s="396">
        <v>0</v>
      </c>
      <c r="G2523" s="396">
        <f>+F2522</f>
        <v>5000</v>
      </c>
      <c r="H2523" s="347" t="str">
        <f>+H2522</f>
        <v>Colecta Ricardo Fernandez</v>
      </c>
      <c r="I2523" s="347" t="s">
        <v>1303</v>
      </c>
      <c r="K2523" s="370"/>
      <c r="N2523" s="370"/>
    </row>
    <row r="2524" spans="1:14" s="347" customFormat="1" x14ac:dyDescent="0.25">
      <c r="A2524" s="369"/>
      <c r="E2524" s="396"/>
      <c r="F2524" s="396"/>
      <c r="G2524" s="396"/>
      <c r="K2524" s="370"/>
      <c r="N2524" s="370"/>
    </row>
    <row r="2525" spans="1:14" s="347" customFormat="1" x14ac:dyDescent="0.25">
      <c r="A2525" s="369">
        <v>44333</v>
      </c>
      <c r="B2525" s="340">
        <f>+MONTH(A2525)</f>
        <v>5</v>
      </c>
      <c r="C2525" s="347">
        <v>110</v>
      </c>
      <c r="D2525" s="340" t="str">
        <f>VLOOKUP(C2525,Plan!A$1:B$65542,2,0)</f>
        <v>Disponible Administración</v>
      </c>
      <c r="E2525" s="341">
        <f>+F2525-G2525</f>
        <v>10000</v>
      </c>
      <c r="F2525" s="396">
        <v>10000</v>
      </c>
      <c r="G2525" s="396">
        <v>0</v>
      </c>
      <c r="H2525" s="347" t="s">
        <v>880</v>
      </c>
      <c r="I2525" s="347" t="s">
        <v>1303</v>
      </c>
      <c r="K2525" s="370"/>
      <c r="N2525" s="370"/>
    </row>
    <row r="2526" spans="1:14" s="347" customFormat="1" x14ac:dyDescent="0.25">
      <c r="A2526" s="369">
        <f>+A2525</f>
        <v>44333</v>
      </c>
      <c r="B2526" s="347">
        <f>+B2525</f>
        <v>5</v>
      </c>
      <c r="C2526" s="347">
        <v>3110</v>
      </c>
      <c r="D2526" s="340" t="str">
        <f>VLOOKUP(C2526,Plan!A$1:B$65542,2,0)</f>
        <v>Colectas Normales</v>
      </c>
      <c r="E2526" s="396">
        <f>-G2526</f>
        <v>-10000</v>
      </c>
      <c r="F2526" s="396">
        <v>0</v>
      </c>
      <c r="G2526" s="396">
        <f>+F2525</f>
        <v>10000</v>
      </c>
      <c r="H2526" s="347" t="str">
        <f>+H2525</f>
        <v>Colecta Sebastian Rios</v>
      </c>
      <c r="I2526" s="347" t="s">
        <v>1303</v>
      </c>
      <c r="K2526" s="370"/>
      <c r="N2526" s="370"/>
    </row>
    <row r="2527" spans="1:14" s="347" customFormat="1" x14ac:dyDescent="0.25">
      <c r="A2527" s="369"/>
      <c r="E2527" s="396"/>
      <c r="F2527" s="396"/>
      <c r="G2527" s="396"/>
      <c r="K2527" s="370"/>
      <c r="N2527" s="370"/>
    </row>
    <row r="2528" spans="1:14" s="347" customFormat="1" x14ac:dyDescent="0.25">
      <c r="A2528" s="369">
        <v>44333</v>
      </c>
      <c r="B2528" s="340">
        <f>+MONTH(A2528)</f>
        <v>5</v>
      </c>
      <c r="C2528" s="347">
        <v>110</v>
      </c>
      <c r="D2528" s="340" t="str">
        <f>VLOOKUP(C2528,Plan!A$1:B$65542,2,0)</f>
        <v>Disponible Administración</v>
      </c>
      <c r="E2528" s="341">
        <f>+F2528-G2528</f>
        <v>20000</v>
      </c>
      <c r="F2528" s="396">
        <v>20000</v>
      </c>
      <c r="G2528" s="396">
        <v>0</v>
      </c>
      <c r="H2528" s="347" t="s">
        <v>895</v>
      </c>
      <c r="I2528" s="347" t="s">
        <v>1303</v>
      </c>
      <c r="K2528" s="370"/>
      <c r="N2528" s="370"/>
    </row>
    <row r="2529" spans="1:14" s="347" customFormat="1" x14ac:dyDescent="0.25">
      <c r="A2529" s="369">
        <f>+A2528</f>
        <v>44333</v>
      </c>
      <c r="B2529" s="347">
        <f>+B2528</f>
        <v>5</v>
      </c>
      <c r="C2529" s="347">
        <v>3110</v>
      </c>
      <c r="D2529" s="340" t="str">
        <f>VLOOKUP(C2529,Plan!A$1:B$65542,2,0)</f>
        <v>Colectas Normales</v>
      </c>
      <c r="E2529" s="396">
        <f>-G2529</f>
        <v>-20000</v>
      </c>
      <c r="F2529" s="396">
        <v>0</v>
      </c>
      <c r="G2529" s="396">
        <f>+F2528</f>
        <v>20000</v>
      </c>
      <c r="H2529" s="347" t="str">
        <f>+H2528</f>
        <v>Colecta Luis Larenas Vergara</v>
      </c>
      <c r="I2529" s="347" t="s">
        <v>1303</v>
      </c>
      <c r="K2529" s="370"/>
      <c r="N2529" s="370"/>
    </row>
    <row r="2530" spans="1:14" s="347" customFormat="1" x14ac:dyDescent="0.25">
      <c r="A2530" s="369"/>
      <c r="E2530" s="396"/>
      <c r="F2530" s="396"/>
      <c r="G2530" s="396"/>
      <c r="K2530" s="370"/>
      <c r="N2530" s="370"/>
    </row>
    <row r="2531" spans="1:14" s="347" customFormat="1" x14ac:dyDescent="0.25">
      <c r="A2531" s="369">
        <v>44333</v>
      </c>
      <c r="B2531" s="340">
        <f>+MONTH(A2531)</f>
        <v>5</v>
      </c>
      <c r="C2531" s="347">
        <v>110</v>
      </c>
      <c r="D2531" s="340" t="str">
        <f>VLOOKUP(C2531,Plan!A$1:B$65542,2,0)</f>
        <v>Disponible Administración</v>
      </c>
      <c r="E2531" s="341">
        <f>+F2531-G2531</f>
        <v>10000</v>
      </c>
      <c r="F2531" s="396">
        <v>10000</v>
      </c>
      <c r="G2531" s="396">
        <v>0</v>
      </c>
      <c r="H2531" s="347" t="s">
        <v>1427</v>
      </c>
      <c r="I2531" s="347" t="s">
        <v>1303</v>
      </c>
      <c r="K2531" s="370"/>
      <c r="N2531" s="370"/>
    </row>
    <row r="2532" spans="1:14" s="347" customFormat="1" x14ac:dyDescent="0.25">
      <c r="A2532" s="369">
        <f>+A2531</f>
        <v>44333</v>
      </c>
      <c r="B2532" s="347">
        <f>+B2531</f>
        <v>5</v>
      </c>
      <c r="C2532" s="347">
        <v>3110</v>
      </c>
      <c r="D2532" s="340" t="str">
        <f>VLOOKUP(C2532,Plan!A$1:B$65542,2,0)</f>
        <v>Colectas Normales</v>
      </c>
      <c r="E2532" s="396">
        <f>-G2532</f>
        <v>-10000</v>
      </c>
      <c r="F2532" s="396">
        <v>0</v>
      </c>
      <c r="G2532" s="396">
        <f>+F2531</f>
        <v>10000</v>
      </c>
      <c r="H2532" s="347" t="str">
        <f>+H2531</f>
        <v>Colecta M. Angelica Arancibia Larenas</v>
      </c>
      <c r="I2532" s="347" t="s">
        <v>1303</v>
      </c>
      <c r="K2532" s="370"/>
      <c r="N2532" s="370"/>
    </row>
    <row r="2533" spans="1:14" s="347" customFormat="1" x14ac:dyDescent="0.25">
      <c r="K2533" s="370"/>
      <c r="N2533" s="370"/>
    </row>
    <row r="2534" spans="1:14" s="347" customFormat="1" x14ac:dyDescent="0.25">
      <c r="A2534" s="369">
        <v>44333</v>
      </c>
      <c r="B2534" s="340">
        <f>+MONTH(A2534)</f>
        <v>5</v>
      </c>
      <c r="C2534" s="347">
        <v>110</v>
      </c>
      <c r="D2534" s="340" t="str">
        <f>VLOOKUP(C2534,Plan!A$1:B$65542,2,0)</f>
        <v>Disponible Administración</v>
      </c>
      <c r="E2534" s="341">
        <f>+F2534-G2534</f>
        <v>20000</v>
      </c>
      <c r="F2534" s="396">
        <v>20000</v>
      </c>
      <c r="G2534" s="396">
        <v>0</v>
      </c>
      <c r="H2534" s="347" t="s">
        <v>1497</v>
      </c>
      <c r="I2534" s="347" t="s">
        <v>1303</v>
      </c>
      <c r="K2534" s="370"/>
      <c r="N2534" s="370"/>
    </row>
    <row r="2535" spans="1:14" s="347" customFormat="1" x14ac:dyDescent="0.25">
      <c r="A2535" s="369">
        <f>+A2534</f>
        <v>44333</v>
      </c>
      <c r="B2535" s="347">
        <f>+B2534</f>
        <v>5</v>
      </c>
      <c r="C2535" s="347">
        <v>3110</v>
      </c>
      <c r="D2535" s="340" t="str">
        <f>VLOOKUP(C2535,Plan!A$1:B$65542,2,0)</f>
        <v>Colectas Normales</v>
      </c>
      <c r="E2535" s="396">
        <f>-G2535</f>
        <v>-20000</v>
      </c>
      <c r="F2535" s="396">
        <v>0</v>
      </c>
      <c r="G2535" s="396">
        <f>+F2534</f>
        <v>20000</v>
      </c>
      <c r="H2535" s="347" t="str">
        <f>+H2534</f>
        <v>Colecta Carmen Covarrubias</v>
      </c>
      <c r="I2535" s="347" t="s">
        <v>1303</v>
      </c>
      <c r="K2535" s="370"/>
      <c r="N2535" s="370"/>
    </row>
    <row r="2536" spans="1:14" s="347" customFormat="1" x14ac:dyDescent="0.25">
      <c r="A2536" s="369"/>
      <c r="E2536" s="396"/>
      <c r="F2536" s="396"/>
      <c r="G2536" s="396"/>
      <c r="K2536" s="370"/>
      <c r="N2536" s="370"/>
    </row>
    <row r="2537" spans="1:14" s="347" customFormat="1" x14ac:dyDescent="0.25">
      <c r="A2537" s="369">
        <v>44333</v>
      </c>
      <c r="B2537" s="340">
        <f>+MONTH(A2537)</f>
        <v>5</v>
      </c>
      <c r="C2537" s="347">
        <v>110</v>
      </c>
      <c r="D2537" s="340" t="str">
        <f>VLOOKUP(C2537,Plan!A$1:B$65542,2,0)</f>
        <v>Disponible Administración</v>
      </c>
      <c r="E2537" s="341">
        <f>+F2537-G2537</f>
        <v>30000</v>
      </c>
      <c r="F2537" s="396">
        <v>30000</v>
      </c>
      <c r="G2537" s="396">
        <v>0</v>
      </c>
      <c r="H2537" s="347" t="s">
        <v>931</v>
      </c>
      <c r="I2537" s="347" t="s">
        <v>1303</v>
      </c>
      <c r="K2537" s="370"/>
      <c r="N2537" s="370"/>
    </row>
    <row r="2538" spans="1:14" s="347" customFormat="1" x14ac:dyDescent="0.25">
      <c r="A2538" s="369">
        <f>+A2537</f>
        <v>44333</v>
      </c>
      <c r="B2538" s="347">
        <f>+B2537</f>
        <v>5</v>
      </c>
      <c r="C2538" s="347">
        <v>3110</v>
      </c>
      <c r="D2538" s="340" t="str">
        <f>VLOOKUP(C2538,Plan!A$1:B$65542,2,0)</f>
        <v>Colectas Normales</v>
      </c>
      <c r="E2538" s="396">
        <f>-G2538</f>
        <v>-30000</v>
      </c>
      <c r="F2538" s="396">
        <v>0</v>
      </c>
      <c r="G2538" s="396">
        <f>+F2537</f>
        <v>30000</v>
      </c>
      <c r="H2538" s="347" t="str">
        <f>+H2537</f>
        <v>Colecta Eduardo Calvimontes Candia</v>
      </c>
      <c r="I2538" s="347" t="s">
        <v>1303</v>
      </c>
      <c r="K2538" s="370"/>
      <c r="N2538" s="370"/>
    </row>
    <row r="2539" spans="1:14" s="347" customFormat="1" x14ac:dyDescent="0.25">
      <c r="A2539" s="369"/>
      <c r="E2539" s="396"/>
      <c r="F2539" s="396"/>
      <c r="G2539" s="396"/>
      <c r="K2539" s="370"/>
      <c r="N2539" s="370"/>
    </row>
    <row r="2540" spans="1:14" s="347" customFormat="1" x14ac:dyDescent="0.25">
      <c r="A2540" s="369">
        <v>44333</v>
      </c>
      <c r="B2540" s="340">
        <f>+MONTH(A2540)</f>
        <v>5</v>
      </c>
      <c r="C2540" s="347">
        <v>110</v>
      </c>
      <c r="D2540" s="340" t="str">
        <f>VLOOKUP(C2540,Plan!A$1:B$65542,2,0)</f>
        <v>Disponible Administración</v>
      </c>
      <c r="E2540" s="341">
        <f>+F2540-G2540</f>
        <v>2000</v>
      </c>
      <c r="F2540" s="396">
        <v>2000</v>
      </c>
      <c r="G2540" s="396">
        <v>0</v>
      </c>
      <c r="H2540" s="347" t="s">
        <v>1216</v>
      </c>
      <c r="I2540" s="347" t="s">
        <v>1303</v>
      </c>
      <c r="K2540" s="370"/>
      <c r="N2540" s="370"/>
    </row>
    <row r="2541" spans="1:14" s="347" customFormat="1" x14ac:dyDescent="0.25">
      <c r="A2541" s="369">
        <f>+A2540</f>
        <v>44333</v>
      </c>
      <c r="B2541" s="347">
        <f>+B2540</f>
        <v>5</v>
      </c>
      <c r="C2541" s="347">
        <v>3110</v>
      </c>
      <c r="D2541" s="340" t="str">
        <f>VLOOKUP(C2541,Plan!A$1:B$65542,2,0)</f>
        <v>Colectas Normales</v>
      </c>
      <c r="E2541" s="396">
        <f>-G2541</f>
        <v>-2000</v>
      </c>
      <c r="F2541" s="396">
        <v>0</v>
      </c>
      <c r="G2541" s="396">
        <f>+F2540</f>
        <v>2000</v>
      </c>
      <c r="H2541" s="347" t="str">
        <f>+H2540</f>
        <v>Colecta Trinidad Barriga Cruzat</v>
      </c>
      <c r="I2541" s="347" t="s">
        <v>1303</v>
      </c>
      <c r="K2541" s="370"/>
      <c r="N2541" s="370"/>
    </row>
    <row r="2542" spans="1:14" s="347" customFormat="1" x14ac:dyDescent="0.25">
      <c r="A2542" s="369"/>
      <c r="E2542" s="396"/>
      <c r="F2542" s="396"/>
      <c r="G2542" s="396"/>
      <c r="K2542" s="370"/>
      <c r="N2542" s="370"/>
    </row>
    <row r="2543" spans="1:14" s="347" customFormat="1" x14ac:dyDescent="0.25">
      <c r="A2543" s="369">
        <v>44333</v>
      </c>
      <c r="B2543" s="340">
        <f>+MONTH(A2543)</f>
        <v>5</v>
      </c>
      <c r="C2543" s="347">
        <v>110</v>
      </c>
      <c r="D2543" s="340" t="str">
        <f>VLOOKUP(C2543,Plan!A$1:B$65542,2,0)</f>
        <v>Disponible Administración</v>
      </c>
      <c r="E2543" s="341">
        <f>+F2543-G2543</f>
        <v>117</v>
      </c>
      <c r="F2543" s="396">
        <v>117</v>
      </c>
      <c r="G2543" s="396">
        <v>0</v>
      </c>
      <c r="H2543" s="347" t="s">
        <v>897</v>
      </c>
      <c r="I2543" s="347" t="s">
        <v>1303</v>
      </c>
      <c r="K2543" s="370"/>
      <c r="N2543" s="370"/>
    </row>
    <row r="2544" spans="1:14" s="347" customFormat="1" x14ac:dyDescent="0.25">
      <c r="A2544" s="369">
        <f>+A2543</f>
        <v>44333</v>
      </c>
      <c r="B2544" s="347">
        <f>+B2543</f>
        <v>5</v>
      </c>
      <c r="C2544" s="347">
        <v>3110</v>
      </c>
      <c r="D2544" s="340" t="str">
        <f>VLOOKUP(C2544,Plan!A$1:B$65542,2,0)</f>
        <v>Colectas Normales</v>
      </c>
      <c r="E2544" s="396">
        <f>-G2544</f>
        <v>-117</v>
      </c>
      <c r="F2544" s="396">
        <v>0</v>
      </c>
      <c r="G2544" s="396">
        <f>+F2543</f>
        <v>117</v>
      </c>
      <c r="H2544" s="347" t="str">
        <f>+H2543</f>
        <v>Colecta DCT</v>
      </c>
      <c r="I2544" s="347" t="s">
        <v>1303</v>
      </c>
      <c r="K2544" s="370"/>
      <c r="N2544" s="370"/>
    </row>
    <row r="2545" spans="1:14" s="347" customFormat="1" x14ac:dyDescent="0.25">
      <c r="A2545" s="369"/>
      <c r="E2545" s="396"/>
      <c r="F2545" s="396"/>
      <c r="G2545" s="396"/>
      <c r="K2545" s="370"/>
      <c r="N2545" s="370"/>
    </row>
    <row r="2546" spans="1:14" s="347" customFormat="1" x14ac:dyDescent="0.25">
      <c r="A2546" s="369">
        <v>44333</v>
      </c>
      <c r="B2546" s="340">
        <f>+MONTH(A2546)</f>
        <v>5</v>
      </c>
      <c r="C2546" s="347">
        <v>110</v>
      </c>
      <c r="D2546" s="340" t="str">
        <f>VLOOKUP(C2546,Plan!A$1:B$65542,2,0)</f>
        <v>Disponible Administración</v>
      </c>
      <c r="E2546" s="341">
        <f>+F2546-G2546</f>
        <v>112000</v>
      </c>
      <c r="F2546" s="396">
        <v>112000</v>
      </c>
      <c r="G2546" s="396">
        <v>0</v>
      </c>
      <c r="H2546" s="347" t="s">
        <v>1410</v>
      </c>
      <c r="I2546" s="347" t="s">
        <v>1303</v>
      </c>
      <c r="K2546" s="370"/>
      <c r="N2546" s="370"/>
    </row>
    <row r="2547" spans="1:14" s="347" customFormat="1" x14ac:dyDescent="0.25">
      <c r="A2547" s="369">
        <f>+A2546</f>
        <v>44333</v>
      </c>
      <c r="B2547" s="347">
        <f>+B2546</f>
        <v>5</v>
      </c>
      <c r="C2547" s="347">
        <v>3110</v>
      </c>
      <c r="D2547" s="340" t="str">
        <f>VLOOKUP(C2547,Plan!A$1:B$65542,2,0)</f>
        <v>Colectas Normales</v>
      </c>
      <c r="E2547" s="396">
        <f>-G2547</f>
        <v>-112000</v>
      </c>
      <c r="F2547" s="396">
        <v>0</v>
      </c>
      <c r="G2547" s="396">
        <f>+F2546</f>
        <v>112000</v>
      </c>
      <c r="H2547" s="347" t="str">
        <f>+H2546</f>
        <v>Colecta Col. Cordillera</v>
      </c>
      <c r="I2547" s="347" t="s">
        <v>1303</v>
      </c>
      <c r="K2547" s="370"/>
      <c r="N2547" s="370"/>
    </row>
    <row r="2548" spans="1:14" s="347" customFormat="1" x14ac:dyDescent="0.25">
      <c r="A2548" s="369"/>
      <c r="E2548" s="396"/>
      <c r="F2548" s="396"/>
      <c r="G2548" s="396"/>
      <c r="K2548" s="370"/>
      <c r="N2548" s="370"/>
    </row>
    <row r="2549" spans="1:14" s="347" customFormat="1" x14ac:dyDescent="0.25">
      <c r="A2549" s="369">
        <v>44334</v>
      </c>
      <c r="B2549" s="340">
        <f>+MONTH(A2549)</f>
        <v>5</v>
      </c>
      <c r="C2549" s="347">
        <v>110</v>
      </c>
      <c r="D2549" s="340" t="str">
        <f>VLOOKUP(C2549,Plan!A$1:B$65542,2,0)</f>
        <v>Disponible Administración</v>
      </c>
      <c r="E2549" s="341">
        <f>+F2549-G2549</f>
        <v>60000</v>
      </c>
      <c r="F2549" s="396">
        <v>60000</v>
      </c>
      <c r="G2549" s="396">
        <v>0</v>
      </c>
      <c r="H2549" s="347" t="s">
        <v>1498</v>
      </c>
      <c r="I2549" s="347" t="s">
        <v>1303</v>
      </c>
      <c r="K2549" s="370"/>
      <c r="N2549" s="370"/>
    </row>
    <row r="2550" spans="1:14" s="347" customFormat="1" x14ac:dyDescent="0.25">
      <c r="A2550" s="369">
        <f>+A2549</f>
        <v>44334</v>
      </c>
      <c r="B2550" s="347">
        <f>+B2549</f>
        <v>5</v>
      </c>
      <c r="C2550" s="347">
        <v>3450</v>
      </c>
      <c r="D2550" s="340" t="str">
        <f>VLOOKUP(C2550,Plan!A$1:B$65542,2,0)</f>
        <v>Pastoral Social</v>
      </c>
      <c r="E2550" s="396">
        <f>-G2550</f>
        <v>-60000</v>
      </c>
      <c r="F2550" s="396">
        <v>0</v>
      </c>
      <c r="G2550" s="396">
        <f>+F2549</f>
        <v>60000</v>
      </c>
      <c r="H2550" s="347" t="str">
        <f>+H2549</f>
        <v>Canastas Maria Cristina Sarasa Corral</v>
      </c>
      <c r="I2550" s="347" t="s">
        <v>1303</v>
      </c>
      <c r="K2550" s="370"/>
      <c r="N2550" s="370"/>
    </row>
    <row r="2551" spans="1:14" s="347" customFormat="1" x14ac:dyDescent="0.25">
      <c r="A2551" s="369"/>
      <c r="E2551" s="396"/>
      <c r="F2551" s="396"/>
      <c r="G2551" s="396"/>
      <c r="K2551" s="370"/>
      <c r="N2551" s="370"/>
    </row>
    <row r="2552" spans="1:14" s="347" customFormat="1" x14ac:dyDescent="0.25">
      <c r="A2552" s="369">
        <v>44334</v>
      </c>
      <c r="B2552" s="340">
        <f>+MONTH(A2552)</f>
        <v>5</v>
      </c>
      <c r="C2552" s="347">
        <v>110</v>
      </c>
      <c r="D2552" s="340" t="str">
        <f>VLOOKUP(C2552,Plan!A$1:B$65542,2,0)</f>
        <v>Disponible Administración</v>
      </c>
      <c r="E2552" s="341">
        <f>+F2552-G2552</f>
        <v>98060</v>
      </c>
      <c r="F2552" s="396">
        <v>98060</v>
      </c>
      <c r="G2552" s="396">
        <v>0</v>
      </c>
      <c r="H2552" s="347" t="s">
        <v>1499</v>
      </c>
      <c r="I2552" s="347" t="s">
        <v>1303</v>
      </c>
      <c r="K2552" s="370"/>
      <c r="N2552" s="370"/>
    </row>
    <row r="2553" spans="1:14" s="347" customFormat="1" x14ac:dyDescent="0.25">
      <c r="A2553" s="369">
        <f>+A2552</f>
        <v>44334</v>
      </c>
      <c r="B2553" s="347">
        <f>+B2552</f>
        <v>5</v>
      </c>
      <c r="C2553" s="347">
        <v>3450</v>
      </c>
      <c r="D2553" s="340" t="str">
        <f>VLOOKUP(C2553,Plan!A$1:B$65542,2,0)</f>
        <v>Pastoral Social</v>
      </c>
      <c r="E2553" s="396">
        <f>-G2553</f>
        <v>-98060</v>
      </c>
      <c r="F2553" s="396">
        <v>0</v>
      </c>
      <c r="G2553" s="396">
        <f>+F2552</f>
        <v>98060</v>
      </c>
      <c r="H2553" s="347" t="str">
        <f>+H2552</f>
        <v>Canastas DCT (Sebastian Davila)</v>
      </c>
      <c r="I2553" s="347" t="s">
        <v>1303</v>
      </c>
      <c r="K2553" s="370"/>
      <c r="N2553" s="370"/>
    </row>
    <row r="2554" spans="1:14" s="347" customFormat="1" x14ac:dyDescent="0.25">
      <c r="A2554" s="369"/>
      <c r="E2554" s="396"/>
      <c r="F2554" s="396"/>
      <c r="G2554" s="396"/>
      <c r="K2554" s="370"/>
      <c r="N2554" s="370"/>
    </row>
    <row r="2555" spans="1:14" s="347" customFormat="1" x14ac:dyDescent="0.25">
      <c r="A2555" s="369">
        <v>44335</v>
      </c>
      <c r="B2555" s="340">
        <f>+MONTH(A2555)</f>
        <v>5</v>
      </c>
      <c r="C2555" s="347">
        <v>110</v>
      </c>
      <c r="D2555" s="340" t="str">
        <f>VLOOKUP(C2555,Plan!A$1:B$65542,2,0)</f>
        <v>Disponible Administración</v>
      </c>
      <c r="E2555" s="341">
        <f>+F2555-G2555</f>
        <v>15000</v>
      </c>
      <c r="F2555" s="396">
        <v>15000</v>
      </c>
      <c r="G2555" s="396">
        <v>0</v>
      </c>
      <c r="H2555" s="347" t="s">
        <v>1205</v>
      </c>
      <c r="I2555" s="347" t="s">
        <v>1303</v>
      </c>
      <c r="K2555" s="370"/>
      <c r="N2555" s="370"/>
    </row>
    <row r="2556" spans="1:14" s="347" customFormat="1" x14ac:dyDescent="0.25">
      <c r="A2556" s="369">
        <f>+A2555</f>
        <v>44335</v>
      </c>
      <c r="B2556" s="347">
        <f>+B2555</f>
        <v>5</v>
      </c>
      <c r="C2556" s="347">
        <v>3110</v>
      </c>
      <c r="D2556" s="340" t="str">
        <f>VLOOKUP(C2556,Plan!A$1:B$65542,2,0)</f>
        <v>Colectas Normales</v>
      </c>
      <c r="E2556" s="396">
        <f>-G2556</f>
        <v>-15000</v>
      </c>
      <c r="F2556" s="396">
        <v>0</v>
      </c>
      <c r="G2556" s="396">
        <f>+F2555</f>
        <v>15000</v>
      </c>
      <c r="H2556" s="347" t="str">
        <f>+H2555</f>
        <v>Colecta Gonzalo Nieto Valdes</v>
      </c>
      <c r="I2556" s="347" t="s">
        <v>1303</v>
      </c>
      <c r="K2556" s="370"/>
      <c r="N2556" s="370"/>
    </row>
    <row r="2557" spans="1:14" s="347" customFormat="1" x14ac:dyDescent="0.25">
      <c r="A2557" s="369"/>
      <c r="E2557" s="396"/>
      <c r="F2557" s="396"/>
      <c r="G2557" s="396"/>
      <c r="K2557" s="370"/>
      <c r="N2557" s="370"/>
    </row>
    <row r="2558" spans="1:14" s="347" customFormat="1" x14ac:dyDescent="0.25">
      <c r="A2558" s="369">
        <v>44335</v>
      </c>
      <c r="B2558" s="340">
        <f>+MONTH(A2558)</f>
        <v>5</v>
      </c>
      <c r="C2558" s="347">
        <v>110</v>
      </c>
      <c r="D2558" s="340" t="str">
        <f>VLOOKUP(C2558,Plan!A$1:B$65542,2,0)</f>
        <v>Disponible Administración</v>
      </c>
      <c r="E2558" s="341">
        <f>+F2558-G2558</f>
        <v>10000</v>
      </c>
      <c r="F2558" s="396">
        <v>10000</v>
      </c>
      <c r="G2558" s="396">
        <v>0</v>
      </c>
      <c r="H2558" s="347" t="s">
        <v>1151</v>
      </c>
      <c r="I2558" s="347" t="s">
        <v>1303</v>
      </c>
      <c r="K2558" s="370"/>
      <c r="N2558" s="370"/>
    </row>
    <row r="2559" spans="1:14" s="347" customFormat="1" x14ac:dyDescent="0.25">
      <c r="A2559" s="369">
        <f>+A2558</f>
        <v>44335</v>
      </c>
      <c r="B2559" s="347">
        <f>+B2558</f>
        <v>5</v>
      </c>
      <c r="C2559" s="347">
        <v>3110</v>
      </c>
      <c r="D2559" s="340" t="str">
        <f>VLOOKUP(C2559,Plan!A$1:B$65542,2,0)</f>
        <v>Colectas Normales</v>
      </c>
      <c r="E2559" s="396">
        <f>-G2559</f>
        <v>-10000</v>
      </c>
      <c r="F2559" s="396">
        <v>0</v>
      </c>
      <c r="G2559" s="396">
        <f>+F2558</f>
        <v>10000</v>
      </c>
      <c r="H2559" s="347" t="str">
        <f>+H2558</f>
        <v>Colecta Eduardo Boys M</v>
      </c>
      <c r="I2559" s="347" t="s">
        <v>1303</v>
      </c>
      <c r="K2559" s="370"/>
      <c r="N2559" s="370"/>
    </row>
    <row r="2560" spans="1:14" s="347" customFormat="1" x14ac:dyDescent="0.25">
      <c r="A2560" s="369"/>
      <c r="E2560" s="396"/>
      <c r="F2560" s="396"/>
      <c r="G2560" s="396"/>
      <c r="K2560" s="370"/>
      <c r="N2560" s="370"/>
    </row>
    <row r="2561" spans="1:14" s="347" customFormat="1" x14ac:dyDescent="0.25">
      <c r="A2561" s="369">
        <v>44335</v>
      </c>
      <c r="B2561" s="340">
        <f>+MONTH(A2561)</f>
        <v>5</v>
      </c>
      <c r="C2561" s="347">
        <v>110</v>
      </c>
      <c r="D2561" s="340" t="str">
        <f>VLOOKUP(C2561,Plan!A$1:B$65542,2,0)</f>
        <v>Disponible Administración</v>
      </c>
      <c r="E2561" s="341">
        <f>+F2561-G2561</f>
        <v>30000</v>
      </c>
      <c r="F2561" s="396">
        <v>30000</v>
      </c>
      <c r="G2561" s="396">
        <v>0</v>
      </c>
      <c r="H2561" s="347" t="s">
        <v>1500</v>
      </c>
      <c r="I2561" s="347" t="s">
        <v>1303</v>
      </c>
      <c r="K2561" s="370"/>
      <c r="N2561" s="370"/>
    </row>
    <row r="2562" spans="1:14" s="347" customFormat="1" x14ac:dyDescent="0.25">
      <c r="A2562" s="369">
        <f>+A2561</f>
        <v>44335</v>
      </c>
      <c r="B2562" s="347">
        <f>+B2561</f>
        <v>5</v>
      </c>
      <c r="C2562" s="347">
        <v>3450</v>
      </c>
      <c r="D2562" s="340" t="str">
        <f>VLOOKUP(C2562,Plan!A$1:B$65542,2,0)</f>
        <v>Pastoral Social</v>
      </c>
      <c r="E2562" s="396">
        <f>-G2562</f>
        <v>-30000</v>
      </c>
      <c r="F2562" s="396">
        <v>0</v>
      </c>
      <c r="G2562" s="396">
        <f>+F2561</f>
        <v>30000</v>
      </c>
      <c r="H2562" s="347" t="str">
        <f>+H2561</f>
        <v>Canastas M. Teresa Zegers Aldunate</v>
      </c>
      <c r="I2562" s="347" t="s">
        <v>1303</v>
      </c>
      <c r="K2562" s="370"/>
      <c r="N2562" s="370"/>
    </row>
    <row r="2563" spans="1:14" s="347" customFormat="1" x14ac:dyDescent="0.25">
      <c r="A2563" s="369"/>
      <c r="E2563" s="396"/>
      <c r="F2563" s="396"/>
      <c r="G2563" s="396"/>
      <c r="K2563" s="370"/>
      <c r="N2563" s="370"/>
    </row>
    <row r="2564" spans="1:14" s="347" customFormat="1" x14ac:dyDescent="0.25">
      <c r="A2564" s="369">
        <v>44335</v>
      </c>
      <c r="B2564" s="340">
        <f>+MONTH(A2564)</f>
        <v>5</v>
      </c>
      <c r="C2564" s="347">
        <v>110</v>
      </c>
      <c r="D2564" s="340" t="str">
        <f>VLOOKUP(C2564,Plan!A$1:B$65542,2,0)</f>
        <v>Disponible Administración</v>
      </c>
      <c r="E2564" s="341">
        <f>+F2564-G2564</f>
        <v>19687</v>
      </c>
      <c r="F2564" s="396">
        <v>19687</v>
      </c>
      <c r="G2564" s="396">
        <v>0</v>
      </c>
      <c r="H2564" s="347" t="s">
        <v>1338</v>
      </c>
      <c r="I2564" s="347" t="s">
        <v>1303</v>
      </c>
      <c r="K2564" s="370"/>
      <c r="N2564" s="370"/>
    </row>
    <row r="2565" spans="1:14" s="347" customFormat="1" x14ac:dyDescent="0.25">
      <c r="A2565" s="369">
        <f>+A2564</f>
        <v>44335</v>
      </c>
      <c r="B2565" s="347">
        <f>+B2564</f>
        <v>5</v>
      </c>
      <c r="C2565" s="347">
        <v>3340</v>
      </c>
      <c r="D2565" s="340" t="str">
        <f>VLOOKUP(C2565,Plan!A$1:B$65542,2,0)</f>
        <v>Misas</v>
      </c>
      <c r="E2565" s="396">
        <f>-G2565</f>
        <v>-19687</v>
      </c>
      <c r="F2565" s="396">
        <v>0</v>
      </c>
      <c r="G2565" s="396">
        <f>+F2564</f>
        <v>19687</v>
      </c>
      <c r="H2565" s="347" t="str">
        <f>+H2564</f>
        <v>Misa DCT</v>
      </c>
      <c r="I2565" s="347" t="s">
        <v>1303</v>
      </c>
      <c r="K2565" s="370"/>
      <c r="N2565" s="370"/>
    </row>
    <row r="2566" spans="1:14" s="347" customFormat="1" x14ac:dyDescent="0.25">
      <c r="A2566" s="369"/>
      <c r="E2566" s="396"/>
      <c r="F2566" s="396"/>
      <c r="G2566" s="396"/>
      <c r="K2566" s="370"/>
      <c r="N2566" s="370"/>
    </row>
    <row r="2567" spans="1:14" s="347" customFormat="1" x14ac:dyDescent="0.25">
      <c r="A2567" s="369">
        <v>44335</v>
      </c>
      <c r="B2567" s="340">
        <f>+MONTH(A2567)</f>
        <v>5</v>
      </c>
      <c r="C2567" s="347">
        <v>110</v>
      </c>
      <c r="D2567" s="340" t="str">
        <f>VLOOKUP(C2567,Plan!A$1:B$65542,2,0)</f>
        <v>Disponible Administración</v>
      </c>
      <c r="E2567" s="341">
        <f>+F2567-G2567</f>
        <v>20000</v>
      </c>
      <c r="F2567" s="396">
        <v>20000</v>
      </c>
      <c r="G2567" s="396">
        <v>0</v>
      </c>
      <c r="H2567" s="347" t="s">
        <v>1173</v>
      </c>
      <c r="I2567" s="347" t="s">
        <v>1303</v>
      </c>
      <c r="K2567" s="370"/>
      <c r="N2567" s="370"/>
    </row>
    <row r="2568" spans="1:14" s="347" customFormat="1" x14ac:dyDescent="0.25">
      <c r="A2568" s="369">
        <f>+A2567</f>
        <v>44335</v>
      </c>
      <c r="B2568" s="347">
        <f>+B2567</f>
        <v>5</v>
      </c>
      <c r="C2568" s="347">
        <v>3110</v>
      </c>
      <c r="D2568" s="340" t="str">
        <f>VLOOKUP(C2568,Plan!A$1:B$65542,2,0)</f>
        <v>Colectas Normales</v>
      </c>
      <c r="E2568" s="396">
        <f>-G2568</f>
        <v>-20000</v>
      </c>
      <c r="F2568" s="396">
        <v>0</v>
      </c>
      <c r="G2568" s="396">
        <f>+F2567</f>
        <v>20000</v>
      </c>
      <c r="H2568" s="347" t="str">
        <f>+H2567</f>
        <v>Colecta Oscar Guarda</v>
      </c>
      <c r="I2568" s="347" t="s">
        <v>1303</v>
      </c>
      <c r="K2568" s="370"/>
      <c r="N2568" s="370"/>
    </row>
    <row r="2569" spans="1:14" s="347" customFormat="1" x14ac:dyDescent="0.25">
      <c r="A2569" s="369"/>
      <c r="E2569" s="396"/>
      <c r="F2569" s="396"/>
      <c r="G2569" s="396"/>
      <c r="K2569" s="370"/>
      <c r="N2569" s="370"/>
    </row>
    <row r="2570" spans="1:14" s="347" customFormat="1" x14ac:dyDescent="0.25">
      <c r="A2570" s="369">
        <v>44336</v>
      </c>
      <c r="B2570" s="340">
        <f>+MONTH(A2570)</f>
        <v>5</v>
      </c>
      <c r="C2570" s="347">
        <v>110</v>
      </c>
      <c r="D2570" s="340" t="str">
        <f>VLOOKUP(C2570,Plan!A$1:B$65542,2,0)</f>
        <v>Disponible Administración</v>
      </c>
      <c r="E2570" s="341">
        <f>+F2570-G2570</f>
        <v>200000</v>
      </c>
      <c r="F2570" s="396">
        <v>200000</v>
      </c>
      <c r="G2570" s="396">
        <v>0</v>
      </c>
      <c r="H2570" s="347" t="s">
        <v>1501</v>
      </c>
      <c r="I2570" s="347" t="s">
        <v>1303</v>
      </c>
      <c r="K2570" s="370"/>
      <c r="N2570" s="370"/>
    </row>
    <row r="2571" spans="1:14" s="347" customFormat="1" x14ac:dyDescent="0.25">
      <c r="A2571" s="369">
        <f>+A2570</f>
        <v>44336</v>
      </c>
      <c r="B2571" s="347">
        <f>+B2570</f>
        <v>5</v>
      </c>
      <c r="C2571" s="347">
        <v>215</v>
      </c>
      <c r="D2571" s="340" t="str">
        <f>VLOOKUP(C2571,Plan!A$1:B$65542,2,0)</f>
        <v>Cuenta por Pagar a Cali</v>
      </c>
      <c r="E2571" s="396">
        <f>-G2571</f>
        <v>-200000</v>
      </c>
      <c r="F2571" s="396">
        <v>0</v>
      </c>
      <c r="G2571" s="396">
        <f>+F2570</f>
        <v>200000</v>
      </c>
      <c r="H2571" s="347" t="str">
        <f>+H2570</f>
        <v>Maria Del Pilar Ferrer Parrague/248</v>
      </c>
      <c r="I2571" s="347" t="s">
        <v>1303</v>
      </c>
      <c r="K2571" s="370"/>
      <c r="N2571" s="370"/>
    </row>
    <row r="2572" spans="1:14" s="347" customFormat="1" x14ac:dyDescent="0.25">
      <c r="A2572" s="369"/>
      <c r="E2572" s="396"/>
      <c r="F2572" s="396"/>
      <c r="G2572" s="396"/>
      <c r="K2572" s="370"/>
      <c r="N2572" s="370"/>
    </row>
    <row r="2573" spans="1:14" s="347" customFormat="1" x14ac:dyDescent="0.25">
      <c r="A2573" s="369">
        <v>44336</v>
      </c>
      <c r="B2573" s="340">
        <f>+MONTH(A2573)</f>
        <v>5</v>
      </c>
      <c r="C2573" s="347">
        <v>110</v>
      </c>
      <c r="D2573" s="340" t="str">
        <f>VLOOKUP(C2573,Plan!A$1:B$65542,2,0)</f>
        <v>Disponible Administración</v>
      </c>
      <c r="E2573" s="341">
        <f>+F2573-G2573</f>
        <v>9881</v>
      </c>
      <c r="F2573" s="396">
        <v>9881</v>
      </c>
      <c r="G2573" s="396">
        <v>0</v>
      </c>
      <c r="H2573" s="347" t="s">
        <v>897</v>
      </c>
      <c r="I2573" s="347" t="s">
        <v>1303</v>
      </c>
      <c r="K2573" s="370"/>
      <c r="N2573" s="370"/>
    </row>
    <row r="2574" spans="1:14" s="347" customFormat="1" x14ac:dyDescent="0.25">
      <c r="A2574" s="369">
        <f>+A2573</f>
        <v>44336</v>
      </c>
      <c r="B2574" s="347">
        <f>+B2573</f>
        <v>5</v>
      </c>
      <c r="C2574" s="347">
        <v>3110</v>
      </c>
      <c r="D2574" s="340" t="str">
        <f>VLOOKUP(C2574,Plan!A$1:B$65542,2,0)</f>
        <v>Colectas Normales</v>
      </c>
      <c r="E2574" s="396">
        <f>-G2574</f>
        <v>-9881</v>
      </c>
      <c r="F2574" s="396">
        <v>0</v>
      </c>
      <c r="G2574" s="396">
        <f>+F2573</f>
        <v>9881</v>
      </c>
      <c r="H2574" s="347" t="str">
        <f>+H2573</f>
        <v>Colecta DCT</v>
      </c>
      <c r="I2574" s="347" t="s">
        <v>1303</v>
      </c>
      <c r="K2574" s="370"/>
      <c r="N2574" s="370"/>
    </row>
    <row r="2575" spans="1:14" s="347" customFormat="1" x14ac:dyDescent="0.25">
      <c r="A2575" s="369"/>
      <c r="E2575" s="396"/>
      <c r="F2575" s="396"/>
      <c r="G2575" s="396"/>
      <c r="K2575" s="370"/>
      <c r="N2575" s="370"/>
    </row>
    <row r="2576" spans="1:14" s="347" customFormat="1" x14ac:dyDescent="0.25">
      <c r="A2576" s="369">
        <v>44336</v>
      </c>
      <c r="B2576" s="340">
        <f>+MONTH(A2576)</f>
        <v>5</v>
      </c>
      <c r="C2576" s="347">
        <v>110</v>
      </c>
      <c r="D2576" s="340" t="str">
        <f>VLOOKUP(C2576,Plan!A$1:B$65542,2,0)</f>
        <v>Disponible Administración</v>
      </c>
      <c r="E2576" s="341">
        <f>+F2576-G2576</f>
        <v>40000</v>
      </c>
      <c r="F2576" s="396">
        <v>40000</v>
      </c>
      <c r="G2576" s="396">
        <v>0</v>
      </c>
      <c r="H2576" s="347" t="s">
        <v>1502</v>
      </c>
      <c r="I2576" s="347" t="s">
        <v>1303</v>
      </c>
      <c r="K2576" s="370"/>
      <c r="N2576" s="370"/>
    </row>
    <row r="2577" spans="1:14" s="347" customFormat="1" x14ac:dyDescent="0.25">
      <c r="A2577" s="369">
        <f>+A2576</f>
        <v>44336</v>
      </c>
      <c r="B2577" s="347">
        <f>+B2576</f>
        <v>5</v>
      </c>
      <c r="C2577" s="347">
        <v>3450</v>
      </c>
      <c r="D2577" s="340" t="str">
        <f>VLOOKUP(C2577,Plan!A$1:B$65542,2,0)</f>
        <v>Pastoral Social</v>
      </c>
      <c r="E2577" s="396">
        <f>-G2577</f>
        <v>-40000</v>
      </c>
      <c r="F2577" s="396">
        <v>0</v>
      </c>
      <c r="G2577" s="396">
        <f>+F2576</f>
        <v>40000</v>
      </c>
      <c r="H2577" s="347" t="str">
        <f>+H2576</f>
        <v>Canastas</v>
      </c>
      <c r="I2577" s="347" t="s">
        <v>1303</v>
      </c>
      <c r="K2577" s="370"/>
      <c r="N2577" s="370"/>
    </row>
    <row r="2578" spans="1:14" s="347" customFormat="1" x14ac:dyDescent="0.25">
      <c r="A2578" s="369"/>
      <c r="E2578" s="396"/>
      <c r="F2578" s="396"/>
      <c r="G2578" s="396"/>
      <c r="K2578" s="370"/>
      <c r="N2578" s="370"/>
    </row>
    <row r="2579" spans="1:14" s="347" customFormat="1" x14ac:dyDescent="0.25">
      <c r="A2579" s="369">
        <v>44340</v>
      </c>
      <c r="B2579" s="340">
        <f>+MONTH(A2579)</f>
        <v>5</v>
      </c>
      <c r="C2579" s="347">
        <v>110</v>
      </c>
      <c r="D2579" s="340" t="str">
        <f>VLOOKUP(C2579,Plan!A$1:B$65542,2,0)</f>
        <v>Disponible Administración</v>
      </c>
      <c r="E2579" s="341">
        <f>+F2579-G2579</f>
        <v>100000</v>
      </c>
      <c r="F2579" s="396">
        <v>100000</v>
      </c>
      <c r="G2579" s="396">
        <v>0</v>
      </c>
      <c r="H2579" s="347" t="s">
        <v>1107</v>
      </c>
      <c r="I2579" s="347" t="s">
        <v>1303</v>
      </c>
      <c r="K2579" s="370"/>
      <c r="N2579" s="370"/>
    </row>
    <row r="2580" spans="1:14" s="347" customFormat="1" x14ac:dyDescent="0.25">
      <c r="A2580" s="369">
        <f>+A2579</f>
        <v>44340</v>
      </c>
      <c r="B2580" s="347">
        <f>+B2579</f>
        <v>5</v>
      </c>
      <c r="C2580" s="347">
        <v>3110</v>
      </c>
      <c r="D2580" s="340" t="str">
        <f>VLOOKUP(C2580,Plan!A$1:B$65542,2,0)</f>
        <v>Colectas Normales</v>
      </c>
      <c r="E2580" s="396">
        <f>-G2580</f>
        <v>-100000</v>
      </c>
      <c r="F2580" s="396">
        <v>0</v>
      </c>
      <c r="G2580" s="396">
        <f>+F2579</f>
        <v>100000</v>
      </c>
      <c r="H2580" s="347" t="str">
        <f>+H2579</f>
        <v>Colecta Francisco Guillen</v>
      </c>
      <c r="I2580" s="347" t="s">
        <v>1303</v>
      </c>
      <c r="K2580" s="370"/>
      <c r="N2580" s="370"/>
    </row>
    <row r="2581" spans="1:14" s="347" customFormat="1" x14ac:dyDescent="0.25">
      <c r="A2581" s="369"/>
      <c r="E2581" s="396"/>
      <c r="F2581" s="396"/>
      <c r="G2581" s="396"/>
      <c r="K2581" s="370"/>
      <c r="N2581" s="370"/>
    </row>
    <row r="2582" spans="1:14" s="347" customFormat="1" x14ac:dyDescent="0.25">
      <c r="A2582" s="369">
        <v>44340</v>
      </c>
      <c r="B2582" s="340">
        <f>+MONTH(A2582)</f>
        <v>5</v>
      </c>
      <c r="C2582" s="347">
        <v>110</v>
      </c>
      <c r="D2582" s="340" t="str">
        <f>VLOOKUP(C2582,Plan!A$1:B$65542,2,0)</f>
        <v>Disponible Administración</v>
      </c>
      <c r="E2582" s="341">
        <f>+F2582-G2582</f>
        <v>15000</v>
      </c>
      <c r="F2582" s="396">
        <v>15000</v>
      </c>
      <c r="G2582" s="396">
        <v>0</v>
      </c>
      <c r="H2582" s="347" t="s">
        <v>943</v>
      </c>
      <c r="I2582" s="347" t="s">
        <v>1303</v>
      </c>
      <c r="K2582" s="370"/>
      <c r="N2582" s="370"/>
    </row>
    <row r="2583" spans="1:14" s="347" customFormat="1" x14ac:dyDescent="0.25">
      <c r="A2583" s="369">
        <f>+A2582</f>
        <v>44340</v>
      </c>
      <c r="B2583" s="347">
        <f>+B2582</f>
        <v>5</v>
      </c>
      <c r="C2583" s="347">
        <v>3110</v>
      </c>
      <c r="D2583" s="340" t="str">
        <f>VLOOKUP(C2583,Plan!A$1:B$65542,2,0)</f>
        <v>Colectas Normales</v>
      </c>
      <c r="E2583" s="396">
        <f>-G2583</f>
        <v>-15000</v>
      </c>
      <c r="F2583" s="396">
        <v>0</v>
      </c>
      <c r="G2583" s="396">
        <f>+F2582</f>
        <v>15000</v>
      </c>
      <c r="H2583" s="347" t="str">
        <f>+H2582</f>
        <v>Colecta Carolina Guridi G</v>
      </c>
      <c r="I2583" s="347" t="s">
        <v>1303</v>
      </c>
      <c r="K2583" s="370"/>
      <c r="N2583" s="370"/>
    </row>
    <row r="2584" spans="1:14" s="347" customFormat="1" x14ac:dyDescent="0.25">
      <c r="A2584" s="369"/>
      <c r="E2584" s="396"/>
      <c r="F2584" s="396"/>
      <c r="G2584" s="396"/>
      <c r="K2584" s="370"/>
      <c r="N2584" s="370"/>
    </row>
    <row r="2585" spans="1:14" s="347" customFormat="1" x14ac:dyDescent="0.25">
      <c r="A2585" s="369">
        <v>44340</v>
      </c>
      <c r="B2585" s="340">
        <f>+MONTH(A2585)</f>
        <v>5</v>
      </c>
      <c r="C2585" s="347">
        <v>110</v>
      </c>
      <c r="D2585" s="340" t="str">
        <f>VLOOKUP(C2585,Plan!A$1:B$65542,2,0)</f>
        <v>Disponible Administración</v>
      </c>
      <c r="E2585" s="341">
        <f>+F2585-G2585</f>
        <v>40000</v>
      </c>
      <c r="F2585" s="396">
        <v>40000</v>
      </c>
      <c r="G2585" s="396">
        <v>0</v>
      </c>
      <c r="H2585" s="347" t="s">
        <v>1503</v>
      </c>
      <c r="I2585" s="347" t="s">
        <v>1303</v>
      </c>
      <c r="K2585" s="370"/>
      <c r="N2585" s="370"/>
    </row>
    <row r="2586" spans="1:14" s="347" customFormat="1" x14ac:dyDescent="0.25">
      <c r="A2586" s="369">
        <f>+A2585</f>
        <v>44340</v>
      </c>
      <c r="B2586" s="347">
        <f>+B2585</f>
        <v>5</v>
      </c>
      <c r="C2586" s="347">
        <v>3450</v>
      </c>
      <c r="D2586" s="340" t="str">
        <f>VLOOKUP(C2586,Plan!A$1:B$65542,2,0)</f>
        <v>Pastoral Social</v>
      </c>
      <c r="E2586" s="396">
        <f>-G2586</f>
        <v>-40000</v>
      </c>
      <c r="F2586" s="396">
        <v>0</v>
      </c>
      <c r="G2586" s="396">
        <f>+F2585</f>
        <v>40000</v>
      </c>
      <c r="H2586" s="347" t="str">
        <f>+H2585</f>
        <v>Canastas Lucia Riesgo Valdes</v>
      </c>
      <c r="I2586" s="347" t="s">
        <v>1303</v>
      </c>
      <c r="K2586" s="370"/>
      <c r="N2586" s="370"/>
    </row>
    <row r="2587" spans="1:14" s="347" customFormat="1" x14ac:dyDescent="0.25">
      <c r="A2587" s="369"/>
      <c r="E2587" s="396"/>
      <c r="F2587" s="396"/>
      <c r="G2587" s="396"/>
      <c r="K2587" s="370"/>
      <c r="N2587" s="370"/>
    </row>
    <row r="2588" spans="1:14" s="347" customFormat="1" x14ac:dyDescent="0.25">
      <c r="A2588" s="369">
        <v>44340</v>
      </c>
      <c r="B2588" s="340">
        <f>+MONTH(A2588)</f>
        <v>5</v>
      </c>
      <c r="C2588" s="347">
        <v>110</v>
      </c>
      <c r="D2588" s="340" t="str">
        <f>VLOOKUP(C2588,Plan!A$1:B$65542,2,0)</f>
        <v>Disponible Administración</v>
      </c>
      <c r="E2588" s="341">
        <f>+F2588-G2588</f>
        <v>50000</v>
      </c>
      <c r="F2588" s="396">
        <v>50000</v>
      </c>
      <c r="G2588" s="396">
        <v>0</v>
      </c>
      <c r="H2588" s="347" t="s">
        <v>1504</v>
      </c>
      <c r="I2588" s="347" t="s">
        <v>1303</v>
      </c>
      <c r="K2588" s="370"/>
      <c r="N2588" s="370"/>
    </row>
    <row r="2589" spans="1:14" s="347" customFormat="1" x14ac:dyDescent="0.25">
      <c r="A2589" s="369">
        <f>+A2588</f>
        <v>44340</v>
      </c>
      <c r="B2589" s="347">
        <f>+B2588</f>
        <v>5</v>
      </c>
      <c r="C2589" s="347">
        <v>3450</v>
      </c>
      <c r="D2589" s="340" t="str">
        <f>VLOOKUP(C2589,Plan!A$1:B$65542,2,0)</f>
        <v>Pastoral Social</v>
      </c>
      <c r="E2589" s="396">
        <f>-G2589</f>
        <v>-50000</v>
      </c>
      <c r="F2589" s="396">
        <v>0</v>
      </c>
      <c r="G2589" s="396">
        <f>+F2588</f>
        <v>50000</v>
      </c>
      <c r="H2589" s="347" t="str">
        <f>+H2588</f>
        <v>Canastas Jaime Lubascher</v>
      </c>
      <c r="I2589" s="347" t="s">
        <v>1303</v>
      </c>
      <c r="K2589" s="370"/>
      <c r="N2589" s="370"/>
    </row>
    <row r="2590" spans="1:14" s="347" customFormat="1" x14ac:dyDescent="0.25">
      <c r="A2590" s="369"/>
      <c r="E2590" s="396"/>
      <c r="F2590" s="396"/>
      <c r="G2590" s="396"/>
      <c r="K2590" s="370"/>
      <c r="N2590" s="370"/>
    </row>
    <row r="2591" spans="1:14" s="347" customFormat="1" x14ac:dyDescent="0.25">
      <c r="A2591" s="369">
        <v>44340</v>
      </c>
      <c r="B2591" s="340">
        <f>+MONTH(A2591)</f>
        <v>5</v>
      </c>
      <c r="C2591" s="347">
        <v>110</v>
      </c>
      <c r="D2591" s="340" t="str">
        <f>VLOOKUP(C2591,Plan!A$1:B$65542,2,0)</f>
        <v>Disponible Administración</v>
      </c>
      <c r="E2591" s="341">
        <f>+F2591-G2591</f>
        <v>20000</v>
      </c>
      <c r="F2591" s="396">
        <v>20000</v>
      </c>
      <c r="G2591" s="396">
        <v>0</v>
      </c>
      <c r="H2591" s="347" t="s">
        <v>1505</v>
      </c>
      <c r="I2591" s="347" t="s">
        <v>1303</v>
      </c>
      <c r="K2591" s="370"/>
      <c r="N2591" s="370"/>
    </row>
    <row r="2592" spans="1:14" s="347" customFormat="1" x14ac:dyDescent="0.25">
      <c r="A2592" s="369">
        <f>+A2591</f>
        <v>44340</v>
      </c>
      <c r="B2592" s="347">
        <f>+B2591</f>
        <v>5</v>
      </c>
      <c r="C2592" s="347">
        <v>3450</v>
      </c>
      <c r="D2592" s="340" t="str">
        <f>VLOOKUP(C2592,Plan!A$1:B$65542,2,0)</f>
        <v>Pastoral Social</v>
      </c>
      <c r="E2592" s="396">
        <f>-G2592</f>
        <v>-20000</v>
      </c>
      <c r="F2592" s="396">
        <v>0</v>
      </c>
      <c r="G2592" s="396">
        <f>+F2591</f>
        <v>20000</v>
      </c>
      <c r="H2592" s="347" t="str">
        <f>+H2591</f>
        <v>Canastas Sergio Rodriguez O</v>
      </c>
      <c r="I2592" s="347" t="s">
        <v>1303</v>
      </c>
      <c r="K2592" s="370"/>
      <c r="N2592" s="370"/>
    </row>
    <row r="2593" spans="1:14" s="347" customFormat="1" x14ac:dyDescent="0.25">
      <c r="A2593" s="369"/>
      <c r="E2593" s="396"/>
      <c r="F2593" s="396"/>
      <c r="G2593" s="396"/>
      <c r="K2593" s="370"/>
      <c r="N2593" s="370"/>
    </row>
    <row r="2594" spans="1:14" s="347" customFormat="1" x14ac:dyDescent="0.25">
      <c r="A2594" s="369">
        <v>44340</v>
      </c>
      <c r="B2594" s="340">
        <f>+MONTH(A2594)</f>
        <v>5</v>
      </c>
      <c r="C2594" s="347">
        <v>110</v>
      </c>
      <c r="D2594" s="340" t="str">
        <f>VLOOKUP(C2594,Plan!A$1:B$65542,2,0)</f>
        <v>Disponible Administración</v>
      </c>
      <c r="E2594" s="341">
        <f>+F2594-G2594</f>
        <v>60000</v>
      </c>
      <c r="F2594" s="396">
        <v>60000</v>
      </c>
      <c r="G2594" s="396">
        <v>0</v>
      </c>
      <c r="H2594" s="347" t="s">
        <v>1506</v>
      </c>
      <c r="I2594" s="347" t="s">
        <v>1303</v>
      </c>
      <c r="K2594" s="370"/>
      <c r="N2594" s="370"/>
    </row>
    <row r="2595" spans="1:14" s="347" customFormat="1" x14ac:dyDescent="0.25">
      <c r="A2595" s="369">
        <f>+A2594</f>
        <v>44340</v>
      </c>
      <c r="B2595" s="347">
        <f>+B2594</f>
        <v>5</v>
      </c>
      <c r="C2595" s="347">
        <v>3450</v>
      </c>
      <c r="D2595" s="340" t="str">
        <f>VLOOKUP(C2595,Plan!A$1:B$65542,2,0)</f>
        <v>Pastoral Social</v>
      </c>
      <c r="E2595" s="396">
        <f>-G2595</f>
        <v>-60000</v>
      </c>
      <c r="F2595" s="396">
        <v>0</v>
      </c>
      <c r="G2595" s="396">
        <f>+F2594</f>
        <v>60000</v>
      </c>
      <c r="H2595" s="347" t="str">
        <f>+H2594</f>
        <v>Canastas Tomas Alcalde H</v>
      </c>
      <c r="I2595" s="347" t="s">
        <v>1303</v>
      </c>
      <c r="K2595" s="370"/>
      <c r="N2595" s="370"/>
    </row>
    <row r="2596" spans="1:14" s="347" customFormat="1" x14ac:dyDescent="0.25">
      <c r="A2596" s="369"/>
      <c r="E2596" s="396"/>
      <c r="F2596" s="396"/>
      <c r="G2596" s="396"/>
      <c r="K2596" s="370"/>
      <c r="N2596" s="370"/>
    </row>
    <row r="2597" spans="1:14" s="347" customFormat="1" x14ac:dyDescent="0.25">
      <c r="A2597" s="369">
        <v>44340</v>
      </c>
      <c r="B2597" s="340">
        <f>+MONTH(A2597)</f>
        <v>5</v>
      </c>
      <c r="C2597" s="347">
        <v>110</v>
      </c>
      <c r="D2597" s="340" t="str">
        <f>VLOOKUP(C2597,Plan!A$1:B$65542,2,0)</f>
        <v>Disponible Administración</v>
      </c>
      <c r="E2597" s="341">
        <f>+F2597-G2597</f>
        <v>5000</v>
      </c>
      <c r="F2597" s="396">
        <v>5000</v>
      </c>
      <c r="G2597" s="396">
        <v>0</v>
      </c>
      <c r="H2597" s="347" t="s">
        <v>1507</v>
      </c>
      <c r="I2597" s="347" t="s">
        <v>1303</v>
      </c>
      <c r="K2597" s="370"/>
      <c r="N2597" s="370"/>
    </row>
    <row r="2598" spans="1:14" s="347" customFormat="1" x14ac:dyDescent="0.25">
      <c r="A2598" s="369">
        <f>+A2597</f>
        <v>44340</v>
      </c>
      <c r="B2598" s="347">
        <f>+B2597</f>
        <v>5</v>
      </c>
      <c r="C2598" s="347">
        <v>3340</v>
      </c>
      <c r="D2598" s="340" t="str">
        <f>VLOOKUP(C2598,Plan!A$1:B$65542,2,0)</f>
        <v>Misas</v>
      </c>
      <c r="E2598" s="396">
        <f>-G2598</f>
        <v>-5000</v>
      </c>
      <c r="F2598" s="396">
        <v>0</v>
      </c>
      <c r="G2598" s="396">
        <f>+F2597</f>
        <v>5000</v>
      </c>
      <c r="H2598" s="347" t="str">
        <f>+H2597</f>
        <v>Misa Veronica Arriagada</v>
      </c>
      <c r="I2598" s="347" t="s">
        <v>1303</v>
      </c>
      <c r="K2598" s="370"/>
      <c r="N2598" s="370"/>
    </row>
    <row r="2599" spans="1:14" s="347" customFormat="1" x14ac:dyDescent="0.25">
      <c r="A2599" s="369"/>
      <c r="E2599" s="396"/>
      <c r="F2599" s="396"/>
      <c r="G2599" s="396"/>
      <c r="K2599" s="370"/>
      <c r="N2599" s="370"/>
    </row>
    <row r="2600" spans="1:14" s="347" customFormat="1" x14ac:dyDescent="0.25">
      <c r="A2600" s="369">
        <v>44340</v>
      </c>
      <c r="B2600" s="340">
        <f>+MONTH(A2600)</f>
        <v>5</v>
      </c>
      <c r="C2600" s="347">
        <v>110</v>
      </c>
      <c r="D2600" s="340" t="str">
        <f>VLOOKUP(C2600,Plan!A$1:B$65542,2,0)</f>
        <v>Disponible Administración</v>
      </c>
      <c r="E2600" s="341">
        <f>+F2600-G2600</f>
        <v>20000</v>
      </c>
      <c r="F2600" s="396">
        <v>20000</v>
      </c>
      <c r="G2600" s="396">
        <v>0</v>
      </c>
      <c r="H2600" s="347" t="s">
        <v>1508</v>
      </c>
      <c r="I2600" s="347" t="s">
        <v>1303</v>
      </c>
      <c r="K2600" s="370"/>
      <c r="N2600" s="370"/>
    </row>
    <row r="2601" spans="1:14" s="347" customFormat="1" x14ac:dyDescent="0.25">
      <c r="A2601" s="369">
        <f>+A2600</f>
        <v>44340</v>
      </c>
      <c r="B2601" s="347">
        <f>+B2600</f>
        <v>5</v>
      </c>
      <c r="C2601" s="347">
        <v>3450</v>
      </c>
      <c r="D2601" s="340" t="str">
        <f>VLOOKUP(C2601,Plan!A$1:B$65542,2,0)</f>
        <v>Pastoral Social</v>
      </c>
      <c r="E2601" s="396">
        <f>-G2601</f>
        <v>-20000</v>
      </c>
      <c r="F2601" s="396">
        <v>0</v>
      </c>
      <c r="G2601" s="396">
        <f>+F2600</f>
        <v>20000</v>
      </c>
      <c r="H2601" s="347" t="str">
        <f>+H2600</f>
        <v>Canastas Raul Lagomarsino</v>
      </c>
      <c r="I2601" s="347" t="s">
        <v>1303</v>
      </c>
      <c r="K2601" s="370"/>
      <c r="N2601" s="370"/>
    </row>
    <row r="2602" spans="1:14" s="347" customFormat="1" x14ac:dyDescent="0.25">
      <c r="A2602" s="369"/>
      <c r="E2602" s="396"/>
      <c r="F2602" s="396"/>
      <c r="G2602" s="396"/>
      <c r="K2602" s="370"/>
      <c r="N2602" s="370"/>
    </row>
    <row r="2603" spans="1:14" s="347" customFormat="1" x14ac:dyDescent="0.25">
      <c r="A2603" s="369">
        <v>44340</v>
      </c>
      <c r="B2603" s="340">
        <f>+MONTH(A2603)</f>
        <v>5</v>
      </c>
      <c r="C2603" s="347">
        <v>110</v>
      </c>
      <c r="D2603" s="340" t="str">
        <f>VLOOKUP(C2603,Plan!A$1:B$65542,2,0)</f>
        <v>Disponible Administración</v>
      </c>
      <c r="E2603" s="341">
        <f>+F2603-G2603</f>
        <v>20000</v>
      </c>
      <c r="F2603" s="396">
        <v>20000</v>
      </c>
      <c r="G2603" s="396">
        <v>0</v>
      </c>
      <c r="H2603" s="347" t="s">
        <v>1509</v>
      </c>
      <c r="I2603" s="347" t="s">
        <v>1303</v>
      </c>
      <c r="K2603" s="370"/>
      <c r="N2603" s="370"/>
    </row>
    <row r="2604" spans="1:14" s="347" customFormat="1" x14ac:dyDescent="0.25">
      <c r="A2604" s="369">
        <f>+A2603</f>
        <v>44340</v>
      </c>
      <c r="B2604" s="347">
        <f>+B2603</f>
        <v>5</v>
      </c>
      <c r="C2604" s="347">
        <v>3450</v>
      </c>
      <c r="D2604" s="340" t="str">
        <f>VLOOKUP(C2604,Plan!A$1:B$65542,2,0)</f>
        <v>Pastoral Social</v>
      </c>
      <c r="E2604" s="396">
        <f>-G2604</f>
        <v>-20000</v>
      </c>
      <c r="F2604" s="396">
        <v>0</v>
      </c>
      <c r="G2604" s="396">
        <f>+F2603</f>
        <v>20000</v>
      </c>
      <c r="H2604" s="347" t="str">
        <f>+H2603</f>
        <v>Canastas Bernandita Jara</v>
      </c>
      <c r="I2604" s="347" t="s">
        <v>1303</v>
      </c>
      <c r="K2604" s="370"/>
      <c r="N2604" s="370"/>
    </row>
    <row r="2605" spans="1:14" s="347" customFormat="1" x14ac:dyDescent="0.25">
      <c r="A2605" s="369"/>
      <c r="E2605" s="396"/>
      <c r="F2605" s="396"/>
      <c r="G2605" s="396"/>
      <c r="K2605" s="370"/>
      <c r="N2605" s="370"/>
    </row>
    <row r="2606" spans="1:14" s="347" customFormat="1" x14ac:dyDescent="0.25">
      <c r="A2606" s="369">
        <v>44340</v>
      </c>
      <c r="B2606" s="340">
        <f>+MONTH(A2606)</f>
        <v>5</v>
      </c>
      <c r="C2606" s="347">
        <v>110</v>
      </c>
      <c r="D2606" s="340" t="str">
        <f>VLOOKUP(C2606,Plan!A$1:B$65542,2,0)</f>
        <v>Disponible Administración</v>
      </c>
      <c r="E2606" s="341">
        <f>+F2606-G2606</f>
        <v>20000</v>
      </c>
      <c r="F2606" s="396">
        <v>20000</v>
      </c>
      <c r="G2606" s="396">
        <v>0</v>
      </c>
      <c r="H2606" s="347" t="s">
        <v>1510</v>
      </c>
      <c r="I2606" s="347" t="s">
        <v>1303</v>
      </c>
      <c r="K2606" s="370"/>
      <c r="N2606" s="370"/>
    </row>
    <row r="2607" spans="1:14" s="347" customFormat="1" x14ac:dyDescent="0.25">
      <c r="A2607" s="369">
        <f>+A2606</f>
        <v>44340</v>
      </c>
      <c r="B2607" s="347">
        <f>+B2606</f>
        <v>5</v>
      </c>
      <c r="C2607" s="347">
        <v>3450</v>
      </c>
      <c r="D2607" s="340" t="str">
        <f>VLOOKUP(C2607,Plan!A$1:B$65542,2,0)</f>
        <v>Pastoral Social</v>
      </c>
      <c r="E2607" s="396">
        <f>-G2607</f>
        <v>-20000</v>
      </c>
      <c r="F2607" s="396">
        <v>0</v>
      </c>
      <c r="G2607" s="396">
        <f>+F2606</f>
        <v>20000</v>
      </c>
      <c r="H2607" s="347" t="str">
        <f>+H2606</f>
        <v>Canastas Maria Soledad Toso L</v>
      </c>
      <c r="I2607" s="347" t="s">
        <v>1303</v>
      </c>
      <c r="K2607" s="370"/>
      <c r="N2607" s="370"/>
    </row>
    <row r="2608" spans="1:14" s="347" customFormat="1" x14ac:dyDescent="0.25">
      <c r="A2608" s="369"/>
      <c r="E2608" s="396"/>
      <c r="F2608" s="396"/>
      <c r="G2608" s="396"/>
      <c r="K2608" s="370"/>
      <c r="N2608" s="370"/>
    </row>
    <row r="2609" spans="1:14" s="347" customFormat="1" x14ac:dyDescent="0.25">
      <c r="A2609" s="369">
        <v>44340</v>
      </c>
      <c r="B2609" s="340">
        <f>+MONTH(A2609)</f>
        <v>5</v>
      </c>
      <c r="C2609" s="347">
        <v>110</v>
      </c>
      <c r="D2609" s="340" t="str">
        <f>VLOOKUP(C2609,Plan!A$1:B$65542,2,0)</f>
        <v>Disponible Administración</v>
      </c>
      <c r="E2609" s="341">
        <f>+F2609-G2609</f>
        <v>20000</v>
      </c>
      <c r="F2609" s="396">
        <v>20000</v>
      </c>
      <c r="G2609" s="396">
        <v>0</v>
      </c>
      <c r="H2609" s="347" t="s">
        <v>1511</v>
      </c>
      <c r="I2609" s="347" t="s">
        <v>1303</v>
      </c>
      <c r="K2609" s="370"/>
      <c r="N2609" s="370"/>
    </row>
    <row r="2610" spans="1:14" s="347" customFormat="1" x14ac:dyDescent="0.25">
      <c r="A2610" s="369">
        <f>+A2609</f>
        <v>44340</v>
      </c>
      <c r="B2610" s="347">
        <f>+B2609</f>
        <v>5</v>
      </c>
      <c r="C2610" s="347">
        <v>3450</v>
      </c>
      <c r="D2610" s="340" t="str">
        <f>VLOOKUP(C2610,Plan!A$1:B$65542,2,0)</f>
        <v>Pastoral Social</v>
      </c>
      <c r="E2610" s="396">
        <f>-G2610</f>
        <v>-20000</v>
      </c>
      <c r="F2610" s="396">
        <v>0</v>
      </c>
      <c r="G2610" s="396">
        <f>+F2609</f>
        <v>20000</v>
      </c>
      <c r="H2610" s="347" t="str">
        <f>+H2609</f>
        <v>Canastas Alicia Bahamondes</v>
      </c>
      <c r="I2610" s="347" t="s">
        <v>1303</v>
      </c>
      <c r="K2610" s="370"/>
      <c r="N2610" s="370"/>
    </row>
    <row r="2611" spans="1:14" s="347" customFormat="1" x14ac:dyDescent="0.25">
      <c r="A2611" s="369"/>
      <c r="E2611" s="396"/>
      <c r="F2611" s="396"/>
      <c r="G2611" s="396"/>
      <c r="K2611" s="370"/>
      <c r="N2611" s="370"/>
    </row>
    <row r="2612" spans="1:14" s="347" customFormat="1" x14ac:dyDescent="0.25">
      <c r="A2612" s="369">
        <v>44340</v>
      </c>
      <c r="B2612" s="340">
        <f>+MONTH(A2612)</f>
        <v>5</v>
      </c>
      <c r="C2612" s="347">
        <v>110</v>
      </c>
      <c r="D2612" s="340" t="str">
        <f>VLOOKUP(C2612,Plan!A$1:B$65542,2,0)</f>
        <v>Disponible Administración</v>
      </c>
      <c r="E2612" s="341">
        <f>+F2612-G2612</f>
        <v>60000</v>
      </c>
      <c r="F2612" s="396">
        <v>60000</v>
      </c>
      <c r="G2612" s="396">
        <v>0</v>
      </c>
      <c r="H2612" s="347" t="s">
        <v>1512</v>
      </c>
      <c r="I2612" s="347" t="s">
        <v>1303</v>
      </c>
      <c r="K2612" s="370"/>
      <c r="N2612" s="370"/>
    </row>
    <row r="2613" spans="1:14" s="347" customFormat="1" x14ac:dyDescent="0.25">
      <c r="A2613" s="369">
        <f>+A2612</f>
        <v>44340</v>
      </c>
      <c r="B2613" s="347">
        <f>+B2612</f>
        <v>5</v>
      </c>
      <c r="C2613" s="347">
        <v>3450</v>
      </c>
      <c r="D2613" s="340" t="str">
        <f>VLOOKUP(C2613,Plan!A$1:B$65542,2,0)</f>
        <v>Pastoral Social</v>
      </c>
      <c r="E2613" s="396">
        <f>-G2613</f>
        <v>-60000</v>
      </c>
      <c r="F2613" s="396">
        <v>0</v>
      </c>
      <c r="G2613" s="396">
        <f>+F2612</f>
        <v>60000</v>
      </c>
      <c r="H2613" s="347" t="str">
        <f>+H2612</f>
        <v>Canastas Eduardo Calvimontes</v>
      </c>
      <c r="I2613" s="347" t="s">
        <v>1303</v>
      </c>
      <c r="K2613" s="370"/>
      <c r="N2613" s="370"/>
    </row>
    <row r="2614" spans="1:14" s="347" customFormat="1" x14ac:dyDescent="0.25">
      <c r="A2614" s="369"/>
      <c r="E2614" s="396"/>
      <c r="F2614" s="396"/>
      <c r="G2614" s="396"/>
      <c r="K2614" s="370"/>
      <c r="N2614" s="370"/>
    </row>
    <row r="2615" spans="1:14" s="347" customFormat="1" x14ac:dyDescent="0.25">
      <c r="A2615" s="369">
        <v>44340</v>
      </c>
      <c r="B2615" s="340">
        <f>+MONTH(A2615)</f>
        <v>5</v>
      </c>
      <c r="C2615" s="347">
        <v>110</v>
      </c>
      <c r="D2615" s="340" t="str">
        <f>VLOOKUP(C2615,Plan!A$1:B$65542,2,0)</f>
        <v>Disponible Administración</v>
      </c>
      <c r="E2615" s="341">
        <f>+F2615-G2615</f>
        <v>50000</v>
      </c>
      <c r="F2615" s="396">
        <v>50000</v>
      </c>
      <c r="G2615" s="396">
        <v>0</v>
      </c>
      <c r="H2615" s="347" t="s">
        <v>1513</v>
      </c>
      <c r="I2615" s="347" t="s">
        <v>1303</v>
      </c>
      <c r="K2615" s="370"/>
      <c r="N2615" s="370"/>
    </row>
    <row r="2616" spans="1:14" s="347" customFormat="1" x14ac:dyDescent="0.25">
      <c r="A2616" s="369">
        <f>+A2615</f>
        <v>44340</v>
      </c>
      <c r="B2616" s="347">
        <f>+B2615</f>
        <v>5</v>
      </c>
      <c r="C2616" s="347">
        <v>3450</v>
      </c>
      <c r="D2616" s="340" t="str">
        <f>VLOOKUP(C2616,Plan!A$1:B$65542,2,0)</f>
        <v>Pastoral Social</v>
      </c>
      <c r="E2616" s="396">
        <f>-G2616</f>
        <v>-50000</v>
      </c>
      <c r="F2616" s="396">
        <v>0</v>
      </c>
      <c r="G2616" s="396">
        <f>+F2615</f>
        <v>50000</v>
      </c>
      <c r="H2616" s="347" t="str">
        <f>+H2615</f>
        <v>Canastas Osvaldo Fuenzalida</v>
      </c>
      <c r="I2616" s="347" t="s">
        <v>1303</v>
      </c>
      <c r="K2616" s="370"/>
      <c r="N2616" s="370"/>
    </row>
    <row r="2617" spans="1:14" s="347" customFormat="1" x14ac:dyDescent="0.25">
      <c r="A2617" s="369"/>
      <c r="E2617" s="396"/>
      <c r="F2617" s="396"/>
      <c r="G2617" s="396"/>
      <c r="K2617" s="370"/>
      <c r="N2617" s="370"/>
    </row>
    <row r="2618" spans="1:14" s="347" customFormat="1" x14ac:dyDescent="0.25">
      <c r="A2618" s="369">
        <v>44340</v>
      </c>
      <c r="B2618" s="340">
        <f>+MONTH(A2618)</f>
        <v>5</v>
      </c>
      <c r="C2618" s="347">
        <v>110</v>
      </c>
      <c r="D2618" s="340" t="str">
        <f>VLOOKUP(C2618,Plan!A$1:B$65542,2,0)</f>
        <v>Disponible Administración</v>
      </c>
      <c r="E2618" s="341">
        <f>+F2618-G2618</f>
        <v>250000</v>
      </c>
      <c r="F2618" s="396">
        <v>250000</v>
      </c>
      <c r="G2618" s="396">
        <v>0</v>
      </c>
      <c r="H2618" s="347" t="s">
        <v>1109</v>
      </c>
      <c r="I2618" s="347" t="s">
        <v>1303</v>
      </c>
      <c r="K2618" s="370"/>
      <c r="N2618" s="370"/>
    </row>
    <row r="2619" spans="1:14" s="347" customFormat="1" x14ac:dyDescent="0.25">
      <c r="A2619" s="369">
        <f>+A2618</f>
        <v>44340</v>
      </c>
      <c r="B2619" s="347">
        <f>+B2618</f>
        <v>5</v>
      </c>
      <c r="C2619" s="347">
        <v>3110</v>
      </c>
      <c r="D2619" s="340" t="str">
        <f>VLOOKUP(C2619,Plan!A$1:B$65542,2,0)</f>
        <v>Colectas Normales</v>
      </c>
      <c r="E2619" s="396">
        <f>-G2619</f>
        <v>-250000</v>
      </c>
      <c r="F2619" s="396">
        <v>0</v>
      </c>
      <c r="G2619" s="396">
        <f>+F2618</f>
        <v>250000</v>
      </c>
      <c r="H2619" s="347" t="str">
        <f>+H2618</f>
        <v>Colecta Felipe Valbuena Valdivielso</v>
      </c>
      <c r="I2619" s="347" t="s">
        <v>1303</v>
      </c>
      <c r="K2619" s="370"/>
      <c r="N2619" s="370"/>
    </row>
    <row r="2620" spans="1:14" s="347" customFormat="1" x14ac:dyDescent="0.25">
      <c r="A2620" s="369"/>
      <c r="E2620" s="396"/>
      <c r="F2620" s="396"/>
      <c r="G2620" s="396"/>
      <c r="K2620" s="370"/>
      <c r="N2620" s="370"/>
    </row>
    <row r="2621" spans="1:14" s="347" customFormat="1" x14ac:dyDescent="0.25">
      <c r="A2621" s="369">
        <v>44340</v>
      </c>
      <c r="B2621" s="340">
        <f>+MONTH(A2621)</f>
        <v>5</v>
      </c>
      <c r="C2621" s="347">
        <v>110</v>
      </c>
      <c r="D2621" s="340" t="str">
        <f>VLOOKUP(C2621,Plan!A$1:B$65542,2,0)</f>
        <v>Disponible Administración</v>
      </c>
      <c r="E2621" s="341">
        <f>+F2621-G2621</f>
        <v>20000</v>
      </c>
      <c r="F2621" s="396">
        <v>20000</v>
      </c>
      <c r="G2621" s="396">
        <v>0</v>
      </c>
      <c r="H2621" s="347" t="s">
        <v>1514</v>
      </c>
      <c r="I2621" s="347" t="s">
        <v>1303</v>
      </c>
      <c r="K2621" s="370"/>
      <c r="N2621" s="370"/>
    </row>
    <row r="2622" spans="1:14" s="347" customFormat="1" x14ac:dyDescent="0.25">
      <c r="A2622" s="369">
        <f>+A2621</f>
        <v>44340</v>
      </c>
      <c r="B2622" s="347">
        <f>+B2621</f>
        <v>5</v>
      </c>
      <c r="C2622" s="347">
        <v>3450</v>
      </c>
      <c r="D2622" s="340" t="str">
        <f>VLOOKUP(C2622,Plan!A$1:B$65542,2,0)</f>
        <v>Pastoral Social</v>
      </c>
      <c r="E2622" s="396">
        <f>-G2622</f>
        <v>-20000</v>
      </c>
      <c r="F2622" s="396">
        <v>0</v>
      </c>
      <c r="G2622" s="396">
        <f>+F2621</f>
        <v>20000</v>
      </c>
      <c r="H2622" s="347" t="str">
        <f>+H2621</f>
        <v>Canastas Jaime Gonzalez Fabre</v>
      </c>
      <c r="I2622" s="347" t="s">
        <v>1303</v>
      </c>
      <c r="K2622" s="370"/>
      <c r="N2622" s="370"/>
    </row>
    <row r="2623" spans="1:14" s="347" customFormat="1" x14ac:dyDescent="0.25">
      <c r="A2623" s="369"/>
      <c r="E2623" s="396"/>
      <c r="F2623" s="396"/>
      <c r="G2623" s="396"/>
      <c r="K2623" s="370"/>
      <c r="N2623" s="370"/>
    </row>
    <row r="2624" spans="1:14" s="347" customFormat="1" x14ac:dyDescent="0.25">
      <c r="A2624" s="369">
        <v>44340</v>
      </c>
      <c r="B2624" s="340">
        <f>+MONTH(A2624)</f>
        <v>5</v>
      </c>
      <c r="C2624" s="347">
        <v>110</v>
      </c>
      <c r="D2624" s="340" t="str">
        <f>VLOOKUP(C2624,Plan!A$1:B$65542,2,0)</f>
        <v>Disponible Administración</v>
      </c>
      <c r="E2624" s="341">
        <f>+F2624-G2624</f>
        <v>10000</v>
      </c>
      <c r="F2624" s="396">
        <v>10000</v>
      </c>
      <c r="G2624" s="396">
        <v>0</v>
      </c>
      <c r="H2624" s="347" t="s">
        <v>881</v>
      </c>
      <c r="I2624" s="347" t="s">
        <v>1303</v>
      </c>
      <c r="K2624" s="370"/>
      <c r="N2624" s="370"/>
    </row>
    <row r="2625" spans="1:14" s="347" customFormat="1" x14ac:dyDescent="0.25">
      <c r="A2625" s="369">
        <f>+A2624</f>
        <v>44340</v>
      </c>
      <c r="B2625" s="347">
        <f>+B2624</f>
        <v>5</v>
      </c>
      <c r="C2625" s="347">
        <v>3110</v>
      </c>
      <c r="D2625" s="340" t="str">
        <f>VLOOKUP(C2625,Plan!A$1:B$65542,2,0)</f>
        <v>Colectas Normales</v>
      </c>
      <c r="E2625" s="396">
        <f>-G2625</f>
        <v>-10000</v>
      </c>
      <c r="F2625" s="396">
        <v>0</v>
      </c>
      <c r="G2625" s="396">
        <f>+F2624</f>
        <v>10000</v>
      </c>
      <c r="H2625" s="347" t="str">
        <f>+H2624</f>
        <v>Colecta Rafael Marin Jordan</v>
      </c>
      <c r="I2625" s="347" t="s">
        <v>1303</v>
      </c>
      <c r="K2625" s="370"/>
      <c r="N2625" s="370"/>
    </row>
    <row r="2626" spans="1:14" s="347" customFormat="1" x14ac:dyDescent="0.25">
      <c r="A2626" s="369"/>
      <c r="E2626" s="396"/>
      <c r="F2626" s="396"/>
      <c r="G2626" s="396"/>
      <c r="K2626" s="370"/>
      <c r="N2626" s="370"/>
    </row>
    <row r="2627" spans="1:14" s="347" customFormat="1" x14ac:dyDescent="0.25">
      <c r="A2627" s="369">
        <v>44340</v>
      </c>
      <c r="B2627" s="340">
        <f>+MONTH(A2627)</f>
        <v>5</v>
      </c>
      <c r="C2627" s="347">
        <v>110</v>
      </c>
      <c r="D2627" s="340" t="str">
        <f>VLOOKUP(C2627,Plan!A$1:B$65542,2,0)</f>
        <v>Disponible Administración</v>
      </c>
      <c r="E2627" s="341">
        <f>+F2627-G2627</f>
        <v>3000</v>
      </c>
      <c r="F2627" s="396">
        <v>3000</v>
      </c>
      <c r="G2627" s="396">
        <v>0</v>
      </c>
      <c r="H2627" s="347" t="s">
        <v>915</v>
      </c>
      <c r="I2627" s="347" t="s">
        <v>1303</v>
      </c>
      <c r="K2627" s="370"/>
      <c r="N2627" s="370"/>
    </row>
    <row r="2628" spans="1:14" s="347" customFormat="1" x14ac:dyDescent="0.25">
      <c r="A2628" s="369">
        <f>+A2627</f>
        <v>44340</v>
      </c>
      <c r="B2628" s="347">
        <f>+B2627</f>
        <v>5</v>
      </c>
      <c r="C2628" s="347">
        <v>3110</v>
      </c>
      <c r="D2628" s="340" t="str">
        <f>VLOOKUP(C2628,Plan!A$1:B$65542,2,0)</f>
        <v>Colectas Normales</v>
      </c>
      <c r="E2628" s="396">
        <f>-G2628</f>
        <v>-3000</v>
      </c>
      <c r="F2628" s="396">
        <v>0</v>
      </c>
      <c r="G2628" s="396">
        <f>+F2627</f>
        <v>3000</v>
      </c>
      <c r="H2628" s="347" t="str">
        <f>+H2627</f>
        <v>Colecta Jose Perez de Castro</v>
      </c>
      <c r="I2628" s="347" t="s">
        <v>1303</v>
      </c>
      <c r="K2628" s="370"/>
      <c r="N2628" s="370"/>
    </row>
    <row r="2629" spans="1:14" s="347" customFormat="1" x14ac:dyDescent="0.25">
      <c r="A2629" s="369"/>
      <c r="E2629" s="396"/>
      <c r="F2629" s="396"/>
      <c r="G2629" s="396"/>
      <c r="K2629" s="370"/>
      <c r="N2629" s="370"/>
    </row>
    <row r="2630" spans="1:14" s="347" customFormat="1" x14ac:dyDescent="0.25">
      <c r="A2630" s="369">
        <v>44340</v>
      </c>
      <c r="B2630" s="340">
        <f>+MONTH(A2630)</f>
        <v>5</v>
      </c>
      <c r="C2630" s="347">
        <v>110</v>
      </c>
      <c r="D2630" s="340" t="str">
        <f>VLOOKUP(C2630,Plan!A$1:B$65542,2,0)</f>
        <v>Disponible Administración</v>
      </c>
      <c r="E2630" s="341">
        <f>+F2630-G2630</f>
        <v>20000</v>
      </c>
      <c r="F2630" s="396">
        <v>20000</v>
      </c>
      <c r="G2630" s="396">
        <v>0</v>
      </c>
      <c r="H2630" s="347" t="s">
        <v>1431</v>
      </c>
      <c r="I2630" s="347" t="s">
        <v>1303</v>
      </c>
      <c r="K2630" s="370"/>
      <c r="N2630" s="370"/>
    </row>
    <row r="2631" spans="1:14" s="347" customFormat="1" x14ac:dyDescent="0.25">
      <c r="A2631" s="369">
        <f>+A2630</f>
        <v>44340</v>
      </c>
      <c r="B2631" s="347">
        <f>+B2630</f>
        <v>5</v>
      </c>
      <c r="C2631" s="347">
        <v>3450</v>
      </c>
      <c r="D2631" s="340" t="str">
        <f>VLOOKUP(C2631,Plan!A$1:B$65542,2,0)</f>
        <v>Pastoral Social</v>
      </c>
      <c r="E2631" s="396">
        <f>-G2631</f>
        <v>-20000</v>
      </c>
      <c r="F2631" s="396">
        <v>0</v>
      </c>
      <c r="G2631" s="396">
        <f>+F2630</f>
        <v>20000</v>
      </c>
      <c r="H2631" s="347" t="str">
        <f>+H2630</f>
        <v>Canastas Carmen Gloria Gomez P</v>
      </c>
      <c r="I2631" s="347" t="s">
        <v>1303</v>
      </c>
      <c r="K2631" s="370"/>
      <c r="N2631" s="370"/>
    </row>
    <row r="2632" spans="1:14" s="347" customFormat="1" x14ac:dyDescent="0.25">
      <c r="A2632" s="369"/>
      <c r="E2632" s="396"/>
      <c r="F2632" s="396"/>
      <c r="G2632" s="396"/>
      <c r="K2632" s="370"/>
      <c r="N2632" s="370"/>
    </row>
    <row r="2633" spans="1:14" s="347" customFormat="1" x14ac:dyDescent="0.25">
      <c r="A2633" s="369">
        <v>44340</v>
      </c>
      <c r="B2633" s="340">
        <f>+MONTH(A2633)</f>
        <v>5</v>
      </c>
      <c r="C2633" s="347">
        <v>110</v>
      </c>
      <c r="D2633" s="340" t="str">
        <f>VLOOKUP(C2633,Plan!A$1:B$65542,2,0)</f>
        <v>Disponible Administración</v>
      </c>
      <c r="E2633" s="341">
        <f>+F2633-G2633</f>
        <v>10000</v>
      </c>
      <c r="F2633" s="396">
        <v>10000</v>
      </c>
      <c r="G2633" s="396">
        <v>0</v>
      </c>
      <c r="H2633" s="347" t="s">
        <v>1432</v>
      </c>
      <c r="I2633" s="347" t="s">
        <v>1303</v>
      </c>
      <c r="K2633" s="370"/>
      <c r="N2633" s="370"/>
    </row>
    <row r="2634" spans="1:14" s="347" customFormat="1" x14ac:dyDescent="0.25">
      <c r="A2634" s="369">
        <f>+A2633</f>
        <v>44340</v>
      </c>
      <c r="B2634" s="347">
        <f>+B2633</f>
        <v>5</v>
      </c>
      <c r="C2634" s="347">
        <v>3110</v>
      </c>
      <c r="D2634" s="340" t="str">
        <f>VLOOKUP(C2634,Plan!A$1:B$65542,2,0)</f>
        <v>Colectas Normales</v>
      </c>
      <c r="E2634" s="396">
        <f>-G2634</f>
        <v>-10000</v>
      </c>
      <c r="F2634" s="396">
        <v>0</v>
      </c>
      <c r="G2634" s="396">
        <f>+F2633</f>
        <v>10000</v>
      </c>
      <c r="H2634" s="347" t="str">
        <f>+H2633</f>
        <v>Colecta Carmen Gloria Gomez P</v>
      </c>
      <c r="I2634" s="347" t="s">
        <v>1303</v>
      </c>
      <c r="K2634" s="370"/>
      <c r="N2634" s="370"/>
    </row>
    <row r="2635" spans="1:14" s="347" customFormat="1" x14ac:dyDescent="0.25">
      <c r="A2635" s="369"/>
      <c r="E2635" s="396"/>
      <c r="F2635" s="396"/>
      <c r="G2635" s="396"/>
      <c r="K2635" s="370"/>
      <c r="N2635" s="370"/>
    </row>
    <row r="2636" spans="1:14" s="347" customFormat="1" x14ac:dyDescent="0.25">
      <c r="A2636" s="369">
        <v>44340</v>
      </c>
      <c r="B2636" s="340">
        <f>+MONTH(A2636)</f>
        <v>5</v>
      </c>
      <c r="C2636" s="347">
        <v>110</v>
      </c>
      <c r="D2636" s="340" t="str">
        <f>VLOOKUP(C2636,Plan!A$1:B$65542,2,0)</f>
        <v>Disponible Administración</v>
      </c>
      <c r="E2636" s="341">
        <f>+F2636-G2636</f>
        <v>10000</v>
      </c>
      <c r="F2636" s="396">
        <v>10000</v>
      </c>
      <c r="G2636" s="396">
        <v>0</v>
      </c>
      <c r="H2636" s="347" t="s">
        <v>880</v>
      </c>
      <c r="I2636" s="347" t="s">
        <v>1303</v>
      </c>
      <c r="K2636" s="370"/>
      <c r="N2636" s="370"/>
    </row>
    <row r="2637" spans="1:14" s="347" customFormat="1" x14ac:dyDescent="0.25">
      <c r="A2637" s="369">
        <f>+A2636</f>
        <v>44340</v>
      </c>
      <c r="B2637" s="347">
        <f>+B2636</f>
        <v>5</v>
      </c>
      <c r="C2637" s="347">
        <v>3110</v>
      </c>
      <c r="D2637" s="340" t="str">
        <f>VLOOKUP(C2637,Plan!A$1:B$65542,2,0)</f>
        <v>Colectas Normales</v>
      </c>
      <c r="E2637" s="396">
        <f>-G2637</f>
        <v>-10000</v>
      </c>
      <c r="F2637" s="396">
        <v>0</v>
      </c>
      <c r="G2637" s="396">
        <f>+F2636</f>
        <v>10000</v>
      </c>
      <c r="H2637" s="347" t="str">
        <f>+H2636</f>
        <v>Colecta Sebastian Rios</v>
      </c>
      <c r="I2637" s="347" t="s">
        <v>1303</v>
      </c>
      <c r="K2637" s="370"/>
      <c r="N2637" s="370"/>
    </row>
    <row r="2638" spans="1:14" s="347" customFormat="1" x14ac:dyDescent="0.25">
      <c r="A2638" s="369"/>
      <c r="E2638" s="396"/>
      <c r="F2638" s="396"/>
      <c r="G2638" s="396"/>
      <c r="K2638" s="370"/>
      <c r="N2638" s="370"/>
    </row>
    <row r="2639" spans="1:14" s="347" customFormat="1" x14ac:dyDescent="0.25">
      <c r="A2639" s="369">
        <v>44340</v>
      </c>
      <c r="B2639" s="340">
        <f>+MONTH(A2639)</f>
        <v>5</v>
      </c>
      <c r="C2639" s="347">
        <v>110</v>
      </c>
      <c r="D2639" s="340" t="str">
        <f>VLOOKUP(C2639,Plan!A$1:B$65542,2,0)</f>
        <v>Disponible Administración</v>
      </c>
      <c r="E2639" s="341">
        <f>+F2639-G2639</f>
        <v>20000</v>
      </c>
      <c r="F2639" s="396">
        <v>20000</v>
      </c>
      <c r="G2639" s="396">
        <v>0</v>
      </c>
      <c r="H2639" s="347" t="s">
        <v>1515</v>
      </c>
      <c r="I2639" s="347" t="s">
        <v>1303</v>
      </c>
      <c r="K2639" s="370"/>
      <c r="N2639" s="370"/>
    </row>
    <row r="2640" spans="1:14" s="347" customFormat="1" x14ac:dyDescent="0.25">
      <c r="A2640" s="369">
        <f>+A2639</f>
        <v>44340</v>
      </c>
      <c r="B2640" s="347">
        <f>+B2639</f>
        <v>5</v>
      </c>
      <c r="C2640" s="347">
        <v>3450</v>
      </c>
      <c r="D2640" s="340" t="str">
        <f>VLOOKUP(C2640,Plan!A$1:B$65542,2,0)</f>
        <v>Pastoral Social</v>
      </c>
      <c r="E2640" s="396">
        <f>-G2640</f>
        <v>-20000</v>
      </c>
      <c r="F2640" s="396">
        <v>0</v>
      </c>
      <c r="G2640" s="396">
        <f>+F2639</f>
        <v>20000</v>
      </c>
      <c r="H2640" s="347" t="str">
        <f>+H2639</f>
        <v>Canastas Trinidad Barriga Cruzat</v>
      </c>
      <c r="I2640" s="347" t="s">
        <v>1303</v>
      </c>
      <c r="K2640" s="370"/>
      <c r="N2640" s="370"/>
    </row>
    <row r="2641" spans="1:14" s="347" customFormat="1" x14ac:dyDescent="0.25">
      <c r="A2641" s="369"/>
      <c r="E2641" s="396"/>
      <c r="F2641" s="396"/>
      <c r="G2641" s="396"/>
      <c r="K2641" s="370"/>
      <c r="N2641" s="370"/>
    </row>
    <row r="2642" spans="1:14" s="347" customFormat="1" x14ac:dyDescent="0.25">
      <c r="A2642" s="369">
        <v>44340</v>
      </c>
      <c r="B2642" s="340">
        <f>+MONTH(A2642)</f>
        <v>5</v>
      </c>
      <c r="C2642" s="347">
        <v>110</v>
      </c>
      <c r="D2642" s="340" t="str">
        <f>VLOOKUP(C2642,Plan!A$1:B$65542,2,0)</f>
        <v>Disponible Administración</v>
      </c>
      <c r="E2642" s="341">
        <f>+F2642-G2642</f>
        <v>40000</v>
      </c>
      <c r="F2642" s="396">
        <v>40000</v>
      </c>
      <c r="G2642" s="396">
        <v>0</v>
      </c>
      <c r="H2642" s="347" t="s">
        <v>1516</v>
      </c>
      <c r="I2642" s="347" t="s">
        <v>1303</v>
      </c>
      <c r="K2642" s="370"/>
      <c r="N2642" s="370"/>
    </row>
    <row r="2643" spans="1:14" s="347" customFormat="1" x14ac:dyDescent="0.25">
      <c r="A2643" s="369">
        <f>+A2642</f>
        <v>44340</v>
      </c>
      <c r="B2643" s="347">
        <f>+B2642</f>
        <v>5</v>
      </c>
      <c r="C2643" s="347">
        <v>3450</v>
      </c>
      <c r="D2643" s="340" t="str">
        <f>VLOOKUP(C2643,Plan!A$1:B$65542,2,0)</f>
        <v>Pastoral Social</v>
      </c>
      <c r="E2643" s="396">
        <f>-G2643</f>
        <v>-40000</v>
      </c>
      <c r="F2643" s="396">
        <v>0</v>
      </c>
      <c r="G2643" s="396">
        <f>+F2642</f>
        <v>40000</v>
      </c>
      <c r="H2643" s="347" t="str">
        <f>+H2642</f>
        <v>Canastas Patricio Latapiat H</v>
      </c>
      <c r="I2643" s="347" t="s">
        <v>1303</v>
      </c>
      <c r="K2643" s="370"/>
      <c r="N2643" s="370"/>
    </row>
    <row r="2644" spans="1:14" s="347" customFormat="1" x14ac:dyDescent="0.25">
      <c r="A2644" s="369"/>
      <c r="E2644" s="396"/>
      <c r="F2644" s="396"/>
      <c r="G2644" s="396"/>
      <c r="K2644" s="370"/>
      <c r="N2644" s="370"/>
    </row>
    <row r="2645" spans="1:14" s="347" customFormat="1" x14ac:dyDescent="0.25">
      <c r="A2645" s="369">
        <v>44340</v>
      </c>
      <c r="B2645" s="340">
        <f>+MONTH(A2645)</f>
        <v>5</v>
      </c>
      <c r="C2645" s="347">
        <v>110</v>
      </c>
      <c r="D2645" s="340" t="str">
        <f>VLOOKUP(C2645,Plan!A$1:B$65542,2,0)</f>
        <v>Disponible Administración</v>
      </c>
      <c r="E2645" s="341">
        <f>+F2645-G2645</f>
        <v>10000</v>
      </c>
      <c r="F2645" s="396">
        <v>10000</v>
      </c>
      <c r="G2645" s="396">
        <v>0</v>
      </c>
      <c r="H2645" s="347" t="s">
        <v>1517</v>
      </c>
      <c r="I2645" s="347" t="s">
        <v>1303</v>
      </c>
      <c r="K2645" s="370"/>
      <c r="N2645" s="370"/>
    </row>
    <row r="2646" spans="1:14" s="347" customFormat="1" x14ac:dyDescent="0.25">
      <c r="A2646" s="369">
        <f>+A2645</f>
        <v>44340</v>
      </c>
      <c r="B2646" s="347">
        <f>+B2645</f>
        <v>5</v>
      </c>
      <c r="C2646" s="347">
        <v>215</v>
      </c>
      <c r="D2646" s="340" t="str">
        <f>VLOOKUP(C2646,Plan!A$1:B$65542,2,0)</f>
        <v>Cuenta por Pagar a Cali</v>
      </c>
      <c r="E2646" s="396">
        <f>-G2646</f>
        <v>-10000</v>
      </c>
      <c r="F2646" s="396">
        <v>0</v>
      </c>
      <c r="G2646" s="396">
        <f>+F2645</f>
        <v>10000</v>
      </c>
      <c r="H2646" s="347" t="str">
        <f>+H2645</f>
        <v>Jacqueline Dale / 249</v>
      </c>
      <c r="I2646" s="347" t="s">
        <v>1303</v>
      </c>
      <c r="K2646" s="370"/>
      <c r="N2646" s="370"/>
    </row>
    <row r="2647" spans="1:14" s="347" customFormat="1" x14ac:dyDescent="0.25">
      <c r="A2647" s="369"/>
      <c r="E2647" s="396"/>
      <c r="F2647" s="396"/>
      <c r="G2647" s="396"/>
      <c r="K2647" s="370"/>
      <c r="N2647" s="370"/>
    </row>
    <row r="2648" spans="1:14" s="347" customFormat="1" x14ac:dyDescent="0.25">
      <c r="A2648" s="369">
        <v>44340</v>
      </c>
      <c r="B2648" s="340">
        <f>+MONTH(A2648)</f>
        <v>5</v>
      </c>
      <c r="C2648" s="347">
        <v>110</v>
      </c>
      <c r="D2648" s="340" t="str">
        <f>VLOOKUP(C2648,Plan!A$1:B$65542,2,0)</f>
        <v>Disponible Administración</v>
      </c>
      <c r="E2648" s="341">
        <f>+F2648-G2648</f>
        <v>20000</v>
      </c>
      <c r="F2648" s="396">
        <v>20000</v>
      </c>
      <c r="G2648" s="396">
        <v>0</v>
      </c>
      <c r="H2648" s="347" t="s">
        <v>1518</v>
      </c>
      <c r="I2648" s="347" t="s">
        <v>1303</v>
      </c>
      <c r="K2648" s="370"/>
      <c r="N2648" s="370"/>
    </row>
    <row r="2649" spans="1:14" s="347" customFormat="1" x14ac:dyDescent="0.25">
      <c r="A2649" s="369">
        <f>+A2648</f>
        <v>44340</v>
      </c>
      <c r="B2649" s="347">
        <f>+B2648</f>
        <v>5</v>
      </c>
      <c r="C2649" s="347">
        <v>3450</v>
      </c>
      <c r="D2649" s="340" t="str">
        <f>VLOOKUP(C2649,Plan!A$1:B$65542,2,0)</f>
        <v>Pastoral Social</v>
      </c>
      <c r="E2649" s="396">
        <f>-G2649</f>
        <v>-20000</v>
      </c>
      <c r="F2649" s="396">
        <v>0</v>
      </c>
      <c r="G2649" s="396">
        <f>+F2648</f>
        <v>20000</v>
      </c>
      <c r="H2649" s="347" t="str">
        <f>+H2648</f>
        <v>Canastas Juan Carlos Cornejo</v>
      </c>
      <c r="I2649" s="347" t="s">
        <v>1303</v>
      </c>
      <c r="K2649" s="370"/>
      <c r="N2649" s="370"/>
    </row>
    <row r="2650" spans="1:14" s="347" customFormat="1" x14ac:dyDescent="0.25">
      <c r="A2650" s="369"/>
      <c r="E2650" s="396"/>
      <c r="F2650" s="396"/>
      <c r="G2650" s="396"/>
      <c r="K2650" s="370"/>
      <c r="N2650" s="370"/>
    </row>
    <row r="2651" spans="1:14" s="347" customFormat="1" x14ac:dyDescent="0.25">
      <c r="A2651" s="369">
        <v>44340</v>
      </c>
      <c r="B2651" s="340">
        <f>+MONTH(A2651)</f>
        <v>5</v>
      </c>
      <c r="C2651" s="347">
        <v>110</v>
      </c>
      <c r="D2651" s="340" t="str">
        <f>VLOOKUP(C2651,Plan!A$1:B$65542,2,0)</f>
        <v>Disponible Administración</v>
      </c>
      <c r="E2651" s="341">
        <f>+F2651-G2651</f>
        <v>15000</v>
      </c>
      <c r="F2651" s="396">
        <v>15000</v>
      </c>
      <c r="G2651" s="396">
        <v>0</v>
      </c>
      <c r="H2651" s="347" t="s">
        <v>1519</v>
      </c>
      <c r="I2651" s="347" t="s">
        <v>1303</v>
      </c>
      <c r="K2651" s="370"/>
      <c r="N2651" s="370"/>
    </row>
    <row r="2652" spans="1:14" s="347" customFormat="1" x14ac:dyDescent="0.25">
      <c r="A2652" s="369">
        <f>+A2651</f>
        <v>44340</v>
      </c>
      <c r="B2652" s="347">
        <f>+B2651</f>
        <v>5</v>
      </c>
      <c r="C2652" s="347">
        <v>3110</v>
      </c>
      <c r="D2652" s="340" t="str">
        <f>VLOOKUP(C2652,Plan!A$1:B$65542,2,0)</f>
        <v>Colectas Normales</v>
      </c>
      <c r="E2652" s="396">
        <f>-G2652</f>
        <v>-15000</v>
      </c>
      <c r="F2652" s="396">
        <v>0</v>
      </c>
      <c r="G2652" s="396">
        <f>+F2651</f>
        <v>15000</v>
      </c>
      <c r="H2652" s="347" t="str">
        <f>+H2651</f>
        <v>Colecta Juan Rafael Arnaiz</v>
      </c>
      <c r="I2652" s="347" t="s">
        <v>1303</v>
      </c>
      <c r="K2652" s="370"/>
      <c r="N2652" s="370"/>
    </row>
    <row r="2653" spans="1:14" s="347" customFormat="1" x14ac:dyDescent="0.25">
      <c r="A2653" s="369"/>
      <c r="E2653" s="396"/>
      <c r="F2653" s="396"/>
      <c r="G2653" s="396"/>
      <c r="K2653" s="370"/>
      <c r="N2653" s="370"/>
    </row>
    <row r="2654" spans="1:14" s="347" customFormat="1" x14ac:dyDescent="0.25">
      <c r="A2654" s="369">
        <v>44340</v>
      </c>
      <c r="B2654" s="340">
        <f>+MONTH(A2654)</f>
        <v>5</v>
      </c>
      <c r="C2654" s="347">
        <v>110</v>
      </c>
      <c r="D2654" s="340" t="str">
        <f>VLOOKUP(C2654,Plan!A$1:B$65542,2,0)</f>
        <v>Disponible Administración</v>
      </c>
      <c r="E2654" s="341">
        <f>+F2654-G2654</f>
        <v>80000</v>
      </c>
      <c r="F2654" s="396">
        <v>80000</v>
      </c>
      <c r="G2654" s="396">
        <v>0</v>
      </c>
      <c r="H2654" s="347" t="s">
        <v>1438</v>
      </c>
      <c r="I2654" s="347" t="s">
        <v>1303</v>
      </c>
      <c r="K2654" s="370"/>
      <c r="N2654" s="370"/>
    </row>
    <row r="2655" spans="1:14" s="347" customFormat="1" x14ac:dyDescent="0.25">
      <c r="A2655" s="369">
        <f>+A2654</f>
        <v>44340</v>
      </c>
      <c r="B2655" s="347">
        <f>+B2654</f>
        <v>5</v>
      </c>
      <c r="C2655" s="347">
        <v>3110</v>
      </c>
      <c r="D2655" s="340" t="str">
        <f>VLOOKUP(C2655,Plan!A$1:B$65542,2,0)</f>
        <v>Colectas Normales</v>
      </c>
      <c r="E2655" s="396">
        <f>-G2655</f>
        <v>-80000</v>
      </c>
      <c r="F2655" s="396">
        <v>0</v>
      </c>
      <c r="G2655" s="396">
        <f>+F2654</f>
        <v>80000</v>
      </c>
      <c r="H2655" s="347" t="str">
        <f>+H2654</f>
        <v>Colecta Felipe Varela Venegas</v>
      </c>
      <c r="I2655" s="347" t="s">
        <v>1303</v>
      </c>
      <c r="K2655" s="370"/>
      <c r="N2655" s="370"/>
    </row>
    <row r="2656" spans="1:14" s="347" customFormat="1" x14ac:dyDescent="0.25">
      <c r="A2656" s="369"/>
      <c r="E2656" s="396"/>
      <c r="F2656" s="396"/>
      <c r="G2656" s="396"/>
      <c r="K2656" s="370"/>
      <c r="N2656" s="370"/>
    </row>
    <row r="2657" spans="1:14" s="347" customFormat="1" x14ac:dyDescent="0.25">
      <c r="A2657" s="369">
        <v>44340</v>
      </c>
      <c r="B2657" s="340">
        <f>+MONTH(A2657)</f>
        <v>5</v>
      </c>
      <c r="C2657" s="347">
        <v>110</v>
      </c>
      <c r="D2657" s="340" t="str">
        <f>VLOOKUP(C2657,Plan!A$1:B$65542,2,0)</f>
        <v>Disponible Administración</v>
      </c>
      <c r="E2657" s="341">
        <f>+F2657-G2657</f>
        <v>2000</v>
      </c>
      <c r="F2657" s="396">
        <v>2000</v>
      </c>
      <c r="G2657" s="396">
        <v>0</v>
      </c>
      <c r="H2657" s="347" t="s">
        <v>1216</v>
      </c>
      <c r="I2657" s="347" t="s">
        <v>1303</v>
      </c>
      <c r="K2657" s="370"/>
      <c r="N2657" s="370"/>
    </row>
    <row r="2658" spans="1:14" s="347" customFormat="1" x14ac:dyDescent="0.25">
      <c r="A2658" s="369">
        <f>+A2657</f>
        <v>44340</v>
      </c>
      <c r="B2658" s="347">
        <f>+B2657</f>
        <v>5</v>
      </c>
      <c r="C2658" s="347">
        <v>3110</v>
      </c>
      <c r="D2658" s="340" t="str">
        <f>VLOOKUP(C2658,Plan!A$1:B$65542,2,0)</f>
        <v>Colectas Normales</v>
      </c>
      <c r="E2658" s="396">
        <f>-G2658</f>
        <v>-2000</v>
      </c>
      <c r="F2658" s="396">
        <v>0</v>
      </c>
      <c r="G2658" s="396">
        <f>+F2657</f>
        <v>2000</v>
      </c>
      <c r="H2658" s="347" t="str">
        <f>+H2657</f>
        <v>Colecta Trinidad Barriga Cruzat</v>
      </c>
      <c r="I2658" s="347" t="s">
        <v>1303</v>
      </c>
      <c r="K2658" s="370"/>
      <c r="N2658" s="370"/>
    </row>
    <row r="2659" spans="1:14" s="347" customFormat="1" x14ac:dyDescent="0.25">
      <c r="A2659" s="369"/>
      <c r="E2659" s="396"/>
      <c r="F2659" s="396"/>
      <c r="G2659" s="396"/>
      <c r="K2659" s="370"/>
      <c r="N2659" s="370"/>
    </row>
    <row r="2660" spans="1:14" s="347" customFormat="1" x14ac:dyDescent="0.25">
      <c r="A2660" s="369">
        <v>44340</v>
      </c>
      <c r="B2660" s="340">
        <f>+MONTH(A2660)</f>
        <v>5</v>
      </c>
      <c r="C2660" s="347">
        <v>110</v>
      </c>
      <c r="D2660" s="340" t="str">
        <f>VLOOKUP(C2660,Plan!A$1:B$65542,2,0)</f>
        <v>Disponible Administración</v>
      </c>
      <c r="E2660" s="341">
        <f>+F2660-G2660</f>
        <v>60000</v>
      </c>
      <c r="F2660" s="396">
        <v>60000</v>
      </c>
      <c r="G2660" s="396">
        <v>0</v>
      </c>
      <c r="H2660" s="347" t="s">
        <v>1520</v>
      </c>
      <c r="I2660" s="347" t="s">
        <v>1303</v>
      </c>
      <c r="K2660" s="370"/>
      <c r="N2660" s="370"/>
    </row>
    <row r="2661" spans="1:14" s="347" customFormat="1" x14ac:dyDescent="0.25">
      <c r="A2661" s="369">
        <f>+A2660</f>
        <v>44340</v>
      </c>
      <c r="B2661" s="347">
        <f>+B2660</f>
        <v>5</v>
      </c>
      <c r="C2661" s="347">
        <v>3450</v>
      </c>
      <c r="D2661" s="340" t="str">
        <f>VLOOKUP(C2661,Plan!A$1:B$65542,2,0)</f>
        <v>Pastoral Social</v>
      </c>
      <c r="E2661" s="396">
        <f>-G2661</f>
        <v>-60000</v>
      </c>
      <c r="F2661" s="396">
        <v>0</v>
      </c>
      <c r="G2661" s="396">
        <f>+F2660</f>
        <v>60000</v>
      </c>
      <c r="H2661" s="347" t="str">
        <f>+H2660</f>
        <v>Canastas Gonzalo Contardo M</v>
      </c>
      <c r="I2661" s="347" t="s">
        <v>1303</v>
      </c>
      <c r="K2661" s="370"/>
      <c r="N2661" s="370"/>
    </row>
    <row r="2662" spans="1:14" s="347" customFormat="1" x14ac:dyDescent="0.25">
      <c r="A2662" s="369"/>
      <c r="E2662" s="396"/>
      <c r="F2662" s="396"/>
      <c r="G2662" s="396"/>
      <c r="K2662" s="370"/>
      <c r="N2662" s="370"/>
    </row>
    <row r="2663" spans="1:14" s="347" customFormat="1" x14ac:dyDescent="0.25">
      <c r="A2663" s="369">
        <v>44340</v>
      </c>
      <c r="B2663" s="340">
        <f>+MONTH(A2663)</f>
        <v>5</v>
      </c>
      <c r="C2663" s="347">
        <v>110</v>
      </c>
      <c r="D2663" s="340" t="str">
        <f>VLOOKUP(C2663,Plan!A$1:B$65542,2,0)</f>
        <v>Disponible Administración</v>
      </c>
      <c r="E2663" s="341">
        <f>+F2663-G2663</f>
        <v>20000</v>
      </c>
      <c r="F2663" s="396">
        <v>20000</v>
      </c>
      <c r="G2663" s="396">
        <v>0</v>
      </c>
      <c r="H2663" s="347" t="s">
        <v>1521</v>
      </c>
      <c r="I2663" s="347" t="s">
        <v>1303</v>
      </c>
      <c r="K2663" s="370"/>
      <c r="N2663" s="370"/>
    </row>
    <row r="2664" spans="1:14" s="347" customFormat="1" x14ac:dyDescent="0.25">
      <c r="A2664" s="369">
        <f>+A2663</f>
        <v>44340</v>
      </c>
      <c r="B2664" s="347">
        <f>+B2663</f>
        <v>5</v>
      </c>
      <c r="C2664" s="347">
        <v>3450</v>
      </c>
      <c r="D2664" s="340" t="str">
        <f>VLOOKUP(C2664,Plan!A$1:B$65542,2,0)</f>
        <v>Pastoral Social</v>
      </c>
      <c r="E2664" s="396">
        <f>-G2664</f>
        <v>-20000</v>
      </c>
      <c r="F2664" s="396">
        <v>0</v>
      </c>
      <c r="G2664" s="396">
        <f>+F2663</f>
        <v>20000</v>
      </c>
      <c r="H2664" s="347" t="str">
        <f>+H2663</f>
        <v>Canastas Claudia Riba</v>
      </c>
      <c r="I2664" s="347" t="s">
        <v>1303</v>
      </c>
      <c r="K2664" s="370"/>
      <c r="N2664" s="370"/>
    </row>
    <row r="2665" spans="1:14" s="347" customFormat="1" x14ac:dyDescent="0.25">
      <c r="A2665" s="369"/>
      <c r="E2665" s="396"/>
      <c r="F2665" s="396"/>
      <c r="G2665" s="396"/>
      <c r="K2665" s="370"/>
      <c r="N2665" s="370"/>
    </row>
    <row r="2666" spans="1:14" s="347" customFormat="1" x14ac:dyDescent="0.25">
      <c r="A2666" s="369">
        <v>44340</v>
      </c>
      <c r="B2666" s="340">
        <f>+MONTH(A2666)</f>
        <v>5</v>
      </c>
      <c r="C2666" s="347">
        <v>110</v>
      </c>
      <c r="D2666" s="340" t="str">
        <f>VLOOKUP(C2666,Plan!A$1:B$65542,2,0)</f>
        <v>Disponible Administración</v>
      </c>
      <c r="E2666" s="341">
        <f>+F2666-G2666</f>
        <v>20000</v>
      </c>
      <c r="F2666" s="396">
        <v>20000</v>
      </c>
      <c r="G2666" s="396">
        <v>0</v>
      </c>
      <c r="H2666" s="347" t="s">
        <v>1522</v>
      </c>
      <c r="I2666" s="347" t="s">
        <v>1303</v>
      </c>
      <c r="K2666" s="370"/>
      <c r="N2666" s="370"/>
    </row>
    <row r="2667" spans="1:14" s="347" customFormat="1" x14ac:dyDescent="0.25">
      <c r="A2667" s="369">
        <f>+A2666</f>
        <v>44340</v>
      </c>
      <c r="B2667" s="347">
        <f>+B2666</f>
        <v>5</v>
      </c>
      <c r="C2667" s="347">
        <v>3450</v>
      </c>
      <c r="D2667" s="340" t="str">
        <f>VLOOKUP(C2667,Plan!A$1:B$65542,2,0)</f>
        <v>Pastoral Social</v>
      </c>
      <c r="E2667" s="396">
        <f>-G2667</f>
        <v>-20000</v>
      </c>
      <c r="F2667" s="396">
        <v>0</v>
      </c>
      <c r="G2667" s="396">
        <f>+F2666</f>
        <v>20000</v>
      </c>
      <c r="H2667" s="347" t="str">
        <f>+H2666</f>
        <v>Canastas Juan Davila M</v>
      </c>
      <c r="I2667" s="347" t="s">
        <v>1303</v>
      </c>
      <c r="K2667" s="370"/>
      <c r="N2667" s="370"/>
    </row>
    <row r="2668" spans="1:14" s="347" customFormat="1" x14ac:dyDescent="0.25">
      <c r="A2668" s="369"/>
      <c r="E2668" s="396"/>
      <c r="F2668" s="396"/>
      <c r="G2668" s="396"/>
      <c r="K2668" s="370"/>
      <c r="N2668" s="370"/>
    </row>
    <row r="2669" spans="1:14" s="347" customFormat="1" x14ac:dyDescent="0.25">
      <c r="A2669" s="369">
        <v>44340</v>
      </c>
      <c r="B2669" s="340">
        <f>+MONTH(A2669)</f>
        <v>5</v>
      </c>
      <c r="C2669" s="347">
        <v>110</v>
      </c>
      <c r="D2669" s="340" t="str">
        <f>VLOOKUP(C2669,Plan!A$1:B$65542,2,0)</f>
        <v>Disponible Administración</v>
      </c>
      <c r="E2669" s="341">
        <f>+F2669-G2669</f>
        <v>275460</v>
      </c>
      <c r="F2669" s="396">
        <v>275460</v>
      </c>
      <c r="G2669" s="396">
        <v>0</v>
      </c>
      <c r="H2669" s="347" t="s">
        <v>1410</v>
      </c>
      <c r="I2669" s="347" t="s">
        <v>1303</v>
      </c>
      <c r="K2669" s="370"/>
      <c r="N2669" s="370"/>
    </row>
    <row r="2670" spans="1:14" s="347" customFormat="1" x14ac:dyDescent="0.25">
      <c r="A2670" s="369">
        <f>+A2669</f>
        <v>44340</v>
      </c>
      <c r="B2670" s="347">
        <f>+B2669</f>
        <v>5</v>
      </c>
      <c r="C2670" s="347">
        <v>3110</v>
      </c>
      <c r="D2670" s="340" t="str">
        <f>VLOOKUP(C2670,Plan!A$1:B$65542,2,0)</f>
        <v>Colectas Normales</v>
      </c>
      <c r="E2670" s="396">
        <f>-G2670</f>
        <v>-275460</v>
      </c>
      <c r="F2670" s="396">
        <v>0</v>
      </c>
      <c r="G2670" s="396">
        <f>+F2669</f>
        <v>275460</v>
      </c>
      <c r="H2670" s="347" t="str">
        <f>+H2669</f>
        <v>Colecta Col. Cordillera</v>
      </c>
      <c r="I2670" s="347" t="s">
        <v>1303</v>
      </c>
      <c r="K2670" s="370"/>
      <c r="N2670" s="370"/>
    </row>
    <row r="2671" spans="1:14" s="347" customFormat="1" x14ac:dyDescent="0.25">
      <c r="A2671" s="369"/>
      <c r="E2671" s="396"/>
      <c r="F2671" s="396"/>
      <c r="G2671" s="396"/>
      <c r="K2671" s="370"/>
      <c r="N2671" s="370"/>
    </row>
    <row r="2672" spans="1:14" s="347" customFormat="1" x14ac:dyDescent="0.25">
      <c r="A2672" s="369">
        <v>44341</v>
      </c>
      <c r="B2672" s="340">
        <f>+MONTH(A2672)</f>
        <v>5</v>
      </c>
      <c r="C2672" s="347">
        <v>110</v>
      </c>
      <c r="D2672" s="340" t="str">
        <f>VLOOKUP(C2672,Plan!A$1:B$65542,2,0)</f>
        <v>Disponible Administración</v>
      </c>
      <c r="E2672" s="341">
        <f>+F2672-G2672</f>
        <v>37500</v>
      </c>
      <c r="F2672" s="396">
        <v>37500</v>
      </c>
      <c r="G2672" s="396">
        <v>0</v>
      </c>
      <c r="H2672" s="347" t="s">
        <v>1523</v>
      </c>
      <c r="I2672" s="347" t="s">
        <v>1303</v>
      </c>
      <c r="K2672" s="370"/>
      <c r="N2672" s="370"/>
    </row>
    <row r="2673" spans="1:14" s="347" customFormat="1" x14ac:dyDescent="0.25">
      <c r="A2673" s="369">
        <f>+A2672</f>
        <v>44341</v>
      </c>
      <c r="B2673" s="347">
        <f>+B2672</f>
        <v>5</v>
      </c>
      <c r="C2673" s="347">
        <v>3360</v>
      </c>
      <c r="D2673" s="340" t="str">
        <f>VLOOKUP(C2673,Plan!A$1:B$65542,2,0)</f>
        <v>Otros</v>
      </c>
      <c r="E2673" s="396">
        <f>-G2673</f>
        <v>-37500</v>
      </c>
      <c r="F2673" s="396">
        <v>0</v>
      </c>
      <c r="G2673" s="396">
        <f>+F2672</f>
        <v>37500</v>
      </c>
      <c r="H2673" s="347" t="str">
        <f>+H2672</f>
        <v>Curso Mane Jara</v>
      </c>
      <c r="I2673" s="347" t="s">
        <v>1303</v>
      </c>
      <c r="K2673" s="370"/>
      <c r="N2673" s="370"/>
    </row>
    <row r="2674" spans="1:14" s="347" customFormat="1" x14ac:dyDescent="0.25">
      <c r="A2674" s="369"/>
      <c r="E2674" s="396"/>
      <c r="F2674" s="396"/>
      <c r="G2674" s="396"/>
      <c r="K2674" s="370"/>
      <c r="N2674" s="370"/>
    </row>
    <row r="2675" spans="1:14" s="347" customFormat="1" x14ac:dyDescent="0.25">
      <c r="A2675" s="369">
        <v>44341</v>
      </c>
      <c r="B2675" s="340">
        <f>+MONTH(A2675)</f>
        <v>5</v>
      </c>
      <c r="C2675" s="347">
        <v>110</v>
      </c>
      <c r="D2675" s="340" t="str">
        <f>VLOOKUP(C2675,Plan!A$1:B$65542,2,0)</f>
        <v>Disponible Administración</v>
      </c>
      <c r="E2675" s="341">
        <f>+F2675-G2675</f>
        <v>50000</v>
      </c>
      <c r="F2675" s="396">
        <v>50000</v>
      </c>
      <c r="G2675" s="396">
        <v>0</v>
      </c>
      <c r="H2675" s="347" t="s">
        <v>1524</v>
      </c>
      <c r="I2675" s="347" t="s">
        <v>1303</v>
      </c>
      <c r="K2675" s="370"/>
      <c r="N2675" s="370"/>
    </row>
    <row r="2676" spans="1:14" s="347" customFormat="1" x14ac:dyDescent="0.25">
      <c r="A2676" s="369">
        <f>+A2675</f>
        <v>44341</v>
      </c>
      <c r="B2676" s="347">
        <f>+B2675</f>
        <v>5</v>
      </c>
      <c r="C2676" s="347">
        <v>3360</v>
      </c>
      <c r="D2676" s="340" t="str">
        <f>VLOOKUP(C2676,Plan!A$1:B$65542,2,0)</f>
        <v>Otros</v>
      </c>
      <c r="E2676" s="396">
        <f>-G2676</f>
        <v>-50000</v>
      </c>
      <c r="F2676" s="396">
        <v>0</v>
      </c>
      <c r="G2676" s="396">
        <f>+F2675</f>
        <v>50000</v>
      </c>
      <c r="H2676" s="347" t="str">
        <f>+H2675</f>
        <v>Curso Pedro Iriberry Mc.</v>
      </c>
      <c r="I2676" s="347" t="s">
        <v>1303</v>
      </c>
      <c r="K2676" s="370"/>
      <c r="N2676" s="370"/>
    </row>
    <row r="2677" spans="1:14" s="347" customFormat="1" x14ac:dyDescent="0.25">
      <c r="A2677" s="369"/>
      <c r="E2677" s="396"/>
      <c r="F2677" s="396"/>
      <c r="G2677" s="396"/>
      <c r="K2677" s="370"/>
      <c r="N2677" s="370"/>
    </row>
    <row r="2678" spans="1:14" s="347" customFormat="1" x14ac:dyDescent="0.25">
      <c r="A2678" s="369">
        <v>44341</v>
      </c>
      <c r="B2678" s="340">
        <f>+MONTH(A2678)</f>
        <v>5</v>
      </c>
      <c r="C2678" s="347">
        <v>110</v>
      </c>
      <c r="D2678" s="340" t="str">
        <f>VLOOKUP(C2678,Plan!A$1:B$65542,2,0)</f>
        <v>Disponible Administración</v>
      </c>
      <c r="E2678" s="341">
        <f>+F2678-G2678</f>
        <v>205250</v>
      </c>
      <c r="F2678" s="396">
        <v>205250</v>
      </c>
      <c r="G2678" s="396">
        <v>0</v>
      </c>
      <c r="H2678" s="347" t="s">
        <v>1525</v>
      </c>
      <c r="I2678" s="347" t="s">
        <v>1303</v>
      </c>
      <c r="K2678" s="370"/>
      <c r="N2678" s="370"/>
    </row>
    <row r="2679" spans="1:14" s="347" customFormat="1" x14ac:dyDescent="0.25">
      <c r="A2679" s="369">
        <f>+A2678</f>
        <v>44341</v>
      </c>
      <c r="B2679" s="347">
        <f>+B2678</f>
        <v>5</v>
      </c>
      <c r="C2679" s="347">
        <v>3360</v>
      </c>
      <c r="D2679" s="340" t="str">
        <f>VLOOKUP(C2679,Plan!A$1:B$65542,2,0)</f>
        <v>Otros</v>
      </c>
      <c r="E2679" s="396">
        <f>-G2679</f>
        <v>-205250</v>
      </c>
      <c r="F2679" s="396">
        <v>0</v>
      </c>
      <c r="G2679" s="396">
        <f>+F2678</f>
        <v>205250</v>
      </c>
      <c r="H2679" s="347" t="str">
        <f>+H2678</f>
        <v>Curso Reinaldo Bascur Llona</v>
      </c>
      <c r="I2679" s="347" t="s">
        <v>1303</v>
      </c>
      <c r="K2679" s="370"/>
      <c r="N2679" s="370"/>
    </row>
    <row r="2680" spans="1:14" s="347" customFormat="1" x14ac:dyDescent="0.25">
      <c r="A2680" s="369"/>
      <c r="E2680" s="396"/>
      <c r="F2680" s="396"/>
      <c r="G2680" s="396"/>
      <c r="K2680" s="370"/>
      <c r="N2680" s="370"/>
    </row>
    <row r="2681" spans="1:14" s="347" customFormat="1" x14ac:dyDescent="0.25">
      <c r="A2681" s="369">
        <v>44341</v>
      </c>
      <c r="B2681" s="340">
        <f>+MONTH(A2681)</f>
        <v>5</v>
      </c>
      <c r="C2681" s="347">
        <v>110</v>
      </c>
      <c r="D2681" s="340" t="str">
        <f>VLOOKUP(C2681,Plan!A$1:B$65542,2,0)</f>
        <v>Disponible Administración</v>
      </c>
      <c r="E2681" s="341">
        <f>+F2681-G2681</f>
        <v>20000</v>
      </c>
      <c r="F2681" s="396">
        <v>20000</v>
      </c>
      <c r="G2681" s="396">
        <v>0</v>
      </c>
      <c r="H2681" s="347" t="s">
        <v>1199</v>
      </c>
      <c r="I2681" s="347" t="s">
        <v>1303</v>
      </c>
      <c r="K2681" s="370"/>
      <c r="N2681" s="370"/>
    </row>
    <row r="2682" spans="1:14" s="347" customFormat="1" x14ac:dyDescent="0.25">
      <c r="A2682" s="369">
        <f>+A2681</f>
        <v>44341</v>
      </c>
      <c r="B2682" s="347">
        <f>+B2681</f>
        <v>5</v>
      </c>
      <c r="C2682" s="347">
        <v>3110</v>
      </c>
      <c r="D2682" s="340" t="str">
        <f>VLOOKUP(C2682,Plan!A$1:B$65542,2,0)</f>
        <v>Colectas Normales</v>
      </c>
      <c r="E2682" s="396">
        <f>-G2682</f>
        <v>-20000</v>
      </c>
      <c r="F2682" s="396">
        <v>0</v>
      </c>
      <c r="G2682" s="396">
        <f>+F2681</f>
        <v>20000</v>
      </c>
      <c r="H2682" s="347" t="str">
        <f>+H2681</f>
        <v>Colecta Maria Loreto Valenzuela Arata</v>
      </c>
      <c r="I2682" s="347" t="s">
        <v>1303</v>
      </c>
      <c r="K2682" s="370"/>
      <c r="N2682" s="370"/>
    </row>
    <row r="2683" spans="1:14" s="347" customFormat="1" x14ac:dyDescent="0.25">
      <c r="A2683" s="369"/>
      <c r="E2683" s="396"/>
      <c r="F2683" s="396"/>
      <c r="G2683" s="396"/>
      <c r="K2683" s="370"/>
      <c r="N2683" s="370"/>
    </row>
    <row r="2684" spans="1:14" s="347" customFormat="1" x14ac:dyDescent="0.25">
      <c r="A2684" s="369">
        <v>44341</v>
      </c>
      <c r="B2684" s="340">
        <f>+MONTH(A2684)</f>
        <v>5</v>
      </c>
      <c r="C2684" s="347">
        <v>110</v>
      </c>
      <c r="D2684" s="340" t="str">
        <f>VLOOKUP(C2684,Plan!A$1:B$65542,2,0)</f>
        <v>Disponible Administración</v>
      </c>
      <c r="E2684" s="341">
        <f>+F2684-G2684</f>
        <v>49105</v>
      </c>
      <c r="F2684" s="396">
        <v>49105</v>
      </c>
      <c r="G2684" s="396">
        <v>0</v>
      </c>
      <c r="H2684" s="347" t="s">
        <v>1338</v>
      </c>
      <c r="I2684" s="347" t="s">
        <v>1303</v>
      </c>
      <c r="K2684" s="370"/>
      <c r="N2684" s="370"/>
    </row>
    <row r="2685" spans="1:14" s="347" customFormat="1" x14ac:dyDescent="0.25">
      <c r="A2685" s="369">
        <f>+A2684</f>
        <v>44341</v>
      </c>
      <c r="B2685" s="347">
        <f>+B2684</f>
        <v>5</v>
      </c>
      <c r="C2685" s="347">
        <v>3340</v>
      </c>
      <c r="D2685" s="340" t="str">
        <f>VLOOKUP(C2685,Plan!A$1:B$65542,2,0)</f>
        <v>Misas</v>
      </c>
      <c r="E2685" s="396">
        <f>-G2685</f>
        <v>-49105</v>
      </c>
      <c r="F2685" s="396">
        <v>0</v>
      </c>
      <c r="G2685" s="396">
        <f>+F2684</f>
        <v>49105</v>
      </c>
      <c r="H2685" s="347" t="str">
        <f>+H2684</f>
        <v>Misa DCT</v>
      </c>
      <c r="I2685" s="347" t="s">
        <v>1303</v>
      </c>
      <c r="K2685" s="370"/>
      <c r="N2685" s="370"/>
    </row>
    <row r="2686" spans="1:14" s="347" customFormat="1" x14ac:dyDescent="0.25">
      <c r="A2686" s="369"/>
      <c r="E2686" s="396"/>
      <c r="F2686" s="396"/>
      <c r="G2686" s="396"/>
      <c r="K2686" s="370"/>
      <c r="N2686" s="370"/>
    </row>
    <row r="2687" spans="1:14" s="347" customFormat="1" x14ac:dyDescent="0.25">
      <c r="A2687" s="369">
        <v>44341</v>
      </c>
      <c r="B2687" s="340">
        <f>+MONTH(A2687)</f>
        <v>5</v>
      </c>
      <c r="C2687" s="347">
        <v>110</v>
      </c>
      <c r="D2687" s="340" t="str">
        <f>VLOOKUP(C2687,Plan!A$1:B$65542,2,0)</f>
        <v>Disponible Administración</v>
      </c>
      <c r="E2687" s="341">
        <f>+F2687-G2687</f>
        <v>21000</v>
      </c>
      <c r="F2687" s="396">
        <v>21000</v>
      </c>
      <c r="G2687" s="396">
        <v>0</v>
      </c>
      <c r="H2687" s="347" t="s">
        <v>1410</v>
      </c>
      <c r="I2687" s="347" t="s">
        <v>1303</v>
      </c>
      <c r="K2687" s="370"/>
      <c r="N2687" s="370"/>
    </row>
    <row r="2688" spans="1:14" s="347" customFormat="1" x14ac:dyDescent="0.25">
      <c r="A2688" s="369">
        <f>+A2687</f>
        <v>44341</v>
      </c>
      <c r="B2688" s="347">
        <f>+B2687</f>
        <v>5</v>
      </c>
      <c r="C2688" s="347">
        <v>3110</v>
      </c>
      <c r="D2688" s="340" t="str">
        <f>VLOOKUP(C2688,Plan!A$1:B$65542,2,0)</f>
        <v>Colectas Normales</v>
      </c>
      <c r="E2688" s="396">
        <f>-G2688</f>
        <v>-21000</v>
      </c>
      <c r="F2688" s="396">
        <v>0</v>
      </c>
      <c r="G2688" s="396">
        <f>+F2687</f>
        <v>21000</v>
      </c>
      <c r="H2688" s="347" t="str">
        <f>+H2687</f>
        <v>Colecta Col. Cordillera</v>
      </c>
      <c r="I2688" s="347" t="s">
        <v>1303</v>
      </c>
      <c r="K2688" s="370"/>
      <c r="N2688" s="370"/>
    </row>
    <row r="2689" spans="1:14" s="347" customFormat="1" x14ac:dyDescent="0.25">
      <c r="A2689" s="369"/>
      <c r="E2689" s="396"/>
      <c r="F2689" s="396"/>
      <c r="G2689" s="396"/>
      <c r="K2689" s="370"/>
      <c r="N2689" s="370"/>
    </row>
    <row r="2690" spans="1:14" s="347" customFormat="1" x14ac:dyDescent="0.25">
      <c r="A2690" s="369">
        <v>44342</v>
      </c>
      <c r="B2690" s="340">
        <f>+MONTH(A2690)</f>
        <v>5</v>
      </c>
      <c r="C2690" s="347">
        <v>110</v>
      </c>
      <c r="D2690" s="340" t="str">
        <f>VLOOKUP(C2690,Plan!A$1:B$65542,2,0)</f>
        <v>Disponible Administración</v>
      </c>
      <c r="E2690" s="341">
        <f>+F2690-G2690</f>
        <v>20000</v>
      </c>
      <c r="F2690" s="396">
        <v>20000</v>
      </c>
      <c r="G2690" s="396">
        <v>0</v>
      </c>
      <c r="H2690" s="347" t="s">
        <v>1526</v>
      </c>
      <c r="I2690" s="347" t="s">
        <v>1303</v>
      </c>
      <c r="K2690" s="370"/>
      <c r="N2690" s="370"/>
    </row>
    <row r="2691" spans="1:14" s="347" customFormat="1" x14ac:dyDescent="0.25">
      <c r="A2691" s="369">
        <f>+A2690</f>
        <v>44342</v>
      </c>
      <c r="B2691" s="347">
        <f>+B2690</f>
        <v>5</v>
      </c>
      <c r="C2691" s="347">
        <v>3450</v>
      </c>
      <c r="D2691" s="340" t="str">
        <f>VLOOKUP(C2691,Plan!A$1:B$65542,2,0)</f>
        <v>Pastoral Social</v>
      </c>
      <c r="E2691" s="396">
        <f>-G2691</f>
        <v>-20000</v>
      </c>
      <c r="F2691" s="396">
        <v>0</v>
      </c>
      <c r="G2691" s="396">
        <f>+F2690</f>
        <v>20000</v>
      </c>
      <c r="H2691" s="347" t="str">
        <f>+H2690</f>
        <v>Canastas Paula Salazar Tello</v>
      </c>
      <c r="I2691" s="347" t="s">
        <v>1303</v>
      </c>
      <c r="K2691" s="370"/>
      <c r="N2691" s="370"/>
    </row>
    <row r="2692" spans="1:14" s="347" customFormat="1" x14ac:dyDescent="0.25">
      <c r="A2692" s="369"/>
      <c r="E2692" s="396"/>
      <c r="F2692" s="396"/>
      <c r="G2692" s="396"/>
      <c r="K2692" s="370"/>
      <c r="N2692" s="370"/>
    </row>
    <row r="2693" spans="1:14" s="347" customFormat="1" x14ac:dyDescent="0.25">
      <c r="A2693" s="369">
        <v>44342</v>
      </c>
      <c r="B2693" s="340">
        <f>+MONTH(A2693)</f>
        <v>5</v>
      </c>
      <c r="C2693" s="347">
        <v>110</v>
      </c>
      <c r="D2693" s="340" t="str">
        <f>VLOOKUP(C2693,Plan!A$1:B$65542,2,0)</f>
        <v>Disponible Administración</v>
      </c>
      <c r="E2693" s="341">
        <f>+F2693-G2693</f>
        <v>20000</v>
      </c>
      <c r="F2693" s="396">
        <v>20000</v>
      </c>
      <c r="G2693" s="396">
        <v>0</v>
      </c>
      <c r="H2693" s="347" t="s">
        <v>1337</v>
      </c>
      <c r="I2693" s="347" t="s">
        <v>1303</v>
      </c>
      <c r="K2693" s="370"/>
      <c r="N2693" s="370"/>
    </row>
    <row r="2694" spans="1:14" s="347" customFormat="1" x14ac:dyDescent="0.25">
      <c r="A2694" s="369">
        <f>+A2693</f>
        <v>44342</v>
      </c>
      <c r="B2694" s="347">
        <f>+B2693</f>
        <v>5</v>
      </c>
      <c r="C2694" s="347">
        <v>3450</v>
      </c>
      <c r="D2694" s="340" t="str">
        <f>VLOOKUP(C2694,Plan!A$1:B$65542,2,0)</f>
        <v>Pastoral Social</v>
      </c>
      <c r="E2694" s="396">
        <f>-G2694</f>
        <v>-20000</v>
      </c>
      <c r="F2694" s="396">
        <v>0</v>
      </c>
      <c r="G2694" s="396">
        <f>+F2693</f>
        <v>20000</v>
      </c>
      <c r="H2694" s="347" t="str">
        <f>+H2693</f>
        <v>Canastas Ricardo Fernandez</v>
      </c>
      <c r="I2694" s="347" t="s">
        <v>1303</v>
      </c>
      <c r="K2694" s="370"/>
      <c r="N2694" s="370"/>
    </row>
    <row r="2695" spans="1:14" s="347" customFormat="1" x14ac:dyDescent="0.25">
      <c r="A2695" s="369"/>
      <c r="E2695" s="396"/>
      <c r="F2695" s="396"/>
      <c r="G2695" s="396"/>
      <c r="K2695" s="370"/>
      <c r="N2695" s="370"/>
    </row>
    <row r="2696" spans="1:14" s="347" customFormat="1" x14ac:dyDescent="0.25">
      <c r="A2696" s="369">
        <v>44342</v>
      </c>
      <c r="B2696" s="340">
        <f>+MONTH(A2696)</f>
        <v>5</v>
      </c>
      <c r="C2696" s="347">
        <v>110</v>
      </c>
      <c r="D2696" s="340" t="str">
        <f>VLOOKUP(C2696,Plan!A$1:B$65542,2,0)</f>
        <v>Disponible Administración</v>
      </c>
      <c r="E2696" s="341">
        <f>+F2696-G2696</f>
        <v>20000</v>
      </c>
      <c r="F2696" s="396">
        <v>20000</v>
      </c>
      <c r="G2696" s="396">
        <v>0</v>
      </c>
      <c r="H2696" s="347" t="s">
        <v>1527</v>
      </c>
      <c r="I2696" s="347" t="s">
        <v>1303</v>
      </c>
      <c r="K2696" s="370"/>
      <c r="N2696" s="370"/>
    </row>
    <row r="2697" spans="1:14" s="347" customFormat="1" x14ac:dyDescent="0.25">
      <c r="A2697" s="369">
        <f>+A2696</f>
        <v>44342</v>
      </c>
      <c r="B2697" s="347">
        <f>+B2696</f>
        <v>5</v>
      </c>
      <c r="C2697" s="347">
        <v>3450</v>
      </c>
      <c r="D2697" s="340" t="str">
        <f>VLOOKUP(C2697,Plan!A$1:B$65542,2,0)</f>
        <v>Pastoral Social</v>
      </c>
      <c r="E2697" s="396">
        <f>-G2697</f>
        <v>-20000</v>
      </c>
      <c r="F2697" s="396">
        <v>0</v>
      </c>
      <c r="G2697" s="396">
        <f>+F2696</f>
        <v>20000</v>
      </c>
      <c r="H2697" s="347" t="str">
        <f>+H2696</f>
        <v>Canastas M. Angelica Arancibia</v>
      </c>
      <c r="I2697" s="347" t="s">
        <v>1303</v>
      </c>
      <c r="K2697" s="370"/>
      <c r="N2697" s="370"/>
    </row>
    <row r="2698" spans="1:14" s="347" customFormat="1" x14ac:dyDescent="0.25">
      <c r="A2698" s="369"/>
      <c r="E2698" s="396"/>
      <c r="F2698" s="396"/>
      <c r="G2698" s="396"/>
      <c r="K2698" s="370"/>
      <c r="N2698" s="370"/>
    </row>
    <row r="2699" spans="1:14" s="347" customFormat="1" x14ac:dyDescent="0.25">
      <c r="A2699" s="369">
        <v>44342</v>
      </c>
      <c r="B2699" s="340">
        <f>+MONTH(A2699)</f>
        <v>5</v>
      </c>
      <c r="C2699" s="347">
        <v>110</v>
      </c>
      <c r="D2699" s="340" t="str">
        <f>VLOOKUP(C2699,Plan!A$1:B$65542,2,0)</f>
        <v>Disponible Administración</v>
      </c>
      <c r="E2699" s="341">
        <f>+F2699-G2699</f>
        <v>40000</v>
      </c>
      <c r="F2699" s="396">
        <v>40000</v>
      </c>
      <c r="G2699" s="396">
        <v>0</v>
      </c>
      <c r="H2699" s="347" t="s">
        <v>1528</v>
      </c>
      <c r="I2699" s="347" t="s">
        <v>1303</v>
      </c>
      <c r="K2699" s="370"/>
      <c r="N2699" s="370"/>
    </row>
    <row r="2700" spans="1:14" s="347" customFormat="1" x14ac:dyDescent="0.25">
      <c r="A2700" s="369">
        <f>+A2699</f>
        <v>44342</v>
      </c>
      <c r="B2700" s="347">
        <f>+B2699</f>
        <v>5</v>
      </c>
      <c r="C2700" s="347">
        <v>3450</v>
      </c>
      <c r="D2700" s="340" t="str">
        <f>VLOOKUP(C2700,Plan!A$1:B$65542,2,0)</f>
        <v>Pastoral Social</v>
      </c>
      <c r="E2700" s="396">
        <f>-G2700</f>
        <v>-40000</v>
      </c>
      <c r="F2700" s="396">
        <v>0</v>
      </c>
      <c r="G2700" s="396">
        <f>+F2699</f>
        <v>40000</v>
      </c>
      <c r="H2700" s="347" t="str">
        <f>+H2699</f>
        <v>Canastas M. Emilia Caballero</v>
      </c>
      <c r="I2700" s="347" t="s">
        <v>1303</v>
      </c>
      <c r="K2700" s="370"/>
      <c r="N2700" s="370"/>
    </row>
    <row r="2701" spans="1:14" s="347" customFormat="1" x14ac:dyDescent="0.25">
      <c r="A2701" s="369"/>
      <c r="E2701" s="396"/>
      <c r="F2701" s="396"/>
      <c r="G2701" s="396"/>
      <c r="K2701" s="370"/>
      <c r="N2701" s="370"/>
    </row>
    <row r="2702" spans="1:14" s="347" customFormat="1" x14ac:dyDescent="0.25">
      <c r="A2702" s="369">
        <v>44342</v>
      </c>
      <c r="B2702" s="340">
        <f>+MONTH(A2702)</f>
        <v>5</v>
      </c>
      <c r="C2702" s="347">
        <v>110</v>
      </c>
      <c r="D2702" s="340" t="str">
        <f>VLOOKUP(C2702,Plan!A$1:B$65542,2,0)</f>
        <v>Disponible Administración</v>
      </c>
      <c r="E2702" s="341">
        <f>+F2702-G2702</f>
        <v>117972</v>
      </c>
      <c r="F2702" s="396">
        <v>117972</v>
      </c>
      <c r="G2702" s="396">
        <v>0</v>
      </c>
      <c r="H2702" s="347" t="s">
        <v>1529</v>
      </c>
      <c r="I2702" s="347" t="s">
        <v>1303</v>
      </c>
      <c r="K2702" s="370"/>
      <c r="N2702" s="370"/>
    </row>
    <row r="2703" spans="1:14" s="347" customFormat="1" x14ac:dyDescent="0.25">
      <c r="A2703" s="369">
        <f>+A2702</f>
        <v>44342</v>
      </c>
      <c r="B2703" s="347">
        <f>+B2702</f>
        <v>5</v>
      </c>
      <c r="C2703" s="347">
        <v>3450</v>
      </c>
      <c r="D2703" s="340" t="str">
        <f>VLOOKUP(C2703,Plan!A$1:B$65542,2,0)</f>
        <v>Pastoral Social</v>
      </c>
      <c r="E2703" s="396">
        <f>-G2703</f>
        <v>-117972</v>
      </c>
      <c r="F2703" s="396">
        <v>0</v>
      </c>
      <c r="G2703" s="396">
        <f>+F2702</f>
        <v>117972</v>
      </c>
      <c r="H2703" s="347" t="str">
        <f>+H2702</f>
        <v>Canastas DCT</v>
      </c>
      <c r="I2703" s="347" t="s">
        <v>1303</v>
      </c>
      <c r="K2703" s="370"/>
      <c r="N2703" s="370"/>
    </row>
    <row r="2704" spans="1:14" s="347" customFormat="1" x14ac:dyDescent="0.25">
      <c r="A2704" s="369"/>
      <c r="E2704" s="396"/>
      <c r="F2704" s="396"/>
      <c r="G2704" s="396"/>
      <c r="K2704" s="370"/>
      <c r="N2704" s="370"/>
    </row>
    <row r="2705" spans="1:14" s="347" customFormat="1" x14ac:dyDescent="0.25">
      <c r="A2705" s="369">
        <v>44343</v>
      </c>
      <c r="B2705" s="340">
        <f>+MONTH(A2705)</f>
        <v>5</v>
      </c>
      <c r="C2705" s="347">
        <v>110</v>
      </c>
      <c r="D2705" s="340" t="str">
        <f>VLOOKUP(C2705,Plan!A$1:B$65542,2,0)</f>
        <v>Disponible Administración</v>
      </c>
      <c r="E2705" s="341">
        <f>+F2705-G2705</f>
        <v>20000</v>
      </c>
      <c r="F2705" s="396">
        <v>20000</v>
      </c>
      <c r="G2705" s="396">
        <v>0</v>
      </c>
      <c r="H2705" s="347" t="s">
        <v>1530</v>
      </c>
      <c r="I2705" s="347" t="s">
        <v>1303</v>
      </c>
      <c r="K2705" s="370"/>
      <c r="N2705" s="370"/>
    </row>
    <row r="2706" spans="1:14" s="347" customFormat="1" x14ac:dyDescent="0.25">
      <c r="A2706" s="369">
        <f>+A2705</f>
        <v>44343</v>
      </c>
      <c r="B2706" s="347">
        <f>+B2705</f>
        <v>5</v>
      </c>
      <c r="C2706" s="347">
        <v>3450</v>
      </c>
      <c r="D2706" s="340" t="str">
        <f>VLOOKUP(C2706,Plan!A$1:B$65542,2,0)</f>
        <v>Pastoral Social</v>
      </c>
      <c r="E2706" s="396">
        <f>-G2706</f>
        <v>-20000</v>
      </c>
      <c r="F2706" s="396">
        <v>0</v>
      </c>
      <c r="G2706" s="396">
        <f>+F2705</f>
        <v>20000</v>
      </c>
      <c r="H2706" s="347" t="str">
        <f>+H2705</f>
        <v>Canastas Francisco Rodriguez B.</v>
      </c>
      <c r="I2706" s="347" t="s">
        <v>1303</v>
      </c>
      <c r="K2706" s="370"/>
      <c r="N2706" s="370"/>
    </row>
    <row r="2707" spans="1:14" s="347" customFormat="1" x14ac:dyDescent="0.25">
      <c r="A2707" s="369"/>
      <c r="E2707" s="396"/>
      <c r="F2707" s="396"/>
      <c r="G2707" s="396"/>
      <c r="K2707" s="370"/>
      <c r="N2707" s="370"/>
    </row>
    <row r="2708" spans="1:14" s="347" customFormat="1" x14ac:dyDescent="0.25">
      <c r="A2708" s="369">
        <v>44343</v>
      </c>
      <c r="B2708" s="340">
        <f>+MONTH(A2708)</f>
        <v>5</v>
      </c>
      <c r="C2708" s="347">
        <v>110</v>
      </c>
      <c r="D2708" s="340" t="str">
        <f>VLOOKUP(C2708,Plan!A$1:B$65542,2,0)</f>
        <v>Disponible Administración</v>
      </c>
      <c r="E2708" s="341">
        <f>+F2708-G2708</f>
        <v>20000</v>
      </c>
      <c r="F2708" s="396">
        <v>20000</v>
      </c>
      <c r="G2708" s="396">
        <v>0</v>
      </c>
      <c r="H2708" s="347" t="s">
        <v>1531</v>
      </c>
      <c r="I2708" s="347" t="s">
        <v>1303</v>
      </c>
      <c r="K2708" s="370"/>
      <c r="N2708" s="370"/>
    </row>
    <row r="2709" spans="1:14" s="347" customFormat="1" x14ac:dyDescent="0.25">
      <c r="A2709" s="369">
        <f>+A2708</f>
        <v>44343</v>
      </c>
      <c r="B2709" s="347">
        <f>+B2708</f>
        <v>5</v>
      </c>
      <c r="C2709" s="347">
        <v>3450</v>
      </c>
      <c r="D2709" s="340" t="str">
        <f>VLOOKUP(C2709,Plan!A$1:B$65542,2,0)</f>
        <v>Pastoral Social</v>
      </c>
      <c r="E2709" s="396">
        <f>-G2709</f>
        <v>-20000</v>
      </c>
      <c r="F2709" s="396">
        <v>0</v>
      </c>
      <c r="G2709" s="396">
        <f>+F2708</f>
        <v>20000</v>
      </c>
      <c r="H2709" s="347" t="str">
        <f>+H2708</f>
        <v>Canastas Jose Maria Rodriguez B.</v>
      </c>
      <c r="I2709" s="347" t="s">
        <v>1303</v>
      </c>
      <c r="K2709" s="370"/>
      <c r="N2709" s="370"/>
    </row>
    <row r="2710" spans="1:14" s="347" customFormat="1" x14ac:dyDescent="0.25">
      <c r="A2710" s="369"/>
      <c r="E2710" s="396"/>
      <c r="F2710" s="396"/>
      <c r="G2710" s="396"/>
      <c r="K2710" s="370"/>
      <c r="N2710" s="370"/>
    </row>
    <row r="2711" spans="1:14" s="347" customFormat="1" x14ac:dyDescent="0.25">
      <c r="A2711" s="369">
        <v>44343</v>
      </c>
      <c r="B2711" s="340">
        <f>+MONTH(A2711)</f>
        <v>5</v>
      </c>
      <c r="C2711" s="347">
        <v>110</v>
      </c>
      <c r="D2711" s="340" t="str">
        <f>VLOOKUP(C2711,Plan!A$1:B$65542,2,0)</f>
        <v>Disponible Administración</v>
      </c>
      <c r="E2711" s="341">
        <f>+F2711-G2711</f>
        <v>4902</v>
      </c>
      <c r="F2711" s="396">
        <v>4902</v>
      </c>
      <c r="G2711" s="396">
        <v>0</v>
      </c>
      <c r="H2711" s="347" t="s">
        <v>1338</v>
      </c>
      <c r="I2711" s="347" t="s">
        <v>1303</v>
      </c>
      <c r="K2711" s="370"/>
      <c r="N2711" s="370"/>
    </row>
    <row r="2712" spans="1:14" s="347" customFormat="1" x14ac:dyDescent="0.25">
      <c r="A2712" s="369">
        <f>+A2711</f>
        <v>44343</v>
      </c>
      <c r="B2712" s="347">
        <f>+B2711</f>
        <v>5</v>
      </c>
      <c r="C2712" s="347">
        <v>3340</v>
      </c>
      <c r="D2712" s="340" t="str">
        <f>VLOOKUP(C2712,Plan!A$1:B$65542,2,0)</f>
        <v>Misas</v>
      </c>
      <c r="E2712" s="396">
        <f>-G2712</f>
        <v>-4902</v>
      </c>
      <c r="F2712" s="396">
        <v>0</v>
      </c>
      <c r="G2712" s="396">
        <f>+F2711</f>
        <v>4902</v>
      </c>
      <c r="H2712" s="347" t="str">
        <f>+H2711</f>
        <v>Misa DCT</v>
      </c>
      <c r="I2712" s="347" t="s">
        <v>1303</v>
      </c>
      <c r="K2712" s="370"/>
      <c r="N2712" s="370"/>
    </row>
    <row r="2713" spans="1:14" s="347" customFormat="1" x14ac:dyDescent="0.25">
      <c r="A2713" s="369"/>
      <c r="E2713" s="396"/>
      <c r="F2713" s="396"/>
      <c r="G2713" s="396"/>
      <c r="K2713" s="370"/>
      <c r="N2713" s="370"/>
    </row>
    <row r="2714" spans="1:14" s="347" customFormat="1" x14ac:dyDescent="0.25">
      <c r="A2714" s="369">
        <v>44344</v>
      </c>
      <c r="B2714" s="340">
        <f>+MONTH(A2714)</f>
        <v>5</v>
      </c>
      <c r="C2714" s="347">
        <v>4680</v>
      </c>
      <c r="D2714" s="340" t="str">
        <f>VLOOKUP(C2714,Plan!A$1:B$65542,2,0)</f>
        <v>Pastoral Comunicacional</v>
      </c>
      <c r="E2714" s="341">
        <f>+F2714-G2714</f>
        <v>478358</v>
      </c>
      <c r="F2714" s="396">
        <v>478358</v>
      </c>
      <c r="G2714" s="396">
        <v>0</v>
      </c>
      <c r="H2714" s="347" t="s">
        <v>1532</v>
      </c>
      <c r="I2714" s="347" t="s">
        <v>1303</v>
      </c>
      <c r="K2714" s="370"/>
      <c r="N2714" s="370"/>
    </row>
    <row r="2715" spans="1:14" s="347" customFormat="1" x14ac:dyDescent="0.25">
      <c r="A2715" s="369">
        <f>+A2714</f>
        <v>44344</v>
      </c>
      <c r="B2715" s="347">
        <f>+B2714</f>
        <v>5</v>
      </c>
      <c r="C2715" s="347">
        <v>110</v>
      </c>
      <c r="D2715" s="340" t="str">
        <f>VLOOKUP(C2715,Plan!A$1:B$65542,2,0)</f>
        <v>Disponible Administración</v>
      </c>
      <c r="E2715" s="396">
        <f>-G2715</f>
        <v>-478358</v>
      </c>
      <c r="F2715" s="396">
        <v>0</v>
      </c>
      <c r="G2715" s="396">
        <f>+F2714</f>
        <v>478358</v>
      </c>
      <c r="H2715" s="347" t="str">
        <f>+H2714</f>
        <v>F-780 Serv Mayo 2021 Areopago</v>
      </c>
      <c r="I2715" s="347" t="s">
        <v>1303</v>
      </c>
      <c r="K2715" s="370"/>
      <c r="N2715" s="370"/>
    </row>
    <row r="2716" spans="1:14" s="347" customFormat="1" x14ac:dyDescent="0.25">
      <c r="A2716" s="369"/>
      <c r="E2716" s="396"/>
      <c r="F2716" s="396"/>
      <c r="G2716" s="396"/>
      <c r="H2716"/>
      <c r="K2716" s="370"/>
      <c r="N2716" s="370"/>
    </row>
    <row r="2717" spans="1:14" s="347" customFormat="1" x14ac:dyDescent="0.25">
      <c r="A2717" s="369">
        <v>44344</v>
      </c>
      <c r="B2717" s="340">
        <f>+MONTH(A2717)</f>
        <v>5</v>
      </c>
      <c r="C2717" s="347">
        <v>4650</v>
      </c>
      <c r="D2717" s="340" t="str">
        <f>VLOOKUP(C2717,Plan!A$1:B$65542,2,0)</f>
        <v>Pastoral Social</v>
      </c>
      <c r="E2717" s="341">
        <f>+F2717-G2717</f>
        <v>2280000</v>
      </c>
      <c r="F2717" s="396">
        <v>2280000</v>
      </c>
      <c r="G2717" s="396">
        <v>0</v>
      </c>
      <c r="H2717" s="347" t="s">
        <v>1533</v>
      </c>
      <c r="I2717" s="347" t="s">
        <v>1303</v>
      </c>
      <c r="K2717" s="370"/>
      <c r="N2717" s="370"/>
    </row>
    <row r="2718" spans="1:14" s="347" customFormat="1" x14ac:dyDescent="0.25">
      <c r="A2718" s="369">
        <f>+A2717</f>
        <v>44344</v>
      </c>
      <c r="B2718" s="347">
        <f>+B2717</f>
        <v>5</v>
      </c>
      <c r="C2718" s="347">
        <v>110</v>
      </c>
      <c r="D2718" s="340" t="str">
        <f>VLOOKUP(C2718,Plan!A$1:B$65542,2,0)</f>
        <v>Disponible Administración</v>
      </c>
      <c r="E2718" s="396">
        <f>-G2718</f>
        <v>-2280000</v>
      </c>
      <c r="F2718" s="396">
        <v>0</v>
      </c>
      <c r="G2718" s="396">
        <f>+F2717</f>
        <v>2280000</v>
      </c>
      <c r="H2718" s="347" t="str">
        <f>+H2717</f>
        <v>F-393113 Servicefood</v>
      </c>
      <c r="I2718" s="347" t="s">
        <v>1303</v>
      </c>
      <c r="K2718" s="370"/>
      <c r="N2718" s="370"/>
    </row>
    <row r="2719" spans="1:14" s="347" customFormat="1" x14ac:dyDescent="0.25">
      <c r="A2719" s="369"/>
      <c r="E2719" s="396"/>
      <c r="F2719" s="396"/>
      <c r="G2719" s="396"/>
      <c r="K2719" s="370"/>
      <c r="N2719" s="370"/>
    </row>
    <row r="2720" spans="1:14" s="347" customFormat="1" x14ac:dyDescent="0.25">
      <c r="A2720" s="369">
        <v>44344</v>
      </c>
      <c r="B2720" s="340">
        <f>+MONTH(A2720)</f>
        <v>5</v>
      </c>
      <c r="C2720" s="347">
        <v>4861</v>
      </c>
      <c r="D2720" s="340" t="str">
        <f>VLOOKUP(C2720,Plan!A$1:B$65542,2,0)</f>
        <v>Curso Biblia</v>
      </c>
      <c r="E2720" s="341">
        <f>+F2720-G2720</f>
        <v>292750</v>
      </c>
      <c r="F2720" s="396">
        <v>292750</v>
      </c>
      <c r="G2720" s="396">
        <v>0</v>
      </c>
      <c r="H2720" s="347" t="s">
        <v>1534</v>
      </c>
      <c r="I2720" s="347" t="s">
        <v>1303</v>
      </c>
      <c r="K2720" s="370"/>
      <c r="N2720" s="370"/>
    </row>
    <row r="2721" spans="1:14" s="347" customFormat="1" x14ac:dyDescent="0.25">
      <c r="A2721" s="369">
        <v>44344</v>
      </c>
      <c r="B2721" s="340">
        <f>+MONTH(A2721)</f>
        <v>5</v>
      </c>
      <c r="C2721" s="347">
        <v>223</v>
      </c>
      <c r="D2721" s="340" t="str">
        <f>VLOOKUP(C2721,Plan!A$1:B$65542,2,0)</f>
        <v>Ret. Hon.  e Impto. Unico Administración</v>
      </c>
      <c r="E2721" s="341">
        <f>+F2721-G2721</f>
        <v>-33666</v>
      </c>
      <c r="F2721" s="396">
        <v>0</v>
      </c>
      <c r="G2721" s="396">
        <v>33666</v>
      </c>
      <c r="H2721" s="347" t="s">
        <v>1534</v>
      </c>
      <c r="I2721" s="347" t="s">
        <v>1303</v>
      </c>
      <c r="K2721" s="370"/>
      <c r="N2721" s="370"/>
    </row>
    <row r="2722" spans="1:14" s="347" customFormat="1" x14ac:dyDescent="0.25">
      <c r="A2722" s="369">
        <f>+A2720</f>
        <v>44344</v>
      </c>
      <c r="B2722" s="347">
        <f>+B2720</f>
        <v>5</v>
      </c>
      <c r="C2722" s="347">
        <v>110</v>
      </c>
      <c r="D2722" s="340" t="str">
        <f>VLOOKUP(C2722,Plan!A$1:B$65542,2,0)</f>
        <v>Disponible Administración</v>
      </c>
      <c r="E2722" s="396">
        <f>-G2722</f>
        <v>-259084</v>
      </c>
      <c r="F2722" s="396">
        <v>0</v>
      </c>
      <c r="G2722" s="396">
        <v>259084</v>
      </c>
      <c r="H2722" s="347" t="str">
        <f>+H2720</f>
        <v>BE-159 Rodigo Vidal Paiva</v>
      </c>
      <c r="I2722" s="347" t="s">
        <v>1303</v>
      </c>
      <c r="K2722" s="370"/>
      <c r="N2722" s="370"/>
    </row>
    <row r="2723" spans="1:14" s="347" customFormat="1" x14ac:dyDescent="0.25">
      <c r="A2723" s="369"/>
      <c r="E2723" s="396"/>
      <c r="F2723" s="396"/>
      <c r="G2723" s="396"/>
      <c r="K2723" s="370"/>
      <c r="N2723" s="370"/>
    </row>
    <row r="2724" spans="1:14" s="347" customFormat="1" x14ac:dyDescent="0.25">
      <c r="A2724" s="369">
        <v>44344</v>
      </c>
      <c r="B2724" s="340">
        <f>+MONTH(A2724)</f>
        <v>5</v>
      </c>
      <c r="C2724" s="347">
        <v>4643</v>
      </c>
      <c r="D2724" s="340" t="str">
        <f>VLOOKUP(C2724,Plan!A$1:B$65542,2,0)</f>
        <v xml:space="preserve">             Otros</v>
      </c>
      <c r="E2724" s="341">
        <f>+F2724-G2724</f>
        <v>40000</v>
      </c>
      <c r="F2724" s="396">
        <v>40000</v>
      </c>
      <c r="G2724" s="396">
        <v>0</v>
      </c>
      <c r="H2724" s="347" t="s">
        <v>1535</v>
      </c>
      <c r="I2724" s="347" t="s">
        <v>1303</v>
      </c>
      <c r="K2724" s="370"/>
      <c r="N2724" s="370"/>
    </row>
    <row r="2725" spans="1:14" s="347" customFormat="1" x14ac:dyDescent="0.25">
      <c r="A2725" s="369">
        <v>44344</v>
      </c>
      <c r="B2725" s="340">
        <f>+MONTH(A2725)</f>
        <v>5</v>
      </c>
      <c r="C2725" s="347">
        <v>223</v>
      </c>
      <c r="D2725" s="340" t="str">
        <f>VLOOKUP(C2725,Plan!A$1:B$65542,2,0)</f>
        <v>Ret. Hon.  e Impto. Unico Administración</v>
      </c>
      <c r="E2725" s="341">
        <f>+F2725-G2725</f>
        <v>-4600</v>
      </c>
      <c r="F2725" s="396">
        <v>0</v>
      </c>
      <c r="G2725" s="396">
        <v>4600</v>
      </c>
      <c r="H2725" s="347" t="s">
        <v>1535</v>
      </c>
      <c r="I2725" s="347" t="s">
        <v>1303</v>
      </c>
      <c r="K2725" s="370"/>
      <c r="N2725" s="370"/>
    </row>
    <row r="2726" spans="1:14" s="347" customFormat="1" x14ac:dyDescent="0.25">
      <c r="A2726" s="369">
        <f>+A2724</f>
        <v>44344</v>
      </c>
      <c r="B2726" s="347">
        <f>+B2724</f>
        <v>5</v>
      </c>
      <c r="C2726" s="347">
        <v>110</v>
      </c>
      <c r="D2726" s="340" t="str">
        <f>VLOOKUP(C2726,Plan!A$1:B$65542,2,0)</f>
        <v>Disponible Administración</v>
      </c>
      <c r="E2726" s="396">
        <f>-G2726</f>
        <v>-35400</v>
      </c>
      <c r="F2726" s="396">
        <v>0</v>
      </c>
      <c r="G2726" s="396">
        <v>35400</v>
      </c>
      <c r="H2726" s="347" t="str">
        <f>+H2724</f>
        <v>BE-107 Dorlly Cardenas Lindart</v>
      </c>
      <c r="I2726" s="347" t="s">
        <v>1303</v>
      </c>
      <c r="K2726" s="370"/>
      <c r="N2726" s="370"/>
    </row>
    <row r="2727" spans="1:14" s="347" customFormat="1" x14ac:dyDescent="0.25">
      <c r="A2727" s="369"/>
      <c r="E2727" s="396"/>
      <c r="F2727" s="396"/>
      <c r="G2727" s="396"/>
      <c r="K2727" s="370"/>
      <c r="N2727" s="370"/>
    </row>
    <row r="2728" spans="1:14" s="347" customFormat="1" x14ac:dyDescent="0.25">
      <c r="A2728" s="369">
        <v>44344</v>
      </c>
      <c r="B2728" s="340">
        <f>+MONTH(A2728)</f>
        <v>5</v>
      </c>
      <c r="C2728" s="347">
        <v>4224</v>
      </c>
      <c r="D2728" s="340" t="str">
        <f>VLOOKUP(C2728,Plan!A$1:B$65542,2,0)</f>
        <v xml:space="preserve">         Jardinero</v>
      </c>
      <c r="E2728" s="341">
        <f>+F2728-G2728</f>
        <v>33898</v>
      </c>
      <c r="F2728" s="396">
        <v>33898</v>
      </c>
      <c r="G2728" s="396">
        <v>0</v>
      </c>
      <c r="H2728" s="347" t="s">
        <v>1536</v>
      </c>
      <c r="I2728" s="347" t="s">
        <v>1303</v>
      </c>
      <c r="K2728" s="370"/>
      <c r="N2728" s="370"/>
    </row>
    <row r="2729" spans="1:14" s="347" customFormat="1" x14ac:dyDescent="0.25">
      <c r="A2729" s="369">
        <v>44344</v>
      </c>
      <c r="B2729" s="340">
        <f>+MONTH(A2729)</f>
        <v>5</v>
      </c>
      <c r="C2729" s="347">
        <v>223</v>
      </c>
      <c r="D2729" s="340" t="str">
        <f>VLOOKUP(C2729,Plan!A$1:B$65542,2,0)</f>
        <v>Ret. Hon.  e Impto. Unico Administración</v>
      </c>
      <c r="E2729" s="341">
        <f>+F2729-G2729</f>
        <v>-3898</v>
      </c>
      <c r="F2729" s="396">
        <v>0</v>
      </c>
      <c r="G2729" s="396">
        <v>3898</v>
      </c>
      <c r="H2729" s="347" t="s">
        <v>1536</v>
      </c>
      <c r="I2729" s="347" t="s">
        <v>1303</v>
      </c>
      <c r="K2729" s="370"/>
      <c r="N2729" s="370"/>
    </row>
    <row r="2730" spans="1:14" s="347" customFormat="1" x14ac:dyDescent="0.25">
      <c r="A2730" s="369">
        <f>+A2728</f>
        <v>44344</v>
      </c>
      <c r="B2730" s="347">
        <f>+B2728</f>
        <v>5</v>
      </c>
      <c r="C2730" s="347">
        <v>110</v>
      </c>
      <c r="D2730" s="340" t="str">
        <f>VLOOKUP(C2730,Plan!A$1:B$65542,2,0)</f>
        <v>Disponible Administración</v>
      </c>
      <c r="E2730" s="396">
        <f>-G2730</f>
        <v>-30000</v>
      </c>
      <c r="F2730" s="396">
        <v>0</v>
      </c>
      <c r="G2730" s="396">
        <v>30000</v>
      </c>
      <c r="H2730" s="347" t="str">
        <f>+H2728</f>
        <v>BE-108 Eduardo Plaza Rivera</v>
      </c>
      <c r="I2730" s="347" t="s">
        <v>1303</v>
      </c>
      <c r="K2730" s="370"/>
      <c r="N2730" s="370"/>
    </row>
    <row r="2731" spans="1:14" s="347" customFormat="1" x14ac:dyDescent="0.25">
      <c r="A2731" s="369"/>
      <c r="E2731" s="396"/>
      <c r="F2731" s="396"/>
      <c r="G2731" s="396"/>
      <c r="K2731" s="370"/>
      <c r="N2731" s="370"/>
    </row>
    <row r="2732" spans="1:14" s="347" customFormat="1" x14ac:dyDescent="0.25">
      <c r="A2732" s="339">
        <v>44344</v>
      </c>
      <c r="B2732" s="340">
        <f>+MONTH(A2732)</f>
        <v>5</v>
      </c>
      <c r="C2732" s="338">
        <v>4231</v>
      </c>
      <c r="D2732" s="347" t="str">
        <f>VLOOKUP(C2732,Plan!A$1:B$65542,2,0)</f>
        <v>Auxiliares, secretarias y administración</v>
      </c>
      <c r="E2732" s="341">
        <f>+F2732</f>
        <v>2990232</v>
      </c>
      <c r="F2732" s="345">
        <v>2990232</v>
      </c>
      <c r="G2732" s="346">
        <v>0</v>
      </c>
      <c r="H2732" s="343" t="s">
        <v>410</v>
      </c>
      <c r="I2732" s="401" t="s">
        <v>296</v>
      </c>
      <c r="K2732" s="370"/>
      <c r="N2732" s="370"/>
    </row>
    <row r="2733" spans="1:14" s="347" customFormat="1" x14ac:dyDescent="0.25">
      <c r="A2733" s="339">
        <f t="shared" ref="A2733:B2738" si="21">+A2732</f>
        <v>44344</v>
      </c>
      <c r="B2733" s="340">
        <f t="shared" si="21"/>
        <v>5</v>
      </c>
      <c r="C2733" s="338">
        <v>9011</v>
      </c>
      <c r="D2733" s="347" t="str">
        <f>VLOOKUP(C2733,Plan!A$1:B$65542,2,0)</f>
        <v>Sueldo Sacerdotes</v>
      </c>
      <c r="E2733" s="341">
        <f>+F2733</f>
        <v>907706</v>
      </c>
      <c r="F2733" s="345">
        <v>907706</v>
      </c>
      <c r="G2733" s="346">
        <v>0</v>
      </c>
      <c r="H2733" s="338" t="s">
        <v>410</v>
      </c>
      <c r="I2733" s="401" t="s">
        <v>296</v>
      </c>
      <c r="K2733" s="370"/>
      <c r="N2733" s="370"/>
    </row>
    <row r="2734" spans="1:14" s="347" customFormat="1" x14ac:dyDescent="0.25">
      <c r="A2734" s="339">
        <f t="shared" si="21"/>
        <v>44344</v>
      </c>
      <c r="B2734" s="340">
        <f t="shared" si="21"/>
        <v>5</v>
      </c>
      <c r="C2734" s="338">
        <v>4231</v>
      </c>
      <c r="D2734" s="347" t="str">
        <f>VLOOKUP(C2734,Plan!A$1:B$65542,2,0)</f>
        <v>Auxiliares, secretarias y administración</v>
      </c>
      <c r="E2734" s="341">
        <f>+F2734</f>
        <v>47252</v>
      </c>
      <c r="F2734" s="345">
        <v>47252</v>
      </c>
      <c r="G2734" s="346">
        <v>0</v>
      </c>
      <c r="H2734" s="338" t="s">
        <v>410</v>
      </c>
      <c r="I2734" s="401" t="s">
        <v>296</v>
      </c>
      <c r="K2734" s="370"/>
      <c r="N2734" s="370"/>
    </row>
    <row r="2735" spans="1:14" s="347" customFormat="1" x14ac:dyDescent="0.25">
      <c r="A2735" s="339">
        <f t="shared" si="21"/>
        <v>44344</v>
      </c>
      <c r="B2735" s="340">
        <f t="shared" si="21"/>
        <v>5</v>
      </c>
      <c r="C2735" s="338">
        <v>225</v>
      </c>
      <c r="D2735" s="347" t="str">
        <f>VLOOKUP(C2735,Plan!A$1:B$65542,2,0)</f>
        <v>Sueldos por Pagar</v>
      </c>
      <c r="E2735" s="341">
        <f>-G2735</f>
        <v>-3339465</v>
      </c>
      <c r="F2735" s="345">
        <v>0</v>
      </c>
      <c r="G2735" s="346">
        <v>3339465</v>
      </c>
      <c r="H2735" s="338" t="s">
        <v>410</v>
      </c>
      <c r="I2735" s="401" t="s">
        <v>296</v>
      </c>
      <c r="K2735" s="370"/>
      <c r="N2735" s="370"/>
    </row>
    <row r="2736" spans="1:14" s="347" customFormat="1" x14ac:dyDescent="0.25">
      <c r="A2736" s="339">
        <f t="shared" si="21"/>
        <v>44344</v>
      </c>
      <c r="B2736" s="340">
        <f t="shared" si="21"/>
        <v>5</v>
      </c>
      <c r="C2736" s="338">
        <v>224</v>
      </c>
      <c r="D2736" s="347" t="str">
        <f>VLOOKUP(C2736,Plan!A$1:B$65542,2,0)</f>
        <v>Cotizaciones por Pagar</v>
      </c>
      <c r="E2736" s="341">
        <f>-G2736</f>
        <v>-417011</v>
      </c>
      <c r="F2736" s="345">
        <v>0</v>
      </c>
      <c r="G2736" s="346">
        <v>417011</v>
      </c>
      <c r="H2736" s="338" t="s">
        <v>410</v>
      </c>
      <c r="I2736" s="401" t="s">
        <v>296</v>
      </c>
      <c r="K2736" s="370"/>
      <c r="N2736" s="370"/>
    </row>
    <row r="2737" spans="1:14" s="347" customFormat="1" x14ac:dyDescent="0.25">
      <c r="A2737" s="339">
        <f t="shared" si="21"/>
        <v>44344</v>
      </c>
      <c r="B2737" s="340">
        <f t="shared" si="21"/>
        <v>5</v>
      </c>
      <c r="C2737" s="338">
        <v>224</v>
      </c>
      <c r="D2737" s="347" t="str">
        <f>VLOOKUP(C2737,Plan!A$1:B$65542,2,0)</f>
        <v>Cotizaciones por Pagar</v>
      </c>
      <c r="E2737" s="341">
        <f>-G2737</f>
        <v>-172706</v>
      </c>
      <c r="F2737" s="345">
        <v>0</v>
      </c>
      <c r="G2737" s="362">
        <v>172706</v>
      </c>
      <c r="H2737" s="338" t="s">
        <v>410</v>
      </c>
      <c r="I2737" s="401" t="s">
        <v>296</v>
      </c>
      <c r="K2737" s="370"/>
      <c r="N2737" s="370"/>
    </row>
    <row r="2738" spans="1:14" s="347" customFormat="1" x14ac:dyDescent="0.25">
      <c r="A2738" s="339">
        <f t="shared" si="21"/>
        <v>44344</v>
      </c>
      <c r="B2738" s="340">
        <f t="shared" si="21"/>
        <v>5</v>
      </c>
      <c r="C2738" s="338">
        <v>223</v>
      </c>
      <c r="D2738" s="347" t="str">
        <f>VLOOKUP(C2738,Plan!A$1:B$65542,2,0)</f>
        <v>Ret. Hon.  e Impto. Unico Administración</v>
      </c>
      <c r="E2738" s="341">
        <f>-G2738</f>
        <v>-16008</v>
      </c>
      <c r="F2738" s="345">
        <v>0</v>
      </c>
      <c r="G2738" s="346">
        <v>16008</v>
      </c>
      <c r="H2738" s="338" t="s">
        <v>410</v>
      </c>
      <c r="I2738" s="401" t="s">
        <v>296</v>
      </c>
      <c r="K2738" s="370"/>
      <c r="N2738" s="370"/>
    </row>
    <row r="2739" spans="1:14" s="347" customFormat="1" x14ac:dyDescent="0.25">
      <c r="A2739" s="369"/>
      <c r="E2739" s="396"/>
      <c r="F2739" s="396"/>
      <c r="G2739" s="396"/>
      <c r="K2739" s="370"/>
      <c r="N2739" s="370"/>
    </row>
    <row r="2740" spans="1:14" s="347" customFormat="1" x14ac:dyDescent="0.25">
      <c r="A2740" s="369">
        <v>44344</v>
      </c>
      <c r="B2740" s="340">
        <f>+MONTH(A2740)</f>
        <v>5</v>
      </c>
      <c r="C2740" s="347">
        <v>225</v>
      </c>
      <c r="D2740" s="340" t="str">
        <f>VLOOKUP(C2740,Plan!A$1:B$65542,2,0)</f>
        <v>Sueldos por Pagar</v>
      </c>
      <c r="E2740" s="341">
        <f>+F2740-G2740</f>
        <v>3339465</v>
      </c>
      <c r="F2740" s="396">
        <f>+G2741+G2742+G2743+G2744+G2745</f>
        <v>3339465</v>
      </c>
      <c r="G2740" s="396">
        <v>0</v>
      </c>
      <c r="H2740" s="347" t="s">
        <v>1537</v>
      </c>
      <c r="I2740" s="347" t="s">
        <v>1303</v>
      </c>
      <c r="K2740" s="370"/>
      <c r="N2740" s="370"/>
    </row>
    <row r="2741" spans="1:14" s="347" customFormat="1" x14ac:dyDescent="0.25">
      <c r="A2741" s="369">
        <f>+A2740</f>
        <v>44344</v>
      </c>
      <c r="B2741" s="347">
        <f>+B2740</f>
        <v>5</v>
      </c>
      <c r="C2741" s="347">
        <v>110</v>
      </c>
      <c r="D2741" s="340" t="str">
        <f>VLOOKUP(C2741,Plan!A$1:B$65542,2,0)</f>
        <v>Disponible Administración</v>
      </c>
      <c r="E2741" s="396">
        <f>-G2741</f>
        <v>-735000</v>
      </c>
      <c r="F2741" s="396">
        <v>0</v>
      </c>
      <c r="G2741" s="396">
        <v>735000</v>
      </c>
      <c r="H2741" s="347" t="s">
        <v>1538</v>
      </c>
      <c r="I2741" s="347" t="s">
        <v>1303</v>
      </c>
      <c r="K2741" s="370"/>
      <c r="N2741" s="370"/>
    </row>
    <row r="2742" spans="1:14" s="347" customFormat="1" x14ac:dyDescent="0.25">
      <c r="A2742" s="369">
        <f t="shared" ref="A2742:B2745" si="22">+A2741</f>
        <v>44344</v>
      </c>
      <c r="B2742" s="347">
        <f t="shared" si="22"/>
        <v>5</v>
      </c>
      <c r="C2742" s="347">
        <v>110</v>
      </c>
      <c r="D2742" s="340" t="str">
        <f>VLOOKUP(C2742,Plan!A$1:B$65542,2,0)</f>
        <v>Disponible Administración</v>
      </c>
      <c r="E2742" s="396">
        <f>-G2742</f>
        <v>-780404</v>
      </c>
      <c r="F2742" s="396">
        <v>0</v>
      </c>
      <c r="G2742" s="396">
        <v>780404</v>
      </c>
      <c r="H2742" s="347" t="s">
        <v>1539</v>
      </c>
      <c r="I2742" s="347" t="s">
        <v>1303</v>
      </c>
      <c r="K2742" s="370"/>
      <c r="N2742" s="370"/>
    </row>
    <row r="2743" spans="1:14" s="347" customFormat="1" x14ac:dyDescent="0.25">
      <c r="A2743" s="369">
        <f t="shared" si="22"/>
        <v>44344</v>
      </c>
      <c r="B2743" s="347">
        <f t="shared" si="22"/>
        <v>5</v>
      </c>
      <c r="C2743" s="347">
        <v>110</v>
      </c>
      <c r="D2743" s="340" t="str">
        <f>VLOOKUP(C2743,Plan!A$1:B$65542,2,0)</f>
        <v>Disponible Administración</v>
      </c>
      <c r="E2743" s="396">
        <f>-G2743</f>
        <v>-515732</v>
      </c>
      <c r="F2743" s="396">
        <v>0</v>
      </c>
      <c r="G2743" s="396">
        <v>515732</v>
      </c>
      <c r="H2743" s="347" t="s">
        <v>1540</v>
      </c>
      <c r="I2743" s="347" t="s">
        <v>1303</v>
      </c>
      <c r="K2743" s="370"/>
      <c r="N2743" s="370"/>
    </row>
    <row r="2744" spans="1:14" s="347" customFormat="1" x14ac:dyDescent="0.25">
      <c r="A2744" s="369">
        <f t="shared" si="22"/>
        <v>44344</v>
      </c>
      <c r="B2744" s="347">
        <f t="shared" si="22"/>
        <v>5</v>
      </c>
      <c r="C2744" s="347">
        <v>110</v>
      </c>
      <c r="D2744" s="340" t="str">
        <f>VLOOKUP(C2744,Plan!A$1:B$65542,2,0)</f>
        <v>Disponible Administración</v>
      </c>
      <c r="E2744" s="396">
        <f>-G2744</f>
        <v>-190402</v>
      </c>
      <c r="F2744" s="396">
        <v>0</v>
      </c>
      <c r="G2744" s="396">
        <v>190402</v>
      </c>
      <c r="H2744" s="347" t="s">
        <v>1541</v>
      </c>
      <c r="I2744" s="347" t="s">
        <v>1303</v>
      </c>
      <c r="K2744" s="370"/>
      <c r="N2744" s="370"/>
    </row>
    <row r="2745" spans="1:14" s="347" customFormat="1" x14ac:dyDescent="0.25">
      <c r="A2745" s="369">
        <f t="shared" si="22"/>
        <v>44344</v>
      </c>
      <c r="B2745" s="347">
        <f t="shared" si="22"/>
        <v>5</v>
      </c>
      <c r="C2745" s="347">
        <v>110</v>
      </c>
      <c r="D2745" s="340" t="str">
        <f>VLOOKUP(C2745,Plan!A$1:B$65542,2,0)</f>
        <v>Disponible Administración</v>
      </c>
      <c r="E2745" s="396">
        <f>-G2745</f>
        <v>-1117927</v>
      </c>
      <c r="F2745" s="396">
        <v>0</v>
      </c>
      <c r="G2745" s="396">
        <v>1117927</v>
      </c>
      <c r="H2745" s="347" t="s">
        <v>1542</v>
      </c>
      <c r="I2745" s="347" t="s">
        <v>1303</v>
      </c>
      <c r="K2745" s="370"/>
      <c r="N2745" s="370"/>
    </row>
    <row r="2746" spans="1:14" s="347" customFormat="1" x14ac:dyDescent="0.25">
      <c r="A2746" s="369"/>
      <c r="E2746" s="396"/>
      <c r="F2746" s="396"/>
      <c r="G2746" s="396"/>
      <c r="K2746" s="370"/>
      <c r="N2746" s="370"/>
    </row>
    <row r="2747" spans="1:14" s="347" customFormat="1" x14ac:dyDescent="0.25">
      <c r="A2747" s="369">
        <v>44344</v>
      </c>
      <c r="B2747" s="340">
        <f>+MONTH(A2747)</f>
        <v>5</v>
      </c>
      <c r="C2747" s="347">
        <v>110</v>
      </c>
      <c r="D2747" s="340" t="str">
        <f>VLOOKUP(C2747,Plan!A$1:B$65542,2,0)</f>
        <v>Disponible Administración</v>
      </c>
      <c r="E2747" s="341">
        <f>+F2747-G2747</f>
        <v>30000</v>
      </c>
      <c r="F2747" s="396">
        <v>30000</v>
      </c>
      <c r="G2747" s="396">
        <v>0</v>
      </c>
      <c r="H2747" s="347" t="s">
        <v>1352</v>
      </c>
      <c r="I2747" s="347" t="s">
        <v>1303</v>
      </c>
      <c r="K2747" s="370"/>
      <c r="N2747" s="370"/>
    </row>
    <row r="2748" spans="1:14" s="347" customFormat="1" x14ac:dyDescent="0.25">
      <c r="A2748" s="369">
        <f>+A2747</f>
        <v>44344</v>
      </c>
      <c r="B2748" s="347">
        <f>+B2747</f>
        <v>5</v>
      </c>
      <c r="C2748" s="347">
        <v>215</v>
      </c>
      <c r="D2748" s="340" t="str">
        <f>VLOOKUP(C2748,Plan!A$1:B$65542,2,0)</f>
        <v>Cuenta por Pagar a Cali</v>
      </c>
      <c r="E2748" s="396">
        <f>-G2748</f>
        <v>-30000</v>
      </c>
      <c r="F2748" s="396">
        <v>0</v>
      </c>
      <c r="G2748" s="396">
        <f>+F2747</f>
        <v>30000</v>
      </c>
      <c r="H2748" s="347" t="str">
        <f>+H2747</f>
        <v>María Isabel Grez Armanet/Azul</v>
      </c>
      <c r="I2748" s="347" t="s">
        <v>1303</v>
      </c>
      <c r="K2748" s="370"/>
      <c r="N2748" s="370"/>
    </row>
    <row r="2749" spans="1:14" s="347" customFormat="1" x14ac:dyDescent="0.25">
      <c r="A2749" s="369"/>
      <c r="E2749" s="396"/>
      <c r="F2749" s="396"/>
      <c r="G2749" s="396"/>
      <c r="K2749" s="370"/>
      <c r="N2749" s="370"/>
    </row>
    <row r="2750" spans="1:14" s="347" customFormat="1" x14ac:dyDescent="0.25">
      <c r="A2750" s="369">
        <v>44344</v>
      </c>
      <c r="B2750" s="340">
        <f>+MONTH(A2750)</f>
        <v>5</v>
      </c>
      <c r="C2750" s="347">
        <v>110</v>
      </c>
      <c r="D2750" s="340" t="str">
        <f>VLOOKUP(C2750,Plan!A$1:B$65542,2,0)</f>
        <v>Disponible Administración</v>
      </c>
      <c r="E2750" s="341">
        <f>+F2750-G2750</f>
        <v>50000</v>
      </c>
      <c r="F2750" s="396">
        <v>50000</v>
      </c>
      <c r="G2750" s="396">
        <v>0</v>
      </c>
      <c r="H2750" s="347" t="s">
        <v>1543</v>
      </c>
      <c r="I2750" s="347" t="s">
        <v>1303</v>
      </c>
      <c r="K2750" s="370"/>
      <c r="N2750" s="370"/>
    </row>
    <row r="2751" spans="1:14" s="347" customFormat="1" x14ac:dyDescent="0.25">
      <c r="A2751" s="369">
        <f>+A2750</f>
        <v>44344</v>
      </c>
      <c r="B2751" s="347">
        <f>+B2750</f>
        <v>5</v>
      </c>
      <c r="C2751" s="347">
        <v>3450</v>
      </c>
      <c r="D2751" s="340" t="str">
        <f>VLOOKUP(C2751,Plan!A$1:B$65542,2,0)</f>
        <v>Pastoral Social</v>
      </c>
      <c r="E2751" s="396">
        <f>-G2751</f>
        <v>-50000</v>
      </c>
      <c r="F2751" s="396">
        <v>0</v>
      </c>
      <c r="G2751" s="396">
        <f>+F2750</f>
        <v>50000</v>
      </c>
      <c r="H2751" s="347" t="str">
        <f>+H2750</f>
        <v>Canastas Francisco Guimpert</v>
      </c>
      <c r="I2751" s="347" t="s">
        <v>1303</v>
      </c>
      <c r="K2751" s="370"/>
      <c r="N2751" s="370"/>
    </row>
    <row r="2752" spans="1:14" s="347" customFormat="1" x14ac:dyDescent="0.25">
      <c r="A2752" s="369"/>
      <c r="E2752" s="396"/>
      <c r="F2752" s="396"/>
      <c r="G2752" s="396"/>
      <c r="K2752" s="370"/>
      <c r="N2752" s="370"/>
    </row>
    <row r="2753" spans="1:14" s="347" customFormat="1" x14ac:dyDescent="0.25">
      <c r="A2753" s="369">
        <v>44347</v>
      </c>
      <c r="B2753" s="340">
        <f>+MONTH(A2753)</f>
        <v>5</v>
      </c>
      <c r="C2753" s="347">
        <v>110</v>
      </c>
      <c r="D2753" s="340" t="str">
        <f>VLOOKUP(C2753,Plan!A$1:B$65542,2,0)</f>
        <v>Disponible Administración</v>
      </c>
      <c r="E2753" s="341">
        <f>+F2753-G2753</f>
        <v>50000</v>
      </c>
      <c r="F2753" s="396">
        <v>50000</v>
      </c>
      <c r="G2753" s="396">
        <v>0</v>
      </c>
      <c r="H2753" s="347" t="s">
        <v>960</v>
      </c>
      <c r="I2753" s="347" t="s">
        <v>1303</v>
      </c>
      <c r="K2753" s="370"/>
      <c r="N2753" s="370"/>
    </row>
    <row r="2754" spans="1:14" s="347" customFormat="1" x14ac:dyDescent="0.25">
      <c r="A2754" s="369">
        <f>+A2753</f>
        <v>44347</v>
      </c>
      <c r="B2754" s="347">
        <f>+B2753</f>
        <v>5</v>
      </c>
      <c r="C2754" s="347">
        <v>3110</v>
      </c>
      <c r="D2754" s="340" t="str">
        <f>VLOOKUP(C2754,Plan!A$1:B$65542,2,0)</f>
        <v>Colectas Normales</v>
      </c>
      <c r="E2754" s="396">
        <f>-G2754</f>
        <v>-50000</v>
      </c>
      <c r="F2754" s="396">
        <v>0</v>
      </c>
      <c r="G2754" s="396">
        <f>+F2753</f>
        <v>50000</v>
      </c>
      <c r="H2754" s="347" t="str">
        <f>+H2753</f>
        <v>Colecta Ximena Garcia</v>
      </c>
      <c r="I2754" s="347" t="s">
        <v>1303</v>
      </c>
      <c r="K2754" s="370"/>
      <c r="N2754" s="370"/>
    </row>
    <row r="2755" spans="1:14" s="347" customFormat="1" x14ac:dyDescent="0.25">
      <c r="A2755" s="369"/>
      <c r="E2755" s="396"/>
      <c r="F2755" s="396"/>
      <c r="G2755" s="396"/>
      <c r="K2755" s="370"/>
      <c r="N2755" s="370"/>
    </row>
    <row r="2756" spans="1:14" s="347" customFormat="1" x14ac:dyDescent="0.25">
      <c r="A2756" s="369">
        <v>44347</v>
      </c>
      <c r="B2756" s="340">
        <f>+MONTH(A2756)</f>
        <v>5</v>
      </c>
      <c r="C2756" s="347">
        <v>110</v>
      </c>
      <c r="D2756" s="340" t="str">
        <f>VLOOKUP(C2756,Plan!A$1:B$65542,2,0)</f>
        <v>Disponible Administración</v>
      </c>
      <c r="E2756" s="341">
        <f>+F2756-G2756</f>
        <v>250000</v>
      </c>
      <c r="F2756" s="396">
        <v>250000</v>
      </c>
      <c r="G2756" s="396">
        <v>0</v>
      </c>
      <c r="H2756" s="347" t="s">
        <v>1544</v>
      </c>
      <c r="I2756" s="347" t="s">
        <v>1303</v>
      </c>
      <c r="K2756" s="370"/>
      <c r="N2756" s="370"/>
    </row>
    <row r="2757" spans="1:14" s="347" customFormat="1" x14ac:dyDescent="0.25">
      <c r="A2757" s="369">
        <f>+A2756</f>
        <v>44347</v>
      </c>
      <c r="B2757" s="347">
        <f>+B2756</f>
        <v>5</v>
      </c>
      <c r="C2757" s="347">
        <v>215</v>
      </c>
      <c r="D2757" s="340" t="str">
        <f>VLOOKUP(C2757,Plan!A$1:B$65542,2,0)</f>
        <v>Cuenta por Pagar a Cali</v>
      </c>
      <c r="E2757" s="396">
        <f>-G2757</f>
        <v>-250000</v>
      </c>
      <c r="F2757" s="396">
        <v>0</v>
      </c>
      <c r="G2757" s="396">
        <f>+F2756</f>
        <v>250000</v>
      </c>
      <c r="H2757" s="347" t="str">
        <f>+H2756</f>
        <v>Maria Andrea Muzio C. /249</v>
      </c>
      <c r="I2757" s="347" t="s">
        <v>1303</v>
      </c>
      <c r="K2757" s="370"/>
      <c r="N2757" s="370"/>
    </row>
    <row r="2758" spans="1:14" s="347" customFormat="1" x14ac:dyDescent="0.25">
      <c r="A2758" s="369"/>
      <c r="E2758" s="396"/>
      <c r="F2758" s="396"/>
      <c r="G2758" s="396"/>
      <c r="K2758" s="370"/>
      <c r="N2758" s="370"/>
    </row>
    <row r="2759" spans="1:14" s="347" customFormat="1" x14ac:dyDescent="0.25">
      <c r="A2759" s="369">
        <v>44347</v>
      </c>
      <c r="B2759" s="340">
        <f>+MONTH(A2759)</f>
        <v>5</v>
      </c>
      <c r="C2759" s="347">
        <v>110</v>
      </c>
      <c r="D2759" s="340" t="str">
        <f>VLOOKUP(C2759,Plan!A$1:B$65542,2,0)</f>
        <v>Disponible Administración</v>
      </c>
      <c r="E2759" s="341">
        <f>+F2759-G2759</f>
        <v>10000</v>
      </c>
      <c r="F2759" s="396">
        <v>10000</v>
      </c>
      <c r="G2759" s="396">
        <v>0</v>
      </c>
      <c r="H2759" s="347" t="s">
        <v>880</v>
      </c>
      <c r="I2759" s="347" t="s">
        <v>1303</v>
      </c>
      <c r="K2759" s="370"/>
      <c r="N2759" s="370"/>
    </row>
    <row r="2760" spans="1:14" s="347" customFormat="1" x14ac:dyDescent="0.25">
      <c r="A2760" s="369">
        <f>+A2759</f>
        <v>44347</v>
      </c>
      <c r="B2760" s="347">
        <f>+B2759</f>
        <v>5</v>
      </c>
      <c r="C2760" s="347">
        <v>3110</v>
      </c>
      <c r="D2760" s="340" t="str">
        <f>VLOOKUP(C2760,Plan!A$1:B$65542,2,0)</f>
        <v>Colectas Normales</v>
      </c>
      <c r="E2760" s="396">
        <f>-G2760</f>
        <v>-10000</v>
      </c>
      <c r="F2760" s="396">
        <v>0</v>
      </c>
      <c r="G2760" s="396">
        <f>+F2759</f>
        <v>10000</v>
      </c>
      <c r="H2760" s="347" t="str">
        <f>+H2759</f>
        <v>Colecta Sebastian Rios</v>
      </c>
      <c r="I2760" s="347" t="s">
        <v>1303</v>
      </c>
      <c r="K2760" s="370"/>
      <c r="N2760" s="370"/>
    </row>
    <row r="2761" spans="1:14" s="347" customFormat="1" x14ac:dyDescent="0.25">
      <c r="A2761" s="369"/>
      <c r="E2761" s="396"/>
      <c r="F2761" s="396"/>
      <c r="G2761" s="396"/>
      <c r="K2761" s="370"/>
      <c r="N2761" s="370"/>
    </row>
    <row r="2762" spans="1:14" s="347" customFormat="1" x14ac:dyDescent="0.25">
      <c r="A2762" s="369">
        <v>44347</v>
      </c>
      <c r="B2762" s="340">
        <f>+MONTH(A2762)</f>
        <v>5</v>
      </c>
      <c r="C2762" s="347">
        <v>110</v>
      </c>
      <c r="D2762" s="340" t="str">
        <f>VLOOKUP(C2762,Plan!A$1:B$65542,2,0)</f>
        <v>Disponible Administración</v>
      </c>
      <c r="E2762" s="341">
        <f>+F2762-G2762</f>
        <v>10000</v>
      </c>
      <c r="F2762" s="396">
        <v>10000</v>
      </c>
      <c r="G2762" s="396">
        <v>0</v>
      </c>
      <c r="H2762" s="347" t="s">
        <v>881</v>
      </c>
      <c r="I2762" s="347" t="s">
        <v>1303</v>
      </c>
      <c r="K2762" s="370"/>
      <c r="N2762" s="370"/>
    </row>
    <row r="2763" spans="1:14" s="347" customFormat="1" x14ac:dyDescent="0.25">
      <c r="A2763" s="369">
        <f>+A2762</f>
        <v>44347</v>
      </c>
      <c r="B2763" s="347">
        <f>+B2762</f>
        <v>5</v>
      </c>
      <c r="C2763" s="347">
        <v>3110</v>
      </c>
      <c r="D2763" s="340" t="str">
        <f>VLOOKUP(C2763,Plan!A$1:B$65542,2,0)</f>
        <v>Colectas Normales</v>
      </c>
      <c r="E2763" s="396">
        <f>-G2763</f>
        <v>-10000</v>
      </c>
      <c r="F2763" s="396">
        <v>0</v>
      </c>
      <c r="G2763" s="396">
        <f>+F2762</f>
        <v>10000</v>
      </c>
      <c r="H2763" s="347" t="str">
        <f>+H2762</f>
        <v>Colecta Rafael Marin Jordan</v>
      </c>
      <c r="I2763" s="347" t="s">
        <v>1303</v>
      </c>
      <c r="K2763" s="370"/>
      <c r="N2763" s="370"/>
    </row>
    <row r="2764" spans="1:14" s="347" customFormat="1" x14ac:dyDescent="0.25">
      <c r="A2764" s="369"/>
      <c r="E2764" s="396"/>
      <c r="F2764" s="396"/>
      <c r="G2764" s="396"/>
      <c r="K2764" s="370"/>
      <c r="N2764" s="370"/>
    </row>
    <row r="2765" spans="1:14" s="347" customFormat="1" x14ac:dyDescent="0.25">
      <c r="A2765" s="369">
        <v>44347</v>
      </c>
      <c r="B2765" s="340">
        <f>+MONTH(A2765)</f>
        <v>5</v>
      </c>
      <c r="C2765" s="347">
        <v>110</v>
      </c>
      <c r="D2765" s="340" t="str">
        <f>VLOOKUP(C2765,Plan!A$1:B$65542,2,0)</f>
        <v>Disponible Administración</v>
      </c>
      <c r="E2765" s="341">
        <f>+F2765-G2765</f>
        <v>40000</v>
      </c>
      <c r="F2765" s="396">
        <v>40000</v>
      </c>
      <c r="G2765" s="396">
        <v>0</v>
      </c>
      <c r="H2765" s="347" t="s">
        <v>1545</v>
      </c>
      <c r="I2765" s="347" t="s">
        <v>1303</v>
      </c>
      <c r="K2765" s="370"/>
      <c r="N2765" s="370"/>
    </row>
    <row r="2766" spans="1:14" s="347" customFormat="1" x14ac:dyDescent="0.25">
      <c r="A2766" s="369">
        <f>+A2765</f>
        <v>44347</v>
      </c>
      <c r="B2766" s="347">
        <f>+B2765</f>
        <v>5</v>
      </c>
      <c r="C2766" s="347">
        <v>215</v>
      </c>
      <c r="D2766" s="340" t="str">
        <f>VLOOKUP(C2766,Plan!A$1:B$65542,2,0)</f>
        <v>Cuenta por Pagar a Cali</v>
      </c>
      <c r="E2766" s="396">
        <f>-G2766</f>
        <v>-40000</v>
      </c>
      <c r="F2766" s="396">
        <v>0</v>
      </c>
      <c r="G2766" s="396">
        <f>+F2765</f>
        <v>40000</v>
      </c>
      <c r="H2766" s="347" t="str">
        <f>+H2765</f>
        <v>Eduardo Castro de la Barra /249</v>
      </c>
      <c r="I2766" s="347" t="s">
        <v>1303</v>
      </c>
      <c r="K2766" s="370"/>
      <c r="N2766" s="370"/>
    </row>
    <row r="2767" spans="1:14" s="347" customFormat="1" x14ac:dyDescent="0.25">
      <c r="A2767" s="369"/>
      <c r="E2767" s="396"/>
      <c r="F2767" s="396"/>
      <c r="G2767" s="396"/>
      <c r="K2767" s="370"/>
      <c r="N2767" s="370"/>
    </row>
    <row r="2768" spans="1:14" s="347" customFormat="1" x14ac:dyDescent="0.25">
      <c r="A2768" s="369">
        <v>44347</v>
      </c>
      <c r="B2768" s="340">
        <f>+MONTH(A2768)</f>
        <v>5</v>
      </c>
      <c r="C2768" s="347">
        <v>110</v>
      </c>
      <c r="D2768" s="340" t="str">
        <f>VLOOKUP(C2768,Plan!A$1:B$65542,2,0)</f>
        <v>Disponible Administración</v>
      </c>
      <c r="E2768" s="341">
        <f>+F2768-G2768</f>
        <v>5000</v>
      </c>
      <c r="F2768" s="396">
        <v>5000</v>
      </c>
      <c r="G2768" s="396">
        <v>0</v>
      </c>
      <c r="H2768" s="347" t="s">
        <v>1398</v>
      </c>
      <c r="I2768" s="347" t="s">
        <v>1303</v>
      </c>
      <c r="K2768" s="370"/>
      <c r="N2768" s="370"/>
    </row>
    <row r="2769" spans="1:14" s="347" customFormat="1" x14ac:dyDescent="0.25">
      <c r="A2769" s="369">
        <f>+A2768</f>
        <v>44347</v>
      </c>
      <c r="B2769" s="347">
        <f>+B2768</f>
        <v>5</v>
      </c>
      <c r="C2769" s="347">
        <v>3110</v>
      </c>
      <c r="D2769" s="340" t="str">
        <f>VLOOKUP(C2769,Plan!A$1:B$65542,2,0)</f>
        <v>Colectas Normales</v>
      </c>
      <c r="E2769" s="396">
        <f>-G2769</f>
        <v>-5000</v>
      </c>
      <c r="F2769" s="396">
        <v>0</v>
      </c>
      <c r="G2769" s="396">
        <f>+F2768</f>
        <v>5000</v>
      </c>
      <c r="H2769" s="347" t="str">
        <f>+H2768</f>
        <v>Colecta Maria Fca. Llona</v>
      </c>
      <c r="I2769" s="347" t="s">
        <v>1303</v>
      </c>
      <c r="K2769" s="370"/>
      <c r="N2769" s="370"/>
    </row>
    <row r="2770" spans="1:14" s="347" customFormat="1" x14ac:dyDescent="0.25">
      <c r="A2770" s="369"/>
      <c r="E2770" s="396"/>
      <c r="F2770" s="396"/>
      <c r="G2770" s="396"/>
      <c r="K2770" s="370"/>
      <c r="N2770" s="370"/>
    </row>
    <row r="2771" spans="1:14" s="347" customFormat="1" x14ac:dyDescent="0.25">
      <c r="A2771" s="369">
        <v>44347</v>
      </c>
      <c r="B2771" s="340">
        <f>+MONTH(A2771)</f>
        <v>5</v>
      </c>
      <c r="C2771" s="347">
        <v>110</v>
      </c>
      <c r="D2771" s="340" t="str">
        <f>VLOOKUP(C2771,Plan!A$1:B$65542,2,0)</f>
        <v>Disponible Administración</v>
      </c>
      <c r="E2771" s="341">
        <f>+F2771-G2771</f>
        <v>60000</v>
      </c>
      <c r="F2771" s="396">
        <v>60000</v>
      </c>
      <c r="G2771" s="396">
        <v>0</v>
      </c>
      <c r="H2771" s="347" t="s">
        <v>1546</v>
      </c>
      <c r="I2771" s="347" t="s">
        <v>1303</v>
      </c>
      <c r="K2771" s="370"/>
      <c r="N2771" s="370"/>
    </row>
    <row r="2772" spans="1:14" s="347" customFormat="1" x14ac:dyDescent="0.25">
      <c r="A2772" s="369">
        <f>+A2771</f>
        <v>44347</v>
      </c>
      <c r="B2772" s="347">
        <f>+B2771</f>
        <v>5</v>
      </c>
      <c r="C2772" s="347">
        <v>3450</v>
      </c>
      <c r="D2772" s="340" t="str">
        <f>VLOOKUP(C2772,Plan!A$1:B$65542,2,0)</f>
        <v>Pastoral Social</v>
      </c>
      <c r="E2772" s="396">
        <f>-G2772</f>
        <v>-60000</v>
      </c>
      <c r="F2772" s="396">
        <v>0</v>
      </c>
      <c r="G2772" s="396">
        <f>+F2771</f>
        <v>60000</v>
      </c>
      <c r="H2772" s="347" t="str">
        <f>+H2771</f>
        <v>Canastas Maria Fca. Llona</v>
      </c>
      <c r="I2772" s="347" t="s">
        <v>1303</v>
      </c>
      <c r="K2772" s="370"/>
      <c r="N2772" s="370"/>
    </row>
    <row r="2773" spans="1:14" s="347" customFormat="1" x14ac:dyDescent="0.25">
      <c r="A2773" s="369"/>
      <c r="E2773" s="396"/>
      <c r="F2773" s="396"/>
      <c r="G2773" s="396"/>
      <c r="K2773" s="370"/>
      <c r="N2773" s="370"/>
    </row>
    <row r="2774" spans="1:14" s="347" customFormat="1" x14ac:dyDescent="0.25">
      <c r="A2774" s="369">
        <v>44347</v>
      </c>
      <c r="B2774" s="340">
        <f>+MONTH(A2774)</f>
        <v>5</v>
      </c>
      <c r="C2774" s="347">
        <v>110</v>
      </c>
      <c r="D2774" s="340" t="str">
        <f>VLOOKUP(C2774,Plan!A$1:B$65542,2,0)</f>
        <v>Disponible Administración</v>
      </c>
      <c r="E2774" s="341">
        <f>+F2774-G2774</f>
        <v>15000</v>
      </c>
      <c r="F2774" s="396">
        <v>15000</v>
      </c>
      <c r="G2774" s="396">
        <v>0</v>
      </c>
      <c r="H2774" s="347" t="s">
        <v>1120</v>
      </c>
      <c r="I2774" s="347" t="s">
        <v>1303</v>
      </c>
      <c r="K2774" s="370"/>
      <c r="N2774" s="370"/>
    </row>
    <row r="2775" spans="1:14" s="347" customFormat="1" x14ac:dyDescent="0.25">
      <c r="A2775" s="369">
        <f>+A2774</f>
        <v>44347</v>
      </c>
      <c r="B2775" s="347">
        <f>+B2774</f>
        <v>5</v>
      </c>
      <c r="C2775" s="347">
        <v>3110</v>
      </c>
      <c r="D2775" s="340" t="str">
        <f>VLOOKUP(C2775,Plan!A$1:B$65542,2,0)</f>
        <v>Colectas Normales</v>
      </c>
      <c r="E2775" s="396">
        <f>-G2775</f>
        <v>-15000</v>
      </c>
      <c r="F2775" s="396">
        <v>0</v>
      </c>
      <c r="G2775" s="396">
        <f>+F2774</f>
        <v>15000</v>
      </c>
      <c r="H2775" s="347" t="str">
        <f>+H2774</f>
        <v>Colecta Maria Car Rios R</v>
      </c>
      <c r="I2775" s="347" t="s">
        <v>1303</v>
      </c>
      <c r="K2775" s="370"/>
      <c r="N2775" s="370"/>
    </row>
    <row r="2776" spans="1:14" s="347" customFormat="1" x14ac:dyDescent="0.25">
      <c r="A2776" s="369"/>
      <c r="E2776" s="396"/>
      <c r="F2776" s="396"/>
      <c r="G2776" s="396"/>
      <c r="K2776" s="370"/>
      <c r="N2776" s="370"/>
    </row>
    <row r="2777" spans="1:14" s="347" customFormat="1" x14ac:dyDescent="0.25">
      <c r="A2777" s="369">
        <v>44347</v>
      </c>
      <c r="B2777" s="340">
        <f>+MONTH(A2777)</f>
        <v>5</v>
      </c>
      <c r="C2777" s="347">
        <v>110</v>
      </c>
      <c r="D2777" s="340" t="str">
        <f>VLOOKUP(C2777,Plan!A$1:B$65542,2,0)</f>
        <v>Disponible Administración</v>
      </c>
      <c r="E2777" s="341">
        <f>+F2777-G2777</f>
        <v>40000</v>
      </c>
      <c r="F2777" s="396">
        <v>40000</v>
      </c>
      <c r="G2777" s="396">
        <v>0</v>
      </c>
      <c r="H2777" s="347" t="s">
        <v>877</v>
      </c>
      <c r="I2777" s="347" t="s">
        <v>1303</v>
      </c>
      <c r="K2777" s="370"/>
      <c r="N2777" s="370"/>
    </row>
    <row r="2778" spans="1:14" s="347" customFormat="1" x14ac:dyDescent="0.25">
      <c r="A2778" s="369">
        <f>+A2777</f>
        <v>44347</v>
      </c>
      <c r="B2778" s="347">
        <f>+B2777</f>
        <v>5</v>
      </c>
      <c r="C2778" s="347">
        <v>3110</v>
      </c>
      <c r="D2778" s="340" t="str">
        <f>VLOOKUP(C2778,Plan!A$1:B$65542,2,0)</f>
        <v>Colectas Normales</v>
      </c>
      <c r="E2778" s="396">
        <f>-G2778</f>
        <v>-40000</v>
      </c>
      <c r="F2778" s="396">
        <v>0</v>
      </c>
      <c r="G2778" s="396">
        <f>+F2777</f>
        <v>40000</v>
      </c>
      <c r="H2778" s="347" t="str">
        <f>+H2777</f>
        <v>Colecta Manuel Uzal C</v>
      </c>
      <c r="I2778" s="347" t="s">
        <v>1303</v>
      </c>
      <c r="K2778" s="370"/>
      <c r="N2778" s="370"/>
    </row>
    <row r="2779" spans="1:14" s="347" customFormat="1" x14ac:dyDescent="0.25">
      <c r="A2779" s="369"/>
      <c r="E2779" s="396"/>
      <c r="F2779" s="396"/>
      <c r="G2779" s="396"/>
      <c r="K2779" s="370"/>
      <c r="N2779" s="370"/>
    </row>
    <row r="2780" spans="1:14" s="347" customFormat="1" x14ac:dyDescent="0.25">
      <c r="A2780" s="369">
        <v>44347</v>
      </c>
      <c r="B2780" s="340">
        <f>+MONTH(A2780)</f>
        <v>5</v>
      </c>
      <c r="C2780" s="347">
        <v>110</v>
      </c>
      <c r="D2780" s="340" t="str">
        <f>VLOOKUP(C2780,Plan!A$1:B$65542,2,0)</f>
        <v>Disponible Administración</v>
      </c>
      <c r="E2780" s="341">
        <f>+F2780-G2780</f>
        <v>50000</v>
      </c>
      <c r="F2780" s="396">
        <v>50000</v>
      </c>
      <c r="G2780" s="396">
        <v>0</v>
      </c>
      <c r="H2780" s="347" t="s">
        <v>1438</v>
      </c>
      <c r="I2780" s="347" t="s">
        <v>1303</v>
      </c>
      <c r="K2780" s="370"/>
      <c r="N2780" s="370"/>
    </row>
    <row r="2781" spans="1:14" s="347" customFormat="1" x14ac:dyDescent="0.25">
      <c r="A2781" s="369">
        <f>+A2780</f>
        <v>44347</v>
      </c>
      <c r="B2781" s="347">
        <f>+B2780</f>
        <v>5</v>
      </c>
      <c r="C2781" s="347">
        <v>3110</v>
      </c>
      <c r="D2781" s="340" t="str">
        <f>VLOOKUP(C2781,Plan!A$1:B$65542,2,0)</f>
        <v>Colectas Normales</v>
      </c>
      <c r="E2781" s="396">
        <f>-G2781</f>
        <v>-50000</v>
      </c>
      <c r="F2781" s="396">
        <v>0</v>
      </c>
      <c r="G2781" s="396">
        <f>+F2780</f>
        <v>50000</v>
      </c>
      <c r="H2781" s="347" t="str">
        <f>+H2780</f>
        <v>Colecta Felipe Varela Venegas</v>
      </c>
      <c r="I2781" s="347" t="s">
        <v>1303</v>
      </c>
      <c r="K2781" s="370"/>
      <c r="N2781" s="370"/>
    </row>
    <row r="2782" spans="1:14" s="347" customFormat="1" x14ac:dyDescent="0.25">
      <c r="A2782" s="369"/>
      <c r="E2782" s="396"/>
      <c r="F2782" s="396"/>
      <c r="G2782" s="396"/>
      <c r="K2782" s="370"/>
      <c r="N2782" s="370"/>
    </row>
    <row r="2783" spans="1:14" s="347" customFormat="1" x14ac:dyDescent="0.25">
      <c r="A2783" s="369">
        <v>44347</v>
      </c>
      <c r="B2783" s="340">
        <f>+MONTH(A2783)</f>
        <v>5</v>
      </c>
      <c r="C2783" s="347">
        <v>110</v>
      </c>
      <c r="D2783" s="340" t="str">
        <f>VLOOKUP(C2783,Plan!A$1:B$65542,2,0)</f>
        <v>Disponible Administración</v>
      </c>
      <c r="E2783" s="341">
        <f>+F2783-G2783</f>
        <v>2000</v>
      </c>
      <c r="F2783" s="396">
        <v>2000</v>
      </c>
      <c r="G2783" s="396">
        <v>0</v>
      </c>
      <c r="H2783" s="347" t="s">
        <v>1216</v>
      </c>
      <c r="I2783" s="347" t="s">
        <v>1303</v>
      </c>
      <c r="K2783" s="370"/>
      <c r="N2783" s="370"/>
    </row>
    <row r="2784" spans="1:14" s="347" customFormat="1" x14ac:dyDescent="0.25">
      <c r="A2784" s="369">
        <f>+A2783</f>
        <v>44347</v>
      </c>
      <c r="B2784" s="347">
        <f>+B2783</f>
        <v>5</v>
      </c>
      <c r="C2784" s="347">
        <v>3110</v>
      </c>
      <c r="D2784" s="340" t="str">
        <f>VLOOKUP(C2784,Plan!A$1:B$65542,2,0)</f>
        <v>Colectas Normales</v>
      </c>
      <c r="E2784" s="396">
        <f>-G2784</f>
        <v>-2000</v>
      </c>
      <c r="F2784" s="396">
        <v>0</v>
      </c>
      <c r="G2784" s="396">
        <f>+F2783</f>
        <v>2000</v>
      </c>
      <c r="H2784" s="347" t="str">
        <f>+H2783</f>
        <v>Colecta Trinidad Barriga Cruzat</v>
      </c>
      <c r="I2784" s="347" t="s">
        <v>1303</v>
      </c>
      <c r="K2784" s="370"/>
      <c r="N2784" s="370"/>
    </row>
    <row r="2785" spans="1:14" s="347" customFormat="1" x14ac:dyDescent="0.25">
      <c r="A2785" s="369"/>
      <c r="E2785" s="396"/>
      <c r="F2785" s="396"/>
      <c r="G2785" s="396"/>
      <c r="K2785" s="370"/>
      <c r="N2785" s="370"/>
    </row>
    <row r="2786" spans="1:14" s="347" customFormat="1" x14ac:dyDescent="0.25">
      <c r="A2786" s="369">
        <v>44347</v>
      </c>
      <c r="B2786" s="340">
        <f>+MONTH(A2786)</f>
        <v>5</v>
      </c>
      <c r="C2786" s="347">
        <v>110</v>
      </c>
      <c r="D2786" s="340" t="str">
        <f>VLOOKUP(C2786,Plan!A$1:B$65542,2,0)</f>
        <v>Disponible Administración</v>
      </c>
      <c r="E2786" s="341">
        <f>+F2786-G2786</f>
        <v>20000</v>
      </c>
      <c r="F2786" s="396">
        <v>20000</v>
      </c>
      <c r="G2786" s="396">
        <v>0</v>
      </c>
      <c r="H2786" s="347" t="s">
        <v>961</v>
      </c>
      <c r="I2786" s="347" t="s">
        <v>1303</v>
      </c>
      <c r="K2786" s="370"/>
      <c r="N2786" s="370"/>
    </row>
    <row r="2787" spans="1:14" s="347" customFormat="1" x14ac:dyDescent="0.25">
      <c r="A2787" s="369">
        <f>+A2786</f>
        <v>44347</v>
      </c>
      <c r="B2787" s="347">
        <f>+B2786</f>
        <v>5</v>
      </c>
      <c r="C2787" s="347">
        <v>3110</v>
      </c>
      <c r="D2787" s="340" t="str">
        <f>VLOOKUP(C2787,Plan!A$1:B$65542,2,0)</f>
        <v>Colectas Normales</v>
      </c>
      <c r="E2787" s="396">
        <f>-G2787</f>
        <v>-20000</v>
      </c>
      <c r="F2787" s="396">
        <v>0</v>
      </c>
      <c r="G2787" s="396">
        <f>+F2786</f>
        <v>20000</v>
      </c>
      <c r="H2787" s="347" t="str">
        <f>+H2786</f>
        <v>Colecta Jose Luis Bustamante G</v>
      </c>
      <c r="I2787" s="347" t="s">
        <v>1303</v>
      </c>
      <c r="K2787" s="370"/>
      <c r="N2787" s="370"/>
    </row>
    <row r="2788" spans="1:14" s="347" customFormat="1" x14ac:dyDescent="0.25">
      <c r="A2788" s="369"/>
      <c r="E2788" s="396"/>
      <c r="F2788" s="396"/>
      <c r="G2788" s="396"/>
      <c r="K2788" s="370"/>
      <c r="N2788" s="370"/>
    </row>
    <row r="2789" spans="1:14" s="347" customFormat="1" x14ac:dyDescent="0.25">
      <c r="A2789" s="369">
        <v>44347</v>
      </c>
      <c r="B2789" s="340">
        <f>+MONTH(A2789)</f>
        <v>5</v>
      </c>
      <c r="C2789" s="347">
        <v>110</v>
      </c>
      <c r="D2789" s="340" t="str">
        <f>VLOOKUP(C2789,Plan!A$1:B$65542,2,0)</f>
        <v>Disponible Administración</v>
      </c>
      <c r="E2789" s="341">
        <f>+F2789-G2789</f>
        <v>12748</v>
      </c>
      <c r="F2789" s="396">
        <v>12748</v>
      </c>
      <c r="G2789" s="396">
        <v>0</v>
      </c>
      <c r="H2789" s="347" t="s">
        <v>1338</v>
      </c>
      <c r="I2789" s="347" t="s">
        <v>1303</v>
      </c>
      <c r="K2789" s="370"/>
      <c r="N2789" s="370"/>
    </row>
    <row r="2790" spans="1:14" s="347" customFormat="1" x14ac:dyDescent="0.25">
      <c r="A2790" s="369">
        <f>+A2789</f>
        <v>44347</v>
      </c>
      <c r="B2790" s="347">
        <f>+B2789</f>
        <v>5</v>
      </c>
      <c r="C2790" s="347">
        <v>3340</v>
      </c>
      <c r="D2790" s="340" t="str">
        <f>VLOOKUP(C2790,Plan!A$1:B$65542,2,0)</f>
        <v>Misas</v>
      </c>
      <c r="E2790" s="396">
        <f>-G2790</f>
        <v>-12748</v>
      </c>
      <c r="F2790" s="396">
        <v>0</v>
      </c>
      <c r="G2790" s="396">
        <f>+F2789</f>
        <v>12748</v>
      </c>
      <c r="H2790" s="347" t="str">
        <f>+H2789</f>
        <v>Misa DCT</v>
      </c>
      <c r="I2790" s="347" t="s">
        <v>1303</v>
      </c>
      <c r="K2790" s="370"/>
      <c r="N2790" s="370"/>
    </row>
    <row r="2791" spans="1:14" s="347" customFormat="1" x14ac:dyDescent="0.25">
      <c r="A2791" s="369"/>
      <c r="E2791" s="396"/>
      <c r="F2791" s="396"/>
      <c r="G2791" s="396"/>
      <c r="K2791" s="370"/>
      <c r="N2791" s="370"/>
    </row>
    <row r="2792" spans="1:14" s="347" customFormat="1" x14ac:dyDescent="0.25">
      <c r="A2792" s="369">
        <v>44347</v>
      </c>
      <c r="B2792" s="340">
        <f>+MONTH(A2792)</f>
        <v>5</v>
      </c>
      <c r="C2792" s="347">
        <v>110</v>
      </c>
      <c r="D2792" s="340" t="str">
        <f>VLOOKUP(C2792,Plan!A$1:B$65542,2,0)</f>
        <v>Disponible Administración</v>
      </c>
      <c r="E2792" s="341">
        <f>+F2792-G2792</f>
        <v>20000</v>
      </c>
      <c r="F2792" s="396">
        <v>20000</v>
      </c>
      <c r="G2792" s="396">
        <v>0</v>
      </c>
      <c r="H2792" s="347" t="s">
        <v>1547</v>
      </c>
      <c r="I2792" s="347" t="s">
        <v>1303</v>
      </c>
      <c r="K2792" s="370"/>
      <c r="N2792" s="370"/>
    </row>
    <row r="2793" spans="1:14" s="347" customFormat="1" x14ac:dyDescent="0.25">
      <c r="A2793" s="369">
        <f>+A2792</f>
        <v>44347</v>
      </c>
      <c r="B2793" s="347">
        <f>+B2792</f>
        <v>5</v>
      </c>
      <c r="C2793" s="347">
        <v>215</v>
      </c>
      <c r="D2793" s="340" t="str">
        <f>VLOOKUP(C2793,Plan!A$1:B$65542,2,0)</f>
        <v>Cuenta por Pagar a Cali</v>
      </c>
      <c r="E2793" s="396">
        <f>-G2793</f>
        <v>-20000</v>
      </c>
      <c r="F2793" s="396">
        <v>0</v>
      </c>
      <c r="G2793" s="396">
        <f>+F2792</f>
        <v>20000</v>
      </c>
      <c r="H2793" s="347" t="str">
        <f>+H2792</f>
        <v>Maria Macarena Besa Prieto /248</v>
      </c>
      <c r="I2793" s="347" t="s">
        <v>1303</v>
      </c>
      <c r="K2793" s="370"/>
      <c r="N2793" s="370"/>
    </row>
    <row r="2794" spans="1:14" s="347" customFormat="1" x14ac:dyDescent="0.25">
      <c r="A2794" s="369"/>
      <c r="E2794" s="396"/>
      <c r="F2794" s="396"/>
      <c r="G2794" s="396"/>
      <c r="K2794" s="370"/>
      <c r="N2794" s="370"/>
    </row>
    <row r="2795" spans="1:14" s="347" customFormat="1" x14ac:dyDescent="0.25">
      <c r="A2795" s="369">
        <v>44347</v>
      </c>
      <c r="B2795" s="340">
        <f>+MONTH(A2795)</f>
        <v>5</v>
      </c>
      <c r="C2795" s="347">
        <v>110</v>
      </c>
      <c r="D2795" s="340" t="str">
        <f>VLOOKUP(C2795,Plan!A$1:B$65542,2,0)</f>
        <v>Disponible Administración</v>
      </c>
      <c r="E2795" s="341">
        <f>+F2795-G2795</f>
        <v>20000</v>
      </c>
      <c r="F2795" s="396">
        <v>20000</v>
      </c>
      <c r="G2795" s="396">
        <v>0</v>
      </c>
      <c r="H2795" s="347" t="s">
        <v>962</v>
      </c>
      <c r="I2795" s="347" t="s">
        <v>1303</v>
      </c>
      <c r="K2795" s="370"/>
      <c r="N2795" s="370"/>
    </row>
    <row r="2796" spans="1:14" s="347" customFormat="1" x14ac:dyDescent="0.25">
      <c r="A2796" s="369">
        <f>+A2795</f>
        <v>44347</v>
      </c>
      <c r="B2796" s="347">
        <f>+B2795</f>
        <v>5</v>
      </c>
      <c r="C2796" s="347">
        <v>3110</v>
      </c>
      <c r="D2796" s="340" t="str">
        <f>VLOOKUP(C2796,Plan!A$1:B$65542,2,0)</f>
        <v>Colectas Normales</v>
      </c>
      <c r="E2796" s="396">
        <f>-G2796</f>
        <v>-20000</v>
      </c>
      <c r="F2796" s="396">
        <v>0</v>
      </c>
      <c r="G2796" s="396">
        <f>+F2795</f>
        <v>20000</v>
      </c>
      <c r="H2796" s="347" t="str">
        <f>+H2795</f>
        <v>Colecta Pablo Garcia</v>
      </c>
      <c r="I2796" s="347" t="s">
        <v>1303</v>
      </c>
      <c r="K2796" s="370"/>
      <c r="N2796" s="370"/>
    </row>
    <row r="2797" spans="1:14" s="347" customFormat="1" x14ac:dyDescent="0.25">
      <c r="A2797" s="369"/>
      <c r="D2797" s="340"/>
      <c r="E2797" s="396"/>
      <c r="F2797" s="396"/>
      <c r="G2797" s="396"/>
      <c r="K2797" s="370"/>
      <c r="N2797" s="370"/>
    </row>
    <row r="2798" spans="1:14" s="347" customFormat="1" x14ac:dyDescent="0.25">
      <c r="A2798" s="369">
        <v>44347</v>
      </c>
      <c r="B2798" s="340">
        <f>+MONTH(A2798)</f>
        <v>5</v>
      </c>
      <c r="C2798" s="347">
        <v>110</v>
      </c>
      <c r="D2798" s="340" t="str">
        <f>VLOOKUP(C2798,Plan!A$1:B$65542,2,0)</f>
        <v>Disponible Administración</v>
      </c>
      <c r="E2798" s="341">
        <f>+F2798-G2798</f>
        <v>40000</v>
      </c>
      <c r="F2798" s="396">
        <v>40000</v>
      </c>
      <c r="G2798" s="396">
        <v>0</v>
      </c>
      <c r="H2798" s="347" t="s">
        <v>1548</v>
      </c>
      <c r="I2798" s="347" t="s">
        <v>1303</v>
      </c>
      <c r="K2798" s="370"/>
      <c r="N2798" s="370"/>
    </row>
    <row r="2799" spans="1:14" s="347" customFormat="1" x14ac:dyDescent="0.25">
      <c r="A2799" s="369">
        <f>+A2798</f>
        <v>44347</v>
      </c>
      <c r="B2799" s="347">
        <f>+B2798</f>
        <v>5</v>
      </c>
      <c r="C2799" s="347">
        <v>3450</v>
      </c>
      <c r="D2799" s="340" t="str">
        <f>VLOOKUP(C2799,Plan!A$1:B$65542,2,0)</f>
        <v>Pastoral Social</v>
      </c>
      <c r="E2799" s="396">
        <f>-G2799</f>
        <v>-40000</v>
      </c>
      <c r="F2799" s="396">
        <v>0</v>
      </c>
      <c r="G2799" s="396">
        <f>+F2798</f>
        <v>40000</v>
      </c>
      <c r="H2799" s="347" t="str">
        <f>+H2798</f>
        <v>Canastas Pablo Garcia</v>
      </c>
      <c r="I2799" s="347" t="s">
        <v>1303</v>
      </c>
      <c r="K2799" s="370"/>
      <c r="N2799" s="370"/>
    </row>
    <row r="2800" spans="1:14" s="347" customFormat="1" x14ac:dyDescent="0.25">
      <c r="A2800" s="369"/>
      <c r="E2800" s="396"/>
      <c r="F2800" s="396"/>
      <c r="G2800" s="396"/>
      <c r="K2800" s="370"/>
      <c r="N2800" s="370"/>
    </row>
    <row r="2801" spans="1:14" s="347" customFormat="1" x14ac:dyDescent="0.25">
      <c r="A2801" s="369">
        <v>44347</v>
      </c>
      <c r="B2801" s="340">
        <f>+MONTH(A2801)</f>
        <v>5</v>
      </c>
      <c r="C2801" s="347">
        <v>110</v>
      </c>
      <c r="D2801" s="340" t="str">
        <f>VLOOKUP(C2801,Plan!A$1:B$65542,2,0)</f>
        <v>Disponible Administración</v>
      </c>
      <c r="E2801" s="341">
        <f>+F2801-G2801</f>
        <v>40000</v>
      </c>
      <c r="F2801" s="396">
        <v>40000</v>
      </c>
      <c r="G2801" s="396">
        <v>0</v>
      </c>
      <c r="H2801" s="347" t="s">
        <v>1235</v>
      </c>
      <c r="I2801" s="347" t="s">
        <v>1303</v>
      </c>
      <c r="K2801" s="370"/>
      <c r="N2801" s="370"/>
    </row>
    <row r="2802" spans="1:14" s="347" customFormat="1" x14ac:dyDescent="0.25">
      <c r="A2802" s="369">
        <f>+A2801</f>
        <v>44347</v>
      </c>
      <c r="B2802" s="347">
        <f>+B2801</f>
        <v>5</v>
      </c>
      <c r="C2802" s="347">
        <v>3110</v>
      </c>
      <c r="D2802" s="340" t="str">
        <f>VLOOKUP(C2802,Plan!A$1:B$65542,2,0)</f>
        <v>Colectas Normales</v>
      </c>
      <c r="E2802" s="396">
        <f>-G2802</f>
        <v>-40000</v>
      </c>
      <c r="F2802" s="396">
        <v>0</v>
      </c>
      <c r="G2802" s="396">
        <f>+F2801</f>
        <v>40000</v>
      </c>
      <c r="H2802" s="347" t="str">
        <f>+H2801</f>
        <v>Colecta Beltran Sergio Larrain Aspillaga</v>
      </c>
      <c r="I2802" s="347" t="s">
        <v>1303</v>
      </c>
      <c r="K2802" s="370"/>
      <c r="N2802" s="370"/>
    </row>
    <row r="2803" spans="1:14" s="347" customFormat="1" x14ac:dyDescent="0.25">
      <c r="A2803" s="369"/>
      <c r="E2803" s="396"/>
      <c r="F2803" s="396"/>
      <c r="G2803" s="396"/>
      <c r="K2803" s="370"/>
      <c r="N2803" s="370"/>
    </row>
    <row r="2804" spans="1:14" s="347" customFormat="1" x14ac:dyDescent="0.25">
      <c r="A2804" s="369">
        <v>44347</v>
      </c>
      <c r="B2804" s="340">
        <f>+MONTH(A2804)</f>
        <v>5</v>
      </c>
      <c r="C2804" s="347">
        <v>110</v>
      </c>
      <c r="D2804" s="340" t="str">
        <f>VLOOKUP(C2804,Plan!A$1:B$65542,2,0)</f>
        <v>Disponible Administración</v>
      </c>
      <c r="E2804" s="341">
        <f>+F2804-G2804</f>
        <v>100000</v>
      </c>
      <c r="F2804" s="396">
        <v>100000</v>
      </c>
      <c r="G2804" s="396">
        <v>0</v>
      </c>
      <c r="H2804" t="s">
        <v>1424</v>
      </c>
      <c r="I2804" s="347" t="s">
        <v>1303</v>
      </c>
      <c r="K2804" s="370"/>
      <c r="N2804" s="370"/>
    </row>
    <row r="2805" spans="1:14" s="347" customFormat="1" x14ac:dyDescent="0.25">
      <c r="A2805" s="369">
        <f>+A2804</f>
        <v>44347</v>
      </c>
      <c r="B2805" s="347">
        <f>+B2804</f>
        <v>5</v>
      </c>
      <c r="C2805" s="347">
        <v>3450</v>
      </c>
      <c r="D2805" s="340" t="str">
        <f>VLOOKUP(C2805,Plan!A$1:B$65542,2,0)</f>
        <v>Pastoral Social</v>
      </c>
      <c r="E2805" s="396">
        <f>-G2805</f>
        <v>-100000</v>
      </c>
      <c r="F2805" s="396">
        <v>0</v>
      </c>
      <c r="G2805" s="396">
        <f>+F2804</f>
        <v>100000</v>
      </c>
      <c r="H2805" s="347" t="str">
        <f>+H2804</f>
        <v>Canasta SERVICIOS E INVERSIONES VARIOS SPA</v>
      </c>
      <c r="I2805" s="347" t="s">
        <v>1303</v>
      </c>
      <c r="K2805" s="370"/>
      <c r="N2805" s="370"/>
    </row>
    <row r="2806" spans="1:14" s="347" customFormat="1" x14ac:dyDescent="0.25">
      <c r="A2806" s="369"/>
      <c r="E2806" s="396"/>
      <c r="F2806" s="396"/>
      <c r="G2806" s="396"/>
      <c r="K2806" s="370"/>
      <c r="N2806" s="370"/>
    </row>
    <row r="2807" spans="1:14" s="347" customFormat="1" x14ac:dyDescent="0.25">
      <c r="A2807" s="369">
        <v>44347</v>
      </c>
      <c r="B2807" s="340">
        <f>+MONTH(A2807)</f>
        <v>5</v>
      </c>
      <c r="C2807" s="347">
        <v>110</v>
      </c>
      <c r="D2807" s="340" t="str">
        <f>VLOOKUP(C2807,Plan!A$1:B$65542,2,0)</f>
        <v>Disponible Administración</v>
      </c>
      <c r="E2807" s="341">
        <f>+F2807-G2807</f>
        <v>3000</v>
      </c>
      <c r="F2807" s="396">
        <v>3000</v>
      </c>
      <c r="G2807" s="396">
        <v>0</v>
      </c>
      <c r="H2807" s="347" t="s">
        <v>1549</v>
      </c>
      <c r="I2807" s="347" t="s">
        <v>1303</v>
      </c>
      <c r="K2807" s="370"/>
      <c r="N2807" s="370"/>
    </row>
    <row r="2808" spans="1:14" s="347" customFormat="1" x14ac:dyDescent="0.25">
      <c r="A2808" s="369">
        <f>+A2807</f>
        <v>44347</v>
      </c>
      <c r="B2808" s="347">
        <f>+B2807</f>
        <v>5</v>
      </c>
      <c r="C2808" s="347">
        <v>3350</v>
      </c>
      <c r="D2808" s="340" t="str">
        <f>VLOOKUP(C2808,Plan!A$1:B$65542,2,0)</f>
        <v>Bautizos</v>
      </c>
      <c r="E2808" s="396">
        <f>-G2808</f>
        <v>-3000</v>
      </c>
      <c r="F2808" s="396">
        <v>0</v>
      </c>
      <c r="G2808" s="396">
        <f>+F2807</f>
        <v>3000</v>
      </c>
      <c r="H2808" s="347" t="str">
        <f>+H2807</f>
        <v>Bautizo</v>
      </c>
      <c r="I2808" s="347" t="s">
        <v>1303</v>
      </c>
      <c r="K2808" s="370"/>
      <c r="N2808" s="370"/>
    </row>
    <row r="2809" spans="1:14" s="347" customFormat="1" x14ac:dyDescent="0.25">
      <c r="A2809" s="369"/>
      <c r="E2809" s="396"/>
      <c r="F2809" s="396"/>
      <c r="G2809" s="396"/>
      <c r="K2809" s="370"/>
      <c r="N2809" s="370"/>
    </row>
    <row r="2810" spans="1:14" s="347" customFormat="1" x14ac:dyDescent="0.25">
      <c r="A2810" s="369">
        <v>44347</v>
      </c>
      <c r="B2810" s="340">
        <f>+MONTH(A2810)</f>
        <v>5</v>
      </c>
      <c r="C2810" s="347">
        <v>110</v>
      </c>
      <c r="D2810" s="340" t="str">
        <f>VLOOKUP(C2810,Plan!A$1:B$65542,2,0)</f>
        <v>Disponible Administración</v>
      </c>
      <c r="E2810" s="341">
        <f>+F2810-G2810</f>
        <v>383000</v>
      </c>
      <c r="F2810" s="396">
        <v>383000</v>
      </c>
      <c r="G2810" s="396">
        <v>0</v>
      </c>
      <c r="H2810" s="347" t="s">
        <v>1410</v>
      </c>
      <c r="I2810" s="347" t="s">
        <v>1303</v>
      </c>
      <c r="K2810" s="370"/>
      <c r="N2810" s="370"/>
    </row>
    <row r="2811" spans="1:14" s="347" customFormat="1" x14ac:dyDescent="0.25">
      <c r="A2811" s="369">
        <f>+A2810</f>
        <v>44347</v>
      </c>
      <c r="B2811" s="347">
        <f>+B2810</f>
        <v>5</v>
      </c>
      <c r="C2811" s="347">
        <v>3110</v>
      </c>
      <c r="D2811" s="340" t="str">
        <f>VLOOKUP(C2811,Plan!A$1:B$65542,2,0)</f>
        <v>Colectas Normales</v>
      </c>
      <c r="E2811" s="396">
        <f>-G2811</f>
        <v>-383000</v>
      </c>
      <c r="F2811" s="396">
        <v>0</v>
      </c>
      <c r="G2811" s="396">
        <f>+F2810</f>
        <v>383000</v>
      </c>
      <c r="H2811" s="347" t="str">
        <f>+H2810</f>
        <v>Colecta Col. Cordillera</v>
      </c>
      <c r="I2811" s="347" t="s">
        <v>1303</v>
      </c>
      <c r="K2811" s="370"/>
      <c r="N2811" s="370"/>
    </row>
    <row r="2812" spans="1:14" s="347" customFormat="1" x14ac:dyDescent="0.25">
      <c r="A2812" s="369"/>
      <c r="D2812" s="340"/>
      <c r="E2812" s="396"/>
      <c r="F2812" s="396"/>
      <c r="G2812" s="396"/>
      <c r="K2812" s="370"/>
      <c r="N2812" s="370"/>
    </row>
    <row r="2813" spans="1:14" s="347" customFormat="1" x14ac:dyDescent="0.25">
      <c r="A2813" s="369"/>
      <c r="D2813" s="340"/>
      <c r="E2813" s="396"/>
      <c r="F2813" s="396"/>
      <c r="G2813" s="396"/>
      <c r="J2813"/>
      <c r="K2813" s="264"/>
      <c r="N2813" s="370"/>
    </row>
    <row r="2814" spans="1:14" s="347" customFormat="1" x14ac:dyDescent="0.25">
      <c r="A2814" s="369">
        <v>44347</v>
      </c>
      <c r="B2814" s="340">
        <f>+MONTH(A2814)</f>
        <v>5</v>
      </c>
      <c r="C2814" s="347">
        <v>142</v>
      </c>
      <c r="D2814" s="340" t="str">
        <f>VLOOKUP(C2814,Plan!A$1:B$65542,2,0)</f>
        <v>Cuentas por Cobrar a CALI (Colectas)</v>
      </c>
      <c r="E2814" s="341">
        <f>+F2814-G2814</f>
        <v>12000</v>
      </c>
      <c r="F2814" s="396">
        <v>12000</v>
      </c>
      <c r="G2814" s="396">
        <v>0</v>
      </c>
      <c r="H2814" t="s">
        <v>982</v>
      </c>
      <c r="I2814" s="347" t="s">
        <v>1303</v>
      </c>
      <c r="J2814"/>
      <c r="K2814" s="264"/>
      <c r="N2814" s="370"/>
    </row>
    <row r="2815" spans="1:14" s="347" customFormat="1" x14ac:dyDescent="0.25">
      <c r="A2815" s="369">
        <v>44347</v>
      </c>
      <c r="B2815" s="340">
        <f t="shared" ref="B2815:B2840" si="23">+MONTH(A2815)</f>
        <v>5</v>
      </c>
      <c r="C2815" s="347">
        <v>142</v>
      </c>
      <c r="D2815" s="340" t="str">
        <f>VLOOKUP(C2815,Plan!A$1:B$65542,2,0)</f>
        <v>Cuentas por Cobrar a CALI (Colectas)</v>
      </c>
      <c r="E2815" s="341">
        <f t="shared" ref="E2815:E2840" si="24">+F2815-G2815</f>
        <v>20000</v>
      </c>
      <c r="F2815" s="396">
        <v>20000</v>
      </c>
      <c r="G2815" s="396">
        <v>0</v>
      </c>
      <c r="H2815" t="s">
        <v>1046</v>
      </c>
      <c r="I2815" s="347" t="s">
        <v>1303</v>
      </c>
      <c r="J2815"/>
      <c r="K2815" s="264"/>
      <c r="N2815" s="370"/>
    </row>
    <row r="2816" spans="1:14" s="347" customFormat="1" x14ac:dyDescent="0.25">
      <c r="A2816" s="369">
        <v>44347</v>
      </c>
      <c r="B2816" s="340">
        <f t="shared" si="23"/>
        <v>5</v>
      </c>
      <c r="C2816" s="347">
        <v>142</v>
      </c>
      <c r="D2816" s="340" t="str">
        <f>VLOOKUP(C2816,Plan!A$1:B$65542,2,0)</f>
        <v>Cuentas por Cobrar a CALI (Colectas)</v>
      </c>
      <c r="E2816" s="341">
        <f t="shared" si="24"/>
        <v>44000</v>
      </c>
      <c r="F2816" s="396">
        <v>44000</v>
      </c>
      <c r="G2816" s="396">
        <v>0</v>
      </c>
      <c r="H2816" t="s">
        <v>971</v>
      </c>
      <c r="I2816" s="347" t="s">
        <v>1303</v>
      </c>
      <c r="J2816"/>
      <c r="K2816" s="264"/>
      <c r="N2816" s="370"/>
    </row>
    <row r="2817" spans="1:14" s="347" customFormat="1" x14ac:dyDescent="0.25">
      <c r="A2817" s="369">
        <v>44347</v>
      </c>
      <c r="B2817" s="340">
        <f t="shared" si="23"/>
        <v>5</v>
      </c>
      <c r="C2817" s="347">
        <v>142</v>
      </c>
      <c r="D2817" s="340" t="str">
        <f>VLOOKUP(C2817,Plan!A$1:B$65542,2,0)</f>
        <v>Cuentas por Cobrar a CALI (Colectas)</v>
      </c>
      <c r="E2817" s="341">
        <f t="shared" si="24"/>
        <v>7500</v>
      </c>
      <c r="F2817" s="396">
        <v>7500</v>
      </c>
      <c r="G2817" s="396">
        <v>0</v>
      </c>
      <c r="H2817" t="s">
        <v>1010</v>
      </c>
      <c r="I2817" s="347" t="s">
        <v>1303</v>
      </c>
      <c r="J2817"/>
      <c r="K2817" s="264"/>
      <c r="N2817" s="370"/>
    </row>
    <row r="2818" spans="1:14" s="347" customFormat="1" x14ac:dyDescent="0.25">
      <c r="A2818" s="369">
        <v>44347</v>
      </c>
      <c r="B2818" s="340">
        <f t="shared" si="23"/>
        <v>5</v>
      </c>
      <c r="C2818" s="347">
        <v>142</v>
      </c>
      <c r="D2818" s="340" t="str">
        <f>VLOOKUP(C2818,Plan!A$1:B$65542,2,0)</f>
        <v>Cuentas por Cobrar a CALI (Colectas)</v>
      </c>
      <c r="E2818" s="341">
        <f t="shared" si="24"/>
        <v>100000</v>
      </c>
      <c r="F2818" s="396">
        <v>100000</v>
      </c>
      <c r="G2818" s="396">
        <v>0</v>
      </c>
      <c r="H2818" t="s">
        <v>1683</v>
      </c>
      <c r="I2818" s="347" t="s">
        <v>1303</v>
      </c>
      <c r="J2818"/>
      <c r="K2818" s="264"/>
      <c r="N2818" s="370"/>
    </row>
    <row r="2819" spans="1:14" s="347" customFormat="1" x14ac:dyDescent="0.25">
      <c r="A2819" s="369">
        <v>44347</v>
      </c>
      <c r="B2819" s="340">
        <f t="shared" si="23"/>
        <v>5</v>
      </c>
      <c r="C2819" s="347">
        <v>142</v>
      </c>
      <c r="D2819" s="340" t="str">
        <f>VLOOKUP(C2819,Plan!A$1:B$65542,2,0)</f>
        <v>Cuentas por Cobrar a CALI (Colectas)</v>
      </c>
      <c r="E2819" s="341">
        <f t="shared" si="24"/>
        <v>21</v>
      </c>
      <c r="F2819" s="396">
        <v>21</v>
      </c>
      <c r="G2819" s="396">
        <v>0</v>
      </c>
      <c r="H2819" t="s">
        <v>1217</v>
      </c>
      <c r="I2819" s="347" t="s">
        <v>1303</v>
      </c>
      <c r="J2819"/>
      <c r="K2819" s="264"/>
      <c r="N2819" s="370"/>
    </row>
    <row r="2820" spans="1:14" s="347" customFormat="1" x14ac:dyDescent="0.25">
      <c r="A2820" s="369">
        <v>44347</v>
      </c>
      <c r="B2820" s="340">
        <f t="shared" si="23"/>
        <v>5</v>
      </c>
      <c r="C2820" s="347">
        <v>142</v>
      </c>
      <c r="D2820" s="340" t="str">
        <f>VLOOKUP(C2820,Plan!A$1:B$65542,2,0)</f>
        <v>Cuentas por Cobrar a CALI (Colectas)</v>
      </c>
      <c r="E2820" s="341">
        <f t="shared" si="24"/>
        <v>10000</v>
      </c>
      <c r="F2820" s="396">
        <v>10000</v>
      </c>
      <c r="G2820" s="396">
        <v>0</v>
      </c>
      <c r="H2820" t="s">
        <v>1718</v>
      </c>
      <c r="I2820" s="347" t="s">
        <v>1303</v>
      </c>
      <c r="J2820"/>
      <c r="K2820" s="264"/>
      <c r="N2820" s="370"/>
    </row>
    <row r="2821" spans="1:14" s="347" customFormat="1" x14ac:dyDescent="0.25">
      <c r="A2821" s="369">
        <v>44347</v>
      </c>
      <c r="B2821" s="340">
        <f t="shared" si="23"/>
        <v>5</v>
      </c>
      <c r="C2821" s="347">
        <v>142</v>
      </c>
      <c r="D2821" s="340" t="str">
        <f>VLOOKUP(C2821,Plan!A$1:B$65542,2,0)</f>
        <v>Cuentas por Cobrar a CALI (Colectas)</v>
      </c>
      <c r="E2821" s="341">
        <f t="shared" si="24"/>
        <v>15000</v>
      </c>
      <c r="F2821" s="396">
        <v>15000</v>
      </c>
      <c r="G2821" s="396">
        <v>0</v>
      </c>
      <c r="H2821" t="s">
        <v>1727</v>
      </c>
      <c r="I2821" s="347" t="s">
        <v>1303</v>
      </c>
      <c r="J2821"/>
      <c r="K2821" s="264"/>
      <c r="N2821" s="370"/>
    </row>
    <row r="2822" spans="1:14" s="347" customFormat="1" x14ac:dyDescent="0.25">
      <c r="A2822" s="369">
        <v>44347</v>
      </c>
      <c r="B2822" s="340">
        <f t="shared" si="23"/>
        <v>5</v>
      </c>
      <c r="C2822" s="347">
        <v>142</v>
      </c>
      <c r="D2822" s="340" t="str">
        <f>VLOOKUP(C2822,Plan!A$1:B$65542,2,0)</f>
        <v>Cuentas por Cobrar a CALI (Colectas)</v>
      </c>
      <c r="E2822" s="341">
        <f t="shared" si="24"/>
        <v>1</v>
      </c>
      <c r="F2822" s="396">
        <v>1</v>
      </c>
      <c r="G2822" s="396">
        <v>0</v>
      </c>
      <c r="H2822" t="s">
        <v>1728</v>
      </c>
      <c r="I2822" s="347" t="s">
        <v>1303</v>
      </c>
      <c r="J2822"/>
      <c r="K2822" s="264"/>
      <c r="N2822" s="370"/>
    </row>
    <row r="2823" spans="1:14" s="347" customFormat="1" x14ac:dyDescent="0.25">
      <c r="A2823" s="369">
        <v>44347</v>
      </c>
      <c r="B2823" s="340">
        <f t="shared" si="23"/>
        <v>5</v>
      </c>
      <c r="C2823" s="347">
        <v>142</v>
      </c>
      <c r="D2823" s="340" t="str">
        <f>VLOOKUP(C2823,Plan!A$1:B$65542,2,0)</f>
        <v>Cuentas por Cobrar a CALI (Colectas)</v>
      </c>
      <c r="E2823" s="341">
        <f t="shared" si="24"/>
        <v>5000</v>
      </c>
      <c r="F2823" s="396">
        <v>5000</v>
      </c>
      <c r="G2823" s="396">
        <v>0</v>
      </c>
      <c r="H2823" t="s">
        <v>1736</v>
      </c>
      <c r="I2823" s="347" t="s">
        <v>1303</v>
      </c>
      <c r="K2823" s="370"/>
      <c r="N2823" s="370"/>
    </row>
    <row r="2824" spans="1:14" s="347" customFormat="1" x14ac:dyDescent="0.25">
      <c r="A2824" s="369">
        <v>44347</v>
      </c>
      <c r="B2824" s="340">
        <f t="shared" si="23"/>
        <v>5</v>
      </c>
      <c r="C2824" s="347">
        <v>3110</v>
      </c>
      <c r="D2824" s="340" t="str">
        <f>VLOOKUP(C2824,Plan!A$1:B$65542,2,0)</f>
        <v>Colectas Normales</v>
      </c>
      <c r="E2824" s="341">
        <f t="shared" si="24"/>
        <v>-12000</v>
      </c>
      <c r="F2824" s="396"/>
      <c r="G2824" s="396">
        <v>12000</v>
      </c>
      <c r="H2824" t="s">
        <v>982</v>
      </c>
      <c r="I2824" s="347" t="s">
        <v>1303</v>
      </c>
      <c r="K2824" s="370"/>
      <c r="N2824" s="370"/>
    </row>
    <row r="2825" spans="1:14" s="347" customFormat="1" x14ac:dyDescent="0.25">
      <c r="A2825" s="369">
        <v>44347</v>
      </c>
      <c r="B2825" s="340">
        <f t="shared" si="23"/>
        <v>5</v>
      </c>
      <c r="C2825" s="347">
        <v>3110</v>
      </c>
      <c r="D2825" s="340" t="str">
        <f>VLOOKUP(C2825,Plan!A$1:B$65542,2,0)</f>
        <v>Colectas Normales</v>
      </c>
      <c r="E2825" s="341">
        <f t="shared" si="24"/>
        <v>-20000</v>
      </c>
      <c r="F2825" s="396"/>
      <c r="G2825" s="396">
        <v>20000</v>
      </c>
      <c r="H2825" t="s">
        <v>1046</v>
      </c>
      <c r="I2825" s="347" t="s">
        <v>1303</v>
      </c>
      <c r="K2825" s="370"/>
      <c r="N2825" s="370"/>
    </row>
    <row r="2826" spans="1:14" s="347" customFormat="1" x14ac:dyDescent="0.25">
      <c r="A2826" s="369">
        <v>44347</v>
      </c>
      <c r="B2826" s="340">
        <f t="shared" si="23"/>
        <v>5</v>
      </c>
      <c r="C2826" s="347">
        <v>3110</v>
      </c>
      <c r="D2826" s="340" t="str">
        <f>VLOOKUP(C2826,Plan!A$1:B$65542,2,0)</f>
        <v>Colectas Normales</v>
      </c>
      <c r="E2826" s="341">
        <f t="shared" si="24"/>
        <v>-44000</v>
      </c>
      <c r="F2826" s="396"/>
      <c r="G2826" s="396">
        <v>44000</v>
      </c>
      <c r="H2826" t="s">
        <v>971</v>
      </c>
      <c r="I2826" s="347" t="s">
        <v>1303</v>
      </c>
      <c r="K2826" s="370"/>
      <c r="N2826" s="370"/>
    </row>
    <row r="2827" spans="1:14" s="347" customFormat="1" x14ac:dyDescent="0.25">
      <c r="A2827" s="369">
        <v>44347</v>
      </c>
      <c r="B2827" s="340">
        <f t="shared" si="23"/>
        <v>5</v>
      </c>
      <c r="C2827" s="347">
        <v>3110</v>
      </c>
      <c r="D2827" s="340" t="str">
        <f>VLOOKUP(C2827,Plan!A$1:B$65542,2,0)</f>
        <v>Colectas Normales</v>
      </c>
      <c r="E2827" s="341">
        <f t="shared" si="24"/>
        <v>-7500</v>
      </c>
      <c r="F2827" s="396"/>
      <c r="G2827" s="396">
        <v>7500</v>
      </c>
      <c r="H2827" t="s">
        <v>1010</v>
      </c>
      <c r="I2827" s="347" t="s">
        <v>1303</v>
      </c>
      <c r="K2827" s="370"/>
      <c r="N2827" s="370"/>
    </row>
    <row r="2828" spans="1:14" s="347" customFormat="1" x14ac:dyDescent="0.25">
      <c r="A2828" s="369">
        <v>44347</v>
      </c>
      <c r="B2828" s="340">
        <f t="shared" si="23"/>
        <v>5</v>
      </c>
      <c r="C2828" s="347">
        <v>3110</v>
      </c>
      <c r="D2828" s="340" t="str">
        <f>VLOOKUP(C2828,Plan!A$1:B$65542,2,0)</f>
        <v>Colectas Normales</v>
      </c>
      <c r="E2828" s="341">
        <f t="shared" si="24"/>
        <v>-100000</v>
      </c>
      <c r="F2828" s="396"/>
      <c r="G2828" s="396">
        <v>100000</v>
      </c>
      <c r="H2828" t="s">
        <v>1683</v>
      </c>
      <c r="I2828" s="347" t="s">
        <v>1303</v>
      </c>
      <c r="K2828" s="370"/>
      <c r="N2828" s="370"/>
    </row>
    <row r="2829" spans="1:14" s="347" customFormat="1" x14ac:dyDescent="0.25">
      <c r="A2829" s="369">
        <v>44347</v>
      </c>
      <c r="B2829" s="340">
        <f t="shared" si="23"/>
        <v>5</v>
      </c>
      <c r="C2829" s="347">
        <v>3110</v>
      </c>
      <c r="D2829" s="340" t="str">
        <f>VLOOKUP(C2829,Plan!A$1:B$65542,2,0)</f>
        <v>Colectas Normales</v>
      </c>
      <c r="E2829" s="341">
        <f t="shared" si="24"/>
        <v>-21</v>
      </c>
      <c r="F2829" s="396"/>
      <c r="G2829" s="396">
        <v>21</v>
      </c>
      <c r="H2829" t="s">
        <v>1217</v>
      </c>
      <c r="I2829" s="347" t="s">
        <v>1303</v>
      </c>
      <c r="K2829" s="370"/>
      <c r="N2829" s="370"/>
    </row>
    <row r="2830" spans="1:14" s="347" customFormat="1" x14ac:dyDescent="0.25">
      <c r="A2830" s="369">
        <v>44347</v>
      </c>
      <c r="B2830" s="340">
        <f t="shared" si="23"/>
        <v>5</v>
      </c>
      <c r="C2830" s="347">
        <v>3110</v>
      </c>
      <c r="D2830" s="340" t="str">
        <f>VLOOKUP(C2830,Plan!A$1:B$65542,2,0)</f>
        <v>Colectas Normales</v>
      </c>
      <c r="E2830" s="341">
        <f t="shared" si="24"/>
        <v>-10000</v>
      </c>
      <c r="F2830" s="396"/>
      <c r="G2830" s="396">
        <v>10000</v>
      </c>
      <c r="H2830" t="s">
        <v>1718</v>
      </c>
      <c r="I2830" s="347" t="s">
        <v>1303</v>
      </c>
      <c r="K2830" s="370"/>
      <c r="N2830" s="370"/>
    </row>
    <row r="2831" spans="1:14" s="347" customFormat="1" x14ac:dyDescent="0.25">
      <c r="A2831" s="369">
        <v>44347</v>
      </c>
      <c r="B2831" s="340">
        <f t="shared" si="23"/>
        <v>5</v>
      </c>
      <c r="C2831" s="347">
        <v>3110</v>
      </c>
      <c r="D2831" s="340" t="str">
        <f>VLOOKUP(C2831,Plan!A$1:B$65542,2,0)</f>
        <v>Colectas Normales</v>
      </c>
      <c r="E2831" s="341">
        <f t="shared" si="24"/>
        <v>-15000</v>
      </c>
      <c r="F2831" s="396"/>
      <c r="G2831" s="396">
        <v>15000</v>
      </c>
      <c r="H2831" t="s">
        <v>1727</v>
      </c>
      <c r="I2831" s="347" t="s">
        <v>1303</v>
      </c>
      <c r="K2831" s="370"/>
      <c r="N2831" s="370"/>
    </row>
    <row r="2832" spans="1:14" s="347" customFormat="1" x14ac:dyDescent="0.25">
      <c r="A2832" s="369">
        <v>44347</v>
      </c>
      <c r="B2832" s="340">
        <f t="shared" si="23"/>
        <v>5</v>
      </c>
      <c r="C2832" s="347">
        <v>3110</v>
      </c>
      <c r="D2832" s="340" t="str">
        <f>VLOOKUP(C2832,Plan!A$1:B$65542,2,0)</f>
        <v>Colectas Normales</v>
      </c>
      <c r="E2832" s="341">
        <f t="shared" si="24"/>
        <v>-1</v>
      </c>
      <c r="F2832" s="396"/>
      <c r="G2832" s="396">
        <v>1</v>
      </c>
      <c r="H2832" t="s">
        <v>1728</v>
      </c>
      <c r="I2832" s="347" t="s">
        <v>1303</v>
      </c>
      <c r="K2832" s="370"/>
      <c r="N2832" s="370"/>
    </row>
    <row r="2833" spans="1:14" s="347" customFormat="1" x14ac:dyDescent="0.25">
      <c r="A2833" s="369">
        <v>44347</v>
      </c>
      <c r="B2833" s="340">
        <f t="shared" si="23"/>
        <v>5</v>
      </c>
      <c r="C2833" s="347">
        <v>3110</v>
      </c>
      <c r="D2833" s="340" t="str">
        <f>VLOOKUP(C2833,Plan!A$1:B$65542,2,0)</f>
        <v>Colectas Normales</v>
      </c>
      <c r="E2833" s="341">
        <f t="shared" si="24"/>
        <v>-5000</v>
      </c>
      <c r="F2833" s="396"/>
      <c r="G2833" s="396">
        <v>5000</v>
      </c>
      <c r="H2833" t="s">
        <v>1736</v>
      </c>
      <c r="I2833" s="347" t="s">
        <v>1303</v>
      </c>
      <c r="K2833" s="370"/>
      <c r="N2833" s="370"/>
    </row>
    <row r="2834" spans="1:14" s="347" customFormat="1" x14ac:dyDescent="0.25">
      <c r="A2834" s="369">
        <v>44347</v>
      </c>
      <c r="B2834" s="340">
        <f>+MONTH(A2834)</f>
        <v>5</v>
      </c>
      <c r="C2834" s="347">
        <v>142</v>
      </c>
      <c r="D2834" s="340" t="str">
        <f>VLOOKUP(C2834,Plan!A$1:B$65542,2,0)</f>
        <v>Cuentas por Cobrar a CALI (Colectas)</v>
      </c>
      <c r="E2834" s="341">
        <f>+F2834-G2834</f>
        <v>20000</v>
      </c>
      <c r="F2834" s="396">
        <v>20000</v>
      </c>
      <c r="G2834" s="396">
        <v>0</v>
      </c>
      <c r="H2834" t="s">
        <v>1694</v>
      </c>
      <c r="I2834" s="347" t="s">
        <v>1303</v>
      </c>
      <c r="K2834" s="370"/>
      <c r="N2834" s="370"/>
    </row>
    <row r="2835" spans="1:14" s="347" customFormat="1" x14ac:dyDescent="0.25">
      <c r="A2835" s="369">
        <v>44347</v>
      </c>
      <c r="B2835" s="340">
        <f>+MONTH(A2835)</f>
        <v>5</v>
      </c>
      <c r="C2835" s="347">
        <v>3110</v>
      </c>
      <c r="D2835" s="340" t="str">
        <f>VLOOKUP(C2835,Plan!A$1:B$65542,2,0)</f>
        <v>Colectas Normales</v>
      </c>
      <c r="E2835" s="341">
        <f>+F2835-G2835</f>
        <v>-20000</v>
      </c>
      <c r="F2835" s="396"/>
      <c r="G2835" s="396">
        <v>20000</v>
      </c>
      <c r="H2835" t="s">
        <v>1694</v>
      </c>
      <c r="I2835" s="347" t="s">
        <v>1303</v>
      </c>
      <c r="K2835" s="370"/>
      <c r="N2835" s="370"/>
    </row>
    <row r="2836" spans="1:14" s="347" customFormat="1" x14ac:dyDescent="0.25">
      <c r="A2836" s="369"/>
      <c r="B2836" s="340"/>
      <c r="D2836" s="340"/>
      <c r="E2836" s="341"/>
      <c r="F2836" s="396"/>
      <c r="G2836" s="396"/>
      <c r="H2836"/>
      <c r="K2836" s="370"/>
      <c r="N2836" s="370"/>
    </row>
    <row r="2837" spans="1:14" s="347" customFormat="1" x14ac:dyDescent="0.25">
      <c r="A2837" s="369">
        <v>44347</v>
      </c>
      <c r="B2837" s="340">
        <f t="shared" si="23"/>
        <v>5</v>
      </c>
      <c r="C2837" s="347">
        <v>143</v>
      </c>
      <c r="D2837" s="340" t="str">
        <f>VLOOKUP(C2837,Plan!A$1:B$65542,2,0)</f>
        <v>Cuentas por Cobrar a CALI (Canastas)</v>
      </c>
      <c r="E2837" s="341">
        <f t="shared" si="24"/>
        <v>20000</v>
      </c>
      <c r="F2837" s="396">
        <v>20000</v>
      </c>
      <c r="G2837" s="396">
        <v>0</v>
      </c>
      <c r="H2837" t="s">
        <v>1717</v>
      </c>
      <c r="I2837" s="347" t="s">
        <v>1303</v>
      </c>
      <c r="K2837" s="370"/>
      <c r="N2837" s="370"/>
    </row>
    <row r="2838" spans="1:14" s="347" customFormat="1" x14ac:dyDescent="0.25">
      <c r="A2838" s="369">
        <v>44347</v>
      </c>
      <c r="B2838" s="340">
        <f t="shared" si="23"/>
        <v>5</v>
      </c>
      <c r="C2838" s="347">
        <v>143</v>
      </c>
      <c r="D2838" s="340" t="str">
        <f>VLOOKUP(C2838,Plan!A$1:B$65542,2,0)</f>
        <v>Cuentas por Cobrar a CALI (Canastas)</v>
      </c>
      <c r="E2838" s="341">
        <f t="shared" si="24"/>
        <v>50000</v>
      </c>
      <c r="F2838" s="396">
        <v>50000</v>
      </c>
      <c r="G2838" s="396">
        <v>0</v>
      </c>
      <c r="H2838" t="s">
        <v>1737</v>
      </c>
      <c r="I2838" s="347" t="s">
        <v>1303</v>
      </c>
      <c r="K2838"/>
      <c r="L2838" s="264"/>
      <c r="N2838" s="370"/>
    </row>
    <row r="2839" spans="1:14" s="347" customFormat="1" x14ac:dyDescent="0.25">
      <c r="A2839" s="369">
        <v>44347</v>
      </c>
      <c r="B2839" s="340">
        <f t="shared" si="23"/>
        <v>5</v>
      </c>
      <c r="C2839" s="347">
        <v>3450</v>
      </c>
      <c r="D2839" s="340" t="str">
        <f>VLOOKUP(C2839,Plan!A$1:B$65542,2,0)</f>
        <v>Pastoral Social</v>
      </c>
      <c r="E2839" s="341">
        <f t="shared" si="24"/>
        <v>-20000</v>
      </c>
      <c r="F2839" s="396"/>
      <c r="G2839" s="396">
        <v>20000</v>
      </c>
      <c r="H2839" t="s">
        <v>1717</v>
      </c>
      <c r="I2839" s="347" t="s">
        <v>1303</v>
      </c>
      <c r="K2839"/>
      <c r="L2839" s="264"/>
      <c r="N2839" s="370"/>
    </row>
    <row r="2840" spans="1:14" s="347" customFormat="1" x14ac:dyDescent="0.25">
      <c r="A2840" s="369">
        <v>44347</v>
      </c>
      <c r="B2840" s="340">
        <f t="shared" si="23"/>
        <v>5</v>
      </c>
      <c r="C2840" s="347">
        <v>3450</v>
      </c>
      <c r="D2840" s="340" t="str">
        <f>VLOOKUP(C2840,Plan!A$1:B$65542,2,0)</f>
        <v>Pastoral Social</v>
      </c>
      <c r="E2840" s="341">
        <f t="shared" si="24"/>
        <v>-50000</v>
      </c>
      <c r="F2840" s="396"/>
      <c r="G2840" s="396">
        <v>50000</v>
      </c>
      <c r="H2840" t="s">
        <v>1737</v>
      </c>
      <c r="I2840" s="347" t="s">
        <v>1303</v>
      </c>
      <c r="K2840" s="370"/>
      <c r="N2840" s="370"/>
    </row>
    <row r="2841" spans="1:14" s="347" customFormat="1" x14ac:dyDescent="0.25">
      <c r="A2841" s="369"/>
      <c r="E2841" s="396"/>
      <c r="F2841" s="396"/>
      <c r="G2841" s="396"/>
      <c r="K2841" s="370"/>
      <c r="N2841" s="370"/>
    </row>
    <row r="2842" spans="1:14" s="347" customFormat="1" x14ac:dyDescent="0.25">
      <c r="A2842" s="369">
        <v>44348</v>
      </c>
      <c r="B2842" s="340">
        <f>+MONTH(A2842)</f>
        <v>6</v>
      </c>
      <c r="C2842" s="347">
        <v>110</v>
      </c>
      <c r="D2842" s="340" t="str">
        <f>VLOOKUP(C2842,Plan!A$1:B$65542,2,0)</f>
        <v>Disponible Administración</v>
      </c>
      <c r="E2842" s="341">
        <f>+F2842-G2842</f>
        <v>100000</v>
      </c>
      <c r="F2842" s="396">
        <v>100000</v>
      </c>
      <c r="G2842" s="396">
        <v>0</v>
      </c>
      <c r="H2842" s="347" t="s">
        <v>1312</v>
      </c>
      <c r="I2842" s="347" t="s">
        <v>1303</v>
      </c>
      <c r="K2842" s="370"/>
      <c r="N2842" s="370"/>
    </row>
    <row r="2843" spans="1:14" s="347" customFormat="1" x14ac:dyDescent="0.25">
      <c r="A2843" s="369">
        <f>+A2842</f>
        <v>44348</v>
      </c>
      <c r="B2843" s="347">
        <f>+B2842</f>
        <v>6</v>
      </c>
      <c r="C2843" s="347">
        <v>3110</v>
      </c>
      <c r="D2843" s="340" t="str">
        <f>VLOOKUP(C2843,Plan!A$1:B$65542,2,0)</f>
        <v>Colectas Normales</v>
      </c>
      <c r="E2843" s="396">
        <f>-G2843</f>
        <v>-100000</v>
      </c>
      <c r="F2843" s="396">
        <v>0</v>
      </c>
      <c r="G2843" s="396">
        <f>+F2842</f>
        <v>100000</v>
      </c>
      <c r="H2843" s="347" t="str">
        <f>+H2842</f>
        <v>Colecta Jose Antonio Marin Jordan</v>
      </c>
      <c r="I2843" s="347" t="s">
        <v>1303</v>
      </c>
      <c r="K2843" s="370"/>
      <c r="N2843" s="370"/>
    </row>
    <row r="2844" spans="1:14" s="347" customFormat="1" x14ac:dyDescent="0.25">
      <c r="A2844" s="369"/>
      <c r="E2844" s="396"/>
      <c r="F2844" s="396"/>
      <c r="G2844" s="396"/>
      <c r="K2844" s="370"/>
      <c r="N2844" s="370"/>
    </row>
    <row r="2845" spans="1:14" s="347" customFormat="1" x14ac:dyDescent="0.25">
      <c r="A2845" s="369">
        <v>44348</v>
      </c>
      <c r="B2845" s="340">
        <f>+MONTH(A2845)</f>
        <v>6</v>
      </c>
      <c r="C2845" s="347">
        <v>110</v>
      </c>
      <c r="D2845" s="340" t="str">
        <f>VLOOKUP(C2845,Plan!A$1:B$65542,2,0)</f>
        <v>Disponible Administración</v>
      </c>
      <c r="E2845" s="341">
        <f>+F2845-G2845</f>
        <v>40000</v>
      </c>
      <c r="F2845" s="396">
        <v>40000</v>
      </c>
      <c r="G2845" s="396">
        <v>0</v>
      </c>
      <c r="H2845" s="347" t="s">
        <v>1550</v>
      </c>
      <c r="I2845" s="347" t="s">
        <v>1303</v>
      </c>
      <c r="K2845" s="370"/>
      <c r="N2845" s="370"/>
    </row>
    <row r="2846" spans="1:14" s="347" customFormat="1" x14ac:dyDescent="0.25">
      <c r="A2846" s="369">
        <f>+A2845</f>
        <v>44348</v>
      </c>
      <c r="B2846" s="347">
        <f>+B2845</f>
        <v>6</v>
      </c>
      <c r="C2846" s="347">
        <v>3110</v>
      </c>
      <c r="D2846" s="340" t="str">
        <f>VLOOKUP(C2846,Plan!A$1:B$65542,2,0)</f>
        <v>Colectas Normales</v>
      </c>
      <c r="E2846" s="396">
        <f>-G2846</f>
        <v>-40000</v>
      </c>
      <c r="F2846" s="396">
        <v>0</v>
      </c>
      <c r="G2846" s="396">
        <f>+F2845</f>
        <v>40000</v>
      </c>
      <c r="H2846" s="347" t="str">
        <f>+H2845</f>
        <v>Colecta Luis Ignacio Marin Jordan</v>
      </c>
      <c r="I2846" s="347" t="s">
        <v>1303</v>
      </c>
      <c r="K2846" s="370"/>
      <c r="N2846" s="370"/>
    </row>
    <row r="2847" spans="1:14" s="347" customFormat="1" x14ac:dyDescent="0.25">
      <c r="A2847" s="369"/>
      <c r="E2847" s="396"/>
      <c r="F2847" s="396"/>
      <c r="G2847" s="396"/>
      <c r="K2847" s="370"/>
      <c r="N2847" s="370"/>
    </row>
    <row r="2848" spans="1:14" s="347" customFormat="1" x14ac:dyDescent="0.25">
      <c r="A2848" s="369">
        <v>44348</v>
      </c>
      <c r="B2848" s="340">
        <f>+MONTH(A2848)</f>
        <v>6</v>
      </c>
      <c r="C2848" s="347">
        <v>110</v>
      </c>
      <c r="D2848" s="340" t="str">
        <f>VLOOKUP(C2848,Plan!A$1:B$65542,2,0)</f>
        <v>Disponible Administración</v>
      </c>
      <c r="E2848" s="341">
        <f>+F2848-G2848</f>
        <v>25000</v>
      </c>
      <c r="F2848" s="396">
        <v>25000</v>
      </c>
      <c r="G2848" s="396">
        <v>0</v>
      </c>
      <c r="H2848" s="347" t="s">
        <v>1550</v>
      </c>
      <c r="I2848" s="347" t="s">
        <v>1303</v>
      </c>
      <c r="K2848" s="370"/>
      <c r="N2848" s="370"/>
    </row>
    <row r="2849" spans="1:14" s="347" customFormat="1" x14ac:dyDescent="0.25">
      <c r="A2849" s="369">
        <f>+A2848</f>
        <v>44348</v>
      </c>
      <c r="B2849" s="347">
        <f>+B2848</f>
        <v>6</v>
      </c>
      <c r="C2849" s="347">
        <v>3110</v>
      </c>
      <c r="D2849" s="340" t="str">
        <f>VLOOKUP(C2849,Plan!A$1:B$65542,2,0)</f>
        <v>Colectas Normales</v>
      </c>
      <c r="E2849" s="396">
        <f>-G2849</f>
        <v>-25000</v>
      </c>
      <c r="F2849" s="396">
        <v>0</v>
      </c>
      <c r="G2849" s="396">
        <f>+F2848</f>
        <v>25000</v>
      </c>
      <c r="H2849" s="347" t="str">
        <f>+H2848</f>
        <v>Colecta Luis Ignacio Marin Jordan</v>
      </c>
      <c r="I2849" s="347" t="s">
        <v>1303</v>
      </c>
      <c r="K2849" s="370"/>
      <c r="N2849" s="370"/>
    </row>
    <row r="2850" spans="1:14" s="347" customFormat="1" x14ac:dyDescent="0.25">
      <c r="A2850" s="369"/>
      <c r="E2850" s="396"/>
      <c r="F2850" s="396"/>
      <c r="G2850" s="396"/>
      <c r="K2850" s="370"/>
      <c r="N2850" s="370"/>
    </row>
    <row r="2851" spans="1:14" s="347" customFormat="1" x14ac:dyDescent="0.25">
      <c r="A2851" s="369">
        <v>44348</v>
      </c>
      <c r="B2851" s="340">
        <f>+MONTH(A2851)</f>
        <v>6</v>
      </c>
      <c r="C2851" s="347">
        <v>110</v>
      </c>
      <c r="D2851" s="340" t="str">
        <f>VLOOKUP(C2851,Plan!A$1:B$65542,2,0)</f>
        <v>Disponible Administración</v>
      </c>
      <c r="E2851" s="341">
        <f>+F2851-G2851</f>
        <v>25000</v>
      </c>
      <c r="F2851" s="396">
        <v>25000</v>
      </c>
      <c r="G2851" s="396">
        <v>0</v>
      </c>
      <c r="H2851" s="347" t="s">
        <v>1551</v>
      </c>
      <c r="I2851" s="347" t="s">
        <v>1303</v>
      </c>
      <c r="K2851" s="370"/>
      <c r="N2851" s="370"/>
    </row>
    <row r="2852" spans="1:14" s="347" customFormat="1" x14ac:dyDescent="0.25">
      <c r="A2852" s="369">
        <f>+A2851</f>
        <v>44348</v>
      </c>
      <c r="B2852" s="347">
        <f>+B2851</f>
        <v>6</v>
      </c>
      <c r="C2852" s="347">
        <v>3360</v>
      </c>
      <c r="D2852" s="340" t="str">
        <f>VLOOKUP(C2852,Plan!A$1:B$65542,2,0)</f>
        <v>Otros</v>
      </c>
      <c r="E2852" s="396">
        <f>-G2852</f>
        <v>-25000</v>
      </c>
      <c r="F2852" s="396">
        <v>0</v>
      </c>
      <c r="G2852" s="396">
        <f>+F2851</f>
        <v>25000</v>
      </c>
      <c r="H2852" s="347" t="str">
        <f>+H2851</f>
        <v>Curso Biblia Maria Soledad Toso Loyola</v>
      </c>
      <c r="I2852" s="347" t="s">
        <v>1303</v>
      </c>
      <c r="K2852" s="370"/>
      <c r="N2852" s="370"/>
    </row>
    <row r="2853" spans="1:14" s="347" customFormat="1" x14ac:dyDescent="0.25">
      <c r="A2853" s="369"/>
      <c r="E2853" s="396"/>
      <c r="F2853" s="396"/>
      <c r="G2853" s="396"/>
      <c r="K2853" s="370"/>
      <c r="N2853" s="370"/>
    </row>
    <row r="2854" spans="1:14" s="347" customFormat="1" x14ac:dyDescent="0.25">
      <c r="A2854" s="369">
        <v>44348</v>
      </c>
      <c r="B2854" s="340">
        <f>+MONTH(A2854)</f>
        <v>6</v>
      </c>
      <c r="C2854" s="347">
        <v>110</v>
      </c>
      <c r="D2854" s="340" t="str">
        <f>VLOOKUP(C2854,Plan!A$1:B$65542,2,0)</f>
        <v>Disponible Administración</v>
      </c>
      <c r="E2854" s="341">
        <f>+F2854-G2854</f>
        <v>40000</v>
      </c>
      <c r="F2854" s="396">
        <v>40000</v>
      </c>
      <c r="G2854" s="396">
        <v>0</v>
      </c>
      <c r="H2854" s="347" t="s">
        <v>1552</v>
      </c>
      <c r="I2854" s="347" t="s">
        <v>1303</v>
      </c>
      <c r="K2854" s="370"/>
      <c r="N2854" s="370"/>
    </row>
    <row r="2855" spans="1:14" s="347" customFormat="1" x14ac:dyDescent="0.25">
      <c r="A2855" s="369">
        <f>+A2854</f>
        <v>44348</v>
      </c>
      <c r="B2855" s="347">
        <f>+B2854</f>
        <v>6</v>
      </c>
      <c r="C2855" s="347">
        <v>3450</v>
      </c>
      <c r="D2855" s="340" t="str">
        <f>VLOOKUP(C2855,Plan!A$1:B$65542,2,0)</f>
        <v>Pastoral Social</v>
      </c>
      <c r="E2855" s="396">
        <f>-G2855</f>
        <v>-40000</v>
      </c>
      <c r="F2855" s="396">
        <v>0</v>
      </c>
      <c r="G2855" s="396">
        <f>+F2854</f>
        <v>40000</v>
      </c>
      <c r="H2855" s="347" t="str">
        <f>+H2854</f>
        <v>Canastas Luis Larenas Vergara</v>
      </c>
      <c r="I2855" s="347" t="s">
        <v>1303</v>
      </c>
      <c r="K2855" s="370"/>
      <c r="N2855" s="370"/>
    </row>
    <row r="2856" spans="1:14" s="347" customFormat="1" x14ac:dyDescent="0.25">
      <c r="A2856" s="369"/>
      <c r="E2856" s="396"/>
      <c r="F2856" s="396"/>
      <c r="G2856" s="396"/>
      <c r="K2856" s="370"/>
      <c r="N2856" s="370"/>
    </row>
    <row r="2857" spans="1:14" s="347" customFormat="1" x14ac:dyDescent="0.25">
      <c r="A2857" s="369">
        <v>44348</v>
      </c>
      <c r="B2857" s="340">
        <f>+MONTH(A2857)</f>
        <v>6</v>
      </c>
      <c r="C2857" s="347">
        <v>110</v>
      </c>
      <c r="D2857" s="340" t="str">
        <f>VLOOKUP(C2857,Plan!A$1:B$65542,2,0)</f>
        <v>Disponible Administración</v>
      </c>
      <c r="E2857" s="341">
        <f>+F2857-G2857</f>
        <v>100000</v>
      </c>
      <c r="F2857" s="396">
        <v>100000</v>
      </c>
      <c r="G2857" s="396">
        <v>0</v>
      </c>
      <c r="H2857" s="347" t="s">
        <v>887</v>
      </c>
      <c r="I2857" s="347" t="s">
        <v>1303</v>
      </c>
      <c r="K2857" s="370"/>
      <c r="N2857" s="370"/>
    </row>
    <row r="2858" spans="1:14" s="347" customFormat="1" x14ac:dyDescent="0.25">
      <c r="A2858" s="369">
        <f>+A2857</f>
        <v>44348</v>
      </c>
      <c r="B2858" s="347">
        <f>+B2857</f>
        <v>6</v>
      </c>
      <c r="C2858" s="347">
        <v>3110</v>
      </c>
      <c r="D2858" s="340" t="str">
        <f>VLOOKUP(C2858,Plan!A$1:B$65542,2,0)</f>
        <v>Colectas Normales</v>
      </c>
      <c r="E2858" s="396">
        <f>-G2858</f>
        <v>-100000</v>
      </c>
      <c r="F2858" s="396">
        <v>0</v>
      </c>
      <c r="G2858" s="396">
        <f>+F2857</f>
        <v>100000</v>
      </c>
      <c r="H2858" s="347" t="str">
        <f>+H2857</f>
        <v>Colecta Fernando Varela</v>
      </c>
      <c r="I2858" s="347" t="s">
        <v>1303</v>
      </c>
      <c r="K2858" s="370"/>
      <c r="N2858" s="370"/>
    </row>
    <row r="2859" spans="1:14" s="347" customFormat="1" x14ac:dyDescent="0.25">
      <c r="A2859" s="369"/>
      <c r="E2859" s="396"/>
      <c r="F2859" s="396"/>
      <c r="G2859" s="396"/>
      <c r="K2859" s="370"/>
      <c r="N2859" s="370"/>
    </row>
    <row r="2860" spans="1:14" s="347" customFormat="1" x14ac:dyDescent="0.25">
      <c r="A2860" s="369">
        <v>44348</v>
      </c>
      <c r="B2860" s="340">
        <f>+MONTH(A2860)</f>
        <v>6</v>
      </c>
      <c r="C2860" s="347">
        <v>110</v>
      </c>
      <c r="D2860" s="340" t="str">
        <f>VLOOKUP(C2860,Plan!A$1:B$65542,2,0)</f>
        <v>Disponible Administración</v>
      </c>
      <c r="E2860" s="341">
        <f>+F2860-G2860</f>
        <v>12000</v>
      </c>
      <c r="F2860" s="396">
        <v>12000</v>
      </c>
      <c r="G2860" s="396">
        <v>0</v>
      </c>
      <c r="H2860" s="347" t="s">
        <v>1163</v>
      </c>
      <c r="I2860" s="347" t="s">
        <v>1303</v>
      </c>
      <c r="K2860" s="370"/>
      <c r="N2860" s="370"/>
    </row>
    <row r="2861" spans="1:14" s="347" customFormat="1" x14ac:dyDescent="0.25">
      <c r="A2861" s="369">
        <f>+A2860</f>
        <v>44348</v>
      </c>
      <c r="B2861" s="347">
        <f>+B2860</f>
        <v>6</v>
      </c>
      <c r="C2861" s="347">
        <v>3110</v>
      </c>
      <c r="D2861" s="340" t="str">
        <f>VLOOKUP(C2861,Plan!A$1:B$65542,2,0)</f>
        <v>Colectas Normales</v>
      </c>
      <c r="E2861" s="396">
        <f>-G2861</f>
        <v>-12000</v>
      </c>
      <c r="F2861" s="396">
        <v>0</v>
      </c>
      <c r="G2861" s="396">
        <f>+F2860</f>
        <v>12000</v>
      </c>
      <c r="H2861" s="347" t="str">
        <f>+H2860</f>
        <v>Colecta Ricardo Cañas Cambiaso</v>
      </c>
      <c r="I2861" s="347" t="s">
        <v>1303</v>
      </c>
      <c r="K2861" s="370"/>
      <c r="N2861" s="370"/>
    </row>
    <row r="2862" spans="1:14" s="347" customFormat="1" x14ac:dyDescent="0.25">
      <c r="A2862" s="369"/>
      <c r="E2862" s="396"/>
      <c r="F2862" s="396"/>
      <c r="G2862" s="396"/>
      <c r="K2862" s="370"/>
      <c r="N2862" s="370"/>
    </row>
    <row r="2863" spans="1:14" s="347" customFormat="1" x14ac:dyDescent="0.25">
      <c r="A2863" s="369">
        <v>44348</v>
      </c>
      <c r="B2863" s="340">
        <f>+MONTH(A2863)</f>
        <v>6</v>
      </c>
      <c r="C2863" s="347">
        <v>110</v>
      </c>
      <c r="D2863" s="340" t="str">
        <f>VLOOKUP(C2863,Plan!A$1:B$65542,2,0)</f>
        <v>Disponible Administración</v>
      </c>
      <c r="E2863" s="341">
        <f>+F2863-G2863</f>
        <v>9806</v>
      </c>
      <c r="F2863" s="396">
        <v>9806</v>
      </c>
      <c r="G2863" s="396">
        <v>0</v>
      </c>
      <c r="H2863" s="347" t="s">
        <v>1338</v>
      </c>
      <c r="I2863" s="347" t="s">
        <v>1303</v>
      </c>
      <c r="K2863" s="370"/>
      <c r="N2863" s="370"/>
    </row>
    <row r="2864" spans="1:14" s="347" customFormat="1" x14ac:dyDescent="0.25">
      <c r="A2864" s="369">
        <f>+A2863</f>
        <v>44348</v>
      </c>
      <c r="B2864" s="347">
        <f>+B2863</f>
        <v>6</v>
      </c>
      <c r="C2864" s="347">
        <v>3340</v>
      </c>
      <c r="D2864" s="340" t="str">
        <f>VLOOKUP(C2864,Plan!A$1:B$65542,2,0)</f>
        <v>Misas</v>
      </c>
      <c r="E2864" s="396">
        <f>-G2864</f>
        <v>-9806</v>
      </c>
      <c r="F2864" s="396">
        <v>0</v>
      </c>
      <c r="G2864" s="396">
        <f>+F2863</f>
        <v>9806</v>
      </c>
      <c r="H2864" s="347" t="str">
        <f>+H2863</f>
        <v>Misa DCT</v>
      </c>
      <c r="I2864" s="347" t="s">
        <v>1303</v>
      </c>
      <c r="K2864" s="370"/>
      <c r="N2864" s="370"/>
    </row>
    <row r="2865" spans="1:14" s="347" customFormat="1" x14ac:dyDescent="0.25">
      <c r="A2865" s="369"/>
      <c r="E2865" s="396"/>
      <c r="F2865" s="396"/>
      <c r="G2865" s="396"/>
      <c r="K2865" s="370"/>
      <c r="N2865" s="370"/>
    </row>
    <row r="2866" spans="1:14" s="347" customFormat="1" x14ac:dyDescent="0.25">
      <c r="A2866" s="369">
        <v>44348</v>
      </c>
      <c r="B2866" s="340">
        <f>+MONTH(A2866)</f>
        <v>6</v>
      </c>
      <c r="C2866" s="347">
        <v>110</v>
      </c>
      <c r="D2866" s="340" t="str">
        <f>VLOOKUP(C2866,Plan!A$1:B$65542,2,0)</f>
        <v>Disponible Administración</v>
      </c>
      <c r="E2866" s="341">
        <f>+F2866-G2866</f>
        <v>15000</v>
      </c>
      <c r="F2866" s="396">
        <v>15000</v>
      </c>
      <c r="G2866" s="396">
        <v>0</v>
      </c>
      <c r="H2866" s="347" t="s">
        <v>888</v>
      </c>
      <c r="I2866" s="347" t="s">
        <v>1303</v>
      </c>
      <c r="K2866" s="370"/>
      <c r="N2866" s="370"/>
    </row>
    <row r="2867" spans="1:14" s="347" customFormat="1" x14ac:dyDescent="0.25">
      <c r="A2867" s="369">
        <f>+A2866</f>
        <v>44348</v>
      </c>
      <c r="B2867" s="347">
        <f>+B2866</f>
        <v>6</v>
      </c>
      <c r="C2867" s="347">
        <v>3110</v>
      </c>
      <c r="D2867" s="340" t="str">
        <f>VLOOKUP(C2867,Plan!A$1:B$65542,2,0)</f>
        <v>Colectas Normales</v>
      </c>
      <c r="E2867" s="396">
        <f>-G2867</f>
        <v>-15000</v>
      </c>
      <c r="F2867" s="396">
        <v>0</v>
      </c>
      <c r="G2867" s="396">
        <f>+F2866</f>
        <v>15000</v>
      </c>
      <c r="H2867" s="347" t="str">
        <f>+H2866</f>
        <v>Colecta Gonzalo Contardo M</v>
      </c>
      <c r="I2867" s="347" t="s">
        <v>1303</v>
      </c>
      <c r="K2867" s="370"/>
      <c r="N2867" s="370"/>
    </row>
    <row r="2868" spans="1:14" s="347" customFormat="1" x14ac:dyDescent="0.25">
      <c r="A2868" s="369"/>
      <c r="E2868" s="396"/>
      <c r="F2868" s="396"/>
      <c r="G2868" s="396"/>
      <c r="K2868" s="370"/>
      <c r="N2868" s="370"/>
    </row>
    <row r="2869" spans="1:14" s="347" customFormat="1" x14ac:dyDescent="0.25">
      <c r="A2869" s="369">
        <v>44348</v>
      </c>
      <c r="B2869" s="340">
        <f>+MONTH(A2869)</f>
        <v>6</v>
      </c>
      <c r="C2869" s="347">
        <v>110</v>
      </c>
      <c r="D2869" s="340" t="str">
        <f>VLOOKUP(C2869,Plan!A$1:B$65542,2,0)</f>
        <v>Disponible Administración</v>
      </c>
      <c r="E2869" s="341">
        <f>+F2869-G2869</f>
        <v>10000</v>
      </c>
      <c r="F2869" s="396">
        <v>10000</v>
      </c>
      <c r="G2869" s="396">
        <v>0</v>
      </c>
      <c r="H2869" s="347" t="s">
        <v>1816</v>
      </c>
      <c r="I2869" s="347" t="s">
        <v>1303</v>
      </c>
      <c r="K2869" s="370"/>
      <c r="N2869" s="370"/>
    </row>
    <row r="2870" spans="1:14" s="347" customFormat="1" x14ac:dyDescent="0.25">
      <c r="A2870" s="369">
        <f>+A2869</f>
        <v>44348</v>
      </c>
      <c r="B2870" s="347">
        <f>+B2869</f>
        <v>6</v>
      </c>
      <c r="C2870" s="347">
        <v>3340</v>
      </c>
      <c r="D2870" s="340" t="str">
        <f>VLOOKUP(C2870,Plan!A$1:B$65542,2,0)</f>
        <v>Misas</v>
      </c>
      <c r="E2870" s="396">
        <f>-G2870</f>
        <v>-10000</v>
      </c>
      <c r="F2870" s="396">
        <v>0</v>
      </c>
      <c r="G2870" s="396">
        <f>+F2869</f>
        <v>10000</v>
      </c>
      <c r="H2870" s="347" t="str">
        <f>+H2869</f>
        <v>Misa Sonia Schmidt</v>
      </c>
      <c r="I2870" s="347" t="s">
        <v>1303</v>
      </c>
      <c r="K2870" s="370"/>
      <c r="N2870" s="370"/>
    </row>
    <row r="2871" spans="1:14" s="347" customFormat="1" x14ac:dyDescent="0.25">
      <c r="A2871" s="369"/>
      <c r="E2871" s="396"/>
      <c r="F2871" s="396"/>
      <c r="G2871" s="396"/>
      <c r="K2871" s="370"/>
      <c r="N2871" s="370"/>
    </row>
    <row r="2872" spans="1:14" s="347" customFormat="1" x14ac:dyDescent="0.25">
      <c r="A2872" s="369">
        <v>44348</v>
      </c>
      <c r="B2872" s="340">
        <f>+MONTH(A2872)</f>
        <v>6</v>
      </c>
      <c r="C2872" s="347">
        <v>110</v>
      </c>
      <c r="D2872" s="340" t="str">
        <f>VLOOKUP(C2872,Plan!A$1:B$65542,2,0)</f>
        <v>Disponible Administración</v>
      </c>
      <c r="E2872" s="341">
        <f>+F2872-G2872</f>
        <v>30000</v>
      </c>
      <c r="F2872" s="396">
        <v>30000</v>
      </c>
      <c r="G2872" s="396">
        <v>0</v>
      </c>
      <c r="H2872" s="347" t="s">
        <v>1553</v>
      </c>
      <c r="I2872" s="347" t="s">
        <v>1303</v>
      </c>
      <c r="K2872" s="370"/>
      <c r="N2872" s="370"/>
    </row>
    <row r="2873" spans="1:14" s="347" customFormat="1" x14ac:dyDescent="0.25">
      <c r="A2873" s="369">
        <f>+A2872</f>
        <v>44348</v>
      </c>
      <c r="B2873" s="347">
        <f>+B2872</f>
        <v>6</v>
      </c>
      <c r="C2873" s="347">
        <v>215</v>
      </c>
      <c r="D2873" s="340" t="str">
        <f>VLOOKUP(C2873,Plan!A$1:B$65542,2,0)</f>
        <v>Cuenta por Pagar a Cali</v>
      </c>
      <c r="E2873" s="396">
        <f>-G2873</f>
        <v>-30000</v>
      </c>
      <c r="F2873" s="396">
        <v>0</v>
      </c>
      <c r="G2873" s="396">
        <f>+F2872</f>
        <v>30000</v>
      </c>
      <c r="H2873" s="347" t="str">
        <f>+H2872</f>
        <v>Carlos Celis Celedon / Azul</v>
      </c>
      <c r="I2873" s="347" t="s">
        <v>1303</v>
      </c>
      <c r="K2873" s="370"/>
      <c r="N2873" s="370"/>
    </row>
    <row r="2874" spans="1:14" s="347" customFormat="1" x14ac:dyDescent="0.25">
      <c r="A2874" s="369"/>
      <c r="E2874" s="396"/>
      <c r="F2874" s="396"/>
      <c r="G2874" s="396"/>
      <c r="K2874" s="370"/>
      <c r="N2874" s="370"/>
    </row>
    <row r="2875" spans="1:14" s="347" customFormat="1" x14ac:dyDescent="0.25">
      <c r="A2875" s="369">
        <v>44348</v>
      </c>
      <c r="B2875" s="340">
        <f>+MONTH(A2875)</f>
        <v>6</v>
      </c>
      <c r="C2875" s="347">
        <v>110</v>
      </c>
      <c r="D2875" s="340" t="str">
        <f>VLOOKUP(C2875,Plan!A$1:B$65542,2,0)</f>
        <v>Disponible Administración</v>
      </c>
      <c r="E2875" s="341">
        <f>+F2875-G2875</f>
        <v>5000</v>
      </c>
      <c r="F2875" s="396">
        <v>5000</v>
      </c>
      <c r="G2875" s="396">
        <v>0</v>
      </c>
      <c r="H2875" s="347" t="s">
        <v>1554</v>
      </c>
      <c r="I2875" s="347" t="s">
        <v>1303</v>
      </c>
      <c r="K2875" s="370"/>
      <c r="N2875" s="370"/>
    </row>
    <row r="2876" spans="1:14" s="347" customFormat="1" x14ac:dyDescent="0.25">
      <c r="A2876" s="369">
        <f>+A2875</f>
        <v>44348</v>
      </c>
      <c r="B2876" s="347">
        <f>+B2875</f>
        <v>6</v>
      </c>
      <c r="C2876" s="347">
        <v>3110</v>
      </c>
      <c r="D2876" s="340" t="str">
        <f>VLOOKUP(C2876,Plan!A$1:B$65542,2,0)</f>
        <v>Colectas Normales</v>
      </c>
      <c r="E2876" s="396">
        <f>-G2876</f>
        <v>-5000</v>
      </c>
      <c r="F2876" s="396">
        <v>0</v>
      </c>
      <c r="G2876" s="396">
        <f>+F2875</f>
        <v>5000</v>
      </c>
      <c r="H2876" s="347" t="str">
        <f>+H2875</f>
        <v>Colecta Ingrid Maria Nielsen</v>
      </c>
      <c r="I2876" s="347" t="s">
        <v>1303</v>
      </c>
      <c r="K2876" s="370"/>
      <c r="N2876" s="370"/>
    </row>
    <row r="2877" spans="1:14" s="347" customFormat="1" x14ac:dyDescent="0.25">
      <c r="A2877" s="369"/>
      <c r="E2877" s="396"/>
      <c r="F2877" s="396"/>
      <c r="G2877" s="396"/>
      <c r="K2877" s="370"/>
      <c r="N2877" s="370"/>
    </row>
    <row r="2878" spans="1:14" s="347" customFormat="1" x14ac:dyDescent="0.25">
      <c r="A2878" s="369">
        <v>44348</v>
      </c>
      <c r="B2878" s="340">
        <f>+MONTH(A2878)</f>
        <v>6</v>
      </c>
      <c r="C2878" s="347">
        <v>110</v>
      </c>
      <c r="D2878" s="340" t="str">
        <f>VLOOKUP(C2878,Plan!A$1:B$65542,2,0)</f>
        <v>Disponible Administración</v>
      </c>
      <c r="E2878" s="341">
        <f>+F2878-G2878</f>
        <v>12000</v>
      </c>
      <c r="F2878" s="396">
        <v>12000</v>
      </c>
      <c r="G2878" s="396">
        <v>0</v>
      </c>
      <c r="H2878" s="347" t="s">
        <v>1555</v>
      </c>
      <c r="I2878" s="347" t="s">
        <v>1303</v>
      </c>
      <c r="K2878" s="370"/>
      <c r="N2878" s="370"/>
    </row>
    <row r="2879" spans="1:14" s="347" customFormat="1" x14ac:dyDescent="0.25">
      <c r="A2879" s="369">
        <f>+A2878</f>
        <v>44348</v>
      </c>
      <c r="B2879" s="347">
        <f>+B2878</f>
        <v>6</v>
      </c>
      <c r="C2879" s="347">
        <v>3450</v>
      </c>
      <c r="D2879" s="340" t="str">
        <f>VLOOKUP(C2879,Plan!A$1:B$65542,2,0)</f>
        <v>Pastoral Social</v>
      </c>
      <c r="E2879" s="396">
        <f>-G2879</f>
        <v>-12000</v>
      </c>
      <c r="F2879" s="396">
        <v>0</v>
      </c>
      <c r="G2879" s="396">
        <f>+F2878</f>
        <v>12000</v>
      </c>
      <c r="H2879" s="347" t="str">
        <f>+H2878</f>
        <v>Canastas Ingrid Maria Nielsen Galli</v>
      </c>
      <c r="I2879" s="347" t="s">
        <v>1303</v>
      </c>
      <c r="K2879" s="370"/>
      <c r="N2879" s="370"/>
    </row>
    <row r="2880" spans="1:14" s="347" customFormat="1" x14ac:dyDescent="0.25">
      <c r="A2880" s="369"/>
      <c r="E2880" s="396"/>
      <c r="F2880" s="396"/>
      <c r="G2880" s="396"/>
      <c r="K2880" s="370"/>
      <c r="N2880" s="370"/>
    </row>
    <row r="2881" spans="1:14" s="347" customFormat="1" x14ac:dyDescent="0.25">
      <c r="A2881" s="369">
        <v>44348</v>
      </c>
      <c r="B2881" s="340">
        <f>+MONTH(A2881)</f>
        <v>6</v>
      </c>
      <c r="C2881" s="347">
        <v>110</v>
      </c>
      <c r="D2881" s="340" t="str">
        <f>VLOOKUP(C2881,Plan!A$1:B$65542,2,0)</f>
        <v>Disponible Administración</v>
      </c>
      <c r="E2881" s="341">
        <f>+F2881-G2881</f>
        <v>15000</v>
      </c>
      <c r="F2881" s="396">
        <v>15000</v>
      </c>
      <c r="G2881" s="396">
        <v>0</v>
      </c>
      <c r="H2881" s="347" t="s">
        <v>1556</v>
      </c>
      <c r="I2881" s="347" t="s">
        <v>1303</v>
      </c>
      <c r="K2881" s="370"/>
      <c r="N2881" s="370"/>
    </row>
    <row r="2882" spans="1:14" s="347" customFormat="1" x14ac:dyDescent="0.25">
      <c r="A2882" s="369">
        <f>+A2881</f>
        <v>44348</v>
      </c>
      <c r="B2882" s="347">
        <f>+B2881</f>
        <v>6</v>
      </c>
      <c r="C2882" s="347">
        <v>215</v>
      </c>
      <c r="D2882" s="340" t="str">
        <f>VLOOKUP(C2882,Plan!A$1:B$65542,2,0)</f>
        <v>Cuenta por Pagar a Cali</v>
      </c>
      <c r="E2882" s="396">
        <f>-G2882</f>
        <v>-15000</v>
      </c>
      <c r="F2882" s="396">
        <v>0</v>
      </c>
      <c r="G2882" s="396">
        <f>+F2881</f>
        <v>15000</v>
      </c>
      <c r="H2882" s="347" t="str">
        <f>+H2881</f>
        <v>Ingrid Maria Nielsen Galli / Azul</v>
      </c>
      <c r="I2882" s="347" t="s">
        <v>1303</v>
      </c>
      <c r="K2882" s="370"/>
      <c r="N2882" s="370"/>
    </row>
    <row r="2883" spans="1:14" s="347" customFormat="1" x14ac:dyDescent="0.25">
      <c r="A2883" s="369"/>
      <c r="E2883" s="396"/>
      <c r="F2883" s="396"/>
      <c r="G2883" s="396"/>
      <c r="K2883" s="370"/>
      <c r="N2883" s="370"/>
    </row>
    <row r="2884" spans="1:14" s="347" customFormat="1" x14ac:dyDescent="0.25">
      <c r="A2884" s="369">
        <v>44348</v>
      </c>
      <c r="B2884" s="340">
        <f>+MONTH(A2884)</f>
        <v>6</v>
      </c>
      <c r="C2884" s="347">
        <v>110</v>
      </c>
      <c r="D2884" s="340" t="str">
        <f>VLOOKUP(C2884,Plan!A$1:B$65542,2,0)</f>
        <v>Disponible Administración</v>
      </c>
      <c r="E2884" s="341">
        <f>+F2884-G2884</f>
        <v>100000</v>
      </c>
      <c r="F2884" s="396">
        <v>100000</v>
      </c>
      <c r="G2884" s="396">
        <v>0</v>
      </c>
      <c r="H2884" s="347" t="s">
        <v>1557</v>
      </c>
      <c r="I2884" s="347" t="s">
        <v>1303</v>
      </c>
      <c r="K2884" s="370"/>
      <c r="N2884" s="370"/>
    </row>
    <row r="2885" spans="1:14" s="347" customFormat="1" x14ac:dyDescent="0.25">
      <c r="A2885" s="369">
        <f>+A2884</f>
        <v>44348</v>
      </c>
      <c r="B2885" s="347">
        <f>+B2884</f>
        <v>6</v>
      </c>
      <c r="C2885" s="347">
        <v>3450</v>
      </c>
      <c r="D2885" s="340" t="str">
        <f>VLOOKUP(C2885,Plan!A$1:B$65542,2,0)</f>
        <v>Pastoral Social</v>
      </c>
      <c r="E2885" s="396">
        <f>-G2885</f>
        <v>-100000</v>
      </c>
      <c r="F2885" s="396">
        <v>0</v>
      </c>
      <c r="G2885" s="396">
        <f>+F2884</f>
        <v>100000</v>
      </c>
      <c r="H2885" s="347" t="str">
        <f>+H2884</f>
        <v>Canastas NN</v>
      </c>
      <c r="I2885" s="347" t="s">
        <v>1303</v>
      </c>
      <c r="K2885" s="370"/>
      <c r="N2885" s="370"/>
    </row>
    <row r="2886" spans="1:14" s="347" customFormat="1" x14ac:dyDescent="0.25">
      <c r="A2886" s="369"/>
      <c r="E2886" s="396"/>
      <c r="F2886" s="396"/>
      <c r="G2886" s="396"/>
      <c r="K2886" s="370"/>
      <c r="N2886" s="370"/>
    </row>
    <row r="2887" spans="1:14" s="347" customFormat="1" x14ac:dyDescent="0.25">
      <c r="A2887" s="369">
        <v>44348</v>
      </c>
      <c r="B2887" s="340">
        <f>+MONTH(A2887)</f>
        <v>6</v>
      </c>
      <c r="C2887" s="347">
        <v>110</v>
      </c>
      <c r="D2887" s="340" t="str">
        <f>VLOOKUP(C2887,Plan!A$1:B$65542,2,0)</f>
        <v>Disponible Administración</v>
      </c>
      <c r="E2887" s="341">
        <f>+F2887-G2887</f>
        <v>60000</v>
      </c>
      <c r="F2887" s="396">
        <v>60000</v>
      </c>
      <c r="G2887" s="396">
        <v>0</v>
      </c>
      <c r="H2887" s="347" t="s">
        <v>1217</v>
      </c>
      <c r="I2887" s="347" t="s">
        <v>1303</v>
      </c>
      <c r="K2887" s="370"/>
      <c r="N2887" s="370"/>
    </row>
    <row r="2888" spans="1:14" s="347" customFormat="1" x14ac:dyDescent="0.25">
      <c r="A2888" s="369">
        <f>+A2887</f>
        <v>44348</v>
      </c>
      <c r="B2888" s="347">
        <f>+B2887</f>
        <v>6</v>
      </c>
      <c r="C2888" s="347">
        <v>3110</v>
      </c>
      <c r="D2888" s="340" t="str">
        <f>VLOOKUP(C2888,Plan!A$1:B$65542,2,0)</f>
        <v>Colectas Normales</v>
      </c>
      <c r="E2888" s="396">
        <f>-G2888</f>
        <v>-60000</v>
      </c>
      <c r="F2888" s="396">
        <v>0</v>
      </c>
      <c r="G2888" s="396">
        <f>+F2887</f>
        <v>60000</v>
      </c>
      <c r="H2888" s="347" t="str">
        <f>+H2887</f>
        <v>Colecta NN</v>
      </c>
      <c r="I2888" s="347" t="s">
        <v>1303</v>
      </c>
      <c r="K2888" s="370"/>
      <c r="N2888" s="370"/>
    </row>
    <row r="2889" spans="1:14" s="347" customFormat="1" x14ac:dyDescent="0.25">
      <c r="A2889" s="369"/>
      <c r="E2889" s="396"/>
      <c r="F2889" s="396"/>
      <c r="G2889" s="396"/>
      <c r="K2889" s="370"/>
      <c r="N2889" s="370"/>
    </row>
    <row r="2890" spans="1:14" s="347" customFormat="1" x14ac:dyDescent="0.25">
      <c r="A2890" s="369">
        <v>44348</v>
      </c>
      <c r="B2890" s="340">
        <f>+MONTH(A2890)</f>
        <v>6</v>
      </c>
      <c r="C2890" s="347">
        <v>110</v>
      </c>
      <c r="D2890" s="340" t="str">
        <f>VLOOKUP(C2890,Plan!A$1:B$65542,2,0)</f>
        <v>Disponible Administración</v>
      </c>
      <c r="E2890" s="341">
        <f>+F2890-G2890</f>
        <v>12312</v>
      </c>
      <c r="F2890" s="396">
        <v>12312</v>
      </c>
      <c r="G2890" s="396">
        <v>0</v>
      </c>
      <c r="H2890" s="347" t="s">
        <v>1667</v>
      </c>
      <c r="I2890" s="347" t="s">
        <v>1303</v>
      </c>
      <c r="K2890" s="370"/>
      <c r="N2890" s="370"/>
    </row>
    <row r="2891" spans="1:14" s="347" customFormat="1" x14ac:dyDescent="0.25">
      <c r="A2891" s="369">
        <f>+A2890</f>
        <v>44348</v>
      </c>
      <c r="B2891" s="347">
        <f>+B2890</f>
        <v>6</v>
      </c>
      <c r="C2891" s="347">
        <v>3520</v>
      </c>
      <c r="D2891" s="340" t="str">
        <f>VLOOKUP(C2891,Plan!A$1:B$65542,2,0)</f>
        <v>Otros Ingreso</v>
      </c>
      <c r="E2891" s="396">
        <f>-G2891</f>
        <v>-12312</v>
      </c>
      <c r="F2891" s="396">
        <v>0</v>
      </c>
      <c r="G2891" s="396">
        <f>+F2890</f>
        <v>12312</v>
      </c>
      <c r="H2891" s="347" t="str">
        <f>+H2890</f>
        <v>Dev. Asignacion Familiar</v>
      </c>
      <c r="I2891" s="347" t="s">
        <v>1303</v>
      </c>
      <c r="K2891" s="370"/>
      <c r="N2891" s="370"/>
    </row>
    <row r="2892" spans="1:14" s="347" customFormat="1" x14ac:dyDescent="0.25">
      <c r="A2892" s="369"/>
      <c r="E2892" s="396"/>
      <c r="F2892" s="396"/>
      <c r="G2892" s="396"/>
      <c r="K2892" s="370"/>
      <c r="N2892" s="370"/>
    </row>
    <row r="2893" spans="1:14" s="347" customFormat="1" x14ac:dyDescent="0.25">
      <c r="A2893" s="369">
        <v>44349</v>
      </c>
      <c r="B2893" s="340">
        <f>+MONTH(A2893)</f>
        <v>6</v>
      </c>
      <c r="C2893" s="347">
        <v>110</v>
      </c>
      <c r="D2893" s="340" t="str">
        <f>VLOOKUP(C2893,Plan!A$1:B$65542,2,0)</f>
        <v>Disponible Administración</v>
      </c>
      <c r="E2893" s="341">
        <f>+F2893-G2893</f>
        <v>20000</v>
      </c>
      <c r="F2893" s="396">
        <v>20000</v>
      </c>
      <c r="G2893" s="396">
        <v>0</v>
      </c>
      <c r="H2893" s="347" t="s">
        <v>1179</v>
      </c>
      <c r="I2893" s="347" t="s">
        <v>1303</v>
      </c>
      <c r="K2893" s="370"/>
      <c r="N2893" s="370"/>
    </row>
    <row r="2894" spans="1:14" s="347" customFormat="1" x14ac:dyDescent="0.25">
      <c r="A2894" s="369">
        <f>+A2893</f>
        <v>44349</v>
      </c>
      <c r="B2894" s="347">
        <f>+B2893</f>
        <v>6</v>
      </c>
      <c r="C2894" s="347">
        <v>3110</v>
      </c>
      <c r="D2894" s="340" t="str">
        <f>VLOOKUP(C2894,Plan!A$1:B$65542,2,0)</f>
        <v>Colectas Normales</v>
      </c>
      <c r="E2894" s="396">
        <f>-G2894</f>
        <v>-20000</v>
      </c>
      <c r="F2894" s="396">
        <v>0</v>
      </c>
      <c r="G2894" s="396">
        <f>+F2893</f>
        <v>20000</v>
      </c>
      <c r="H2894" s="347" t="str">
        <f>+H2893</f>
        <v>Colecta Carmen Gloria Rivas Varas</v>
      </c>
      <c r="I2894" s="347" t="s">
        <v>1303</v>
      </c>
      <c r="K2894" s="370"/>
      <c r="N2894" s="370"/>
    </row>
    <row r="2895" spans="1:14" s="347" customFormat="1" x14ac:dyDescent="0.25">
      <c r="A2895" s="369"/>
      <c r="E2895" s="396"/>
      <c r="F2895" s="396"/>
      <c r="G2895" s="396"/>
      <c r="K2895" s="370"/>
      <c r="N2895" s="370"/>
    </row>
    <row r="2896" spans="1:14" s="347" customFormat="1" x14ac:dyDescent="0.25">
      <c r="A2896" s="369">
        <v>44349</v>
      </c>
      <c r="B2896" s="340">
        <f>+MONTH(A2896)</f>
        <v>6</v>
      </c>
      <c r="C2896" s="347">
        <v>110</v>
      </c>
      <c r="D2896" s="340" t="str">
        <f>VLOOKUP(C2896,Plan!A$1:B$65542,2,0)</f>
        <v>Disponible Administración</v>
      </c>
      <c r="E2896" s="341">
        <f>+F2896-G2896</f>
        <v>20000</v>
      </c>
      <c r="F2896" s="396">
        <v>20000</v>
      </c>
      <c r="G2896" s="396">
        <v>0</v>
      </c>
      <c r="H2896" s="347" t="s">
        <v>1558</v>
      </c>
      <c r="I2896" s="347" t="s">
        <v>1303</v>
      </c>
      <c r="K2896" s="370"/>
      <c r="N2896" s="370"/>
    </row>
    <row r="2897" spans="1:14" s="347" customFormat="1" x14ac:dyDescent="0.25">
      <c r="A2897" s="369">
        <f>+A2896</f>
        <v>44349</v>
      </c>
      <c r="B2897" s="347">
        <f>+B2896</f>
        <v>6</v>
      </c>
      <c r="C2897" s="347">
        <v>3450</v>
      </c>
      <c r="D2897" s="340" t="str">
        <f>VLOOKUP(C2897,Plan!A$1:B$65542,2,0)</f>
        <v>Pastoral Social</v>
      </c>
      <c r="E2897" s="396">
        <f>-G2897</f>
        <v>-20000</v>
      </c>
      <c r="F2897" s="396">
        <v>0</v>
      </c>
      <c r="G2897" s="396">
        <f>+F2896</f>
        <v>20000</v>
      </c>
      <c r="H2897" s="347" t="str">
        <f>+H2896</f>
        <v>Canastas Francisca Orrego Benavente</v>
      </c>
      <c r="I2897" s="347" t="s">
        <v>1303</v>
      </c>
      <c r="K2897" s="370"/>
      <c r="N2897" s="370"/>
    </row>
    <row r="2898" spans="1:14" s="347" customFormat="1" x14ac:dyDescent="0.25">
      <c r="A2898" s="369"/>
      <c r="E2898" s="396"/>
      <c r="F2898" s="396"/>
      <c r="G2898" s="396"/>
      <c r="K2898" s="370"/>
      <c r="N2898" s="370"/>
    </row>
    <row r="2899" spans="1:14" s="347" customFormat="1" x14ac:dyDescent="0.25">
      <c r="A2899" s="369">
        <v>44349</v>
      </c>
      <c r="B2899" s="340">
        <f>+MONTH(A2899)</f>
        <v>6</v>
      </c>
      <c r="C2899" s="347">
        <v>110</v>
      </c>
      <c r="D2899" s="340" t="str">
        <f>VLOOKUP(C2899,Plan!A$1:B$65542,2,0)</f>
        <v>Disponible Administración</v>
      </c>
      <c r="E2899" s="341">
        <f>+F2899-G2899</f>
        <v>10000</v>
      </c>
      <c r="F2899" s="396">
        <v>10000</v>
      </c>
      <c r="G2899" s="396">
        <v>0</v>
      </c>
      <c r="H2899" s="347" t="s">
        <v>900</v>
      </c>
      <c r="I2899" s="347" t="s">
        <v>1303</v>
      </c>
      <c r="K2899" s="370"/>
      <c r="N2899" s="370"/>
    </row>
    <row r="2900" spans="1:14" s="347" customFormat="1" x14ac:dyDescent="0.25">
      <c r="A2900" s="369">
        <f>+A2899</f>
        <v>44349</v>
      </c>
      <c r="B2900" s="347">
        <f>+B2899</f>
        <v>6</v>
      </c>
      <c r="C2900" s="347">
        <v>3110</v>
      </c>
      <c r="D2900" s="340" t="str">
        <f>VLOOKUP(C2900,Plan!A$1:B$65542,2,0)</f>
        <v>Colectas Normales</v>
      </c>
      <c r="E2900" s="396">
        <f>-G2900</f>
        <v>-10000</v>
      </c>
      <c r="F2900" s="396">
        <v>0</v>
      </c>
      <c r="G2900" s="396">
        <f>+F2899</f>
        <v>10000</v>
      </c>
      <c r="H2900" s="347" t="str">
        <f>+H2899</f>
        <v>Colecta Paula Fernandez</v>
      </c>
      <c r="I2900" s="347" t="s">
        <v>1303</v>
      </c>
      <c r="K2900" s="370"/>
      <c r="N2900" s="370"/>
    </row>
    <row r="2901" spans="1:14" s="347" customFormat="1" x14ac:dyDescent="0.25">
      <c r="A2901" s="369"/>
      <c r="E2901" s="396"/>
      <c r="F2901" s="396"/>
      <c r="G2901" s="396"/>
      <c r="K2901" s="370"/>
      <c r="N2901" s="370"/>
    </row>
    <row r="2902" spans="1:14" s="347" customFormat="1" x14ac:dyDescent="0.25">
      <c r="A2902" s="369">
        <v>44349</v>
      </c>
      <c r="B2902" s="340">
        <f>+MONTH(A2902)</f>
        <v>6</v>
      </c>
      <c r="C2902" s="347">
        <v>110</v>
      </c>
      <c r="D2902" s="340" t="str">
        <f>VLOOKUP(C2902,Plan!A$1:B$65542,2,0)</f>
        <v>Disponible Administración</v>
      </c>
      <c r="E2902" s="341">
        <f>+F2902-G2902</f>
        <v>40000</v>
      </c>
      <c r="F2902" s="396">
        <v>40000</v>
      </c>
      <c r="G2902" s="396">
        <v>0</v>
      </c>
      <c r="H2902" s="347" t="s">
        <v>1559</v>
      </c>
      <c r="I2902" s="347" t="s">
        <v>1303</v>
      </c>
      <c r="K2902" s="370"/>
      <c r="N2902" s="370"/>
    </row>
    <row r="2903" spans="1:14" s="347" customFormat="1" x14ac:dyDescent="0.25">
      <c r="A2903" s="369">
        <f>+A2902</f>
        <v>44349</v>
      </c>
      <c r="B2903" s="347">
        <f>+B2902</f>
        <v>6</v>
      </c>
      <c r="C2903" s="347">
        <v>3450</v>
      </c>
      <c r="D2903" s="340" t="str">
        <f>VLOOKUP(C2903,Plan!A$1:B$65542,2,0)</f>
        <v>Pastoral Social</v>
      </c>
      <c r="E2903" s="396">
        <f>-G2903</f>
        <v>-40000</v>
      </c>
      <c r="F2903" s="396">
        <v>0</v>
      </c>
      <c r="G2903" s="396">
        <f>+F2902</f>
        <v>40000</v>
      </c>
      <c r="H2903" s="347" t="str">
        <f>+H2902</f>
        <v>Canastas Blanco del Prado Fernandez Aguilera</v>
      </c>
      <c r="I2903" s="347" t="s">
        <v>1303</v>
      </c>
      <c r="K2903" s="370"/>
      <c r="N2903" s="370"/>
    </row>
    <row r="2904" spans="1:14" s="347" customFormat="1" x14ac:dyDescent="0.25">
      <c r="A2904" s="369"/>
      <c r="E2904" s="396"/>
      <c r="F2904" s="396"/>
      <c r="G2904" s="396"/>
      <c r="K2904" s="370"/>
      <c r="N2904" s="370"/>
    </row>
    <row r="2905" spans="1:14" s="347" customFormat="1" x14ac:dyDescent="0.25">
      <c r="A2905" s="369">
        <v>44349</v>
      </c>
      <c r="B2905" s="340">
        <f>+MONTH(A2905)</f>
        <v>6</v>
      </c>
      <c r="C2905" s="347">
        <v>110</v>
      </c>
      <c r="D2905" s="340" t="str">
        <f>VLOOKUP(C2905,Plan!A$1:B$65542,2,0)</f>
        <v>Disponible Administración</v>
      </c>
      <c r="E2905" s="341">
        <f>+F2905-G2905</f>
        <v>9807</v>
      </c>
      <c r="F2905" s="396">
        <v>9807</v>
      </c>
      <c r="G2905" s="396">
        <v>0</v>
      </c>
      <c r="H2905" s="347" t="s">
        <v>1338</v>
      </c>
      <c r="I2905" s="347" t="s">
        <v>1303</v>
      </c>
      <c r="K2905" s="370"/>
      <c r="N2905" s="370"/>
    </row>
    <row r="2906" spans="1:14" s="347" customFormat="1" x14ac:dyDescent="0.25">
      <c r="A2906" s="369">
        <f>+A2905</f>
        <v>44349</v>
      </c>
      <c r="B2906" s="347">
        <f>+B2905</f>
        <v>6</v>
      </c>
      <c r="C2906" s="347">
        <v>3340</v>
      </c>
      <c r="D2906" s="340" t="str">
        <f>VLOOKUP(C2906,Plan!A$1:B$65542,2,0)</f>
        <v>Misas</v>
      </c>
      <c r="E2906" s="396">
        <f>-G2906</f>
        <v>-9807</v>
      </c>
      <c r="F2906" s="396">
        <v>0</v>
      </c>
      <c r="G2906" s="396">
        <f>+F2905</f>
        <v>9807</v>
      </c>
      <c r="H2906" s="347" t="str">
        <f>+H2905</f>
        <v>Misa DCT</v>
      </c>
      <c r="I2906" s="347" t="s">
        <v>1303</v>
      </c>
      <c r="K2906" s="370"/>
      <c r="N2906" s="370"/>
    </row>
    <row r="2907" spans="1:14" s="347" customFormat="1" x14ac:dyDescent="0.25">
      <c r="A2907" s="369"/>
      <c r="E2907" s="396"/>
      <c r="F2907" s="396"/>
      <c r="G2907" s="396"/>
      <c r="K2907" s="370"/>
      <c r="N2907" s="370"/>
    </row>
    <row r="2908" spans="1:14" s="347" customFormat="1" x14ac:dyDescent="0.25">
      <c r="A2908" s="369">
        <v>44349</v>
      </c>
      <c r="B2908" s="340">
        <f>+MONTH(A2908)</f>
        <v>6</v>
      </c>
      <c r="C2908" s="347">
        <v>110</v>
      </c>
      <c r="D2908" s="340" t="str">
        <f>VLOOKUP(C2908,Plan!A$1:B$65542,2,0)</f>
        <v>Disponible Administración</v>
      </c>
      <c r="E2908" s="341">
        <f>+F2908-G2908</f>
        <v>75000</v>
      </c>
      <c r="F2908" s="396">
        <v>75000</v>
      </c>
      <c r="G2908" s="396">
        <v>0</v>
      </c>
      <c r="H2908" s="347" t="s">
        <v>1560</v>
      </c>
      <c r="I2908" s="347" t="s">
        <v>1303</v>
      </c>
      <c r="K2908" s="370"/>
      <c r="N2908" s="370"/>
    </row>
    <row r="2909" spans="1:14" s="347" customFormat="1" x14ac:dyDescent="0.25">
      <c r="A2909" s="369">
        <f>+A2908</f>
        <v>44349</v>
      </c>
      <c r="B2909" s="347">
        <f>+B2908</f>
        <v>6</v>
      </c>
      <c r="C2909" s="347">
        <v>3360</v>
      </c>
      <c r="D2909" s="340" t="str">
        <f>VLOOKUP(C2909,Plan!A$1:B$65542,2,0)</f>
        <v>Otros</v>
      </c>
      <c r="E2909" s="396">
        <f>-G2909</f>
        <v>-75000</v>
      </c>
      <c r="F2909" s="396">
        <v>0</v>
      </c>
      <c r="G2909" s="396">
        <f>+F2908</f>
        <v>75000</v>
      </c>
      <c r="H2909" s="347" t="str">
        <f>+H2908</f>
        <v>Curso Maria Luisa Toso Loyola</v>
      </c>
      <c r="I2909" s="347" t="s">
        <v>1303</v>
      </c>
      <c r="K2909" s="370"/>
      <c r="N2909" s="370"/>
    </row>
    <row r="2910" spans="1:14" s="347" customFormat="1" x14ac:dyDescent="0.25">
      <c r="K2910" s="370"/>
      <c r="N2910" s="370"/>
    </row>
    <row r="2911" spans="1:14" s="347" customFormat="1" x14ac:dyDescent="0.25">
      <c r="A2911" s="369">
        <v>44349</v>
      </c>
      <c r="B2911" s="340">
        <f>+MONTH(A2911)</f>
        <v>6</v>
      </c>
      <c r="C2911" s="347">
        <v>110</v>
      </c>
      <c r="D2911" s="340" t="str">
        <f>VLOOKUP(C2911,Plan!A$1:B$65542,2,0)</f>
        <v>Disponible Administración</v>
      </c>
      <c r="E2911" s="341">
        <f>+F2911-G2911</f>
        <v>20000</v>
      </c>
      <c r="F2911" s="396">
        <v>20000</v>
      </c>
      <c r="G2911" s="396">
        <v>0</v>
      </c>
      <c r="H2911" s="347" t="s">
        <v>1131</v>
      </c>
      <c r="I2911" s="347" t="s">
        <v>1303</v>
      </c>
      <c r="K2911" s="370"/>
      <c r="N2911" s="370"/>
    </row>
    <row r="2912" spans="1:14" s="347" customFormat="1" x14ac:dyDescent="0.25">
      <c r="A2912" s="369">
        <f>+A2911</f>
        <v>44349</v>
      </c>
      <c r="B2912" s="347">
        <f>+B2911</f>
        <v>6</v>
      </c>
      <c r="C2912" s="347">
        <v>3110</v>
      </c>
      <c r="D2912" s="340" t="str">
        <f>VLOOKUP(C2912,Plan!A$1:B$65542,2,0)</f>
        <v>Colectas Normales</v>
      </c>
      <c r="E2912" s="396">
        <f>-G2912</f>
        <v>-20000</v>
      </c>
      <c r="F2912" s="396">
        <v>0</v>
      </c>
      <c r="G2912" s="396">
        <f>+F2911</f>
        <v>20000</v>
      </c>
      <c r="H2912" s="347" t="str">
        <f>+H2911</f>
        <v>Colecta Sandra Socias R</v>
      </c>
      <c r="I2912" s="347" t="s">
        <v>1303</v>
      </c>
      <c r="K2912" s="370"/>
      <c r="N2912" s="370"/>
    </row>
    <row r="2913" spans="1:14" s="347" customFormat="1" x14ac:dyDescent="0.25">
      <c r="A2913" s="369"/>
      <c r="E2913" s="396"/>
      <c r="F2913" s="396"/>
      <c r="G2913" s="396"/>
      <c r="K2913" s="370"/>
      <c r="N2913" s="370"/>
    </row>
    <row r="2914" spans="1:14" s="347" customFormat="1" x14ac:dyDescent="0.25">
      <c r="A2914" s="369">
        <v>44349</v>
      </c>
      <c r="B2914" s="340">
        <f>+MONTH(A2914)</f>
        <v>6</v>
      </c>
      <c r="C2914" s="347">
        <v>110</v>
      </c>
      <c r="D2914" s="340" t="str">
        <f>VLOOKUP(C2914,Plan!A$1:B$65542,2,0)</f>
        <v>Disponible Administración</v>
      </c>
      <c r="E2914" s="341">
        <f>+F2914-G2914</f>
        <v>15000</v>
      </c>
      <c r="F2914" s="396">
        <v>15000</v>
      </c>
      <c r="G2914" s="396">
        <v>0</v>
      </c>
      <c r="H2914" s="347" t="s">
        <v>906</v>
      </c>
      <c r="I2914" s="347" t="s">
        <v>1303</v>
      </c>
      <c r="K2914" s="370"/>
      <c r="N2914" s="370"/>
    </row>
    <row r="2915" spans="1:14" s="347" customFormat="1" x14ac:dyDescent="0.25">
      <c r="A2915" s="369">
        <f>+A2914</f>
        <v>44349</v>
      </c>
      <c r="B2915" s="347">
        <f>+B2914</f>
        <v>6</v>
      </c>
      <c r="C2915" s="347">
        <v>3110</v>
      </c>
      <c r="D2915" s="340" t="str">
        <f>VLOOKUP(C2915,Plan!A$1:B$65542,2,0)</f>
        <v>Colectas Normales</v>
      </c>
      <c r="E2915" s="396">
        <f>-G2915</f>
        <v>-15000</v>
      </c>
      <c r="F2915" s="396">
        <v>0</v>
      </c>
      <c r="G2915" s="396">
        <f>+F2914</f>
        <v>15000</v>
      </c>
      <c r="H2915" s="347" t="str">
        <f>+H2914</f>
        <v>Colecta Carmen Barañao</v>
      </c>
      <c r="I2915" s="347" t="s">
        <v>1303</v>
      </c>
      <c r="K2915" s="370"/>
      <c r="N2915" s="370"/>
    </row>
    <row r="2916" spans="1:14" s="347" customFormat="1" x14ac:dyDescent="0.25">
      <c r="A2916" s="369"/>
      <c r="E2916" s="396"/>
      <c r="F2916" s="396"/>
      <c r="G2916" s="396"/>
      <c r="K2916" s="370"/>
      <c r="N2916" s="370"/>
    </row>
    <row r="2917" spans="1:14" s="347" customFormat="1" x14ac:dyDescent="0.25">
      <c r="A2917" s="369">
        <v>44350</v>
      </c>
      <c r="B2917" s="340">
        <f>+MONTH(A2917)</f>
        <v>6</v>
      </c>
      <c r="C2917" s="347">
        <v>110</v>
      </c>
      <c r="D2917" s="340" t="str">
        <f>VLOOKUP(C2917,Plan!A$1:B$65542,2,0)</f>
        <v>Disponible Administración</v>
      </c>
      <c r="E2917" s="341">
        <f>+F2917-G2917</f>
        <v>12000</v>
      </c>
      <c r="F2917" s="396">
        <v>12000</v>
      </c>
      <c r="G2917" s="396">
        <v>0</v>
      </c>
      <c r="H2917" s="347" t="s">
        <v>1141</v>
      </c>
      <c r="I2917" s="347" t="s">
        <v>1303</v>
      </c>
      <c r="K2917" s="370"/>
      <c r="N2917" s="370"/>
    </row>
    <row r="2918" spans="1:14" s="347" customFormat="1" x14ac:dyDescent="0.25">
      <c r="A2918" s="369">
        <f>+A2917</f>
        <v>44350</v>
      </c>
      <c r="B2918" s="347">
        <f>+B2917</f>
        <v>6</v>
      </c>
      <c r="C2918" s="347">
        <v>3110</v>
      </c>
      <c r="D2918" s="340" t="str">
        <f>VLOOKUP(C2918,Plan!A$1:B$65542,2,0)</f>
        <v>Colectas Normales</v>
      </c>
      <c r="E2918" s="396">
        <f>-G2918</f>
        <v>-12000</v>
      </c>
      <c r="F2918" s="396">
        <v>0</v>
      </c>
      <c r="G2918" s="396">
        <f>+F2917</f>
        <v>12000</v>
      </c>
      <c r="H2918" s="347" t="str">
        <f>+H2917</f>
        <v>Colecta Cristian Huidobro Lermanda</v>
      </c>
      <c r="I2918" s="347" t="s">
        <v>1303</v>
      </c>
      <c r="K2918" s="370"/>
      <c r="N2918" s="370"/>
    </row>
    <row r="2919" spans="1:14" s="347" customFormat="1" x14ac:dyDescent="0.25">
      <c r="A2919" s="369"/>
      <c r="E2919" s="396"/>
      <c r="F2919" s="396"/>
      <c r="G2919" s="396"/>
      <c r="K2919" s="370"/>
      <c r="N2919" s="370"/>
    </row>
    <row r="2920" spans="1:14" s="347" customFormat="1" x14ac:dyDescent="0.25">
      <c r="A2920" s="369">
        <v>44350</v>
      </c>
      <c r="B2920" s="340">
        <f>+MONTH(A2920)</f>
        <v>6</v>
      </c>
      <c r="C2920" s="347">
        <v>110</v>
      </c>
      <c r="D2920" s="340" t="str">
        <f>VLOOKUP(C2920,Plan!A$1:B$65542,2,0)</f>
        <v>Disponible Administración</v>
      </c>
      <c r="E2920" s="341">
        <f>+F2920-G2920</f>
        <v>2758035</v>
      </c>
      <c r="F2920" s="396">
        <v>2758035</v>
      </c>
      <c r="G2920" s="396">
        <v>0</v>
      </c>
      <c r="H2920" s="347" t="s">
        <v>1890</v>
      </c>
      <c r="I2920" s="347" t="s">
        <v>1303</v>
      </c>
      <c r="K2920" s="370"/>
      <c r="N2920" s="370"/>
    </row>
    <row r="2921" spans="1:14" s="347" customFormat="1" x14ac:dyDescent="0.25">
      <c r="A2921" s="369">
        <f>+A2920</f>
        <v>44350</v>
      </c>
      <c r="B2921" s="347">
        <f>+B2920</f>
        <v>6</v>
      </c>
      <c r="C2921" s="347">
        <v>132</v>
      </c>
      <c r="D2921" s="340" t="str">
        <f>VLOOKUP(C2921,Plan!A$1:B$65542,2,0)</f>
        <v>Préstamos  Fundación Administración</v>
      </c>
      <c r="E2921" s="396">
        <f>-G2921</f>
        <v>-2758035</v>
      </c>
      <c r="F2921" s="396">
        <v>0</v>
      </c>
      <c r="G2921" s="396">
        <f>+F2920</f>
        <v>2758035</v>
      </c>
      <c r="H2921" s="347" t="str">
        <f>+H2920</f>
        <v xml:space="preserve">Paga Ptmo.Fundación San Carlos de Ap. </v>
      </c>
      <c r="I2921" s="347" t="s">
        <v>1303</v>
      </c>
      <c r="K2921" s="370"/>
      <c r="N2921" s="370"/>
    </row>
    <row r="2922" spans="1:14" s="347" customFormat="1" x14ac:dyDescent="0.25">
      <c r="A2922" s="369"/>
      <c r="E2922" s="396"/>
      <c r="F2922" s="396"/>
      <c r="G2922" s="396"/>
      <c r="K2922" s="370"/>
      <c r="N2922" s="370"/>
    </row>
    <row r="2923" spans="1:14" s="347" customFormat="1" x14ac:dyDescent="0.25">
      <c r="A2923" s="369">
        <v>44350</v>
      </c>
      <c r="B2923" s="340">
        <f>+MONTH(A2923)</f>
        <v>6</v>
      </c>
      <c r="C2923" s="347">
        <v>4322</v>
      </c>
      <c r="D2923" s="340" t="str">
        <f>VLOOKUP(C2923,Plan!A$1:B$65542,2,0)</f>
        <v>Agua</v>
      </c>
      <c r="E2923" s="341">
        <f>+F2923-G2923</f>
        <v>35633</v>
      </c>
      <c r="F2923" s="396">
        <v>35633</v>
      </c>
      <c r="G2923" s="396">
        <v>0</v>
      </c>
      <c r="H2923" s="347" t="s">
        <v>735</v>
      </c>
      <c r="I2923" s="347" t="s">
        <v>1303</v>
      </c>
      <c r="K2923" s="370"/>
      <c r="N2923" s="370"/>
    </row>
    <row r="2924" spans="1:14" s="347" customFormat="1" x14ac:dyDescent="0.25">
      <c r="A2924" s="369">
        <f>+A2923</f>
        <v>44350</v>
      </c>
      <c r="B2924" s="347">
        <f>+B2923</f>
        <v>6</v>
      </c>
      <c r="C2924" s="347">
        <v>110</v>
      </c>
      <c r="D2924" s="340" t="str">
        <f>VLOOKUP(C2924,Plan!A$1:B$65542,2,0)</f>
        <v>Disponible Administración</v>
      </c>
      <c r="E2924" s="396">
        <f>-G2924</f>
        <v>-35633</v>
      </c>
      <c r="F2924" s="396">
        <v>0</v>
      </c>
      <c r="G2924" s="396">
        <f>+F2923</f>
        <v>35633</v>
      </c>
      <c r="H2924" s="347" t="str">
        <f>+H2923</f>
        <v>PAC Aguas Cordillera</v>
      </c>
      <c r="I2924" s="347" t="s">
        <v>1303</v>
      </c>
      <c r="K2924" s="370"/>
      <c r="N2924" s="370"/>
    </row>
    <row r="2925" spans="1:14" s="347" customFormat="1" x14ac:dyDescent="0.25">
      <c r="A2925" s="369"/>
      <c r="E2925" s="396"/>
      <c r="F2925" s="396"/>
      <c r="G2925" s="396"/>
      <c r="K2925" s="370"/>
      <c r="N2925" s="370"/>
    </row>
    <row r="2926" spans="1:14" s="347" customFormat="1" x14ac:dyDescent="0.25">
      <c r="A2926" s="369">
        <v>44350</v>
      </c>
      <c r="B2926" s="340">
        <f>+MONTH(A2926)</f>
        <v>6</v>
      </c>
      <c r="C2926" s="347">
        <v>110</v>
      </c>
      <c r="D2926" s="340" t="str">
        <f>VLOOKUP(C2926,Plan!A$1:B$65542,2,0)</f>
        <v>Disponible Administración</v>
      </c>
      <c r="E2926" s="341">
        <f>+F2926-G2926</f>
        <v>30000</v>
      </c>
      <c r="F2926" s="396">
        <v>30000</v>
      </c>
      <c r="G2926" s="396">
        <v>0</v>
      </c>
      <c r="H2926" s="347" t="s">
        <v>1561</v>
      </c>
      <c r="I2926" s="347" t="s">
        <v>1303</v>
      </c>
      <c r="K2926" s="370"/>
      <c r="N2926" s="370"/>
    </row>
    <row r="2927" spans="1:14" s="347" customFormat="1" x14ac:dyDescent="0.25">
      <c r="A2927" s="369">
        <f>+A2926</f>
        <v>44350</v>
      </c>
      <c r="B2927" s="347">
        <f>+B2926</f>
        <v>6</v>
      </c>
      <c r="C2927" s="347">
        <v>215</v>
      </c>
      <c r="D2927" s="340" t="str">
        <f>VLOOKUP(C2927,Plan!A$1:B$65542,2,0)</f>
        <v>Cuenta por Pagar a Cali</v>
      </c>
      <c r="E2927" s="396">
        <f>-G2927</f>
        <v>-30000</v>
      </c>
      <c r="F2927" s="396">
        <v>0</v>
      </c>
      <c r="G2927" s="396">
        <f>+F2926</f>
        <v>30000</v>
      </c>
      <c r="H2927" s="347" t="str">
        <f>+H2926</f>
        <v>Ana Maria Allende Zañartu / 248</v>
      </c>
      <c r="I2927" s="347" t="s">
        <v>1303</v>
      </c>
      <c r="K2927" s="370"/>
      <c r="N2927" s="370"/>
    </row>
    <row r="2928" spans="1:14" s="347" customFormat="1" x14ac:dyDescent="0.25">
      <c r="A2928" s="369"/>
      <c r="E2928" s="396"/>
      <c r="F2928" s="396"/>
      <c r="G2928" s="396"/>
      <c r="K2928" s="370"/>
      <c r="N2928" s="370"/>
    </row>
    <row r="2929" spans="1:14" s="347" customFormat="1" x14ac:dyDescent="0.25">
      <c r="A2929" s="369">
        <v>44350</v>
      </c>
      <c r="B2929" s="340">
        <f>+MONTH(A2929)</f>
        <v>6</v>
      </c>
      <c r="C2929" s="347">
        <v>110</v>
      </c>
      <c r="D2929" s="340" t="str">
        <f>VLOOKUP(C2929,Plan!A$1:B$65542,2,0)</f>
        <v>Disponible Administración</v>
      </c>
      <c r="E2929" s="341">
        <f>+F2929-G2929</f>
        <v>100000</v>
      </c>
      <c r="F2929" s="396">
        <v>100000</v>
      </c>
      <c r="G2929" s="396">
        <v>0</v>
      </c>
      <c r="H2929" s="347" t="s">
        <v>1562</v>
      </c>
      <c r="I2929" s="347" t="s">
        <v>1303</v>
      </c>
      <c r="K2929" s="370"/>
      <c r="N2929" s="370"/>
    </row>
    <row r="2930" spans="1:14" s="347" customFormat="1" x14ac:dyDescent="0.25">
      <c r="A2930" s="369">
        <f>+A2929</f>
        <v>44350</v>
      </c>
      <c r="B2930" s="347">
        <f>+B2929</f>
        <v>6</v>
      </c>
      <c r="C2930" s="347">
        <v>3450</v>
      </c>
      <c r="D2930" s="340" t="str">
        <f>VLOOKUP(C2930,Plan!A$1:B$65542,2,0)</f>
        <v>Pastoral Social</v>
      </c>
      <c r="E2930" s="396">
        <f>-G2930</f>
        <v>-100000</v>
      </c>
      <c r="F2930" s="396">
        <v>0</v>
      </c>
      <c r="G2930" s="396">
        <f>+F2929</f>
        <v>100000</v>
      </c>
      <c r="H2930" s="347" t="str">
        <f>+H2929</f>
        <v>Canastas Samuel Barros</v>
      </c>
      <c r="I2930" s="347" t="s">
        <v>1303</v>
      </c>
      <c r="K2930" s="370"/>
      <c r="N2930" s="370"/>
    </row>
    <row r="2931" spans="1:14" s="347" customFormat="1" x14ac:dyDescent="0.25">
      <c r="A2931" s="369"/>
      <c r="E2931" s="396"/>
      <c r="F2931" s="396"/>
      <c r="G2931" s="396"/>
      <c r="K2931" s="370"/>
      <c r="N2931" s="370"/>
    </row>
    <row r="2932" spans="1:14" s="347" customFormat="1" x14ac:dyDescent="0.25">
      <c r="A2932" s="369">
        <v>44351</v>
      </c>
      <c r="B2932" s="340">
        <f>+MONTH(A2932)</f>
        <v>6</v>
      </c>
      <c r="C2932" s="347">
        <v>4310</v>
      </c>
      <c r="D2932" s="340" t="str">
        <f>VLOOKUP(C2932,Plan!A$1:B$65542,2,0)</f>
        <v>Arriendos / Dividendos</v>
      </c>
      <c r="E2932" s="341">
        <f>+F2932-G2932</f>
        <v>802153</v>
      </c>
      <c r="F2932" s="396">
        <v>802153</v>
      </c>
      <c r="G2932" s="396">
        <v>0</v>
      </c>
      <c r="H2932" s="347" t="s">
        <v>1563</v>
      </c>
      <c r="I2932" s="347" t="s">
        <v>1303</v>
      </c>
      <c r="K2932" s="370"/>
      <c r="N2932" s="370"/>
    </row>
    <row r="2933" spans="1:14" s="347" customFormat="1" x14ac:dyDescent="0.25">
      <c r="A2933" s="369">
        <f>+A2932</f>
        <v>44351</v>
      </c>
      <c r="B2933" s="347">
        <f>+B2932</f>
        <v>6</v>
      </c>
      <c r="C2933" s="347">
        <v>110</v>
      </c>
      <c r="D2933" s="340" t="str">
        <f>VLOOKUP(C2933,Plan!A$1:B$65542,2,0)</f>
        <v>Disponible Administración</v>
      </c>
      <c r="E2933" s="396">
        <f>-G2933</f>
        <v>-802153</v>
      </c>
      <c r="F2933" s="396">
        <v>0</v>
      </c>
      <c r="G2933" s="396">
        <f>+F2932</f>
        <v>802153</v>
      </c>
      <c r="H2933" s="347" t="str">
        <f>+H2932</f>
        <v>Arriendo Junio 2021 Claudio Cortes Arriagada</v>
      </c>
      <c r="I2933" s="347" t="s">
        <v>1303</v>
      </c>
      <c r="K2933" s="370"/>
      <c r="N2933" s="370"/>
    </row>
    <row r="2934" spans="1:14" s="347" customFormat="1" x14ac:dyDescent="0.25">
      <c r="A2934" s="369"/>
      <c r="E2934" s="396"/>
      <c r="F2934" s="396"/>
      <c r="G2934" s="396"/>
      <c r="K2934" s="370"/>
      <c r="N2934" s="370"/>
    </row>
    <row r="2935" spans="1:14" s="347" customFormat="1" x14ac:dyDescent="0.25">
      <c r="A2935" s="369">
        <v>44351</v>
      </c>
      <c r="B2935" s="340">
        <f>+MONTH(A2935)</f>
        <v>6</v>
      </c>
      <c r="C2935" s="347">
        <v>215</v>
      </c>
      <c r="D2935" s="340" t="str">
        <f>VLOOKUP(C2935,Plan!A$1:B$65542,2,0)</f>
        <v>Cuenta por Pagar a Cali</v>
      </c>
      <c r="E2935" s="341">
        <f>+F2935-G2935</f>
        <v>66148</v>
      </c>
      <c r="F2935" s="396">
        <f>+G2937-F2936</f>
        <v>66148</v>
      </c>
      <c r="G2935" s="396">
        <v>0</v>
      </c>
      <c r="H2935" s="347" t="s">
        <v>1564</v>
      </c>
      <c r="I2935" s="347" t="s">
        <v>1303</v>
      </c>
      <c r="K2935" s="370"/>
      <c r="N2935" s="370"/>
    </row>
    <row r="2936" spans="1:14" s="347" customFormat="1" x14ac:dyDescent="0.25">
      <c r="A2936" s="369">
        <v>44351</v>
      </c>
      <c r="B2936" s="340">
        <f>+MONTH(A2936)</f>
        <v>6</v>
      </c>
      <c r="C2936" s="347">
        <v>223</v>
      </c>
      <c r="D2936" s="340" t="str">
        <f>VLOOKUP(C2936,Plan!A$1:B$65542,2,0)</f>
        <v>Ret. Hon.  e Impto. Unico Administración</v>
      </c>
      <c r="E2936" s="341">
        <f>+F2936-G2936</f>
        <v>97155</v>
      </c>
      <c r="F2936" s="396">
        <v>97155</v>
      </c>
      <c r="G2936" s="396">
        <v>0</v>
      </c>
      <c r="H2936" s="347" t="s">
        <v>1564</v>
      </c>
      <c r="I2936" s="347" t="s">
        <v>1303</v>
      </c>
      <c r="K2936" s="370"/>
      <c r="N2936" s="370"/>
    </row>
    <row r="2937" spans="1:14" s="347" customFormat="1" x14ac:dyDescent="0.25">
      <c r="A2937" s="369">
        <f>+A2935</f>
        <v>44351</v>
      </c>
      <c r="B2937" s="347">
        <f>+B2935</f>
        <v>6</v>
      </c>
      <c r="C2937" s="347">
        <v>110</v>
      </c>
      <c r="D2937" s="340" t="str">
        <f>VLOOKUP(C2937,Plan!A$1:B$65542,2,0)</f>
        <v>Disponible Administración</v>
      </c>
      <c r="E2937" s="396">
        <f>-G2937</f>
        <v>-163303</v>
      </c>
      <c r="F2937" s="396">
        <v>0</v>
      </c>
      <c r="G2937" s="396">
        <v>163303</v>
      </c>
      <c r="H2937" s="347" t="str">
        <f>+H2935</f>
        <v>Impto.Ret Adm. Mayo /2021</v>
      </c>
      <c r="I2937" s="347" t="s">
        <v>1303</v>
      </c>
      <c r="K2937" s="370"/>
      <c r="N2937" s="370"/>
    </row>
    <row r="2938" spans="1:14" s="347" customFormat="1" x14ac:dyDescent="0.25">
      <c r="A2938" s="369"/>
      <c r="E2938" s="396"/>
      <c r="F2938" s="396"/>
      <c r="G2938" s="396"/>
      <c r="K2938" s="370"/>
      <c r="N2938" s="370"/>
    </row>
    <row r="2939" spans="1:14" s="347" customFormat="1" x14ac:dyDescent="0.25">
      <c r="A2939" s="369">
        <v>44351</v>
      </c>
      <c r="B2939" s="340">
        <f>+MONTH(A2939)</f>
        <v>6</v>
      </c>
      <c r="C2939" s="347">
        <v>224</v>
      </c>
      <c r="D2939" s="340" t="str">
        <f>VLOOKUP(C2939,Plan!A$1:B$65542,2,0)</f>
        <v>Cotizaciones por Pagar</v>
      </c>
      <c r="E2939" s="341">
        <f>+F2939-G2939</f>
        <v>404131</v>
      </c>
      <c r="F2939" s="396">
        <v>404131</v>
      </c>
      <c r="G2939" s="396">
        <v>0</v>
      </c>
      <c r="H2939" s="347" t="s">
        <v>1565</v>
      </c>
      <c r="I2939" s="347" t="s">
        <v>1303</v>
      </c>
      <c r="K2939" s="370"/>
      <c r="N2939" s="370"/>
    </row>
    <row r="2940" spans="1:14" s="347" customFormat="1" x14ac:dyDescent="0.25">
      <c r="A2940" s="369">
        <f>+A2939</f>
        <v>44351</v>
      </c>
      <c r="B2940" s="347">
        <f>+B2939</f>
        <v>6</v>
      </c>
      <c r="C2940" s="347">
        <v>110</v>
      </c>
      <c r="D2940" s="340" t="str">
        <f>VLOOKUP(C2940,Plan!A$1:B$65542,2,0)</f>
        <v>Disponible Administración</v>
      </c>
      <c r="E2940" s="396">
        <f>-G2940</f>
        <v>-404131</v>
      </c>
      <c r="F2940" s="396">
        <v>0</v>
      </c>
      <c r="G2940" s="396">
        <f>+F2939</f>
        <v>404131</v>
      </c>
      <c r="H2940" s="347" t="str">
        <f>+H2939</f>
        <v>Previsión EE.PSAH</v>
      </c>
      <c r="I2940" s="347" t="s">
        <v>1303</v>
      </c>
      <c r="K2940" s="370"/>
      <c r="N2940" s="370"/>
    </row>
    <row r="2941" spans="1:14" s="347" customFormat="1" x14ac:dyDescent="0.25">
      <c r="A2941" s="369"/>
      <c r="E2941" s="396"/>
      <c r="F2941" s="396"/>
      <c r="G2941" s="396"/>
      <c r="K2941" s="370"/>
      <c r="N2941" s="370"/>
    </row>
    <row r="2942" spans="1:14" s="347" customFormat="1" x14ac:dyDescent="0.25">
      <c r="A2942" s="369">
        <v>44351</v>
      </c>
      <c r="B2942" s="340">
        <f>+MONTH(A2942)</f>
        <v>6</v>
      </c>
      <c r="C2942" s="347">
        <v>224</v>
      </c>
      <c r="D2942" s="340" t="str">
        <f>VLOOKUP(C2942,Plan!A$1:B$65542,2,0)</f>
        <v>Cotizaciones por Pagar</v>
      </c>
      <c r="E2942" s="341">
        <f>+F2942-G2942</f>
        <v>172706</v>
      </c>
      <c r="F2942" s="396">
        <v>172706</v>
      </c>
      <c r="G2942" s="396">
        <v>0</v>
      </c>
      <c r="H2942" s="347" t="s">
        <v>1566</v>
      </c>
      <c r="I2942" s="347" t="s">
        <v>1303</v>
      </c>
      <c r="K2942" s="370"/>
      <c r="N2942" s="370"/>
    </row>
    <row r="2943" spans="1:14" s="347" customFormat="1" x14ac:dyDescent="0.25">
      <c r="A2943" s="369">
        <f>+A2942</f>
        <v>44351</v>
      </c>
      <c r="B2943" s="347">
        <f>+B2942</f>
        <v>6</v>
      </c>
      <c r="C2943" s="347">
        <v>110</v>
      </c>
      <c r="D2943" s="340" t="str">
        <f>VLOOKUP(C2943,Plan!A$1:B$65542,2,0)</f>
        <v>Disponible Administración</v>
      </c>
      <c r="E2943" s="396">
        <f>-G2943</f>
        <v>-172706</v>
      </c>
      <c r="F2943" s="396">
        <v>0</v>
      </c>
      <c r="G2943" s="396">
        <f>+F2942</f>
        <v>172706</v>
      </c>
      <c r="H2943" s="347" t="str">
        <f>+H2942</f>
        <v>Previsión P.Pedro</v>
      </c>
      <c r="I2943" s="347" t="s">
        <v>1303</v>
      </c>
      <c r="K2943" s="370"/>
      <c r="N2943" s="370"/>
    </row>
    <row r="2944" spans="1:14" s="347" customFormat="1" x14ac:dyDescent="0.25">
      <c r="A2944" s="369"/>
      <c r="E2944" s="396"/>
      <c r="F2944" s="396"/>
      <c r="G2944" s="396"/>
      <c r="K2944" s="370"/>
      <c r="N2944" s="370"/>
    </row>
    <row r="2945" spans="1:14" s="347" customFormat="1" x14ac:dyDescent="0.25">
      <c r="A2945" s="369">
        <v>44351</v>
      </c>
      <c r="B2945" s="340">
        <f>+MONTH(A2945)</f>
        <v>6</v>
      </c>
      <c r="C2945" s="347">
        <v>4223</v>
      </c>
      <c r="D2945" s="340" t="str">
        <f>VLOOKUP(C2945,Plan!A$1:B$65542,2,0)</f>
        <v xml:space="preserve">         Comunicaciones</v>
      </c>
      <c r="E2945" s="341">
        <f>+F2945-G2945</f>
        <v>129491</v>
      </c>
      <c r="F2945" s="396">
        <v>129491</v>
      </c>
      <c r="G2945" s="396">
        <v>0</v>
      </c>
      <c r="H2945" s="347" t="s">
        <v>1567</v>
      </c>
      <c r="I2945" s="347" t="s">
        <v>1303</v>
      </c>
      <c r="K2945" s="370"/>
      <c r="N2945" s="370"/>
    </row>
    <row r="2946" spans="1:14" s="347" customFormat="1" x14ac:dyDescent="0.25">
      <c r="A2946" s="369">
        <f>+A2945</f>
        <v>44351</v>
      </c>
      <c r="B2946" s="347">
        <f>+B2945</f>
        <v>6</v>
      </c>
      <c r="C2946" s="347">
        <v>110</v>
      </c>
      <c r="D2946" s="340" t="str">
        <f>VLOOKUP(C2946,Plan!A$1:B$65542,2,0)</f>
        <v>Disponible Administración</v>
      </c>
      <c r="E2946" s="396">
        <f>-G2946</f>
        <v>-129491</v>
      </c>
      <c r="F2946" s="396">
        <v>0</v>
      </c>
      <c r="G2946" s="396">
        <f>+F2945</f>
        <v>129491</v>
      </c>
      <c r="H2946" s="347" t="str">
        <f>+H2945</f>
        <v>Renovacion Zoom</v>
      </c>
      <c r="I2946" s="347" t="s">
        <v>1303</v>
      </c>
      <c r="K2946" s="370"/>
      <c r="N2946" s="370"/>
    </row>
    <row r="2947" spans="1:14" s="347" customFormat="1" x14ac:dyDescent="0.25">
      <c r="A2947" s="369"/>
      <c r="E2947" s="396"/>
      <c r="F2947" s="396"/>
      <c r="G2947" s="396"/>
      <c r="K2947" s="370"/>
      <c r="N2947" s="370"/>
    </row>
    <row r="2948" spans="1:14" s="347" customFormat="1" x14ac:dyDescent="0.25">
      <c r="A2948" s="369">
        <v>44351</v>
      </c>
      <c r="B2948" s="340">
        <f>+MONTH(A2948)</f>
        <v>6</v>
      </c>
      <c r="C2948" s="347">
        <v>110</v>
      </c>
      <c r="D2948" s="340" t="str">
        <f>VLOOKUP(C2948,Plan!A$1:B$65542,2,0)</f>
        <v>Disponible Administración</v>
      </c>
      <c r="E2948" s="341">
        <f>+F2948-G2948</f>
        <v>50000</v>
      </c>
      <c r="F2948" s="396">
        <v>50000</v>
      </c>
      <c r="G2948" s="396">
        <v>0</v>
      </c>
      <c r="H2948" s="347" t="s">
        <v>1436</v>
      </c>
      <c r="I2948" s="347" t="s">
        <v>1303</v>
      </c>
      <c r="K2948" s="370"/>
      <c r="N2948" s="370"/>
    </row>
    <row r="2949" spans="1:14" s="347" customFormat="1" x14ac:dyDescent="0.25">
      <c r="A2949" s="369">
        <f>+A2948</f>
        <v>44351</v>
      </c>
      <c r="B2949" s="347">
        <f>+B2948</f>
        <v>6</v>
      </c>
      <c r="C2949" s="347">
        <v>3110</v>
      </c>
      <c r="D2949" s="340" t="str">
        <f>VLOOKUP(C2949,Plan!A$1:B$65542,2,0)</f>
        <v>Colectas Normales</v>
      </c>
      <c r="E2949" s="396">
        <f>-G2949</f>
        <v>-50000</v>
      </c>
      <c r="F2949" s="396">
        <v>0</v>
      </c>
      <c r="G2949" s="396">
        <f>+F2948</f>
        <v>50000</v>
      </c>
      <c r="H2949" s="347" t="str">
        <f>+H2948</f>
        <v>Colecta Ignacio Ureta Larenas</v>
      </c>
      <c r="I2949" s="347" t="s">
        <v>1303</v>
      </c>
      <c r="K2949" s="370"/>
      <c r="N2949" s="370"/>
    </row>
    <row r="2950" spans="1:14" s="347" customFormat="1" x14ac:dyDescent="0.25">
      <c r="A2950" s="369"/>
      <c r="E2950" s="396"/>
      <c r="F2950" s="396"/>
      <c r="G2950" s="396"/>
      <c r="K2950" s="370"/>
      <c r="N2950" s="370"/>
    </row>
    <row r="2951" spans="1:14" s="347" customFormat="1" x14ac:dyDescent="0.25">
      <c r="A2951" s="369">
        <v>44351</v>
      </c>
      <c r="B2951" s="340">
        <f>+MONTH(A2951)</f>
        <v>6</v>
      </c>
      <c r="C2951" s="347">
        <v>110</v>
      </c>
      <c r="D2951" s="340" t="str">
        <f>VLOOKUP(C2951,Plan!A$1:B$65542,2,0)</f>
        <v>Disponible Administración</v>
      </c>
      <c r="E2951" s="341">
        <f>+F2951-G2951</f>
        <v>30000</v>
      </c>
      <c r="F2951" s="396">
        <v>30000</v>
      </c>
      <c r="G2951" s="396">
        <v>0</v>
      </c>
      <c r="H2951" s="347" t="s">
        <v>1437</v>
      </c>
      <c r="I2951" s="347" t="s">
        <v>1303</v>
      </c>
      <c r="K2951" s="370"/>
      <c r="N2951" s="370"/>
    </row>
    <row r="2952" spans="1:14" s="347" customFormat="1" x14ac:dyDescent="0.25">
      <c r="A2952" s="369">
        <f>+A2951</f>
        <v>44351</v>
      </c>
      <c r="B2952" s="347">
        <f>+B2951</f>
        <v>6</v>
      </c>
      <c r="C2952" s="347">
        <v>3450</v>
      </c>
      <c r="D2952" s="340" t="str">
        <f>VLOOKUP(C2952,Plan!A$1:B$65542,2,0)</f>
        <v>Pastoral Social</v>
      </c>
      <c r="E2952" s="396">
        <f>-G2952</f>
        <v>-30000</v>
      </c>
      <c r="F2952" s="396">
        <v>0</v>
      </c>
      <c r="G2952" s="396">
        <f>+F2951</f>
        <v>30000</v>
      </c>
      <c r="H2952" s="347" t="str">
        <f>+H2951</f>
        <v>Canastas Ignacio Ureta Larenas</v>
      </c>
      <c r="I2952" s="347" t="s">
        <v>1303</v>
      </c>
      <c r="K2952" s="370"/>
      <c r="N2952" s="370"/>
    </row>
    <row r="2953" spans="1:14" s="347" customFormat="1" x14ac:dyDescent="0.25">
      <c r="A2953" s="369"/>
      <c r="E2953" s="396"/>
      <c r="F2953" s="396"/>
      <c r="G2953" s="396"/>
      <c r="K2953" s="370"/>
      <c r="N2953" s="370"/>
    </row>
    <row r="2954" spans="1:14" s="347" customFormat="1" x14ac:dyDescent="0.25">
      <c r="A2954" s="369">
        <v>44351</v>
      </c>
      <c r="B2954" s="340">
        <f>+MONTH(A2954)</f>
        <v>6</v>
      </c>
      <c r="C2954" s="347">
        <v>110</v>
      </c>
      <c r="D2954" s="340" t="str">
        <f>VLOOKUP(C2954,Plan!A$1:B$65542,2,0)</f>
        <v>Disponible Administración</v>
      </c>
      <c r="E2954" s="341">
        <f>+F2954-G2954</f>
        <v>50000</v>
      </c>
      <c r="F2954" s="396">
        <v>50000</v>
      </c>
      <c r="G2954" s="396">
        <v>0</v>
      </c>
      <c r="H2954" s="347" t="s">
        <v>1568</v>
      </c>
      <c r="I2954" s="347" t="s">
        <v>1303</v>
      </c>
      <c r="K2954" s="370"/>
      <c r="N2954" s="370"/>
    </row>
    <row r="2955" spans="1:14" s="347" customFormat="1" x14ac:dyDescent="0.25">
      <c r="A2955" s="369">
        <f>+A2954</f>
        <v>44351</v>
      </c>
      <c r="B2955" s="347">
        <f>+B2954</f>
        <v>6</v>
      </c>
      <c r="C2955" s="347">
        <v>215</v>
      </c>
      <c r="D2955" s="340" t="str">
        <f>VLOOKUP(C2955,Plan!A$1:B$65542,2,0)</f>
        <v>Cuenta por Pagar a Cali</v>
      </c>
      <c r="E2955" s="396">
        <f>-G2955</f>
        <v>-50000</v>
      </c>
      <c r="F2955" s="396">
        <v>0</v>
      </c>
      <c r="G2955" s="396">
        <f>+F2954</f>
        <v>50000</v>
      </c>
      <c r="H2955" s="347" t="str">
        <f>+H2954</f>
        <v>Hilda Dougnac Rodriguez / Azul</v>
      </c>
      <c r="I2955" s="347" t="s">
        <v>1303</v>
      </c>
      <c r="K2955" s="370"/>
      <c r="N2955" s="370"/>
    </row>
    <row r="2956" spans="1:14" s="347" customFormat="1" x14ac:dyDescent="0.25">
      <c r="A2956" s="369"/>
      <c r="E2956" s="396"/>
      <c r="F2956" s="396"/>
      <c r="G2956" s="396"/>
      <c r="K2956" s="370"/>
      <c r="N2956" s="370"/>
    </row>
    <row r="2957" spans="1:14" s="347" customFormat="1" x14ac:dyDescent="0.25">
      <c r="A2957" s="369">
        <v>44351</v>
      </c>
      <c r="B2957" s="340">
        <f>+MONTH(A2957)</f>
        <v>6</v>
      </c>
      <c r="C2957" s="347">
        <v>110</v>
      </c>
      <c r="D2957" s="340" t="str">
        <f>VLOOKUP(C2957,Plan!A$1:B$65542,2,0)</f>
        <v>Disponible Administración</v>
      </c>
      <c r="E2957" s="341">
        <f>+F2957-G2957</f>
        <v>25000</v>
      </c>
      <c r="F2957" s="396">
        <v>25000</v>
      </c>
      <c r="G2957" s="396">
        <v>0</v>
      </c>
      <c r="H2957" s="347" t="s">
        <v>714</v>
      </c>
      <c r="I2957" s="347" t="s">
        <v>1303</v>
      </c>
      <c r="K2957" s="370"/>
      <c r="N2957" s="370"/>
    </row>
    <row r="2958" spans="1:14" s="347" customFormat="1" x14ac:dyDescent="0.25">
      <c r="A2958" s="369">
        <f>+A2957</f>
        <v>44351</v>
      </c>
      <c r="B2958" s="347">
        <f>+B2957</f>
        <v>6</v>
      </c>
      <c r="C2958" s="347">
        <v>3360</v>
      </c>
      <c r="D2958" s="340" t="str">
        <f>VLOOKUP(C2958,Plan!A$1:B$65542,2,0)</f>
        <v>Otros</v>
      </c>
      <c r="E2958" s="396">
        <f>-G2958</f>
        <v>-25000</v>
      </c>
      <c r="F2958" s="396">
        <v>0</v>
      </c>
      <c r="G2958" s="396">
        <f>+F2957</f>
        <v>25000</v>
      </c>
      <c r="H2958" s="347" t="str">
        <f>+H2957</f>
        <v>Curso Biblia</v>
      </c>
      <c r="I2958" s="347" t="s">
        <v>1303</v>
      </c>
      <c r="K2958" s="370"/>
      <c r="N2958" s="370"/>
    </row>
    <row r="2959" spans="1:14" s="347" customFormat="1" x14ac:dyDescent="0.25">
      <c r="A2959" s="369"/>
      <c r="E2959" s="396"/>
      <c r="F2959" s="396"/>
      <c r="G2959" s="396"/>
      <c r="K2959" s="370"/>
      <c r="N2959" s="370"/>
    </row>
    <row r="2960" spans="1:14" s="347" customFormat="1" x14ac:dyDescent="0.25">
      <c r="A2960" s="369">
        <v>44351</v>
      </c>
      <c r="B2960" s="340">
        <f>+MONTH(A2960)</f>
        <v>6</v>
      </c>
      <c r="C2960" s="347">
        <v>110</v>
      </c>
      <c r="D2960" s="340" t="str">
        <f>VLOOKUP(C2960,Plan!A$1:B$65542,2,0)</f>
        <v>Disponible Administración</v>
      </c>
      <c r="E2960" s="341">
        <f>+F2960-G2960</f>
        <v>25000</v>
      </c>
      <c r="F2960" s="396">
        <v>25000</v>
      </c>
      <c r="G2960" s="396">
        <v>0</v>
      </c>
      <c r="H2960" s="347" t="s">
        <v>1449</v>
      </c>
      <c r="I2960" s="347" t="s">
        <v>1303</v>
      </c>
      <c r="K2960" s="370"/>
      <c r="N2960" s="370"/>
    </row>
    <row r="2961" spans="1:14" s="347" customFormat="1" x14ac:dyDescent="0.25">
      <c r="A2961" s="369">
        <f>+A2960</f>
        <v>44351</v>
      </c>
      <c r="B2961" s="347">
        <f>+B2960</f>
        <v>6</v>
      </c>
      <c r="C2961" s="347">
        <v>3360</v>
      </c>
      <c r="D2961" s="340" t="str">
        <f>VLOOKUP(C2961,Plan!A$1:B$65542,2,0)</f>
        <v>Otros</v>
      </c>
      <c r="E2961" s="396">
        <f>-G2961</f>
        <v>-25000</v>
      </c>
      <c r="F2961" s="396">
        <v>0</v>
      </c>
      <c r="G2961" s="396">
        <f>+F2960</f>
        <v>25000</v>
      </c>
      <c r="H2961" s="347" t="str">
        <f>+H2960</f>
        <v>Curso Sofia Vives Ekdahl</v>
      </c>
      <c r="I2961" s="347" t="s">
        <v>1303</v>
      </c>
      <c r="K2961" s="370"/>
      <c r="N2961" s="370"/>
    </row>
    <row r="2962" spans="1:14" s="347" customFormat="1" x14ac:dyDescent="0.25">
      <c r="A2962" s="369"/>
      <c r="E2962" s="396"/>
      <c r="F2962" s="396"/>
      <c r="G2962" s="396"/>
      <c r="K2962" s="370"/>
      <c r="N2962" s="370"/>
    </row>
    <row r="2963" spans="1:14" s="347" customFormat="1" x14ac:dyDescent="0.25">
      <c r="A2963" s="369">
        <v>44351</v>
      </c>
      <c r="B2963" s="340">
        <f>+MONTH(A2963)</f>
        <v>6</v>
      </c>
      <c r="C2963" s="347">
        <v>110</v>
      </c>
      <c r="D2963" s="340" t="str">
        <f>VLOOKUP(C2963,Plan!A$1:B$65542,2,0)</f>
        <v>Disponible Administración</v>
      </c>
      <c r="E2963" s="341">
        <f>+F2963-G2963</f>
        <v>20000</v>
      </c>
      <c r="F2963" s="396">
        <v>20000</v>
      </c>
      <c r="G2963" s="396">
        <v>0</v>
      </c>
      <c r="H2963" s="347" t="s">
        <v>913</v>
      </c>
      <c r="I2963" s="347" t="s">
        <v>1303</v>
      </c>
      <c r="K2963" s="370"/>
      <c r="N2963" s="370"/>
    </row>
    <row r="2964" spans="1:14" s="347" customFormat="1" x14ac:dyDescent="0.25">
      <c r="A2964" s="369">
        <f>+A2963</f>
        <v>44351</v>
      </c>
      <c r="B2964" s="347">
        <f>+B2963</f>
        <v>6</v>
      </c>
      <c r="C2964" s="347">
        <v>3110</v>
      </c>
      <c r="D2964" s="340" t="str">
        <f>VLOOKUP(C2964,Plan!A$1:B$65542,2,0)</f>
        <v>Colectas Normales</v>
      </c>
      <c r="E2964" s="396">
        <f>-G2964</f>
        <v>-20000</v>
      </c>
      <c r="F2964" s="396">
        <v>0</v>
      </c>
      <c r="G2964" s="396">
        <f>+F2963</f>
        <v>20000</v>
      </c>
      <c r="H2964" s="347" t="str">
        <f>+H2963</f>
        <v>Colecta Sofia Vives Ekdahl</v>
      </c>
      <c r="I2964" s="347" t="s">
        <v>1303</v>
      </c>
      <c r="K2964" s="370"/>
      <c r="N2964" s="370"/>
    </row>
    <row r="2965" spans="1:14" s="347" customFormat="1" x14ac:dyDescent="0.25">
      <c r="A2965" s="369"/>
      <c r="E2965" s="396"/>
      <c r="F2965" s="396"/>
      <c r="G2965" s="396"/>
      <c r="K2965" s="370"/>
      <c r="N2965" s="370"/>
    </row>
    <row r="2966" spans="1:14" s="347" customFormat="1" x14ac:dyDescent="0.25">
      <c r="A2966" s="369">
        <v>44351</v>
      </c>
      <c r="B2966" s="340">
        <f>+MONTH(A2966)</f>
        <v>6</v>
      </c>
      <c r="C2966" s="347">
        <v>110</v>
      </c>
      <c r="D2966" s="340" t="str">
        <f>VLOOKUP(C2966,Plan!A$1:B$65542,2,0)</f>
        <v>Disponible Administración</v>
      </c>
      <c r="E2966" s="341">
        <f>+F2966-G2966</f>
        <v>27000</v>
      </c>
      <c r="F2966" s="396">
        <v>27000</v>
      </c>
      <c r="G2966" s="396">
        <v>0</v>
      </c>
      <c r="H2966" s="347" t="s">
        <v>1410</v>
      </c>
      <c r="I2966" s="347" t="s">
        <v>1303</v>
      </c>
      <c r="K2966" s="370"/>
      <c r="N2966" s="370"/>
    </row>
    <row r="2967" spans="1:14" s="347" customFormat="1" x14ac:dyDescent="0.25">
      <c r="A2967" s="369">
        <f>+A2966</f>
        <v>44351</v>
      </c>
      <c r="B2967" s="347">
        <f>+B2966</f>
        <v>6</v>
      </c>
      <c r="C2967" s="347">
        <v>3110</v>
      </c>
      <c r="D2967" s="340" t="str">
        <f>VLOOKUP(C2967,Plan!A$1:B$65542,2,0)</f>
        <v>Colectas Normales</v>
      </c>
      <c r="E2967" s="396">
        <f>-G2967</f>
        <v>-27000</v>
      </c>
      <c r="F2967" s="396">
        <v>0</v>
      </c>
      <c r="G2967" s="396">
        <f>+F2966</f>
        <v>27000</v>
      </c>
      <c r="H2967" s="347" t="str">
        <f>+H2966</f>
        <v>Colecta Col. Cordillera</v>
      </c>
      <c r="I2967" s="347" t="s">
        <v>1303</v>
      </c>
      <c r="K2967" s="370"/>
      <c r="N2967" s="370"/>
    </row>
    <row r="2968" spans="1:14" s="347" customFormat="1" x14ac:dyDescent="0.25">
      <c r="A2968" s="369"/>
      <c r="E2968" s="396"/>
      <c r="F2968" s="396"/>
      <c r="G2968" s="396"/>
      <c r="K2968" s="370"/>
      <c r="N2968" s="370"/>
    </row>
    <row r="2969" spans="1:14" s="347" customFormat="1" x14ac:dyDescent="0.25">
      <c r="A2969" s="369">
        <v>44351</v>
      </c>
      <c r="B2969" s="340">
        <f>+MONTH(A2969)</f>
        <v>6</v>
      </c>
      <c r="C2969" s="347">
        <v>4860</v>
      </c>
      <c r="D2969" s="340" t="str">
        <f>VLOOKUP(C2969,Plan!A$1:B$65542,2,0)</f>
        <v>Otros</v>
      </c>
      <c r="E2969" s="341">
        <f>+F2969-G2969</f>
        <v>2819</v>
      </c>
      <c r="F2969" s="396">
        <v>2819</v>
      </c>
      <c r="G2969" s="396">
        <v>0</v>
      </c>
      <c r="H2969" s="347" t="s">
        <v>1478</v>
      </c>
      <c r="I2969" s="347" t="s">
        <v>1303</v>
      </c>
      <c r="K2969" s="370"/>
      <c r="N2969" s="370"/>
    </row>
    <row r="2970" spans="1:14" s="347" customFormat="1" x14ac:dyDescent="0.25">
      <c r="A2970" s="369">
        <f>+A2969</f>
        <v>44351</v>
      </c>
      <c r="B2970" s="347">
        <f>+B2969</f>
        <v>6</v>
      </c>
      <c r="C2970" s="347">
        <v>110</v>
      </c>
      <c r="D2970" s="340" t="str">
        <f>VLOOKUP(C2970,Plan!A$1:B$65542,2,0)</f>
        <v>Disponible Administración</v>
      </c>
      <c r="E2970" s="396">
        <f>-G2970</f>
        <v>-2819</v>
      </c>
      <c r="F2970" s="396">
        <v>0</v>
      </c>
      <c r="G2970" s="396">
        <f>+F2969</f>
        <v>2819</v>
      </c>
      <c r="H2970" s="347" t="str">
        <f>+H2969</f>
        <v>Com. Bco. Chile</v>
      </c>
      <c r="I2970" s="347" t="s">
        <v>1303</v>
      </c>
      <c r="K2970" s="370"/>
      <c r="N2970" s="370"/>
    </row>
    <row r="2971" spans="1:14" s="347" customFormat="1" x14ac:dyDescent="0.25">
      <c r="A2971" s="369"/>
      <c r="E2971" s="396"/>
      <c r="F2971" s="396"/>
      <c r="G2971" s="396"/>
      <c r="K2971" s="370"/>
      <c r="N2971" s="370"/>
    </row>
    <row r="2972" spans="1:14" s="347" customFormat="1" x14ac:dyDescent="0.25">
      <c r="A2972" s="369">
        <v>44351</v>
      </c>
      <c r="B2972" s="340">
        <f>+MONTH(A2972)</f>
        <v>6</v>
      </c>
      <c r="C2972" s="347">
        <v>4860</v>
      </c>
      <c r="D2972" s="340" t="str">
        <f>VLOOKUP(C2972,Plan!A$1:B$65542,2,0)</f>
        <v>Otros</v>
      </c>
      <c r="E2972" s="341">
        <f>+F2972-G2972</f>
        <v>1410</v>
      </c>
      <c r="F2972" s="396">
        <v>1410</v>
      </c>
      <c r="G2972" s="396">
        <v>0</v>
      </c>
      <c r="H2972" s="347" t="s">
        <v>1478</v>
      </c>
      <c r="I2972" s="347" t="s">
        <v>1303</v>
      </c>
      <c r="K2972" s="370"/>
      <c r="N2972" s="370"/>
    </row>
    <row r="2973" spans="1:14" s="347" customFormat="1" x14ac:dyDescent="0.25">
      <c r="A2973" s="369">
        <f>+A2972</f>
        <v>44351</v>
      </c>
      <c r="B2973" s="347">
        <f>+B2972</f>
        <v>6</v>
      </c>
      <c r="C2973" s="347">
        <v>110</v>
      </c>
      <c r="D2973" s="340" t="str">
        <f>VLOOKUP(C2973,Plan!A$1:B$65542,2,0)</f>
        <v>Disponible Administración</v>
      </c>
      <c r="E2973" s="396">
        <f>-G2973</f>
        <v>-1410</v>
      </c>
      <c r="F2973" s="396">
        <v>0</v>
      </c>
      <c r="G2973" s="396">
        <f>+F2972</f>
        <v>1410</v>
      </c>
      <c r="H2973" s="347" t="str">
        <f>+H2972</f>
        <v>Com. Bco. Chile</v>
      </c>
      <c r="I2973" s="347" t="s">
        <v>1303</v>
      </c>
      <c r="K2973" s="370"/>
      <c r="N2973" s="370"/>
    </row>
    <row r="2974" spans="1:14" s="347" customFormat="1" x14ac:dyDescent="0.25">
      <c r="A2974" s="369"/>
      <c r="E2974" s="396"/>
      <c r="F2974" s="396"/>
      <c r="G2974" s="396"/>
      <c r="K2974" s="370"/>
      <c r="N2974" s="370"/>
    </row>
    <row r="2975" spans="1:14" s="347" customFormat="1" x14ac:dyDescent="0.25">
      <c r="A2975" s="369">
        <v>44354</v>
      </c>
      <c r="B2975" s="340">
        <f>+MONTH(A2975)</f>
        <v>6</v>
      </c>
      <c r="C2975" s="347">
        <v>110</v>
      </c>
      <c r="D2975" s="340" t="str">
        <f>VLOOKUP(C2975,Plan!A$1:B$65542,2,0)</f>
        <v>Disponible Administración</v>
      </c>
      <c r="E2975" s="341">
        <f>+F2975-G2975</f>
        <v>20000</v>
      </c>
      <c r="F2975" s="396">
        <v>20000</v>
      </c>
      <c r="G2975" s="396">
        <v>0</v>
      </c>
      <c r="H2975" s="347" t="s">
        <v>1354</v>
      </c>
      <c r="I2975" s="347" t="s">
        <v>1303</v>
      </c>
      <c r="K2975" s="370"/>
      <c r="N2975" s="370"/>
    </row>
    <row r="2976" spans="1:14" s="347" customFormat="1" x14ac:dyDescent="0.25">
      <c r="A2976" s="369">
        <f>+A2975</f>
        <v>44354</v>
      </c>
      <c r="B2976" s="347">
        <f>+B2975</f>
        <v>6</v>
      </c>
      <c r="C2976" s="347">
        <v>3110</v>
      </c>
      <c r="D2976" s="340" t="str">
        <f>VLOOKUP(C2976,Plan!A$1:B$65542,2,0)</f>
        <v>Colectas Normales</v>
      </c>
      <c r="E2976" s="396">
        <f>-G2976</f>
        <v>-20000</v>
      </c>
      <c r="F2976" s="396">
        <v>0</v>
      </c>
      <c r="G2976" s="396">
        <f>+F2975</f>
        <v>20000</v>
      </c>
      <c r="H2976" s="347" t="str">
        <f>+H2975</f>
        <v>Colecta Ernesto Hevia</v>
      </c>
      <c r="I2976" s="347" t="s">
        <v>1303</v>
      </c>
      <c r="K2976" s="370"/>
      <c r="N2976" s="370"/>
    </row>
    <row r="2977" spans="1:14" s="347" customFormat="1" x14ac:dyDescent="0.25">
      <c r="A2977" s="369"/>
      <c r="E2977" s="396"/>
      <c r="F2977" s="396"/>
      <c r="G2977" s="396"/>
      <c r="K2977" s="370"/>
      <c r="N2977" s="370"/>
    </row>
    <row r="2978" spans="1:14" s="347" customFormat="1" x14ac:dyDescent="0.25">
      <c r="A2978" s="369">
        <v>44354</v>
      </c>
      <c r="B2978" s="340">
        <f>+MONTH(A2978)</f>
        <v>6</v>
      </c>
      <c r="C2978" s="347">
        <v>110</v>
      </c>
      <c r="D2978" s="340" t="str">
        <f>VLOOKUP(C2978,Plan!A$1:B$65542,2,0)</f>
        <v>Disponible Administración</v>
      </c>
      <c r="E2978" s="341">
        <f>+F2978-G2978</f>
        <v>2000</v>
      </c>
      <c r="F2978" s="396">
        <v>2000</v>
      </c>
      <c r="G2978" s="396">
        <v>0</v>
      </c>
      <c r="H2978" s="347" t="s">
        <v>911</v>
      </c>
      <c r="I2978" s="347" t="s">
        <v>1303</v>
      </c>
      <c r="K2978" s="370"/>
      <c r="N2978" s="370"/>
    </row>
    <row r="2979" spans="1:14" s="347" customFormat="1" x14ac:dyDescent="0.25">
      <c r="A2979" s="369">
        <f>+A2978</f>
        <v>44354</v>
      </c>
      <c r="B2979" s="347">
        <f>+B2978</f>
        <v>6</v>
      </c>
      <c r="C2979" s="347">
        <v>3110</v>
      </c>
      <c r="D2979" s="340" t="str">
        <f>VLOOKUP(C2979,Plan!A$1:B$65542,2,0)</f>
        <v>Colectas Normales</v>
      </c>
      <c r="E2979" s="396">
        <f>-G2979</f>
        <v>-2000</v>
      </c>
      <c r="F2979" s="396">
        <v>0</v>
      </c>
      <c r="G2979" s="396">
        <f>+F2978</f>
        <v>2000</v>
      </c>
      <c r="H2979" s="347" t="str">
        <f>+H2978</f>
        <v>Colecta Andres Vial Infante</v>
      </c>
      <c r="I2979" s="347" t="s">
        <v>1303</v>
      </c>
      <c r="K2979" s="370"/>
      <c r="N2979" s="370"/>
    </row>
    <row r="2980" spans="1:14" s="347" customFormat="1" x14ac:dyDescent="0.25">
      <c r="A2980" s="369"/>
      <c r="E2980" s="396"/>
      <c r="F2980" s="396"/>
      <c r="G2980" s="396"/>
      <c r="K2980" s="370"/>
      <c r="N2980" s="370"/>
    </row>
    <row r="2981" spans="1:14" s="347" customFormat="1" x14ac:dyDescent="0.25">
      <c r="A2981" s="369">
        <v>44354</v>
      </c>
      <c r="B2981" s="340">
        <f>+MONTH(A2981)</f>
        <v>6</v>
      </c>
      <c r="C2981" s="347">
        <v>110</v>
      </c>
      <c r="D2981" s="340" t="str">
        <f>VLOOKUP(C2981,Plan!A$1:B$65542,2,0)</f>
        <v>Disponible Administración</v>
      </c>
      <c r="E2981" s="341">
        <f>+F2981-G2981</f>
        <v>40000</v>
      </c>
      <c r="F2981" s="396">
        <v>40000</v>
      </c>
      <c r="G2981" s="396">
        <v>0</v>
      </c>
      <c r="H2981" s="347" t="s">
        <v>920</v>
      </c>
      <c r="I2981" s="347" t="s">
        <v>1303</v>
      </c>
      <c r="K2981" s="370"/>
      <c r="N2981" s="370"/>
    </row>
    <row r="2982" spans="1:14" s="347" customFormat="1" x14ac:dyDescent="0.25">
      <c r="A2982" s="369">
        <f>+A2981</f>
        <v>44354</v>
      </c>
      <c r="B2982" s="347">
        <f>+B2981</f>
        <v>6</v>
      </c>
      <c r="C2982" s="347">
        <v>3110</v>
      </c>
      <c r="D2982" s="340" t="str">
        <f>VLOOKUP(C2982,Plan!A$1:B$65542,2,0)</f>
        <v>Colectas Normales</v>
      </c>
      <c r="E2982" s="396">
        <f>-G2982</f>
        <v>-40000</v>
      </c>
      <c r="F2982" s="396">
        <v>0</v>
      </c>
      <c r="G2982" s="396">
        <f>+F2981</f>
        <v>40000</v>
      </c>
      <c r="H2982" s="347" t="str">
        <f>+H2981</f>
        <v>Colecta Maria Teresa Gil Gomez</v>
      </c>
      <c r="I2982" s="347" t="s">
        <v>1303</v>
      </c>
      <c r="K2982" s="370"/>
      <c r="N2982" s="370"/>
    </row>
    <row r="2983" spans="1:14" s="347" customFormat="1" x14ac:dyDescent="0.25">
      <c r="A2983" s="369"/>
      <c r="E2983" s="396"/>
      <c r="F2983" s="396"/>
      <c r="G2983" s="396"/>
      <c r="K2983" s="370"/>
      <c r="N2983" s="370"/>
    </row>
    <row r="2984" spans="1:14" s="347" customFormat="1" x14ac:dyDescent="0.25">
      <c r="A2984" s="369">
        <v>44354</v>
      </c>
      <c r="B2984" s="340">
        <f>+MONTH(A2984)</f>
        <v>6</v>
      </c>
      <c r="C2984" s="347">
        <v>110</v>
      </c>
      <c r="D2984" s="340" t="str">
        <f>VLOOKUP(C2984,Plan!A$1:B$65542,2,0)</f>
        <v>Disponible Administración</v>
      </c>
      <c r="E2984" s="341">
        <f>+F2984-G2984</f>
        <v>40000</v>
      </c>
      <c r="F2984" s="396">
        <v>40000</v>
      </c>
      <c r="G2984" s="396">
        <v>0</v>
      </c>
      <c r="H2984" s="347" t="s">
        <v>912</v>
      </c>
      <c r="I2984" s="347" t="s">
        <v>1303</v>
      </c>
      <c r="K2984" s="370"/>
      <c r="N2984" s="370"/>
    </row>
    <row r="2985" spans="1:14" s="347" customFormat="1" x14ac:dyDescent="0.25">
      <c r="A2985" s="369">
        <f>+A2984</f>
        <v>44354</v>
      </c>
      <c r="B2985" s="347">
        <f>+B2984</f>
        <v>6</v>
      </c>
      <c r="C2985" s="347">
        <v>3110</v>
      </c>
      <c r="D2985" s="340" t="str">
        <f>VLOOKUP(C2985,Plan!A$1:B$65542,2,0)</f>
        <v>Colectas Normales</v>
      </c>
      <c r="E2985" s="396">
        <f>-G2985</f>
        <v>-40000</v>
      </c>
      <c r="F2985" s="396">
        <v>0</v>
      </c>
      <c r="G2985" s="396">
        <f>+F2984</f>
        <v>40000</v>
      </c>
      <c r="H2985" s="347" t="str">
        <f>+H2984</f>
        <v>Colecta Patricia Andrea Lorca Koch</v>
      </c>
      <c r="I2985" s="347" t="s">
        <v>1303</v>
      </c>
      <c r="K2985" s="370"/>
      <c r="N2985" s="370"/>
    </row>
    <row r="2986" spans="1:14" s="347" customFormat="1" x14ac:dyDescent="0.25">
      <c r="A2986" s="369"/>
      <c r="E2986" s="396"/>
      <c r="F2986" s="396"/>
      <c r="G2986" s="396"/>
      <c r="K2986" s="370"/>
      <c r="N2986" s="370"/>
    </row>
    <row r="2987" spans="1:14" s="347" customFormat="1" x14ac:dyDescent="0.25">
      <c r="A2987" s="369">
        <v>44354</v>
      </c>
      <c r="B2987" s="340">
        <f>+MONTH(A2987)</f>
        <v>6</v>
      </c>
      <c r="C2987" s="347">
        <v>110</v>
      </c>
      <c r="D2987" s="340" t="str">
        <f>VLOOKUP(C2987,Plan!A$1:B$65542,2,0)</f>
        <v>Disponible Administración</v>
      </c>
      <c r="E2987" s="341">
        <f>+F2987-G2987</f>
        <v>50000</v>
      </c>
      <c r="F2987" s="396">
        <v>50000</v>
      </c>
      <c r="G2987" s="396">
        <v>0</v>
      </c>
      <c r="H2987" s="347" t="s">
        <v>894</v>
      </c>
      <c r="I2987" s="347" t="s">
        <v>1303</v>
      </c>
      <c r="K2987" s="370"/>
      <c r="N2987" s="370"/>
    </row>
    <row r="2988" spans="1:14" s="347" customFormat="1" x14ac:dyDescent="0.25">
      <c r="A2988" s="369">
        <f>+A2987</f>
        <v>44354</v>
      </c>
      <c r="B2988" s="347">
        <f>+B2987</f>
        <v>6</v>
      </c>
      <c r="C2988" s="347">
        <v>3110</v>
      </c>
      <c r="D2988" s="340" t="str">
        <f>VLOOKUP(C2988,Plan!A$1:B$65542,2,0)</f>
        <v>Colectas Normales</v>
      </c>
      <c r="E2988" s="396">
        <f>-G2988</f>
        <v>-50000</v>
      </c>
      <c r="F2988" s="396">
        <v>0</v>
      </c>
      <c r="G2988" s="396">
        <f>+F2987</f>
        <v>50000</v>
      </c>
      <c r="H2988" s="347" t="str">
        <f>+H2987</f>
        <v>Colecta Maria Jose Fernandez Cifuentes</v>
      </c>
      <c r="I2988" s="347" t="s">
        <v>1303</v>
      </c>
      <c r="K2988" s="370"/>
      <c r="N2988" s="370"/>
    </row>
    <row r="2989" spans="1:14" s="347" customFormat="1" x14ac:dyDescent="0.25">
      <c r="A2989" s="369"/>
      <c r="E2989" s="396"/>
      <c r="F2989" s="396"/>
      <c r="G2989" s="396"/>
      <c r="K2989" s="370"/>
      <c r="N2989" s="370"/>
    </row>
    <row r="2990" spans="1:14" s="347" customFormat="1" x14ac:dyDescent="0.25">
      <c r="A2990" s="369">
        <v>44354</v>
      </c>
      <c r="B2990" s="340">
        <f>+MONTH(A2990)</f>
        <v>6</v>
      </c>
      <c r="C2990" s="347">
        <v>110</v>
      </c>
      <c r="D2990" s="340" t="str">
        <f>VLOOKUP(C2990,Plan!A$1:B$65542,2,0)</f>
        <v>Disponible Administración</v>
      </c>
      <c r="E2990" s="341">
        <f>+F2990-G2990</f>
        <v>21000</v>
      </c>
      <c r="F2990" s="396">
        <v>21000</v>
      </c>
      <c r="G2990" s="396">
        <v>0</v>
      </c>
      <c r="H2990" s="347" t="s">
        <v>1569</v>
      </c>
      <c r="I2990" s="347" t="s">
        <v>1303</v>
      </c>
      <c r="K2990" s="370"/>
      <c r="N2990" s="370"/>
    </row>
    <row r="2991" spans="1:14" s="347" customFormat="1" x14ac:dyDescent="0.25">
      <c r="A2991" s="369">
        <f>+A2990</f>
        <v>44354</v>
      </c>
      <c r="B2991" s="347">
        <f>+B2990</f>
        <v>6</v>
      </c>
      <c r="C2991" s="347">
        <v>215</v>
      </c>
      <c r="D2991" s="340" t="str">
        <f>VLOOKUP(C2991,Plan!A$1:B$65542,2,0)</f>
        <v>Cuenta por Pagar a Cali</v>
      </c>
      <c r="E2991" s="396">
        <f>-G2991</f>
        <v>-21000</v>
      </c>
      <c r="F2991" s="396">
        <v>0</v>
      </c>
      <c r="G2991" s="396">
        <f>+F2990</f>
        <v>21000</v>
      </c>
      <c r="H2991" s="347" t="str">
        <f>+H2990</f>
        <v>Maria Cristina Herrera Peralta / 248</v>
      </c>
      <c r="I2991" s="347" t="s">
        <v>1303</v>
      </c>
      <c r="K2991" s="370"/>
      <c r="N2991" s="370"/>
    </row>
    <row r="2992" spans="1:14" s="347" customFormat="1" x14ac:dyDescent="0.25">
      <c r="A2992" s="369"/>
      <c r="E2992" s="396"/>
      <c r="F2992" s="396"/>
      <c r="G2992" s="396"/>
      <c r="K2992" s="370"/>
      <c r="N2992" s="370"/>
    </row>
    <row r="2993" spans="1:14" s="347" customFormat="1" x14ac:dyDescent="0.25">
      <c r="A2993" s="369">
        <v>44354</v>
      </c>
      <c r="B2993" s="340">
        <f>+MONTH(A2993)</f>
        <v>6</v>
      </c>
      <c r="C2993" s="347">
        <v>110</v>
      </c>
      <c r="D2993" s="340" t="str">
        <f>VLOOKUP(C2993,Plan!A$1:B$65542,2,0)</f>
        <v>Disponible Administración</v>
      </c>
      <c r="E2993" s="341">
        <f>+F2993-G2993</f>
        <v>10000</v>
      </c>
      <c r="F2993" s="396">
        <v>10000</v>
      </c>
      <c r="G2993" s="396">
        <v>0</v>
      </c>
      <c r="H2993" s="347" t="s">
        <v>881</v>
      </c>
      <c r="I2993" s="347" t="s">
        <v>1303</v>
      </c>
      <c r="K2993" s="370"/>
      <c r="N2993" s="370"/>
    </row>
    <row r="2994" spans="1:14" s="347" customFormat="1" x14ac:dyDescent="0.25">
      <c r="A2994" s="369">
        <f>+A2993</f>
        <v>44354</v>
      </c>
      <c r="B2994" s="347">
        <f>+B2993</f>
        <v>6</v>
      </c>
      <c r="C2994" s="347">
        <v>3110</v>
      </c>
      <c r="D2994" s="340" t="str">
        <f>VLOOKUP(C2994,Plan!A$1:B$65542,2,0)</f>
        <v>Colectas Normales</v>
      </c>
      <c r="E2994" s="396">
        <f>-G2994</f>
        <v>-10000</v>
      </c>
      <c r="F2994" s="396">
        <v>0</v>
      </c>
      <c r="G2994" s="396">
        <f>+F2993</f>
        <v>10000</v>
      </c>
      <c r="H2994" s="347" t="str">
        <f>+H2993</f>
        <v>Colecta Rafael Marin Jordan</v>
      </c>
      <c r="I2994" s="347" t="s">
        <v>1303</v>
      </c>
      <c r="K2994" s="370"/>
      <c r="N2994" s="370"/>
    </row>
    <row r="2995" spans="1:14" s="347" customFormat="1" x14ac:dyDescent="0.25">
      <c r="A2995" s="369"/>
      <c r="E2995" s="396"/>
      <c r="F2995" s="396"/>
      <c r="G2995" s="396"/>
      <c r="K2995" s="370"/>
      <c r="N2995" s="370"/>
    </row>
    <row r="2996" spans="1:14" s="347" customFormat="1" x14ac:dyDescent="0.25">
      <c r="A2996" s="369">
        <v>44354</v>
      </c>
      <c r="B2996" s="340">
        <f>+MONTH(A2996)</f>
        <v>6</v>
      </c>
      <c r="C2996" s="347">
        <v>110</v>
      </c>
      <c r="D2996" s="340" t="str">
        <f>VLOOKUP(C2996,Plan!A$1:B$65542,2,0)</f>
        <v>Disponible Administración</v>
      </c>
      <c r="E2996" s="341">
        <f>+F2996-G2996</f>
        <v>40000</v>
      </c>
      <c r="F2996" s="396">
        <v>40000</v>
      </c>
      <c r="G2996" s="396">
        <v>0</v>
      </c>
      <c r="H2996" s="347" t="s">
        <v>1570</v>
      </c>
      <c r="I2996" s="347" t="s">
        <v>1303</v>
      </c>
      <c r="K2996" s="370"/>
      <c r="N2996" s="370"/>
    </row>
    <row r="2997" spans="1:14" s="347" customFormat="1" x14ac:dyDescent="0.25">
      <c r="A2997" s="369">
        <f>+A2996</f>
        <v>44354</v>
      </c>
      <c r="B2997" s="347">
        <f>+B2996</f>
        <v>6</v>
      </c>
      <c r="C2997" s="347">
        <v>3450</v>
      </c>
      <c r="D2997" s="340" t="str">
        <f>VLOOKUP(C2997,Plan!A$1:B$65542,2,0)</f>
        <v>Pastoral Social</v>
      </c>
      <c r="E2997" s="396">
        <f>-G2997</f>
        <v>-40000</v>
      </c>
      <c r="F2997" s="396">
        <v>0</v>
      </c>
      <c r="G2997" s="396">
        <f>+F2996</f>
        <v>40000</v>
      </c>
      <c r="H2997" s="347" t="str">
        <f>+H2996</f>
        <v>Canastas Lucia Riesco Valdes</v>
      </c>
      <c r="I2997" s="347" t="s">
        <v>1303</v>
      </c>
      <c r="K2997" s="370"/>
      <c r="N2997" s="370"/>
    </row>
    <row r="2998" spans="1:14" s="347" customFormat="1" x14ac:dyDescent="0.25">
      <c r="A2998" s="369"/>
      <c r="E2998" s="396"/>
      <c r="F2998" s="396"/>
      <c r="G2998" s="396"/>
      <c r="K2998" s="370"/>
      <c r="N2998" s="370"/>
    </row>
    <row r="2999" spans="1:14" s="347" customFormat="1" x14ac:dyDescent="0.25">
      <c r="A2999" s="369">
        <v>44354</v>
      </c>
      <c r="B2999" s="340">
        <f>+MONTH(A2999)</f>
        <v>6</v>
      </c>
      <c r="C2999" s="347">
        <v>110</v>
      </c>
      <c r="D2999" s="340" t="str">
        <f>VLOOKUP(C2999,Plan!A$1:B$65542,2,0)</f>
        <v>Disponible Administración</v>
      </c>
      <c r="E2999" s="341">
        <f>+F2999-G2999</f>
        <v>20000</v>
      </c>
      <c r="F2999" s="396">
        <v>20000</v>
      </c>
      <c r="G2999" s="396">
        <v>0</v>
      </c>
      <c r="H2999" s="347" t="s">
        <v>1159</v>
      </c>
      <c r="I2999" s="347" t="s">
        <v>1303</v>
      </c>
      <c r="K2999" s="370"/>
      <c r="N2999" s="370"/>
    </row>
    <row r="3000" spans="1:14" s="347" customFormat="1" x14ac:dyDescent="0.25">
      <c r="A3000" s="369">
        <f>+A2999</f>
        <v>44354</v>
      </c>
      <c r="B3000" s="347">
        <f>+B2999</f>
        <v>6</v>
      </c>
      <c r="C3000" s="347">
        <v>3110</v>
      </c>
      <c r="D3000" s="340" t="str">
        <f>VLOOKUP(C3000,Plan!A$1:B$65542,2,0)</f>
        <v>Colectas Normales</v>
      </c>
      <c r="E3000" s="396">
        <f>-G3000</f>
        <v>-20000</v>
      </c>
      <c r="F3000" s="396">
        <v>0</v>
      </c>
      <c r="G3000" s="396">
        <f>+F2999</f>
        <v>20000</v>
      </c>
      <c r="H3000" s="347" t="str">
        <f>+H2999</f>
        <v>Colecta Guillermo Turner Olea</v>
      </c>
      <c r="I3000" s="347" t="s">
        <v>1303</v>
      </c>
      <c r="K3000" s="370"/>
      <c r="N3000" s="370"/>
    </row>
    <row r="3001" spans="1:14" s="347" customFormat="1" x14ac:dyDescent="0.25">
      <c r="A3001" s="369"/>
      <c r="E3001" s="396"/>
      <c r="F3001" s="396"/>
      <c r="G3001" s="396"/>
      <c r="K3001" s="370"/>
      <c r="N3001" s="370"/>
    </row>
    <row r="3002" spans="1:14" s="347" customFormat="1" x14ac:dyDescent="0.25">
      <c r="A3002" s="369">
        <v>44354</v>
      </c>
      <c r="B3002" s="340">
        <f>+MONTH(A3002)</f>
        <v>6</v>
      </c>
      <c r="C3002" s="347">
        <v>110</v>
      </c>
      <c r="D3002" s="340" t="str">
        <f>VLOOKUP(C3002,Plan!A$1:B$65542,2,0)</f>
        <v>Disponible Administración</v>
      </c>
      <c r="E3002" s="341">
        <f>+F3002-G3002</f>
        <v>10000</v>
      </c>
      <c r="F3002" s="396">
        <v>10000</v>
      </c>
      <c r="G3002" s="396">
        <v>0</v>
      </c>
      <c r="H3002" s="347" t="s">
        <v>971</v>
      </c>
      <c r="I3002" s="347" t="s">
        <v>1303</v>
      </c>
      <c r="K3002" s="370"/>
      <c r="N3002" s="370"/>
    </row>
    <row r="3003" spans="1:14" s="347" customFormat="1" x14ac:dyDescent="0.25">
      <c r="A3003" s="369">
        <f>+A3002</f>
        <v>44354</v>
      </c>
      <c r="B3003" s="347">
        <f>+B3002</f>
        <v>6</v>
      </c>
      <c r="C3003" s="347">
        <v>3110</v>
      </c>
      <c r="D3003" s="340" t="str">
        <f>VLOOKUP(C3003,Plan!A$1:B$65542,2,0)</f>
        <v>Colectas Normales</v>
      </c>
      <c r="E3003" s="396">
        <f>-G3003</f>
        <v>-10000</v>
      </c>
      <c r="F3003" s="396">
        <v>0</v>
      </c>
      <c r="G3003" s="396">
        <f>+F3002</f>
        <v>10000</v>
      </c>
      <c r="H3003" s="347" t="str">
        <f>+H3002</f>
        <v>Colecta Pablo Irarrazaval Mena</v>
      </c>
      <c r="I3003" s="347" t="s">
        <v>1303</v>
      </c>
      <c r="K3003" s="370"/>
      <c r="N3003" s="370"/>
    </row>
    <row r="3004" spans="1:14" s="347" customFormat="1" x14ac:dyDescent="0.25">
      <c r="A3004" s="369"/>
      <c r="E3004" s="396"/>
      <c r="F3004" s="396"/>
      <c r="G3004" s="396"/>
      <c r="K3004" s="370"/>
      <c r="N3004" s="370"/>
    </row>
    <row r="3005" spans="1:14" s="347" customFormat="1" x14ac:dyDescent="0.25">
      <c r="A3005" s="369">
        <v>44354</v>
      </c>
      <c r="B3005" s="340">
        <f>+MONTH(A3005)</f>
        <v>6</v>
      </c>
      <c r="C3005" s="347">
        <v>110</v>
      </c>
      <c r="D3005" s="340" t="str">
        <f>VLOOKUP(C3005,Plan!A$1:B$65542,2,0)</f>
        <v>Disponible Administración</v>
      </c>
      <c r="E3005" s="341">
        <f>+F3005-G3005</f>
        <v>10000</v>
      </c>
      <c r="F3005" s="396">
        <v>10000</v>
      </c>
      <c r="G3005" s="396">
        <v>0</v>
      </c>
      <c r="H3005" s="347" t="s">
        <v>880</v>
      </c>
      <c r="I3005" s="347" t="s">
        <v>1303</v>
      </c>
      <c r="K3005" s="370"/>
      <c r="N3005" s="370"/>
    </row>
    <row r="3006" spans="1:14" s="347" customFormat="1" x14ac:dyDescent="0.25">
      <c r="A3006" s="369">
        <f>+A3005</f>
        <v>44354</v>
      </c>
      <c r="B3006" s="347">
        <f>+B3005</f>
        <v>6</v>
      </c>
      <c r="C3006" s="347">
        <v>3110</v>
      </c>
      <c r="D3006" s="340" t="str">
        <f>VLOOKUP(C3006,Plan!A$1:B$65542,2,0)</f>
        <v>Colectas Normales</v>
      </c>
      <c r="E3006" s="396">
        <f>-G3006</f>
        <v>-10000</v>
      </c>
      <c r="F3006" s="396">
        <v>0</v>
      </c>
      <c r="G3006" s="396">
        <f>+F3005</f>
        <v>10000</v>
      </c>
      <c r="H3006" s="347" t="str">
        <f>+H3005</f>
        <v>Colecta Sebastian Rios</v>
      </c>
      <c r="I3006" s="347" t="s">
        <v>1303</v>
      </c>
      <c r="K3006" s="370"/>
      <c r="N3006" s="370"/>
    </row>
    <row r="3007" spans="1:14" s="347" customFormat="1" x14ac:dyDescent="0.25">
      <c r="A3007" s="369"/>
      <c r="E3007" s="396"/>
      <c r="F3007" s="396"/>
      <c r="G3007" s="396"/>
      <c r="K3007" s="370"/>
      <c r="N3007" s="370"/>
    </row>
    <row r="3008" spans="1:14" s="347" customFormat="1" x14ac:dyDescent="0.25">
      <c r="A3008" s="369">
        <v>44354</v>
      </c>
      <c r="B3008" s="340">
        <f>+MONTH(A3008)</f>
        <v>6</v>
      </c>
      <c r="C3008" s="347">
        <v>110</v>
      </c>
      <c r="D3008" s="340" t="str">
        <f>VLOOKUP(C3008,Plan!A$1:B$65542,2,0)</f>
        <v>Disponible Administración</v>
      </c>
      <c r="E3008" s="341">
        <f>+F3008-G3008</f>
        <v>10000</v>
      </c>
      <c r="F3008" s="396">
        <v>10000</v>
      </c>
      <c r="G3008" s="396">
        <v>0</v>
      </c>
      <c r="H3008" s="347" t="s">
        <v>1128</v>
      </c>
      <c r="I3008" s="347" t="s">
        <v>1303</v>
      </c>
      <c r="K3008" s="370"/>
      <c r="N3008" s="370"/>
    </row>
    <row r="3009" spans="1:14" s="347" customFormat="1" x14ac:dyDescent="0.25">
      <c r="A3009" s="369">
        <f>+A3008</f>
        <v>44354</v>
      </c>
      <c r="B3009" s="347">
        <f>+B3008</f>
        <v>6</v>
      </c>
      <c r="C3009" s="347">
        <v>3110</v>
      </c>
      <c r="D3009" s="340" t="str">
        <f>VLOOKUP(C3009,Plan!A$1:B$65542,2,0)</f>
        <v>Colectas Normales</v>
      </c>
      <c r="E3009" s="396">
        <f>-G3009</f>
        <v>-10000</v>
      </c>
      <c r="F3009" s="396">
        <v>0</v>
      </c>
      <c r="G3009" s="396">
        <f>+F3008</f>
        <v>10000</v>
      </c>
      <c r="H3009" s="347" t="str">
        <f>+H3008</f>
        <v>Colecta Ximena Suspichiatti</v>
      </c>
      <c r="I3009" s="347" t="s">
        <v>1303</v>
      </c>
      <c r="K3009" s="370"/>
      <c r="N3009" s="370"/>
    </row>
    <row r="3010" spans="1:14" s="347" customFormat="1" x14ac:dyDescent="0.25">
      <c r="A3010" s="369"/>
      <c r="E3010" s="396"/>
      <c r="F3010" s="396"/>
      <c r="G3010" s="396"/>
      <c r="K3010" s="370"/>
      <c r="N3010" s="370"/>
    </row>
    <row r="3011" spans="1:14" s="347" customFormat="1" x14ac:dyDescent="0.25">
      <c r="A3011" s="369">
        <v>44354</v>
      </c>
      <c r="B3011" s="340">
        <f>+MONTH(A3011)</f>
        <v>6</v>
      </c>
      <c r="C3011" s="347">
        <v>110</v>
      </c>
      <c r="D3011" s="340" t="str">
        <f>VLOOKUP(C3011,Plan!A$1:B$65542,2,0)</f>
        <v>Disponible Administración</v>
      </c>
      <c r="E3011" s="341">
        <f>+F3011-G3011</f>
        <v>5000</v>
      </c>
      <c r="F3011" s="396">
        <v>5000</v>
      </c>
      <c r="G3011" s="396">
        <v>0</v>
      </c>
      <c r="H3011" s="347" t="s">
        <v>1108</v>
      </c>
      <c r="I3011" s="347" t="s">
        <v>1303</v>
      </c>
      <c r="K3011" s="370"/>
      <c r="N3011" s="370"/>
    </row>
    <row r="3012" spans="1:14" s="347" customFormat="1" x14ac:dyDescent="0.25">
      <c r="A3012" s="369">
        <f>+A3011</f>
        <v>44354</v>
      </c>
      <c r="B3012" s="347">
        <f>+B3011</f>
        <v>6</v>
      </c>
      <c r="C3012" s="347">
        <v>3110</v>
      </c>
      <c r="D3012" s="340" t="str">
        <f>VLOOKUP(C3012,Plan!A$1:B$65542,2,0)</f>
        <v>Colectas Normales</v>
      </c>
      <c r="E3012" s="396">
        <f>-G3012</f>
        <v>-5000</v>
      </c>
      <c r="F3012" s="396">
        <v>0</v>
      </c>
      <c r="G3012" s="396">
        <f>+F3011</f>
        <v>5000</v>
      </c>
      <c r="H3012" s="347" t="str">
        <f>+H3011</f>
        <v>Colecta Ricardo Fernandez</v>
      </c>
      <c r="I3012" s="347" t="s">
        <v>1303</v>
      </c>
      <c r="K3012" s="370"/>
      <c r="N3012" s="370"/>
    </row>
    <row r="3013" spans="1:14" s="347" customFormat="1" x14ac:dyDescent="0.25">
      <c r="A3013" s="369"/>
      <c r="E3013" s="396"/>
      <c r="F3013" s="396"/>
      <c r="G3013" s="396"/>
      <c r="K3013" s="370"/>
      <c r="N3013" s="370"/>
    </row>
    <row r="3014" spans="1:14" s="347" customFormat="1" x14ac:dyDescent="0.25">
      <c r="A3014" s="369">
        <v>44354</v>
      </c>
      <c r="B3014" s="340">
        <f>+MONTH(A3014)</f>
        <v>6</v>
      </c>
      <c r="C3014" s="347">
        <v>110</v>
      </c>
      <c r="D3014" s="340" t="str">
        <f>VLOOKUP(C3014,Plan!A$1:B$65542,2,0)</f>
        <v>Disponible Administración</v>
      </c>
      <c r="E3014" s="341">
        <f>+F3014-G3014</f>
        <v>20000</v>
      </c>
      <c r="F3014" s="396">
        <v>20000</v>
      </c>
      <c r="G3014" s="396">
        <v>0</v>
      </c>
      <c r="H3014" s="347" t="s">
        <v>1337</v>
      </c>
      <c r="I3014" s="347" t="s">
        <v>1303</v>
      </c>
      <c r="K3014" s="370"/>
      <c r="N3014" s="370"/>
    </row>
    <row r="3015" spans="1:14" s="347" customFormat="1" x14ac:dyDescent="0.25">
      <c r="A3015" s="369">
        <f>+A3014</f>
        <v>44354</v>
      </c>
      <c r="B3015" s="347">
        <f>+B3014</f>
        <v>6</v>
      </c>
      <c r="C3015" s="347">
        <v>3450</v>
      </c>
      <c r="D3015" s="340" t="str">
        <f>VLOOKUP(C3015,Plan!A$1:B$65542,2,0)</f>
        <v>Pastoral Social</v>
      </c>
      <c r="E3015" s="396">
        <f>-G3015</f>
        <v>-20000</v>
      </c>
      <c r="F3015" s="396">
        <v>0</v>
      </c>
      <c r="G3015" s="396">
        <f>+F3014</f>
        <v>20000</v>
      </c>
      <c r="H3015" s="347" t="str">
        <f>+H3014</f>
        <v>Canastas Ricardo Fernandez</v>
      </c>
      <c r="I3015" s="347" t="s">
        <v>1303</v>
      </c>
      <c r="K3015" s="370"/>
      <c r="N3015" s="370"/>
    </row>
    <row r="3016" spans="1:14" s="347" customFormat="1" x14ac:dyDescent="0.25">
      <c r="A3016" s="369"/>
      <c r="E3016" s="396"/>
      <c r="F3016" s="396"/>
      <c r="G3016" s="396"/>
      <c r="K3016" s="370"/>
      <c r="N3016" s="370"/>
    </row>
    <row r="3017" spans="1:14" s="347" customFormat="1" x14ac:dyDescent="0.25">
      <c r="A3017" s="369">
        <v>44354</v>
      </c>
      <c r="B3017" s="340">
        <f>+MONTH(A3017)</f>
        <v>6</v>
      </c>
      <c r="C3017" s="347">
        <v>110</v>
      </c>
      <c r="D3017" s="340" t="str">
        <f>VLOOKUP(C3017,Plan!A$1:B$65542,2,0)</f>
        <v>Disponible Administración</v>
      </c>
      <c r="E3017" s="341">
        <f>+F3017-G3017</f>
        <v>50000</v>
      </c>
      <c r="F3017" s="396">
        <v>50000</v>
      </c>
      <c r="G3017" s="396">
        <v>0</v>
      </c>
      <c r="H3017" s="347" t="s">
        <v>1438</v>
      </c>
      <c r="I3017" s="347" t="s">
        <v>1303</v>
      </c>
      <c r="K3017" s="370"/>
      <c r="N3017" s="370"/>
    </row>
    <row r="3018" spans="1:14" s="347" customFormat="1" x14ac:dyDescent="0.25">
      <c r="A3018" s="369">
        <f>+A3017</f>
        <v>44354</v>
      </c>
      <c r="B3018" s="347">
        <f>+B3017</f>
        <v>6</v>
      </c>
      <c r="C3018" s="347">
        <v>3110</v>
      </c>
      <c r="D3018" s="340" t="str">
        <f>VLOOKUP(C3018,Plan!A$1:B$65542,2,0)</f>
        <v>Colectas Normales</v>
      </c>
      <c r="E3018" s="396">
        <f>-G3018</f>
        <v>-50000</v>
      </c>
      <c r="F3018" s="396">
        <v>0</v>
      </c>
      <c r="G3018" s="396">
        <f>+F3017</f>
        <v>50000</v>
      </c>
      <c r="H3018" s="347" t="str">
        <f>+H3017</f>
        <v>Colecta Felipe Varela Venegas</v>
      </c>
      <c r="I3018" s="347" t="s">
        <v>1303</v>
      </c>
      <c r="K3018" s="370"/>
      <c r="N3018" s="370"/>
    </row>
    <row r="3019" spans="1:14" s="347" customFormat="1" x14ac:dyDescent="0.25">
      <c r="A3019" s="369"/>
      <c r="E3019" s="396"/>
      <c r="F3019" s="396"/>
      <c r="G3019" s="396"/>
      <c r="K3019" s="370"/>
      <c r="N3019" s="370"/>
    </row>
    <row r="3020" spans="1:14" s="347" customFormat="1" x14ac:dyDescent="0.25">
      <c r="A3020" s="369">
        <v>44354</v>
      </c>
      <c r="B3020" s="340">
        <f>+MONTH(A3020)</f>
        <v>6</v>
      </c>
      <c r="C3020" s="347">
        <v>110</v>
      </c>
      <c r="D3020" s="340" t="str">
        <f>VLOOKUP(C3020,Plan!A$1:B$65542,2,0)</f>
        <v>Disponible Administración</v>
      </c>
      <c r="E3020" s="341">
        <f>+F3020-G3020</f>
        <v>5000</v>
      </c>
      <c r="F3020" s="396">
        <v>5000</v>
      </c>
      <c r="G3020" s="396">
        <v>0</v>
      </c>
      <c r="H3020" s="347" t="s">
        <v>899</v>
      </c>
      <c r="I3020" s="347" t="s">
        <v>1303</v>
      </c>
      <c r="K3020" s="370"/>
      <c r="N3020" s="370"/>
    </row>
    <row r="3021" spans="1:14" s="347" customFormat="1" x14ac:dyDescent="0.25">
      <c r="A3021" s="369">
        <f>+A3020</f>
        <v>44354</v>
      </c>
      <c r="B3021" s="347">
        <f>+B3020</f>
        <v>6</v>
      </c>
      <c r="C3021" s="347">
        <v>3110</v>
      </c>
      <c r="D3021" s="340" t="str">
        <f>VLOOKUP(C3021,Plan!A$1:B$65542,2,0)</f>
        <v>Colectas Normales</v>
      </c>
      <c r="E3021" s="396">
        <f>-G3021</f>
        <v>-5000</v>
      </c>
      <c r="F3021" s="396">
        <v>0</v>
      </c>
      <c r="G3021" s="396">
        <f>+F3020</f>
        <v>5000</v>
      </c>
      <c r="H3021" s="347" t="str">
        <f>+H3020</f>
        <v>Colecta Carlos Anwandter</v>
      </c>
      <c r="I3021" s="347" t="s">
        <v>1303</v>
      </c>
      <c r="K3021" s="370"/>
      <c r="N3021" s="370"/>
    </row>
    <row r="3022" spans="1:14" s="347" customFormat="1" x14ac:dyDescent="0.25">
      <c r="A3022" s="369"/>
      <c r="E3022" s="396"/>
      <c r="F3022" s="396"/>
      <c r="G3022" s="396"/>
      <c r="K3022" s="370"/>
      <c r="N3022" s="370"/>
    </row>
    <row r="3023" spans="1:14" s="347" customFormat="1" x14ac:dyDescent="0.25">
      <c r="A3023" s="369">
        <v>44354</v>
      </c>
      <c r="B3023" s="340">
        <f>+MONTH(A3023)</f>
        <v>6</v>
      </c>
      <c r="C3023" s="347">
        <v>110</v>
      </c>
      <c r="D3023" s="340" t="str">
        <f>VLOOKUP(C3023,Plan!A$1:B$65542,2,0)</f>
        <v>Disponible Administración</v>
      </c>
      <c r="E3023" s="341">
        <f>+F3023-G3023</f>
        <v>15000</v>
      </c>
      <c r="F3023" s="396">
        <v>15000</v>
      </c>
      <c r="G3023" s="396">
        <v>0</v>
      </c>
      <c r="H3023" s="347" t="s">
        <v>1571</v>
      </c>
      <c r="I3023" s="347" t="s">
        <v>1303</v>
      </c>
      <c r="K3023" s="370"/>
      <c r="N3023" s="370"/>
    </row>
    <row r="3024" spans="1:14" s="347" customFormat="1" x14ac:dyDescent="0.25">
      <c r="A3024" s="369">
        <f>+A3023</f>
        <v>44354</v>
      </c>
      <c r="B3024" s="347">
        <f>+B3023</f>
        <v>6</v>
      </c>
      <c r="C3024" s="347">
        <v>215</v>
      </c>
      <c r="D3024" s="340" t="str">
        <f>VLOOKUP(C3024,Plan!A$1:B$65542,2,0)</f>
        <v>Cuenta por Pagar a Cali</v>
      </c>
      <c r="E3024" s="396">
        <f>-G3024</f>
        <v>-15000</v>
      </c>
      <c r="F3024" s="396">
        <v>0</v>
      </c>
      <c r="G3024" s="396">
        <f>+F3023</f>
        <v>15000</v>
      </c>
      <c r="H3024" s="347" t="str">
        <f>+H3023</f>
        <v>Maria Elena de Castro Espinosa / 249</v>
      </c>
      <c r="I3024" s="347" t="s">
        <v>1303</v>
      </c>
      <c r="K3024" s="370"/>
      <c r="N3024" s="370"/>
    </row>
    <row r="3025" spans="1:14" s="347" customFormat="1" x14ac:dyDescent="0.25">
      <c r="A3025" s="369"/>
      <c r="E3025" s="396"/>
      <c r="F3025" s="396"/>
      <c r="G3025" s="396"/>
      <c r="K3025" s="370"/>
      <c r="N3025" s="370"/>
    </row>
    <row r="3026" spans="1:14" s="347" customFormat="1" x14ac:dyDescent="0.25">
      <c r="A3026" s="369">
        <v>44354</v>
      </c>
      <c r="B3026" s="340">
        <f>+MONTH(A3026)</f>
        <v>6</v>
      </c>
      <c r="C3026" s="347">
        <v>110</v>
      </c>
      <c r="D3026" s="340" t="str">
        <f>VLOOKUP(C3026,Plan!A$1:B$65542,2,0)</f>
        <v>Disponible Administración</v>
      </c>
      <c r="E3026" s="341">
        <f>+F3026-G3026</f>
        <v>10000</v>
      </c>
      <c r="F3026" s="396">
        <v>10000</v>
      </c>
      <c r="G3026" s="396">
        <v>0</v>
      </c>
      <c r="H3026" s="347" t="s">
        <v>1519</v>
      </c>
      <c r="I3026" s="347" t="s">
        <v>1303</v>
      </c>
      <c r="K3026" s="370"/>
      <c r="N3026" s="370"/>
    </row>
    <row r="3027" spans="1:14" s="347" customFormat="1" x14ac:dyDescent="0.25">
      <c r="A3027" s="369">
        <f>+A3026</f>
        <v>44354</v>
      </c>
      <c r="B3027" s="347">
        <f>+B3026</f>
        <v>6</v>
      </c>
      <c r="C3027" s="347">
        <v>3110</v>
      </c>
      <c r="D3027" s="340" t="str">
        <f>VLOOKUP(C3027,Plan!A$1:B$65542,2,0)</f>
        <v>Colectas Normales</v>
      </c>
      <c r="E3027" s="396">
        <f>-G3027</f>
        <v>-10000</v>
      </c>
      <c r="F3027" s="396">
        <v>0</v>
      </c>
      <c r="G3027" s="396">
        <f>+F3026</f>
        <v>10000</v>
      </c>
      <c r="H3027" s="347" t="str">
        <f>+H3026</f>
        <v>Colecta Juan Rafael Arnaiz</v>
      </c>
      <c r="I3027" s="347" t="s">
        <v>1303</v>
      </c>
      <c r="K3027" s="370"/>
      <c r="N3027" s="370"/>
    </row>
    <row r="3028" spans="1:14" s="347" customFormat="1" x14ac:dyDescent="0.25">
      <c r="A3028" s="369"/>
      <c r="E3028" s="396"/>
      <c r="F3028" s="396"/>
      <c r="G3028" s="396"/>
      <c r="K3028" s="370"/>
      <c r="N3028" s="370"/>
    </row>
    <row r="3029" spans="1:14" s="347" customFormat="1" x14ac:dyDescent="0.25">
      <c r="A3029" s="369">
        <v>44354</v>
      </c>
      <c r="B3029" s="340">
        <f>+MONTH(A3029)</f>
        <v>6</v>
      </c>
      <c r="C3029" s="347">
        <v>110</v>
      </c>
      <c r="D3029" s="340" t="str">
        <f>VLOOKUP(C3029,Plan!A$1:B$65542,2,0)</f>
        <v>Disponible Administración</v>
      </c>
      <c r="E3029" s="341">
        <f>+F3029-G3029</f>
        <v>25000</v>
      </c>
      <c r="F3029" s="396">
        <v>25000</v>
      </c>
      <c r="G3029" s="396">
        <v>0</v>
      </c>
      <c r="H3029" s="347" t="s">
        <v>931</v>
      </c>
      <c r="I3029" s="347" t="s">
        <v>1303</v>
      </c>
      <c r="K3029" s="370"/>
      <c r="N3029" s="370"/>
    </row>
    <row r="3030" spans="1:14" s="347" customFormat="1" x14ac:dyDescent="0.25">
      <c r="A3030" s="369">
        <f>+A3029</f>
        <v>44354</v>
      </c>
      <c r="B3030" s="347">
        <f>+B3029</f>
        <v>6</v>
      </c>
      <c r="C3030" s="347">
        <v>3110</v>
      </c>
      <c r="D3030" s="340" t="str">
        <f>VLOOKUP(C3030,Plan!A$1:B$65542,2,0)</f>
        <v>Colectas Normales</v>
      </c>
      <c r="E3030" s="396">
        <f>-G3030</f>
        <v>-25000</v>
      </c>
      <c r="F3030" s="396">
        <v>0</v>
      </c>
      <c r="G3030" s="396">
        <f>+F3029</f>
        <v>25000</v>
      </c>
      <c r="H3030" s="347" t="str">
        <f>+H3029</f>
        <v>Colecta Eduardo Calvimontes Candia</v>
      </c>
      <c r="I3030" s="347" t="s">
        <v>1303</v>
      </c>
      <c r="K3030" s="370"/>
      <c r="N3030" s="370"/>
    </row>
    <row r="3031" spans="1:14" s="347" customFormat="1" x14ac:dyDescent="0.25">
      <c r="A3031" s="369"/>
      <c r="E3031" s="396"/>
      <c r="F3031" s="396"/>
      <c r="G3031" s="396"/>
      <c r="K3031" s="370"/>
      <c r="N3031" s="370"/>
    </row>
    <row r="3032" spans="1:14" s="347" customFormat="1" x14ac:dyDescent="0.25">
      <c r="A3032" s="369">
        <v>44354</v>
      </c>
      <c r="B3032" s="340">
        <f>+MONTH(A3032)</f>
        <v>6</v>
      </c>
      <c r="C3032" s="347">
        <v>110</v>
      </c>
      <c r="D3032" s="340" t="str">
        <f>VLOOKUP(C3032,Plan!A$1:B$65542,2,0)</f>
        <v>Disponible Administración</v>
      </c>
      <c r="E3032" s="341">
        <f>+F3032-G3032</f>
        <v>20000</v>
      </c>
      <c r="F3032" s="396">
        <v>20000</v>
      </c>
      <c r="G3032" s="396">
        <v>0</v>
      </c>
      <c r="H3032" s="347" t="s">
        <v>1572</v>
      </c>
      <c r="I3032" s="347" t="s">
        <v>1303</v>
      </c>
      <c r="K3032" s="370"/>
      <c r="N3032" s="370"/>
    </row>
    <row r="3033" spans="1:14" s="347" customFormat="1" x14ac:dyDescent="0.25">
      <c r="A3033" s="369">
        <f>+A3032</f>
        <v>44354</v>
      </c>
      <c r="B3033" s="347">
        <f>+B3032</f>
        <v>6</v>
      </c>
      <c r="C3033" s="347">
        <v>215</v>
      </c>
      <c r="D3033" s="340" t="str">
        <f>VLOOKUP(C3033,Plan!A$1:B$65542,2,0)</f>
        <v>Cuenta por Pagar a Cali</v>
      </c>
      <c r="E3033" s="396">
        <f>-G3033</f>
        <v>-20000</v>
      </c>
      <c r="F3033" s="396">
        <v>0</v>
      </c>
      <c r="G3033" s="396">
        <f>+F3032</f>
        <v>20000</v>
      </c>
      <c r="H3033" s="347" t="str">
        <f>+H3032</f>
        <v>Eduardo Calvimontes/ Azul</v>
      </c>
      <c r="I3033" s="347" t="s">
        <v>1303</v>
      </c>
      <c r="K3033" s="370"/>
      <c r="N3033" s="370"/>
    </row>
    <row r="3034" spans="1:14" s="347" customFormat="1" x14ac:dyDescent="0.25">
      <c r="A3034" s="369"/>
      <c r="B3034" s="340"/>
      <c r="D3034" s="340"/>
      <c r="E3034" s="341"/>
      <c r="F3034" s="396"/>
      <c r="G3034" s="396"/>
      <c r="K3034" s="370"/>
      <c r="N3034" s="370"/>
    </row>
    <row r="3035" spans="1:14" s="347" customFormat="1" x14ac:dyDescent="0.25">
      <c r="A3035" s="369">
        <v>44354</v>
      </c>
      <c r="B3035" s="340">
        <f>+MONTH(A3035)</f>
        <v>6</v>
      </c>
      <c r="C3035" s="347">
        <v>110</v>
      </c>
      <c r="D3035" s="340" t="str">
        <f>VLOOKUP(C3035,Plan!A$1:B$65542,2,0)</f>
        <v>Disponible Administración</v>
      </c>
      <c r="E3035" s="341">
        <f>+F3035-G3035</f>
        <v>2000</v>
      </c>
      <c r="F3035" s="396">
        <v>2000</v>
      </c>
      <c r="G3035" s="396">
        <v>0</v>
      </c>
      <c r="H3035" s="347" t="s">
        <v>1216</v>
      </c>
      <c r="I3035" s="347" t="s">
        <v>1303</v>
      </c>
      <c r="K3035" s="370"/>
      <c r="N3035" s="370"/>
    </row>
    <row r="3036" spans="1:14" s="347" customFormat="1" x14ac:dyDescent="0.25">
      <c r="A3036" s="369">
        <f>+A3035</f>
        <v>44354</v>
      </c>
      <c r="B3036" s="347">
        <f>+B3035</f>
        <v>6</v>
      </c>
      <c r="C3036" s="347">
        <v>3110</v>
      </c>
      <c r="D3036" s="340" t="str">
        <f>VLOOKUP(C3036,Plan!A$1:B$65542,2,0)</f>
        <v>Colectas Normales</v>
      </c>
      <c r="E3036" s="396">
        <f>-G3036</f>
        <v>-2000</v>
      </c>
      <c r="F3036" s="396">
        <v>0</v>
      </c>
      <c r="G3036" s="396">
        <f>+F3035</f>
        <v>2000</v>
      </c>
      <c r="H3036" s="347" t="str">
        <f>+H3035</f>
        <v>Colecta Trinidad Barriga Cruzat</v>
      </c>
      <c r="I3036" s="347" t="s">
        <v>1303</v>
      </c>
      <c r="K3036" s="370"/>
      <c r="N3036" s="370"/>
    </row>
    <row r="3037" spans="1:14" s="347" customFormat="1" x14ac:dyDescent="0.25">
      <c r="A3037" s="369"/>
      <c r="E3037" s="396"/>
      <c r="F3037" s="396"/>
      <c r="G3037" s="396"/>
      <c r="K3037" s="370"/>
      <c r="N3037" s="370"/>
    </row>
    <row r="3038" spans="1:14" s="347" customFormat="1" x14ac:dyDescent="0.25">
      <c r="A3038" s="369">
        <v>44354</v>
      </c>
      <c r="B3038" s="340">
        <f>+MONTH(A3038)</f>
        <v>6</v>
      </c>
      <c r="C3038" s="347">
        <v>110</v>
      </c>
      <c r="D3038" s="340" t="str">
        <f>VLOOKUP(C3038,Plan!A$1:B$65542,2,0)</f>
        <v>Disponible Administración</v>
      </c>
      <c r="E3038" s="341">
        <f>+F3038-G3038</f>
        <v>5000</v>
      </c>
      <c r="F3038" s="396">
        <v>5000</v>
      </c>
      <c r="G3038" s="396">
        <v>0</v>
      </c>
      <c r="H3038" s="347" t="s">
        <v>1573</v>
      </c>
      <c r="I3038" s="347" t="s">
        <v>1303</v>
      </c>
      <c r="K3038" s="370"/>
      <c r="N3038" s="370"/>
    </row>
    <row r="3039" spans="1:14" s="347" customFormat="1" x14ac:dyDescent="0.25">
      <c r="A3039" s="369">
        <f>+A3038</f>
        <v>44354</v>
      </c>
      <c r="B3039" s="347">
        <f>+B3038</f>
        <v>6</v>
      </c>
      <c r="C3039" s="347">
        <v>3110</v>
      </c>
      <c r="D3039" s="340" t="str">
        <f>VLOOKUP(C3039,Plan!A$1:B$65542,2,0)</f>
        <v>Colectas Normales</v>
      </c>
      <c r="E3039" s="396">
        <f>-G3039</f>
        <v>-5000</v>
      </c>
      <c r="F3039" s="396">
        <v>0</v>
      </c>
      <c r="G3039" s="396">
        <f>+F3038</f>
        <v>5000</v>
      </c>
      <c r="H3039" s="347" t="str">
        <f>+H3038</f>
        <v>Colecta Ana gloria Awad Yazigi</v>
      </c>
      <c r="I3039" s="347" t="s">
        <v>1303</v>
      </c>
      <c r="K3039" s="370"/>
      <c r="N3039" s="370"/>
    </row>
    <row r="3040" spans="1:14" s="347" customFormat="1" x14ac:dyDescent="0.25">
      <c r="A3040" s="369"/>
      <c r="E3040" s="396"/>
      <c r="F3040" s="396"/>
      <c r="G3040" s="396"/>
      <c r="K3040" s="370"/>
      <c r="N3040" s="370"/>
    </row>
    <row r="3041" spans="1:14" s="347" customFormat="1" x14ac:dyDescent="0.25">
      <c r="A3041" s="369">
        <v>44354</v>
      </c>
      <c r="B3041" s="340">
        <f>+MONTH(A3041)</f>
        <v>6</v>
      </c>
      <c r="C3041" s="347">
        <v>110</v>
      </c>
      <c r="D3041" s="340" t="str">
        <f>VLOOKUP(C3041,Plan!A$1:B$65542,2,0)</f>
        <v>Disponible Administración</v>
      </c>
      <c r="E3041" s="341">
        <f>+F3041-G3041</f>
        <v>326580</v>
      </c>
      <c r="F3041" s="396">
        <v>326580</v>
      </c>
      <c r="G3041" s="396">
        <v>0</v>
      </c>
      <c r="H3041" s="347" t="s">
        <v>1410</v>
      </c>
      <c r="I3041" s="347" t="s">
        <v>1303</v>
      </c>
      <c r="K3041" s="370"/>
      <c r="N3041" s="370"/>
    </row>
    <row r="3042" spans="1:14" s="347" customFormat="1" x14ac:dyDescent="0.25">
      <c r="A3042" s="369">
        <f>+A3041</f>
        <v>44354</v>
      </c>
      <c r="B3042" s="347">
        <f>+B3041</f>
        <v>6</v>
      </c>
      <c r="C3042" s="347">
        <v>3110</v>
      </c>
      <c r="D3042" s="340" t="str">
        <f>VLOOKUP(C3042,Plan!A$1:B$65542,2,0)</f>
        <v>Colectas Normales</v>
      </c>
      <c r="E3042" s="396">
        <f>-G3042</f>
        <v>-326580</v>
      </c>
      <c r="F3042" s="396">
        <v>0</v>
      </c>
      <c r="G3042" s="396">
        <f>+F3041</f>
        <v>326580</v>
      </c>
      <c r="H3042" s="347" t="str">
        <f>+H3041</f>
        <v>Colecta Col. Cordillera</v>
      </c>
      <c r="I3042" s="347" t="s">
        <v>1303</v>
      </c>
      <c r="K3042" s="370"/>
      <c r="N3042" s="370"/>
    </row>
    <row r="3043" spans="1:14" s="347" customFormat="1" x14ac:dyDescent="0.25">
      <c r="A3043" s="369"/>
      <c r="E3043" s="396"/>
      <c r="F3043" s="396"/>
      <c r="G3043" s="396"/>
      <c r="K3043" s="370"/>
      <c r="N3043" s="370"/>
    </row>
    <row r="3044" spans="1:14" s="347" customFormat="1" x14ac:dyDescent="0.25">
      <c r="A3044" s="369">
        <v>44355</v>
      </c>
      <c r="B3044" s="340">
        <f>+MONTH(A3044)</f>
        <v>6</v>
      </c>
      <c r="C3044" s="347">
        <v>110</v>
      </c>
      <c r="D3044" s="340" t="str">
        <f>VLOOKUP(C3044,Plan!A$1:B$65542,2,0)</f>
        <v>Disponible Administración</v>
      </c>
      <c r="E3044" s="341">
        <f>+F3044-G3044</f>
        <v>5000</v>
      </c>
      <c r="F3044" s="396">
        <v>5000</v>
      </c>
      <c r="G3044" s="396">
        <v>0</v>
      </c>
      <c r="H3044" s="347" t="s">
        <v>1574</v>
      </c>
      <c r="I3044" s="347" t="s">
        <v>1303</v>
      </c>
      <c r="K3044" s="370"/>
      <c r="N3044" s="370"/>
    </row>
    <row r="3045" spans="1:14" s="347" customFormat="1" x14ac:dyDescent="0.25">
      <c r="A3045" s="369">
        <f>+A3044</f>
        <v>44355</v>
      </c>
      <c r="B3045" s="347">
        <f>+B3044</f>
        <v>6</v>
      </c>
      <c r="C3045" s="347">
        <v>3340</v>
      </c>
      <c r="D3045" s="340" t="str">
        <f>VLOOKUP(C3045,Plan!A$1:B$65542,2,0)</f>
        <v>Misas</v>
      </c>
      <c r="E3045" s="396">
        <f>-G3045</f>
        <v>-5000</v>
      </c>
      <c r="F3045" s="396">
        <v>0</v>
      </c>
      <c r="G3045" s="396">
        <f>+F3044</f>
        <v>5000</v>
      </c>
      <c r="H3045" s="347" t="str">
        <f>+H3044</f>
        <v>Misa Ximena Suspichiatti</v>
      </c>
      <c r="I3045" s="347" t="s">
        <v>1303</v>
      </c>
      <c r="K3045" s="370"/>
      <c r="N3045" s="370"/>
    </row>
    <row r="3046" spans="1:14" s="347" customFormat="1" x14ac:dyDescent="0.25">
      <c r="A3046" s="369"/>
      <c r="E3046" s="396"/>
      <c r="F3046" s="396"/>
      <c r="G3046" s="396"/>
      <c r="K3046" s="370"/>
      <c r="N3046" s="370"/>
    </row>
    <row r="3047" spans="1:14" s="347" customFormat="1" x14ac:dyDescent="0.25">
      <c r="A3047" s="369">
        <v>44355</v>
      </c>
      <c r="B3047" s="340">
        <f>+MONTH(A3047)</f>
        <v>6</v>
      </c>
      <c r="C3047" s="347">
        <v>110</v>
      </c>
      <c r="D3047" s="340" t="str">
        <f>VLOOKUP(C3047,Plan!A$1:B$65542,2,0)</f>
        <v>Disponible Administración</v>
      </c>
      <c r="E3047" s="341">
        <f>+F3047-G3047</f>
        <v>60000</v>
      </c>
      <c r="F3047" s="396">
        <v>60000</v>
      </c>
      <c r="G3047" s="396">
        <v>0</v>
      </c>
      <c r="H3047" s="347" t="s">
        <v>1454</v>
      </c>
      <c r="I3047" s="347" t="s">
        <v>1303</v>
      </c>
      <c r="K3047" s="370"/>
      <c r="N3047" s="370"/>
    </row>
    <row r="3048" spans="1:14" s="347" customFormat="1" x14ac:dyDescent="0.25">
      <c r="A3048" s="369">
        <f>+A3047</f>
        <v>44355</v>
      </c>
      <c r="B3048" s="347">
        <f>+B3047</f>
        <v>6</v>
      </c>
      <c r="C3048" s="347">
        <v>3110</v>
      </c>
      <c r="D3048" s="340" t="str">
        <f>VLOOKUP(C3048,Plan!A$1:B$65542,2,0)</f>
        <v>Colectas Normales</v>
      </c>
      <c r="E3048" s="396">
        <f>-G3048</f>
        <v>-60000</v>
      </c>
      <c r="F3048" s="396">
        <v>0</v>
      </c>
      <c r="G3048" s="396">
        <f>+F3047</f>
        <v>60000</v>
      </c>
      <c r="H3048" s="347" t="str">
        <f>+H3047</f>
        <v>Colecta Maite Larrañaga</v>
      </c>
      <c r="I3048" s="347" t="s">
        <v>1303</v>
      </c>
      <c r="K3048" s="370"/>
      <c r="N3048" s="370"/>
    </row>
    <row r="3049" spans="1:14" s="347" customFormat="1" x14ac:dyDescent="0.25">
      <c r="A3049" s="369"/>
      <c r="E3049" s="396"/>
      <c r="F3049" s="396"/>
      <c r="G3049" s="396"/>
      <c r="K3049" s="370"/>
      <c r="N3049" s="370"/>
    </row>
    <row r="3050" spans="1:14" s="347" customFormat="1" x14ac:dyDescent="0.25">
      <c r="A3050" s="369">
        <v>44355</v>
      </c>
      <c r="B3050" s="340">
        <f>+MONTH(A3050)</f>
        <v>6</v>
      </c>
      <c r="C3050" s="347">
        <v>110</v>
      </c>
      <c r="D3050" s="340" t="str">
        <f>VLOOKUP(C3050,Plan!A$1:B$65542,2,0)</f>
        <v>Disponible Administración</v>
      </c>
      <c r="E3050" s="341">
        <f>+F3050-G3050</f>
        <v>15000</v>
      </c>
      <c r="F3050" s="396">
        <v>15000</v>
      </c>
      <c r="G3050" s="396">
        <v>0</v>
      </c>
      <c r="H3050" s="347" t="s">
        <v>1151</v>
      </c>
      <c r="I3050" s="347" t="s">
        <v>1303</v>
      </c>
      <c r="K3050" s="370"/>
      <c r="N3050" s="370"/>
    </row>
    <row r="3051" spans="1:14" s="347" customFormat="1" x14ac:dyDescent="0.25">
      <c r="A3051" s="369">
        <f>+A3050</f>
        <v>44355</v>
      </c>
      <c r="B3051" s="347">
        <f>+B3050</f>
        <v>6</v>
      </c>
      <c r="C3051" s="347">
        <v>3110</v>
      </c>
      <c r="D3051" s="340" t="str">
        <f>VLOOKUP(C3051,Plan!A$1:B$65542,2,0)</f>
        <v>Colectas Normales</v>
      </c>
      <c r="E3051" s="396">
        <f>-G3051</f>
        <v>-15000</v>
      </c>
      <c r="F3051" s="396">
        <v>0</v>
      </c>
      <c r="G3051" s="396">
        <f>+F3050</f>
        <v>15000</v>
      </c>
      <c r="H3051" s="347" t="str">
        <f>+H3050</f>
        <v>Colecta Eduardo Boys M</v>
      </c>
      <c r="I3051" s="347" t="s">
        <v>1303</v>
      </c>
      <c r="K3051" s="370"/>
      <c r="N3051" s="370"/>
    </row>
    <row r="3052" spans="1:14" s="347" customFormat="1" x14ac:dyDescent="0.25">
      <c r="A3052" s="369"/>
      <c r="E3052" s="396"/>
      <c r="F3052" s="396"/>
      <c r="G3052" s="396"/>
      <c r="K3052" s="370"/>
      <c r="N3052" s="370"/>
    </row>
    <row r="3053" spans="1:14" s="347" customFormat="1" x14ac:dyDescent="0.25">
      <c r="A3053" s="369">
        <v>44355</v>
      </c>
      <c r="B3053" s="340">
        <f>+MONTH(A3053)</f>
        <v>6</v>
      </c>
      <c r="C3053" s="347">
        <v>110</v>
      </c>
      <c r="D3053" s="340" t="str">
        <f>VLOOKUP(C3053,Plan!A$1:B$65542,2,0)</f>
        <v>Disponible Administración</v>
      </c>
      <c r="E3053" s="341">
        <f>+F3053-G3053</f>
        <v>19614</v>
      </c>
      <c r="F3053" s="396">
        <v>19614</v>
      </c>
      <c r="G3053" s="396">
        <v>0</v>
      </c>
      <c r="H3053" s="347" t="s">
        <v>1338</v>
      </c>
      <c r="I3053" s="347" t="s">
        <v>1303</v>
      </c>
      <c r="K3053" s="370"/>
      <c r="N3053" s="370"/>
    </row>
    <row r="3054" spans="1:14" s="347" customFormat="1" x14ac:dyDescent="0.25">
      <c r="A3054" s="369">
        <f>+A3053</f>
        <v>44355</v>
      </c>
      <c r="B3054" s="347">
        <f>+B3053</f>
        <v>6</v>
      </c>
      <c r="C3054" s="347">
        <v>3340</v>
      </c>
      <c r="D3054" s="340" t="str">
        <f>VLOOKUP(C3054,Plan!A$1:B$65542,2,0)</f>
        <v>Misas</v>
      </c>
      <c r="E3054" s="396">
        <f>-G3054</f>
        <v>-19614</v>
      </c>
      <c r="F3054" s="396">
        <v>0</v>
      </c>
      <c r="G3054" s="396">
        <f>+F3053</f>
        <v>19614</v>
      </c>
      <c r="H3054" s="347" t="str">
        <f>+H3053</f>
        <v>Misa DCT</v>
      </c>
      <c r="I3054" s="347" t="s">
        <v>1303</v>
      </c>
      <c r="K3054" s="370"/>
      <c r="N3054" s="370"/>
    </row>
    <row r="3055" spans="1:14" s="347" customFormat="1" x14ac:dyDescent="0.25">
      <c r="A3055" s="369"/>
      <c r="E3055" s="396"/>
      <c r="F3055" s="396"/>
      <c r="G3055" s="396"/>
      <c r="K3055" s="370"/>
      <c r="N3055" s="370"/>
    </row>
    <row r="3056" spans="1:14" s="347" customFormat="1" x14ac:dyDescent="0.25">
      <c r="A3056" s="369">
        <v>44355</v>
      </c>
      <c r="B3056" s="340">
        <f>+MONTH(A3056)</f>
        <v>6</v>
      </c>
      <c r="C3056" s="347">
        <v>110</v>
      </c>
      <c r="D3056" s="340" t="str">
        <f>VLOOKUP(C3056,Plan!A$1:B$65542,2,0)</f>
        <v>Disponible Administración</v>
      </c>
      <c r="E3056" s="341">
        <f>+F3056-G3056</f>
        <v>18000</v>
      </c>
      <c r="F3056" s="396">
        <v>18000</v>
      </c>
      <c r="G3056" s="396">
        <v>0</v>
      </c>
      <c r="H3056" s="347" t="s">
        <v>1575</v>
      </c>
      <c r="I3056" s="347" t="s">
        <v>1303</v>
      </c>
      <c r="K3056" s="370"/>
      <c r="N3056" s="370"/>
    </row>
    <row r="3057" spans="1:14" s="347" customFormat="1" x14ac:dyDescent="0.25">
      <c r="A3057" s="369">
        <f>+A3056</f>
        <v>44355</v>
      </c>
      <c r="B3057" s="347">
        <f>+B3056</f>
        <v>6</v>
      </c>
      <c r="C3057" s="347">
        <v>3110</v>
      </c>
      <c r="D3057" s="340" t="str">
        <f>VLOOKUP(C3057,Plan!A$1:B$65542,2,0)</f>
        <v>Colectas Normales</v>
      </c>
      <c r="E3057" s="396">
        <f>-G3057</f>
        <v>-18000</v>
      </c>
      <c r="F3057" s="396">
        <v>0</v>
      </c>
      <c r="G3057" s="396">
        <f>+F3056</f>
        <v>18000</v>
      </c>
      <c r="H3057" s="347" t="str">
        <f>+H3056</f>
        <v>Colecta Carlos Barriga A.</v>
      </c>
      <c r="I3057" s="347" t="s">
        <v>1303</v>
      </c>
      <c r="K3057" s="370"/>
      <c r="N3057" s="370"/>
    </row>
    <row r="3058" spans="1:14" s="347" customFormat="1" x14ac:dyDescent="0.25">
      <c r="A3058" s="369"/>
      <c r="E3058" s="396"/>
      <c r="F3058" s="396"/>
      <c r="G3058" s="396"/>
      <c r="K3058" s="370"/>
      <c r="N3058" s="370"/>
    </row>
    <row r="3059" spans="1:14" s="347" customFormat="1" x14ac:dyDescent="0.25">
      <c r="A3059" s="369">
        <v>44355</v>
      </c>
      <c r="B3059" s="340">
        <f>+MONTH(A3059)</f>
        <v>6</v>
      </c>
      <c r="C3059" s="347">
        <v>110</v>
      </c>
      <c r="D3059" s="340" t="str">
        <f>VLOOKUP(C3059,Plan!A$1:B$65542,2,0)</f>
        <v>Disponible Administración</v>
      </c>
      <c r="E3059" s="341">
        <f>+F3059-G3059</f>
        <v>100000</v>
      </c>
      <c r="F3059" s="396">
        <v>100000</v>
      </c>
      <c r="G3059" s="396">
        <v>0</v>
      </c>
      <c r="H3059" s="347" t="s">
        <v>1476</v>
      </c>
      <c r="I3059" s="347" t="s">
        <v>1303</v>
      </c>
      <c r="K3059" s="370"/>
      <c r="N3059" s="370"/>
    </row>
    <row r="3060" spans="1:14" s="347" customFormat="1" x14ac:dyDescent="0.25">
      <c r="A3060" s="369">
        <f>+A3059</f>
        <v>44355</v>
      </c>
      <c r="B3060" s="347">
        <f>+B3059</f>
        <v>6</v>
      </c>
      <c r="C3060" s="347">
        <v>3450</v>
      </c>
      <c r="D3060" s="340" t="str">
        <f>VLOOKUP(C3060,Plan!A$1:B$65542,2,0)</f>
        <v>Pastoral Social</v>
      </c>
      <c r="E3060" s="396">
        <f>-G3060</f>
        <v>-100000</v>
      </c>
      <c r="F3060" s="396">
        <v>0</v>
      </c>
      <c r="G3060" s="396">
        <f>+F3059</f>
        <v>100000</v>
      </c>
      <c r="H3060" s="347" t="str">
        <f>+H3059</f>
        <v>Canastas Ana Maria Alvarez T</v>
      </c>
      <c r="I3060" s="347" t="s">
        <v>1303</v>
      </c>
      <c r="K3060" s="370"/>
      <c r="N3060" s="370"/>
    </row>
    <row r="3061" spans="1:14" s="347" customFormat="1" x14ac:dyDescent="0.25">
      <c r="A3061" s="369"/>
      <c r="E3061" s="396"/>
      <c r="F3061" s="396"/>
      <c r="G3061" s="396"/>
      <c r="K3061" s="370"/>
      <c r="N3061" s="370"/>
    </row>
    <row r="3062" spans="1:14" s="347" customFormat="1" x14ac:dyDescent="0.25">
      <c r="A3062" s="369">
        <v>44356</v>
      </c>
      <c r="B3062" s="340">
        <f>+MONTH(A3062)</f>
        <v>6</v>
      </c>
      <c r="C3062" s="347">
        <v>110</v>
      </c>
      <c r="D3062" s="340" t="str">
        <f>VLOOKUP(C3062,Plan!A$1:B$65542,2,0)</f>
        <v>Disponible Administración</v>
      </c>
      <c r="E3062" s="341">
        <f>+F3062-G3062</f>
        <v>60000</v>
      </c>
      <c r="F3062" s="396">
        <v>60000</v>
      </c>
      <c r="G3062" s="396">
        <v>0</v>
      </c>
      <c r="H3062" s="347" t="s">
        <v>1576</v>
      </c>
      <c r="I3062" s="347" t="s">
        <v>1303</v>
      </c>
      <c r="K3062" s="370"/>
      <c r="N3062" s="370"/>
    </row>
    <row r="3063" spans="1:14" s="347" customFormat="1" x14ac:dyDescent="0.25">
      <c r="A3063" s="369">
        <f>+A3062</f>
        <v>44356</v>
      </c>
      <c r="B3063" s="347">
        <f>+B3062</f>
        <v>6</v>
      </c>
      <c r="C3063" s="347">
        <v>3450</v>
      </c>
      <c r="D3063" s="340" t="str">
        <f>VLOOKUP(C3063,Plan!A$1:B$65542,2,0)</f>
        <v>Pastoral Social</v>
      </c>
      <c r="E3063" s="396">
        <f>-G3063</f>
        <v>-60000</v>
      </c>
      <c r="F3063" s="396">
        <v>0</v>
      </c>
      <c r="G3063" s="396">
        <f>+F3062</f>
        <v>60000</v>
      </c>
      <c r="H3063" s="347" t="str">
        <f>+H3062</f>
        <v>Canastas Tomas Alcalde H.</v>
      </c>
      <c r="I3063" s="347" t="s">
        <v>1303</v>
      </c>
      <c r="K3063" s="370"/>
      <c r="N3063" s="370"/>
    </row>
    <row r="3064" spans="1:14" s="347" customFormat="1" x14ac:dyDescent="0.25">
      <c r="K3064" s="370"/>
      <c r="N3064" s="370"/>
    </row>
    <row r="3065" spans="1:14" s="347" customFormat="1" x14ac:dyDescent="0.25">
      <c r="A3065" s="369">
        <v>44356</v>
      </c>
      <c r="B3065" s="340">
        <f>+MONTH(A3065)</f>
        <v>6</v>
      </c>
      <c r="C3065" s="347">
        <v>110</v>
      </c>
      <c r="D3065" s="340" t="str">
        <f>VLOOKUP(C3065,Plan!A$1:B$65542,2,0)</f>
        <v>Disponible Administración</v>
      </c>
      <c r="E3065" s="341">
        <f>+F3065-G3065</f>
        <v>20000</v>
      </c>
      <c r="F3065" s="396">
        <v>20000</v>
      </c>
      <c r="G3065" s="396">
        <v>0</v>
      </c>
      <c r="H3065" s="347" t="s">
        <v>951</v>
      </c>
      <c r="I3065" s="347" t="s">
        <v>1303</v>
      </c>
      <c r="K3065" s="370"/>
      <c r="N3065" s="370"/>
    </row>
    <row r="3066" spans="1:14" s="347" customFormat="1" x14ac:dyDescent="0.25">
      <c r="A3066" s="369">
        <f>+A3065</f>
        <v>44356</v>
      </c>
      <c r="B3066" s="347">
        <f>+B3065</f>
        <v>6</v>
      </c>
      <c r="C3066" s="347">
        <v>3110</v>
      </c>
      <c r="D3066" s="340" t="str">
        <f>VLOOKUP(C3066,Plan!A$1:B$65542,2,0)</f>
        <v>Colectas Normales</v>
      </c>
      <c r="E3066" s="396">
        <f>-G3066</f>
        <v>-20000</v>
      </c>
      <c r="F3066" s="396">
        <v>0</v>
      </c>
      <c r="G3066" s="396">
        <f>+F3065</f>
        <v>20000</v>
      </c>
      <c r="H3066" s="347" t="str">
        <f>+H3065</f>
        <v>Colecta Cyril Hodgson Larrain</v>
      </c>
      <c r="I3066" s="347" t="s">
        <v>1303</v>
      </c>
      <c r="K3066" s="370"/>
      <c r="N3066" s="370"/>
    </row>
    <row r="3067" spans="1:14" s="347" customFormat="1" x14ac:dyDescent="0.25">
      <c r="A3067" s="369"/>
      <c r="E3067" s="396"/>
      <c r="F3067" s="396"/>
      <c r="G3067" s="396"/>
      <c r="K3067" s="370"/>
      <c r="N3067" s="370"/>
    </row>
    <row r="3068" spans="1:14" s="347" customFormat="1" x14ac:dyDescent="0.25">
      <c r="A3068" s="369">
        <v>44356</v>
      </c>
      <c r="B3068" s="340">
        <f>+MONTH(A3068)</f>
        <v>6</v>
      </c>
      <c r="C3068" s="347">
        <v>110</v>
      </c>
      <c r="D3068" s="340" t="str">
        <f>VLOOKUP(C3068,Plan!A$1:B$65542,2,0)</f>
        <v>Disponible Administración</v>
      </c>
      <c r="E3068" s="341">
        <f>+F3068-G3068</f>
        <v>30000</v>
      </c>
      <c r="F3068" s="396">
        <v>30000</v>
      </c>
      <c r="G3068" s="396">
        <v>0</v>
      </c>
      <c r="H3068" s="347" t="s">
        <v>1577</v>
      </c>
      <c r="I3068" s="347" t="s">
        <v>1303</v>
      </c>
      <c r="K3068" s="370"/>
      <c r="N3068" s="370"/>
    </row>
    <row r="3069" spans="1:14" s="347" customFormat="1" x14ac:dyDescent="0.25">
      <c r="A3069" s="369">
        <f>+A3068</f>
        <v>44356</v>
      </c>
      <c r="B3069" s="347">
        <f>+B3068</f>
        <v>6</v>
      </c>
      <c r="C3069" s="347">
        <v>3450</v>
      </c>
      <c r="D3069" s="340" t="str">
        <f>VLOOKUP(C3069,Plan!A$1:B$65542,2,0)</f>
        <v>Pastoral Social</v>
      </c>
      <c r="E3069" s="396">
        <f>-G3069</f>
        <v>-30000</v>
      </c>
      <c r="F3069" s="396">
        <v>0</v>
      </c>
      <c r="G3069" s="396">
        <f>+F3068</f>
        <v>30000</v>
      </c>
      <c r="H3069" s="347" t="str">
        <f>+H3068</f>
        <v>Canastas Cyril Hodgson Larrain</v>
      </c>
      <c r="I3069" s="347" t="s">
        <v>1303</v>
      </c>
      <c r="K3069" s="370"/>
      <c r="N3069" s="370"/>
    </row>
    <row r="3070" spans="1:14" s="347" customFormat="1" x14ac:dyDescent="0.25">
      <c r="A3070" s="369"/>
      <c r="E3070" s="396"/>
      <c r="F3070" s="396"/>
      <c r="G3070" s="396"/>
      <c r="K3070" s="370"/>
      <c r="N3070" s="370"/>
    </row>
    <row r="3071" spans="1:14" s="347" customFormat="1" x14ac:dyDescent="0.25">
      <c r="A3071" s="369">
        <v>44356</v>
      </c>
      <c r="B3071" s="340">
        <f>+MONTH(A3071)</f>
        <v>6</v>
      </c>
      <c r="C3071" s="347">
        <v>110</v>
      </c>
      <c r="D3071" s="340" t="str">
        <f>VLOOKUP(C3071,Plan!A$1:B$65542,2,0)</f>
        <v>Disponible Administración</v>
      </c>
      <c r="E3071" s="341">
        <f>+F3071-G3071</f>
        <v>5000</v>
      </c>
      <c r="F3071" s="396">
        <v>5000</v>
      </c>
      <c r="G3071" s="396">
        <v>0</v>
      </c>
      <c r="H3071" s="347" t="s">
        <v>1574</v>
      </c>
      <c r="I3071" s="347" t="s">
        <v>1303</v>
      </c>
      <c r="K3071" s="370"/>
      <c r="N3071" s="370"/>
    </row>
    <row r="3072" spans="1:14" s="347" customFormat="1" x14ac:dyDescent="0.25">
      <c r="A3072" s="369">
        <f>+A3071</f>
        <v>44356</v>
      </c>
      <c r="B3072" s="347">
        <f>+B3071</f>
        <v>6</v>
      </c>
      <c r="C3072" s="347">
        <v>3340</v>
      </c>
      <c r="D3072" s="340" t="str">
        <f>VLOOKUP(C3072,Plan!A$1:B$65542,2,0)</f>
        <v>Misas</v>
      </c>
      <c r="E3072" s="396">
        <f>-G3072</f>
        <v>-5000</v>
      </c>
      <c r="F3072" s="396">
        <v>0</v>
      </c>
      <c r="G3072" s="396">
        <f>+F3071</f>
        <v>5000</v>
      </c>
      <c r="H3072" s="347" t="str">
        <f>+H3071</f>
        <v>Misa Ximena Suspichiatti</v>
      </c>
      <c r="I3072" s="347" t="s">
        <v>1303</v>
      </c>
      <c r="K3072" s="370"/>
      <c r="N3072" s="370"/>
    </row>
    <row r="3073" spans="1:14" s="347" customFormat="1" x14ac:dyDescent="0.25">
      <c r="A3073" s="369"/>
      <c r="E3073" s="396"/>
      <c r="F3073" s="396"/>
      <c r="G3073" s="396"/>
      <c r="K3073" s="370"/>
      <c r="N3073" s="370"/>
    </row>
    <row r="3074" spans="1:14" s="347" customFormat="1" x14ac:dyDescent="0.25">
      <c r="A3074" s="369">
        <v>44356</v>
      </c>
      <c r="B3074" s="340">
        <f>+MONTH(A3074)</f>
        <v>6</v>
      </c>
      <c r="C3074" s="347">
        <v>110</v>
      </c>
      <c r="D3074" s="340" t="str">
        <f>VLOOKUP(C3074,Plan!A$1:B$65542,2,0)</f>
        <v>Disponible Administración</v>
      </c>
      <c r="E3074" s="341">
        <f>+F3074-G3074</f>
        <v>34326</v>
      </c>
      <c r="F3074" s="396">
        <v>34326</v>
      </c>
      <c r="G3074" s="396">
        <v>0</v>
      </c>
      <c r="H3074" s="347" t="s">
        <v>1529</v>
      </c>
      <c r="I3074" s="347" t="s">
        <v>1303</v>
      </c>
      <c r="K3074" s="370"/>
      <c r="N3074" s="370"/>
    </row>
    <row r="3075" spans="1:14" s="347" customFormat="1" x14ac:dyDescent="0.25">
      <c r="A3075" s="369">
        <f>+A3074</f>
        <v>44356</v>
      </c>
      <c r="B3075" s="347">
        <f>+B3074</f>
        <v>6</v>
      </c>
      <c r="C3075" s="347">
        <v>3450</v>
      </c>
      <c r="D3075" s="340" t="str">
        <f>VLOOKUP(C3075,Plan!A$1:B$65542,2,0)</f>
        <v>Pastoral Social</v>
      </c>
      <c r="E3075" s="396">
        <f>-G3075</f>
        <v>-34326</v>
      </c>
      <c r="F3075" s="396">
        <v>0</v>
      </c>
      <c r="G3075" s="396">
        <f>+F3074</f>
        <v>34326</v>
      </c>
      <c r="H3075" s="347" t="str">
        <f>+H3074</f>
        <v>Canastas DCT</v>
      </c>
      <c r="I3075" s="347" t="s">
        <v>1303</v>
      </c>
      <c r="K3075" s="370"/>
      <c r="N3075" s="370"/>
    </row>
    <row r="3076" spans="1:14" s="347" customFormat="1" x14ac:dyDescent="0.25">
      <c r="A3076" s="369"/>
      <c r="E3076" s="396"/>
      <c r="F3076" s="396"/>
      <c r="G3076" s="396"/>
      <c r="K3076" s="370"/>
      <c r="N3076" s="370"/>
    </row>
    <row r="3077" spans="1:14" s="347" customFormat="1" x14ac:dyDescent="0.25">
      <c r="A3077" s="369">
        <v>44356</v>
      </c>
      <c r="B3077" s="340">
        <f>+MONTH(A3077)</f>
        <v>6</v>
      </c>
      <c r="C3077" s="347">
        <v>110</v>
      </c>
      <c r="D3077" s="340" t="str">
        <f>VLOOKUP(C3077,Plan!A$1:B$65542,2,0)</f>
        <v>Disponible Administración</v>
      </c>
      <c r="E3077" s="341">
        <f>+F3077-G3077</f>
        <v>10000</v>
      </c>
      <c r="F3077" s="396">
        <v>10000</v>
      </c>
      <c r="G3077" s="396">
        <v>0</v>
      </c>
      <c r="H3077" s="347" t="s">
        <v>1578</v>
      </c>
      <c r="I3077" s="347" t="s">
        <v>1303</v>
      </c>
      <c r="K3077" s="370"/>
      <c r="N3077" s="370"/>
    </row>
    <row r="3078" spans="1:14" s="347" customFormat="1" x14ac:dyDescent="0.25">
      <c r="A3078" s="369">
        <f>+A3077</f>
        <v>44356</v>
      </c>
      <c r="B3078" s="347">
        <f>+B3077</f>
        <v>6</v>
      </c>
      <c r="C3078" s="347">
        <v>3110</v>
      </c>
      <c r="D3078" s="340" t="str">
        <f>VLOOKUP(C3078,Plan!A$1:B$65542,2,0)</f>
        <v>Colectas Normales</v>
      </c>
      <c r="E3078" s="396">
        <f>-G3078</f>
        <v>-10000</v>
      </c>
      <c r="F3078" s="396">
        <v>0</v>
      </c>
      <c r="G3078" s="396">
        <f>+F3077</f>
        <v>10000</v>
      </c>
      <c r="H3078" s="347" t="str">
        <f>+H3077</f>
        <v>Colecta Sebastian Lagos V.</v>
      </c>
      <c r="I3078" s="347" t="s">
        <v>1303</v>
      </c>
      <c r="K3078" s="370"/>
      <c r="N3078" s="370"/>
    </row>
    <row r="3079" spans="1:14" s="347" customFormat="1" x14ac:dyDescent="0.25">
      <c r="A3079" s="369"/>
      <c r="E3079" s="396"/>
      <c r="F3079" s="396"/>
      <c r="G3079" s="396"/>
      <c r="K3079" s="370"/>
      <c r="N3079" s="370"/>
    </row>
    <row r="3080" spans="1:14" s="347" customFormat="1" x14ac:dyDescent="0.25">
      <c r="A3080" s="369">
        <v>44356</v>
      </c>
      <c r="B3080" s="340">
        <f>+MONTH(A3080)</f>
        <v>6</v>
      </c>
      <c r="C3080" s="347">
        <v>110</v>
      </c>
      <c r="D3080" s="340" t="str">
        <f>VLOOKUP(C3080,Plan!A$1:B$65542,2,0)</f>
        <v>Disponible Administración</v>
      </c>
      <c r="E3080" s="341">
        <f>+F3080-G3080</f>
        <v>20000</v>
      </c>
      <c r="F3080" s="396">
        <v>20000</v>
      </c>
      <c r="G3080" s="396">
        <v>0</v>
      </c>
      <c r="H3080" s="347" t="s">
        <v>1579</v>
      </c>
      <c r="I3080" s="347" t="s">
        <v>1303</v>
      </c>
      <c r="K3080" s="370"/>
      <c r="N3080" s="370"/>
    </row>
    <row r="3081" spans="1:14" s="347" customFormat="1" x14ac:dyDescent="0.25">
      <c r="A3081" s="369">
        <f>+A3080</f>
        <v>44356</v>
      </c>
      <c r="B3081" s="347">
        <f>+B3080</f>
        <v>6</v>
      </c>
      <c r="C3081" s="347">
        <v>3350</v>
      </c>
      <c r="D3081" s="340" t="str">
        <f>VLOOKUP(C3081,Plan!A$1:B$65542,2,0)</f>
        <v>Bautizos</v>
      </c>
      <c r="E3081" s="396">
        <f>-G3081</f>
        <v>-20000</v>
      </c>
      <c r="F3081" s="396">
        <v>0</v>
      </c>
      <c r="G3081" s="396">
        <f>+F3080</f>
        <v>20000</v>
      </c>
      <c r="H3081" s="347" t="str">
        <f>+H3080</f>
        <v>Bautizo Cristian Ananias</v>
      </c>
      <c r="I3081" s="347" t="s">
        <v>1303</v>
      </c>
      <c r="K3081" s="370"/>
      <c r="N3081" s="370"/>
    </row>
    <row r="3082" spans="1:14" s="347" customFormat="1" x14ac:dyDescent="0.25">
      <c r="A3082" s="369"/>
      <c r="E3082" s="396"/>
      <c r="F3082" s="396"/>
      <c r="G3082" s="396"/>
      <c r="K3082" s="370"/>
      <c r="N3082" s="370"/>
    </row>
    <row r="3083" spans="1:14" s="347" customFormat="1" x14ac:dyDescent="0.25">
      <c r="A3083" s="369">
        <v>44357</v>
      </c>
      <c r="B3083" s="340">
        <f>+MONTH(A3083)</f>
        <v>6</v>
      </c>
      <c r="C3083" s="347">
        <v>110</v>
      </c>
      <c r="D3083" s="340" t="str">
        <f>VLOOKUP(C3083,Plan!A$1:B$65542,2,0)</f>
        <v>Disponible Administración</v>
      </c>
      <c r="E3083" s="341">
        <f>+F3083-G3083</f>
        <v>10000</v>
      </c>
      <c r="F3083" s="396">
        <v>10000</v>
      </c>
      <c r="G3083" s="396">
        <v>0</v>
      </c>
      <c r="H3083" s="347" t="s">
        <v>1580</v>
      </c>
      <c r="I3083" s="347" t="s">
        <v>1303</v>
      </c>
      <c r="K3083" s="370"/>
      <c r="N3083" s="370"/>
    </row>
    <row r="3084" spans="1:14" s="347" customFormat="1" x14ac:dyDescent="0.25">
      <c r="A3084" s="369">
        <f>+A3083</f>
        <v>44357</v>
      </c>
      <c r="B3084" s="347">
        <f>+B3083</f>
        <v>6</v>
      </c>
      <c r="C3084" s="347">
        <v>3450</v>
      </c>
      <c r="D3084" s="340" t="str">
        <f>VLOOKUP(C3084,Plan!A$1:B$65542,2,0)</f>
        <v>Pastoral Social</v>
      </c>
      <c r="E3084" s="396">
        <f>-G3084</f>
        <v>-10000</v>
      </c>
      <c r="F3084" s="396">
        <v>0</v>
      </c>
      <c r="G3084" s="396">
        <f>+F3083</f>
        <v>10000</v>
      </c>
      <c r="H3084" s="347" t="str">
        <f>+H3083</f>
        <v>Canastas Bernardita Arce/M.Ines Valdes</v>
      </c>
      <c r="I3084" s="347" t="s">
        <v>1303</v>
      </c>
      <c r="K3084" s="370"/>
      <c r="N3084" s="370"/>
    </row>
    <row r="3085" spans="1:14" s="347" customFormat="1" x14ac:dyDescent="0.25">
      <c r="A3085" s="369"/>
      <c r="E3085" s="396"/>
      <c r="F3085" s="396"/>
      <c r="G3085" s="396"/>
      <c r="K3085" s="370"/>
      <c r="N3085" s="370"/>
    </row>
    <row r="3086" spans="1:14" s="347" customFormat="1" x14ac:dyDescent="0.25">
      <c r="A3086" s="369">
        <v>44357</v>
      </c>
      <c r="B3086" s="340">
        <f>+MONTH(A3086)</f>
        <v>6</v>
      </c>
      <c r="C3086" s="347">
        <v>4324</v>
      </c>
      <c r="D3086" s="340" t="str">
        <f>VLOOKUP(C3086,Plan!A$1:B$65542,2,0)</f>
        <v>Gas</v>
      </c>
      <c r="E3086" s="341">
        <f>+F3086-G3086</f>
        <v>1516</v>
      </c>
      <c r="F3086" s="396">
        <v>1516</v>
      </c>
      <c r="G3086" s="396">
        <v>0</v>
      </c>
      <c r="H3086" s="347" t="s">
        <v>741</v>
      </c>
      <c r="I3086" s="347" t="s">
        <v>1303</v>
      </c>
      <c r="K3086" s="370"/>
      <c r="N3086" s="370"/>
    </row>
    <row r="3087" spans="1:14" s="347" customFormat="1" x14ac:dyDescent="0.25">
      <c r="A3087" s="369">
        <f>+A3086</f>
        <v>44357</v>
      </c>
      <c r="B3087" s="347">
        <f>+B3086</f>
        <v>6</v>
      </c>
      <c r="C3087" s="347">
        <v>110</v>
      </c>
      <c r="D3087" s="340" t="str">
        <f>VLOOKUP(C3087,Plan!A$1:B$65542,2,0)</f>
        <v>Disponible Administración</v>
      </c>
      <c r="E3087" s="396">
        <f>-G3087</f>
        <v>-1516</v>
      </c>
      <c r="F3087" s="396">
        <v>0</v>
      </c>
      <c r="G3087" s="396">
        <f>+F3086</f>
        <v>1516</v>
      </c>
      <c r="H3087" s="347" t="str">
        <f>+H3086</f>
        <v>PAC Metrogas Oficina</v>
      </c>
      <c r="I3087" s="347" t="s">
        <v>1303</v>
      </c>
      <c r="K3087" s="370"/>
      <c r="N3087" s="370"/>
    </row>
    <row r="3088" spans="1:14" s="347" customFormat="1" x14ac:dyDescent="0.25">
      <c r="A3088" s="369"/>
      <c r="E3088" s="396"/>
      <c r="F3088" s="396"/>
      <c r="G3088" s="396"/>
      <c r="K3088" s="370"/>
      <c r="N3088" s="370"/>
    </row>
    <row r="3089" spans="1:14" s="347" customFormat="1" x14ac:dyDescent="0.25">
      <c r="A3089" s="369">
        <v>44357</v>
      </c>
      <c r="B3089" s="340">
        <f>+MONTH(A3089)</f>
        <v>6</v>
      </c>
      <c r="C3089" s="347">
        <v>4323</v>
      </c>
      <c r="D3089" s="340" t="str">
        <f>VLOOKUP(C3089,Plan!A$1:B$65542,2,0)</f>
        <v>Telefonía, Internet (VTR, Entel)</v>
      </c>
      <c r="E3089" s="341">
        <f>+F3089-G3089</f>
        <v>35155</v>
      </c>
      <c r="F3089" s="396">
        <v>35155</v>
      </c>
      <c r="G3089" s="396">
        <v>0</v>
      </c>
      <c r="H3089" s="347" t="s">
        <v>1483</v>
      </c>
      <c r="I3089" s="347" t="s">
        <v>1303</v>
      </c>
      <c r="K3089" s="370"/>
      <c r="N3089" s="370"/>
    </row>
    <row r="3090" spans="1:14" s="347" customFormat="1" x14ac:dyDescent="0.25">
      <c r="A3090" s="369">
        <f>+A3089</f>
        <v>44357</v>
      </c>
      <c r="B3090" s="347">
        <f>+B3089</f>
        <v>6</v>
      </c>
      <c r="C3090" s="347">
        <v>110</v>
      </c>
      <c r="D3090" s="340" t="str">
        <f>VLOOKUP(C3090,Plan!A$1:B$65542,2,0)</f>
        <v>Disponible Administración</v>
      </c>
      <c r="E3090" s="396">
        <f>-G3090</f>
        <v>-35155</v>
      </c>
      <c r="F3090" s="396">
        <v>0</v>
      </c>
      <c r="G3090" s="396">
        <f>+F3089</f>
        <v>35155</v>
      </c>
      <c r="H3090" s="347" t="str">
        <f>+H3089</f>
        <v>PAC VTR</v>
      </c>
      <c r="I3090" s="347" t="s">
        <v>1303</v>
      </c>
      <c r="K3090" s="370"/>
      <c r="N3090" s="370"/>
    </row>
    <row r="3091" spans="1:14" s="347" customFormat="1" x14ac:dyDescent="0.25">
      <c r="A3091" s="369"/>
      <c r="E3091" s="396"/>
      <c r="F3091" s="396"/>
      <c r="G3091" s="396"/>
      <c r="K3091" s="370"/>
      <c r="N3091" s="370"/>
    </row>
    <row r="3092" spans="1:14" s="347" customFormat="1" x14ac:dyDescent="0.25">
      <c r="A3092" s="369">
        <v>44357</v>
      </c>
      <c r="B3092" s="340">
        <f>+MONTH(A3092)</f>
        <v>6</v>
      </c>
      <c r="C3092" s="347">
        <v>110</v>
      </c>
      <c r="D3092" s="340" t="str">
        <f>VLOOKUP(C3092,Plan!A$1:B$65542,2,0)</f>
        <v>Disponible Administración</v>
      </c>
      <c r="E3092" s="341">
        <f>+F3092-G3092</f>
        <v>59286</v>
      </c>
      <c r="F3092" s="396">
        <v>59286</v>
      </c>
      <c r="G3092" s="396">
        <v>0</v>
      </c>
      <c r="H3092" s="347" t="s">
        <v>897</v>
      </c>
      <c r="I3092" s="347" t="s">
        <v>1303</v>
      </c>
      <c r="K3092" s="370"/>
      <c r="N3092" s="370"/>
    </row>
    <row r="3093" spans="1:14" s="347" customFormat="1" x14ac:dyDescent="0.25">
      <c r="A3093" s="369">
        <f>+A3092</f>
        <v>44357</v>
      </c>
      <c r="B3093" s="347">
        <f>+B3092</f>
        <v>6</v>
      </c>
      <c r="C3093" s="347">
        <v>3110</v>
      </c>
      <c r="D3093" s="340" t="str">
        <f>VLOOKUP(C3093,Plan!A$1:B$65542,2,0)</f>
        <v>Colectas Normales</v>
      </c>
      <c r="E3093" s="396">
        <f>-G3093</f>
        <v>-59286</v>
      </c>
      <c r="F3093" s="396">
        <v>0</v>
      </c>
      <c r="G3093" s="396">
        <f>+F3092</f>
        <v>59286</v>
      </c>
      <c r="H3093" s="347" t="str">
        <f>+H3092</f>
        <v>Colecta DCT</v>
      </c>
      <c r="I3093" s="347" t="s">
        <v>1303</v>
      </c>
      <c r="K3093" s="370"/>
      <c r="N3093" s="370"/>
    </row>
    <row r="3094" spans="1:14" s="347" customFormat="1" x14ac:dyDescent="0.25">
      <c r="A3094" s="369"/>
      <c r="E3094" s="396"/>
      <c r="F3094" s="396"/>
      <c r="G3094" s="396"/>
      <c r="K3094" s="370"/>
      <c r="N3094" s="370"/>
    </row>
    <row r="3095" spans="1:14" s="347" customFormat="1" x14ac:dyDescent="0.25">
      <c r="A3095" s="369">
        <v>44357</v>
      </c>
      <c r="B3095" s="340">
        <f>+MONTH(A3095)</f>
        <v>6</v>
      </c>
      <c r="C3095" s="347">
        <v>110</v>
      </c>
      <c r="D3095" s="340" t="str">
        <f>VLOOKUP(C3095,Plan!A$1:B$65542,2,0)</f>
        <v>Disponible Administración</v>
      </c>
      <c r="E3095" s="341">
        <f>+F3095-G3095</f>
        <v>100000</v>
      </c>
      <c r="F3095" s="396">
        <v>100000</v>
      </c>
      <c r="G3095" s="396">
        <v>0</v>
      </c>
      <c r="H3095" s="347" t="s">
        <v>1581</v>
      </c>
      <c r="I3095" s="347" t="s">
        <v>1303</v>
      </c>
      <c r="K3095" s="370"/>
      <c r="N3095" s="370"/>
    </row>
    <row r="3096" spans="1:14" s="347" customFormat="1" x14ac:dyDescent="0.25">
      <c r="A3096" s="369">
        <f>+A3095</f>
        <v>44357</v>
      </c>
      <c r="B3096" s="347">
        <f>+B3095</f>
        <v>6</v>
      </c>
      <c r="C3096" s="347">
        <v>215</v>
      </c>
      <c r="D3096" s="340" t="str">
        <f>VLOOKUP(C3096,Plan!A$1:B$65542,2,0)</f>
        <v>Cuenta por Pagar a Cali</v>
      </c>
      <c r="E3096" s="396">
        <f>-G3096</f>
        <v>-100000</v>
      </c>
      <c r="F3096" s="396">
        <v>0</v>
      </c>
      <c r="G3096" s="396">
        <f>+F3095</f>
        <v>100000</v>
      </c>
      <c r="H3096" s="347" t="str">
        <f>+H3095</f>
        <v>Hugo Rosende Alvarez / 249</v>
      </c>
      <c r="I3096" s="347" t="s">
        <v>1303</v>
      </c>
      <c r="K3096" s="370"/>
      <c r="N3096" s="370"/>
    </row>
    <row r="3097" spans="1:14" s="347" customFormat="1" x14ac:dyDescent="0.25">
      <c r="A3097" s="369"/>
      <c r="E3097" s="396"/>
      <c r="F3097" s="396"/>
      <c r="G3097" s="396"/>
      <c r="K3097" s="370"/>
      <c r="N3097" s="370"/>
    </row>
    <row r="3098" spans="1:14" s="347" customFormat="1" x14ac:dyDescent="0.25">
      <c r="A3098" s="369">
        <v>44357</v>
      </c>
      <c r="B3098" s="340">
        <f>+MONTH(A3098)</f>
        <v>6</v>
      </c>
      <c r="C3098" s="347">
        <v>110</v>
      </c>
      <c r="D3098" s="340" t="str">
        <f>VLOOKUP(C3098,Plan!A$1:B$65542,2,0)</f>
        <v>Disponible Administración</v>
      </c>
      <c r="E3098" s="341">
        <f>+F3098-G3098</f>
        <v>50000</v>
      </c>
      <c r="F3098" s="396">
        <v>50000</v>
      </c>
      <c r="G3098" s="396">
        <v>0</v>
      </c>
      <c r="H3098" s="347" t="s">
        <v>1582</v>
      </c>
      <c r="I3098" s="347" t="s">
        <v>1303</v>
      </c>
      <c r="K3098" s="370"/>
      <c r="N3098" s="370"/>
    </row>
    <row r="3099" spans="1:14" s="347" customFormat="1" x14ac:dyDescent="0.25">
      <c r="A3099" s="369">
        <f>+A3098</f>
        <v>44357</v>
      </c>
      <c r="B3099" s="347">
        <f>+B3098</f>
        <v>6</v>
      </c>
      <c r="C3099" s="347">
        <v>3450</v>
      </c>
      <c r="D3099" s="340" t="str">
        <f>VLOOKUP(C3099,Plan!A$1:B$65542,2,0)</f>
        <v>Pastoral Social</v>
      </c>
      <c r="E3099" s="396">
        <f>-G3099</f>
        <v>-50000</v>
      </c>
      <c r="F3099" s="396">
        <v>0</v>
      </c>
      <c r="G3099" s="396">
        <f>+F3098</f>
        <v>50000</v>
      </c>
      <c r="H3099" s="347" t="str">
        <f>+H3098</f>
        <v>Canastas Maria Luisa Rojas Cruz</v>
      </c>
      <c r="I3099" s="347" t="s">
        <v>1303</v>
      </c>
      <c r="K3099" s="370"/>
      <c r="N3099" s="370"/>
    </row>
    <row r="3100" spans="1:14" s="347" customFormat="1" x14ac:dyDescent="0.25">
      <c r="A3100" s="369"/>
      <c r="E3100" s="396"/>
      <c r="F3100" s="396"/>
      <c r="G3100" s="396"/>
      <c r="K3100" s="370"/>
      <c r="N3100" s="370"/>
    </row>
    <row r="3101" spans="1:14" s="347" customFormat="1" x14ac:dyDescent="0.25">
      <c r="A3101" s="369">
        <v>44357</v>
      </c>
      <c r="B3101" s="340">
        <f>+MONTH(A3101)</f>
        <v>6</v>
      </c>
      <c r="C3101" s="347">
        <v>110</v>
      </c>
      <c r="D3101" s="340" t="str">
        <f>VLOOKUP(C3101,Plan!A$1:B$65542,2,0)</f>
        <v>Disponible Administración</v>
      </c>
      <c r="E3101" s="341">
        <f>+F3101-G3101</f>
        <v>20000</v>
      </c>
      <c r="F3101" s="396">
        <v>20000</v>
      </c>
      <c r="G3101" s="396">
        <v>0</v>
      </c>
      <c r="H3101" s="347" t="s">
        <v>1332</v>
      </c>
      <c r="I3101" s="347" t="s">
        <v>1303</v>
      </c>
      <c r="K3101" s="370"/>
      <c r="N3101" s="370"/>
    </row>
    <row r="3102" spans="1:14" s="347" customFormat="1" x14ac:dyDescent="0.25">
      <c r="A3102" s="369">
        <f>+A3101</f>
        <v>44357</v>
      </c>
      <c r="B3102" s="347">
        <f>+B3101</f>
        <v>6</v>
      </c>
      <c r="C3102" s="347">
        <v>3110</v>
      </c>
      <c r="D3102" s="340" t="str">
        <f>VLOOKUP(C3102,Plan!A$1:B$65542,2,0)</f>
        <v>Colectas Normales</v>
      </c>
      <c r="E3102" s="396">
        <f>-G3102</f>
        <v>-20000</v>
      </c>
      <c r="F3102" s="396">
        <v>0</v>
      </c>
      <c r="G3102" s="396">
        <f>+F3101</f>
        <v>20000</v>
      </c>
      <c r="H3102" s="347" t="str">
        <f>+H3101</f>
        <v>Colecta Maria Luz Parodi Gil</v>
      </c>
      <c r="I3102" s="347" t="s">
        <v>1303</v>
      </c>
      <c r="K3102" s="370"/>
      <c r="N3102" s="370"/>
    </row>
    <row r="3103" spans="1:14" s="347" customFormat="1" x14ac:dyDescent="0.25">
      <c r="A3103" s="369"/>
      <c r="E3103" s="396"/>
      <c r="F3103" s="396"/>
      <c r="G3103" s="396"/>
      <c r="K3103" s="370"/>
      <c r="N3103" s="370"/>
    </row>
    <row r="3104" spans="1:14" s="347" customFormat="1" x14ac:dyDescent="0.25">
      <c r="A3104" s="369">
        <v>44357</v>
      </c>
      <c r="B3104" s="340">
        <f>+MONTH(A3104)</f>
        <v>6</v>
      </c>
      <c r="C3104" s="347">
        <v>110</v>
      </c>
      <c r="D3104" s="340" t="str">
        <f>VLOOKUP(C3104,Plan!A$1:B$65542,2,0)</f>
        <v>Disponible Administración</v>
      </c>
      <c r="E3104" s="341">
        <f>+F3104-G3104</f>
        <v>30000</v>
      </c>
      <c r="F3104" s="396">
        <v>30000</v>
      </c>
      <c r="G3104" s="396">
        <v>0</v>
      </c>
      <c r="H3104" s="347" t="s">
        <v>919</v>
      </c>
      <c r="I3104" s="347" t="s">
        <v>1303</v>
      </c>
      <c r="K3104" s="370"/>
      <c r="N3104" s="370"/>
    </row>
    <row r="3105" spans="1:14" s="347" customFormat="1" x14ac:dyDescent="0.25">
      <c r="A3105" s="369">
        <f>+A3104</f>
        <v>44357</v>
      </c>
      <c r="B3105" s="347">
        <f>+B3104</f>
        <v>6</v>
      </c>
      <c r="C3105" s="347">
        <v>3110</v>
      </c>
      <c r="D3105" s="340" t="str">
        <f>VLOOKUP(C3105,Plan!A$1:B$65542,2,0)</f>
        <v>Colectas Normales</v>
      </c>
      <c r="E3105" s="396">
        <f>-G3105</f>
        <v>-30000</v>
      </c>
      <c r="F3105" s="396">
        <v>0</v>
      </c>
      <c r="G3105" s="396">
        <f>+F3104</f>
        <v>30000</v>
      </c>
      <c r="H3105" s="347" t="str">
        <f>+H3104</f>
        <v>Colecta Maria Josefina Jofre M</v>
      </c>
      <c r="I3105" s="347" t="s">
        <v>1303</v>
      </c>
      <c r="K3105" s="370"/>
      <c r="N3105" s="370"/>
    </row>
    <row r="3106" spans="1:14" s="347" customFormat="1" x14ac:dyDescent="0.25">
      <c r="A3106" s="369"/>
      <c r="E3106" s="396"/>
      <c r="F3106" s="396"/>
      <c r="G3106" s="396"/>
      <c r="K3106" s="370"/>
      <c r="N3106" s="370"/>
    </row>
    <row r="3107" spans="1:14" s="347" customFormat="1" x14ac:dyDescent="0.25">
      <c r="A3107" s="369">
        <v>44358</v>
      </c>
      <c r="B3107" s="340">
        <f>+MONTH(A3107)</f>
        <v>6</v>
      </c>
      <c r="C3107" s="347">
        <v>110</v>
      </c>
      <c r="D3107" s="340" t="str">
        <f>VLOOKUP(C3107,Plan!A$1:B$65542,2,0)</f>
        <v>Disponible Administración</v>
      </c>
      <c r="E3107" s="341">
        <f>+F3107-G3107</f>
        <v>27000</v>
      </c>
      <c r="F3107" s="396">
        <v>27000</v>
      </c>
      <c r="G3107" s="396">
        <v>0</v>
      </c>
      <c r="H3107" s="347" t="s">
        <v>889</v>
      </c>
      <c r="I3107" s="347" t="s">
        <v>1303</v>
      </c>
      <c r="K3107" s="370"/>
      <c r="N3107" s="370"/>
    </row>
    <row r="3108" spans="1:14" s="347" customFormat="1" x14ac:dyDescent="0.25">
      <c r="A3108" s="369">
        <f>+A3107</f>
        <v>44358</v>
      </c>
      <c r="B3108" s="347">
        <f>+B3107</f>
        <v>6</v>
      </c>
      <c r="C3108" s="347">
        <v>3110</v>
      </c>
      <c r="D3108" s="340" t="str">
        <f>VLOOKUP(C3108,Plan!A$1:B$65542,2,0)</f>
        <v>Colectas Normales</v>
      </c>
      <c r="E3108" s="396">
        <f>-G3108</f>
        <v>-27000</v>
      </c>
      <c r="F3108" s="396">
        <v>0</v>
      </c>
      <c r="G3108" s="396">
        <f>+F3107</f>
        <v>27000</v>
      </c>
      <c r="H3108" s="347" t="str">
        <f>+H3107</f>
        <v>Colecta Keryma Felmer Echeverria</v>
      </c>
      <c r="I3108" s="347" t="s">
        <v>1303</v>
      </c>
      <c r="K3108" s="370"/>
      <c r="N3108" s="370"/>
    </row>
    <row r="3109" spans="1:14" s="347" customFormat="1" x14ac:dyDescent="0.25">
      <c r="A3109" s="369"/>
      <c r="E3109" s="396"/>
      <c r="F3109" s="396"/>
      <c r="G3109" s="396"/>
      <c r="K3109" s="370"/>
      <c r="N3109" s="370"/>
    </row>
    <row r="3110" spans="1:14" s="347" customFormat="1" x14ac:dyDescent="0.25">
      <c r="A3110" s="369">
        <v>44358</v>
      </c>
      <c r="B3110" s="340">
        <f>+MONTH(A3110)</f>
        <v>6</v>
      </c>
      <c r="C3110" s="347">
        <v>110</v>
      </c>
      <c r="D3110" s="340" t="str">
        <f>VLOOKUP(C3110,Plan!A$1:B$65542,2,0)</f>
        <v>Disponible Administración</v>
      </c>
      <c r="E3110" s="341">
        <f>+F3110-G3110</f>
        <v>20000</v>
      </c>
      <c r="F3110" s="396">
        <v>20000</v>
      </c>
      <c r="G3110" s="396">
        <v>0</v>
      </c>
      <c r="H3110" s="347" t="s">
        <v>895</v>
      </c>
      <c r="I3110" s="347" t="s">
        <v>1303</v>
      </c>
      <c r="K3110" s="370"/>
      <c r="N3110" s="370"/>
    </row>
    <row r="3111" spans="1:14" s="347" customFormat="1" x14ac:dyDescent="0.25">
      <c r="A3111" s="369">
        <f>+A3110</f>
        <v>44358</v>
      </c>
      <c r="B3111" s="347">
        <f>+B3110</f>
        <v>6</v>
      </c>
      <c r="C3111" s="347">
        <v>3110</v>
      </c>
      <c r="D3111" s="340" t="str">
        <f>VLOOKUP(C3111,Plan!A$1:B$65542,2,0)</f>
        <v>Colectas Normales</v>
      </c>
      <c r="E3111" s="396">
        <f>-G3111</f>
        <v>-20000</v>
      </c>
      <c r="F3111" s="396">
        <v>0</v>
      </c>
      <c r="G3111" s="396">
        <f>+F3110</f>
        <v>20000</v>
      </c>
      <c r="H3111" s="347" t="str">
        <f>+H3110</f>
        <v>Colecta Luis Larenas Vergara</v>
      </c>
      <c r="I3111" s="347" t="s">
        <v>1303</v>
      </c>
      <c r="K3111" s="370"/>
      <c r="N3111" s="370"/>
    </row>
    <row r="3112" spans="1:14" s="347" customFormat="1" x14ac:dyDescent="0.25">
      <c r="A3112" s="369"/>
      <c r="E3112" s="396"/>
      <c r="F3112" s="396"/>
      <c r="G3112" s="396"/>
      <c r="K3112" s="370"/>
      <c r="N3112" s="370"/>
    </row>
    <row r="3113" spans="1:14" s="347" customFormat="1" x14ac:dyDescent="0.25">
      <c r="A3113" s="369">
        <v>44358</v>
      </c>
      <c r="B3113" s="340">
        <f>+MONTH(A3113)</f>
        <v>6</v>
      </c>
      <c r="C3113" s="347">
        <v>110</v>
      </c>
      <c r="D3113" s="340" t="str">
        <f>VLOOKUP(C3113,Plan!A$1:B$65542,2,0)</f>
        <v>Disponible Administración</v>
      </c>
      <c r="E3113" s="341">
        <f>+F3113-G3113</f>
        <v>40000</v>
      </c>
      <c r="F3113" s="396">
        <v>40000</v>
      </c>
      <c r="G3113" s="396">
        <v>0</v>
      </c>
      <c r="H3113" s="347" t="s">
        <v>1583</v>
      </c>
      <c r="I3113" s="347" t="s">
        <v>1303</v>
      </c>
      <c r="K3113" s="370"/>
      <c r="N3113" s="370"/>
    </row>
    <row r="3114" spans="1:14" s="347" customFormat="1" x14ac:dyDescent="0.25">
      <c r="A3114" s="369">
        <f>+A3113</f>
        <v>44358</v>
      </c>
      <c r="B3114" s="347">
        <f>+B3113</f>
        <v>6</v>
      </c>
      <c r="C3114" s="347">
        <v>3450</v>
      </c>
      <c r="D3114" s="340" t="str">
        <f>VLOOKUP(C3114,Plan!A$1:B$65542,2,0)</f>
        <v>Pastoral Social</v>
      </c>
      <c r="E3114" s="396">
        <f>-G3114</f>
        <v>-40000</v>
      </c>
      <c r="F3114" s="396">
        <v>0</v>
      </c>
      <c r="G3114" s="396">
        <f>+F3113</f>
        <v>40000</v>
      </c>
      <c r="H3114" s="347" t="str">
        <f>+H3113</f>
        <v>Canastas Cristian Espinosa</v>
      </c>
      <c r="I3114" s="347" t="s">
        <v>1303</v>
      </c>
      <c r="K3114" s="370"/>
      <c r="N3114" s="370"/>
    </row>
    <row r="3115" spans="1:14" s="347" customFormat="1" x14ac:dyDescent="0.25">
      <c r="A3115" s="369"/>
      <c r="E3115" s="396"/>
      <c r="F3115" s="396"/>
      <c r="G3115" s="396"/>
      <c r="K3115" s="370"/>
      <c r="N3115" s="370"/>
    </row>
    <row r="3116" spans="1:14" s="347" customFormat="1" x14ac:dyDescent="0.25">
      <c r="A3116" s="369">
        <v>44358</v>
      </c>
      <c r="B3116" s="340">
        <f>+MONTH(A3116)</f>
        <v>6</v>
      </c>
      <c r="C3116" s="347">
        <v>110</v>
      </c>
      <c r="D3116" s="340" t="str">
        <f>VLOOKUP(C3116,Plan!A$1:B$65542,2,0)</f>
        <v>Disponible Administración</v>
      </c>
      <c r="E3116" s="341">
        <f>+F3116-G3116</f>
        <v>3000</v>
      </c>
      <c r="F3116" s="396">
        <v>3000</v>
      </c>
      <c r="G3116" s="396">
        <v>0</v>
      </c>
      <c r="H3116" s="347" t="s">
        <v>1584</v>
      </c>
      <c r="I3116" s="347" t="s">
        <v>1303</v>
      </c>
      <c r="K3116" s="370"/>
      <c r="N3116" s="370"/>
    </row>
    <row r="3117" spans="1:14" s="347" customFormat="1" x14ac:dyDescent="0.25">
      <c r="A3117" s="369">
        <f>+A3116</f>
        <v>44358</v>
      </c>
      <c r="B3117" s="347">
        <f>+B3116</f>
        <v>6</v>
      </c>
      <c r="C3117" s="347">
        <v>3110</v>
      </c>
      <c r="D3117" s="340" t="str">
        <f>VLOOKUP(C3117,Plan!A$1:B$65542,2,0)</f>
        <v>Colectas Normales</v>
      </c>
      <c r="E3117" s="396">
        <f>-G3117</f>
        <v>-3000</v>
      </c>
      <c r="F3117" s="396">
        <v>0</v>
      </c>
      <c r="G3117" s="396">
        <f>+F3116</f>
        <v>3000</v>
      </c>
      <c r="H3117" s="347" t="str">
        <f>+H3116</f>
        <v>Colecta Jose Miguel Perez de Castro Z.</v>
      </c>
      <c r="I3117" s="347" t="s">
        <v>1303</v>
      </c>
      <c r="K3117" s="370"/>
      <c r="N3117" s="370"/>
    </row>
    <row r="3118" spans="1:14" s="347" customFormat="1" x14ac:dyDescent="0.25">
      <c r="A3118" s="369"/>
      <c r="E3118" s="396"/>
      <c r="F3118" s="396"/>
      <c r="G3118" s="396"/>
      <c r="K3118" s="370"/>
      <c r="N3118" s="370"/>
    </row>
    <row r="3119" spans="1:14" s="347" customFormat="1" x14ac:dyDescent="0.25">
      <c r="A3119" s="369">
        <v>44358</v>
      </c>
      <c r="B3119" s="340">
        <f>+MONTH(A3119)</f>
        <v>6</v>
      </c>
      <c r="C3119" s="347">
        <v>110</v>
      </c>
      <c r="D3119" s="340" t="str">
        <f>VLOOKUP(C3119,Plan!A$1:B$65542,2,0)</f>
        <v>Disponible Administración</v>
      </c>
      <c r="E3119" s="341">
        <f>+F3119-G3119</f>
        <v>24518</v>
      </c>
      <c r="F3119" s="396">
        <v>24518</v>
      </c>
      <c r="G3119" s="396">
        <v>0</v>
      </c>
      <c r="H3119" s="347" t="s">
        <v>1529</v>
      </c>
      <c r="I3119" s="347" t="s">
        <v>1303</v>
      </c>
      <c r="K3119" s="370"/>
      <c r="N3119" s="370"/>
    </row>
    <row r="3120" spans="1:14" s="347" customFormat="1" x14ac:dyDescent="0.25">
      <c r="A3120" s="369">
        <f>+A3119</f>
        <v>44358</v>
      </c>
      <c r="B3120" s="347">
        <f>+B3119</f>
        <v>6</v>
      </c>
      <c r="C3120" s="347">
        <v>3450</v>
      </c>
      <c r="D3120" s="340" t="str">
        <f>VLOOKUP(C3120,Plan!A$1:B$65542,2,0)</f>
        <v>Pastoral Social</v>
      </c>
      <c r="E3120" s="396">
        <f>-G3120</f>
        <v>-24518</v>
      </c>
      <c r="F3120" s="396">
        <v>0</v>
      </c>
      <c r="G3120" s="396">
        <f>+F3119</f>
        <v>24518</v>
      </c>
      <c r="H3120" s="347" t="str">
        <f>+H3119</f>
        <v>Canastas DCT</v>
      </c>
      <c r="I3120" s="347" t="s">
        <v>1303</v>
      </c>
      <c r="K3120" s="370"/>
      <c r="N3120" s="370"/>
    </row>
    <row r="3121" spans="1:14" s="347" customFormat="1" x14ac:dyDescent="0.25">
      <c r="A3121" s="369"/>
      <c r="E3121" s="396"/>
      <c r="F3121" s="396"/>
      <c r="G3121" s="396"/>
      <c r="K3121" s="370"/>
      <c r="N3121" s="370"/>
    </row>
    <row r="3122" spans="1:14" s="347" customFormat="1" x14ac:dyDescent="0.25">
      <c r="A3122" s="369">
        <v>44358</v>
      </c>
      <c r="B3122" s="340">
        <f>+MONTH(A3122)</f>
        <v>6</v>
      </c>
      <c r="C3122" s="347">
        <v>110</v>
      </c>
      <c r="D3122" s="340" t="str">
        <f>VLOOKUP(C3122,Plan!A$1:B$65542,2,0)</f>
        <v>Disponible Administración</v>
      </c>
      <c r="E3122" s="341">
        <f>+F3122-G3122</f>
        <v>16000</v>
      </c>
      <c r="F3122" s="396">
        <v>16000</v>
      </c>
      <c r="G3122" s="396">
        <v>0</v>
      </c>
      <c r="H3122" s="347" t="s">
        <v>1330</v>
      </c>
      <c r="I3122" s="347" t="s">
        <v>1303</v>
      </c>
      <c r="K3122" s="370"/>
      <c r="N3122" s="370"/>
    </row>
    <row r="3123" spans="1:14" s="347" customFormat="1" x14ac:dyDescent="0.25">
      <c r="A3123" s="369">
        <f>+A3122</f>
        <v>44358</v>
      </c>
      <c r="B3123" s="347">
        <f>+B3122</f>
        <v>6</v>
      </c>
      <c r="C3123" s="347">
        <v>3110</v>
      </c>
      <c r="D3123" s="340" t="str">
        <f>VLOOKUP(C3123,Plan!A$1:B$65542,2,0)</f>
        <v>Colectas Normales</v>
      </c>
      <c r="E3123" s="396">
        <f>-G3123</f>
        <v>-16000</v>
      </c>
      <c r="F3123" s="396">
        <v>0</v>
      </c>
      <c r="G3123" s="396">
        <f>+F3122</f>
        <v>16000</v>
      </c>
      <c r="H3123" s="347" t="str">
        <f>+H3122</f>
        <v>Colecta Leonardo Robles Copello</v>
      </c>
      <c r="I3123" s="347" t="s">
        <v>1303</v>
      </c>
      <c r="K3123" s="370"/>
      <c r="N3123" s="370"/>
    </row>
    <row r="3124" spans="1:14" s="347" customFormat="1" x14ac:dyDescent="0.25">
      <c r="A3124" s="369"/>
      <c r="E3124" s="396"/>
      <c r="F3124" s="396"/>
      <c r="G3124" s="396"/>
      <c r="K3124" s="370"/>
      <c r="N3124" s="370"/>
    </row>
    <row r="3125" spans="1:14" s="347" customFormat="1" x14ac:dyDescent="0.25">
      <c r="A3125" s="369">
        <v>44358</v>
      </c>
      <c r="B3125" s="340">
        <f>+MONTH(A3125)</f>
        <v>6</v>
      </c>
      <c r="C3125" s="347">
        <v>110</v>
      </c>
      <c r="D3125" s="340" t="str">
        <f>VLOOKUP(C3125,Plan!A$1:B$65542,2,0)</f>
        <v>Disponible Administración</v>
      </c>
      <c r="E3125" s="341">
        <f>+F3125-G3125</f>
        <v>20000</v>
      </c>
      <c r="F3125" s="396">
        <v>20000</v>
      </c>
      <c r="G3125" s="396">
        <v>0</v>
      </c>
      <c r="H3125" s="347" t="s">
        <v>1585</v>
      </c>
      <c r="I3125" s="347" t="s">
        <v>1303</v>
      </c>
      <c r="K3125" s="370"/>
      <c r="N3125" s="370"/>
    </row>
    <row r="3126" spans="1:14" s="347" customFormat="1" x14ac:dyDescent="0.25">
      <c r="A3126" s="369">
        <f>+A3125</f>
        <v>44358</v>
      </c>
      <c r="B3126" s="347">
        <f>+B3125</f>
        <v>6</v>
      </c>
      <c r="C3126" s="347">
        <v>3450</v>
      </c>
      <c r="D3126" s="340" t="str">
        <f>VLOOKUP(C3126,Plan!A$1:B$65542,2,0)</f>
        <v>Pastoral Social</v>
      </c>
      <c r="E3126" s="396">
        <f>-G3126</f>
        <v>-20000</v>
      </c>
      <c r="F3126" s="396">
        <v>0</v>
      </c>
      <c r="G3126" s="396">
        <f>+F3125</f>
        <v>20000</v>
      </c>
      <c r="H3126" s="347" t="str">
        <f>+H3125</f>
        <v>Canastas Leonardo Robles Copello</v>
      </c>
      <c r="I3126" s="347" t="s">
        <v>1303</v>
      </c>
      <c r="K3126" s="370"/>
      <c r="N3126" s="370"/>
    </row>
    <row r="3127" spans="1:14" s="347" customFormat="1" x14ac:dyDescent="0.25">
      <c r="A3127" s="369"/>
      <c r="E3127" s="396"/>
      <c r="F3127" s="396"/>
      <c r="G3127" s="396"/>
      <c r="K3127" s="370"/>
      <c r="N3127" s="370"/>
    </row>
    <row r="3128" spans="1:14" s="347" customFormat="1" x14ac:dyDescent="0.25">
      <c r="A3128" s="369">
        <v>44358</v>
      </c>
      <c r="B3128" s="340">
        <f>+MONTH(A3128)</f>
        <v>6</v>
      </c>
      <c r="C3128" s="347">
        <v>110</v>
      </c>
      <c r="D3128" s="340" t="str">
        <f>VLOOKUP(C3128,Plan!A$1:B$65542,2,0)</f>
        <v>Disponible Administración</v>
      </c>
      <c r="E3128" s="341">
        <f>+F3128-G3128</f>
        <v>30000</v>
      </c>
      <c r="F3128" s="396">
        <v>30000</v>
      </c>
      <c r="G3128" s="396">
        <v>0</v>
      </c>
      <c r="H3128" s="347" t="s">
        <v>1410</v>
      </c>
      <c r="I3128" s="347" t="s">
        <v>1303</v>
      </c>
      <c r="K3128" s="370"/>
      <c r="N3128" s="370"/>
    </row>
    <row r="3129" spans="1:14" s="347" customFormat="1" x14ac:dyDescent="0.25">
      <c r="A3129" s="369">
        <f>+A3128</f>
        <v>44358</v>
      </c>
      <c r="B3129" s="347">
        <f>+B3128</f>
        <v>6</v>
      </c>
      <c r="C3129" s="347">
        <v>3110</v>
      </c>
      <c r="D3129" s="340" t="str">
        <f>VLOOKUP(C3129,Plan!A$1:B$65542,2,0)</f>
        <v>Colectas Normales</v>
      </c>
      <c r="E3129" s="396">
        <f>-G3129</f>
        <v>-30000</v>
      </c>
      <c r="F3129" s="396">
        <v>0</v>
      </c>
      <c r="G3129" s="396">
        <f>+F3128</f>
        <v>30000</v>
      </c>
      <c r="H3129" s="347" t="str">
        <f>+H3128</f>
        <v>Colecta Col. Cordillera</v>
      </c>
      <c r="I3129" s="347" t="s">
        <v>1303</v>
      </c>
      <c r="K3129" s="370"/>
      <c r="N3129" s="370"/>
    </row>
    <row r="3130" spans="1:14" s="347" customFormat="1" x14ac:dyDescent="0.25">
      <c r="A3130" s="369"/>
      <c r="E3130" s="396"/>
      <c r="F3130" s="396"/>
      <c r="G3130" s="396"/>
      <c r="K3130" s="370"/>
      <c r="N3130" s="370"/>
    </row>
    <row r="3131" spans="1:14" s="347" customFormat="1" x14ac:dyDescent="0.25">
      <c r="A3131" s="369">
        <v>44361</v>
      </c>
      <c r="B3131" s="340">
        <f>+MONTH(A3131)</f>
        <v>6</v>
      </c>
      <c r="C3131" s="347">
        <v>110</v>
      </c>
      <c r="D3131" s="340" t="str">
        <f>VLOOKUP(C3131,Plan!A$1:B$65542,2,0)</f>
        <v>Disponible Administración</v>
      </c>
      <c r="E3131" s="341">
        <f>+F3131-G3131</f>
        <v>30000</v>
      </c>
      <c r="F3131" s="396">
        <v>30000</v>
      </c>
      <c r="G3131" s="396">
        <v>0</v>
      </c>
      <c r="H3131" s="347" t="s">
        <v>1586</v>
      </c>
      <c r="I3131" s="347" t="s">
        <v>1303</v>
      </c>
      <c r="K3131" s="370"/>
      <c r="N3131" s="370"/>
    </row>
    <row r="3132" spans="1:14" s="347" customFormat="1" x14ac:dyDescent="0.25">
      <c r="A3132" s="369">
        <f>+A3131</f>
        <v>44361</v>
      </c>
      <c r="B3132" s="347">
        <f>+B3131</f>
        <v>6</v>
      </c>
      <c r="C3132" s="347">
        <v>3450</v>
      </c>
      <c r="D3132" s="340" t="str">
        <f>VLOOKUP(C3132,Plan!A$1:B$65542,2,0)</f>
        <v>Pastoral Social</v>
      </c>
      <c r="E3132" s="396">
        <f>-G3132</f>
        <v>-30000</v>
      </c>
      <c r="F3132" s="396">
        <v>0</v>
      </c>
      <c r="G3132" s="396">
        <f>+F3131</f>
        <v>30000</v>
      </c>
      <c r="H3132" s="347" t="str">
        <f>+H3131</f>
        <v>Canastas Carmen Luz Lecaros I.</v>
      </c>
      <c r="I3132" s="347" t="s">
        <v>1303</v>
      </c>
      <c r="K3132" s="370"/>
      <c r="N3132" s="370"/>
    </row>
    <row r="3133" spans="1:14" s="347" customFormat="1" x14ac:dyDescent="0.25">
      <c r="A3133" s="369"/>
      <c r="E3133" s="396"/>
      <c r="F3133" s="396"/>
      <c r="G3133" s="396"/>
      <c r="K3133" s="370"/>
      <c r="N3133" s="370"/>
    </row>
    <row r="3134" spans="1:14" s="347" customFormat="1" x14ac:dyDescent="0.25">
      <c r="A3134" s="369">
        <v>44361</v>
      </c>
      <c r="B3134" s="340">
        <f>+MONTH(A3134)</f>
        <v>6</v>
      </c>
      <c r="C3134" s="347">
        <v>110</v>
      </c>
      <c r="D3134" s="340" t="str">
        <f>VLOOKUP(C3134,Plan!A$1:B$65542,2,0)</f>
        <v>Disponible Administración</v>
      </c>
      <c r="E3134" s="341">
        <f>+F3134-G3134</f>
        <v>250000</v>
      </c>
      <c r="F3134" s="396">
        <v>250000</v>
      </c>
      <c r="G3134" s="396">
        <v>0</v>
      </c>
      <c r="H3134" s="347" t="s">
        <v>1164</v>
      </c>
      <c r="I3134" s="347" t="s">
        <v>1303</v>
      </c>
      <c r="K3134" s="370"/>
      <c r="N3134" s="370"/>
    </row>
    <row r="3135" spans="1:14" s="347" customFormat="1" x14ac:dyDescent="0.25">
      <c r="A3135" s="369">
        <f>+A3134</f>
        <v>44361</v>
      </c>
      <c r="B3135" s="347">
        <f>+B3134</f>
        <v>6</v>
      </c>
      <c r="C3135" s="347">
        <v>3110</v>
      </c>
      <c r="D3135" s="340" t="str">
        <f>VLOOKUP(C3135,Plan!A$1:B$65542,2,0)</f>
        <v>Colectas Normales</v>
      </c>
      <c r="E3135" s="396">
        <f>-G3135</f>
        <v>-250000</v>
      </c>
      <c r="F3135" s="396">
        <v>0</v>
      </c>
      <c r="G3135" s="396">
        <f>+F3134</f>
        <v>250000</v>
      </c>
      <c r="H3135" s="347" t="str">
        <f>+H3134</f>
        <v>Colecta Sebastian Claro Edwards</v>
      </c>
      <c r="I3135" s="347" t="s">
        <v>1303</v>
      </c>
      <c r="K3135" s="370"/>
      <c r="N3135" s="370"/>
    </row>
    <row r="3136" spans="1:14" s="347" customFormat="1" x14ac:dyDescent="0.25">
      <c r="A3136" s="369"/>
      <c r="E3136" s="396"/>
      <c r="F3136" s="396"/>
      <c r="G3136" s="396"/>
      <c r="K3136" s="370"/>
      <c r="N3136" s="370"/>
    </row>
    <row r="3137" spans="1:14" s="347" customFormat="1" x14ac:dyDescent="0.25">
      <c r="A3137" s="369">
        <v>44361</v>
      </c>
      <c r="B3137" s="340">
        <f>+MONTH(A3137)</f>
        <v>6</v>
      </c>
      <c r="C3137" s="347">
        <v>110</v>
      </c>
      <c r="D3137" s="340" t="str">
        <f>VLOOKUP(C3137,Plan!A$1:B$65542,2,0)</f>
        <v>Disponible Administración</v>
      </c>
      <c r="E3137" s="341">
        <f>+F3137-G3137</f>
        <v>10000</v>
      </c>
      <c r="F3137" s="396">
        <v>10000</v>
      </c>
      <c r="G3137" s="396">
        <v>0</v>
      </c>
      <c r="H3137" s="347" t="s">
        <v>945</v>
      </c>
      <c r="I3137" s="347" t="s">
        <v>1303</v>
      </c>
      <c r="K3137" s="370"/>
      <c r="N3137" s="370"/>
    </row>
    <row r="3138" spans="1:14" s="347" customFormat="1" x14ac:dyDescent="0.25">
      <c r="A3138" s="369">
        <f>+A3137</f>
        <v>44361</v>
      </c>
      <c r="B3138" s="347">
        <f>+B3137</f>
        <v>6</v>
      </c>
      <c r="C3138" s="347">
        <v>3110</v>
      </c>
      <c r="D3138" s="340" t="str">
        <f>VLOOKUP(C3138,Plan!A$1:B$65542,2,0)</f>
        <v>Colectas Normales</v>
      </c>
      <c r="E3138" s="396">
        <f>-G3138</f>
        <v>-10000</v>
      </c>
      <c r="F3138" s="396">
        <v>0</v>
      </c>
      <c r="G3138" s="396">
        <f>+F3137</f>
        <v>10000</v>
      </c>
      <c r="H3138" s="347" t="str">
        <f>+H3137</f>
        <v>Colecta Maria Corte</v>
      </c>
      <c r="I3138" s="347" t="s">
        <v>1303</v>
      </c>
      <c r="K3138" s="370"/>
      <c r="N3138" s="370"/>
    </row>
    <row r="3139" spans="1:14" s="347" customFormat="1" x14ac:dyDescent="0.25">
      <c r="A3139" s="369"/>
      <c r="E3139" s="396"/>
      <c r="F3139" s="396"/>
      <c r="G3139" s="396"/>
      <c r="K3139" s="370"/>
      <c r="N3139" s="370"/>
    </row>
    <row r="3140" spans="1:14" s="347" customFormat="1" x14ac:dyDescent="0.25">
      <c r="A3140" s="369">
        <v>44361</v>
      </c>
      <c r="B3140" s="340">
        <f>+MONTH(A3140)</f>
        <v>6</v>
      </c>
      <c r="C3140" s="347">
        <v>110</v>
      </c>
      <c r="D3140" s="340" t="str">
        <f>VLOOKUP(C3140,Plan!A$1:B$65542,2,0)</f>
        <v>Disponible Administración</v>
      </c>
      <c r="E3140" s="341">
        <f>+F3140-G3140</f>
        <v>10000</v>
      </c>
      <c r="F3140" s="396">
        <v>10000</v>
      </c>
      <c r="G3140" s="396">
        <v>0</v>
      </c>
      <c r="H3140" s="347" t="s">
        <v>971</v>
      </c>
      <c r="I3140" s="347" t="s">
        <v>1303</v>
      </c>
      <c r="K3140" s="370"/>
      <c r="N3140" s="370"/>
    </row>
    <row r="3141" spans="1:14" s="347" customFormat="1" x14ac:dyDescent="0.25">
      <c r="A3141" s="369">
        <f>+A3140</f>
        <v>44361</v>
      </c>
      <c r="B3141" s="347">
        <f>+B3140</f>
        <v>6</v>
      </c>
      <c r="C3141" s="347">
        <v>3110</v>
      </c>
      <c r="D3141" s="340" t="str">
        <f>VLOOKUP(C3141,Plan!A$1:B$65542,2,0)</f>
        <v>Colectas Normales</v>
      </c>
      <c r="E3141" s="396">
        <f>-G3141</f>
        <v>-10000</v>
      </c>
      <c r="F3141" s="396">
        <v>0</v>
      </c>
      <c r="G3141" s="396">
        <f>+F3140</f>
        <v>10000</v>
      </c>
      <c r="H3141" s="347" t="str">
        <f>+H3140</f>
        <v>Colecta Pablo Irarrazaval Mena</v>
      </c>
      <c r="I3141" s="347" t="s">
        <v>1303</v>
      </c>
      <c r="K3141" s="370"/>
      <c r="N3141" s="370"/>
    </row>
    <row r="3142" spans="1:14" s="347" customFormat="1" x14ac:dyDescent="0.25">
      <c r="A3142" s="369"/>
      <c r="E3142" s="396"/>
      <c r="F3142" s="396"/>
      <c r="G3142" s="396"/>
      <c r="K3142" s="370"/>
      <c r="N3142" s="370"/>
    </row>
    <row r="3143" spans="1:14" s="347" customFormat="1" x14ac:dyDescent="0.25">
      <c r="A3143" s="369">
        <v>44361</v>
      </c>
      <c r="B3143" s="340">
        <f>+MONTH(A3143)</f>
        <v>6</v>
      </c>
      <c r="C3143" s="347">
        <v>110</v>
      </c>
      <c r="D3143" s="340" t="str">
        <f>VLOOKUP(C3143,Plan!A$1:B$65542,2,0)</f>
        <v>Disponible Administración</v>
      </c>
      <c r="E3143" s="341">
        <f>+F3143-G3143</f>
        <v>10000</v>
      </c>
      <c r="F3143" s="396">
        <v>10000</v>
      </c>
      <c r="G3143" s="396">
        <v>0</v>
      </c>
      <c r="H3143" s="347" t="s">
        <v>881</v>
      </c>
      <c r="I3143" s="347" t="s">
        <v>1303</v>
      </c>
      <c r="K3143" s="370"/>
      <c r="N3143" s="370"/>
    </row>
    <row r="3144" spans="1:14" s="347" customFormat="1" x14ac:dyDescent="0.25">
      <c r="A3144" s="369">
        <f>+A3143</f>
        <v>44361</v>
      </c>
      <c r="B3144" s="347">
        <f>+B3143</f>
        <v>6</v>
      </c>
      <c r="C3144" s="347">
        <v>3110</v>
      </c>
      <c r="D3144" s="340" t="str">
        <f>VLOOKUP(C3144,Plan!A$1:B$65542,2,0)</f>
        <v>Colectas Normales</v>
      </c>
      <c r="E3144" s="396">
        <f>-G3144</f>
        <v>-10000</v>
      </c>
      <c r="F3144" s="396">
        <v>0</v>
      </c>
      <c r="G3144" s="396">
        <f>+F3143</f>
        <v>10000</v>
      </c>
      <c r="H3144" s="347" t="str">
        <f>+H3143</f>
        <v>Colecta Rafael Marin Jordan</v>
      </c>
      <c r="I3144" s="347" t="s">
        <v>1303</v>
      </c>
      <c r="K3144" s="370"/>
      <c r="N3144" s="370"/>
    </row>
    <row r="3145" spans="1:14" s="347" customFormat="1" x14ac:dyDescent="0.25">
      <c r="A3145" s="369"/>
      <c r="E3145" s="396"/>
      <c r="F3145" s="396"/>
      <c r="G3145" s="396"/>
      <c r="K3145" s="370"/>
      <c r="N3145" s="370"/>
    </row>
    <row r="3146" spans="1:14" s="347" customFormat="1" x14ac:dyDescent="0.25">
      <c r="A3146" s="369">
        <v>44361</v>
      </c>
      <c r="B3146" s="340">
        <f>+MONTH(A3146)</f>
        <v>6</v>
      </c>
      <c r="C3146" s="347">
        <v>110</v>
      </c>
      <c r="D3146" s="340" t="str">
        <f>VLOOKUP(C3146,Plan!A$1:B$65542,2,0)</f>
        <v>Disponible Administración</v>
      </c>
      <c r="E3146" s="341">
        <f>+F3146-G3146</f>
        <v>20000</v>
      </c>
      <c r="F3146" s="396">
        <v>20000</v>
      </c>
      <c r="G3146" s="396">
        <v>0</v>
      </c>
      <c r="H3146" s="347" t="s">
        <v>1311</v>
      </c>
      <c r="I3146" s="347" t="s">
        <v>1303</v>
      </c>
      <c r="K3146" s="370"/>
      <c r="N3146" s="370"/>
    </row>
    <row r="3147" spans="1:14" s="347" customFormat="1" x14ac:dyDescent="0.25">
      <c r="A3147" s="369">
        <f>+A3146</f>
        <v>44361</v>
      </c>
      <c r="B3147" s="347">
        <f>+B3146</f>
        <v>6</v>
      </c>
      <c r="C3147" s="347">
        <v>3110</v>
      </c>
      <c r="D3147" s="340" t="str">
        <f>VLOOKUP(C3147,Plan!A$1:B$65542,2,0)</f>
        <v>Colectas Normales</v>
      </c>
      <c r="E3147" s="396">
        <f>-G3147</f>
        <v>-20000</v>
      </c>
      <c r="F3147" s="396">
        <v>0</v>
      </c>
      <c r="G3147" s="396">
        <f>+F3146</f>
        <v>20000</v>
      </c>
      <c r="H3147" s="347" t="str">
        <f>+H3146</f>
        <v>Colecta Veronica Rojas</v>
      </c>
      <c r="I3147" s="347" t="s">
        <v>1303</v>
      </c>
      <c r="K3147" s="370"/>
      <c r="N3147" s="370"/>
    </row>
    <row r="3148" spans="1:14" s="347" customFormat="1" x14ac:dyDescent="0.25">
      <c r="A3148" s="369"/>
      <c r="E3148" s="396"/>
      <c r="F3148" s="396"/>
      <c r="G3148" s="396"/>
      <c r="K3148" s="370"/>
      <c r="N3148" s="370"/>
    </row>
    <row r="3149" spans="1:14" s="347" customFormat="1" x14ac:dyDescent="0.25">
      <c r="A3149" s="369">
        <v>44361</v>
      </c>
      <c r="B3149" s="340">
        <f>+MONTH(A3149)</f>
        <v>6</v>
      </c>
      <c r="C3149" s="347">
        <v>110</v>
      </c>
      <c r="D3149" s="340" t="str">
        <f>VLOOKUP(C3149,Plan!A$1:B$65542,2,0)</f>
        <v>Disponible Administración</v>
      </c>
      <c r="E3149" s="341">
        <f>+F3149-G3149</f>
        <v>20000</v>
      </c>
      <c r="F3149" s="396">
        <v>20000</v>
      </c>
      <c r="G3149" s="396">
        <v>0</v>
      </c>
      <c r="H3149" s="347" t="s">
        <v>1587</v>
      </c>
      <c r="I3149" s="347" t="s">
        <v>1303</v>
      </c>
      <c r="K3149" s="370"/>
      <c r="N3149" s="370"/>
    </row>
    <row r="3150" spans="1:14" s="347" customFormat="1" x14ac:dyDescent="0.25">
      <c r="A3150" s="369">
        <f>+A3149</f>
        <v>44361</v>
      </c>
      <c r="B3150" s="347">
        <f>+B3149</f>
        <v>6</v>
      </c>
      <c r="C3150" s="347">
        <v>3450</v>
      </c>
      <c r="D3150" s="340" t="str">
        <f>VLOOKUP(C3150,Plan!A$1:B$65542,2,0)</f>
        <v>Pastoral Social</v>
      </c>
      <c r="E3150" s="396">
        <f>-G3150</f>
        <v>-20000</v>
      </c>
      <c r="F3150" s="396">
        <v>0</v>
      </c>
      <c r="G3150" s="396">
        <f>+F3149</f>
        <v>20000</v>
      </c>
      <c r="H3150" s="347" t="str">
        <f>+H3149</f>
        <v>Canastas Ricardo Cañas Cambiaso</v>
      </c>
      <c r="I3150" s="347" t="s">
        <v>1303</v>
      </c>
      <c r="K3150" s="370"/>
      <c r="N3150" s="370"/>
    </row>
    <row r="3151" spans="1:14" s="347" customFormat="1" x14ac:dyDescent="0.25">
      <c r="A3151" s="369"/>
      <c r="E3151" s="396"/>
      <c r="F3151" s="396"/>
      <c r="G3151" s="396"/>
      <c r="K3151" s="370"/>
      <c r="N3151" s="370"/>
    </row>
    <row r="3152" spans="1:14" s="347" customFormat="1" x14ac:dyDescent="0.25">
      <c r="A3152" s="369">
        <v>44361</v>
      </c>
      <c r="B3152" s="340">
        <f>+MONTH(A3152)</f>
        <v>6</v>
      </c>
      <c r="C3152" s="347">
        <v>110</v>
      </c>
      <c r="D3152" s="340" t="str">
        <f>VLOOKUP(C3152,Plan!A$1:B$65542,2,0)</f>
        <v>Disponible Administración</v>
      </c>
      <c r="E3152" s="341">
        <f>+F3152-G3152</f>
        <v>20000</v>
      </c>
      <c r="F3152" s="396">
        <v>20000</v>
      </c>
      <c r="G3152" s="396">
        <v>0</v>
      </c>
      <c r="H3152" s="347" t="s">
        <v>1588</v>
      </c>
      <c r="I3152" s="347" t="s">
        <v>1303</v>
      </c>
      <c r="K3152" s="370"/>
      <c r="N3152" s="370"/>
    </row>
    <row r="3153" spans="1:14" s="347" customFormat="1" x14ac:dyDescent="0.25">
      <c r="A3153" s="369">
        <f>+A3152</f>
        <v>44361</v>
      </c>
      <c r="B3153" s="347">
        <f>+B3152</f>
        <v>6</v>
      </c>
      <c r="C3153" s="347">
        <v>3340</v>
      </c>
      <c r="D3153" s="340" t="str">
        <f>VLOOKUP(C3153,Plan!A$1:B$65542,2,0)</f>
        <v>Misas</v>
      </c>
      <c r="E3153" s="396">
        <f>-G3153</f>
        <v>-20000</v>
      </c>
      <c r="F3153" s="396">
        <v>0</v>
      </c>
      <c r="G3153" s="396">
        <f>+F3152</f>
        <v>20000</v>
      </c>
      <c r="H3153" s="347" t="str">
        <f>+H3152</f>
        <v>Misa Carmen Luz Gomez</v>
      </c>
      <c r="I3153" s="347" t="s">
        <v>1303</v>
      </c>
      <c r="K3153" s="370"/>
      <c r="N3153" s="370"/>
    </row>
    <row r="3154" spans="1:14" s="347" customFormat="1" x14ac:dyDescent="0.25">
      <c r="A3154" s="369"/>
      <c r="E3154" s="396"/>
      <c r="F3154" s="396"/>
      <c r="G3154" s="396"/>
      <c r="K3154" s="370"/>
      <c r="N3154" s="370"/>
    </row>
    <row r="3155" spans="1:14" s="347" customFormat="1" x14ac:dyDescent="0.25">
      <c r="A3155" s="369">
        <v>44361</v>
      </c>
      <c r="B3155" s="340">
        <f>+MONTH(A3155)</f>
        <v>6</v>
      </c>
      <c r="C3155" s="347">
        <v>110</v>
      </c>
      <c r="D3155" s="340" t="str">
        <f>VLOOKUP(C3155,Plan!A$1:B$65542,2,0)</f>
        <v>Disponible Administración</v>
      </c>
      <c r="E3155" s="341">
        <f>+F3155-G3155</f>
        <v>60000</v>
      </c>
      <c r="F3155" s="396">
        <v>60000</v>
      </c>
      <c r="G3155" s="396">
        <v>0</v>
      </c>
      <c r="H3155" s="347" t="s">
        <v>1546</v>
      </c>
      <c r="I3155" s="347" t="s">
        <v>1303</v>
      </c>
      <c r="K3155" s="370"/>
      <c r="N3155" s="370"/>
    </row>
    <row r="3156" spans="1:14" s="347" customFormat="1" x14ac:dyDescent="0.25">
      <c r="A3156" s="369">
        <f>+A3155</f>
        <v>44361</v>
      </c>
      <c r="B3156" s="347">
        <f>+B3155</f>
        <v>6</v>
      </c>
      <c r="C3156" s="347">
        <v>3450</v>
      </c>
      <c r="D3156" s="340" t="str">
        <f>VLOOKUP(C3156,Plan!A$1:B$65542,2,0)</f>
        <v>Pastoral Social</v>
      </c>
      <c r="E3156" s="396">
        <f>-G3156</f>
        <v>-60000</v>
      </c>
      <c r="F3156" s="396">
        <v>0</v>
      </c>
      <c r="G3156" s="396">
        <f>+F3155</f>
        <v>60000</v>
      </c>
      <c r="H3156" s="347" t="str">
        <f>+H3155</f>
        <v>Canastas Maria Fca. Llona</v>
      </c>
      <c r="I3156" s="347" t="s">
        <v>1303</v>
      </c>
      <c r="K3156" s="370"/>
      <c r="N3156" s="370"/>
    </row>
    <row r="3157" spans="1:14" s="347" customFormat="1" x14ac:dyDescent="0.25">
      <c r="A3157" s="369"/>
      <c r="E3157" s="396"/>
      <c r="F3157" s="396"/>
      <c r="G3157" s="396"/>
      <c r="K3157" s="370"/>
      <c r="N3157" s="370"/>
    </row>
    <row r="3158" spans="1:14" s="347" customFormat="1" x14ac:dyDescent="0.25">
      <c r="A3158" s="369">
        <v>44361</v>
      </c>
      <c r="B3158" s="340">
        <f>+MONTH(A3158)</f>
        <v>6</v>
      </c>
      <c r="C3158" s="347">
        <v>110</v>
      </c>
      <c r="D3158" s="340" t="str">
        <f>VLOOKUP(C3158,Plan!A$1:B$65542,2,0)</f>
        <v>Disponible Administración</v>
      </c>
      <c r="E3158" s="341">
        <f>+F3158-G3158</f>
        <v>5000</v>
      </c>
      <c r="F3158" s="396">
        <v>5000</v>
      </c>
      <c r="G3158" s="396">
        <v>0</v>
      </c>
      <c r="H3158" s="347" t="s">
        <v>899</v>
      </c>
      <c r="I3158" s="347" t="s">
        <v>1303</v>
      </c>
      <c r="K3158" s="370"/>
      <c r="N3158" s="370"/>
    </row>
    <row r="3159" spans="1:14" s="347" customFormat="1" x14ac:dyDescent="0.25">
      <c r="A3159" s="369">
        <f>+A3158</f>
        <v>44361</v>
      </c>
      <c r="B3159" s="347">
        <f>+B3158</f>
        <v>6</v>
      </c>
      <c r="C3159" s="347">
        <v>3110</v>
      </c>
      <c r="D3159" s="340" t="str">
        <f>VLOOKUP(C3159,Plan!A$1:B$65542,2,0)</f>
        <v>Colectas Normales</v>
      </c>
      <c r="E3159" s="396">
        <f>-G3159</f>
        <v>-5000</v>
      </c>
      <c r="F3159" s="396">
        <v>0</v>
      </c>
      <c r="G3159" s="396">
        <f>+F3158</f>
        <v>5000</v>
      </c>
      <c r="H3159" s="347" t="str">
        <f>+H3158</f>
        <v>Colecta Carlos Anwandter</v>
      </c>
      <c r="I3159" s="347" t="s">
        <v>1303</v>
      </c>
      <c r="K3159" s="370"/>
      <c r="N3159" s="370"/>
    </row>
    <row r="3160" spans="1:14" s="347" customFormat="1" x14ac:dyDescent="0.25">
      <c r="A3160" s="369"/>
      <c r="E3160" s="396"/>
      <c r="F3160" s="396"/>
      <c r="G3160" s="396"/>
      <c r="K3160" s="370"/>
      <c r="N3160" s="370"/>
    </row>
    <row r="3161" spans="1:14" s="347" customFormat="1" x14ac:dyDescent="0.25">
      <c r="A3161" s="369">
        <v>44361</v>
      </c>
      <c r="B3161" s="340">
        <f>+MONTH(A3161)</f>
        <v>6</v>
      </c>
      <c r="C3161" s="347">
        <v>110</v>
      </c>
      <c r="D3161" s="340" t="str">
        <f>VLOOKUP(C3161,Plan!A$1:B$65542,2,0)</f>
        <v>Disponible Administración</v>
      </c>
      <c r="E3161" s="341">
        <f>+F3161-G3161</f>
        <v>2000</v>
      </c>
      <c r="F3161" s="396">
        <v>2000</v>
      </c>
      <c r="G3161" s="396">
        <v>0</v>
      </c>
      <c r="H3161" s="347" t="s">
        <v>1216</v>
      </c>
      <c r="I3161" s="347" t="s">
        <v>1303</v>
      </c>
      <c r="K3161" s="370"/>
      <c r="N3161" s="370"/>
    </row>
    <row r="3162" spans="1:14" s="347" customFormat="1" x14ac:dyDescent="0.25">
      <c r="A3162" s="369">
        <f>+A3161</f>
        <v>44361</v>
      </c>
      <c r="B3162" s="347">
        <f>+B3161</f>
        <v>6</v>
      </c>
      <c r="C3162" s="347">
        <v>3110</v>
      </c>
      <c r="D3162" s="340" t="str">
        <f>VLOOKUP(C3162,Plan!A$1:B$65542,2,0)</f>
        <v>Colectas Normales</v>
      </c>
      <c r="E3162" s="396">
        <f>-G3162</f>
        <v>-2000</v>
      </c>
      <c r="F3162" s="396">
        <v>0</v>
      </c>
      <c r="G3162" s="396">
        <f>+F3161</f>
        <v>2000</v>
      </c>
      <c r="H3162" s="347" t="str">
        <f>+H3161</f>
        <v>Colecta Trinidad Barriga Cruzat</v>
      </c>
      <c r="I3162" s="347" t="s">
        <v>1303</v>
      </c>
      <c r="K3162" s="370"/>
      <c r="N3162" s="370"/>
    </row>
    <row r="3163" spans="1:14" s="347" customFormat="1" x14ac:dyDescent="0.25">
      <c r="A3163" s="369"/>
      <c r="E3163" s="396"/>
      <c r="F3163" s="396"/>
      <c r="G3163" s="396"/>
      <c r="K3163" s="370"/>
      <c r="N3163" s="370"/>
    </row>
    <row r="3164" spans="1:14" s="347" customFormat="1" x14ac:dyDescent="0.25">
      <c r="A3164" s="369">
        <v>44361</v>
      </c>
      <c r="B3164" s="340">
        <f>+MONTH(A3164)</f>
        <v>6</v>
      </c>
      <c r="C3164" s="347">
        <v>110</v>
      </c>
      <c r="D3164" s="340" t="str">
        <f>VLOOKUP(C3164,Plan!A$1:B$65542,2,0)</f>
        <v>Disponible Administración</v>
      </c>
      <c r="E3164" s="341">
        <f>+F3164-G3164</f>
        <v>15000</v>
      </c>
      <c r="F3164" s="396">
        <v>15000</v>
      </c>
      <c r="G3164" s="396">
        <v>0</v>
      </c>
      <c r="H3164" s="347" t="s">
        <v>1411</v>
      </c>
      <c r="I3164" s="347" t="s">
        <v>1303</v>
      </c>
      <c r="K3164" s="370"/>
      <c r="N3164" s="370"/>
    </row>
    <row r="3165" spans="1:14" s="347" customFormat="1" x14ac:dyDescent="0.25">
      <c r="A3165" s="369">
        <f>+A3164</f>
        <v>44361</v>
      </c>
      <c r="B3165" s="347">
        <f>+B3164</f>
        <v>6</v>
      </c>
      <c r="C3165" s="347">
        <v>3110</v>
      </c>
      <c r="D3165" s="340" t="str">
        <f>VLOOKUP(C3165,Plan!A$1:B$65542,2,0)</f>
        <v>Colectas Normales</v>
      </c>
      <c r="E3165" s="396">
        <f>-G3165</f>
        <v>-15000</v>
      </c>
      <c r="F3165" s="396">
        <v>0</v>
      </c>
      <c r="G3165" s="396">
        <f>+F3164</f>
        <v>15000</v>
      </c>
      <c r="H3165" s="347" t="str">
        <f>+H3164</f>
        <v>Colecta Marcela Bengoa</v>
      </c>
      <c r="I3165" s="347" t="s">
        <v>1303</v>
      </c>
      <c r="K3165" s="370"/>
      <c r="N3165" s="370"/>
    </row>
    <row r="3166" spans="1:14" s="347" customFormat="1" x14ac:dyDescent="0.25">
      <c r="A3166" s="369"/>
      <c r="E3166" s="396"/>
      <c r="F3166" s="396"/>
      <c r="G3166" s="396"/>
      <c r="K3166" s="370"/>
      <c r="N3166" s="370"/>
    </row>
    <row r="3167" spans="1:14" s="347" customFormat="1" x14ac:dyDescent="0.25">
      <c r="A3167" s="369">
        <v>44361</v>
      </c>
      <c r="B3167" s="340">
        <f>+MONTH(A3167)</f>
        <v>6</v>
      </c>
      <c r="C3167" s="347">
        <v>110</v>
      </c>
      <c r="D3167" s="340" t="str">
        <f>VLOOKUP(C3167,Plan!A$1:B$65542,2,0)</f>
        <v>Disponible Administración</v>
      </c>
      <c r="E3167" s="341">
        <f>+F3167-G3167</f>
        <v>100000</v>
      </c>
      <c r="F3167" s="396">
        <v>100000</v>
      </c>
      <c r="G3167" s="396">
        <v>0</v>
      </c>
      <c r="H3167" s="347" t="s">
        <v>1107</v>
      </c>
      <c r="I3167" s="347" t="s">
        <v>1303</v>
      </c>
      <c r="K3167" s="370"/>
      <c r="N3167" s="370"/>
    </row>
    <row r="3168" spans="1:14" s="347" customFormat="1" x14ac:dyDescent="0.25">
      <c r="A3168" s="369">
        <f>+A3167</f>
        <v>44361</v>
      </c>
      <c r="B3168" s="347">
        <f>+B3167</f>
        <v>6</v>
      </c>
      <c r="C3168" s="347">
        <v>3110</v>
      </c>
      <c r="D3168" s="340" t="str">
        <f>VLOOKUP(C3168,Plan!A$1:B$65542,2,0)</f>
        <v>Colectas Normales</v>
      </c>
      <c r="E3168" s="396">
        <f>-G3168</f>
        <v>-100000</v>
      </c>
      <c r="F3168" s="396">
        <v>0</v>
      </c>
      <c r="G3168" s="396">
        <f>+F3167</f>
        <v>100000</v>
      </c>
      <c r="H3168" s="347" t="str">
        <f>+H3167</f>
        <v>Colecta Francisco Guillen</v>
      </c>
      <c r="I3168" s="347" t="s">
        <v>1303</v>
      </c>
      <c r="K3168" s="370"/>
      <c r="N3168" s="370"/>
    </row>
    <row r="3169" spans="1:14" s="347" customFormat="1" x14ac:dyDescent="0.25">
      <c r="A3169" s="369"/>
      <c r="E3169" s="396"/>
      <c r="F3169" s="396"/>
      <c r="G3169" s="396"/>
      <c r="K3169" s="370"/>
      <c r="N3169" s="370"/>
    </row>
    <row r="3170" spans="1:14" s="347" customFormat="1" x14ac:dyDescent="0.25">
      <c r="A3170" s="369">
        <v>44362</v>
      </c>
      <c r="B3170" s="340">
        <f>+MONTH(A3170)</f>
        <v>6</v>
      </c>
      <c r="C3170" s="347">
        <v>110</v>
      </c>
      <c r="D3170" s="340" t="str">
        <f>VLOOKUP(C3170,Plan!A$1:B$65542,2,0)</f>
        <v>Disponible Administración</v>
      </c>
      <c r="E3170" s="341">
        <f>+F3170-G3170</f>
        <v>30000</v>
      </c>
      <c r="F3170" s="396">
        <v>30000</v>
      </c>
      <c r="G3170" s="396">
        <v>0</v>
      </c>
      <c r="H3170" s="347" t="s">
        <v>1589</v>
      </c>
      <c r="I3170" s="347" t="s">
        <v>1303</v>
      </c>
      <c r="K3170" s="370"/>
      <c r="N3170" s="370"/>
    </row>
    <row r="3171" spans="1:14" s="347" customFormat="1" x14ac:dyDescent="0.25">
      <c r="A3171" s="369">
        <f>+A3170</f>
        <v>44362</v>
      </c>
      <c r="B3171" s="347">
        <f>+B3170</f>
        <v>6</v>
      </c>
      <c r="C3171" s="347">
        <v>3340</v>
      </c>
      <c r="D3171" s="340" t="str">
        <f>VLOOKUP(C3171,Plan!A$1:B$65542,2,0)</f>
        <v>Misas</v>
      </c>
      <c r="E3171" s="396">
        <f>-G3171</f>
        <v>-30000</v>
      </c>
      <c r="F3171" s="396">
        <v>0</v>
      </c>
      <c r="G3171" s="396">
        <f>+F3170</f>
        <v>30000</v>
      </c>
      <c r="H3171" s="347" t="str">
        <f>+H3170</f>
        <v>Misa M. Isabel Rodriguez F.</v>
      </c>
      <c r="I3171" s="347" t="s">
        <v>1303</v>
      </c>
      <c r="K3171" s="370"/>
      <c r="N3171" s="370"/>
    </row>
    <row r="3172" spans="1:14" s="347" customFormat="1" x14ac:dyDescent="0.25">
      <c r="A3172" s="369"/>
      <c r="E3172" s="396"/>
      <c r="F3172" s="396"/>
      <c r="G3172" s="396"/>
      <c r="K3172" s="370"/>
      <c r="N3172" s="370"/>
    </row>
    <row r="3173" spans="1:14" s="347" customFormat="1" x14ac:dyDescent="0.25">
      <c r="A3173" s="369">
        <v>44362</v>
      </c>
      <c r="B3173" s="340">
        <f>+MONTH(A3173)</f>
        <v>6</v>
      </c>
      <c r="C3173" s="347">
        <v>110</v>
      </c>
      <c r="D3173" s="340" t="str">
        <f>VLOOKUP(C3173,Plan!A$1:B$65542,2,0)</f>
        <v>Disponible Administración</v>
      </c>
      <c r="E3173" s="341">
        <f>+F3173-G3173</f>
        <v>20000</v>
      </c>
      <c r="F3173" s="396">
        <v>20000</v>
      </c>
      <c r="G3173" s="396">
        <v>0</v>
      </c>
      <c r="H3173" s="347" t="s">
        <v>878</v>
      </c>
      <c r="I3173" s="347" t="s">
        <v>1303</v>
      </c>
      <c r="K3173" s="370"/>
      <c r="N3173" s="370"/>
    </row>
    <row r="3174" spans="1:14" s="347" customFormat="1" x14ac:dyDescent="0.25">
      <c r="A3174" s="369">
        <f>+A3173</f>
        <v>44362</v>
      </c>
      <c r="B3174" s="347">
        <f>+B3173</f>
        <v>6</v>
      </c>
      <c r="C3174" s="347">
        <v>3110</v>
      </c>
      <c r="D3174" s="340" t="str">
        <f>VLOOKUP(C3174,Plan!A$1:B$65542,2,0)</f>
        <v>Colectas Normales</v>
      </c>
      <c r="E3174" s="396">
        <f>-G3174</f>
        <v>-20000</v>
      </c>
      <c r="F3174" s="396">
        <v>0</v>
      </c>
      <c r="G3174" s="396">
        <f>+F3173</f>
        <v>20000</v>
      </c>
      <c r="H3174" s="347" t="str">
        <f>+H3173</f>
        <v>Colecta Olga Salinas Burgos</v>
      </c>
      <c r="I3174" s="347" t="s">
        <v>1303</v>
      </c>
      <c r="K3174" s="370"/>
      <c r="N3174" s="370"/>
    </row>
    <row r="3175" spans="1:14" s="347" customFormat="1" x14ac:dyDescent="0.25">
      <c r="A3175" s="369"/>
      <c r="E3175" s="396"/>
      <c r="F3175" s="396"/>
      <c r="G3175" s="396"/>
      <c r="K3175" s="370"/>
      <c r="N3175" s="370"/>
    </row>
    <row r="3176" spans="1:14" s="347" customFormat="1" x14ac:dyDescent="0.25">
      <c r="A3176" s="369">
        <v>44362</v>
      </c>
      <c r="B3176" s="340">
        <f>+MONTH(A3176)</f>
        <v>6</v>
      </c>
      <c r="C3176" s="347">
        <v>110</v>
      </c>
      <c r="D3176" s="340" t="str">
        <f>VLOOKUP(C3176,Plan!A$1:B$65542,2,0)</f>
        <v>Disponible Administración</v>
      </c>
      <c r="E3176" s="341">
        <f>+F3176-G3176</f>
        <v>5000</v>
      </c>
      <c r="F3176" s="396">
        <v>5000</v>
      </c>
      <c r="G3176" s="396">
        <v>0</v>
      </c>
      <c r="H3176" s="347" t="s">
        <v>1151</v>
      </c>
      <c r="I3176" s="347" t="s">
        <v>1303</v>
      </c>
      <c r="K3176" s="370"/>
      <c r="N3176" s="370"/>
    </row>
    <row r="3177" spans="1:14" s="347" customFormat="1" x14ac:dyDescent="0.25">
      <c r="A3177" s="369">
        <f>+A3176</f>
        <v>44362</v>
      </c>
      <c r="B3177" s="347">
        <f>+B3176</f>
        <v>6</v>
      </c>
      <c r="C3177" s="347">
        <v>3110</v>
      </c>
      <c r="D3177" s="340" t="str">
        <f>VLOOKUP(C3177,Plan!A$1:B$65542,2,0)</f>
        <v>Colectas Normales</v>
      </c>
      <c r="E3177" s="396">
        <f>-G3177</f>
        <v>-5000</v>
      </c>
      <c r="F3177" s="396">
        <v>0</v>
      </c>
      <c r="G3177" s="396">
        <f>+F3176</f>
        <v>5000</v>
      </c>
      <c r="H3177" s="347" t="str">
        <f>+H3176</f>
        <v>Colecta Eduardo Boys M</v>
      </c>
      <c r="I3177" s="347" t="s">
        <v>1303</v>
      </c>
      <c r="K3177" s="370"/>
      <c r="N3177" s="370"/>
    </row>
    <row r="3178" spans="1:14" s="347" customFormat="1" x14ac:dyDescent="0.25">
      <c r="A3178" s="369"/>
      <c r="E3178" s="396"/>
      <c r="F3178" s="396"/>
      <c r="G3178" s="396"/>
      <c r="K3178" s="370"/>
      <c r="N3178" s="370"/>
    </row>
    <row r="3179" spans="1:14" s="347" customFormat="1" x14ac:dyDescent="0.25">
      <c r="A3179" s="369">
        <v>44362</v>
      </c>
      <c r="B3179" s="340">
        <f>+MONTH(A3179)</f>
        <v>6</v>
      </c>
      <c r="C3179" s="347">
        <v>4325</v>
      </c>
      <c r="D3179" s="340" t="str">
        <f>VLOOKUP(C3179,Plan!A$1:B$65542,2,0)</f>
        <v>Alarma (ADT)</v>
      </c>
      <c r="E3179" s="341">
        <f>+F3179-G3179</f>
        <v>43241</v>
      </c>
      <c r="F3179" s="396">
        <v>43241</v>
      </c>
      <c r="G3179" s="396">
        <v>0</v>
      </c>
      <c r="H3179" s="347" t="s">
        <v>750</v>
      </c>
      <c r="I3179" s="347" t="s">
        <v>1303</v>
      </c>
      <c r="K3179" s="370"/>
      <c r="N3179" s="370"/>
    </row>
    <row r="3180" spans="1:14" s="347" customFormat="1" x14ac:dyDescent="0.25">
      <c r="A3180" s="369">
        <f>+A3179</f>
        <v>44362</v>
      </c>
      <c r="B3180" s="347">
        <f>+B3179</f>
        <v>6</v>
      </c>
      <c r="C3180" s="347">
        <v>110</v>
      </c>
      <c r="D3180" s="340" t="str">
        <f>VLOOKUP(C3180,Plan!A$1:B$65542,2,0)</f>
        <v>Disponible Administración</v>
      </c>
      <c r="E3180" s="396">
        <f>-G3180</f>
        <v>-43241</v>
      </c>
      <c r="F3180" s="396">
        <v>0</v>
      </c>
      <c r="G3180" s="396">
        <f>+F3179</f>
        <v>43241</v>
      </c>
      <c r="H3180" s="347" t="str">
        <f>+H3179</f>
        <v>PAC ADT</v>
      </c>
      <c r="I3180" s="347" t="s">
        <v>1303</v>
      </c>
      <c r="K3180" s="370"/>
      <c r="N3180" s="370"/>
    </row>
    <row r="3181" spans="1:14" s="347" customFormat="1" x14ac:dyDescent="0.25">
      <c r="A3181" s="369"/>
      <c r="E3181" s="396"/>
      <c r="F3181" s="396"/>
      <c r="G3181" s="396"/>
      <c r="K3181" s="370"/>
      <c r="N3181" s="370"/>
    </row>
    <row r="3182" spans="1:14" s="347" customFormat="1" x14ac:dyDescent="0.25">
      <c r="A3182" s="369">
        <v>44362</v>
      </c>
      <c r="B3182" s="340">
        <f>+MONTH(A3182)</f>
        <v>6</v>
      </c>
      <c r="C3182" s="347">
        <v>4323</v>
      </c>
      <c r="D3182" s="340" t="str">
        <f>VLOOKUP(C3182,Plan!A$1:B$65542,2,0)</f>
        <v>Telefonía, Internet (VTR, Entel)</v>
      </c>
      <c r="E3182" s="341">
        <f>+F3182-G3182</f>
        <v>20990</v>
      </c>
      <c r="F3182" s="396">
        <v>20990</v>
      </c>
      <c r="G3182" s="396">
        <v>0</v>
      </c>
      <c r="H3182" s="347" t="s">
        <v>1167</v>
      </c>
      <c r="I3182" s="347" t="s">
        <v>1303</v>
      </c>
      <c r="K3182" s="370"/>
      <c r="N3182" s="370"/>
    </row>
    <row r="3183" spans="1:14" s="347" customFormat="1" x14ac:dyDescent="0.25">
      <c r="A3183" s="369">
        <f>+A3182</f>
        <v>44362</v>
      </c>
      <c r="B3183" s="347">
        <f>+B3182</f>
        <v>6</v>
      </c>
      <c r="C3183" s="347">
        <v>110</v>
      </c>
      <c r="D3183" s="340" t="str">
        <f>VLOOKUP(C3183,Plan!A$1:B$65542,2,0)</f>
        <v>Disponible Administración</v>
      </c>
      <c r="E3183" s="396">
        <f>-G3183</f>
        <v>-20990</v>
      </c>
      <c r="F3183" s="396">
        <v>0</v>
      </c>
      <c r="G3183" s="396">
        <f>+F3182</f>
        <v>20990</v>
      </c>
      <c r="H3183" s="347" t="str">
        <f>+H3182</f>
        <v>PAC ENTEL</v>
      </c>
      <c r="I3183" s="347" t="s">
        <v>1303</v>
      </c>
      <c r="K3183" s="370"/>
      <c r="N3183" s="370"/>
    </row>
    <row r="3184" spans="1:14" s="347" customFormat="1" x14ac:dyDescent="0.25">
      <c r="A3184" s="369"/>
      <c r="E3184" s="396"/>
      <c r="F3184" s="396"/>
      <c r="G3184" s="396"/>
      <c r="K3184" s="370"/>
      <c r="N3184" s="370"/>
    </row>
    <row r="3185" spans="1:14" s="347" customFormat="1" x14ac:dyDescent="0.25">
      <c r="A3185" s="369">
        <v>44362</v>
      </c>
      <c r="B3185" s="340">
        <f>+MONTH(A3185)</f>
        <v>6</v>
      </c>
      <c r="C3185" s="347">
        <v>110</v>
      </c>
      <c r="D3185" s="340" t="str">
        <f>VLOOKUP(C3185,Plan!A$1:B$65542,2,0)</f>
        <v>Disponible Administración</v>
      </c>
      <c r="E3185" s="341">
        <f>+F3185-G3185</f>
        <v>25000</v>
      </c>
      <c r="F3185" s="396">
        <v>25000</v>
      </c>
      <c r="G3185" s="396">
        <v>0</v>
      </c>
      <c r="H3185" s="347" t="s">
        <v>926</v>
      </c>
      <c r="I3185" s="347" t="s">
        <v>1303</v>
      </c>
      <c r="K3185" s="370"/>
      <c r="N3185" s="370"/>
    </row>
    <row r="3186" spans="1:14" s="347" customFormat="1" x14ac:dyDescent="0.25">
      <c r="A3186" s="369">
        <f>+A3185</f>
        <v>44362</v>
      </c>
      <c r="B3186" s="347">
        <f>+B3185</f>
        <v>6</v>
      </c>
      <c r="C3186" s="347">
        <v>3110</v>
      </c>
      <c r="D3186" s="340" t="str">
        <f>VLOOKUP(C3186,Plan!A$1:B$65542,2,0)</f>
        <v>Colectas Normales</v>
      </c>
      <c r="E3186" s="396">
        <f>-G3186</f>
        <v>-25000</v>
      </c>
      <c r="F3186" s="396">
        <v>0</v>
      </c>
      <c r="G3186" s="396">
        <f>+F3185</f>
        <v>25000</v>
      </c>
      <c r="H3186" s="347" t="str">
        <f>+H3185</f>
        <v>Colecta Rodrigo Eduardo Duran Cuinas</v>
      </c>
      <c r="I3186" s="347" t="s">
        <v>1303</v>
      </c>
      <c r="K3186" s="370"/>
      <c r="N3186" s="370"/>
    </row>
    <row r="3187" spans="1:14" s="347" customFormat="1" x14ac:dyDescent="0.25">
      <c r="A3187" s="369"/>
      <c r="E3187" s="396"/>
      <c r="F3187" s="396"/>
      <c r="G3187" s="396"/>
      <c r="K3187" s="370"/>
      <c r="N3187" s="370"/>
    </row>
    <row r="3188" spans="1:14" s="347" customFormat="1" x14ac:dyDescent="0.25">
      <c r="A3188" s="369">
        <v>44362</v>
      </c>
      <c r="B3188" s="340">
        <f>+MONTH(A3188)</f>
        <v>6</v>
      </c>
      <c r="C3188" s="347">
        <v>110</v>
      </c>
      <c r="D3188" s="340" t="str">
        <f>VLOOKUP(C3188,Plan!A$1:B$65542,2,0)</f>
        <v>Disponible Administración</v>
      </c>
      <c r="E3188" s="341">
        <f>+F3188-G3188</f>
        <v>25000</v>
      </c>
      <c r="F3188" s="396">
        <v>25000</v>
      </c>
      <c r="G3188" s="396">
        <v>0</v>
      </c>
      <c r="H3188" s="347" t="s">
        <v>1445</v>
      </c>
      <c r="I3188" s="347" t="s">
        <v>1303</v>
      </c>
      <c r="K3188" s="370"/>
      <c r="N3188" s="370"/>
    </row>
    <row r="3189" spans="1:14" s="347" customFormat="1" x14ac:dyDescent="0.25">
      <c r="A3189" s="369">
        <f>+A3188</f>
        <v>44362</v>
      </c>
      <c r="B3189" s="347">
        <f>+B3188</f>
        <v>6</v>
      </c>
      <c r="C3189" s="347">
        <v>3360</v>
      </c>
      <c r="D3189" s="340" t="str">
        <f>VLOOKUP(C3189,Plan!A$1:B$65542,2,0)</f>
        <v>Otros</v>
      </c>
      <c r="E3189" s="396">
        <f>-G3189</f>
        <v>-25000</v>
      </c>
      <c r="F3189" s="396">
        <v>0</v>
      </c>
      <c r="G3189" s="396">
        <f>+F3188</f>
        <v>25000</v>
      </c>
      <c r="H3189" s="347" t="str">
        <f>+H3188</f>
        <v>Curso Ana Maria Alvarez Toro</v>
      </c>
      <c r="I3189" s="347" t="s">
        <v>1303</v>
      </c>
      <c r="K3189" s="370"/>
      <c r="N3189" s="370"/>
    </row>
    <row r="3190" spans="1:14" s="347" customFormat="1" x14ac:dyDescent="0.25">
      <c r="A3190" s="369"/>
      <c r="E3190" s="396"/>
      <c r="F3190" s="396"/>
      <c r="G3190" s="396"/>
      <c r="K3190" s="370"/>
      <c r="N3190" s="370"/>
    </row>
    <row r="3191" spans="1:14" s="347" customFormat="1" x14ac:dyDescent="0.25">
      <c r="A3191" s="369">
        <v>44362</v>
      </c>
      <c r="B3191" s="340">
        <f>+MONTH(A3191)</f>
        <v>6</v>
      </c>
      <c r="C3191" s="347">
        <v>110</v>
      </c>
      <c r="D3191" s="340" t="str">
        <f>VLOOKUP(C3191,Plan!A$1:B$65542,2,0)</f>
        <v>Disponible Administración</v>
      </c>
      <c r="E3191" s="341">
        <f>+F3191-G3191</f>
        <v>20000</v>
      </c>
      <c r="F3191" s="396">
        <v>20000</v>
      </c>
      <c r="G3191" s="396">
        <v>0</v>
      </c>
      <c r="H3191" s="347" t="s">
        <v>1527</v>
      </c>
      <c r="I3191" s="347" t="s">
        <v>1303</v>
      </c>
      <c r="K3191" s="370"/>
      <c r="N3191" s="370"/>
    </row>
    <row r="3192" spans="1:14" s="347" customFormat="1" x14ac:dyDescent="0.25">
      <c r="A3192" s="369">
        <f>+A3191</f>
        <v>44362</v>
      </c>
      <c r="B3192" s="347">
        <f>+B3191</f>
        <v>6</v>
      </c>
      <c r="C3192" s="347">
        <v>3450</v>
      </c>
      <c r="D3192" s="340" t="str">
        <f>VLOOKUP(C3192,Plan!A$1:B$65542,2,0)</f>
        <v>Pastoral Social</v>
      </c>
      <c r="E3192" s="396">
        <f>-G3192</f>
        <v>-20000</v>
      </c>
      <c r="F3192" s="396">
        <v>0</v>
      </c>
      <c r="G3192" s="396">
        <f>+F3191</f>
        <v>20000</v>
      </c>
      <c r="H3192" s="347" t="str">
        <f>+H3191</f>
        <v>Canastas M. Angelica Arancibia</v>
      </c>
      <c r="I3192" s="347" t="s">
        <v>1303</v>
      </c>
      <c r="K3192" s="370"/>
      <c r="N3192" s="370"/>
    </row>
    <row r="3193" spans="1:14" s="347" customFormat="1" x14ac:dyDescent="0.25">
      <c r="A3193" s="369"/>
      <c r="E3193" s="396"/>
      <c r="F3193" s="396"/>
      <c r="G3193" s="396"/>
      <c r="K3193" s="370"/>
      <c r="N3193" s="370"/>
    </row>
    <row r="3194" spans="1:14" s="347" customFormat="1" x14ac:dyDescent="0.25">
      <c r="A3194" s="369">
        <v>44362</v>
      </c>
      <c r="B3194" s="340">
        <f>+MONTH(A3194)</f>
        <v>6</v>
      </c>
      <c r="C3194" s="347">
        <v>110</v>
      </c>
      <c r="D3194" s="340" t="str">
        <f>VLOOKUP(C3194,Plan!A$1:B$65542,2,0)</f>
        <v>Disponible Administración</v>
      </c>
      <c r="E3194" s="341">
        <f>+F3194-G3194</f>
        <v>25000</v>
      </c>
      <c r="F3194" s="396">
        <v>25000</v>
      </c>
      <c r="G3194" s="396">
        <v>0</v>
      </c>
      <c r="H3194" s="347" t="s">
        <v>1590</v>
      </c>
      <c r="I3194" s="347" t="s">
        <v>1303</v>
      </c>
      <c r="K3194" s="370"/>
      <c r="N3194" s="370"/>
    </row>
    <row r="3195" spans="1:14" s="347" customFormat="1" x14ac:dyDescent="0.25">
      <c r="A3195" s="369">
        <f>+A3194</f>
        <v>44362</v>
      </c>
      <c r="B3195" s="347">
        <f>+B3194</f>
        <v>6</v>
      </c>
      <c r="C3195" s="347">
        <v>3450</v>
      </c>
      <c r="D3195" s="340" t="str">
        <f>VLOOKUP(C3195,Plan!A$1:B$65542,2,0)</f>
        <v>Pastoral Social</v>
      </c>
      <c r="E3195" s="396">
        <f>-G3195</f>
        <v>-25000</v>
      </c>
      <c r="F3195" s="396">
        <v>0</v>
      </c>
      <c r="G3195" s="396">
        <f>+F3194</f>
        <v>25000</v>
      </c>
      <c r="H3195" s="347" t="str">
        <f>+H3194</f>
        <v>Canastas Pablo Eyzaguire Ch.</v>
      </c>
      <c r="I3195" s="347" t="s">
        <v>1303</v>
      </c>
      <c r="K3195" s="370"/>
      <c r="N3195" s="370"/>
    </row>
    <row r="3196" spans="1:14" s="347" customFormat="1" x14ac:dyDescent="0.25">
      <c r="A3196" s="369"/>
      <c r="E3196" s="396"/>
      <c r="F3196" s="396"/>
      <c r="G3196" s="396"/>
      <c r="K3196" s="370"/>
      <c r="N3196" s="370"/>
    </row>
    <row r="3197" spans="1:14" s="347" customFormat="1" x14ac:dyDescent="0.25">
      <c r="A3197" s="369">
        <v>44363</v>
      </c>
      <c r="B3197" s="340">
        <f>+MONTH(A3197)</f>
        <v>6</v>
      </c>
      <c r="C3197" s="347">
        <v>4223</v>
      </c>
      <c r="D3197" s="340" t="str">
        <f>VLOOKUP(C3197,Plan!A$1:B$65542,2,0)</f>
        <v xml:space="preserve">         Comunicaciones</v>
      </c>
      <c r="E3197" s="341">
        <f>+F3197-G3197</f>
        <v>338983</v>
      </c>
      <c r="F3197" s="396">
        <f>+G3198+G3199</f>
        <v>338983</v>
      </c>
      <c r="G3197" s="396">
        <v>0</v>
      </c>
      <c r="H3197" s="347" t="s">
        <v>1591</v>
      </c>
      <c r="I3197" s="347" t="s">
        <v>1303</v>
      </c>
      <c r="K3197" s="370"/>
      <c r="N3197" s="370"/>
    </row>
    <row r="3198" spans="1:14" s="347" customFormat="1" x14ac:dyDescent="0.25">
      <c r="A3198" s="369">
        <f>+A3197</f>
        <v>44363</v>
      </c>
      <c r="B3198" s="347">
        <f>+B3197</f>
        <v>6</v>
      </c>
      <c r="C3198" s="347">
        <v>223</v>
      </c>
      <c r="D3198" s="340" t="str">
        <f>VLOOKUP(C3198,Plan!A$1:B$65542,2,0)</f>
        <v>Ret. Hon.  e Impto. Unico Administración</v>
      </c>
      <c r="E3198" s="396">
        <f>-G3198</f>
        <v>-38983</v>
      </c>
      <c r="F3198" s="396">
        <v>0</v>
      </c>
      <c r="G3198" s="396">
        <v>38983</v>
      </c>
      <c r="H3198" s="347" t="str">
        <f>+H3197</f>
        <v>BE-28 Maria Jara Lama</v>
      </c>
      <c r="I3198" s="347" t="s">
        <v>1303</v>
      </c>
      <c r="K3198" s="370"/>
      <c r="N3198" s="370"/>
    </row>
    <row r="3199" spans="1:14" s="347" customFormat="1" x14ac:dyDescent="0.25">
      <c r="A3199" s="369">
        <f>+A3198</f>
        <v>44363</v>
      </c>
      <c r="B3199" s="347">
        <f>+B3198</f>
        <v>6</v>
      </c>
      <c r="C3199" s="347">
        <v>110</v>
      </c>
      <c r="D3199" s="340" t="str">
        <f>VLOOKUP(C3199,Plan!A$1:B$65542,2,0)</f>
        <v>Disponible Administración</v>
      </c>
      <c r="E3199" s="396">
        <f>-G3199</f>
        <v>-300000</v>
      </c>
      <c r="F3199" s="396">
        <v>0</v>
      </c>
      <c r="G3199" s="396">
        <v>300000</v>
      </c>
      <c r="H3199" s="347" t="str">
        <f>+H3198</f>
        <v>BE-28 Maria Jara Lama</v>
      </c>
      <c r="I3199" s="347" t="s">
        <v>1303</v>
      </c>
      <c r="K3199" s="370"/>
      <c r="N3199" s="370"/>
    </row>
    <row r="3200" spans="1:14" s="347" customFormat="1" x14ac:dyDescent="0.25">
      <c r="A3200" s="369"/>
      <c r="E3200" s="396"/>
      <c r="F3200" s="396"/>
      <c r="G3200" s="396"/>
      <c r="K3200" s="370"/>
      <c r="N3200" s="370"/>
    </row>
    <row r="3201" spans="1:14" s="347" customFormat="1" x14ac:dyDescent="0.25">
      <c r="A3201" s="369">
        <v>44363</v>
      </c>
      <c r="B3201" s="340">
        <f>+MONTH(A3201)</f>
        <v>6</v>
      </c>
      <c r="C3201" s="347">
        <v>4950</v>
      </c>
      <c r="D3201" s="340" t="str">
        <f>VLOOKUP(C3201,Plan!A$1:B$65542,2,0)</f>
        <v>Cuaresma</v>
      </c>
      <c r="E3201" s="341">
        <f>+F3201-G3201</f>
        <v>408678</v>
      </c>
      <c r="F3201" s="396">
        <v>408678</v>
      </c>
      <c r="G3201" s="396">
        <v>0</v>
      </c>
      <c r="H3201" s="347" t="s">
        <v>1592</v>
      </c>
      <c r="I3201" s="347" t="s">
        <v>1303</v>
      </c>
      <c r="K3201" s="370"/>
      <c r="N3201" s="370"/>
    </row>
    <row r="3202" spans="1:14" s="347" customFormat="1" x14ac:dyDescent="0.25">
      <c r="A3202" s="369">
        <f>+A3201</f>
        <v>44363</v>
      </c>
      <c r="B3202" s="347">
        <f>+B3201</f>
        <v>6</v>
      </c>
      <c r="C3202" s="347">
        <v>110</v>
      </c>
      <c r="D3202" s="340" t="str">
        <f>VLOOKUP(C3202,Plan!A$1:B$65542,2,0)</f>
        <v>Disponible Administración</v>
      </c>
      <c r="E3202" s="396">
        <f>-G3202</f>
        <v>-408678</v>
      </c>
      <c r="F3202" s="396">
        <v>0</v>
      </c>
      <c r="G3202" s="396">
        <f>+F3201</f>
        <v>408678</v>
      </c>
      <c r="H3202" s="347" t="str">
        <f>+H3201</f>
        <v>Cuaresma de Fraternidad 2021</v>
      </c>
      <c r="I3202" s="347" t="s">
        <v>1303</v>
      </c>
      <c r="K3202" s="370"/>
      <c r="N3202" s="370"/>
    </row>
    <row r="3203" spans="1:14" s="347" customFormat="1" x14ac:dyDescent="0.25">
      <c r="A3203" s="369"/>
      <c r="E3203" s="396"/>
      <c r="F3203" s="396"/>
      <c r="G3203" s="396"/>
      <c r="K3203" s="370"/>
      <c r="N3203" s="370"/>
    </row>
    <row r="3204" spans="1:14" s="347" customFormat="1" x14ac:dyDescent="0.25">
      <c r="A3204" s="369">
        <v>44363</v>
      </c>
      <c r="B3204" s="340">
        <f>+MONTH(A3204)</f>
        <v>6</v>
      </c>
      <c r="C3204" s="347">
        <v>4950</v>
      </c>
      <c r="D3204" s="340" t="str">
        <f>VLOOKUP(C3204,Plan!A$1:B$65542,2,0)</f>
        <v>Cuaresma</v>
      </c>
      <c r="E3204" s="341">
        <f>+F3204-G3204</f>
        <v>50379</v>
      </c>
      <c r="F3204" s="396">
        <v>50379</v>
      </c>
      <c r="G3204" s="396">
        <v>0</v>
      </c>
      <c r="H3204" s="347" t="s">
        <v>1593</v>
      </c>
      <c r="I3204" s="347" t="s">
        <v>1303</v>
      </c>
      <c r="K3204" s="370"/>
      <c r="N3204" s="370"/>
    </row>
    <row r="3205" spans="1:14" s="347" customFormat="1" x14ac:dyDescent="0.25">
      <c r="A3205" s="369">
        <f>+A3204</f>
        <v>44363</v>
      </c>
      <c r="B3205" s="347">
        <f>+B3204</f>
        <v>6</v>
      </c>
      <c r="C3205" s="347">
        <v>110</v>
      </c>
      <c r="D3205" s="340" t="str">
        <f>VLOOKUP(C3205,Plan!A$1:B$65542,2,0)</f>
        <v>Disponible Administración</v>
      </c>
      <c r="E3205" s="396">
        <f>-G3205</f>
        <v>-50379</v>
      </c>
      <c r="F3205" s="396">
        <v>0</v>
      </c>
      <c r="G3205" s="396">
        <f>+F3204</f>
        <v>50379</v>
      </c>
      <c r="H3205" s="347" t="str">
        <f>+H3204</f>
        <v>Rend C/Chica Rafael Valdes Searle</v>
      </c>
      <c r="I3205" s="347" t="s">
        <v>1303</v>
      </c>
      <c r="K3205" s="370"/>
      <c r="N3205" s="370"/>
    </row>
    <row r="3206" spans="1:14" s="347" customFormat="1" x14ac:dyDescent="0.25">
      <c r="A3206" s="369"/>
      <c r="E3206" s="396"/>
      <c r="F3206" s="396"/>
      <c r="G3206" s="396"/>
      <c r="K3206" s="370"/>
      <c r="N3206" s="370"/>
    </row>
    <row r="3207" spans="1:14" s="347" customFormat="1" x14ac:dyDescent="0.25">
      <c r="A3207" s="369">
        <v>44363</v>
      </c>
      <c r="B3207" s="340">
        <f>+MONTH(A3207)</f>
        <v>6</v>
      </c>
      <c r="C3207" s="347">
        <v>4643</v>
      </c>
      <c r="D3207" s="340" t="str">
        <f>VLOOKUP(C3207,Plan!A$1:B$65542,2,0)</f>
        <v xml:space="preserve">             Otros</v>
      </c>
      <c r="E3207" s="341">
        <f>+F3207-G3207</f>
        <v>260000</v>
      </c>
      <c r="F3207" s="396">
        <f>+G3208+G3209</f>
        <v>260000</v>
      </c>
      <c r="G3207" s="396">
        <v>0</v>
      </c>
      <c r="H3207" s="347" t="s">
        <v>1594</v>
      </c>
      <c r="I3207" s="347" t="s">
        <v>1303</v>
      </c>
      <c r="K3207" s="370"/>
      <c r="N3207" s="370"/>
    </row>
    <row r="3208" spans="1:14" s="347" customFormat="1" x14ac:dyDescent="0.25">
      <c r="A3208" s="369">
        <f>+A3207</f>
        <v>44363</v>
      </c>
      <c r="B3208" s="347">
        <f>+B3207</f>
        <v>6</v>
      </c>
      <c r="C3208" s="347">
        <v>110</v>
      </c>
      <c r="D3208" s="340" t="str">
        <f>VLOOKUP(C3208,Plan!A$1:B$65542,2,0)</f>
        <v>Disponible Administración</v>
      </c>
      <c r="E3208" s="396">
        <f>-G3208</f>
        <v>-230100</v>
      </c>
      <c r="F3208" s="396">
        <v>0</v>
      </c>
      <c r="G3208" s="396">
        <v>230100</v>
      </c>
      <c r="H3208" s="347" t="str">
        <f>+H3207</f>
        <v>BTE-109 Dorlly Cardenas Lindarte</v>
      </c>
      <c r="I3208" s="347" t="s">
        <v>1303</v>
      </c>
      <c r="K3208" s="370"/>
      <c r="N3208" s="370"/>
    </row>
    <row r="3209" spans="1:14" s="347" customFormat="1" x14ac:dyDescent="0.25">
      <c r="A3209" s="369">
        <v>44363</v>
      </c>
      <c r="B3209" s="340">
        <f>+MONTH(A3209)</f>
        <v>6</v>
      </c>
      <c r="C3209" s="347">
        <v>223</v>
      </c>
      <c r="D3209" s="340" t="str">
        <f>VLOOKUP(C3209,Plan!A$1:B$65542,2,0)</f>
        <v>Ret. Hon.  e Impto. Unico Administración</v>
      </c>
      <c r="E3209" s="341">
        <f>+F3209-G3209</f>
        <v>-29900</v>
      </c>
      <c r="F3209" s="396">
        <v>0</v>
      </c>
      <c r="G3209" s="396">
        <v>29900</v>
      </c>
      <c r="H3209" s="347" t="s">
        <v>1594</v>
      </c>
      <c r="I3209" s="347" t="s">
        <v>1303</v>
      </c>
      <c r="K3209" s="370"/>
      <c r="N3209" s="370"/>
    </row>
    <row r="3210" spans="1:14" s="347" customFormat="1" x14ac:dyDescent="0.25">
      <c r="A3210" s="369"/>
      <c r="E3210" s="396"/>
      <c r="F3210" s="396"/>
      <c r="G3210" s="396"/>
      <c r="K3210" s="370"/>
      <c r="N3210" s="370"/>
    </row>
    <row r="3211" spans="1:14" s="347" customFormat="1" x14ac:dyDescent="0.25">
      <c r="A3211" s="369">
        <v>44363</v>
      </c>
      <c r="B3211" s="340">
        <f>+MONTH(A3211)</f>
        <v>6</v>
      </c>
      <c r="C3211" s="347">
        <v>110</v>
      </c>
      <c r="D3211" s="340" t="str">
        <f>VLOOKUP(C3211,Plan!A$1:B$65542,2,0)</f>
        <v>Disponible Administración</v>
      </c>
      <c r="E3211" s="341">
        <f>+F3211-G3211</f>
        <v>100000</v>
      </c>
      <c r="F3211" s="396">
        <v>100000</v>
      </c>
      <c r="G3211" s="396">
        <v>0</v>
      </c>
      <c r="H3211" s="347" t="s">
        <v>1595</v>
      </c>
      <c r="I3211" s="347" t="s">
        <v>1303</v>
      </c>
      <c r="K3211" s="370"/>
      <c r="N3211" s="370"/>
    </row>
    <row r="3212" spans="1:14" s="347" customFormat="1" x14ac:dyDescent="0.25">
      <c r="A3212" s="369">
        <f>+A3211</f>
        <v>44363</v>
      </c>
      <c r="B3212" s="347">
        <f>+B3211</f>
        <v>6</v>
      </c>
      <c r="C3212" s="347">
        <v>215</v>
      </c>
      <c r="D3212" s="340" t="str">
        <f>VLOOKUP(C3212,Plan!A$1:B$65542,2,0)</f>
        <v>Cuenta por Pagar a Cali</v>
      </c>
      <c r="E3212" s="396">
        <f>-G3212</f>
        <v>-100000</v>
      </c>
      <c r="F3212" s="396">
        <v>0</v>
      </c>
      <c r="G3212" s="396">
        <f>+F3211</f>
        <v>100000</v>
      </c>
      <c r="H3212" s="347" t="str">
        <f>+H3211</f>
        <v>Maria de los Angeles Herrera Soler / 249</v>
      </c>
      <c r="I3212" s="347" t="s">
        <v>1303</v>
      </c>
      <c r="K3212" s="370"/>
      <c r="N3212" s="370"/>
    </row>
    <row r="3213" spans="1:14" s="347" customFormat="1" x14ac:dyDescent="0.25">
      <c r="A3213" s="369"/>
      <c r="E3213" s="396"/>
      <c r="F3213" s="396"/>
      <c r="G3213" s="396"/>
      <c r="K3213" s="370"/>
      <c r="N3213" s="370"/>
    </row>
    <row r="3214" spans="1:14" s="347" customFormat="1" x14ac:dyDescent="0.25">
      <c r="A3214" s="369">
        <v>44363</v>
      </c>
      <c r="B3214" s="340">
        <f>+MONTH(A3214)</f>
        <v>6</v>
      </c>
      <c r="C3214" s="347">
        <v>110</v>
      </c>
      <c r="D3214" s="340" t="str">
        <f>VLOOKUP(C3214,Plan!A$1:B$65542,2,0)</f>
        <v>Disponible Administración</v>
      </c>
      <c r="E3214" s="341">
        <f>+F3214-G3214</f>
        <v>30000</v>
      </c>
      <c r="F3214" s="396">
        <v>30000</v>
      </c>
      <c r="G3214" s="396">
        <v>0</v>
      </c>
      <c r="H3214" s="347" t="s">
        <v>1596</v>
      </c>
      <c r="I3214" s="347" t="s">
        <v>1303</v>
      </c>
      <c r="K3214" s="370"/>
      <c r="N3214" s="370"/>
    </row>
    <row r="3215" spans="1:14" s="347" customFormat="1" x14ac:dyDescent="0.25">
      <c r="A3215" s="369">
        <f>+A3214</f>
        <v>44363</v>
      </c>
      <c r="B3215" s="347">
        <f>+B3214</f>
        <v>6</v>
      </c>
      <c r="C3215" s="347">
        <v>3110</v>
      </c>
      <c r="D3215" s="340" t="str">
        <f>VLOOKUP(C3215,Plan!A$1:B$65542,2,0)</f>
        <v>Colectas Normales</v>
      </c>
      <c r="E3215" s="396">
        <f>-G3215</f>
        <v>-30000</v>
      </c>
      <c r="F3215" s="396">
        <v>0</v>
      </c>
      <c r="G3215" s="396">
        <f>+F3214</f>
        <v>30000</v>
      </c>
      <c r="H3215" s="347" t="str">
        <f>+H3214</f>
        <v>Colecta Maria Virginia Escala</v>
      </c>
      <c r="I3215" s="347" t="s">
        <v>1303</v>
      </c>
      <c r="K3215" s="370"/>
      <c r="N3215" s="370"/>
    </row>
    <row r="3216" spans="1:14" s="347" customFormat="1" x14ac:dyDescent="0.25">
      <c r="A3216" s="369"/>
      <c r="E3216" s="396"/>
      <c r="F3216" s="396"/>
      <c r="G3216" s="396"/>
      <c r="K3216" s="370"/>
      <c r="N3216" s="370"/>
    </row>
    <row r="3217" spans="1:14" s="347" customFormat="1" x14ac:dyDescent="0.25">
      <c r="A3217" s="369">
        <v>44363</v>
      </c>
      <c r="B3217" s="340">
        <f>+MONTH(A3217)</f>
        <v>6</v>
      </c>
      <c r="C3217" s="347">
        <v>110</v>
      </c>
      <c r="D3217" s="340" t="str">
        <f>VLOOKUP(C3217,Plan!A$1:B$65542,2,0)</f>
        <v>Disponible Administración</v>
      </c>
      <c r="E3217" s="341">
        <f>+F3217-G3217</f>
        <v>15000</v>
      </c>
      <c r="F3217" s="396">
        <v>15000</v>
      </c>
      <c r="G3217" s="396">
        <v>0</v>
      </c>
      <c r="H3217" s="347" t="s">
        <v>1597</v>
      </c>
      <c r="I3217" s="347" t="s">
        <v>1303</v>
      </c>
      <c r="K3217" s="370"/>
      <c r="N3217" s="370"/>
    </row>
    <row r="3218" spans="1:14" s="347" customFormat="1" x14ac:dyDescent="0.25">
      <c r="A3218" s="369">
        <f>+A3217</f>
        <v>44363</v>
      </c>
      <c r="B3218" s="347">
        <f>+B3217</f>
        <v>6</v>
      </c>
      <c r="C3218" s="347">
        <v>3450</v>
      </c>
      <c r="D3218" s="340" t="str">
        <f>VLOOKUP(C3218,Plan!A$1:B$65542,2,0)</f>
        <v>Pastoral Social</v>
      </c>
      <c r="E3218" s="396">
        <f>-G3218</f>
        <v>-15000</v>
      </c>
      <c r="F3218" s="396">
        <v>0</v>
      </c>
      <c r="G3218" s="396">
        <f>+F3217</f>
        <v>15000</v>
      </c>
      <c r="H3218" s="347" t="str">
        <f>+H3217</f>
        <v>Canastas Maria Virginia Escala</v>
      </c>
      <c r="I3218" s="347" t="s">
        <v>1303</v>
      </c>
      <c r="K3218" s="370"/>
      <c r="N3218" s="370"/>
    </row>
    <row r="3219" spans="1:14" s="347" customFormat="1" x14ac:dyDescent="0.25">
      <c r="A3219" s="369"/>
      <c r="E3219" s="396"/>
      <c r="F3219" s="396"/>
      <c r="G3219" s="396"/>
      <c r="K3219" s="370"/>
      <c r="N3219" s="370"/>
    </row>
    <row r="3220" spans="1:14" s="347" customFormat="1" x14ac:dyDescent="0.25">
      <c r="A3220" s="369">
        <v>44363</v>
      </c>
      <c r="B3220" s="340">
        <f>+MONTH(A3220)</f>
        <v>6</v>
      </c>
      <c r="C3220" s="347">
        <v>110</v>
      </c>
      <c r="D3220" s="340" t="str">
        <f>VLOOKUP(C3220,Plan!A$1:B$65542,2,0)</f>
        <v>Disponible Administración</v>
      </c>
      <c r="E3220" s="341">
        <f>+F3220-G3220</f>
        <v>13633</v>
      </c>
      <c r="F3220" s="396">
        <v>13633</v>
      </c>
      <c r="G3220" s="396">
        <v>0</v>
      </c>
      <c r="H3220" s="347" t="s">
        <v>897</v>
      </c>
      <c r="I3220" s="347" t="s">
        <v>1303</v>
      </c>
      <c r="K3220" s="370"/>
      <c r="N3220" s="370"/>
    </row>
    <row r="3221" spans="1:14" s="347" customFormat="1" x14ac:dyDescent="0.25">
      <c r="A3221" s="369">
        <f>+A3220</f>
        <v>44363</v>
      </c>
      <c r="B3221" s="347">
        <f>+B3220</f>
        <v>6</v>
      </c>
      <c r="C3221" s="347">
        <v>3110</v>
      </c>
      <c r="D3221" s="340" t="str">
        <f>VLOOKUP(C3221,Plan!A$1:B$65542,2,0)</f>
        <v>Colectas Normales</v>
      </c>
      <c r="E3221" s="396">
        <f>-G3221</f>
        <v>-13633</v>
      </c>
      <c r="F3221" s="396">
        <v>0</v>
      </c>
      <c r="G3221" s="396">
        <f>+F3220</f>
        <v>13633</v>
      </c>
      <c r="H3221" s="347" t="str">
        <f>+H3220</f>
        <v>Colecta DCT</v>
      </c>
      <c r="I3221" s="347" t="s">
        <v>1303</v>
      </c>
      <c r="K3221" s="370"/>
      <c r="N3221" s="370"/>
    </row>
    <row r="3222" spans="1:14" s="347" customFormat="1" x14ac:dyDescent="0.25">
      <c r="A3222" s="369"/>
      <c r="E3222" s="396"/>
      <c r="F3222" s="396"/>
      <c r="G3222" s="396"/>
      <c r="K3222" s="370"/>
      <c r="N3222" s="370"/>
    </row>
    <row r="3223" spans="1:14" s="347" customFormat="1" x14ac:dyDescent="0.25">
      <c r="A3223" s="369">
        <v>44363</v>
      </c>
      <c r="B3223" s="340">
        <f>+MONTH(A3223)</f>
        <v>6</v>
      </c>
      <c r="C3223" s="347">
        <v>110</v>
      </c>
      <c r="D3223" s="340" t="str">
        <f>VLOOKUP(C3223,Plan!A$1:B$65542,2,0)</f>
        <v>Disponible Administración</v>
      </c>
      <c r="E3223" s="341">
        <f>+F3223-G3223</f>
        <v>20000</v>
      </c>
      <c r="F3223" s="396">
        <v>20000</v>
      </c>
      <c r="G3223" s="396">
        <v>0</v>
      </c>
      <c r="H3223" s="347" t="s">
        <v>1598</v>
      </c>
      <c r="I3223" s="347" t="s">
        <v>1303</v>
      </c>
      <c r="K3223" s="370"/>
      <c r="N3223" s="370"/>
    </row>
    <row r="3224" spans="1:14" s="347" customFormat="1" x14ac:dyDescent="0.25">
      <c r="A3224" s="369">
        <f>+A3223</f>
        <v>44363</v>
      </c>
      <c r="B3224" s="347">
        <f>+B3223</f>
        <v>6</v>
      </c>
      <c r="C3224" s="347">
        <v>3450</v>
      </c>
      <c r="D3224" s="340" t="str">
        <f>VLOOKUP(C3224,Plan!A$1:B$65542,2,0)</f>
        <v>Pastoral Social</v>
      </c>
      <c r="E3224" s="396">
        <f>-G3224</f>
        <v>-20000</v>
      </c>
      <c r="F3224" s="396">
        <v>0</v>
      </c>
      <c r="G3224" s="396">
        <f>+F3223</f>
        <v>20000</v>
      </c>
      <c r="H3224" s="347" t="str">
        <f>+H3223</f>
        <v>Canastas Sonia Andrea Varas Mujica</v>
      </c>
      <c r="I3224" s="347" t="s">
        <v>1303</v>
      </c>
      <c r="K3224" s="370"/>
      <c r="N3224" s="370"/>
    </row>
    <row r="3225" spans="1:14" s="347" customFormat="1" x14ac:dyDescent="0.25">
      <c r="A3225" s="369"/>
      <c r="E3225" s="396"/>
      <c r="F3225" s="396"/>
      <c r="G3225" s="396"/>
      <c r="K3225" s="370"/>
      <c r="N3225" s="370"/>
    </row>
    <row r="3226" spans="1:14" s="347" customFormat="1" x14ac:dyDescent="0.25">
      <c r="A3226" s="369">
        <v>44364</v>
      </c>
      <c r="B3226" s="340">
        <f>+MONTH(A3226)</f>
        <v>6</v>
      </c>
      <c r="C3226" s="347">
        <v>110</v>
      </c>
      <c r="D3226" s="340" t="str">
        <f>VLOOKUP(C3226,Plan!A$1:B$65542,2,0)</f>
        <v>Disponible Administración</v>
      </c>
      <c r="E3226" s="341">
        <f>+F3226-G3226</f>
        <v>19614</v>
      </c>
      <c r="F3226" s="396">
        <v>19614</v>
      </c>
      <c r="G3226" s="396">
        <v>0</v>
      </c>
      <c r="H3226" s="347" t="s">
        <v>1338</v>
      </c>
      <c r="I3226" s="347" t="s">
        <v>1303</v>
      </c>
      <c r="K3226" s="370"/>
      <c r="N3226" s="370"/>
    </row>
    <row r="3227" spans="1:14" s="347" customFormat="1" x14ac:dyDescent="0.25">
      <c r="A3227" s="369">
        <f>+A3226</f>
        <v>44364</v>
      </c>
      <c r="B3227" s="347">
        <f>+B3226</f>
        <v>6</v>
      </c>
      <c r="C3227" s="347">
        <v>3340</v>
      </c>
      <c r="D3227" s="340" t="str">
        <f>VLOOKUP(C3227,Plan!A$1:B$65542,2,0)</f>
        <v>Misas</v>
      </c>
      <c r="E3227" s="396">
        <f>-G3227</f>
        <v>-19614</v>
      </c>
      <c r="F3227" s="396">
        <v>0</v>
      </c>
      <c r="G3227" s="396">
        <f>+F3226</f>
        <v>19614</v>
      </c>
      <c r="H3227" s="347" t="str">
        <f>+H3226</f>
        <v>Misa DCT</v>
      </c>
      <c r="I3227" s="347" t="s">
        <v>1303</v>
      </c>
      <c r="K3227" s="370"/>
      <c r="N3227" s="370"/>
    </row>
    <row r="3228" spans="1:14" s="347" customFormat="1" x14ac:dyDescent="0.25">
      <c r="A3228" s="369"/>
      <c r="E3228" s="396"/>
      <c r="F3228" s="396"/>
      <c r="G3228" s="396"/>
      <c r="K3228" s="370"/>
      <c r="N3228" s="370"/>
    </row>
    <row r="3229" spans="1:14" s="347" customFormat="1" x14ac:dyDescent="0.25">
      <c r="A3229" s="369">
        <v>44364</v>
      </c>
      <c r="B3229" s="340">
        <f>+MONTH(A3229)</f>
        <v>6</v>
      </c>
      <c r="C3229" s="347">
        <v>110</v>
      </c>
      <c r="D3229" s="340" t="str">
        <f>VLOOKUP(C3229,Plan!A$1:B$65542,2,0)</f>
        <v>Disponible Administración</v>
      </c>
      <c r="E3229" s="341">
        <f>+F3229-G3229</f>
        <v>145000</v>
      </c>
      <c r="F3229" s="396">
        <v>145000</v>
      </c>
      <c r="G3229" s="396">
        <v>0</v>
      </c>
      <c r="H3229" s="347" t="s">
        <v>1410</v>
      </c>
      <c r="I3229" s="347" t="s">
        <v>1303</v>
      </c>
      <c r="K3229" s="370"/>
      <c r="N3229" s="370"/>
    </row>
    <row r="3230" spans="1:14" s="347" customFormat="1" x14ac:dyDescent="0.25">
      <c r="A3230" s="369">
        <f>+A3229</f>
        <v>44364</v>
      </c>
      <c r="B3230" s="347">
        <f>+B3229</f>
        <v>6</v>
      </c>
      <c r="C3230" s="347">
        <v>3110</v>
      </c>
      <c r="D3230" s="340" t="str">
        <f>VLOOKUP(C3230,Plan!A$1:B$65542,2,0)</f>
        <v>Colectas Normales</v>
      </c>
      <c r="E3230" s="396">
        <f>-G3230</f>
        <v>-145000</v>
      </c>
      <c r="F3230" s="396">
        <v>0</v>
      </c>
      <c r="G3230" s="396">
        <f>+F3229</f>
        <v>145000</v>
      </c>
      <c r="H3230" s="347" t="str">
        <f>+H3229</f>
        <v>Colecta Col. Cordillera</v>
      </c>
      <c r="I3230" s="347" t="s">
        <v>1303</v>
      </c>
      <c r="K3230" s="370"/>
      <c r="N3230" s="370"/>
    </row>
    <row r="3231" spans="1:14" s="347" customFormat="1" x14ac:dyDescent="0.25">
      <c r="A3231" s="369"/>
      <c r="E3231" s="396"/>
      <c r="F3231" s="396"/>
      <c r="G3231" s="396"/>
      <c r="K3231" s="370"/>
      <c r="N3231" s="370"/>
    </row>
    <row r="3232" spans="1:14" s="347" customFormat="1" x14ac:dyDescent="0.25">
      <c r="A3232" s="369">
        <v>44365</v>
      </c>
      <c r="B3232" s="340">
        <f>+MONTH(A3232)</f>
        <v>6</v>
      </c>
      <c r="C3232" s="347">
        <v>110</v>
      </c>
      <c r="D3232" s="340" t="str">
        <f>VLOOKUP(C3232,Plan!A$1:B$65542,2,0)</f>
        <v>Disponible Administración</v>
      </c>
      <c r="E3232" s="341">
        <f>+F3232-G3232</f>
        <v>40000</v>
      </c>
      <c r="F3232" s="396">
        <v>40000</v>
      </c>
      <c r="G3232" s="396">
        <v>0</v>
      </c>
      <c r="H3232" s="347" t="s">
        <v>1435</v>
      </c>
      <c r="I3232" s="347" t="s">
        <v>1303</v>
      </c>
      <c r="K3232" s="370"/>
      <c r="N3232" s="370"/>
    </row>
    <row r="3233" spans="1:14" s="347" customFormat="1" x14ac:dyDescent="0.25">
      <c r="A3233" s="369">
        <f>+A3232</f>
        <v>44365</v>
      </c>
      <c r="B3233" s="347">
        <f>+B3232</f>
        <v>6</v>
      </c>
      <c r="C3233" s="347">
        <v>3450</v>
      </c>
      <c r="D3233" s="340" t="str">
        <f>VLOOKUP(C3233,Plan!A$1:B$65542,2,0)</f>
        <v>Pastoral Social</v>
      </c>
      <c r="E3233" s="396">
        <f>-G3233</f>
        <v>-40000</v>
      </c>
      <c r="F3233" s="396">
        <v>0</v>
      </c>
      <c r="G3233" s="396">
        <f>+F3232</f>
        <v>40000</v>
      </c>
      <c r="H3233" s="347" t="str">
        <f>+H3232</f>
        <v>Canastas Alejandro Gutierrez</v>
      </c>
      <c r="I3233" s="347" t="s">
        <v>1303</v>
      </c>
      <c r="K3233" s="370"/>
      <c r="N3233" s="370"/>
    </row>
    <row r="3234" spans="1:14" s="347" customFormat="1" x14ac:dyDescent="0.25">
      <c r="A3234" s="369"/>
      <c r="E3234" s="396"/>
      <c r="F3234" s="396"/>
      <c r="G3234" s="396"/>
      <c r="K3234" s="370"/>
      <c r="N3234" s="370"/>
    </row>
    <row r="3235" spans="1:14" s="347" customFormat="1" x14ac:dyDescent="0.25">
      <c r="A3235" s="369">
        <v>44365</v>
      </c>
      <c r="B3235" s="340">
        <f>+MONTH(A3235)</f>
        <v>6</v>
      </c>
      <c r="C3235" s="347">
        <v>110</v>
      </c>
      <c r="D3235" s="340" t="str">
        <f>VLOOKUP(C3235,Plan!A$1:B$65542,2,0)</f>
        <v>Disponible Administración</v>
      </c>
      <c r="E3235" s="341">
        <f>+F3235-G3235</f>
        <v>30000</v>
      </c>
      <c r="F3235" s="396">
        <v>30000</v>
      </c>
      <c r="G3235" s="396">
        <v>0</v>
      </c>
      <c r="H3235" s="347" t="s">
        <v>1599</v>
      </c>
      <c r="I3235" s="347" t="s">
        <v>1303</v>
      </c>
      <c r="K3235" s="370"/>
      <c r="N3235" s="370"/>
    </row>
    <row r="3236" spans="1:14" s="347" customFormat="1" x14ac:dyDescent="0.25">
      <c r="A3236" s="369">
        <f>+A3235</f>
        <v>44365</v>
      </c>
      <c r="B3236" s="347">
        <f>+B3235</f>
        <v>6</v>
      </c>
      <c r="C3236" s="347">
        <v>3110</v>
      </c>
      <c r="D3236" s="340" t="str">
        <f>VLOOKUP(C3236,Plan!A$1:B$65542,2,0)</f>
        <v>Colectas Normales</v>
      </c>
      <c r="E3236" s="396">
        <f>-G3236</f>
        <v>-30000</v>
      </c>
      <c r="F3236" s="396">
        <v>0</v>
      </c>
      <c r="G3236" s="396">
        <f>+F3235</f>
        <v>30000</v>
      </c>
      <c r="H3236" s="347" t="str">
        <f>+H3235</f>
        <v>Colecta Yolanda Haase Baeza</v>
      </c>
      <c r="I3236" s="347" t="s">
        <v>1303</v>
      </c>
      <c r="K3236" s="370"/>
      <c r="N3236" s="370"/>
    </row>
    <row r="3237" spans="1:14" s="347" customFormat="1" x14ac:dyDescent="0.25">
      <c r="A3237" s="369"/>
      <c r="E3237" s="396"/>
      <c r="F3237" s="396"/>
      <c r="G3237" s="396"/>
      <c r="K3237" s="370"/>
      <c r="N3237" s="370"/>
    </row>
    <row r="3238" spans="1:14" s="347" customFormat="1" x14ac:dyDescent="0.25">
      <c r="A3238" s="369">
        <v>44365</v>
      </c>
      <c r="B3238" s="340">
        <f>+MONTH(A3238)</f>
        <v>6</v>
      </c>
      <c r="C3238" s="347">
        <v>110</v>
      </c>
      <c r="D3238" s="340" t="str">
        <f>VLOOKUP(C3238,Plan!A$1:B$65542,2,0)</f>
        <v>Disponible Administración</v>
      </c>
      <c r="E3238" s="341">
        <f>+F3238-G3238</f>
        <v>30000</v>
      </c>
      <c r="F3238" s="396">
        <v>30000</v>
      </c>
      <c r="G3238" s="396">
        <v>0</v>
      </c>
      <c r="H3238" s="347" t="s">
        <v>1600</v>
      </c>
      <c r="I3238" s="347" t="s">
        <v>1303</v>
      </c>
      <c r="K3238" s="370"/>
      <c r="N3238" s="370"/>
    </row>
    <row r="3239" spans="1:14" s="347" customFormat="1" x14ac:dyDescent="0.25">
      <c r="A3239" s="369">
        <f>+A3238</f>
        <v>44365</v>
      </c>
      <c r="B3239" s="347">
        <f>+B3238</f>
        <v>6</v>
      </c>
      <c r="C3239" s="347">
        <v>3450</v>
      </c>
      <c r="D3239" s="340" t="str">
        <f>VLOOKUP(C3239,Plan!A$1:B$65542,2,0)</f>
        <v>Pastoral Social</v>
      </c>
      <c r="E3239" s="396">
        <f>-G3239</f>
        <v>-30000</v>
      </c>
      <c r="F3239" s="396">
        <v>0</v>
      </c>
      <c r="G3239" s="396">
        <f>+F3238</f>
        <v>30000</v>
      </c>
      <c r="H3239" s="347" t="str">
        <f>+H3238</f>
        <v>Canastas Yolanda Haase Baeza</v>
      </c>
      <c r="I3239" s="347" t="s">
        <v>1303</v>
      </c>
      <c r="K3239" s="370"/>
      <c r="N3239" s="370"/>
    </row>
    <row r="3240" spans="1:14" s="347" customFormat="1" x14ac:dyDescent="0.25">
      <c r="A3240" s="369"/>
      <c r="E3240" s="396"/>
      <c r="F3240" s="396"/>
      <c r="G3240" s="396"/>
      <c r="K3240" s="370"/>
      <c r="N3240" s="370"/>
    </row>
    <row r="3241" spans="1:14" s="347" customFormat="1" x14ac:dyDescent="0.25">
      <c r="A3241" s="369">
        <v>44365</v>
      </c>
      <c r="B3241" s="340">
        <f>+MONTH(A3241)</f>
        <v>6</v>
      </c>
      <c r="C3241" s="347">
        <v>110</v>
      </c>
      <c r="D3241" s="340" t="str">
        <f>VLOOKUP(C3241,Plan!A$1:B$65542,2,0)</f>
        <v>Disponible Administración</v>
      </c>
      <c r="E3241" s="341">
        <f>+F3241-G3241</f>
        <v>30000</v>
      </c>
      <c r="F3241" s="396">
        <v>30000</v>
      </c>
      <c r="G3241" s="396">
        <v>0</v>
      </c>
      <c r="H3241" s="347" t="s">
        <v>1601</v>
      </c>
      <c r="I3241" s="347" t="s">
        <v>1303</v>
      </c>
      <c r="K3241" s="370"/>
      <c r="N3241" s="370"/>
    </row>
    <row r="3242" spans="1:14" s="347" customFormat="1" x14ac:dyDescent="0.25">
      <c r="A3242" s="369">
        <f>+A3241</f>
        <v>44365</v>
      </c>
      <c r="B3242" s="347">
        <f>+B3241</f>
        <v>6</v>
      </c>
      <c r="C3242" s="347">
        <v>215</v>
      </c>
      <c r="D3242" s="340" t="str">
        <f>VLOOKUP(C3242,Plan!A$1:B$65542,2,0)</f>
        <v>Cuenta por Pagar a Cali</v>
      </c>
      <c r="E3242" s="396">
        <f>-G3242</f>
        <v>-30000</v>
      </c>
      <c r="F3242" s="396">
        <v>0</v>
      </c>
      <c r="G3242" s="396">
        <f>+F3241</f>
        <v>30000</v>
      </c>
      <c r="H3242" s="347" t="str">
        <f>+H3241</f>
        <v>Yolanda haase Baeza / 249</v>
      </c>
      <c r="I3242" s="347" t="s">
        <v>1303</v>
      </c>
      <c r="K3242" s="370"/>
      <c r="N3242" s="370"/>
    </row>
    <row r="3243" spans="1:14" s="347" customFormat="1" x14ac:dyDescent="0.25">
      <c r="A3243" s="369"/>
      <c r="E3243" s="396"/>
      <c r="F3243" s="396"/>
      <c r="G3243" s="396"/>
      <c r="K3243" s="370"/>
      <c r="N3243" s="370"/>
    </row>
    <row r="3244" spans="1:14" s="347" customFormat="1" x14ac:dyDescent="0.25">
      <c r="A3244" s="369">
        <v>44365</v>
      </c>
      <c r="B3244" s="340">
        <f>+MONTH(A3244)</f>
        <v>6</v>
      </c>
      <c r="C3244" s="347">
        <v>110</v>
      </c>
      <c r="D3244" s="340" t="str">
        <f>VLOOKUP(C3244,Plan!A$1:B$65542,2,0)</f>
        <v>Disponible Administración</v>
      </c>
      <c r="E3244" s="341">
        <f>+F3244-G3244</f>
        <v>60000</v>
      </c>
      <c r="F3244" s="396">
        <v>60000</v>
      </c>
      <c r="G3244" s="396">
        <v>0</v>
      </c>
      <c r="H3244" s="347" t="s">
        <v>1485</v>
      </c>
      <c r="I3244" s="347" t="s">
        <v>1303</v>
      </c>
      <c r="K3244" s="370"/>
      <c r="N3244" s="370"/>
    </row>
    <row r="3245" spans="1:14" s="347" customFormat="1" x14ac:dyDescent="0.25">
      <c r="A3245" s="369">
        <f>+A3244</f>
        <v>44365</v>
      </c>
      <c r="B3245" s="347">
        <f>+B3244</f>
        <v>6</v>
      </c>
      <c r="C3245" s="347">
        <v>3450</v>
      </c>
      <c r="D3245" s="340" t="str">
        <f>VLOOKUP(C3245,Plan!A$1:B$65542,2,0)</f>
        <v>Pastoral Social</v>
      </c>
      <c r="E3245" s="396">
        <f>-G3245</f>
        <v>-60000</v>
      </c>
      <c r="F3245" s="396">
        <v>0</v>
      </c>
      <c r="G3245" s="396">
        <f>+F3244</f>
        <v>60000</v>
      </c>
      <c r="H3245" s="347" t="str">
        <f>+H3244</f>
        <v>Canastas Raimundo Barros Montaner</v>
      </c>
      <c r="I3245" s="347" t="s">
        <v>1303</v>
      </c>
      <c r="K3245" s="370"/>
      <c r="N3245" s="370"/>
    </row>
    <row r="3246" spans="1:14" s="347" customFormat="1" x14ac:dyDescent="0.25">
      <c r="A3246" s="369"/>
      <c r="E3246" s="396"/>
      <c r="F3246" s="396"/>
      <c r="G3246" s="396"/>
      <c r="K3246" s="370"/>
      <c r="N3246" s="370"/>
    </row>
    <row r="3247" spans="1:14" s="347" customFormat="1" x14ac:dyDescent="0.25">
      <c r="A3247" s="369">
        <v>44365</v>
      </c>
      <c r="B3247" s="340">
        <f>+MONTH(A3247)</f>
        <v>6</v>
      </c>
      <c r="C3247" s="347">
        <v>110</v>
      </c>
      <c r="D3247" s="340" t="str">
        <f>VLOOKUP(C3247,Plan!A$1:B$65542,2,0)</f>
        <v>Disponible Administración</v>
      </c>
      <c r="E3247" s="341">
        <f>+F3247-G3247</f>
        <v>14711</v>
      </c>
      <c r="F3247" s="396">
        <v>14711</v>
      </c>
      <c r="G3247" s="396">
        <v>0</v>
      </c>
      <c r="H3247" s="347" t="s">
        <v>897</v>
      </c>
      <c r="I3247" s="347" t="s">
        <v>1303</v>
      </c>
      <c r="K3247" s="370"/>
      <c r="N3247" s="370"/>
    </row>
    <row r="3248" spans="1:14" s="347" customFormat="1" x14ac:dyDescent="0.25">
      <c r="A3248" s="369">
        <f>+A3247</f>
        <v>44365</v>
      </c>
      <c r="B3248" s="347">
        <f>+B3247</f>
        <v>6</v>
      </c>
      <c r="C3248" s="347">
        <v>3110</v>
      </c>
      <c r="D3248" s="340" t="str">
        <f>VLOOKUP(C3248,Plan!A$1:B$65542,2,0)</f>
        <v>Colectas Normales</v>
      </c>
      <c r="E3248" s="396">
        <f>-G3248</f>
        <v>-14711</v>
      </c>
      <c r="F3248" s="396">
        <v>0</v>
      </c>
      <c r="G3248" s="396">
        <f>+F3247</f>
        <v>14711</v>
      </c>
      <c r="H3248" s="347" t="str">
        <f>+H3247</f>
        <v>Colecta DCT</v>
      </c>
      <c r="I3248" s="347" t="s">
        <v>1303</v>
      </c>
      <c r="K3248" s="370"/>
      <c r="N3248" s="370"/>
    </row>
    <row r="3249" spans="1:14" s="347" customFormat="1" x14ac:dyDescent="0.25">
      <c r="A3249" s="369"/>
      <c r="E3249" s="396"/>
      <c r="F3249" s="396"/>
      <c r="G3249" s="396"/>
      <c r="K3249" s="370"/>
      <c r="N3249" s="370"/>
    </row>
    <row r="3250" spans="1:14" s="347" customFormat="1" x14ac:dyDescent="0.25">
      <c r="A3250" s="369">
        <v>44365</v>
      </c>
      <c r="B3250" s="340">
        <f>+MONTH(A3250)</f>
        <v>6</v>
      </c>
      <c r="C3250" s="347">
        <v>110</v>
      </c>
      <c r="D3250" s="340" t="str">
        <f>VLOOKUP(C3250,Plan!A$1:B$65542,2,0)</f>
        <v>Disponible Administración</v>
      </c>
      <c r="E3250" s="341">
        <f>+F3250-G3250</f>
        <v>45000</v>
      </c>
      <c r="F3250" s="396">
        <v>45000</v>
      </c>
      <c r="G3250" s="396">
        <v>0</v>
      </c>
      <c r="H3250" s="347" t="s">
        <v>1152</v>
      </c>
      <c r="I3250" s="347" t="s">
        <v>1303</v>
      </c>
      <c r="K3250" s="370"/>
      <c r="N3250" s="370"/>
    </row>
    <row r="3251" spans="1:14" s="347" customFormat="1" x14ac:dyDescent="0.25">
      <c r="A3251" s="369">
        <f>+A3250</f>
        <v>44365</v>
      </c>
      <c r="B3251" s="347">
        <f>+B3250</f>
        <v>6</v>
      </c>
      <c r="C3251" s="347">
        <v>3110</v>
      </c>
      <c r="D3251" s="340" t="str">
        <f>VLOOKUP(C3251,Plan!A$1:B$65542,2,0)</f>
        <v>Colectas Normales</v>
      </c>
      <c r="E3251" s="396">
        <f>-G3251</f>
        <v>-45000</v>
      </c>
      <c r="F3251" s="396">
        <v>0</v>
      </c>
      <c r="G3251" s="396">
        <f>+F3250</f>
        <v>45000</v>
      </c>
      <c r="H3251" s="347" t="str">
        <f>+H3250</f>
        <v>Colecta Beatriz Herrera S</v>
      </c>
      <c r="I3251" s="347" t="s">
        <v>1303</v>
      </c>
      <c r="K3251" s="370"/>
      <c r="N3251" s="370"/>
    </row>
    <row r="3252" spans="1:14" s="347" customFormat="1" x14ac:dyDescent="0.25">
      <c r="A3252" s="369"/>
      <c r="E3252" s="396"/>
      <c r="F3252" s="396"/>
      <c r="G3252" s="396"/>
      <c r="K3252" s="370"/>
      <c r="N3252" s="370"/>
    </row>
    <row r="3253" spans="1:14" s="347" customFormat="1" x14ac:dyDescent="0.25">
      <c r="A3253" s="369">
        <v>44369</v>
      </c>
      <c r="B3253" s="340">
        <f>+MONTH(A3253)</f>
        <v>6</v>
      </c>
      <c r="C3253" s="347">
        <v>110</v>
      </c>
      <c r="D3253" s="340" t="str">
        <f>VLOOKUP(C3253,Plan!A$1:B$65542,2,0)</f>
        <v>Disponible Administración</v>
      </c>
      <c r="E3253" s="341">
        <f>+F3253-G3253</f>
        <v>25000</v>
      </c>
      <c r="F3253" s="396">
        <v>25000</v>
      </c>
      <c r="G3253" s="396">
        <v>0</v>
      </c>
      <c r="H3253" s="347" t="s">
        <v>1302</v>
      </c>
      <c r="I3253" s="347" t="s">
        <v>1303</v>
      </c>
      <c r="K3253" s="370"/>
      <c r="N3253" s="370"/>
    </row>
    <row r="3254" spans="1:14" s="347" customFormat="1" x14ac:dyDescent="0.25">
      <c r="A3254" s="369">
        <f>+A3253</f>
        <v>44369</v>
      </c>
      <c r="B3254" s="347">
        <f>+B3253</f>
        <v>6</v>
      </c>
      <c r="C3254" s="347">
        <v>3110</v>
      </c>
      <c r="D3254" s="340" t="str">
        <f>VLOOKUP(C3254,Plan!A$1:B$65542,2,0)</f>
        <v>Colectas Normales</v>
      </c>
      <c r="E3254" s="396">
        <f>-G3254</f>
        <v>-25000</v>
      </c>
      <c r="F3254" s="396">
        <v>0</v>
      </c>
      <c r="G3254" s="396">
        <f>+F3253</f>
        <v>25000</v>
      </c>
      <c r="H3254" s="347" t="str">
        <f>+H3253</f>
        <v>Colecta Raimundo Sanchez Hanisch</v>
      </c>
      <c r="I3254" s="347" t="s">
        <v>1303</v>
      </c>
      <c r="K3254" s="370"/>
      <c r="N3254" s="370"/>
    </row>
    <row r="3255" spans="1:14" s="347" customFormat="1" x14ac:dyDescent="0.25">
      <c r="A3255" s="369"/>
      <c r="E3255" s="396"/>
      <c r="F3255" s="396"/>
      <c r="G3255" s="396"/>
      <c r="K3255" s="370"/>
      <c r="N3255" s="370"/>
    </row>
    <row r="3256" spans="1:14" s="347" customFormat="1" x14ac:dyDescent="0.25">
      <c r="A3256" s="369">
        <v>44369</v>
      </c>
      <c r="B3256" s="340">
        <f>+MONTH(A3256)</f>
        <v>6</v>
      </c>
      <c r="C3256" s="347">
        <v>110</v>
      </c>
      <c r="D3256" s="340" t="str">
        <f>VLOOKUP(C3256,Plan!A$1:B$65542,2,0)</f>
        <v>Disponible Administración</v>
      </c>
      <c r="E3256" s="341">
        <f>+F3256-G3256</f>
        <v>5000</v>
      </c>
      <c r="F3256" s="396">
        <v>5000</v>
      </c>
      <c r="G3256" s="396">
        <v>0</v>
      </c>
      <c r="H3256" s="347" t="s">
        <v>1310</v>
      </c>
      <c r="I3256" s="347" t="s">
        <v>1303</v>
      </c>
      <c r="K3256" s="370"/>
      <c r="N3256" s="370"/>
    </row>
    <row r="3257" spans="1:14" s="347" customFormat="1" x14ac:dyDescent="0.25">
      <c r="A3257" s="369">
        <f>+A3256</f>
        <v>44369</v>
      </c>
      <c r="B3257" s="347">
        <f>+B3256</f>
        <v>6</v>
      </c>
      <c r="C3257" s="347">
        <v>3340</v>
      </c>
      <c r="D3257" s="340" t="str">
        <f>VLOOKUP(C3257,Plan!A$1:B$65542,2,0)</f>
        <v>Misas</v>
      </c>
      <c r="E3257" s="396">
        <f>-G3257</f>
        <v>-5000</v>
      </c>
      <c r="F3257" s="396">
        <v>0</v>
      </c>
      <c r="G3257" s="396">
        <f>+F3256</f>
        <v>5000</v>
      </c>
      <c r="H3257" s="347" t="str">
        <f>+H3256</f>
        <v>Misa Veronica Rojas</v>
      </c>
      <c r="I3257" s="347" t="s">
        <v>1303</v>
      </c>
      <c r="K3257" s="370"/>
      <c r="N3257" s="370"/>
    </row>
    <row r="3258" spans="1:14" s="347" customFormat="1" x14ac:dyDescent="0.25">
      <c r="A3258" s="369"/>
      <c r="E3258" s="396"/>
      <c r="F3258" s="396"/>
      <c r="G3258" s="396"/>
      <c r="K3258" s="370"/>
      <c r="N3258" s="370"/>
    </row>
    <row r="3259" spans="1:14" s="347" customFormat="1" x14ac:dyDescent="0.25">
      <c r="A3259" s="369">
        <v>44369</v>
      </c>
      <c r="B3259" s="340">
        <f>+MONTH(A3259)</f>
        <v>6</v>
      </c>
      <c r="C3259" s="347">
        <v>110</v>
      </c>
      <c r="D3259" s="340" t="str">
        <f>VLOOKUP(C3259,Plan!A$1:B$65542,2,0)</f>
        <v>Disponible Administración</v>
      </c>
      <c r="E3259" s="341">
        <f>+F3259-G3259</f>
        <v>30000</v>
      </c>
      <c r="F3259" s="396">
        <v>30000</v>
      </c>
      <c r="G3259" s="396">
        <v>0</v>
      </c>
      <c r="H3259" s="347" t="s">
        <v>1602</v>
      </c>
      <c r="I3259" s="347" t="s">
        <v>1303</v>
      </c>
      <c r="K3259" s="370"/>
      <c r="N3259" s="370"/>
    </row>
    <row r="3260" spans="1:14" s="347" customFormat="1" x14ac:dyDescent="0.25">
      <c r="A3260" s="369">
        <f>+A3259</f>
        <v>44369</v>
      </c>
      <c r="B3260" s="347">
        <f>+B3259</f>
        <v>6</v>
      </c>
      <c r="C3260" s="347">
        <v>3110</v>
      </c>
      <c r="D3260" s="340" t="str">
        <f>VLOOKUP(C3260,Plan!A$1:B$65542,2,0)</f>
        <v>Colectas Normales</v>
      </c>
      <c r="E3260" s="396">
        <f>-G3260</f>
        <v>-30000</v>
      </c>
      <c r="F3260" s="396">
        <v>0</v>
      </c>
      <c r="G3260" s="396">
        <f>+F3259</f>
        <v>30000</v>
      </c>
      <c r="H3260" s="347" t="str">
        <f>+H3259</f>
        <v>Colecta Maria Cecilia Bernat</v>
      </c>
      <c r="I3260" s="347" t="s">
        <v>1303</v>
      </c>
      <c r="K3260" s="370"/>
      <c r="N3260" s="370"/>
    </row>
    <row r="3261" spans="1:14" s="347" customFormat="1" x14ac:dyDescent="0.25">
      <c r="A3261" s="369"/>
      <c r="E3261" s="396"/>
      <c r="F3261" s="396"/>
      <c r="G3261" s="396"/>
      <c r="K3261" s="370"/>
      <c r="N3261" s="370"/>
    </row>
    <row r="3262" spans="1:14" s="347" customFormat="1" x14ac:dyDescent="0.25">
      <c r="A3262" s="369">
        <v>44369</v>
      </c>
      <c r="B3262" s="340">
        <f>+MONTH(A3262)</f>
        <v>6</v>
      </c>
      <c r="C3262" s="347">
        <v>110</v>
      </c>
      <c r="D3262" s="340" t="str">
        <f>VLOOKUP(C3262,Plan!A$1:B$65542,2,0)</f>
        <v>Disponible Administración</v>
      </c>
      <c r="E3262" s="341">
        <f>+F3262-G3262</f>
        <v>30000</v>
      </c>
      <c r="F3262" s="396">
        <v>30000</v>
      </c>
      <c r="G3262" s="396">
        <v>0</v>
      </c>
      <c r="H3262" s="347" t="s">
        <v>1603</v>
      </c>
      <c r="I3262" s="347" t="s">
        <v>1303</v>
      </c>
      <c r="K3262" s="370"/>
      <c r="N3262" s="370"/>
    </row>
    <row r="3263" spans="1:14" s="347" customFormat="1" x14ac:dyDescent="0.25">
      <c r="A3263" s="369">
        <f>+A3262</f>
        <v>44369</v>
      </c>
      <c r="B3263" s="347">
        <f>+B3262</f>
        <v>6</v>
      </c>
      <c r="C3263" s="347">
        <v>3450</v>
      </c>
      <c r="D3263" s="340" t="str">
        <f>VLOOKUP(C3263,Plan!A$1:B$65542,2,0)</f>
        <v>Pastoral Social</v>
      </c>
      <c r="E3263" s="396">
        <f>-G3263</f>
        <v>-30000</v>
      </c>
      <c r="F3263" s="396">
        <v>0</v>
      </c>
      <c r="G3263" s="396">
        <f>+F3262</f>
        <v>30000</v>
      </c>
      <c r="H3263" s="347" t="str">
        <f>+H3262</f>
        <v>Canastas Maria Piedad Guerrero P.</v>
      </c>
      <c r="I3263" s="347" t="s">
        <v>1303</v>
      </c>
      <c r="K3263" s="370"/>
      <c r="N3263" s="370"/>
    </row>
    <row r="3264" spans="1:14" s="347" customFormat="1" x14ac:dyDescent="0.25">
      <c r="A3264" s="369"/>
      <c r="E3264" s="396"/>
      <c r="F3264" s="396"/>
      <c r="G3264" s="396"/>
      <c r="K3264" s="370"/>
      <c r="N3264" s="370"/>
    </row>
    <row r="3265" spans="1:14" s="347" customFormat="1" x14ac:dyDescent="0.25">
      <c r="A3265" s="369">
        <v>44369</v>
      </c>
      <c r="B3265" s="340">
        <f>+MONTH(A3265)</f>
        <v>6</v>
      </c>
      <c r="C3265" s="347">
        <v>110</v>
      </c>
      <c r="D3265" s="340" t="str">
        <f>VLOOKUP(C3265,Plan!A$1:B$65542,2,0)</f>
        <v>Disponible Administración</v>
      </c>
      <c r="E3265" s="341">
        <f>+F3265-G3265</f>
        <v>20000</v>
      </c>
      <c r="F3265" s="396">
        <v>20000</v>
      </c>
      <c r="G3265" s="396">
        <v>0</v>
      </c>
      <c r="H3265" s="347" t="s">
        <v>1604</v>
      </c>
      <c r="I3265" s="347" t="s">
        <v>1303</v>
      </c>
      <c r="K3265" s="370"/>
      <c r="N3265" s="370"/>
    </row>
    <row r="3266" spans="1:14" s="347" customFormat="1" x14ac:dyDescent="0.25">
      <c r="A3266" s="369">
        <f>+A3265</f>
        <v>44369</v>
      </c>
      <c r="B3266" s="347">
        <f>+B3265</f>
        <v>6</v>
      </c>
      <c r="C3266" s="347">
        <v>3450</v>
      </c>
      <c r="D3266" s="340" t="str">
        <f>VLOOKUP(C3266,Plan!A$1:B$65542,2,0)</f>
        <v>Pastoral Social</v>
      </c>
      <c r="E3266" s="396">
        <f>-G3266</f>
        <v>-20000</v>
      </c>
      <c r="F3266" s="396">
        <v>0</v>
      </c>
      <c r="G3266" s="396">
        <f>+F3265</f>
        <v>20000</v>
      </c>
      <c r="H3266" s="347" t="str">
        <f>+H3265</f>
        <v>Canastas Carmen Gloria Ovalle</v>
      </c>
      <c r="I3266" s="347" t="s">
        <v>1303</v>
      </c>
      <c r="K3266" s="370"/>
      <c r="N3266" s="370"/>
    </row>
    <row r="3267" spans="1:14" s="347" customFormat="1" x14ac:dyDescent="0.25">
      <c r="A3267" s="369"/>
      <c r="E3267" s="396"/>
      <c r="F3267" s="396"/>
      <c r="G3267" s="396"/>
      <c r="K3267" s="370"/>
      <c r="N3267" s="370"/>
    </row>
    <row r="3268" spans="1:14" s="347" customFormat="1" x14ac:dyDescent="0.25">
      <c r="A3268" s="369">
        <v>44369</v>
      </c>
      <c r="B3268" s="340">
        <f>+MONTH(A3268)</f>
        <v>6</v>
      </c>
      <c r="C3268" s="347">
        <v>110</v>
      </c>
      <c r="D3268" s="340" t="str">
        <f>VLOOKUP(C3268,Plan!A$1:B$65542,2,0)</f>
        <v>Disponible Administración</v>
      </c>
      <c r="E3268" s="341">
        <f>+F3268-G3268</f>
        <v>30000</v>
      </c>
      <c r="F3268" s="396">
        <v>30000</v>
      </c>
      <c r="G3268" s="396">
        <v>0</v>
      </c>
      <c r="H3268" s="347" t="s">
        <v>1527</v>
      </c>
      <c r="I3268" s="347" t="s">
        <v>1303</v>
      </c>
      <c r="K3268" s="370"/>
      <c r="N3268" s="370"/>
    </row>
    <row r="3269" spans="1:14" s="347" customFormat="1" x14ac:dyDescent="0.25">
      <c r="A3269" s="369">
        <f>+A3268</f>
        <v>44369</v>
      </c>
      <c r="B3269" s="347">
        <f>+B3268</f>
        <v>6</v>
      </c>
      <c r="C3269" s="347">
        <v>3450</v>
      </c>
      <c r="D3269" s="340" t="str">
        <f>VLOOKUP(C3269,Plan!A$1:B$65542,2,0)</f>
        <v>Pastoral Social</v>
      </c>
      <c r="E3269" s="396">
        <f>-G3269</f>
        <v>-30000</v>
      </c>
      <c r="F3269" s="396">
        <v>0</v>
      </c>
      <c r="G3269" s="396">
        <f>+F3268</f>
        <v>30000</v>
      </c>
      <c r="H3269" s="347" t="str">
        <f>+H3268</f>
        <v>Canastas M. Angelica Arancibia</v>
      </c>
      <c r="I3269" s="347" t="s">
        <v>1303</v>
      </c>
      <c r="K3269" s="370"/>
      <c r="N3269" s="370"/>
    </row>
    <row r="3270" spans="1:14" s="347" customFormat="1" x14ac:dyDescent="0.25">
      <c r="A3270" s="369"/>
      <c r="E3270" s="396"/>
      <c r="F3270" s="396"/>
      <c r="G3270" s="396"/>
      <c r="K3270" s="370"/>
      <c r="N3270" s="370"/>
    </row>
    <row r="3271" spans="1:14" s="347" customFormat="1" x14ac:dyDescent="0.25">
      <c r="A3271" s="369">
        <v>44369</v>
      </c>
      <c r="B3271" s="340">
        <f>+MONTH(A3271)</f>
        <v>6</v>
      </c>
      <c r="C3271" s="347">
        <v>110</v>
      </c>
      <c r="D3271" s="340" t="str">
        <f>VLOOKUP(C3271,Plan!A$1:B$65542,2,0)</f>
        <v>Disponible Administración</v>
      </c>
      <c r="E3271" s="341">
        <f>+F3271-G3271</f>
        <v>10000</v>
      </c>
      <c r="F3271" s="396">
        <v>10000</v>
      </c>
      <c r="G3271" s="396">
        <v>0</v>
      </c>
      <c r="H3271" s="347" t="s">
        <v>880</v>
      </c>
      <c r="I3271" s="347" t="s">
        <v>1303</v>
      </c>
      <c r="K3271" s="370"/>
      <c r="N3271" s="370"/>
    </row>
    <row r="3272" spans="1:14" s="347" customFormat="1" x14ac:dyDescent="0.25">
      <c r="A3272" s="369">
        <f>+A3271</f>
        <v>44369</v>
      </c>
      <c r="B3272" s="347">
        <f>+B3271</f>
        <v>6</v>
      </c>
      <c r="C3272" s="347">
        <v>3110</v>
      </c>
      <c r="D3272" s="340" t="str">
        <f>VLOOKUP(C3272,Plan!A$1:B$65542,2,0)</f>
        <v>Colectas Normales</v>
      </c>
      <c r="E3272" s="396">
        <f>-G3272</f>
        <v>-10000</v>
      </c>
      <c r="F3272" s="396">
        <v>0</v>
      </c>
      <c r="G3272" s="396">
        <f>+F3271</f>
        <v>10000</v>
      </c>
      <c r="H3272" s="347" t="str">
        <f>+H3271</f>
        <v>Colecta Sebastian Rios</v>
      </c>
      <c r="I3272" s="347" t="s">
        <v>1303</v>
      </c>
      <c r="K3272" s="370"/>
      <c r="N3272" s="370"/>
    </row>
    <row r="3273" spans="1:14" s="347" customFormat="1" x14ac:dyDescent="0.25">
      <c r="A3273" s="369"/>
      <c r="E3273" s="396"/>
      <c r="F3273" s="396"/>
      <c r="G3273" s="396"/>
      <c r="K3273" s="370"/>
      <c r="N3273" s="370"/>
    </row>
    <row r="3274" spans="1:14" s="347" customFormat="1" x14ac:dyDescent="0.25">
      <c r="A3274" s="369">
        <v>44369</v>
      </c>
      <c r="B3274" s="340">
        <f>+MONTH(A3274)</f>
        <v>6</v>
      </c>
      <c r="C3274" s="347">
        <v>110</v>
      </c>
      <c r="D3274" s="340" t="str">
        <f>VLOOKUP(C3274,Plan!A$1:B$65542,2,0)</f>
        <v>Disponible Administración</v>
      </c>
      <c r="E3274" s="341">
        <f>+F3274-G3274</f>
        <v>10000</v>
      </c>
      <c r="F3274" s="396">
        <v>10000</v>
      </c>
      <c r="G3274" s="396">
        <v>0</v>
      </c>
      <c r="H3274" s="347" t="s">
        <v>1605</v>
      </c>
      <c r="I3274" s="347" t="s">
        <v>1303</v>
      </c>
      <c r="K3274" s="370"/>
      <c r="N3274" s="370"/>
    </row>
    <row r="3275" spans="1:14" s="347" customFormat="1" x14ac:dyDescent="0.25">
      <c r="A3275" s="369">
        <f>+A3274</f>
        <v>44369</v>
      </c>
      <c r="B3275" s="347">
        <f>+B3274</f>
        <v>6</v>
      </c>
      <c r="C3275" s="347">
        <v>3110</v>
      </c>
      <c r="D3275" s="340" t="str">
        <f>VLOOKUP(C3275,Plan!A$1:B$65542,2,0)</f>
        <v>Colectas Normales</v>
      </c>
      <c r="E3275" s="396">
        <f>-G3275</f>
        <v>-10000</v>
      </c>
      <c r="F3275" s="396">
        <v>0</v>
      </c>
      <c r="G3275" s="396">
        <f>+F3274</f>
        <v>10000</v>
      </c>
      <c r="H3275" s="347" t="str">
        <f>+H3274</f>
        <v xml:space="preserve">Colecta Rafael Marin Jordan </v>
      </c>
      <c r="I3275" s="347" t="s">
        <v>1303</v>
      </c>
      <c r="K3275" s="370"/>
      <c r="N3275" s="370"/>
    </row>
    <row r="3276" spans="1:14" s="347" customFormat="1" x14ac:dyDescent="0.25">
      <c r="A3276" s="369"/>
      <c r="E3276" s="396"/>
      <c r="F3276" s="396"/>
      <c r="G3276" s="396"/>
      <c r="K3276" s="370"/>
      <c r="N3276" s="370"/>
    </row>
    <row r="3277" spans="1:14" s="347" customFormat="1" x14ac:dyDescent="0.25">
      <c r="A3277" s="369">
        <v>44369</v>
      </c>
      <c r="B3277" s="340">
        <f>+MONTH(A3277)</f>
        <v>6</v>
      </c>
      <c r="C3277" s="347">
        <v>110</v>
      </c>
      <c r="D3277" s="340" t="str">
        <f>VLOOKUP(C3277,Plan!A$1:B$65542,2,0)</f>
        <v>Disponible Administración</v>
      </c>
      <c r="E3277" s="341">
        <f>+F3277-G3277</f>
        <v>10000</v>
      </c>
      <c r="F3277" s="396">
        <v>10000</v>
      </c>
      <c r="G3277" s="396">
        <v>0</v>
      </c>
      <c r="H3277" s="347" t="s">
        <v>971</v>
      </c>
      <c r="I3277" s="347" t="s">
        <v>1303</v>
      </c>
      <c r="K3277" s="370"/>
      <c r="N3277" s="370"/>
    </row>
    <row r="3278" spans="1:14" s="347" customFormat="1" x14ac:dyDescent="0.25">
      <c r="A3278" s="369">
        <f>+A3277</f>
        <v>44369</v>
      </c>
      <c r="B3278" s="347">
        <f>+B3277</f>
        <v>6</v>
      </c>
      <c r="C3278" s="347">
        <v>3110</v>
      </c>
      <c r="D3278" s="340" t="str">
        <f>VLOOKUP(C3278,Plan!A$1:B$65542,2,0)</f>
        <v>Colectas Normales</v>
      </c>
      <c r="E3278" s="396">
        <f>-G3278</f>
        <v>-10000</v>
      </c>
      <c r="F3278" s="396">
        <v>0</v>
      </c>
      <c r="G3278" s="396">
        <f>+F3277</f>
        <v>10000</v>
      </c>
      <c r="H3278" s="347" t="str">
        <f>+H3277</f>
        <v>Colecta Pablo Irarrazaval Mena</v>
      </c>
      <c r="I3278" s="347" t="s">
        <v>1303</v>
      </c>
      <c r="K3278" s="370"/>
      <c r="N3278" s="370"/>
    </row>
    <row r="3279" spans="1:14" s="347" customFormat="1" x14ac:dyDescent="0.25">
      <c r="A3279" s="369"/>
      <c r="E3279" s="396"/>
      <c r="F3279" s="396"/>
      <c r="G3279" s="396"/>
      <c r="K3279" s="370"/>
      <c r="N3279" s="370"/>
    </row>
    <row r="3280" spans="1:14" s="347" customFormat="1" x14ac:dyDescent="0.25">
      <c r="A3280" s="369">
        <v>44369</v>
      </c>
      <c r="B3280" s="340">
        <f>+MONTH(A3280)</f>
        <v>6</v>
      </c>
      <c r="C3280" s="347">
        <v>110</v>
      </c>
      <c r="D3280" s="340" t="str">
        <f>VLOOKUP(C3280,Plan!A$1:B$65542,2,0)</f>
        <v>Disponible Administración</v>
      </c>
      <c r="E3280" s="341">
        <f>+F3280-G3280</f>
        <v>3000</v>
      </c>
      <c r="F3280" s="396">
        <v>3000</v>
      </c>
      <c r="G3280" s="396">
        <v>0</v>
      </c>
      <c r="H3280" s="347" t="s">
        <v>1606</v>
      </c>
      <c r="I3280" s="347" t="s">
        <v>1303</v>
      </c>
      <c r="K3280" s="370"/>
      <c r="N3280" s="370"/>
    </row>
    <row r="3281" spans="1:14" s="347" customFormat="1" x14ac:dyDescent="0.25">
      <c r="A3281" s="369">
        <f>+A3280</f>
        <v>44369</v>
      </c>
      <c r="B3281" s="347">
        <f>+B3280</f>
        <v>6</v>
      </c>
      <c r="C3281" s="347">
        <v>3110</v>
      </c>
      <c r="D3281" s="340" t="str">
        <f>VLOOKUP(C3281,Plan!A$1:B$65542,2,0)</f>
        <v>Colectas Normales</v>
      </c>
      <c r="E3281" s="396">
        <f>-G3281</f>
        <v>-3000</v>
      </c>
      <c r="F3281" s="396">
        <v>0</v>
      </c>
      <c r="G3281" s="396">
        <f>+F3280</f>
        <v>3000</v>
      </c>
      <c r="H3281" s="347" t="str">
        <f>+H3280</f>
        <v>Colecta Jose Miguel Perez De Castro Z.</v>
      </c>
      <c r="I3281" s="347" t="s">
        <v>1303</v>
      </c>
      <c r="K3281" s="370"/>
      <c r="N3281" s="370"/>
    </row>
    <row r="3282" spans="1:14" s="347" customFormat="1" x14ac:dyDescent="0.25">
      <c r="A3282" s="369"/>
      <c r="E3282" s="396"/>
      <c r="F3282" s="396"/>
      <c r="G3282" s="396"/>
      <c r="K3282" s="370"/>
      <c r="N3282" s="370"/>
    </row>
    <row r="3283" spans="1:14" s="347" customFormat="1" x14ac:dyDescent="0.25">
      <c r="A3283" s="369">
        <v>44369</v>
      </c>
      <c r="B3283" s="340">
        <f>+MONTH(A3283)</f>
        <v>6</v>
      </c>
      <c r="C3283" s="347">
        <v>110</v>
      </c>
      <c r="D3283" s="340" t="str">
        <f>VLOOKUP(C3283,Plan!A$1:B$65542,2,0)</f>
        <v>Disponible Administración</v>
      </c>
      <c r="E3283" s="341">
        <f>+F3283-G3283</f>
        <v>20000</v>
      </c>
      <c r="F3283" s="396">
        <v>20000</v>
      </c>
      <c r="G3283" s="396">
        <v>0</v>
      </c>
      <c r="H3283" s="347" t="s">
        <v>1515</v>
      </c>
      <c r="I3283" s="347" t="s">
        <v>1303</v>
      </c>
      <c r="K3283" s="370"/>
      <c r="N3283" s="370"/>
    </row>
    <row r="3284" spans="1:14" s="347" customFormat="1" x14ac:dyDescent="0.25">
      <c r="A3284" s="369">
        <f>+A3283</f>
        <v>44369</v>
      </c>
      <c r="B3284" s="347">
        <f>+B3283</f>
        <v>6</v>
      </c>
      <c r="C3284" s="347">
        <v>3450</v>
      </c>
      <c r="D3284" s="340" t="str">
        <f>VLOOKUP(C3284,Plan!A$1:B$65542,2,0)</f>
        <v>Pastoral Social</v>
      </c>
      <c r="E3284" s="396">
        <f>-G3284</f>
        <v>-20000</v>
      </c>
      <c r="F3284" s="396">
        <v>0</v>
      </c>
      <c r="G3284" s="396">
        <f>+F3283</f>
        <v>20000</v>
      </c>
      <c r="H3284" s="347" t="str">
        <f>+H3283</f>
        <v>Canastas Trinidad Barriga Cruzat</v>
      </c>
      <c r="I3284" s="347" t="s">
        <v>1303</v>
      </c>
      <c r="K3284" s="370"/>
      <c r="N3284" s="370"/>
    </row>
    <row r="3285" spans="1:14" s="347" customFormat="1" x14ac:dyDescent="0.25">
      <c r="A3285" s="369"/>
      <c r="E3285" s="396"/>
      <c r="F3285" s="396"/>
      <c r="G3285" s="396"/>
      <c r="K3285" s="370"/>
      <c r="N3285" s="370"/>
    </row>
    <row r="3286" spans="1:14" s="347" customFormat="1" x14ac:dyDescent="0.25">
      <c r="A3286" s="369">
        <v>44369</v>
      </c>
      <c r="B3286" s="340">
        <f>+MONTH(A3286)</f>
        <v>6</v>
      </c>
      <c r="C3286" s="347">
        <v>110</v>
      </c>
      <c r="D3286" s="340" t="str">
        <f>VLOOKUP(C3286,Plan!A$1:B$65542,2,0)</f>
        <v>Disponible Administración</v>
      </c>
      <c r="E3286" s="341">
        <f>+F3286-G3286</f>
        <v>20000</v>
      </c>
      <c r="F3286" s="396">
        <v>20000</v>
      </c>
      <c r="G3286" s="396">
        <v>0</v>
      </c>
      <c r="H3286" s="347" t="s">
        <v>1607</v>
      </c>
      <c r="I3286" s="347" t="s">
        <v>1303</v>
      </c>
      <c r="K3286" s="370"/>
      <c r="N3286" s="370"/>
    </row>
    <row r="3287" spans="1:14" s="347" customFormat="1" x14ac:dyDescent="0.25">
      <c r="A3287" s="369">
        <f>+A3286</f>
        <v>44369</v>
      </c>
      <c r="B3287" s="347">
        <f>+B3286</f>
        <v>6</v>
      </c>
      <c r="C3287" s="347">
        <v>3450</v>
      </c>
      <c r="D3287" s="340" t="str">
        <f>VLOOKUP(C3287,Plan!A$1:B$65542,2,0)</f>
        <v>Pastoral Social</v>
      </c>
      <c r="E3287" s="396">
        <f>-G3287</f>
        <v>-20000</v>
      </c>
      <c r="F3287" s="396">
        <v>0</v>
      </c>
      <c r="G3287" s="396">
        <f>+F3286</f>
        <v>20000</v>
      </c>
      <c r="H3287" s="347" t="str">
        <f>+H3286</f>
        <v>Canastas Francisco Arteaga Errazuriz.</v>
      </c>
      <c r="I3287" s="347" t="s">
        <v>1303</v>
      </c>
      <c r="K3287" s="370"/>
      <c r="N3287" s="370"/>
    </row>
    <row r="3288" spans="1:14" s="347" customFormat="1" x14ac:dyDescent="0.25">
      <c r="A3288" s="369"/>
      <c r="E3288" s="396"/>
      <c r="F3288" s="396"/>
      <c r="G3288" s="396"/>
      <c r="K3288" s="370"/>
      <c r="N3288" s="370"/>
    </row>
    <row r="3289" spans="1:14" s="347" customFormat="1" x14ac:dyDescent="0.25">
      <c r="A3289" s="369">
        <v>44369</v>
      </c>
      <c r="B3289" s="340">
        <f>+MONTH(A3289)</f>
        <v>6</v>
      </c>
      <c r="C3289" s="347">
        <v>110</v>
      </c>
      <c r="D3289" s="340" t="str">
        <f>VLOOKUP(C3289,Plan!A$1:B$65542,2,0)</f>
        <v>Disponible Administración</v>
      </c>
      <c r="E3289" s="341">
        <f>+F3289-G3289</f>
        <v>40000</v>
      </c>
      <c r="F3289" s="396">
        <v>40000</v>
      </c>
      <c r="G3289" s="396">
        <v>0</v>
      </c>
      <c r="H3289" s="347" t="s">
        <v>1137</v>
      </c>
      <c r="I3289" s="347" t="s">
        <v>1303</v>
      </c>
      <c r="K3289" s="370"/>
      <c r="N3289" s="370"/>
    </row>
    <row r="3290" spans="1:14" s="347" customFormat="1" x14ac:dyDescent="0.25">
      <c r="A3290" s="369">
        <f>+A3289</f>
        <v>44369</v>
      </c>
      <c r="B3290" s="347">
        <f>+B3289</f>
        <v>6</v>
      </c>
      <c r="C3290" s="347">
        <v>3110</v>
      </c>
      <c r="D3290" s="340" t="str">
        <f>VLOOKUP(C3290,Plan!A$1:B$65542,2,0)</f>
        <v>Colectas Normales</v>
      </c>
      <c r="E3290" s="396">
        <f>-G3290</f>
        <v>-40000</v>
      </c>
      <c r="F3290" s="396">
        <v>0</v>
      </c>
      <c r="G3290" s="396">
        <f>+F3289</f>
        <v>40000</v>
      </c>
      <c r="H3290" s="347" t="str">
        <f>+H3289</f>
        <v>Colecta Ismael Correa Vigneaux</v>
      </c>
      <c r="I3290" s="347" t="s">
        <v>1303</v>
      </c>
      <c r="K3290" s="370"/>
      <c r="N3290" s="370"/>
    </row>
    <row r="3291" spans="1:14" s="347" customFormat="1" x14ac:dyDescent="0.25">
      <c r="A3291" s="369"/>
      <c r="E3291" s="396"/>
      <c r="F3291" s="396"/>
      <c r="G3291" s="396"/>
      <c r="K3291" s="370"/>
      <c r="N3291" s="370"/>
    </row>
    <row r="3292" spans="1:14" s="347" customFormat="1" x14ac:dyDescent="0.25">
      <c r="A3292" s="369">
        <v>44369</v>
      </c>
      <c r="B3292" s="340">
        <f>+MONTH(A3292)</f>
        <v>6</v>
      </c>
      <c r="C3292" s="347">
        <v>110</v>
      </c>
      <c r="D3292" s="340" t="str">
        <f>VLOOKUP(C3292,Plan!A$1:B$65542,2,0)</f>
        <v>Disponible Administración</v>
      </c>
      <c r="E3292" s="341">
        <f>+F3292-G3292</f>
        <v>20000</v>
      </c>
      <c r="F3292" s="396">
        <v>20000</v>
      </c>
      <c r="G3292" s="396">
        <v>0</v>
      </c>
      <c r="H3292" s="347" t="s">
        <v>1608</v>
      </c>
      <c r="I3292" s="347" t="s">
        <v>1303</v>
      </c>
      <c r="K3292" s="370"/>
      <c r="N3292" s="370"/>
    </row>
    <row r="3293" spans="1:14" s="347" customFormat="1" x14ac:dyDescent="0.25">
      <c r="A3293" s="369">
        <f>+A3292</f>
        <v>44369</v>
      </c>
      <c r="B3293" s="347">
        <f>+B3292</f>
        <v>6</v>
      </c>
      <c r="C3293" s="347">
        <v>3110</v>
      </c>
      <c r="D3293" s="340" t="str">
        <f>VLOOKUP(C3293,Plan!A$1:B$65542,2,0)</f>
        <v>Colectas Normales</v>
      </c>
      <c r="E3293" s="396">
        <f>-G3293</f>
        <v>-20000</v>
      </c>
      <c r="F3293" s="396">
        <v>0</v>
      </c>
      <c r="G3293" s="396">
        <f>+F3292</f>
        <v>20000</v>
      </c>
      <c r="H3293" s="347" t="str">
        <f>+H3292</f>
        <v>Colecta Luz Maria Galilea Fresno</v>
      </c>
      <c r="I3293" s="347" t="s">
        <v>1303</v>
      </c>
      <c r="K3293" s="370"/>
      <c r="N3293" s="370"/>
    </row>
    <row r="3294" spans="1:14" s="347" customFormat="1" x14ac:dyDescent="0.25">
      <c r="A3294" s="369"/>
      <c r="E3294" s="396"/>
      <c r="F3294" s="396"/>
      <c r="G3294" s="396"/>
      <c r="K3294" s="370"/>
      <c r="N3294" s="370"/>
    </row>
    <row r="3295" spans="1:14" s="347" customFormat="1" x14ac:dyDescent="0.25">
      <c r="A3295" s="369">
        <v>44369</v>
      </c>
      <c r="B3295" s="340">
        <f>+MONTH(A3295)</f>
        <v>6</v>
      </c>
      <c r="C3295" s="347">
        <v>110</v>
      </c>
      <c r="D3295" s="340" t="str">
        <f>VLOOKUP(C3295,Plan!A$1:B$65542,2,0)</f>
        <v>Disponible Administración</v>
      </c>
      <c r="E3295" s="341">
        <f>+F3295-G3295</f>
        <v>20000</v>
      </c>
      <c r="F3295" s="396">
        <v>20000</v>
      </c>
      <c r="G3295" s="396">
        <v>0</v>
      </c>
      <c r="H3295" s="347" t="s">
        <v>1609</v>
      </c>
      <c r="I3295" s="347" t="s">
        <v>1303</v>
      </c>
      <c r="K3295" s="370"/>
      <c r="N3295" s="370"/>
    </row>
    <row r="3296" spans="1:14" s="347" customFormat="1" x14ac:dyDescent="0.25">
      <c r="A3296" s="369">
        <f>+A3295</f>
        <v>44369</v>
      </c>
      <c r="B3296" s="347">
        <f>+B3295</f>
        <v>6</v>
      </c>
      <c r="C3296" s="347">
        <v>3450</v>
      </c>
      <c r="D3296" s="340" t="str">
        <f>VLOOKUP(C3296,Plan!A$1:B$65542,2,0)</f>
        <v>Pastoral Social</v>
      </c>
      <c r="E3296" s="396">
        <f>-G3296</f>
        <v>-20000</v>
      </c>
      <c r="F3296" s="396">
        <v>0</v>
      </c>
      <c r="G3296" s="396">
        <f>+F3295</f>
        <v>20000</v>
      </c>
      <c r="H3296" s="347" t="str">
        <f>+H3295</f>
        <v>Canastas Luz Maria Galilea Fresno</v>
      </c>
      <c r="I3296" s="347" t="s">
        <v>1303</v>
      </c>
      <c r="K3296" s="370"/>
      <c r="N3296" s="370"/>
    </row>
    <row r="3297" spans="1:14" s="347" customFormat="1" x14ac:dyDescent="0.25">
      <c r="A3297" s="369"/>
      <c r="E3297" s="396"/>
      <c r="F3297" s="396"/>
      <c r="G3297" s="396"/>
      <c r="K3297" s="370"/>
      <c r="N3297" s="370"/>
    </row>
    <row r="3298" spans="1:14" s="347" customFormat="1" x14ac:dyDescent="0.25">
      <c r="A3298" s="369">
        <v>44369</v>
      </c>
      <c r="B3298" s="340">
        <f>+MONTH(A3298)</f>
        <v>6</v>
      </c>
      <c r="C3298" s="347">
        <v>110</v>
      </c>
      <c r="D3298" s="340" t="str">
        <f>VLOOKUP(C3298,Plan!A$1:B$65542,2,0)</f>
        <v>Disponible Administración</v>
      </c>
      <c r="E3298" s="341">
        <f>+F3298-G3298</f>
        <v>5000</v>
      </c>
      <c r="F3298" s="396">
        <v>5000</v>
      </c>
      <c r="G3298" s="396">
        <v>0</v>
      </c>
      <c r="H3298" s="347" t="s">
        <v>899</v>
      </c>
      <c r="I3298" s="347" t="s">
        <v>1303</v>
      </c>
      <c r="K3298" s="370"/>
      <c r="N3298" s="370"/>
    </row>
    <row r="3299" spans="1:14" s="347" customFormat="1" x14ac:dyDescent="0.25">
      <c r="A3299" s="369">
        <f>+A3298</f>
        <v>44369</v>
      </c>
      <c r="B3299" s="347">
        <f>+B3298</f>
        <v>6</v>
      </c>
      <c r="C3299" s="347">
        <v>3110</v>
      </c>
      <c r="D3299" s="340" t="str">
        <f>VLOOKUP(C3299,Plan!A$1:B$65542,2,0)</f>
        <v>Colectas Normales</v>
      </c>
      <c r="E3299" s="396">
        <f>-G3299</f>
        <v>-5000</v>
      </c>
      <c r="F3299" s="396">
        <v>0</v>
      </c>
      <c r="G3299" s="396">
        <f>+F3298</f>
        <v>5000</v>
      </c>
      <c r="H3299" s="347" t="str">
        <f>+H3298</f>
        <v>Colecta Carlos Anwandter</v>
      </c>
      <c r="I3299" s="347" t="s">
        <v>1303</v>
      </c>
      <c r="K3299" s="370"/>
      <c r="N3299" s="370"/>
    </row>
    <row r="3300" spans="1:14" s="347" customFormat="1" x14ac:dyDescent="0.25">
      <c r="K3300" s="370"/>
      <c r="N3300" s="370"/>
    </row>
    <row r="3301" spans="1:14" s="347" customFormat="1" x14ac:dyDescent="0.25">
      <c r="A3301" s="369">
        <v>44369</v>
      </c>
      <c r="B3301" s="340">
        <f>+MONTH(A3301)</f>
        <v>6</v>
      </c>
      <c r="C3301" s="347">
        <v>110</v>
      </c>
      <c r="D3301" s="340" t="str">
        <f>VLOOKUP(C3301,Plan!A$1:B$65542,2,0)</f>
        <v>Disponible Administración</v>
      </c>
      <c r="E3301" s="341">
        <f>+F3301-G3301</f>
        <v>2000</v>
      </c>
      <c r="F3301" s="396">
        <v>2000</v>
      </c>
      <c r="G3301" s="396">
        <v>0</v>
      </c>
      <c r="H3301" s="347" t="s">
        <v>1216</v>
      </c>
      <c r="I3301" s="347" t="s">
        <v>1303</v>
      </c>
      <c r="K3301" s="370"/>
      <c r="N3301" s="370"/>
    </row>
    <row r="3302" spans="1:14" s="347" customFormat="1" x14ac:dyDescent="0.25">
      <c r="A3302" s="369">
        <f>+A3301</f>
        <v>44369</v>
      </c>
      <c r="B3302" s="347">
        <f>+B3301</f>
        <v>6</v>
      </c>
      <c r="C3302" s="347">
        <v>3110</v>
      </c>
      <c r="D3302" s="340" t="str">
        <f>VLOOKUP(C3302,Plan!A$1:B$65542,2,0)</f>
        <v>Colectas Normales</v>
      </c>
      <c r="E3302" s="396">
        <f>-G3302</f>
        <v>-2000</v>
      </c>
      <c r="F3302" s="396">
        <v>0</v>
      </c>
      <c r="G3302" s="396">
        <f>+F3301</f>
        <v>2000</v>
      </c>
      <c r="H3302" s="347" t="str">
        <f>+H3301</f>
        <v>Colecta Trinidad Barriga Cruzat</v>
      </c>
      <c r="I3302" s="347" t="s">
        <v>1303</v>
      </c>
      <c r="K3302" s="370"/>
      <c r="N3302" s="370"/>
    </row>
    <row r="3303" spans="1:14" s="347" customFormat="1" x14ac:dyDescent="0.25">
      <c r="A3303" s="369"/>
      <c r="E3303" s="396"/>
      <c r="F3303" s="396"/>
      <c r="G3303" s="396"/>
      <c r="K3303" s="370"/>
      <c r="N3303" s="370"/>
    </row>
    <row r="3304" spans="1:14" s="347" customFormat="1" x14ac:dyDescent="0.25">
      <c r="A3304" s="369">
        <v>44369</v>
      </c>
      <c r="B3304" s="340">
        <f>+MONTH(A3304)</f>
        <v>6</v>
      </c>
      <c r="C3304" s="347">
        <v>110</v>
      </c>
      <c r="D3304" s="340" t="str">
        <f>VLOOKUP(C3304,Plan!A$1:B$65542,2,0)</f>
        <v>Disponible Administración</v>
      </c>
      <c r="E3304" s="341">
        <f>+F3304-G3304</f>
        <v>15000</v>
      </c>
      <c r="F3304" s="396">
        <v>15000</v>
      </c>
      <c r="G3304" s="396">
        <v>0</v>
      </c>
      <c r="H3304" s="347" t="s">
        <v>943</v>
      </c>
      <c r="I3304" s="347" t="s">
        <v>1303</v>
      </c>
      <c r="K3304" s="370"/>
      <c r="N3304" s="370"/>
    </row>
    <row r="3305" spans="1:14" s="347" customFormat="1" x14ac:dyDescent="0.25">
      <c r="A3305" s="369">
        <f>+A3304</f>
        <v>44369</v>
      </c>
      <c r="B3305" s="347">
        <f>+B3304</f>
        <v>6</v>
      </c>
      <c r="C3305" s="347">
        <v>3110</v>
      </c>
      <c r="D3305" s="340" t="str">
        <f>VLOOKUP(C3305,Plan!A$1:B$65542,2,0)</f>
        <v>Colectas Normales</v>
      </c>
      <c r="E3305" s="396">
        <f>-G3305</f>
        <v>-15000</v>
      </c>
      <c r="F3305" s="396">
        <v>0</v>
      </c>
      <c r="G3305" s="396">
        <f>+F3304</f>
        <v>15000</v>
      </c>
      <c r="H3305" s="347" t="str">
        <f>+H3304</f>
        <v>Colecta Carolina Guridi G</v>
      </c>
      <c r="I3305" s="347" t="s">
        <v>1303</v>
      </c>
      <c r="K3305" s="370"/>
      <c r="N3305" s="370"/>
    </row>
    <row r="3306" spans="1:14" s="347" customFormat="1" x14ac:dyDescent="0.25">
      <c r="A3306" s="369"/>
      <c r="E3306" s="396"/>
      <c r="F3306" s="396"/>
      <c r="G3306" s="396"/>
      <c r="K3306" s="370"/>
      <c r="N3306" s="370"/>
    </row>
    <row r="3307" spans="1:14" s="347" customFormat="1" x14ac:dyDescent="0.25">
      <c r="A3307" s="369">
        <v>44369</v>
      </c>
      <c r="B3307" s="340">
        <f>+MONTH(A3307)</f>
        <v>6</v>
      </c>
      <c r="C3307" s="347">
        <v>110</v>
      </c>
      <c r="D3307" s="340" t="str">
        <f>VLOOKUP(C3307,Plan!A$1:B$65542,2,0)</f>
        <v>Disponible Administración</v>
      </c>
      <c r="E3307" s="341">
        <f>+F3307-G3307</f>
        <v>20000</v>
      </c>
      <c r="F3307" s="396">
        <v>20000</v>
      </c>
      <c r="G3307" s="396">
        <v>0</v>
      </c>
      <c r="H3307" s="347" t="s">
        <v>1610</v>
      </c>
      <c r="I3307" s="347" t="s">
        <v>1303</v>
      </c>
      <c r="K3307" s="370"/>
      <c r="N3307" s="370"/>
    </row>
    <row r="3308" spans="1:14" s="347" customFormat="1" x14ac:dyDescent="0.25">
      <c r="A3308" s="369">
        <f>+A3307</f>
        <v>44369</v>
      </c>
      <c r="B3308" s="347">
        <f>+B3307</f>
        <v>6</v>
      </c>
      <c r="C3308" s="347">
        <v>3450</v>
      </c>
      <c r="D3308" s="340" t="str">
        <f>VLOOKUP(C3308,Plan!A$1:B$65542,2,0)</f>
        <v>Pastoral Social</v>
      </c>
      <c r="E3308" s="396">
        <f>-G3308</f>
        <v>-20000</v>
      </c>
      <c r="F3308" s="396">
        <v>0</v>
      </c>
      <c r="G3308" s="396">
        <f>+F3307</f>
        <v>20000</v>
      </c>
      <c r="H3308" s="347" t="str">
        <f>+H3307</f>
        <v>Canastas Carmen Gloria Rivas Varas</v>
      </c>
      <c r="I3308" s="347" t="s">
        <v>1303</v>
      </c>
      <c r="K3308" s="370"/>
      <c r="N3308" s="370"/>
    </row>
    <row r="3309" spans="1:14" s="347" customFormat="1" x14ac:dyDescent="0.25">
      <c r="A3309" s="369"/>
      <c r="E3309" s="396"/>
      <c r="F3309" s="396"/>
      <c r="G3309" s="396"/>
      <c r="K3309" s="370"/>
      <c r="N3309" s="370"/>
    </row>
    <row r="3310" spans="1:14" s="347" customFormat="1" x14ac:dyDescent="0.25">
      <c r="A3310" s="369">
        <v>44369</v>
      </c>
      <c r="B3310" s="340">
        <f>+MONTH(A3310)</f>
        <v>6</v>
      </c>
      <c r="C3310" s="347">
        <v>110</v>
      </c>
      <c r="D3310" s="340" t="str">
        <f>VLOOKUP(C3310,Plan!A$1:B$65542,2,0)</f>
        <v>Disponible Administración</v>
      </c>
      <c r="E3310" s="341">
        <f>+F3310-G3310</f>
        <v>20000</v>
      </c>
      <c r="F3310" s="396">
        <v>20000</v>
      </c>
      <c r="G3310" s="396">
        <v>0</v>
      </c>
      <c r="H3310" s="347" t="s">
        <v>1611</v>
      </c>
      <c r="I3310" s="347" t="s">
        <v>1303</v>
      </c>
      <c r="K3310" s="370"/>
      <c r="N3310" s="370"/>
    </row>
    <row r="3311" spans="1:14" s="347" customFormat="1" x14ac:dyDescent="0.25">
      <c r="A3311" s="369">
        <f>+A3310</f>
        <v>44369</v>
      </c>
      <c r="B3311" s="347">
        <f>+B3310</f>
        <v>6</v>
      </c>
      <c r="C3311" s="347">
        <v>3450</v>
      </c>
      <c r="D3311" s="340" t="str">
        <f>VLOOKUP(C3311,Plan!A$1:B$65542,2,0)</f>
        <v>Pastoral Social</v>
      </c>
      <c r="E3311" s="396">
        <f>-G3311</f>
        <v>-20000</v>
      </c>
      <c r="F3311" s="396">
        <v>0</v>
      </c>
      <c r="G3311" s="396">
        <f>+F3310</f>
        <v>20000</v>
      </c>
      <c r="H3311" s="347" t="str">
        <f>+H3310</f>
        <v>Canastas Maria Carolina Rendic L.</v>
      </c>
      <c r="I3311" s="347" t="s">
        <v>1303</v>
      </c>
      <c r="K3311" s="370"/>
      <c r="N3311" s="370"/>
    </row>
    <row r="3312" spans="1:14" s="347" customFormat="1" x14ac:dyDescent="0.25">
      <c r="A3312" s="369"/>
      <c r="E3312" s="396"/>
      <c r="F3312" s="396"/>
      <c r="G3312" s="396"/>
      <c r="K3312" s="370"/>
      <c r="N3312" s="370"/>
    </row>
    <row r="3313" spans="1:14" s="347" customFormat="1" x14ac:dyDescent="0.25">
      <c r="A3313" s="369">
        <v>44369</v>
      </c>
      <c r="B3313" s="340">
        <f>+MONTH(A3313)</f>
        <v>6</v>
      </c>
      <c r="C3313" s="347">
        <v>110</v>
      </c>
      <c r="D3313" s="340" t="str">
        <f>VLOOKUP(C3313,Plan!A$1:B$65542,2,0)</f>
        <v>Disponible Administración</v>
      </c>
      <c r="E3313" s="341">
        <f>+F3313-G3313</f>
        <v>19614</v>
      </c>
      <c r="F3313" s="396">
        <v>19614</v>
      </c>
      <c r="G3313" s="396">
        <v>0</v>
      </c>
      <c r="H3313" s="347" t="s">
        <v>1529</v>
      </c>
      <c r="I3313" s="347" t="s">
        <v>1303</v>
      </c>
      <c r="K3313" s="370"/>
      <c r="N3313" s="370"/>
    </row>
    <row r="3314" spans="1:14" s="347" customFormat="1" x14ac:dyDescent="0.25">
      <c r="A3314" s="369">
        <f>+A3313</f>
        <v>44369</v>
      </c>
      <c r="B3314" s="347">
        <f>+B3313</f>
        <v>6</v>
      </c>
      <c r="C3314" s="347">
        <v>3450</v>
      </c>
      <c r="D3314" s="340" t="str">
        <f>VLOOKUP(C3314,Plan!A$1:B$65542,2,0)</f>
        <v>Pastoral Social</v>
      </c>
      <c r="E3314" s="396">
        <f>-G3314</f>
        <v>-19614</v>
      </c>
      <c r="F3314" s="396">
        <v>0</v>
      </c>
      <c r="G3314" s="396">
        <f>+F3313</f>
        <v>19614</v>
      </c>
      <c r="H3314" s="347" t="str">
        <f>+H3313</f>
        <v>Canastas DCT</v>
      </c>
      <c r="I3314" s="347" t="s">
        <v>1303</v>
      </c>
      <c r="K3314" s="370"/>
      <c r="N3314" s="370"/>
    </row>
    <row r="3315" spans="1:14" s="347" customFormat="1" x14ac:dyDescent="0.25">
      <c r="A3315" s="369"/>
      <c r="E3315" s="396"/>
      <c r="F3315" s="396"/>
      <c r="G3315" s="396"/>
      <c r="K3315" s="370"/>
      <c r="N3315" s="370"/>
    </row>
    <row r="3316" spans="1:14" s="347" customFormat="1" x14ac:dyDescent="0.25">
      <c r="A3316" s="369">
        <v>44369</v>
      </c>
      <c r="B3316" s="340">
        <f>+MONTH(A3316)</f>
        <v>6</v>
      </c>
      <c r="C3316" s="347">
        <v>110</v>
      </c>
      <c r="D3316" s="340" t="str">
        <f>VLOOKUP(C3316,Plan!A$1:B$65542,2,0)</f>
        <v>Disponible Administración</v>
      </c>
      <c r="E3316" s="341">
        <f>+F3316-G3316</f>
        <v>50000</v>
      </c>
      <c r="F3316" s="396">
        <v>50000</v>
      </c>
      <c r="G3316" s="396">
        <v>0</v>
      </c>
      <c r="H3316" s="347" t="s">
        <v>1612</v>
      </c>
      <c r="I3316" s="347" t="s">
        <v>1303</v>
      </c>
      <c r="K3316" s="370"/>
      <c r="N3316" s="370"/>
    </row>
    <row r="3317" spans="1:14" s="347" customFormat="1" x14ac:dyDescent="0.25">
      <c r="A3317" s="369">
        <f>+A3316</f>
        <v>44369</v>
      </c>
      <c r="B3317" s="347">
        <f>+B3316</f>
        <v>6</v>
      </c>
      <c r="C3317" s="347">
        <v>3350</v>
      </c>
      <c r="D3317" s="340" t="str">
        <f>VLOOKUP(C3317,Plan!A$1:B$65542,2,0)</f>
        <v>Bautizos</v>
      </c>
      <c r="E3317" s="396">
        <f>-G3317</f>
        <v>-50000</v>
      </c>
      <c r="F3317" s="396">
        <v>0</v>
      </c>
      <c r="G3317" s="396">
        <f>+F3316</f>
        <v>50000</v>
      </c>
      <c r="H3317" s="347" t="str">
        <f>+H3316</f>
        <v>Bautizo Asuncion Echavarri</v>
      </c>
      <c r="I3317" s="347" t="s">
        <v>1303</v>
      </c>
      <c r="K3317" s="370"/>
      <c r="N3317" s="370"/>
    </row>
    <row r="3318" spans="1:14" s="347" customFormat="1" x14ac:dyDescent="0.25">
      <c r="A3318" s="369"/>
      <c r="E3318" s="396"/>
      <c r="F3318" s="396"/>
      <c r="G3318" s="396"/>
      <c r="K3318" s="370"/>
      <c r="N3318" s="370"/>
    </row>
    <row r="3319" spans="1:14" s="347" customFormat="1" x14ac:dyDescent="0.25">
      <c r="A3319" s="369">
        <v>44369</v>
      </c>
      <c r="B3319" s="340">
        <f>+MONTH(A3319)</f>
        <v>6</v>
      </c>
      <c r="C3319" s="347">
        <v>110</v>
      </c>
      <c r="D3319" s="340" t="str">
        <f>VLOOKUP(C3319,Plan!A$1:B$65542,2,0)</f>
        <v>Disponible Administración</v>
      </c>
      <c r="E3319" s="341">
        <f>+F3319-G3319</f>
        <v>20000</v>
      </c>
      <c r="F3319" s="396">
        <v>20000</v>
      </c>
      <c r="G3319" s="396">
        <v>0</v>
      </c>
      <c r="H3319" s="347" t="s">
        <v>1613</v>
      </c>
      <c r="I3319" s="347" t="s">
        <v>1303</v>
      </c>
      <c r="K3319" s="370"/>
      <c r="N3319" s="370"/>
    </row>
    <row r="3320" spans="1:14" s="347" customFormat="1" x14ac:dyDescent="0.25">
      <c r="A3320" s="369">
        <f>+A3319</f>
        <v>44369</v>
      </c>
      <c r="B3320" s="347">
        <f>+B3319</f>
        <v>6</v>
      </c>
      <c r="C3320" s="347">
        <v>3450</v>
      </c>
      <c r="D3320" s="340" t="str">
        <f>VLOOKUP(C3320,Plan!A$1:B$65542,2,0)</f>
        <v>Pastoral Social</v>
      </c>
      <c r="E3320" s="396">
        <f>-G3320</f>
        <v>-20000</v>
      </c>
      <c r="F3320" s="396">
        <v>0</v>
      </c>
      <c r="G3320" s="396">
        <f>+F3319</f>
        <v>20000</v>
      </c>
      <c r="H3320" s="347" t="str">
        <f>+H3319</f>
        <v>Canastas Jaime Gonzalez Fabres</v>
      </c>
      <c r="I3320" s="347" t="s">
        <v>1303</v>
      </c>
      <c r="K3320" s="370"/>
      <c r="N3320" s="370"/>
    </row>
    <row r="3321" spans="1:14" s="347" customFormat="1" x14ac:dyDescent="0.25">
      <c r="A3321" s="369"/>
      <c r="E3321" s="396"/>
      <c r="F3321" s="396"/>
      <c r="G3321" s="396"/>
      <c r="K3321" s="370"/>
      <c r="N3321" s="370"/>
    </row>
    <row r="3322" spans="1:14" s="347" customFormat="1" x14ac:dyDescent="0.25">
      <c r="A3322" s="369">
        <v>44369</v>
      </c>
      <c r="B3322" s="340">
        <f>+MONTH(A3322)</f>
        <v>6</v>
      </c>
      <c r="C3322" s="347">
        <v>110</v>
      </c>
      <c r="D3322" s="340" t="str">
        <f>VLOOKUP(C3322,Plan!A$1:B$65542,2,0)</f>
        <v>Disponible Administración</v>
      </c>
      <c r="E3322" s="341">
        <f>+F3322-G3322</f>
        <v>140000</v>
      </c>
      <c r="F3322" s="396">
        <v>140000</v>
      </c>
      <c r="G3322" s="396">
        <v>0</v>
      </c>
      <c r="H3322" s="347" t="s">
        <v>1410</v>
      </c>
      <c r="I3322" s="347" t="s">
        <v>1303</v>
      </c>
      <c r="K3322" s="370"/>
      <c r="N3322" s="370"/>
    </row>
    <row r="3323" spans="1:14" s="347" customFormat="1" x14ac:dyDescent="0.25">
      <c r="A3323" s="369">
        <f>+A3322</f>
        <v>44369</v>
      </c>
      <c r="B3323" s="347">
        <f>+B3322</f>
        <v>6</v>
      </c>
      <c r="C3323" s="347">
        <v>3110</v>
      </c>
      <c r="D3323" s="340" t="str">
        <f>VLOOKUP(C3323,Plan!A$1:B$65542,2,0)</f>
        <v>Colectas Normales</v>
      </c>
      <c r="E3323" s="396">
        <f>-G3323</f>
        <v>-140000</v>
      </c>
      <c r="F3323" s="396">
        <v>0</v>
      </c>
      <c r="G3323" s="396">
        <f>+F3322</f>
        <v>140000</v>
      </c>
      <c r="H3323" s="347" t="str">
        <f>+H3322</f>
        <v>Colecta Col. Cordillera</v>
      </c>
      <c r="I3323" s="347" t="s">
        <v>1303</v>
      </c>
      <c r="K3323" s="370"/>
      <c r="N3323" s="370"/>
    </row>
    <row r="3324" spans="1:14" s="347" customFormat="1" x14ac:dyDescent="0.25">
      <c r="A3324" s="369"/>
      <c r="E3324" s="396"/>
      <c r="F3324" s="396"/>
      <c r="G3324" s="396"/>
      <c r="K3324" s="370"/>
      <c r="N3324" s="370"/>
    </row>
    <row r="3325" spans="1:14" s="347" customFormat="1" x14ac:dyDescent="0.25">
      <c r="A3325" s="369">
        <v>44370</v>
      </c>
      <c r="B3325" s="340">
        <f>+MONTH(A3325)</f>
        <v>6</v>
      </c>
      <c r="C3325" s="347">
        <v>110</v>
      </c>
      <c r="D3325" s="340" t="str">
        <f>VLOOKUP(C3325,Plan!A$1:B$65542,2,0)</f>
        <v>Disponible Administración</v>
      </c>
      <c r="E3325" s="341">
        <f>+F3325-G3325</f>
        <v>85324</v>
      </c>
      <c r="F3325" s="396">
        <v>85324</v>
      </c>
      <c r="G3325" s="396">
        <v>0</v>
      </c>
      <c r="H3325" s="347" t="s">
        <v>1529</v>
      </c>
      <c r="I3325" s="347" t="s">
        <v>1303</v>
      </c>
      <c r="K3325" s="370"/>
      <c r="N3325" s="370"/>
    </row>
    <row r="3326" spans="1:14" s="347" customFormat="1" x14ac:dyDescent="0.25">
      <c r="A3326" s="369">
        <f>+A3325</f>
        <v>44370</v>
      </c>
      <c r="B3326" s="347">
        <f>+B3325</f>
        <v>6</v>
      </c>
      <c r="C3326" s="347">
        <v>3450</v>
      </c>
      <c r="D3326" s="340" t="str">
        <f>VLOOKUP(C3326,Plan!A$1:B$65542,2,0)</f>
        <v>Pastoral Social</v>
      </c>
      <c r="E3326" s="396">
        <f>-G3326</f>
        <v>-85324</v>
      </c>
      <c r="F3326" s="396">
        <v>0</v>
      </c>
      <c r="G3326" s="396">
        <f>+F3325</f>
        <v>85324</v>
      </c>
      <c r="H3326" s="347" t="str">
        <f>+H3325</f>
        <v>Canastas DCT</v>
      </c>
      <c r="I3326" s="347" t="s">
        <v>1303</v>
      </c>
      <c r="K3326" s="370"/>
      <c r="N3326" s="370"/>
    </row>
    <row r="3327" spans="1:14" s="347" customFormat="1" x14ac:dyDescent="0.25">
      <c r="A3327" s="369"/>
      <c r="E3327" s="396"/>
      <c r="F3327" s="396"/>
      <c r="G3327" s="396"/>
      <c r="K3327" s="370"/>
      <c r="N3327" s="370"/>
    </row>
    <row r="3328" spans="1:14" s="347" customFormat="1" x14ac:dyDescent="0.25">
      <c r="A3328" s="369">
        <v>44370</v>
      </c>
      <c r="B3328" s="340">
        <f>+MONTH(A3328)</f>
        <v>6</v>
      </c>
      <c r="C3328" s="347">
        <v>110</v>
      </c>
      <c r="D3328" s="340" t="str">
        <f>VLOOKUP(C3328,Plan!A$1:B$65542,2,0)</f>
        <v>Disponible Administración</v>
      </c>
      <c r="E3328" s="341">
        <f>+F3328-G3328</f>
        <v>20000</v>
      </c>
      <c r="F3328" s="396">
        <v>20000</v>
      </c>
      <c r="G3328" s="396">
        <v>0</v>
      </c>
      <c r="H3328" s="347" t="s">
        <v>1497</v>
      </c>
      <c r="I3328" s="347" t="s">
        <v>1303</v>
      </c>
      <c r="K3328" s="370"/>
      <c r="N3328" s="370"/>
    </row>
    <row r="3329" spans="1:14" s="347" customFormat="1" x14ac:dyDescent="0.25">
      <c r="A3329" s="369">
        <f>+A3328</f>
        <v>44370</v>
      </c>
      <c r="B3329" s="347">
        <f>+B3328</f>
        <v>6</v>
      </c>
      <c r="C3329" s="347">
        <v>3110</v>
      </c>
      <c r="D3329" s="340" t="str">
        <f>VLOOKUP(C3329,Plan!A$1:B$65542,2,0)</f>
        <v>Colectas Normales</v>
      </c>
      <c r="E3329" s="396">
        <f>-G3329</f>
        <v>-20000</v>
      </c>
      <c r="F3329" s="396">
        <v>0</v>
      </c>
      <c r="G3329" s="396">
        <f>+F3328</f>
        <v>20000</v>
      </c>
      <c r="H3329" s="347" t="str">
        <f>+H3328</f>
        <v>Colecta Carmen Covarrubias</v>
      </c>
      <c r="I3329" s="347" t="s">
        <v>1303</v>
      </c>
      <c r="K3329" s="370"/>
      <c r="N3329" s="370"/>
    </row>
    <row r="3330" spans="1:14" s="347" customFormat="1" x14ac:dyDescent="0.25">
      <c r="A3330" s="369"/>
      <c r="E3330" s="396"/>
      <c r="F3330" s="396"/>
      <c r="G3330" s="396"/>
      <c r="K3330" s="370"/>
      <c r="N3330" s="370"/>
    </row>
    <row r="3331" spans="1:14" s="347" customFormat="1" x14ac:dyDescent="0.25">
      <c r="A3331" s="369">
        <v>44371</v>
      </c>
      <c r="B3331" s="340">
        <f>+MONTH(A3331)</f>
        <v>6</v>
      </c>
      <c r="C3331" s="347">
        <v>110</v>
      </c>
      <c r="D3331" s="340" t="str">
        <f>VLOOKUP(C3331,Plan!A$1:B$65542,2,0)</f>
        <v>Disponible Administración</v>
      </c>
      <c r="E3331" s="341">
        <f>+F3331-G3331</f>
        <v>20000</v>
      </c>
      <c r="F3331" s="396">
        <v>20000</v>
      </c>
      <c r="G3331" s="396">
        <v>0</v>
      </c>
      <c r="H3331" s="347" t="s">
        <v>1125</v>
      </c>
      <c r="I3331" s="347" t="s">
        <v>1303</v>
      </c>
      <c r="K3331" s="370"/>
      <c r="N3331" s="370"/>
    </row>
    <row r="3332" spans="1:14" s="347" customFormat="1" x14ac:dyDescent="0.25">
      <c r="A3332" s="369">
        <f>+A3331</f>
        <v>44371</v>
      </c>
      <c r="B3332" s="347">
        <f>+B3331</f>
        <v>6</v>
      </c>
      <c r="C3332" s="347">
        <v>3110</v>
      </c>
      <c r="D3332" s="340" t="str">
        <f>VLOOKUP(C3332,Plan!A$1:B$65542,2,0)</f>
        <v>Colectas Normales</v>
      </c>
      <c r="E3332" s="396">
        <f>-G3332</f>
        <v>-20000</v>
      </c>
      <c r="F3332" s="396">
        <v>0</v>
      </c>
      <c r="G3332" s="396">
        <f>+F3331</f>
        <v>20000</v>
      </c>
      <c r="H3332" s="347" t="str">
        <f>+H3331</f>
        <v>Colecta Sandra Rivadeneira</v>
      </c>
      <c r="I3332" s="347" t="s">
        <v>1303</v>
      </c>
      <c r="K3332" s="370"/>
      <c r="N3332" s="370"/>
    </row>
    <row r="3333" spans="1:14" s="347" customFormat="1" x14ac:dyDescent="0.25">
      <c r="A3333" s="369"/>
      <c r="E3333" s="396"/>
      <c r="F3333" s="396"/>
      <c r="G3333" s="396"/>
      <c r="K3333" s="370"/>
      <c r="N3333" s="370"/>
    </row>
    <row r="3334" spans="1:14" s="347" customFormat="1" x14ac:dyDescent="0.25">
      <c r="A3334" s="369">
        <v>44371</v>
      </c>
      <c r="B3334" s="340">
        <f>+MONTH(A3334)</f>
        <v>6</v>
      </c>
      <c r="C3334" s="347">
        <v>110</v>
      </c>
      <c r="D3334" s="340" t="str">
        <f>VLOOKUP(C3334,Plan!A$1:B$65542,2,0)</f>
        <v>Disponible Administración</v>
      </c>
      <c r="E3334" s="341">
        <f>+F3334-G3334</f>
        <v>30000</v>
      </c>
      <c r="F3334" s="396">
        <v>30000</v>
      </c>
      <c r="G3334" s="396">
        <v>0</v>
      </c>
      <c r="H3334" s="347" t="s">
        <v>1431</v>
      </c>
      <c r="I3334" s="347" t="s">
        <v>1303</v>
      </c>
      <c r="K3334" s="370"/>
      <c r="N3334" s="370"/>
    </row>
    <row r="3335" spans="1:14" s="347" customFormat="1" x14ac:dyDescent="0.25">
      <c r="A3335" s="369">
        <f>+A3334</f>
        <v>44371</v>
      </c>
      <c r="B3335" s="347">
        <f>+B3334</f>
        <v>6</v>
      </c>
      <c r="C3335" s="347">
        <v>3450</v>
      </c>
      <c r="D3335" s="340" t="str">
        <f>VLOOKUP(C3335,Plan!A$1:B$65542,2,0)</f>
        <v>Pastoral Social</v>
      </c>
      <c r="E3335" s="396">
        <f>-G3335</f>
        <v>-30000</v>
      </c>
      <c r="F3335" s="396">
        <v>0</v>
      </c>
      <c r="G3335" s="396">
        <f>+F3334</f>
        <v>30000</v>
      </c>
      <c r="H3335" s="347" t="str">
        <f>+H3334</f>
        <v>Canastas Carmen Gloria Gomez P</v>
      </c>
      <c r="I3335" s="347" t="s">
        <v>1303</v>
      </c>
      <c r="K3335" s="370"/>
      <c r="N3335" s="370"/>
    </row>
    <row r="3336" spans="1:14" s="347" customFormat="1" x14ac:dyDescent="0.25">
      <c r="A3336" s="369"/>
      <c r="E3336" s="396"/>
      <c r="F3336" s="396"/>
      <c r="G3336" s="396"/>
      <c r="K3336" s="370"/>
      <c r="N3336" s="370"/>
    </row>
    <row r="3337" spans="1:14" s="347" customFormat="1" x14ac:dyDescent="0.25">
      <c r="A3337" s="369">
        <v>44371</v>
      </c>
      <c r="B3337" s="340">
        <f>+MONTH(A3337)</f>
        <v>6</v>
      </c>
      <c r="C3337" s="347">
        <v>110</v>
      </c>
      <c r="D3337" s="340" t="str">
        <f>VLOOKUP(C3337,Plan!A$1:B$65542,2,0)</f>
        <v>Disponible Administración</v>
      </c>
      <c r="E3337" s="341">
        <f>+F3337-G3337</f>
        <v>50000</v>
      </c>
      <c r="F3337" s="396">
        <v>50000</v>
      </c>
      <c r="G3337" s="396">
        <v>0</v>
      </c>
      <c r="H3337" s="347" t="s">
        <v>1614</v>
      </c>
      <c r="I3337" s="347" t="s">
        <v>1303</v>
      </c>
      <c r="K3337" s="370"/>
      <c r="N3337" s="370"/>
    </row>
    <row r="3338" spans="1:14" s="347" customFormat="1" x14ac:dyDescent="0.25">
      <c r="A3338" s="369">
        <f>+A3337</f>
        <v>44371</v>
      </c>
      <c r="B3338" s="347">
        <f>+B3337</f>
        <v>6</v>
      </c>
      <c r="C3338" s="347">
        <v>3450</v>
      </c>
      <c r="D3338" s="340" t="str">
        <f>VLOOKUP(C3338,Plan!A$1:B$65542,2,0)</f>
        <v>Pastoral Social</v>
      </c>
      <c r="E3338" s="396">
        <f>-G3338</f>
        <v>-50000</v>
      </c>
      <c r="F3338" s="396">
        <v>0</v>
      </c>
      <c r="G3338" s="396">
        <f>+F3337</f>
        <v>50000</v>
      </c>
      <c r="H3338" s="347" t="str">
        <f>+H3337</f>
        <v>Canastas Maria de la Luz Garces Larenas</v>
      </c>
      <c r="I3338" s="347" t="s">
        <v>1303</v>
      </c>
      <c r="K3338" s="370"/>
      <c r="N3338" s="370"/>
    </row>
    <row r="3339" spans="1:14" s="347" customFormat="1" x14ac:dyDescent="0.25">
      <c r="A3339" s="369"/>
      <c r="E3339" s="396"/>
      <c r="F3339" s="396"/>
      <c r="G3339" s="396"/>
      <c r="K3339" s="370"/>
      <c r="N3339" s="370"/>
    </row>
    <row r="3340" spans="1:14" s="347" customFormat="1" x14ac:dyDescent="0.25">
      <c r="A3340" s="369">
        <v>44371</v>
      </c>
      <c r="B3340" s="340">
        <f>+MONTH(A3340)</f>
        <v>6</v>
      </c>
      <c r="C3340" s="347">
        <v>110</v>
      </c>
      <c r="D3340" s="340" t="str">
        <f>VLOOKUP(C3340,Plan!A$1:B$65542,2,0)</f>
        <v>Disponible Administración</v>
      </c>
      <c r="E3340" s="341">
        <f>+F3340-G3340</f>
        <v>20000</v>
      </c>
      <c r="F3340" s="396">
        <v>20000</v>
      </c>
      <c r="G3340" s="396">
        <v>0</v>
      </c>
      <c r="H3340" s="347" t="s">
        <v>1432</v>
      </c>
      <c r="I3340" s="347" t="s">
        <v>1303</v>
      </c>
      <c r="K3340" s="370"/>
      <c r="N3340" s="370"/>
    </row>
    <row r="3341" spans="1:14" s="347" customFormat="1" x14ac:dyDescent="0.25">
      <c r="A3341" s="369">
        <f>+A3340</f>
        <v>44371</v>
      </c>
      <c r="B3341" s="347">
        <f>+B3340</f>
        <v>6</v>
      </c>
      <c r="C3341" s="347">
        <v>3110</v>
      </c>
      <c r="D3341" s="340" t="str">
        <f>VLOOKUP(C3341,Plan!A$1:B$65542,2,0)</f>
        <v>Colectas Normales</v>
      </c>
      <c r="E3341" s="396">
        <f>-G3341</f>
        <v>-20000</v>
      </c>
      <c r="F3341" s="396">
        <v>0</v>
      </c>
      <c r="G3341" s="396">
        <f>+F3340</f>
        <v>20000</v>
      </c>
      <c r="H3341" s="347" t="str">
        <f>+H3340</f>
        <v>Colecta Carmen Gloria Gomez P</v>
      </c>
      <c r="I3341" s="347" t="s">
        <v>1303</v>
      </c>
      <c r="K3341" s="370"/>
      <c r="N3341" s="370"/>
    </row>
    <row r="3342" spans="1:14" s="347" customFormat="1" x14ac:dyDescent="0.25">
      <c r="A3342" s="369"/>
      <c r="E3342" s="396"/>
      <c r="F3342" s="396"/>
      <c r="G3342" s="396"/>
      <c r="K3342" s="370"/>
      <c r="N3342" s="370"/>
    </row>
    <row r="3343" spans="1:14" s="347" customFormat="1" x14ac:dyDescent="0.25">
      <c r="A3343" s="369">
        <v>44371</v>
      </c>
      <c r="B3343" s="340">
        <f>+MONTH(A3343)</f>
        <v>6</v>
      </c>
      <c r="C3343" s="347">
        <v>110</v>
      </c>
      <c r="D3343" s="340" t="str">
        <f>VLOOKUP(C3343,Plan!A$1:B$65542,2,0)</f>
        <v>Disponible Administración</v>
      </c>
      <c r="E3343" s="341">
        <f>+F3343-G3343</f>
        <v>10000</v>
      </c>
      <c r="F3343" s="396">
        <v>10000</v>
      </c>
      <c r="G3343" s="396">
        <v>0</v>
      </c>
      <c r="H3343" s="347" t="s">
        <v>1615</v>
      </c>
      <c r="I3343" s="347" t="s">
        <v>1303</v>
      </c>
      <c r="K3343" s="370"/>
      <c r="N3343" s="370"/>
    </row>
    <row r="3344" spans="1:14" s="347" customFormat="1" x14ac:dyDescent="0.25">
      <c r="A3344" s="369">
        <f>+A3343</f>
        <v>44371</v>
      </c>
      <c r="B3344" s="347">
        <f>+B3343</f>
        <v>6</v>
      </c>
      <c r="C3344" s="347">
        <v>3110</v>
      </c>
      <c r="D3344" s="340" t="str">
        <f>VLOOKUP(C3344,Plan!A$1:B$65542,2,0)</f>
        <v>Colectas Normales</v>
      </c>
      <c r="E3344" s="396">
        <f>-G3344</f>
        <v>-10000</v>
      </c>
      <c r="F3344" s="396">
        <v>0</v>
      </c>
      <c r="G3344" s="396">
        <f>+F3343</f>
        <v>10000</v>
      </c>
      <c r="H3344" s="347" t="str">
        <f>+H3343</f>
        <v>Colecta Maria de la Luz Garces Larenas</v>
      </c>
      <c r="I3344" s="347" t="s">
        <v>1303</v>
      </c>
      <c r="K3344" s="370"/>
      <c r="N3344" s="370"/>
    </row>
    <row r="3345" spans="1:14" s="347" customFormat="1" x14ac:dyDescent="0.25">
      <c r="A3345" s="369"/>
      <c r="E3345" s="396"/>
      <c r="F3345" s="396"/>
      <c r="G3345" s="396"/>
      <c r="K3345" s="370"/>
      <c r="N3345" s="370"/>
    </row>
    <row r="3346" spans="1:14" s="347" customFormat="1" x14ac:dyDescent="0.25">
      <c r="A3346" s="369">
        <v>44371</v>
      </c>
      <c r="B3346" s="340">
        <f>+MONTH(A3346)</f>
        <v>6</v>
      </c>
      <c r="C3346" s="347">
        <v>110</v>
      </c>
      <c r="D3346" s="340" t="str">
        <f>VLOOKUP(C3346,Plan!A$1:B$65542,2,0)</f>
        <v>Disponible Administración</v>
      </c>
      <c r="E3346" s="341">
        <f>+F3346-G3346</f>
        <v>10000</v>
      </c>
      <c r="F3346" s="396">
        <v>10000</v>
      </c>
      <c r="G3346" s="396">
        <v>0</v>
      </c>
      <c r="H3346" s="347" t="s">
        <v>1616</v>
      </c>
      <c r="I3346" s="347" t="s">
        <v>1303</v>
      </c>
      <c r="K3346" s="370"/>
      <c r="N3346" s="370"/>
    </row>
    <row r="3347" spans="1:14" s="347" customFormat="1" x14ac:dyDescent="0.25">
      <c r="A3347" s="369">
        <f>+A3346</f>
        <v>44371</v>
      </c>
      <c r="B3347" s="347">
        <f>+B3346</f>
        <v>6</v>
      </c>
      <c r="C3347" s="347">
        <v>215</v>
      </c>
      <c r="D3347" s="340" t="str">
        <f>VLOOKUP(C3347,Plan!A$1:B$65542,2,0)</f>
        <v>Cuenta por Pagar a Cali</v>
      </c>
      <c r="E3347" s="396">
        <f>-G3347</f>
        <v>-10000</v>
      </c>
      <c r="F3347" s="396">
        <v>0</v>
      </c>
      <c r="G3347" s="396">
        <f>+F3346</f>
        <v>10000</v>
      </c>
      <c r="H3347" s="347" t="str">
        <f>+H3346</f>
        <v>Maria de la Luz Garces Larenas</v>
      </c>
      <c r="I3347" s="347" t="s">
        <v>1303</v>
      </c>
      <c r="K3347" s="370"/>
      <c r="N3347" s="370"/>
    </row>
    <row r="3348" spans="1:14" s="347" customFormat="1" x14ac:dyDescent="0.25">
      <c r="A3348" s="369"/>
      <c r="E3348" s="396"/>
      <c r="F3348" s="396"/>
      <c r="G3348" s="396"/>
      <c r="K3348" s="370"/>
      <c r="N3348" s="370"/>
    </row>
    <row r="3349" spans="1:14" s="347" customFormat="1" x14ac:dyDescent="0.25">
      <c r="A3349" s="369">
        <v>44372</v>
      </c>
      <c r="B3349" s="340">
        <f>+MONTH(A3349)</f>
        <v>6</v>
      </c>
      <c r="C3349" s="347">
        <v>110</v>
      </c>
      <c r="D3349" s="340" t="str">
        <f>VLOOKUP(C3349,Plan!A$1:B$65542,2,0)</f>
        <v>Disponible Administración</v>
      </c>
      <c r="E3349" s="341">
        <f>+F3349-G3349</f>
        <v>30000</v>
      </c>
      <c r="F3349" s="396">
        <v>30000</v>
      </c>
      <c r="G3349" s="396">
        <v>0</v>
      </c>
      <c r="H3349" s="347" t="s">
        <v>1617</v>
      </c>
      <c r="I3349" s="347" t="s">
        <v>1303</v>
      </c>
      <c r="K3349" s="370"/>
      <c r="N3349" s="370"/>
    </row>
    <row r="3350" spans="1:14" s="347" customFormat="1" x14ac:dyDescent="0.25">
      <c r="A3350" s="369">
        <f>+A3349</f>
        <v>44372</v>
      </c>
      <c r="B3350" s="347">
        <f>+B3349</f>
        <v>6</v>
      </c>
      <c r="C3350" s="347">
        <v>3450</v>
      </c>
      <c r="D3350" s="340" t="str">
        <f>VLOOKUP(C3350,Plan!A$1:B$65542,2,0)</f>
        <v>Pastoral Social</v>
      </c>
      <c r="E3350" s="396">
        <f>-G3350</f>
        <v>-30000</v>
      </c>
      <c r="F3350" s="396">
        <v>0</v>
      </c>
      <c r="G3350" s="396">
        <f>+F3349</f>
        <v>30000</v>
      </c>
      <c r="H3350" s="347" t="str">
        <f>+H3349</f>
        <v>Canastas Manuel Uzal C</v>
      </c>
      <c r="I3350" s="347" t="s">
        <v>1303</v>
      </c>
      <c r="K3350" s="370"/>
      <c r="N3350" s="370"/>
    </row>
    <row r="3351" spans="1:14" s="347" customFormat="1" x14ac:dyDescent="0.25">
      <c r="A3351" s="369"/>
      <c r="E3351" s="396"/>
      <c r="F3351" s="396"/>
      <c r="G3351" s="396"/>
      <c r="K3351" s="370"/>
      <c r="N3351" s="370"/>
    </row>
    <row r="3352" spans="1:14" s="347" customFormat="1" x14ac:dyDescent="0.25">
      <c r="A3352" s="369">
        <v>44372</v>
      </c>
      <c r="B3352" s="340">
        <f>+MONTH(A3352)</f>
        <v>6</v>
      </c>
      <c r="C3352" s="347">
        <v>110</v>
      </c>
      <c r="D3352" s="340" t="str">
        <f>VLOOKUP(C3352,Plan!A$1:B$65542,2,0)</f>
        <v>Disponible Administración</v>
      </c>
      <c r="E3352" s="341">
        <f>+F3352-G3352</f>
        <v>30000</v>
      </c>
      <c r="F3352" s="396">
        <v>30000</v>
      </c>
      <c r="G3352" s="396">
        <v>0</v>
      </c>
      <c r="H3352" s="347" t="s">
        <v>877</v>
      </c>
      <c r="I3352" s="347" t="s">
        <v>1303</v>
      </c>
      <c r="K3352" s="370"/>
      <c r="N3352" s="370"/>
    </row>
    <row r="3353" spans="1:14" s="347" customFormat="1" x14ac:dyDescent="0.25">
      <c r="A3353" s="369">
        <f>+A3352</f>
        <v>44372</v>
      </c>
      <c r="B3353" s="347">
        <f>+B3352</f>
        <v>6</v>
      </c>
      <c r="C3353" s="347">
        <v>3110</v>
      </c>
      <c r="D3353" s="340" t="str">
        <f>VLOOKUP(C3353,Plan!A$1:B$65542,2,0)</f>
        <v>Colectas Normales</v>
      </c>
      <c r="E3353" s="396">
        <f>-G3353</f>
        <v>-30000</v>
      </c>
      <c r="F3353" s="396">
        <v>0</v>
      </c>
      <c r="G3353" s="396">
        <f>+F3352</f>
        <v>30000</v>
      </c>
      <c r="H3353" s="347" t="str">
        <f>+H3352</f>
        <v>Colecta Manuel Uzal C</v>
      </c>
      <c r="I3353" s="347" t="s">
        <v>1303</v>
      </c>
      <c r="K3353" s="370"/>
      <c r="N3353" s="370"/>
    </row>
    <row r="3354" spans="1:14" s="347" customFormat="1" x14ac:dyDescent="0.25">
      <c r="K3354" s="370"/>
      <c r="N3354" s="370"/>
    </row>
    <row r="3355" spans="1:14" s="347" customFormat="1" x14ac:dyDescent="0.25">
      <c r="A3355" s="369">
        <v>44372</v>
      </c>
      <c r="B3355" s="340">
        <f>+MONTH(A3355)</f>
        <v>6</v>
      </c>
      <c r="C3355" s="347">
        <v>110</v>
      </c>
      <c r="D3355" s="340" t="str">
        <f>VLOOKUP(C3355,Plan!A$1:B$65542,2,0)</f>
        <v>Disponible Administración</v>
      </c>
      <c r="E3355" s="341">
        <f>+F3355-G3355</f>
        <v>50000</v>
      </c>
      <c r="F3355" s="396">
        <v>50000</v>
      </c>
      <c r="G3355" s="396">
        <v>0</v>
      </c>
      <c r="H3355" s="347" t="s">
        <v>1543</v>
      </c>
      <c r="I3355" s="347" t="s">
        <v>1303</v>
      </c>
      <c r="K3355" s="370"/>
      <c r="N3355" s="370"/>
    </row>
    <row r="3356" spans="1:14" s="347" customFormat="1" x14ac:dyDescent="0.25">
      <c r="A3356" s="369">
        <f>+A3355</f>
        <v>44372</v>
      </c>
      <c r="B3356" s="347">
        <f>+B3355</f>
        <v>6</v>
      </c>
      <c r="C3356" s="347">
        <v>3450</v>
      </c>
      <c r="D3356" s="340" t="str">
        <f>VLOOKUP(C3356,Plan!A$1:B$65542,2,0)</f>
        <v>Pastoral Social</v>
      </c>
      <c r="E3356" s="396">
        <f>-G3356</f>
        <v>-50000</v>
      </c>
      <c r="F3356" s="396">
        <v>0</v>
      </c>
      <c r="G3356" s="396">
        <f>+F3355</f>
        <v>50000</v>
      </c>
      <c r="H3356" s="347" t="str">
        <f>+H3355</f>
        <v>Canastas Francisco Guimpert</v>
      </c>
      <c r="I3356" s="347" t="s">
        <v>1303</v>
      </c>
      <c r="K3356" s="370"/>
      <c r="N3356" s="370"/>
    </row>
    <row r="3357" spans="1:14" s="347" customFormat="1" x14ac:dyDescent="0.25">
      <c r="A3357" s="369"/>
      <c r="E3357" s="396"/>
      <c r="F3357" s="396"/>
      <c r="G3357" s="396"/>
      <c r="K3357" s="370"/>
      <c r="N3357" s="370"/>
    </row>
    <row r="3358" spans="1:14" s="347" customFormat="1" x14ac:dyDescent="0.25">
      <c r="A3358" s="369">
        <v>44372</v>
      </c>
      <c r="B3358" s="340">
        <f>+MONTH(A3358)</f>
        <v>6</v>
      </c>
      <c r="C3358" s="347">
        <v>110</v>
      </c>
      <c r="D3358" s="340" t="str">
        <f>VLOOKUP(C3358,Plan!A$1:B$65542,2,0)</f>
        <v>Disponible Administración</v>
      </c>
      <c r="E3358" s="341">
        <f>+F3358-G3358</f>
        <v>20000</v>
      </c>
      <c r="F3358" s="396">
        <v>20000</v>
      </c>
      <c r="G3358" s="396">
        <v>0</v>
      </c>
      <c r="H3358" s="347" t="s">
        <v>1618</v>
      </c>
      <c r="I3358" s="347" t="s">
        <v>1303</v>
      </c>
      <c r="K3358" s="370"/>
      <c r="N3358" s="370"/>
    </row>
    <row r="3359" spans="1:14" s="347" customFormat="1" x14ac:dyDescent="0.25">
      <c r="A3359" s="369">
        <f>+A3358</f>
        <v>44372</v>
      </c>
      <c r="B3359" s="347">
        <f>+B3358</f>
        <v>6</v>
      </c>
      <c r="C3359" s="347">
        <v>3110</v>
      </c>
      <c r="D3359" s="340" t="str">
        <f>VLOOKUP(C3359,Plan!A$1:B$65542,2,0)</f>
        <v>Colectas Normales</v>
      </c>
      <c r="E3359" s="396">
        <f>-G3359</f>
        <v>-20000</v>
      </c>
      <c r="F3359" s="396">
        <v>0</v>
      </c>
      <c r="G3359" s="396">
        <f>+F3358</f>
        <v>20000</v>
      </c>
      <c r="H3359" s="347" t="str">
        <f>+H3358</f>
        <v>Colecta Maria Loreto Valenzuelo Arata</v>
      </c>
      <c r="I3359" s="347" t="s">
        <v>1303</v>
      </c>
      <c r="K3359" s="370"/>
      <c r="N3359" s="370"/>
    </row>
    <row r="3360" spans="1:14" s="347" customFormat="1" x14ac:dyDescent="0.25">
      <c r="A3360" s="369"/>
      <c r="E3360" s="396"/>
      <c r="F3360" s="396"/>
      <c r="G3360" s="396"/>
      <c r="K3360" s="370"/>
      <c r="N3360" s="370"/>
    </row>
    <row r="3361" spans="1:14" s="347" customFormat="1" x14ac:dyDescent="0.25">
      <c r="A3361" s="369">
        <v>44372</v>
      </c>
      <c r="B3361" s="340">
        <f>+MONTH(A3361)</f>
        <v>6</v>
      </c>
      <c r="C3361" s="347">
        <v>110</v>
      </c>
      <c r="D3361" s="340" t="str">
        <f>VLOOKUP(C3361,Plan!A$1:B$65542,2,0)</f>
        <v>Disponible Administración</v>
      </c>
      <c r="E3361" s="341">
        <f>+F3361-G3361</f>
        <v>4940</v>
      </c>
      <c r="F3361" s="396">
        <v>4940</v>
      </c>
      <c r="G3361" s="396">
        <v>0</v>
      </c>
      <c r="H3361" s="347" t="s">
        <v>1338</v>
      </c>
      <c r="I3361" s="347" t="s">
        <v>1303</v>
      </c>
      <c r="K3361" s="370"/>
      <c r="N3361" s="370"/>
    </row>
    <row r="3362" spans="1:14" s="347" customFormat="1" x14ac:dyDescent="0.25">
      <c r="A3362" s="369">
        <f>+A3361</f>
        <v>44372</v>
      </c>
      <c r="B3362" s="347">
        <f>+B3361</f>
        <v>6</v>
      </c>
      <c r="C3362" s="347">
        <v>3340</v>
      </c>
      <c r="D3362" s="340" t="str">
        <f>VLOOKUP(C3362,Plan!A$1:B$65542,2,0)</f>
        <v>Misas</v>
      </c>
      <c r="E3362" s="396">
        <f>-G3362</f>
        <v>-4940</v>
      </c>
      <c r="F3362" s="396">
        <v>0</v>
      </c>
      <c r="G3362" s="396">
        <f>+F3361</f>
        <v>4940</v>
      </c>
      <c r="H3362" s="347" t="str">
        <f>+H3361</f>
        <v>Misa DCT</v>
      </c>
      <c r="I3362" s="347" t="s">
        <v>1303</v>
      </c>
      <c r="K3362" s="370"/>
      <c r="N3362" s="370"/>
    </row>
    <row r="3363" spans="1:14" s="347" customFormat="1" x14ac:dyDescent="0.25">
      <c r="A3363" s="369"/>
      <c r="E3363" s="396"/>
      <c r="F3363" s="396"/>
      <c r="G3363" s="396"/>
      <c r="K3363" s="370"/>
      <c r="N3363" s="370"/>
    </row>
    <row r="3364" spans="1:14" s="347" customFormat="1" x14ac:dyDescent="0.25">
      <c r="A3364" s="369">
        <v>44372</v>
      </c>
      <c r="B3364" s="340">
        <f>+MONTH(A3364)</f>
        <v>6</v>
      </c>
      <c r="C3364" s="347">
        <v>110</v>
      </c>
      <c r="D3364" s="340" t="str">
        <f>VLOOKUP(C3364,Plan!A$1:B$65542,2,0)</f>
        <v>Disponible Administración</v>
      </c>
      <c r="E3364" s="341">
        <f>+F3364-G3364</f>
        <v>30000</v>
      </c>
      <c r="F3364" s="396">
        <v>30000</v>
      </c>
      <c r="G3364" s="396">
        <v>0</v>
      </c>
      <c r="H3364" s="347" t="s">
        <v>1619</v>
      </c>
      <c r="I3364" s="347" t="s">
        <v>1303</v>
      </c>
      <c r="K3364" s="370"/>
      <c r="N3364" s="370"/>
    </row>
    <row r="3365" spans="1:14" s="347" customFormat="1" x14ac:dyDescent="0.25">
      <c r="A3365" s="369">
        <f>+A3364</f>
        <v>44372</v>
      </c>
      <c r="B3365" s="347">
        <f>+B3364</f>
        <v>6</v>
      </c>
      <c r="C3365" s="347">
        <v>3450</v>
      </c>
      <c r="D3365" s="340" t="str">
        <f>VLOOKUP(C3365,Plan!A$1:B$65542,2,0)</f>
        <v>Pastoral Social</v>
      </c>
      <c r="E3365" s="396">
        <f>-G3365</f>
        <v>-30000</v>
      </c>
      <c r="F3365" s="396">
        <v>0</v>
      </c>
      <c r="G3365" s="396">
        <f>+F3364</f>
        <v>30000</v>
      </c>
      <c r="H3365" s="347" t="str">
        <f>+H3364</f>
        <v>Canastas Maria Teresa Santelices Puelma</v>
      </c>
      <c r="I3365" s="347" t="s">
        <v>1303</v>
      </c>
      <c r="K3365" s="370"/>
      <c r="N3365" s="370"/>
    </row>
    <row r="3366" spans="1:14" s="347" customFormat="1" x14ac:dyDescent="0.25">
      <c r="A3366" s="369"/>
      <c r="E3366" s="396"/>
      <c r="F3366" s="396"/>
      <c r="G3366" s="396"/>
      <c r="K3366" s="370"/>
      <c r="N3366" s="370"/>
    </row>
    <row r="3367" spans="1:14" s="347" customFormat="1" x14ac:dyDescent="0.25">
      <c r="A3367" s="369">
        <v>44372</v>
      </c>
      <c r="B3367" s="340">
        <f>+MONTH(A3367)</f>
        <v>6</v>
      </c>
      <c r="C3367" s="347">
        <v>110</v>
      </c>
      <c r="D3367" s="340" t="str">
        <f>VLOOKUP(C3367,Plan!A$1:B$65542,2,0)</f>
        <v>Disponible Administración</v>
      </c>
      <c r="E3367" s="341">
        <f>+F3367-G3367</f>
        <v>5000</v>
      </c>
      <c r="F3367" s="396">
        <v>5000</v>
      </c>
      <c r="G3367" s="396">
        <v>0</v>
      </c>
      <c r="H3367" s="347" t="s">
        <v>1151</v>
      </c>
      <c r="I3367" s="347" t="s">
        <v>1303</v>
      </c>
      <c r="K3367" s="370"/>
      <c r="N3367" s="370"/>
    </row>
    <row r="3368" spans="1:14" s="347" customFormat="1" x14ac:dyDescent="0.25">
      <c r="A3368" s="369">
        <f>+A3367</f>
        <v>44372</v>
      </c>
      <c r="B3368" s="347">
        <f>+B3367</f>
        <v>6</v>
      </c>
      <c r="C3368" s="347">
        <v>3110</v>
      </c>
      <c r="D3368" s="340" t="str">
        <f>VLOOKUP(C3368,Plan!A$1:B$65542,2,0)</f>
        <v>Colectas Normales</v>
      </c>
      <c r="E3368" s="396">
        <f>-G3368</f>
        <v>-5000</v>
      </c>
      <c r="F3368" s="396">
        <v>0</v>
      </c>
      <c r="G3368" s="396">
        <f>+F3367</f>
        <v>5000</v>
      </c>
      <c r="H3368" s="347" t="str">
        <f>+H3367</f>
        <v>Colecta Eduardo Boys M</v>
      </c>
      <c r="I3368" s="347" t="s">
        <v>1303</v>
      </c>
      <c r="K3368" s="370"/>
      <c r="N3368" s="370"/>
    </row>
    <row r="3369" spans="1:14" s="347" customFormat="1" x14ac:dyDescent="0.25">
      <c r="A3369" s="369"/>
      <c r="E3369" s="396"/>
      <c r="F3369" s="396"/>
      <c r="G3369" s="396"/>
      <c r="K3369" s="370"/>
      <c r="N3369" s="370"/>
    </row>
    <row r="3370" spans="1:14" s="347" customFormat="1" x14ac:dyDescent="0.25">
      <c r="A3370" s="369">
        <v>44376</v>
      </c>
      <c r="B3370" s="340">
        <f>+MONTH(A3370)</f>
        <v>6</v>
      </c>
      <c r="C3370" s="347">
        <v>110</v>
      </c>
      <c r="D3370" s="340" t="str">
        <f>VLOOKUP(C3370,Plan!A$1:B$65542,2,0)</f>
        <v>Disponible Administración</v>
      </c>
      <c r="E3370" s="341">
        <f>+F3370-G3370</f>
        <v>40000</v>
      </c>
      <c r="F3370" s="396">
        <v>40000</v>
      </c>
      <c r="G3370" s="396">
        <v>0</v>
      </c>
      <c r="H3370" s="347" t="s">
        <v>1384</v>
      </c>
      <c r="I3370" s="347" t="s">
        <v>1303</v>
      </c>
      <c r="K3370" s="370"/>
      <c r="N3370" s="370"/>
    </row>
    <row r="3371" spans="1:14" s="347" customFormat="1" x14ac:dyDescent="0.25">
      <c r="A3371" s="369">
        <f>+A3370</f>
        <v>44376</v>
      </c>
      <c r="B3371" s="347">
        <f>+B3370</f>
        <v>6</v>
      </c>
      <c r="C3371" s="347">
        <v>3110</v>
      </c>
      <c r="D3371" s="340" t="str">
        <f>VLOOKUP(C3371,Plan!A$1:B$65542,2,0)</f>
        <v>Colectas Normales</v>
      </c>
      <c r="E3371" s="396">
        <f>-G3371</f>
        <v>-40000</v>
      </c>
      <c r="F3371" s="396">
        <v>0</v>
      </c>
      <c r="G3371" s="396">
        <f>+F3370</f>
        <v>40000</v>
      </c>
      <c r="H3371" s="347" t="str">
        <f>+H3370</f>
        <v>Colecta Marcio Almeida Dos Santos</v>
      </c>
      <c r="I3371" s="347" t="s">
        <v>1303</v>
      </c>
      <c r="K3371" s="370"/>
      <c r="N3371" s="370"/>
    </row>
    <row r="3372" spans="1:14" s="347" customFormat="1" x14ac:dyDescent="0.25">
      <c r="A3372" s="369"/>
      <c r="E3372" s="396"/>
      <c r="F3372" s="396"/>
      <c r="G3372" s="396"/>
      <c r="K3372" s="370"/>
      <c r="N3372" s="370"/>
    </row>
    <row r="3373" spans="1:14" s="347" customFormat="1" x14ac:dyDescent="0.25">
      <c r="A3373" s="369">
        <v>44376</v>
      </c>
      <c r="B3373" s="340">
        <f>+MONTH(A3373)</f>
        <v>6</v>
      </c>
      <c r="C3373" s="347">
        <v>110</v>
      </c>
      <c r="D3373" s="340" t="str">
        <f>VLOOKUP(C3373,Plan!A$1:B$65542,2,0)</f>
        <v>Disponible Administración</v>
      </c>
      <c r="E3373" s="341">
        <f>+F3373-G3373</f>
        <v>20000</v>
      </c>
      <c r="F3373" s="396">
        <v>20000</v>
      </c>
      <c r="G3373" s="396">
        <v>0</v>
      </c>
      <c r="H3373" s="347" t="s">
        <v>1598</v>
      </c>
      <c r="I3373" s="347" t="s">
        <v>1303</v>
      </c>
      <c r="K3373" s="370"/>
      <c r="N3373" s="370"/>
    </row>
    <row r="3374" spans="1:14" s="347" customFormat="1" x14ac:dyDescent="0.25">
      <c r="A3374" s="369">
        <f>+A3373</f>
        <v>44376</v>
      </c>
      <c r="B3374" s="347">
        <f>+B3373</f>
        <v>6</v>
      </c>
      <c r="C3374" s="347">
        <v>3450</v>
      </c>
      <c r="D3374" s="340" t="str">
        <f>VLOOKUP(C3374,Plan!A$1:B$65542,2,0)</f>
        <v>Pastoral Social</v>
      </c>
      <c r="E3374" s="396">
        <f>-G3374</f>
        <v>-20000</v>
      </c>
      <c r="F3374" s="396">
        <v>0</v>
      </c>
      <c r="G3374" s="396">
        <f>+F3373</f>
        <v>20000</v>
      </c>
      <c r="H3374" s="347" t="str">
        <f>+H3373</f>
        <v>Canastas Sonia Andrea Varas Mujica</v>
      </c>
      <c r="I3374" s="347" t="s">
        <v>1303</v>
      </c>
      <c r="K3374" s="370"/>
      <c r="N3374" s="370"/>
    </row>
    <row r="3375" spans="1:14" s="347" customFormat="1" x14ac:dyDescent="0.25">
      <c r="A3375" s="369"/>
      <c r="E3375" s="396"/>
      <c r="F3375" s="396"/>
      <c r="G3375" s="396"/>
      <c r="K3375" s="370"/>
      <c r="N3375" s="370"/>
    </row>
    <row r="3376" spans="1:14" s="347" customFormat="1" x14ac:dyDescent="0.25">
      <c r="A3376" s="369">
        <v>44376</v>
      </c>
      <c r="B3376" s="340">
        <f>+MONTH(A3376)</f>
        <v>6</v>
      </c>
      <c r="C3376" s="347">
        <v>110</v>
      </c>
      <c r="D3376" s="340" t="str">
        <f>VLOOKUP(C3376,Plan!A$1:B$65542,2,0)</f>
        <v>Disponible Administración</v>
      </c>
      <c r="E3376" s="341">
        <f>+F3376-G3376</f>
        <v>80000</v>
      </c>
      <c r="F3376" s="396">
        <v>80000</v>
      </c>
      <c r="G3376" s="396">
        <v>0</v>
      </c>
      <c r="H3376" s="347" t="s">
        <v>1620</v>
      </c>
      <c r="I3376" s="347" t="s">
        <v>1303</v>
      </c>
      <c r="K3376" s="370"/>
      <c r="N3376" s="370"/>
    </row>
    <row r="3377" spans="1:14" s="347" customFormat="1" x14ac:dyDescent="0.25">
      <c r="A3377" s="369">
        <f>+A3376</f>
        <v>44376</v>
      </c>
      <c r="B3377" s="347">
        <f>+B3376</f>
        <v>6</v>
      </c>
      <c r="C3377" s="347">
        <v>3450</v>
      </c>
      <c r="D3377" s="340" t="str">
        <f>VLOOKUP(C3377,Plan!A$1:B$65542,2,0)</f>
        <v>Pastoral Social</v>
      </c>
      <c r="E3377" s="396">
        <f>-G3377</f>
        <v>-80000</v>
      </c>
      <c r="F3377" s="396">
        <v>0</v>
      </c>
      <c r="G3377" s="396">
        <f>+F3376</f>
        <v>80000</v>
      </c>
      <c r="H3377" s="347" t="str">
        <f>+H3376</f>
        <v>Canastas Carolina Hernandez Bustos</v>
      </c>
      <c r="I3377" s="347" t="s">
        <v>1303</v>
      </c>
      <c r="K3377" s="370"/>
      <c r="N3377" s="370"/>
    </row>
    <row r="3378" spans="1:14" s="347" customFormat="1" x14ac:dyDescent="0.25">
      <c r="A3378" s="369"/>
      <c r="E3378" s="396"/>
      <c r="F3378" s="396"/>
      <c r="G3378" s="396"/>
      <c r="K3378" s="370"/>
      <c r="N3378" s="370"/>
    </row>
    <row r="3379" spans="1:14" s="347" customFormat="1" x14ac:dyDescent="0.25">
      <c r="A3379" s="369">
        <v>44376</v>
      </c>
      <c r="B3379" s="340">
        <f>+MONTH(A3379)</f>
        <v>6</v>
      </c>
      <c r="C3379" s="347">
        <v>110</v>
      </c>
      <c r="D3379" s="340" t="str">
        <f>VLOOKUP(C3379,Plan!A$1:B$65542,2,0)</f>
        <v>Disponible Administración</v>
      </c>
      <c r="E3379" s="341">
        <f>+F3379-G3379</f>
        <v>40000</v>
      </c>
      <c r="F3379" s="396">
        <v>40000</v>
      </c>
      <c r="G3379" s="396">
        <v>0</v>
      </c>
      <c r="H3379" s="347" t="s">
        <v>1487</v>
      </c>
      <c r="I3379" s="347" t="s">
        <v>1303</v>
      </c>
      <c r="K3379" s="370"/>
      <c r="N3379" s="370"/>
    </row>
    <row r="3380" spans="1:14" s="347" customFormat="1" x14ac:dyDescent="0.25">
      <c r="A3380" s="369">
        <f>+A3379</f>
        <v>44376</v>
      </c>
      <c r="B3380" s="347">
        <f>+B3379</f>
        <v>6</v>
      </c>
      <c r="C3380" s="347">
        <v>3450</v>
      </c>
      <c r="D3380" s="340" t="str">
        <f>VLOOKUP(C3380,Plan!A$1:B$65542,2,0)</f>
        <v>Pastoral Social</v>
      </c>
      <c r="E3380" s="396">
        <f>-G3380</f>
        <v>-40000</v>
      </c>
      <c r="F3380" s="396">
        <v>0</v>
      </c>
      <c r="G3380" s="396">
        <f>+F3379</f>
        <v>40000</v>
      </c>
      <c r="H3380" s="347" t="str">
        <f>+H3379</f>
        <v>Canastas Marcela Nuñez</v>
      </c>
      <c r="I3380" s="347" t="s">
        <v>1303</v>
      </c>
      <c r="K3380" s="370"/>
      <c r="N3380" s="370"/>
    </row>
    <row r="3381" spans="1:14" s="347" customFormat="1" x14ac:dyDescent="0.25">
      <c r="A3381" s="369"/>
      <c r="E3381" s="396"/>
      <c r="F3381" s="396"/>
      <c r="G3381" s="396"/>
      <c r="K3381" s="370"/>
      <c r="N3381" s="370"/>
    </row>
    <row r="3382" spans="1:14" s="347" customFormat="1" x14ac:dyDescent="0.25">
      <c r="A3382" s="369">
        <v>44376</v>
      </c>
      <c r="B3382" s="340">
        <f>+MONTH(A3382)</f>
        <v>6</v>
      </c>
      <c r="C3382" s="347">
        <v>110</v>
      </c>
      <c r="D3382" s="340" t="str">
        <f>VLOOKUP(C3382,Plan!A$1:B$65542,2,0)</f>
        <v>Disponible Administración</v>
      </c>
      <c r="E3382" s="341">
        <f>+F3382-G3382</f>
        <v>10000</v>
      </c>
      <c r="F3382" s="396">
        <v>10000</v>
      </c>
      <c r="G3382" s="396">
        <v>0</v>
      </c>
      <c r="H3382" s="347" t="s">
        <v>1429</v>
      </c>
      <c r="I3382" s="347" t="s">
        <v>1303</v>
      </c>
      <c r="K3382" s="370"/>
      <c r="N3382" s="370"/>
    </row>
    <row r="3383" spans="1:14" s="347" customFormat="1" x14ac:dyDescent="0.25">
      <c r="A3383" s="369">
        <f>+A3382</f>
        <v>44376</v>
      </c>
      <c r="B3383" s="347">
        <f>+B3382</f>
        <v>6</v>
      </c>
      <c r="C3383" s="347">
        <v>3340</v>
      </c>
      <c r="D3383" s="340" t="str">
        <f>VLOOKUP(C3383,Plan!A$1:B$65542,2,0)</f>
        <v>Misas</v>
      </c>
      <c r="E3383" s="396">
        <f>-G3383</f>
        <v>-10000</v>
      </c>
      <c r="F3383" s="396">
        <v>0</v>
      </c>
      <c r="G3383" s="396">
        <f>+F3382</f>
        <v>10000</v>
      </c>
      <c r="H3383" s="347" t="str">
        <f>+H3382</f>
        <v>Misa Carmen Gloria Rivas Varas</v>
      </c>
      <c r="I3383" s="347" t="s">
        <v>1303</v>
      </c>
      <c r="K3383" s="370"/>
      <c r="N3383" s="370"/>
    </row>
    <row r="3384" spans="1:14" s="347" customFormat="1" x14ac:dyDescent="0.25">
      <c r="A3384" s="369"/>
      <c r="E3384" s="396"/>
      <c r="F3384" s="396"/>
      <c r="G3384" s="396"/>
      <c r="K3384" s="370"/>
      <c r="N3384" s="370"/>
    </row>
    <row r="3385" spans="1:14" s="347" customFormat="1" x14ac:dyDescent="0.25">
      <c r="A3385" s="369">
        <v>44376</v>
      </c>
      <c r="B3385" s="340">
        <f>+MONTH(A3385)</f>
        <v>6</v>
      </c>
      <c r="C3385" s="347">
        <v>110</v>
      </c>
      <c r="D3385" s="340" t="str">
        <f>VLOOKUP(C3385,Plan!A$1:B$65542,2,0)</f>
        <v>Disponible Administración</v>
      </c>
      <c r="E3385" s="341">
        <f>+F3385-G3385</f>
        <v>10000</v>
      </c>
      <c r="F3385" s="396">
        <v>10000</v>
      </c>
      <c r="G3385" s="396">
        <v>0</v>
      </c>
      <c r="H3385" s="347" t="s">
        <v>881</v>
      </c>
      <c r="I3385" s="347" t="s">
        <v>1303</v>
      </c>
      <c r="K3385" s="370"/>
      <c r="N3385" s="370"/>
    </row>
    <row r="3386" spans="1:14" s="347" customFormat="1" x14ac:dyDescent="0.25">
      <c r="A3386" s="369">
        <f>+A3385</f>
        <v>44376</v>
      </c>
      <c r="B3386" s="347">
        <f>+B3385</f>
        <v>6</v>
      </c>
      <c r="C3386" s="347">
        <v>3110</v>
      </c>
      <c r="D3386" s="340" t="str">
        <f>VLOOKUP(C3386,Plan!A$1:B$65542,2,0)</f>
        <v>Colectas Normales</v>
      </c>
      <c r="E3386" s="396">
        <f>-G3386</f>
        <v>-10000</v>
      </c>
      <c r="F3386" s="396">
        <v>0</v>
      </c>
      <c r="G3386" s="396">
        <f>+F3385</f>
        <v>10000</v>
      </c>
      <c r="H3386" s="347" t="str">
        <f>+H3385</f>
        <v>Colecta Rafael Marin Jordan</v>
      </c>
      <c r="I3386" s="347" t="s">
        <v>1303</v>
      </c>
      <c r="K3386" s="370"/>
      <c r="N3386" s="370"/>
    </row>
    <row r="3387" spans="1:14" s="347" customFormat="1" x14ac:dyDescent="0.25">
      <c r="A3387" s="369"/>
      <c r="E3387" s="396"/>
      <c r="F3387" s="396"/>
      <c r="G3387" s="396"/>
      <c r="K3387" s="370"/>
      <c r="N3387" s="370"/>
    </row>
    <row r="3388" spans="1:14" s="347" customFormat="1" x14ac:dyDescent="0.25">
      <c r="A3388" s="369">
        <v>44376</v>
      </c>
      <c r="B3388" s="340">
        <f>+MONTH(A3388)</f>
        <v>6</v>
      </c>
      <c r="C3388" s="347">
        <v>110</v>
      </c>
      <c r="D3388" s="340" t="str">
        <f>VLOOKUP(C3388,Plan!A$1:B$65542,2,0)</f>
        <v>Disponible Administración</v>
      </c>
      <c r="E3388" s="341">
        <f>+F3388-G3388</f>
        <v>3000</v>
      </c>
      <c r="F3388" s="396">
        <v>3000</v>
      </c>
      <c r="G3388" s="396">
        <v>0</v>
      </c>
      <c r="H3388" s="347" t="s">
        <v>915</v>
      </c>
      <c r="I3388" s="347" t="s">
        <v>1303</v>
      </c>
      <c r="K3388" s="370"/>
      <c r="N3388" s="370"/>
    </row>
    <row r="3389" spans="1:14" s="347" customFormat="1" x14ac:dyDescent="0.25">
      <c r="A3389" s="369">
        <f>+A3388</f>
        <v>44376</v>
      </c>
      <c r="B3389" s="347">
        <f>+B3388</f>
        <v>6</v>
      </c>
      <c r="C3389" s="347">
        <v>3110</v>
      </c>
      <c r="D3389" s="340" t="str">
        <f>VLOOKUP(C3389,Plan!A$1:B$65542,2,0)</f>
        <v>Colectas Normales</v>
      </c>
      <c r="E3389" s="396">
        <f>-G3389</f>
        <v>-3000</v>
      </c>
      <c r="F3389" s="396">
        <v>0</v>
      </c>
      <c r="G3389" s="396">
        <f>+F3388</f>
        <v>3000</v>
      </c>
      <c r="H3389" s="347" t="str">
        <f>+H3388</f>
        <v>Colecta Jose Perez de Castro</v>
      </c>
      <c r="I3389" s="347" t="s">
        <v>1303</v>
      </c>
      <c r="K3389" s="370"/>
      <c r="N3389" s="370"/>
    </row>
    <row r="3390" spans="1:14" s="347" customFormat="1" x14ac:dyDescent="0.25">
      <c r="A3390" s="369"/>
      <c r="E3390" s="396"/>
      <c r="F3390" s="396"/>
      <c r="G3390" s="396"/>
      <c r="K3390" s="370"/>
      <c r="N3390" s="370"/>
    </row>
    <row r="3391" spans="1:14" s="347" customFormat="1" x14ac:dyDescent="0.25">
      <c r="A3391" s="369">
        <v>44376</v>
      </c>
      <c r="B3391" s="340">
        <f>+MONTH(A3391)</f>
        <v>6</v>
      </c>
      <c r="C3391" s="347">
        <v>110</v>
      </c>
      <c r="D3391" s="340" t="str">
        <f>VLOOKUP(C3391,Plan!A$1:B$65542,2,0)</f>
        <v>Disponible Administración</v>
      </c>
      <c r="E3391" s="341">
        <f>+F3391-G3391</f>
        <v>12000</v>
      </c>
      <c r="F3391" s="396">
        <v>12000</v>
      </c>
      <c r="G3391" s="396">
        <v>0</v>
      </c>
      <c r="H3391" s="347" t="s">
        <v>889</v>
      </c>
      <c r="I3391" s="347" t="s">
        <v>1303</v>
      </c>
      <c r="K3391" s="370"/>
      <c r="N3391" s="370"/>
    </row>
    <row r="3392" spans="1:14" s="347" customFormat="1" x14ac:dyDescent="0.25">
      <c r="A3392" s="369">
        <f>+A3391</f>
        <v>44376</v>
      </c>
      <c r="B3392" s="347">
        <f>+B3391</f>
        <v>6</v>
      </c>
      <c r="C3392" s="347">
        <v>3110</v>
      </c>
      <c r="D3392" s="340" t="str">
        <f>VLOOKUP(C3392,Plan!A$1:B$65542,2,0)</f>
        <v>Colectas Normales</v>
      </c>
      <c r="E3392" s="396">
        <f>-G3392</f>
        <v>-12000</v>
      </c>
      <c r="F3392" s="396">
        <v>0</v>
      </c>
      <c r="G3392" s="396">
        <f>+F3391</f>
        <v>12000</v>
      </c>
      <c r="H3392" s="347" t="str">
        <f>+H3391</f>
        <v>Colecta Keryma Felmer Echeverria</v>
      </c>
      <c r="I3392" s="347" t="s">
        <v>1303</v>
      </c>
      <c r="K3392" s="370"/>
      <c r="N3392" s="370"/>
    </row>
    <row r="3393" spans="1:14" s="347" customFormat="1" x14ac:dyDescent="0.25">
      <c r="A3393" s="369"/>
      <c r="E3393" s="396"/>
      <c r="F3393" s="396"/>
      <c r="G3393" s="396"/>
      <c r="K3393" s="370"/>
      <c r="N3393" s="370"/>
    </row>
    <row r="3394" spans="1:14" s="347" customFormat="1" x14ac:dyDescent="0.25">
      <c r="A3394" s="369">
        <v>44376</v>
      </c>
      <c r="B3394" s="340">
        <f>+MONTH(A3394)</f>
        <v>6</v>
      </c>
      <c r="C3394" s="347">
        <v>110</v>
      </c>
      <c r="D3394" s="340" t="str">
        <f>VLOOKUP(C3394,Plan!A$1:B$65542,2,0)</f>
        <v>Disponible Administración</v>
      </c>
      <c r="E3394" s="341">
        <f>+F3394-G3394</f>
        <v>50000</v>
      </c>
      <c r="F3394" s="396">
        <v>50000</v>
      </c>
      <c r="G3394" s="396">
        <v>0</v>
      </c>
      <c r="H3394" s="347" t="s">
        <v>1621</v>
      </c>
      <c r="I3394" s="347" t="s">
        <v>1303</v>
      </c>
      <c r="K3394" s="370"/>
      <c r="N3394" s="370"/>
    </row>
    <row r="3395" spans="1:14" s="347" customFormat="1" x14ac:dyDescent="0.25">
      <c r="A3395" s="369">
        <f>+A3394</f>
        <v>44376</v>
      </c>
      <c r="B3395" s="347">
        <f>+B3394</f>
        <v>6</v>
      </c>
      <c r="C3395" s="347">
        <v>3450</v>
      </c>
      <c r="D3395" s="340" t="str">
        <f>VLOOKUP(C3395,Plan!A$1:B$65542,2,0)</f>
        <v>Pastoral Social</v>
      </c>
      <c r="E3395" s="396">
        <f>-G3395</f>
        <v>-50000</v>
      </c>
      <c r="F3395" s="396">
        <v>0</v>
      </c>
      <c r="G3395" s="396">
        <f>+F3394</f>
        <v>50000</v>
      </c>
      <c r="H3395" s="347" t="str">
        <f>+H3394</f>
        <v>Canastas Keryma Felmer Echeverria</v>
      </c>
      <c r="I3395" s="347" t="s">
        <v>1303</v>
      </c>
      <c r="K3395" s="370"/>
      <c r="N3395" s="370"/>
    </row>
    <row r="3396" spans="1:14" s="347" customFormat="1" x14ac:dyDescent="0.25">
      <c r="A3396" s="369"/>
      <c r="E3396" s="396"/>
      <c r="F3396" s="396"/>
      <c r="G3396" s="396"/>
      <c r="K3396" s="370"/>
      <c r="N3396" s="370"/>
    </row>
    <row r="3397" spans="1:14" s="347" customFormat="1" x14ac:dyDescent="0.25">
      <c r="A3397" s="369">
        <v>44376</v>
      </c>
      <c r="B3397" s="340">
        <f>+MONTH(A3397)</f>
        <v>6</v>
      </c>
      <c r="C3397" s="347">
        <v>110</v>
      </c>
      <c r="D3397" s="340" t="str">
        <f>VLOOKUP(C3397,Plan!A$1:B$65542,2,0)</f>
        <v>Disponible Administración</v>
      </c>
      <c r="E3397" s="341">
        <f>+F3397-G3397</f>
        <v>20000</v>
      </c>
      <c r="F3397" s="396">
        <v>20000</v>
      </c>
      <c r="G3397" s="396">
        <v>0</v>
      </c>
      <c r="H3397" s="347" t="s">
        <v>1622</v>
      </c>
      <c r="I3397" s="347" t="s">
        <v>1303</v>
      </c>
      <c r="K3397" s="370"/>
      <c r="N3397" s="370"/>
    </row>
    <row r="3398" spans="1:14" s="347" customFormat="1" x14ac:dyDescent="0.25">
      <c r="A3398" s="369">
        <f>+A3397</f>
        <v>44376</v>
      </c>
      <c r="B3398" s="347">
        <f>+B3397</f>
        <v>6</v>
      </c>
      <c r="C3398" s="347">
        <v>3450</v>
      </c>
      <c r="D3398" s="340" t="str">
        <f>VLOOKUP(C3398,Plan!A$1:B$65542,2,0)</f>
        <v>Pastoral Social</v>
      </c>
      <c r="E3398" s="396">
        <f>-G3398</f>
        <v>-20000</v>
      </c>
      <c r="F3398" s="396">
        <v>0</v>
      </c>
      <c r="G3398" s="396">
        <f>+F3397</f>
        <v>20000</v>
      </c>
      <c r="H3398" s="347" t="str">
        <f>+H3397</f>
        <v>Canastas Constanza Illanes</v>
      </c>
      <c r="I3398" s="347" t="s">
        <v>1303</v>
      </c>
      <c r="K3398" s="370"/>
      <c r="N3398" s="370"/>
    </row>
    <row r="3399" spans="1:14" s="347" customFormat="1" x14ac:dyDescent="0.25">
      <c r="A3399" s="369"/>
      <c r="E3399" s="396"/>
      <c r="F3399" s="396"/>
      <c r="G3399" s="396"/>
      <c r="K3399" s="370"/>
      <c r="N3399" s="370"/>
    </row>
    <row r="3400" spans="1:14" s="347" customFormat="1" x14ac:dyDescent="0.25">
      <c r="A3400" s="369">
        <v>44376</v>
      </c>
      <c r="B3400" s="340">
        <f>+MONTH(A3400)</f>
        <v>6</v>
      </c>
      <c r="C3400" s="347">
        <v>110</v>
      </c>
      <c r="D3400" s="340" t="str">
        <f>VLOOKUP(C3400,Plan!A$1:B$65542,2,0)</f>
        <v>Disponible Administración</v>
      </c>
      <c r="E3400" s="341">
        <f>+F3400-G3400</f>
        <v>10000</v>
      </c>
      <c r="F3400" s="396">
        <v>10000</v>
      </c>
      <c r="G3400" s="396">
        <v>0</v>
      </c>
      <c r="H3400" s="347" t="s">
        <v>1623</v>
      </c>
      <c r="I3400" s="347" t="s">
        <v>1303</v>
      </c>
      <c r="K3400" s="370"/>
      <c r="N3400" s="370"/>
    </row>
    <row r="3401" spans="1:14" s="347" customFormat="1" x14ac:dyDescent="0.25">
      <c r="A3401" s="369">
        <f>+A3400</f>
        <v>44376</v>
      </c>
      <c r="B3401" s="347">
        <f>+B3400</f>
        <v>6</v>
      </c>
      <c r="C3401" s="347">
        <v>3110</v>
      </c>
      <c r="D3401" s="340" t="str">
        <f>VLOOKUP(C3401,Plan!A$1:B$65542,2,0)</f>
        <v>Colectas Normales</v>
      </c>
      <c r="E3401" s="396">
        <f>-G3401</f>
        <v>-10000</v>
      </c>
      <c r="F3401" s="396">
        <v>0</v>
      </c>
      <c r="G3401" s="396">
        <f>+F3400</f>
        <v>10000</v>
      </c>
      <c r="H3401" s="347" t="str">
        <f>+H3400</f>
        <v>Colecta Alicia Vial Gomez</v>
      </c>
      <c r="I3401" s="347" t="s">
        <v>1303</v>
      </c>
      <c r="K3401" s="370"/>
      <c r="N3401" s="370"/>
    </row>
    <row r="3402" spans="1:14" s="347" customFormat="1" x14ac:dyDescent="0.25">
      <c r="A3402" s="369"/>
      <c r="E3402" s="396"/>
      <c r="F3402" s="396"/>
      <c r="G3402" s="396"/>
      <c r="K3402" s="370"/>
      <c r="N3402" s="370"/>
    </row>
    <row r="3403" spans="1:14" s="347" customFormat="1" x14ac:dyDescent="0.25">
      <c r="A3403" s="369">
        <v>44376</v>
      </c>
      <c r="B3403" s="340">
        <f>+MONTH(A3403)</f>
        <v>6</v>
      </c>
      <c r="C3403" s="347">
        <v>110</v>
      </c>
      <c r="D3403" s="340" t="str">
        <f>VLOOKUP(C3403,Plan!A$1:B$65542,2,0)</f>
        <v>Disponible Administración</v>
      </c>
      <c r="E3403" s="341">
        <f>+F3403-G3403</f>
        <v>50000</v>
      </c>
      <c r="F3403" s="396">
        <v>50000</v>
      </c>
      <c r="G3403" s="396">
        <v>0</v>
      </c>
      <c r="H3403" s="347" t="s">
        <v>1568</v>
      </c>
      <c r="I3403" s="347" t="s">
        <v>1303</v>
      </c>
      <c r="K3403" s="370"/>
      <c r="N3403" s="370"/>
    </row>
    <row r="3404" spans="1:14" s="347" customFormat="1" x14ac:dyDescent="0.25">
      <c r="A3404" s="369">
        <f>+A3403</f>
        <v>44376</v>
      </c>
      <c r="B3404" s="347">
        <f>+B3403</f>
        <v>6</v>
      </c>
      <c r="C3404" s="347">
        <v>215</v>
      </c>
      <c r="D3404" s="340" t="str">
        <f>VLOOKUP(C3404,Plan!A$1:B$65542,2,0)</f>
        <v>Cuenta por Pagar a Cali</v>
      </c>
      <c r="E3404" s="396">
        <f>-G3404</f>
        <v>-50000</v>
      </c>
      <c r="F3404" s="396">
        <v>0</v>
      </c>
      <c r="G3404" s="396">
        <f>+F3403</f>
        <v>50000</v>
      </c>
      <c r="H3404" s="347" t="str">
        <f>+H3403</f>
        <v>Hilda Dougnac Rodriguez / Azul</v>
      </c>
      <c r="I3404" s="347" t="s">
        <v>1303</v>
      </c>
      <c r="K3404" s="370"/>
      <c r="N3404" s="370"/>
    </row>
    <row r="3405" spans="1:14" s="347" customFormat="1" x14ac:dyDescent="0.25">
      <c r="A3405" s="369"/>
      <c r="E3405" s="396"/>
      <c r="F3405" s="396"/>
      <c r="G3405" s="396"/>
      <c r="K3405" s="370"/>
      <c r="N3405" s="370"/>
    </row>
    <row r="3406" spans="1:14" s="347" customFormat="1" x14ac:dyDescent="0.25">
      <c r="A3406" s="369">
        <v>44376</v>
      </c>
      <c r="B3406" s="340">
        <f>+MONTH(A3406)</f>
        <v>6</v>
      </c>
      <c r="C3406" s="347">
        <v>110</v>
      </c>
      <c r="D3406" s="340" t="str">
        <f>VLOOKUP(C3406,Plan!A$1:B$65542,2,0)</f>
        <v>Disponible Administración</v>
      </c>
      <c r="E3406" s="341">
        <f>+F3406-G3406</f>
        <v>20000</v>
      </c>
      <c r="F3406" s="396">
        <v>20000</v>
      </c>
      <c r="G3406" s="396">
        <v>0</v>
      </c>
      <c r="H3406" s="347" t="s">
        <v>1197</v>
      </c>
      <c r="I3406" s="347" t="s">
        <v>1303</v>
      </c>
      <c r="K3406" s="370"/>
      <c r="N3406" s="370"/>
    </row>
    <row r="3407" spans="1:14" s="347" customFormat="1" x14ac:dyDescent="0.25">
      <c r="A3407" s="369">
        <f>+A3406</f>
        <v>44376</v>
      </c>
      <c r="B3407" s="347">
        <f>+B3406</f>
        <v>6</v>
      </c>
      <c r="C3407" s="347">
        <v>3110</v>
      </c>
      <c r="D3407" s="340" t="str">
        <f>VLOOKUP(C3407,Plan!A$1:B$65542,2,0)</f>
        <v>Colectas Normales</v>
      </c>
      <c r="E3407" s="396">
        <f>-G3407</f>
        <v>-20000</v>
      </c>
      <c r="F3407" s="396">
        <v>0</v>
      </c>
      <c r="G3407" s="396">
        <f>+F3406</f>
        <v>20000</v>
      </c>
      <c r="H3407" s="347" t="str">
        <f>+H3406</f>
        <v>Colecta Maria Isabel Grez Armanet</v>
      </c>
      <c r="I3407" s="347" t="s">
        <v>1303</v>
      </c>
      <c r="K3407" s="370"/>
      <c r="N3407" s="370"/>
    </row>
    <row r="3408" spans="1:14" s="347" customFormat="1" x14ac:dyDescent="0.25">
      <c r="A3408" s="369"/>
      <c r="E3408" s="396"/>
      <c r="F3408" s="396"/>
      <c r="G3408" s="396"/>
      <c r="K3408" s="370"/>
      <c r="N3408" s="370"/>
    </row>
    <row r="3409" spans="1:14" s="347" customFormat="1" x14ac:dyDescent="0.25">
      <c r="A3409" s="369">
        <v>44376</v>
      </c>
      <c r="B3409" s="340">
        <f>+MONTH(A3409)</f>
        <v>6</v>
      </c>
      <c r="C3409" s="347">
        <v>110</v>
      </c>
      <c r="D3409" s="340" t="str">
        <f>VLOOKUP(C3409,Plan!A$1:B$65542,2,0)</f>
        <v>Disponible Administración</v>
      </c>
      <c r="E3409" s="341">
        <f>+F3409-G3409</f>
        <v>5000</v>
      </c>
      <c r="F3409" s="396">
        <v>5000</v>
      </c>
      <c r="G3409" s="396">
        <v>0</v>
      </c>
      <c r="H3409" s="347" t="s">
        <v>899</v>
      </c>
      <c r="I3409" s="347" t="s">
        <v>1303</v>
      </c>
      <c r="K3409" s="370"/>
      <c r="N3409" s="370"/>
    </row>
    <row r="3410" spans="1:14" s="347" customFormat="1" x14ac:dyDescent="0.25">
      <c r="A3410" s="369">
        <f>+A3409</f>
        <v>44376</v>
      </c>
      <c r="B3410" s="347">
        <f>+B3409</f>
        <v>6</v>
      </c>
      <c r="C3410" s="347">
        <v>3110</v>
      </c>
      <c r="D3410" s="340" t="str">
        <f>VLOOKUP(C3410,Plan!A$1:B$65542,2,0)</f>
        <v>Colectas Normales</v>
      </c>
      <c r="E3410" s="396">
        <f>-G3410</f>
        <v>-5000</v>
      </c>
      <c r="F3410" s="396">
        <v>0</v>
      </c>
      <c r="G3410" s="396">
        <f>+F3409</f>
        <v>5000</v>
      </c>
      <c r="H3410" s="347" t="str">
        <f>+H3409</f>
        <v>Colecta Carlos Anwandter</v>
      </c>
      <c r="I3410" s="347" t="s">
        <v>1303</v>
      </c>
      <c r="K3410" s="370"/>
      <c r="N3410" s="370"/>
    </row>
    <row r="3411" spans="1:14" s="347" customFormat="1" x14ac:dyDescent="0.25">
      <c r="A3411" s="369"/>
      <c r="E3411" s="396"/>
      <c r="F3411" s="396"/>
      <c r="G3411" s="396"/>
      <c r="K3411" s="370"/>
      <c r="N3411" s="370"/>
    </row>
    <row r="3412" spans="1:14" s="347" customFormat="1" x14ac:dyDescent="0.25">
      <c r="A3412" s="369">
        <v>44376</v>
      </c>
      <c r="B3412" s="340">
        <f>+MONTH(A3412)</f>
        <v>6</v>
      </c>
      <c r="C3412" s="347">
        <v>110</v>
      </c>
      <c r="D3412" s="340" t="str">
        <f>VLOOKUP(C3412,Plan!A$1:B$65542,2,0)</f>
        <v>Disponible Administración</v>
      </c>
      <c r="E3412" s="341">
        <f>+F3412-G3412</f>
        <v>5000</v>
      </c>
      <c r="F3412" s="396">
        <v>5000</v>
      </c>
      <c r="G3412" s="396">
        <v>0</v>
      </c>
      <c r="H3412" s="347" t="s">
        <v>1108</v>
      </c>
      <c r="I3412" s="347" t="s">
        <v>1303</v>
      </c>
      <c r="K3412" s="370"/>
      <c r="N3412" s="370"/>
    </row>
    <row r="3413" spans="1:14" s="347" customFormat="1" x14ac:dyDescent="0.25">
      <c r="A3413" s="369">
        <f>+A3412</f>
        <v>44376</v>
      </c>
      <c r="B3413" s="347">
        <f>+B3412</f>
        <v>6</v>
      </c>
      <c r="C3413" s="347">
        <v>3110</v>
      </c>
      <c r="D3413" s="340" t="str">
        <f>VLOOKUP(C3413,Plan!A$1:B$65542,2,0)</f>
        <v>Colectas Normales</v>
      </c>
      <c r="E3413" s="396">
        <f>-G3413</f>
        <v>-5000</v>
      </c>
      <c r="F3413" s="396">
        <v>0</v>
      </c>
      <c r="G3413" s="396">
        <f>+F3412</f>
        <v>5000</v>
      </c>
      <c r="H3413" s="347" t="str">
        <f>+H3412</f>
        <v>Colecta Ricardo Fernandez</v>
      </c>
      <c r="I3413" s="347" t="s">
        <v>1303</v>
      </c>
      <c r="K3413" s="370"/>
      <c r="N3413" s="370"/>
    </row>
    <row r="3414" spans="1:14" s="347" customFormat="1" x14ac:dyDescent="0.25">
      <c r="A3414" s="369"/>
      <c r="E3414" s="396"/>
      <c r="F3414" s="396"/>
      <c r="G3414" s="396"/>
      <c r="K3414" s="370"/>
      <c r="N3414" s="370"/>
    </row>
    <row r="3415" spans="1:14" s="347" customFormat="1" x14ac:dyDescent="0.25">
      <c r="A3415" s="369">
        <v>44376</v>
      </c>
      <c r="B3415" s="340">
        <f>+MONTH(A3415)</f>
        <v>6</v>
      </c>
      <c r="C3415" s="347">
        <v>110</v>
      </c>
      <c r="D3415" s="340" t="str">
        <f>VLOOKUP(C3415,Plan!A$1:B$65542,2,0)</f>
        <v>Disponible Administración</v>
      </c>
      <c r="E3415" s="341">
        <f>+F3415-G3415</f>
        <v>2000</v>
      </c>
      <c r="F3415" s="396">
        <v>2000</v>
      </c>
      <c r="G3415" s="396">
        <v>0</v>
      </c>
      <c r="H3415" s="347" t="s">
        <v>1216</v>
      </c>
      <c r="I3415" s="347" t="s">
        <v>1303</v>
      </c>
      <c r="K3415" s="370"/>
      <c r="N3415" s="370"/>
    </row>
    <row r="3416" spans="1:14" s="347" customFormat="1" x14ac:dyDescent="0.25">
      <c r="A3416" s="369">
        <f>+A3415</f>
        <v>44376</v>
      </c>
      <c r="B3416" s="347">
        <f>+B3415</f>
        <v>6</v>
      </c>
      <c r="C3416" s="347">
        <v>3110</v>
      </c>
      <c r="D3416" s="340" t="str">
        <f>VLOOKUP(C3416,Plan!A$1:B$65542,2,0)</f>
        <v>Colectas Normales</v>
      </c>
      <c r="E3416" s="396">
        <f>-G3416</f>
        <v>-2000</v>
      </c>
      <c r="F3416" s="396">
        <v>0</v>
      </c>
      <c r="G3416" s="396">
        <f>+F3415</f>
        <v>2000</v>
      </c>
      <c r="H3416" s="347" t="str">
        <f>+H3415</f>
        <v>Colecta Trinidad Barriga Cruzat</v>
      </c>
      <c r="I3416" s="347" t="s">
        <v>1303</v>
      </c>
      <c r="K3416" s="370"/>
      <c r="N3416" s="370"/>
    </row>
    <row r="3417" spans="1:14" s="347" customFormat="1" x14ac:dyDescent="0.25">
      <c r="K3417" s="370"/>
      <c r="N3417" s="370"/>
    </row>
    <row r="3418" spans="1:14" s="347" customFormat="1" x14ac:dyDescent="0.25">
      <c r="A3418" s="369">
        <v>44376</v>
      </c>
      <c r="B3418" s="340">
        <f>+MONTH(A3418)</f>
        <v>6</v>
      </c>
      <c r="C3418" s="347">
        <v>110</v>
      </c>
      <c r="D3418" s="340" t="str">
        <f>VLOOKUP(C3418,Plan!A$1:B$65542,2,0)</f>
        <v>Disponible Administración</v>
      </c>
      <c r="E3418" s="341">
        <f>+F3418-G3418</f>
        <v>60000</v>
      </c>
      <c r="F3418" s="396">
        <v>60000</v>
      </c>
      <c r="G3418" s="396">
        <v>0</v>
      </c>
      <c r="H3418" s="347" t="s">
        <v>1624</v>
      </c>
      <c r="I3418" s="347" t="s">
        <v>1303</v>
      </c>
      <c r="K3418" s="370"/>
      <c r="N3418" s="370"/>
    </row>
    <row r="3419" spans="1:14" s="347" customFormat="1" x14ac:dyDescent="0.25">
      <c r="A3419" s="369">
        <f>+A3418</f>
        <v>44376</v>
      </c>
      <c r="B3419" s="347">
        <f>+B3418</f>
        <v>6</v>
      </c>
      <c r="C3419" s="347">
        <v>3450</v>
      </c>
      <c r="D3419" s="340" t="str">
        <f>VLOOKUP(C3419,Plan!A$1:B$65542,2,0)</f>
        <v>Pastoral Social</v>
      </c>
      <c r="E3419" s="396">
        <f>-G3419</f>
        <v>-60000</v>
      </c>
      <c r="F3419" s="396">
        <v>0</v>
      </c>
      <c r="G3419" s="396">
        <f>+F3418</f>
        <v>60000</v>
      </c>
      <c r="H3419" s="347" t="str">
        <f>+H3418</f>
        <v>Canastas Jaime Carafi Melero</v>
      </c>
      <c r="I3419" s="347" t="s">
        <v>1303</v>
      </c>
      <c r="K3419" s="370"/>
      <c r="N3419" s="370"/>
    </row>
    <row r="3420" spans="1:14" s="347" customFormat="1" x14ac:dyDescent="0.25">
      <c r="A3420" s="369"/>
      <c r="E3420" s="396"/>
      <c r="F3420" s="396"/>
      <c r="G3420" s="396"/>
      <c r="K3420" s="370"/>
      <c r="N3420" s="370"/>
    </row>
    <row r="3421" spans="1:14" s="347" customFormat="1" x14ac:dyDescent="0.25">
      <c r="A3421" s="369">
        <v>44376</v>
      </c>
      <c r="B3421" s="340">
        <f>+MONTH(A3421)</f>
        <v>6</v>
      </c>
      <c r="C3421" s="347">
        <v>110</v>
      </c>
      <c r="D3421" s="340" t="str">
        <f>VLOOKUP(C3421,Plan!A$1:B$65542,2,0)</f>
        <v>Disponible Administración</v>
      </c>
      <c r="E3421" s="341">
        <f>+F3421-G3421</f>
        <v>355000</v>
      </c>
      <c r="F3421" s="396">
        <v>355000</v>
      </c>
      <c r="G3421" s="396">
        <v>0</v>
      </c>
      <c r="H3421" s="347" t="s">
        <v>1625</v>
      </c>
      <c r="I3421" s="347" t="s">
        <v>1303</v>
      </c>
      <c r="K3421" s="370"/>
      <c r="N3421" s="370"/>
    </row>
    <row r="3422" spans="1:14" s="347" customFormat="1" x14ac:dyDescent="0.25">
      <c r="A3422" s="369">
        <f>+A3421</f>
        <v>44376</v>
      </c>
      <c r="B3422" s="347">
        <f>+B3421</f>
        <v>6</v>
      </c>
      <c r="C3422" s="347">
        <v>3360</v>
      </c>
      <c r="D3422" s="340" t="str">
        <f>VLOOKUP(C3422,Plan!A$1:B$65542,2,0)</f>
        <v>Otros</v>
      </c>
      <c r="E3422" s="396">
        <f>-G3422</f>
        <v>-355000</v>
      </c>
      <c r="F3422" s="396">
        <v>0</v>
      </c>
      <c r="G3422" s="396">
        <f>+F3421</f>
        <v>355000</v>
      </c>
      <c r="H3422" s="347" t="str">
        <f>+H3421</f>
        <v>Transferencia ERROR Francisco Guimpert</v>
      </c>
      <c r="I3422" s="347" t="s">
        <v>1303</v>
      </c>
      <c r="K3422" s="370"/>
      <c r="N3422" s="370"/>
    </row>
    <row r="3423" spans="1:14" s="347" customFormat="1" x14ac:dyDescent="0.25">
      <c r="A3423" s="369"/>
      <c r="E3423" s="396"/>
      <c r="F3423" s="396"/>
      <c r="G3423" s="396"/>
      <c r="K3423" s="370"/>
      <c r="N3423" s="370"/>
    </row>
    <row r="3424" spans="1:14" s="347" customFormat="1" x14ac:dyDescent="0.25">
      <c r="A3424" s="369">
        <v>44376</v>
      </c>
      <c r="B3424" s="340">
        <f>+MONTH(A3424)</f>
        <v>6</v>
      </c>
      <c r="C3424" s="347">
        <v>110</v>
      </c>
      <c r="D3424" s="340" t="str">
        <f>VLOOKUP(C3424,Plan!A$1:B$65542,2,0)</f>
        <v>Disponible Administración</v>
      </c>
      <c r="E3424" s="341">
        <f>+F3424-G3424</f>
        <v>15000</v>
      </c>
      <c r="F3424" s="396">
        <v>15000</v>
      </c>
      <c r="G3424" s="396">
        <v>0</v>
      </c>
      <c r="H3424" s="347" t="s">
        <v>1120</v>
      </c>
      <c r="I3424" s="347" t="s">
        <v>1303</v>
      </c>
      <c r="K3424" s="370"/>
      <c r="N3424" s="370"/>
    </row>
    <row r="3425" spans="1:14" s="347" customFormat="1" x14ac:dyDescent="0.25">
      <c r="A3425" s="369">
        <f>+A3424</f>
        <v>44376</v>
      </c>
      <c r="B3425" s="347">
        <f>+B3424</f>
        <v>6</v>
      </c>
      <c r="C3425" s="347">
        <v>3110</v>
      </c>
      <c r="D3425" s="340" t="str">
        <f>VLOOKUP(C3425,Plan!A$1:B$65542,2,0)</f>
        <v>Colectas Normales</v>
      </c>
      <c r="E3425" s="396">
        <f>-G3425</f>
        <v>-15000</v>
      </c>
      <c r="F3425" s="396">
        <v>0</v>
      </c>
      <c r="G3425" s="396">
        <f>+F3424</f>
        <v>15000</v>
      </c>
      <c r="H3425" s="347" t="str">
        <f>+H3424</f>
        <v>Colecta Maria Car Rios R</v>
      </c>
      <c r="I3425" s="347" t="s">
        <v>1303</v>
      </c>
      <c r="K3425" s="370"/>
      <c r="N3425" s="370"/>
    </row>
    <row r="3426" spans="1:14" s="347" customFormat="1" x14ac:dyDescent="0.25">
      <c r="A3426" s="369"/>
      <c r="E3426" s="396"/>
      <c r="F3426" s="396"/>
      <c r="G3426" s="396"/>
      <c r="K3426" s="370"/>
      <c r="N3426" s="370"/>
    </row>
    <row r="3427" spans="1:14" s="347" customFormat="1" x14ac:dyDescent="0.25">
      <c r="A3427" s="369">
        <v>44376</v>
      </c>
      <c r="B3427" s="340">
        <f>+MONTH(A3427)</f>
        <v>6</v>
      </c>
      <c r="C3427" s="347">
        <v>110</v>
      </c>
      <c r="D3427" s="340" t="str">
        <f>VLOOKUP(C3427,Plan!A$1:B$65542,2,0)</f>
        <v>Disponible Administración</v>
      </c>
      <c r="E3427" s="341">
        <f>+F3427-G3427</f>
        <v>10000</v>
      </c>
      <c r="F3427" s="396">
        <v>10000</v>
      </c>
      <c r="G3427" s="396">
        <v>0</v>
      </c>
      <c r="H3427" s="347" t="s">
        <v>1141</v>
      </c>
      <c r="I3427" s="347" t="s">
        <v>1303</v>
      </c>
      <c r="K3427" s="370"/>
      <c r="N3427" s="370"/>
    </row>
    <row r="3428" spans="1:14" s="347" customFormat="1" x14ac:dyDescent="0.25">
      <c r="A3428" s="369">
        <f>+A3427</f>
        <v>44376</v>
      </c>
      <c r="B3428" s="347">
        <f>+B3427</f>
        <v>6</v>
      </c>
      <c r="C3428" s="347">
        <v>3110</v>
      </c>
      <c r="D3428" s="340" t="str">
        <f>VLOOKUP(C3428,Plan!A$1:B$65542,2,0)</f>
        <v>Colectas Normales</v>
      </c>
      <c r="E3428" s="396">
        <f>-G3428</f>
        <v>-10000</v>
      </c>
      <c r="F3428" s="396">
        <v>0</v>
      </c>
      <c r="G3428" s="396">
        <f>+F3427</f>
        <v>10000</v>
      </c>
      <c r="H3428" s="347" t="str">
        <f>+H3427</f>
        <v>Colecta Cristian Huidobro Lermanda</v>
      </c>
      <c r="I3428" s="347" t="s">
        <v>1303</v>
      </c>
      <c r="K3428" s="370"/>
      <c r="N3428" s="370"/>
    </row>
    <row r="3429" spans="1:14" s="347" customFormat="1" x14ac:dyDescent="0.25">
      <c r="A3429" s="369"/>
      <c r="E3429" s="396"/>
      <c r="F3429" s="396"/>
      <c r="G3429" s="396"/>
      <c r="K3429" s="370"/>
      <c r="N3429" s="370"/>
    </row>
    <row r="3430" spans="1:14" s="347" customFormat="1" x14ac:dyDescent="0.25">
      <c r="A3430" s="369">
        <v>44376</v>
      </c>
      <c r="B3430" s="340">
        <f>+MONTH(A3430)</f>
        <v>6</v>
      </c>
      <c r="C3430" s="347">
        <v>110</v>
      </c>
      <c r="D3430" s="340" t="str">
        <f>VLOOKUP(C3430,Plan!A$1:B$65542,2,0)</f>
        <v>Disponible Administración</v>
      </c>
      <c r="E3430" s="341">
        <f>+F3430-G3430</f>
        <v>8000</v>
      </c>
      <c r="F3430" s="396">
        <v>8000</v>
      </c>
      <c r="G3430" s="396">
        <v>0</v>
      </c>
      <c r="H3430" s="347" t="s">
        <v>971</v>
      </c>
      <c r="I3430" s="347" t="s">
        <v>1303</v>
      </c>
      <c r="K3430" s="370"/>
      <c r="N3430" s="370"/>
    </row>
    <row r="3431" spans="1:14" s="347" customFormat="1" x14ac:dyDescent="0.25">
      <c r="A3431" s="369">
        <f>+A3430</f>
        <v>44376</v>
      </c>
      <c r="B3431" s="347">
        <f>+B3430</f>
        <v>6</v>
      </c>
      <c r="C3431" s="347">
        <v>3110</v>
      </c>
      <c r="D3431" s="340" t="str">
        <f>VLOOKUP(C3431,Plan!A$1:B$65542,2,0)</f>
        <v>Colectas Normales</v>
      </c>
      <c r="E3431" s="396">
        <f>-G3431</f>
        <v>-8000</v>
      </c>
      <c r="F3431" s="396">
        <v>0</v>
      </c>
      <c r="G3431" s="396">
        <f>+F3430</f>
        <v>8000</v>
      </c>
      <c r="H3431" s="347" t="str">
        <f>+H3430</f>
        <v>Colecta Pablo Irarrazaval Mena</v>
      </c>
      <c r="I3431" s="347" t="s">
        <v>1303</v>
      </c>
      <c r="K3431" s="370"/>
      <c r="N3431" s="370"/>
    </row>
    <row r="3432" spans="1:14" s="347" customFormat="1" x14ac:dyDescent="0.25">
      <c r="A3432" s="369"/>
      <c r="E3432" s="396"/>
      <c r="F3432" s="396"/>
      <c r="G3432" s="396"/>
      <c r="K3432" s="370"/>
      <c r="N3432" s="370"/>
    </row>
    <row r="3433" spans="1:14" s="347" customFormat="1" x14ac:dyDescent="0.25">
      <c r="A3433" s="369">
        <v>44376</v>
      </c>
      <c r="B3433" s="340">
        <f>+MONTH(A3433)</f>
        <v>6</v>
      </c>
      <c r="C3433" s="347">
        <v>110</v>
      </c>
      <c r="D3433" s="340" t="str">
        <f>VLOOKUP(C3433,Plan!A$1:B$65542,2,0)</f>
        <v>Disponible Administración</v>
      </c>
      <c r="E3433" s="341">
        <f>+F3433-G3433</f>
        <v>50000</v>
      </c>
      <c r="F3433" s="396">
        <v>50000</v>
      </c>
      <c r="G3433" s="396">
        <v>0</v>
      </c>
      <c r="H3433" s="347" t="s">
        <v>960</v>
      </c>
      <c r="I3433" s="347" t="s">
        <v>1303</v>
      </c>
      <c r="K3433" s="370"/>
      <c r="N3433" s="370"/>
    </row>
    <row r="3434" spans="1:14" s="347" customFormat="1" x14ac:dyDescent="0.25">
      <c r="A3434" s="369">
        <f>+A3433</f>
        <v>44376</v>
      </c>
      <c r="B3434" s="347">
        <f>+B3433</f>
        <v>6</v>
      </c>
      <c r="C3434" s="347">
        <v>3110</v>
      </c>
      <c r="D3434" s="340" t="str">
        <f>VLOOKUP(C3434,Plan!A$1:B$65542,2,0)</f>
        <v>Colectas Normales</v>
      </c>
      <c r="E3434" s="396">
        <f>-G3434</f>
        <v>-50000</v>
      </c>
      <c r="F3434" s="396">
        <v>0</v>
      </c>
      <c r="G3434" s="396">
        <f>+F3433</f>
        <v>50000</v>
      </c>
      <c r="H3434" s="347" t="str">
        <f>+H3433</f>
        <v>Colecta Ximena Garcia</v>
      </c>
      <c r="I3434" s="347" t="s">
        <v>1303</v>
      </c>
      <c r="K3434" s="370"/>
      <c r="N3434" s="370"/>
    </row>
    <row r="3435" spans="1:14" s="347" customFormat="1" x14ac:dyDescent="0.25">
      <c r="A3435" s="369"/>
      <c r="E3435" s="396"/>
      <c r="F3435" s="396"/>
      <c r="G3435" s="396"/>
      <c r="K3435" s="370"/>
      <c r="N3435" s="370"/>
    </row>
    <row r="3436" spans="1:14" s="347" customFormat="1" x14ac:dyDescent="0.25">
      <c r="A3436" s="369">
        <v>44376</v>
      </c>
      <c r="B3436" s="340">
        <f>+MONTH(A3436)</f>
        <v>6</v>
      </c>
      <c r="C3436" s="347">
        <v>110</v>
      </c>
      <c r="D3436" s="340" t="str">
        <f>VLOOKUP(C3436,Plan!A$1:B$65542,2,0)</f>
        <v>Disponible Administración</v>
      </c>
      <c r="E3436" s="341">
        <f>+F3436-G3436</f>
        <v>92000</v>
      </c>
      <c r="F3436" s="396">
        <v>92000</v>
      </c>
      <c r="G3436" s="396">
        <v>0</v>
      </c>
      <c r="H3436" s="347" t="s">
        <v>1410</v>
      </c>
      <c r="I3436" s="347" t="s">
        <v>1303</v>
      </c>
      <c r="K3436" s="370"/>
      <c r="N3436" s="370"/>
    </row>
    <row r="3437" spans="1:14" s="347" customFormat="1" x14ac:dyDescent="0.25">
      <c r="A3437" s="369">
        <f>+A3436</f>
        <v>44376</v>
      </c>
      <c r="B3437" s="347">
        <f>+B3436</f>
        <v>6</v>
      </c>
      <c r="C3437" s="347">
        <v>3110</v>
      </c>
      <c r="D3437" s="340" t="str">
        <f>VLOOKUP(C3437,Plan!A$1:B$65542,2,0)</f>
        <v>Colectas Normales</v>
      </c>
      <c r="E3437" s="396">
        <f>-G3437</f>
        <v>-92000</v>
      </c>
      <c r="F3437" s="396">
        <v>0</v>
      </c>
      <c r="G3437" s="396">
        <f>+F3436</f>
        <v>92000</v>
      </c>
      <c r="H3437" s="347" t="str">
        <f>+H3436</f>
        <v>Colecta Col. Cordillera</v>
      </c>
      <c r="I3437" s="347" t="s">
        <v>1303</v>
      </c>
      <c r="K3437" s="370"/>
      <c r="N3437" s="370"/>
    </row>
    <row r="3438" spans="1:14" s="347" customFormat="1" x14ac:dyDescent="0.25">
      <c r="A3438" s="369"/>
      <c r="E3438" s="396"/>
      <c r="F3438" s="396"/>
      <c r="G3438" s="396"/>
      <c r="K3438" s="370"/>
      <c r="N3438" s="370"/>
    </row>
    <row r="3439" spans="1:14" s="347" customFormat="1" x14ac:dyDescent="0.25">
      <c r="A3439" s="369">
        <v>44376</v>
      </c>
      <c r="B3439" s="340">
        <f>+MONTH(A3439)</f>
        <v>6</v>
      </c>
      <c r="C3439" s="347">
        <v>110</v>
      </c>
      <c r="D3439" s="340" t="str">
        <f>VLOOKUP(C3439,Plan!A$1:B$65542,2,0)</f>
        <v>Disponible Administración</v>
      </c>
      <c r="E3439" s="341">
        <f>+F3439-G3439</f>
        <v>40000</v>
      </c>
      <c r="F3439" s="396">
        <v>40000</v>
      </c>
      <c r="G3439" s="396">
        <v>0</v>
      </c>
      <c r="H3439" s="347" t="s">
        <v>1121</v>
      </c>
      <c r="I3439" s="347" t="s">
        <v>1303</v>
      </c>
      <c r="K3439" s="370"/>
      <c r="N3439" s="370"/>
    </row>
    <row r="3440" spans="1:14" s="347" customFormat="1" x14ac:dyDescent="0.25">
      <c r="A3440" s="369">
        <f>+A3439</f>
        <v>44376</v>
      </c>
      <c r="B3440" s="347">
        <f>+B3439</f>
        <v>6</v>
      </c>
      <c r="C3440" s="347">
        <v>3110</v>
      </c>
      <c r="D3440" s="340" t="str">
        <f>VLOOKUP(C3440,Plan!A$1:B$65542,2,0)</f>
        <v>Colectas Normales</v>
      </c>
      <c r="E3440" s="396">
        <f>-G3440</f>
        <v>-40000</v>
      </c>
      <c r="F3440" s="396">
        <v>0</v>
      </c>
      <c r="G3440" s="396">
        <f>+F3439</f>
        <v>40000</v>
      </c>
      <c r="H3440" s="347" t="str">
        <f>+H3439</f>
        <v>Colecta Luis Marin J.</v>
      </c>
      <c r="I3440" s="347" t="s">
        <v>1303</v>
      </c>
      <c r="K3440" s="370"/>
      <c r="N3440" s="370"/>
    </row>
    <row r="3441" spans="1:14" s="347" customFormat="1" x14ac:dyDescent="0.25">
      <c r="A3441" s="369"/>
      <c r="E3441" s="396"/>
      <c r="F3441" s="396"/>
      <c r="G3441" s="396"/>
      <c r="K3441" s="370"/>
      <c r="N3441" s="370"/>
    </row>
    <row r="3442" spans="1:14" s="347" customFormat="1" x14ac:dyDescent="0.25">
      <c r="A3442" s="369">
        <v>44377</v>
      </c>
      <c r="B3442" s="340">
        <f>+MONTH(A3442)</f>
        <v>6</v>
      </c>
      <c r="C3442" s="347">
        <v>4680</v>
      </c>
      <c r="D3442" s="340" t="str">
        <f>VLOOKUP(C3442,Plan!A$1:B$65542,2,0)</f>
        <v>Pastoral Comunicacional</v>
      </c>
      <c r="E3442" s="341">
        <f>+F3442-G3442</f>
        <v>369248</v>
      </c>
      <c r="F3442" s="396">
        <v>369248</v>
      </c>
      <c r="G3442" s="396">
        <v>0</v>
      </c>
      <c r="H3442" s="347" t="s">
        <v>1626</v>
      </c>
      <c r="I3442" s="347" t="s">
        <v>1303</v>
      </c>
      <c r="K3442" s="370"/>
      <c r="N3442" s="370"/>
    </row>
    <row r="3443" spans="1:14" s="347" customFormat="1" x14ac:dyDescent="0.25">
      <c r="A3443" s="369">
        <f>+A3442</f>
        <v>44377</v>
      </c>
      <c r="B3443" s="347">
        <f>+B3442</f>
        <v>6</v>
      </c>
      <c r="C3443" s="347">
        <v>110</v>
      </c>
      <c r="D3443" s="340" t="str">
        <f>VLOOKUP(C3443,Plan!A$1:B$65542,2,0)</f>
        <v>Disponible Administración</v>
      </c>
      <c r="E3443" s="396">
        <f>-G3443</f>
        <v>-369248</v>
      </c>
      <c r="F3443" s="396">
        <v>0</v>
      </c>
      <c r="G3443" s="396">
        <f>+F3442</f>
        <v>369248</v>
      </c>
      <c r="H3443" s="347" t="str">
        <f>+H3442</f>
        <v>F-787 Serv. Jun.21 -ND75 Aeropago</v>
      </c>
      <c r="I3443" s="347" t="s">
        <v>1303</v>
      </c>
      <c r="K3443" s="370"/>
      <c r="N3443" s="370"/>
    </row>
    <row r="3444" spans="1:14" s="347" customFormat="1" x14ac:dyDescent="0.25">
      <c r="A3444" s="369"/>
      <c r="E3444" s="396"/>
      <c r="F3444" s="396"/>
      <c r="G3444" s="396"/>
      <c r="K3444" s="370"/>
      <c r="N3444" s="370"/>
    </row>
    <row r="3445" spans="1:14" s="347" customFormat="1" x14ac:dyDescent="0.25">
      <c r="A3445" s="369">
        <v>44377</v>
      </c>
      <c r="B3445" s="340">
        <f>+MONTH(A3445)</f>
        <v>6</v>
      </c>
      <c r="C3445" s="347">
        <v>4650</v>
      </c>
      <c r="D3445" s="340" t="str">
        <f>VLOOKUP(C3445,Plan!A$1:B$65542,2,0)</f>
        <v>Pastoral Social</v>
      </c>
      <c r="E3445" s="341">
        <f>+F3445-G3445</f>
        <v>2350000</v>
      </c>
      <c r="F3445" s="396">
        <v>2350000</v>
      </c>
      <c r="G3445" s="396">
        <v>0</v>
      </c>
      <c r="H3445" s="347" t="s">
        <v>1627</v>
      </c>
      <c r="I3445" s="347" t="s">
        <v>1303</v>
      </c>
      <c r="K3445" s="370"/>
      <c r="N3445" s="370"/>
    </row>
    <row r="3446" spans="1:14" s="347" customFormat="1" x14ac:dyDescent="0.25">
      <c r="A3446" s="369">
        <f>+A3445</f>
        <v>44377</v>
      </c>
      <c r="B3446" s="347">
        <f>+B3445</f>
        <v>6</v>
      </c>
      <c r="C3446" s="347">
        <v>110</v>
      </c>
      <c r="D3446" s="340" t="str">
        <f>VLOOKUP(C3446,Plan!A$1:B$65542,2,0)</f>
        <v>Disponible Administración</v>
      </c>
      <c r="E3446" s="396">
        <f>-G3446</f>
        <v>-2350000</v>
      </c>
      <c r="F3446" s="396">
        <v>0</v>
      </c>
      <c r="G3446" s="396">
        <f>+F3445</f>
        <v>2350000</v>
      </c>
      <c r="H3446" s="347" t="str">
        <f>+H3445</f>
        <v>F-397077 Servicefood SpA</v>
      </c>
      <c r="I3446" s="347" t="s">
        <v>1303</v>
      </c>
      <c r="K3446" s="370"/>
      <c r="N3446" s="370"/>
    </row>
    <row r="3447" spans="1:14" s="347" customFormat="1" x14ac:dyDescent="0.25">
      <c r="A3447" s="369"/>
      <c r="E3447" s="396"/>
      <c r="F3447" s="396"/>
      <c r="G3447" s="396"/>
      <c r="K3447" s="370"/>
      <c r="N3447" s="370"/>
    </row>
    <row r="3448" spans="1:14" s="347" customFormat="1" x14ac:dyDescent="0.25">
      <c r="A3448" s="369">
        <v>44377</v>
      </c>
      <c r="B3448" s="340">
        <f>+MONTH(A3448)</f>
        <v>6</v>
      </c>
      <c r="C3448" s="347">
        <v>3360</v>
      </c>
      <c r="D3448" s="340" t="str">
        <f>VLOOKUP(C3448,Plan!A$1:B$65542,2,0)</f>
        <v>Otros</v>
      </c>
      <c r="E3448" s="341">
        <f>+F3448-G3448</f>
        <v>355000</v>
      </c>
      <c r="F3448" s="396">
        <v>355000</v>
      </c>
      <c r="G3448" s="396">
        <v>0</v>
      </c>
      <c r="H3448" s="347" t="s">
        <v>1628</v>
      </c>
      <c r="I3448" s="347" t="s">
        <v>1303</v>
      </c>
      <c r="K3448" s="370"/>
      <c r="N3448" s="370"/>
    </row>
    <row r="3449" spans="1:14" s="347" customFormat="1" x14ac:dyDescent="0.25">
      <c r="A3449" s="369">
        <f>+A3448</f>
        <v>44377</v>
      </c>
      <c r="B3449" s="347">
        <f>+B3448</f>
        <v>6</v>
      </c>
      <c r="C3449" s="347">
        <v>110</v>
      </c>
      <c r="D3449" s="340" t="str">
        <f>VLOOKUP(C3449,Plan!A$1:B$65542,2,0)</f>
        <v>Disponible Administración</v>
      </c>
      <c r="E3449" s="396">
        <f>-G3449</f>
        <v>-355000</v>
      </c>
      <c r="F3449" s="396">
        <v>0</v>
      </c>
      <c r="G3449" s="396">
        <f>+F3448</f>
        <v>355000</v>
      </c>
      <c r="H3449" s="347" t="str">
        <f>+H3448</f>
        <v>Devolucion Error Transferencia Francisco Guimpert C.</v>
      </c>
      <c r="I3449" s="347" t="s">
        <v>1303</v>
      </c>
      <c r="K3449" s="370"/>
      <c r="N3449" s="370"/>
    </row>
    <row r="3450" spans="1:14" s="347" customFormat="1" x14ac:dyDescent="0.25">
      <c r="A3450" s="369"/>
      <c r="E3450" s="396"/>
      <c r="F3450" s="396"/>
      <c r="G3450" s="396"/>
      <c r="K3450" s="370"/>
      <c r="N3450" s="370"/>
    </row>
    <row r="3451" spans="1:14" s="347" customFormat="1" x14ac:dyDescent="0.25">
      <c r="A3451" s="339">
        <v>44377</v>
      </c>
      <c r="B3451" s="340">
        <f>+MONTH(A3451)</f>
        <v>6</v>
      </c>
      <c r="C3451" s="338">
        <v>4231</v>
      </c>
      <c r="D3451" s="347" t="str">
        <f>VLOOKUP(C3451,Plan!A$1:B$65542,2,0)</f>
        <v>Auxiliares, secretarias y administración</v>
      </c>
      <c r="E3451" s="341">
        <f>+F3451</f>
        <v>2995232</v>
      </c>
      <c r="F3451" s="345">
        <v>2995232</v>
      </c>
      <c r="G3451" s="346">
        <v>0</v>
      </c>
      <c r="H3451" s="343" t="s">
        <v>410</v>
      </c>
      <c r="I3451" s="401" t="s">
        <v>296</v>
      </c>
      <c r="K3451" s="370"/>
      <c r="N3451" s="370"/>
    </row>
    <row r="3452" spans="1:14" s="347" customFormat="1" x14ac:dyDescent="0.25">
      <c r="A3452" s="339">
        <f t="shared" ref="A3452:B3457" si="25">+A3451</f>
        <v>44377</v>
      </c>
      <c r="B3452" s="340">
        <f t="shared" si="25"/>
        <v>6</v>
      </c>
      <c r="C3452" s="338">
        <v>9011</v>
      </c>
      <c r="D3452" s="347" t="str">
        <f>VLOOKUP(C3452,Plan!A$1:B$65542,2,0)</f>
        <v>Sueldo Sacerdotes</v>
      </c>
      <c r="E3452" s="341">
        <f>+F3452</f>
        <v>908269</v>
      </c>
      <c r="F3452" s="345">
        <v>908269</v>
      </c>
      <c r="G3452" s="346">
        <v>0</v>
      </c>
      <c r="H3452" s="338" t="s">
        <v>410</v>
      </c>
      <c r="I3452" s="401" t="s">
        <v>296</v>
      </c>
      <c r="K3452" s="370"/>
      <c r="N3452" s="370"/>
    </row>
    <row r="3453" spans="1:14" s="347" customFormat="1" x14ac:dyDescent="0.25">
      <c r="A3453" s="339">
        <f t="shared" si="25"/>
        <v>44377</v>
      </c>
      <c r="B3453" s="340">
        <f t="shared" si="25"/>
        <v>6</v>
      </c>
      <c r="C3453" s="338">
        <v>4231</v>
      </c>
      <c r="D3453" s="347" t="str">
        <f>VLOOKUP(C3453,Plan!A$1:B$65542,2,0)</f>
        <v>Auxiliares, secretarias y administración</v>
      </c>
      <c r="E3453" s="341">
        <f>+F3453</f>
        <v>47252</v>
      </c>
      <c r="F3453" s="345">
        <v>47252</v>
      </c>
      <c r="G3453" s="346">
        <v>0</v>
      </c>
      <c r="H3453" s="338" t="s">
        <v>410</v>
      </c>
      <c r="I3453" s="401" t="s">
        <v>296</v>
      </c>
      <c r="K3453" s="370"/>
      <c r="N3453" s="370"/>
    </row>
    <row r="3454" spans="1:14" s="347" customFormat="1" x14ac:dyDescent="0.25">
      <c r="A3454" s="339">
        <f t="shared" si="25"/>
        <v>44377</v>
      </c>
      <c r="B3454" s="340">
        <f t="shared" si="25"/>
        <v>6</v>
      </c>
      <c r="C3454" s="338">
        <v>225</v>
      </c>
      <c r="D3454" s="347" t="str">
        <f>VLOOKUP(C3454,Plan!A$1:B$65542,2,0)</f>
        <v>Sueldos por Pagar</v>
      </c>
      <c r="E3454" s="341">
        <f>-G3454</f>
        <v>-3343907</v>
      </c>
      <c r="F3454" s="345">
        <v>0</v>
      </c>
      <c r="G3454" s="346">
        <v>3343907</v>
      </c>
      <c r="H3454" s="338" t="s">
        <v>410</v>
      </c>
      <c r="I3454" s="401" t="s">
        <v>296</v>
      </c>
      <c r="K3454" s="370"/>
      <c r="N3454" s="370"/>
    </row>
    <row r="3455" spans="1:14" s="347" customFormat="1" x14ac:dyDescent="0.25">
      <c r="A3455" s="339">
        <f t="shared" si="25"/>
        <v>44377</v>
      </c>
      <c r="B3455" s="340">
        <f t="shared" si="25"/>
        <v>6</v>
      </c>
      <c r="C3455" s="338">
        <v>224</v>
      </c>
      <c r="D3455" s="347" t="str">
        <f>VLOOKUP(C3455,Plan!A$1:B$65542,2,0)</f>
        <v>Cotizaciones por Pagar</v>
      </c>
      <c r="E3455" s="341">
        <f>-G3455</f>
        <v>-417760</v>
      </c>
      <c r="F3455" s="345">
        <v>0</v>
      </c>
      <c r="G3455" s="346">
        <v>417760</v>
      </c>
      <c r="H3455" s="338" t="s">
        <v>410</v>
      </c>
      <c r="I3455" s="401" t="s">
        <v>296</v>
      </c>
      <c r="K3455" s="370"/>
      <c r="N3455" s="370"/>
    </row>
    <row r="3456" spans="1:14" s="347" customFormat="1" x14ac:dyDescent="0.25">
      <c r="A3456" s="339">
        <f t="shared" si="25"/>
        <v>44377</v>
      </c>
      <c r="B3456" s="340">
        <f t="shared" si="25"/>
        <v>6</v>
      </c>
      <c r="C3456" s="338">
        <v>224</v>
      </c>
      <c r="D3456" s="347" t="str">
        <f>VLOOKUP(C3456,Plan!A$1:B$65542,2,0)</f>
        <v>Cotizaciones por Pagar</v>
      </c>
      <c r="E3456" s="341">
        <f>-G3456</f>
        <v>-173269</v>
      </c>
      <c r="F3456" s="345">
        <v>0</v>
      </c>
      <c r="G3456" s="362">
        <v>173269</v>
      </c>
      <c r="H3456" s="338" t="s">
        <v>410</v>
      </c>
      <c r="I3456" s="401" t="s">
        <v>296</v>
      </c>
      <c r="K3456" s="370"/>
      <c r="N3456" s="370"/>
    </row>
    <row r="3457" spans="1:14" s="347" customFormat="1" x14ac:dyDescent="0.25">
      <c r="A3457" s="339">
        <f t="shared" si="25"/>
        <v>44377</v>
      </c>
      <c r="B3457" s="340">
        <f t="shared" si="25"/>
        <v>6</v>
      </c>
      <c r="C3457" s="338">
        <v>223</v>
      </c>
      <c r="D3457" s="347" t="str">
        <f>VLOOKUP(C3457,Plan!A$1:B$65542,2,0)</f>
        <v>Ret. Hon.  e Impto. Unico Administración</v>
      </c>
      <c r="E3457" s="341">
        <f>-G3457</f>
        <v>-15817</v>
      </c>
      <c r="F3457" s="345">
        <v>0</v>
      </c>
      <c r="G3457" s="346">
        <v>15817</v>
      </c>
      <c r="H3457" s="338" t="s">
        <v>410</v>
      </c>
      <c r="I3457" s="401" t="s">
        <v>296</v>
      </c>
      <c r="K3457" s="370"/>
      <c r="N3457" s="370"/>
    </row>
    <row r="3458" spans="1:14" s="347" customFormat="1" x14ac:dyDescent="0.25">
      <c r="A3458" s="369"/>
      <c r="E3458" s="396"/>
      <c r="F3458" s="396"/>
      <c r="G3458" s="396"/>
      <c r="K3458" s="370"/>
      <c r="N3458" s="370"/>
    </row>
    <row r="3459" spans="1:14" s="347" customFormat="1" x14ac:dyDescent="0.25">
      <c r="A3459" s="369">
        <v>44377</v>
      </c>
      <c r="B3459" s="340">
        <f>+MONTH(A3459)</f>
        <v>6</v>
      </c>
      <c r="C3459" s="347">
        <v>225</v>
      </c>
      <c r="D3459" s="340" t="str">
        <f>VLOOKUP(C3459,Plan!A$1:B$65542,2,0)</f>
        <v>Sueldos por Pagar</v>
      </c>
      <c r="E3459" s="341">
        <f>+F3459-G3459</f>
        <v>3343907</v>
      </c>
      <c r="F3459" s="396">
        <v>3343907</v>
      </c>
      <c r="G3459" s="396">
        <v>0</v>
      </c>
      <c r="H3459" s="347" t="s">
        <v>1629</v>
      </c>
      <c r="I3459" s="347" t="s">
        <v>1303</v>
      </c>
      <c r="K3459" s="370"/>
      <c r="N3459" s="370"/>
    </row>
    <row r="3460" spans="1:14" s="347" customFormat="1" x14ac:dyDescent="0.25">
      <c r="A3460" s="369">
        <f>+A3459</f>
        <v>44377</v>
      </c>
      <c r="B3460" s="347">
        <f>+B3459</f>
        <v>6</v>
      </c>
      <c r="C3460" s="347">
        <v>110</v>
      </c>
      <c r="D3460" s="340" t="str">
        <f>VLOOKUP(C3460,Plan!A$1:B$65542,2,0)</f>
        <v>Disponible Administración</v>
      </c>
      <c r="E3460" s="396">
        <f>-G3460</f>
        <v>-735000</v>
      </c>
      <c r="F3460" s="396">
        <v>0</v>
      </c>
      <c r="G3460" s="396">
        <v>735000</v>
      </c>
      <c r="H3460" s="347" t="s">
        <v>1538</v>
      </c>
      <c r="I3460" s="347" t="s">
        <v>1303</v>
      </c>
      <c r="K3460" s="370"/>
      <c r="N3460" s="370"/>
    </row>
    <row r="3461" spans="1:14" s="347" customFormat="1" x14ac:dyDescent="0.25">
      <c r="A3461" s="369">
        <f t="shared" ref="A3461:B3464" si="26">+A3460</f>
        <v>44377</v>
      </c>
      <c r="B3461" s="347">
        <f t="shared" si="26"/>
        <v>6</v>
      </c>
      <c r="C3461" s="347">
        <v>110</v>
      </c>
      <c r="D3461" s="340" t="str">
        <f>VLOOKUP(C3461,Plan!A$1:B$65542,2,0)</f>
        <v>Disponible Administración</v>
      </c>
      <c r="E3461" s="396">
        <f>-G3461</f>
        <v>-780262</v>
      </c>
      <c r="F3461" s="396">
        <v>0</v>
      </c>
      <c r="G3461" s="396">
        <v>780262</v>
      </c>
      <c r="H3461" s="347" t="s">
        <v>1539</v>
      </c>
      <c r="I3461" s="347" t="s">
        <v>1303</v>
      </c>
      <c r="K3461" s="370"/>
      <c r="N3461" s="370"/>
    </row>
    <row r="3462" spans="1:14" s="347" customFormat="1" x14ac:dyDescent="0.25">
      <c r="A3462" s="369">
        <f t="shared" si="26"/>
        <v>44377</v>
      </c>
      <c r="B3462" s="347">
        <f t="shared" si="26"/>
        <v>6</v>
      </c>
      <c r="C3462" s="347">
        <v>110</v>
      </c>
      <c r="D3462" s="340" t="str">
        <f>VLOOKUP(C3462,Plan!A$1:B$65542,2,0)</f>
        <v>Disponible Administración</v>
      </c>
      <c r="E3462" s="396">
        <f>-G3462</f>
        <v>-515551</v>
      </c>
      <c r="F3462" s="396">
        <v>0</v>
      </c>
      <c r="G3462" s="396">
        <v>515551</v>
      </c>
      <c r="H3462" s="347" t="s">
        <v>1540</v>
      </c>
      <c r="I3462" s="347" t="s">
        <v>1303</v>
      </c>
      <c r="K3462" s="370"/>
      <c r="N3462" s="370"/>
    </row>
    <row r="3463" spans="1:14" s="347" customFormat="1" x14ac:dyDescent="0.25">
      <c r="A3463" s="369">
        <f t="shared" si="26"/>
        <v>44377</v>
      </c>
      <c r="B3463" s="347">
        <f t="shared" si="26"/>
        <v>6</v>
      </c>
      <c r="C3463" s="347">
        <v>110</v>
      </c>
      <c r="D3463" s="340" t="str">
        <f>VLOOKUP(C3463,Plan!A$1:B$65542,2,0)</f>
        <v>Disponible Administración</v>
      </c>
      <c r="E3463" s="396">
        <f>-G3463</f>
        <v>-195402</v>
      </c>
      <c r="F3463" s="396">
        <v>0</v>
      </c>
      <c r="G3463" s="396">
        <v>195402</v>
      </c>
      <c r="H3463" s="347" t="s">
        <v>1541</v>
      </c>
      <c r="I3463" s="347" t="s">
        <v>1303</v>
      </c>
      <c r="K3463" s="370"/>
      <c r="N3463" s="370"/>
    </row>
    <row r="3464" spans="1:14" s="347" customFormat="1" x14ac:dyDescent="0.25">
      <c r="A3464" s="369">
        <f t="shared" si="26"/>
        <v>44377</v>
      </c>
      <c r="B3464" s="347">
        <f t="shared" si="26"/>
        <v>6</v>
      </c>
      <c r="C3464" s="347">
        <v>110</v>
      </c>
      <c r="D3464" s="340" t="str">
        <f>VLOOKUP(C3464,Plan!A$1:B$65542,2,0)</f>
        <v>Disponible Administración</v>
      </c>
      <c r="E3464" s="396">
        <f>-G3464</f>
        <v>-1117692</v>
      </c>
      <c r="F3464" s="396">
        <v>0</v>
      </c>
      <c r="G3464" s="396">
        <v>1117692</v>
      </c>
      <c r="H3464" s="347" t="s">
        <v>1542</v>
      </c>
      <c r="I3464" s="347" t="s">
        <v>1303</v>
      </c>
      <c r="K3464" s="370"/>
      <c r="N3464" s="370"/>
    </row>
    <row r="3465" spans="1:14" s="347" customFormat="1" x14ac:dyDescent="0.25">
      <c r="A3465" s="369"/>
      <c r="E3465" s="396"/>
      <c r="F3465" s="396"/>
      <c r="G3465" s="396"/>
      <c r="K3465" s="370"/>
      <c r="N3465" s="370"/>
    </row>
    <row r="3466" spans="1:14" s="347" customFormat="1" x14ac:dyDescent="0.25">
      <c r="A3466" s="369">
        <v>44377</v>
      </c>
      <c r="B3466" s="340">
        <f>+MONTH(A3466)</f>
        <v>6</v>
      </c>
      <c r="C3466" s="347">
        <v>110</v>
      </c>
      <c r="D3466" s="340" t="str">
        <f>VLOOKUP(C3466,Plan!A$1:B$65542,2,0)</f>
        <v>Disponible Administración</v>
      </c>
      <c r="E3466" s="341">
        <f>+F3466-G3466</f>
        <v>10000</v>
      </c>
      <c r="F3466" s="396">
        <v>10000</v>
      </c>
      <c r="G3466" s="396">
        <v>0</v>
      </c>
      <c r="H3466" s="347" t="s">
        <v>1218</v>
      </c>
      <c r="I3466" s="347" t="s">
        <v>1303</v>
      </c>
      <c r="K3466" s="370"/>
      <c r="N3466" s="370"/>
    </row>
    <row r="3467" spans="1:14" s="347" customFormat="1" x14ac:dyDescent="0.25">
      <c r="A3467" s="369">
        <f>+A3466</f>
        <v>44377</v>
      </c>
      <c r="B3467" s="347">
        <f>+B3466</f>
        <v>6</v>
      </c>
      <c r="C3467" s="347">
        <v>3110</v>
      </c>
      <c r="D3467" s="340" t="str">
        <f>VLOOKUP(C3467,Plan!A$1:B$65542,2,0)</f>
        <v>Colectas Normales</v>
      </c>
      <c r="E3467" s="396">
        <f>-G3467</f>
        <v>-10000</v>
      </c>
      <c r="F3467" s="396">
        <v>0</v>
      </c>
      <c r="G3467" s="396">
        <f>+F3466</f>
        <v>10000</v>
      </c>
      <c r="H3467" s="347" t="str">
        <f>+H3466</f>
        <v>Colecta Mercedes Cisternas Perez</v>
      </c>
      <c r="I3467" s="347" t="s">
        <v>1303</v>
      </c>
      <c r="K3467" s="370"/>
      <c r="N3467" s="370"/>
    </row>
    <row r="3468" spans="1:14" s="347" customFormat="1" x14ac:dyDescent="0.25">
      <c r="A3468" s="369"/>
      <c r="E3468" s="396"/>
      <c r="F3468" s="396"/>
      <c r="G3468" s="396"/>
      <c r="K3468" s="370"/>
      <c r="N3468" s="370"/>
    </row>
    <row r="3469" spans="1:14" s="347" customFormat="1" x14ac:dyDescent="0.25">
      <c r="A3469" s="369">
        <v>44377</v>
      </c>
      <c r="B3469" s="340">
        <f>+MONTH(A3469)</f>
        <v>6</v>
      </c>
      <c r="C3469" s="347">
        <v>110</v>
      </c>
      <c r="D3469" s="340" t="str">
        <f>VLOOKUP(C3469,Plan!A$1:B$65542,2,0)</f>
        <v>Disponible Administración</v>
      </c>
      <c r="E3469" s="341">
        <f>+F3469-G3469</f>
        <v>30000</v>
      </c>
      <c r="F3469" s="396">
        <v>30000</v>
      </c>
      <c r="G3469" s="396">
        <v>0</v>
      </c>
      <c r="H3469" s="347" t="s">
        <v>1630</v>
      </c>
      <c r="I3469" s="347" t="s">
        <v>1303</v>
      </c>
      <c r="K3469" s="370"/>
      <c r="N3469" s="370"/>
    </row>
    <row r="3470" spans="1:14" s="347" customFormat="1" x14ac:dyDescent="0.25">
      <c r="A3470" s="369">
        <f>+A3469</f>
        <v>44377</v>
      </c>
      <c r="B3470" s="347">
        <f>+B3469</f>
        <v>6</v>
      </c>
      <c r="C3470" s="347">
        <v>3110</v>
      </c>
      <c r="D3470" s="340" t="str">
        <f>VLOOKUP(C3470,Plan!A$1:B$65542,2,0)</f>
        <v>Colectas Normales</v>
      </c>
      <c r="E3470" s="396">
        <f>-G3470</f>
        <v>-30000</v>
      </c>
      <c r="F3470" s="396">
        <v>0</v>
      </c>
      <c r="G3470" s="396">
        <f>+F3469</f>
        <v>30000</v>
      </c>
      <c r="H3470" s="347" t="str">
        <f>+H3469</f>
        <v>Colecta Mariana Sandoya Salvetto</v>
      </c>
      <c r="I3470" s="347" t="s">
        <v>1303</v>
      </c>
      <c r="K3470" s="370"/>
      <c r="N3470" s="370"/>
    </row>
    <row r="3471" spans="1:14" s="347" customFormat="1" x14ac:dyDescent="0.25">
      <c r="A3471" s="369"/>
      <c r="E3471" s="396"/>
      <c r="F3471" s="396"/>
      <c r="G3471" s="396"/>
      <c r="K3471" s="370"/>
      <c r="N3471" s="370"/>
    </row>
    <row r="3472" spans="1:14" s="347" customFormat="1" x14ac:dyDescent="0.25">
      <c r="A3472" s="369">
        <v>44377</v>
      </c>
      <c r="B3472" s="340">
        <f>+MONTH(A3472)</f>
        <v>6</v>
      </c>
      <c r="C3472" s="347">
        <v>110</v>
      </c>
      <c r="D3472" s="340" t="str">
        <f>VLOOKUP(C3472,Plan!A$1:B$65542,2,0)</f>
        <v>Disponible Administración</v>
      </c>
      <c r="E3472" s="341">
        <f>+F3472-G3472</f>
        <v>40000</v>
      </c>
      <c r="F3472" s="396">
        <v>40000</v>
      </c>
      <c r="G3472" s="396">
        <v>0</v>
      </c>
      <c r="H3472" s="347" t="s">
        <v>1631</v>
      </c>
      <c r="I3472" s="347" t="s">
        <v>1303</v>
      </c>
      <c r="K3472" s="370"/>
      <c r="N3472" s="370"/>
    </row>
    <row r="3473" spans="1:14" s="347" customFormat="1" x14ac:dyDescent="0.25">
      <c r="A3473" s="369">
        <f>+A3472</f>
        <v>44377</v>
      </c>
      <c r="B3473" s="347">
        <f>+B3472</f>
        <v>6</v>
      </c>
      <c r="C3473" s="347">
        <v>215</v>
      </c>
      <c r="D3473" s="340" t="str">
        <f>VLOOKUP(C3473,Plan!A$1:B$65542,2,0)</f>
        <v>Cuenta por Pagar a Cali</v>
      </c>
      <c r="E3473" s="396">
        <f>-G3473</f>
        <v>-40000</v>
      </c>
      <c r="F3473" s="396">
        <v>0</v>
      </c>
      <c r="G3473" s="396">
        <f>+F3472</f>
        <v>40000</v>
      </c>
      <c r="H3473" s="347" t="str">
        <f>+H3472</f>
        <v>Eduardo Castro de la Barra / 249</v>
      </c>
      <c r="I3473" s="347" t="s">
        <v>1303</v>
      </c>
      <c r="K3473" s="370"/>
      <c r="N3473" s="370"/>
    </row>
    <row r="3474" spans="1:14" s="347" customFormat="1" x14ac:dyDescent="0.25">
      <c r="A3474" s="369"/>
      <c r="E3474" s="396"/>
      <c r="F3474" s="396"/>
      <c r="G3474" s="396"/>
      <c r="K3474" s="370"/>
      <c r="N3474" s="370"/>
    </row>
    <row r="3475" spans="1:14" s="347" customFormat="1" x14ac:dyDescent="0.25">
      <c r="A3475" s="369">
        <v>44377</v>
      </c>
      <c r="B3475" s="340">
        <f>+MONTH(A3475)</f>
        <v>6</v>
      </c>
      <c r="C3475" s="347">
        <v>110</v>
      </c>
      <c r="D3475" s="340" t="str">
        <f>VLOOKUP(C3475,Plan!A$1:B$65542,2,0)</f>
        <v>Disponible Administración</v>
      </c>
      <c r="E3475" s="341">
        <f>+F3475-G3475</f>
        <v>20000</v>
      </c>
      <c r="F3475" s="396">
        <v>20000</v>
      </c>
      <c r="G3475" s="396">
        <v>0</v>
      </c>
      <c r="H3475" s="347" t="s">
        <v>961</v>
      </c>
      <c r="I3475" s="347" t="s">
        <v>1303</v>
      </c>
      <c r="K3475" s="370"/>
      <c r="N3475" s="370"/>
    </row>
    <row r="3476" spans="1:14" s="347" customFormat="1" x14ac:dyDescent="0.25">
      <c r="A3476" s="369">
        <f>+A3475</f>
        <v>44377</v>
      </c>
      <c r="B3476" s="347">
        <f>+B3475</f>
        <v>6</v>
      </c>
      <c r="C3476" s="347">
        <v>3110</v>
      </c>
      <c r="D3476" s="340" t="str">
        <f>VLOOKUP(C3476,Plan!A$1:B$65542,2,0)</f>
        <v>Colectas Normales</v>
      </c>
      <c r="E3476" s="396">
        <f>-G3476</f>
        <v>-20000</v>
      </c>
      <c r="F3476" s="396">
        <v>0</v>
      </c>
      <c r="G3476" s="396">
        <f>+F3475</f>
        <v>20000</v>
      </c>
      <c r="H3476" s="347" t="str">
        <f>+H3475</f>
        <v>Colecta Jose Luis Bustamante G</v>
      </c>
      <c r="I3476" s="347" t="s">
        <v>1303</v>
      </c>
      <c r="K3476" s="370"/>
      <c r="N3476" s="370"/>
    </row>
    <row r="3477" spans="1:14" s="347" customFormat="1" x14ac:dyDescent="0.25">
      <c r="A3477" s="369"/>
      <c r="E3477" s="396"/>
      <c r="F3477" s="396"/>
      <c r="G3477" s="396"/>
      <c r="K3477" s="370"/>
      <c r="N3477" s="370"/>
    </row>
    <row r="3478" spans="1:14" s="347" customFormat="1" x14ac:dyDescent="0.25">
      <c r="A3478" s="369">
        <v>44377</v>
      </c>
      <c r="B3478" s="340">
        <f>+MONTH(A3478)</f>
        <v>6</v>
      </c>
      <c r="C3478" s="347">
        <v>110</v>
      </c>
      <c r="D3478" s="340" t="str">
        <f>VLOOKUP(C3478,Plan!A$1:B$65542,2,0)</f>
        <v>Disponible Administración</v>
      </c>
      <c r="E3478" s="341">
        <f>+F3478-G3478</f>
        <v>4904</v>
      </c>
      <c r="F3478" s="396">
        <v>4904</v>
      </c>
      <c r="G3478" s="396">
        <v>0</v>
      </c>
      <c r="H3478" s="347" t="s">
        <v>1338</v>
      </c>
      <c r="I3478" s="347" t="s">
        <v>1303</v>
      </c>
      <c r="K3478" s="370"/>
      <c r="N3478" s="370"/>
    </row>
    <row r="3479" spans="1:14" s="347" customFormat="1" x14ac:dyDescent="0.25">
      <c r="A3479" s="369">
        <f>+A3478</f>
        <v>44377</v>
      </c>
      <c r="B3479" s="347">
        <f>+B3478</f>
        <v>6</v>
      </c>
      <c r="C3479" s="347">
        <v>3340</v>
      </c>
      <c r="D3479" s="340" t="str">
        <f>VLOOKUP(C3479,Plan!A$1:B$65542,2,0)</f>
        <v>Misas</v>
      </c>
      <c r="E3479" s="396">
        <f>-G3479</f>
        <v>-4904</v>
      </c>
      <c r="F3479" s="396">
        <v>0</v>
      </c>
      <c r="G3479" s="396">
        <f>+F3478</f>
        <v>4904</v>
      </c>
      <c r="H3479" s="347" t="str">
        <f>+H3478</f>
        <v>Misa DCT</v>
      </c>
      <c r="I3479" s="347" t="s">
        <v>1303</v>
      </c>
      <c r="K3479" s="370"/>
      <c r="N3479" s="370"/>
    </row>
    <row r="3480" spans="1:14" s="347" customFormat="1" x14ac:dyDescent="0.25">
      <c r="A3480" s="369"/>
      <c r="E3480" s="396"/>
      <c r="F3480" s="396"/>
      <c r="G3480" s="396"/>
      <c r="K3480" s="370"/>
      <c r="N3480" s="370"/>
    </row>
    <row r="3481" spans="1:14" s="347" customFormat="1" x14ac:dyDescent="0.25">
      <c r="A3481" s="369">
        <v>44377</v>
      </c>
      <c r="B3481" s="340">
        <f>+MONTH(A3481)</f>
        <v>6</v>
      </c>
      <c r="C3481" s="347">
        <v>110</v>
      </c>
      <c r="D3481" s="340" t="str">
        <f>VLOOKUP(C3481,Plan!A$1:B$65542,2,0)</f>
        <v>Disponible Administración</v>
      </c>
      <c r="E3481" s="341">
        <f>+F3481-G3481</f>
        <v>78458</v>
      </c>
      <c r="F3481" s="396">
        <v>78458</v>
      </c>
      <c r="G3481" s="396">
        <v>0</v>
      </c>
      <c r="H3481" s="347" t="s">
        <v>1529</v>
      </c>
      <c r="I3481" s="347" t="s">
        <v>1303</v>
      </c>
      <c r="K3481" s="370"/>
      <c r="N3481" s="370"/>
    </row>
    <row r="3482" spans="1:14" s="347" customFormat="1" x14ac:dyDescent="0.25">
      <c r="A3482" s="369">
        <f>+A3481</f>
        <v>44377</v>
      </c>
      <c r="B3482" s="347">
        <f>+B3481</f>
        <v>6</v>
      </c>
      <c r="C3482" s="347">
        <v>3450</v>
      </c>
      <c r="D3482" s="340" t="str">
        <f>VLOOKUP(C3482,Plan!A$1:B$65542,2,0)</f>
        <v>Pastoral Social</v>
      </c>
      <c r="E3482" s="396">
        <f>-G3482</f>
        <v>-78458</v>
      </c>
      <c r="F3482" s="396">
        <v>0</v>
      </c>
      <c r="G3482" s="396">
        <f>+F3481</f>
        <v>78458</v>
      </c>
      <c r="H3482" s="347" t="str">
        <f>+H3481</f>
        <v>Canastas DCT</v>
      </c>
      <c r="I3482" s="347" t="s">
        <v>1303</v>
      </c>
      <c r="K3482" s="370"/>
      <c r="N3482" s="370"/>
    </row>
    <row r="3483" spans="1:14" s="347" customFormat="1" x14ac:dyDescent="0.25">
      <c r="A3483" s="369"/>
      <c r="E3483" s="396"/>
      <c r="F3483" s="396"/>
      <c r="G3483" s="396"/>
      <c r="K3483" s="370"/>
      <c r="N3483" s="370"/>
    </row>
    <row r="3484" spans="1:14" s="347" customFormat="1" x14ac:dyDescent="0.25">
      <c r="A3484" s="369">
        <v>44377</v>
      </c>
      <c r="B3484" s="340">
        <f>+MONTH(A3484)</f>
        <v>6</v>
      </c>
      <c r="C3484" s="347">
        <v>110</v>
      </c>
      <c r="D3484" s="340" t="str">
        <f>VLOOKUP(C3484,Plan!A$1:B$65542,2,0)</f>
        <v>Disponible Administración</v>
      </c>
      <c r="E3484" s="341">
        <f>+F3484-G3484</f>
        <v>20000</v>
      </c>
      <c r="F3484" s="396">
        <v>20000</v>
      </c>
      <c r="G3484" s="396">
        <v>0</v>
      </c>
      <c r="H3484" s="347" t="s">
        <v>962</v>
      </c>
      <c r="I3484" s="347" t="s">
        <v>1303</v>
      </c>
      <c r="K3484" s="370"/>
      <c r="N3484" s="370"/>
    </row>
    <row r="3485" spans="1:14" s="347" customFormat="1" x14ac:dyDescent="0.25">
      <c r="A3485" s="369">
        <f>+A3484</f>
        <v>44377</v>
      </c>
      <c r="B3485" s="347">
        <f>+B3484</f>
        <v>6</v>
      </c>
      <c r="C3485" s="347">
        <v>3110</v>
      </c>
      <c r="D3485" s="340" t="str">
        <f>VLOOKUP(C3485,Plan!A$1:B$65542,2,0)</f>
        <v>Colectas Normales</v>
      </c>
      <c r="E3485" s="396">
        <f>-G3485</f>
        <v>-20000</v>
      </c>
      <c r="F3485" s="396">
        <v>0</v>
      </c>
      <c r="G3485" s="396">
        <f>+F3484</f>
        <v>20000</v>
      </c>
      <c r="H3485" s="347" t="str">
        <f>+H3484</f>
        <v>Colecta Pablo Garcia</v>
      </c>
      <c r="I3485" s="347" t="s">
        <v>1303</v>
      </c>
      <c r="K3485" s="370"/>
      <c r="N3485" s="370"/>
    </row>
    <row r="3486" spans="1:14" s="347" customFormat="1" x14ac:dyDescent="0.25">
      <c r="A3486" s="369"/>
      <c r="E3486" s="396"/>
      <c r="F3486" s="396"/>
      <c r="G3486" s="396"/>
      <c r="K3486" s="370"/>
      <c r="N3486" s="370"/>
    </row>
    <row r="3487" spans="1:14" s="347" customFormat="1" x14ac:dyDescent="0.25">
      <c r="A3487" s="369">
        <v>44377</v>
      </c>
      <c r="B3487" s="340">
        <f>+MONTH(A3487)</f>
        <v>6</v>
      </c>
      <c r="C3487" s="347">
        <v>110</v>
      </c>
      <c r="D3487" s="340" t="str">
        <f>VLOOKUP(C3487,Plan!A$1:B$65542,2,0)</f>
        <v>Disponible Administración</v>
      </c>
      <c r="E3487" s="341">
        <f>+F3487-G3487</f>
        <v>40000</v>
      </c>
      <c r="F3487" s="396">
        <v>40000</v>
      </c>
      <c r="G3487" s="396">
        <v>0</v>
      </c>
      <c r="H3487" s="347" t="s">
        <v>1548</v>
      </c>
      <c r="I3487" s="347" t="s">
        <v>1303</v>
      </c>
      <c r="K3487" s="370"/>
      <c r="N3487" s="370"/>
    </row>
    <row r="3488" spans="1:14" s="347" customFormat="1" x14ac:dyDescent="0.25">
      <c r="A3488" s="369">
        <f>+A3487</f>
        <v>44377</v>
      </c>
      <c r="B3488" s="347">
        <f>+B3487</f>
        <v>6</v>
      </c>
      <c r="C3488" s="347">
        <v>3450</v>
      </c>
      <c r="D3488" s="340" t="str">
        <f>VLOOKUP(C3488,Plan!A$1:B$65542,2,0)</f>
        <v>Pastoral Social</v>
      </c>
      <c r="E3488" s="396">
        <f>-G3488</f>
        <v>-40000</v>
      </c>
      <c r="F3488" s="396">
        <v>0</v>
      </c>
      <c r="G3488" s="396">
        <f>+F3487</f>
        <v>40000</v>
      </c>
      <c r="H3488" s="347" t="str">
        <f>+H3487</f>
        <v>Canastas Pablo Garcia</v>
      </c>
      <c r="I3488" s="347" t="s">
        <v>1303</v>
      </c>
      <c r="K3488" s="370"/>
      <c r="N3488" s="370"/>
    </row>
    <row r="3489" spans="1:14" s="347" customFormat="1" x14ac:dyDescent="0.25">
      <c r="A3489" s="369"/>
      <c r="E3489" s="396"/>
      <c r="F3489" s="396"/>
      <c r="G3489" s="396"/>
      <c r="K3489" s="370"/>
      <c r="N3489" s="370"/>
    </row>
    <row r="3490" spans="1:14" s="347" customFormat="1" x14ac:dyDescent="0.25">
      <c r="A3490" s="369">
        <v>44377</v>
      </c>
      <c r="B3490" s="340">
        <f>+MONTH(A3490)</f>
        <v>6</v>
      </c>
      <c r="C3490" s="347">
        <v>110</v>
      </c>
      <c r="D3490" s="340" t="str">
        <f>VLOOKUP(C3490,Plan!A$1:B$65542,2,0)</f>
        <v>Disponible Administración</v>
      </c>
      <c r="E3490" s="341">
        <f>+F3490-G3490</f>
        <v>12000</v>
      </c>
      <c r="F3490" s="396">
        <v>12000</v>
      </c>
      <c r="G3490" s="396">
        <v>0</v>
      </c>
      <c r="H3490" s="347" t="s">
        <v>1318</v>
      </c>
      <c r="I3490" s="347" t="s">
        <v>1303</v>
      </c>
      <c r="K3490" s="370"/>
      <c r="N3490" s="370"/>
    </row>
    <row r="3491" spans="1:14" s="347" customFormat="1" x14ac:dyDescent="0.25">
      <c r="A3491" s="369">
        <f>+A3490</f>
        <v>44377</v>
      </c>
      <c r="B3491" s="347">
        <f>+B3490</f>
        <v>6</v>
      </c>
      <c r="C3491" s="347">
        <v>3110</v>
      </c>
      <c r="D3491" s="340" t="str">
        <f>VLOOKUP(C3491,Plan!A$1:B$65542,2,0)</f>
        <v>Colectas Normales</v>
      </c>
      <c r="E3491" s="396">
        <f>-G3491</f>
        <v>-12000</v>
      </c>
      <c r="F3491" s="396">
        <v>0</v>
      </c>
      <c r="G3491" s="396">
        <f>+F3490</f>
        <v>12000</v>
      </c>
      <c r="H3491" s="347" t="str">
        <f>+H3490</f>
        <v>Colecta Jaime Andres Court Viviani</v>
      </c>
      <c r="I3491" s="347" t="s">
        <v>1303</v>
      </c>
      <c r="K3491" s="370"/>
      <c r="N3491" s="370"/>
    </row>
    <row r="3492" spans="1:14" s="347" customFormat="1" x14ac:dyDescent="0.25">
      <c r="A3492" s="369"/>
      <c r="E3492" s="396"/>
      <c r="F3492" s="396"/>
      <c r="G3492" s="396"/>
      <c r="K3492" s="370"/>
      <c r="N3492" s="370"/>
    </row>
    <row r="3493" spans="1:14" s="347" customFormat="1" x14ac:dyDescent="0.25">
      <c r="A3493" s="369">
        <v>44377</v>
      </c>
      <c r="B3493" s="340">
        <f>+MONTH(A3493)</f>
        <v>6</v>
      </c>
      <c r="C3493" s="347">
        <v>110</v>
      </c>
      <c r="D3493" s="340" t="str">
        <f>VLOOKUP(C3493,Plan!A$1:B$65542,2,0)</f>
        <v>Disponible Administración</v>
      </c>
      <c r="E3493" s="341">
        <f>+F3493-G3493</f>
        <v>30000</v>
      </c>
      <c r="F3493" s="396">
        <v>30000</v>
      </c>
      <c r="G3493" s="396">
        <v>0</v>
      </c>
      <c r="H3493" s="347" t="s">
        <v>1632</v>
      </c>
      <c r="I3493" s="347" t="s">
        <v>1303</v>
      </c>
      <c r="K3493" s="370"/>
      <c r="N3493" s="370"/>
    </row>
    <row r="3494" spans="1:14" s="347" customFormat="1" x14ac:dyDescent="0.25">
      <c r="A3494" s="369">
        <f>+A3493</f>
        <v>44377</v>
      </c>
      <c r="B3494" s="347">
        <f>+B3493</f>
        <v>6</v>
      </c>
      <c r="C3494" s="347">
        <v>215</v>
      </c>
      <c r="D3494" s="340" t="str">
        <f>VLOOKUP(C3494,Plan!A$1:B$65542,2,0)</f>
        <v>Cuenta por Pagar a Cali</v>
      </c>
      <c r="E3494" s="396">
        <f>-G3494</f>
        <v>-30000</v>
      </c>
      <c r="F3494" s="396">
        <v>0</v>
      </c>
      <c r="G3494" s="396">
        <f>+F3493</f>
        <v>30000</v>
      </c>
      <c r="H3494" s="347" t="str">
        <f>+H3493</f>
        <v>Jaime Andres Court Viviani / 249</v>
      </c>
      <c r="I3494" s="347" t="s">
        <v>1303</v>
      </c>
      <c r="K3494" s="370"/>
      <c r="N3494" s="370"/>
    </row>
    <row r="3495" spans="1:14" s="347" customFormat="1" x14ac:dyDescent="0.25">
      <c r="A3495" s="369"/>
      <c r="E3495" s="396"/>
      <c r="F3495" s="396"/>
      <c r="G3495" s="396"/>
      <c r="K3495" s="370"/>
      <c r="N3495" s="370"/>
    </row>
    <row r="3496" spans="1:14" s="347" customFormat="1" x14ac:dyDescent="0.25">
      <c r="A3496" s="369">
        <v>44377</v>
      </c>
      <c r="B3496" s="340">
        <f>+MONTH(A3496)</f>
        <v>6</v>
      </c>
      <c r="C3496" s="347">
        <v>110</v>
      </c>
      <c r="D3496" s="340" t="str">
        <f>VLOOKUP(C3496,Plan!A$1:B$65542,2,0)</f>
        <v>Disponible Administración</v>
      </c>
      <c r="E3496" s="341">
        <f>+F3496-G3496</f>
        <v>100000</v>
      </c>
      <c r="F3496" s="396">
        <v>100000</v>
      </c>
      <c r="G3496" s="396">
        <v>0</v>
      </c>
      <c r="H3496" s="347" t="s">
        <v>1557</v>
      </c>
      <c r="I3496" s="347" t="s">
        <v>1303</v>
      </c>
      <c r="K3496" s="370"/>
      <c r="N3496" s="370"/>
    </row>
    <row r="3497" spans="1:14" s="347" customFormat="1" x14ac:dyDescent="0.25">
      <c r="A3497" s="369">
        <f>+A3496</f>
        <v>44377</v>
      </c>
      <c r="B3497" s="347">
        <f>+B3496</f>
        <v>6</v>
      </c>
      <c r="C3497" s="347">
        <v>3450</v>
      </c>
      <c r="D3497" s="340" t="str">
        <f>VLOOKUP(C3497,Plan!A$1:B$65542,2,0)</f>
        <v>Pastoral Social</v>
      </c>
      <c r="E3497" s="396">
        <f>-G3497</f>
        <v>-100000</v>
      </c>
      <c r="F3497" s="396">
        <v>0</v>
      </c>
      <c r="G3497" s="396">
        <f>+F3496</f>
        <v>100000</v>
      </c>
      <c r="H3497" s="347" t="str">
        <f>+H3496</f>
        <v>Canastas NN</v>
      </c>
      <c r="I3497" s="347" t="s">
        <v>1303</v>
      </c>
      <c r="K3497" s="370"/>
      <c r="N3497" s="370"/>
    </row>
    <row r="3498" spans="1:14" s="347" customFormat="1" x14ac:dyDescent="0.25">
      <c r="A3498" s="369"/>
      <c r="E3498" s="396"/>
      <c r="F3498" s="396"/>
      <c r="G3498" s="396"/>
      <c r="K3498" s="370"/>
      <c r="N3498" s="370"/>
    </row>
    <row r="3499" spans="1:14" s="347" customFormat="1" x14ac:dyDescent="0.25">
      <c r="A3499" s="369">
        <v>44377</v>
      </c>
      <c r="B3499" s="340">
        <f>+MONTH(A3499)</f>
        <v>6</v>
      </c>
      <c r="C3499" s="347">
        <v>110</v>
      </c>
      <c r="D3499" s="340" t="str">
        <f>VLOOKUP(C3499,Plan!A$1:B$65542,2,0)</f>
        <v>Disponible Administración</v>
      </c>
      <c r="E3499" s="341">
        <f>+F3499-G3499</f>
        <v>355000</v>
      </c>
      <c r="F3499" s="396">
        <v>355000</v>
      </c>
      <c r="G3499" s="396">
        <v>0</v>
      </c>
      <c r="H3499" s="347" t="s">
        <v>1633</v>
      </c>
      <c r="I3499" s="347" t="s">
        <v>1303</v>
      </c>
      <c r="K3499" s="370"/>
      <c r="N3499" s="370"/>
    </row>
    <row r="3500" spans="1:14" s="347" customFormat="1" x14ac:dyDescent="0.25">
      <c r="A3500" s="369">
        <f>+A3499</f>
        <v>44377</v>
      </c>
      <c r="B3500" s="347">
        <f>+B3499</f>
        <v>6</v>
      </c>
      <c r="C3500" s="347">
        <v>3360</v>
      </c>
      <c r="D3500" s="340" t="str">
        <f>VLOOKUP(C3500,Plan!A$1:B$65542,2,0)</f>
        <v>Otros</v>
      </c>
      <c r="E3500" s="396">
        <f>-G3500</f>
        <v>-355000</v>
      </c>
      <c r="F3500" s="396">
        <v>0</v>
      </c>
      <c r="G3500" s="396">
        <f>+F3499</f>
        <v>355000</v>
      </c>
      <c r="H3500" s="347" t="str">
        <f>+H3499</f>
        <v>Devolucion Error En Transferencia</v>
      </c>
      <c r="I3500" s="347" t="s">
        <v>1303</v>
      </c>
      <c r="K3500" s="370"/>
      <c r="N3500" s="370"/>
    </row>
    <row r="3501" spans="1:14" s="347" customFormat="1" x14ac:dyDescent="0.25">
      <c r="A3501" s="369"/>
      <c r="D3501" s="340"/>
      <c r="E3501" s="396"/>
      <c r="F3501" s="396"/>
      <c r="G3501" s="396"/>
      <c r="K3501" s="370"/>
      <c r="N3501" s="370"/>
    </row>
    <row r="3502" spans="1:14" s="347" customFormat="1" x14ac:dyDescent="0.25">
      <c r="A3502" s="369">
        <v>44377</v>
      </c>
      <c r="B3502" s="340">
        <f>+MONTH(A3502)</f>
        <v>6</v>
      </c>
      <c r="C3502" s="347">
        <v>142</v>
      </c>
      <c r="D3502" s="340" t="str">
        <f>VLOOKUP(C3502,Plan!A$1:B$65542,2,0)</f>
        <v>Cuentas por Cobrar a CALI (Colectas)</v>
      </c>
      <c r="E3502" s="341">
        <f t="shared" ref="E3502:E3509" si="27">+F3502-G3502</f>
        <v>12000</v>
      </c>
      <c r="F3502" s="396">
        <v>12000</v>
      </c>
      <c r="G3502" s="396">
        <v>0</v>
      </c>
      <c r="H3502" t="s">
        <v>982</v>
      </c>
      <c r="I3502" s="347" t="s">
        <v>1303</v>
      </c>
      <c r="K3502"/>
      <c r="L3502" s="264"/>
      <c r="N3502" s="370"/>
    </row>
    <row r="3503" spans="1:14" s="347" customFormat="1" x14ac:dyDescent="0.25">
      <c r="A3503" s="369">
        <v>44377</v>
      </c>
      <c r="B3503" s="340">
        <f t="shared" ref="B3503:B3509" si="28">+MONTH(A3503)</f>
        <v>6</v>
      </c>
      <c r="C3503" s="347">
        <v>142</v>
      </c>
      <c r="D3503" s="340" t="str">
        <f>VLOOKUP(C3503,Plan!A$1:B$65542,2,0)</f>
        <v>Cuentas por Cobrar a CALI (Colectas)</v>
      </c>
      <c r="E3503" s="341">
        <f t="shared" si="27"/>
        <v>20000</v>
      </c>
      <c r="F3503" s="396">
        <v>20000</v>
      </c>
      <c r="G3503" s="396">
        <v>0</v>
      </c>
      <c r="H3503" t="s">
        <v>1046</v>
      </c>
      <c r="I3503" s="347" t="s">
        <v>1303</v>
      </c>
      <c r="K3503"/>
      <c r="L3503" s="264"/>
      <c r="N3503" s="370"/>
    </row>
    <row r="3504" spans="1:14" s="347" customFormat="1" x14ac:dyDescent="0.25">
      <c r="A3504" s="369">
        <v>44377</v>
      </c>
      <c r="B3504" s="340">
        <f t="shared" si="28"/>
        <v>6</v>
      </c>
      <c r="C3504" s="347">
        <v>142</v>
      </c>
      <c r="D3504" s="340" t="str">
        <f>VLOOKUP(C3504,Plan!A$1:B$65542,2,0)</f>
        <v>Cuentas por Cobrar a CALI (Colectas)</v>
      </c>
      <c r="E3504" s="341">
        <f t="shared" si="27"/>
        <v>8000</v>
      </c>
      <c r="F3504" s="396">
        <v>8000</v>
      </c>
      <c r="G3504" s="396">
        <v>0</v>
      </c>
      <c r="H3504" t="s">
        <v>1010</v>
      </c>
      <c r="I3504" s="347" t="s">
        <v>1303</v>
      </c>
      <c r="K3504"/>
      <c r="L3504" s="264"/>
      <c r="N3504" s="370"/>
    </row>
    <row r="3505" spans="1:14" s="347" customFormat="1" x14ac:dyDescent="0.25">
      <c r="A3505" s="369">
        <v>44377</v>
      </c>
      <c r="B3505" s="340">
        <f t="shared" si="28"/>
        <v>6</v>
      </c>
      <c r="C3505" s="347">
        <v>142</v>
      </c>
      <c r="D3505" s="340" t="str">
        <f>VLOOKUP(C3505,Plan!A$1:B$65542,2,0)</f>
        <v>Cuentas por Cobrar a CALI (Colectas)</v>
      </c>
      <c r="E3505" s="341">
        <f t="shared" si="27"/>
        <v>5000</v>
      </c>
      <c r="F3505" s="396">
        <v>5000</v>
      </c>
      <c r="G3505" s="396">
        <v>0</v>
      </c>
      <c r="H3505" t="s">
        <v>1736</v>
      </c>
      <c r="I3505" s="347" t="s">
        <v>1303</v>
      </c>
      <c r="K3505"/>
      <c r="L3505" s="264"/>
      <c r="N3505" s="370"/>
    </row>
    <row r="3506" spans="1:14" s="347" customFormat="1" x14ac:dyDescent="0.25">
      <c r="A3506" s="369">
        <v>44377</v>
      </c>
      <c r="B3506" s="340">
        <f>+MONTH(A3506)</f>
        <v>6</v>
      </c>
      <c r="C3506" s="347">
        <v>3110</v>
      </c>
      <c r="D3506" s="340" t="str">
        <f>VLOOKUP(C3506,Plan!A$1:B$65542,2,0)</f>
        <v>Colectas Normales</v>
      </c>
      <c r="E3506" s="341">
        <f t="shared" si="27"/>
        <v>-12000</v>
      </c>
      <c r="F3506" s="396">
        <v>0</v>
      </c>
      <c r="G3506" s="396">
        <v>12000</v>
      </c>
      <c r="H3506" t="s">
        <v>982</v>
      </c>
      <c r="I3506" s="347" t="s">
        <v>1303</v>
      </c>
      <c r="K3506" s="370"/>
      <c r="N3506" s="370"/>
    </row>
    <row r="3507" spans="1:14" s="347" customFormat="1" x14ac:dyDescent="0.25">
      <c r="A3507" s="369">
        <v>44377</v>
      </c>
      <c r="B3507" s="340">
        <f t="shared" si="28"/>
        <v>6</v>
      </c>
      <c r="C3507" s="347">
        <v>3110</v>
      </c>
      <c r="D3507" s="340" t="str">
        <f>VLOOKUP(C3507,Plan!A$1:B$65542,2,0)</f>
        <v>Colectas Normales</v>
      </c>
      <c r="E3507" s="341">
        <f t="shared" si="27"/>
        <v>-20000</v>
      </c>
      <c r="F3507" s="396">
        <v>0</v>
      </c>
      <c r="G3507" s="396">
        <v>20000</v>
      </c>
      <c r="H3507" t="s">
        <v>1046</v>
      </c>
      <c r="I3507" s="347" t="s">
        <v>1303</v>
      </c>
      <c r="K3507" s="370"/>
      <c r="N3507" s="370"/>
    </row>
    <row r="3508" spans="1:14" s="347" customFormat="1" x14ac:dyDescent="0.25">
      <c r="A3508" s="369">
        <v>44377</v>
      </c>
      <c r="B3508" s="340">
        <f t="shared" si="28"/>
        <v>6</v>
      </c>
      <c r="C3508" s="347">
        <v>3110</v>
      </c>
      <c r="D3508" s="340" t="str">
        <f>VLOOKUP(C3508,Plan!A$1:B$65542,2,0)</f>
        <v>Colectas Normales</v>
      </c>
      <c r="E3508" s="341">
        <f t="shared" si="27"/>
        <v>-8000</v>
      </c>
      <c r="F3508" s="396">
        <v>0</v>
      </c>
      <c r="G3508" s="396">
        <v>8000</v>
      </c>
      <c r="H3508" t="s">
        <v>1010</v>
      </c>
      <c r="I3508" s="347" t="s">
        <v>1303</v>
      </c>
      <c r="K3508" s="370"/>
      <c r="N3508" s="370"/>
    </row>
    <row r="3509" spans="1:14" s="347" customFormat="1" x14ac:dyDescent="0.25">
      <c r="A3509" s="369">
        <v>44377</v>
      </c>
      <c r="B3509" s="340">
        <f t="shared" si="28"/>
        <v>6</v>
      </c>
      <c r="C3509" s="347">
        <v>3110</v>
      </c>
      <c r="D3509" s="340" t="str">
        <f>VLOOKUP(C3509,Plan!A$1:B$65542,2,0)</f>
        <v>Colectas Normales</v>
      </c>
      <c r="E3509" s="341">
        <f t="shared" si="27"/>
        <v>-5000</v>
      </c>
      <c r="F3509" s="396">
        <v>0</v>
      </c>
      <c r="G3509" s="396">
        <v>5000</v>
      </c>
      <c r="H3509" t="s">
        <v>1736</v>
      </c>
      <c r="I3509" s="347" t="s">
        <v>1303</v>
      </c>
      <c r="K3509" s="370"/>
      <c r="N3509" s="370"/>
    </row>
    <row r="3510" spans="1:14" s="347" customFormat="1" x14ac:dyDescent="0.25">
      <c r="A3510" s="369"/>
      <c r="D3510" s="340"/>
      <c r="E3510" s="396"/>
      <c r="F3510" s="396"/>
      <c r="G3510" s="396"/>
      <c r="K3510" s="370"/>
      <c r="N3510" s="370"/>
    </row>
    <row r="3511" spans="1:14" s="347" customFormat="1" x14ac:dyDescent="0.25">
      <c r="A3511" s="369">
        <v>44377</v>
      </c>
      <c r="B3511" s="340">
        <f t="shared" ref="B3511:B3516" si="29">+MONTH(A3511)</f>
        <v>6</v>
      </c>
      <c r="C3511" s="347">
        <v>143</v>
      </c>
      <c r="D3511" s="340" t="str">
        <f>VLOOKUP(C3511,Plan!A$1:B$65542,2,0)</f>
        <v>Cuentas por Cobrar a CALI (Canastas)</v>
      </c>
      <c r="E3511" s="341">
        <f t="shared" ref="E3511:E3516" si="30">+F3511-G3511</f>
        <v>20000</v>
      </c>
      <c r="F3511" s="396">
        <v>20000</v>
      </c>
      <c r="G3511" s="396">
        <v>0</v>
      </c>
      <c r="H3511" t="s">
        <v>1686</v>
      </c>
      <c r="I3511" s="347" t="s">
        <v>1303</v>
      </c>
      <c r="K3511"/>
      <c r="L3511" s="264"/>
      <c r="N3511" s="370"/>
    </row>
    <row r="3512" spans="1:14" s="347" customFormat="1" x14ac:dyDescent="0.25">
      <c r="A3512" s="369">
        <v>44377</v>
      </c>
      <c r="B3512" s="340">
        <f t="shared" si="29"/>
        <v>6</v>
      </c>
      <c r="C3512" s="347">
        <v>143</v>
      </c>
      <c r="D3512" s="340" t="str">
        <f>VLOOKUP(C3512,Plan!A$1:B$65542,2,0)</f>
        <v>Cuentas por Cobrar a CALI (Canastas)</v>
      </c>
      <c r="E3512" s="341">
        <f t="shared" si="30"/>
        <v>20000</v>
      </c>
      <c r="F3512" s="396">
        <v>20000</v>
      </c>
      <c r="G3512" s="396">
        <v>0</v>
      </c>
      <c r="H3512" t="s">
        <v>1773</v>
      </c>
      <c r="I3512" s="347" t="s">
        <v>1303</v>
      </c>
      <c r="K3512"/>
      <c r="L3512" s="264"/>
      <c r="N3512" s="370"/>
    </row>
    <row r="3513" spans="1:14" s="347" customFormat="1" x14ac:dyDescent="0.25">
      <c r="A3513" s="369">
        <v>44377</v>
      </c>
      <c r="B3513" s="340">
        <f t="shared" si="29"/>
        <v>6</v>
      </c>
      <c r="C3513" s="347">
        <v>143</v>
      </c>
      <c r="D3513" s="340" t="str">
        <f>VLOOKUP(C3513,Plan!A$1:B$65542,2,0)</f>
        <v>Cuentas por Cobrar a CALI (Canastas)</v>
      </c>
      <c r="E3513" s="341">
        <f t="shared" si="30"/>
        <v>20000</v>
      </c>
      <c r="F3513" s="396">
        <v>20000</v>
      </c>
      <c r="G3513" s="396">
        <v>0</v>
      </c>
      <c r="H3513" t="s">
        <v>1777</v>
      </c>
      <c r="I3513" s="347" t="s">
        <v>1303</v>
      </c>
      <c r="K3513"/>
      <c r="L3513" s="264"/>
      <c r="N3513" s="370"/>
    </row>
    <row r="3514" spans="1:14" s="347" customFormat="1" x14ac:dyDescent="0.25">
      <c r="A3514" s="369">
        <v>44377</v>
      </c>
      <c r="B3514" s="340">
        <f t="shared" si="29"/>
        <v>6</v>
      </c>
      <c r="C3514" s="347">
        <v>3450</v>
      </c>
      <c r="D3514" s="340" t="str">
        <f>VLOOKUP(C3514,Plan!A$1:B$65542,2,0)</f>
        <v>Pastoral Social</v>
      </c>
      <c r="E3514" s="341">
        <f t="shared" si="30"/>
        <v>-20000</v>
      </c>
      <c r="F3514" s="396">
        <v>0</v>
      </c>
      <c r="G3514" s="396">
        <v>20000</v>
      </c>
      <c r="H3514" t="s">
        <v>1686</v>
      </c>
      <c r="I3514" s="347" t="s">
        <v>1303</v>
      </c>
      <c r="K3514" s="370"/>
      <c r="N3514" s="370"/>
    </row>
    <row r="3515" spans="1:14" s="347" customFormat="1" x14ac:dyDescent="0.25">
      <c r="A3515" s="369">
        <v>44377</v>
      </c>
      <c r="B3515" s="340">
        <f t="shared" si="29"/>
        <v>6</v>
      </c>
      <c r="C3515" s="347">
        <v>3450</v>
      </c>
      <c r="D3515" s="340" t="str">
        <f>VLOOKUP(C3515,Plan!A$1:B$65542,2,0)</f>
        <v>Pastoral Social</v>
      </c>
      <c r="E3515" s="341">
        <f t="shared" si="30"/>
        <v>-20000</v>
      </c>
      <c r="F3515" s="396">
        <v>0</v>
      </c>
      <c r="G3515" s="396">
        <v>20000</v>
      </c>
      <c r="H3515" t="s">
        <v>1773</v>
      </c>
      <c r="I3515" s="347" t="s">
        <v>1303</v>
      </c>
      <c r="K3515" s="370"/>
      <c r="N3515" s="370"/>
    </row>
    <row r="3516" spans="1:14" s="347" customFormat="1" x14ac:dyDescent="0.25">
      <c r="A3516" s="369">
        <v>44377</v>
      </c>
      <c r="B3516" s="340">
        <f t="shared" si="29"/>
        <v>6</v>
      </c>
      <c r="C3516" s="347">
        <v>3450</v>
      </c>
      <c r="D3516" s="340" t="str">
        <f>VLOOKUP(C3516,Plan!A$1:B$65542,2,0)</f>
        <v>Pastoral Social</v>
      </c>
      <c r="E3516" s="341">
        <f t="shared" si="30"/>
        <v>-20000</v>
      </c>
      <c r="F3516" s="396">
        <v>0</v>
      </c>
      <c r="G3516" s="396">
        <v>20000</v>
      </c>
      <c r="H3516" t="s">
        <v>1777</v>
      </c>
      <c r="I3516" s="347" t="s">
        <v>1303</v>
      </c>
      <c r="K3516" s="370"/>
      <c r="N3516" s="370"/>
    </row>
    <row r="3517" spans="1:14" s="347" customFormat="1" x14ac:dyDescent="0.25">
      <c r="A3517" s="369"/>
      <c r="E3517" s="396"/>
      <c r="F3517" s="396"/>
      <c r="G3517" s="396"/>
      <c r="K3517" s="370"/>
      <c r="N3517" s="370"/>
    </row>
    <row r="3518" spans="1:14" s="347" customFormat="1" x14ac:dyDescent="0.25">
      <c r="A3518" s="369">
        <v>44378</v>
      </c>
      <c r="B3518" s="340">
        <f>+MONTH(A3518)</f>
        <v>7</v>
      </c>
      <c r="C3518" s="347">
        <v>110</v>
      </c>
      <c r="D3518" s="340" t="str">
        <f>VLOOKUP(C3518,Plan!A$1:B$65542,2,0)</f>
        <v>Disponible Administración</v>
      </c>
      <c r="E3518" s="341">
        <f>+F3518-G3518</f>
        <v>20000</v>
      </c>
      <c r="F3518" s="396">
        <v>20000</v>
      </c>
      <c r="G3518" s="396">
        <v>0</v>
      </c>
      <c r="H3518" s="347" t="s">
        <v>1451</v>
      </c>
      <c r="I3518" s="347" t="s">
        <v>1303</v>
      </c>
      <c r="K3518" s="370"/>
      <c r="N3518" s="370"/>
    </row>
    <row r="3519" spans="1:14" s="347" customFormat="1" x14ac:dyDescent="0.25">
      <c r="A3519" s="369">
        <f>+A3518</f>
        <v>44378</v>
      </c>
      <c r="B3519" s="347">
        <f>+B3518</f>
        <v>7</v>
      </c>
      <c r="C3519" s="347">
        <v>3110</v>
      </c>
      <c r="D3519" s="340" t="str">
        <f>VLOOKUP(C3519,Plan!A$1:B$65542,2,0)</f>
        <v>Colectas Normales</v>
      </c>
      <c r="E3519" s="396">
        <f>-G3519</f>
        <v>-20000</v>
      </c>
      <c r="F3519" s="396">
        <v>0</v>
      </c>
      <c r="G3519" s="396">
        <f>+F3518</f>
        <v>20000</v>
      </c>
      <c r="H3519" s="347" t="str">
        <f>+H3518</f>
        <v>Colecta Fca. Orrego</v>
      </c>
      <c r="I3519" s="347" t="s">
        <v>1303</v>
      </c>
      <c r="K3519" s="370"/>
      <c r="N3519" s="370"/>
    </row>
    <row r="3520" spans="1:14" s="347" customFormat="1" x14ac:dyDescent="0.25">
      <c r="A3520" s="369"/>
      <c r="E3520" s="396"/>
      <c r="F3520" s="396"/>
      <c r="G3520" s="396"/>
      <c r="K3520" s="370"/>
      <c r="N3520" s="370"/>
    </row>
    <row r="3521" spans="1:14" s="347" customFormat="1" x14ac:dyDescent="0.25">
      <c r="A3521" s="369">
        <v>44378</v>
      </c>
      <c r="B3521" s="340">
        <f>+MONTH(A3521)</f>
        <v>7</v>
      </c>
      <c r="C3521" s="347">
        <v>110</v>
      </c>
      <c r="D3521" s="340" t="str">
        <f>VLOOKUP(C3521,Plan!A$1:B$65542,2,0)</f>
        <v>Disponible Administración</v>
      </c>
      <c r="E3521" s="341">
        <f>+F3521-G3521</f>
        <v>18000</v>
      </c>
      <c r="F3521" s="396">
        <v>18000</v>
      </c>
      <c r="G3521" s="396">
        <v>0</v>
      </c>
      <c r="H3521" s="347" t="s">
        <v>1575</v>
      </c>
      <c r="I3521" s="347" t="s">
        <v>1303</v>
      </c>
      <c r="K3521" s="370"/>
      <c r="N3521" s="370"/>
    </row>
    <row r="3522" spans="1:14" s="347" customFormat="1" x14ac:dyDescent="0.25">
      <c r="A3522" s="369">
        <f>+A3521</f>
        <v>44378</v>
      </c>
      <c r="B3522" s="347">
        <f>+B3521</f>
        <v>7</v>
      </c>
      <c r="C3522" s="347">
        <v>3110</v>
      </c>
      <c r="D3522" s="340" t="str">
        <f>VLOOKUP(C3522,Plan!A$1:B$65542,2,0)</f>
        <v>Colectas Normales</v>
      </c>
      <c r="E3522" s="396">
        <f>-G3522</f>
        <v>-18000</v>
      </c>
      <c r="F3522" s="396">
        <v>0</v>
      </c>
      <c r="G3522" s="396">
        <f>+F3521</f>
        <v>18000</v>
      </c>
      <c r="H3522" s="347" t="str">
        <f>+H3521</f>
        <v>Colecta Carlos Barriga A.</v>
      </c>
      <c r="I3522" s="347" t="s">
        <v>1303</v>
      </c>
      <c r="K3522" s="370"/>
      <c r="N3522" s="370"/>
    </row>
    <row r="3523" spans="1:14" s="347" customFormat="1" x14ac:dyDescent="0.25">
      <c r="A3523" s="369"/>
      <c r="E3523" s="396"/>
      <c r="F3523" s="396"/>
      <c r="G3523" s="396"/>
      <c r="K3523" s="370"/>
      <c r="N3523" s="370"/>
    </row>
    <row r="3524" spans="1:14" s="347" customFormat="1" x14ac:dyDescent="0.25">
      <c r="A3524" s="369">
        <v>44378</v>
      </c>
      <c r="B3524" s="340">
        <f>+MONTH(A3524)</f>
        <v>7</v>
      </c>
      <c r="C3524" s="347">
        <v>110</v>
      </c>
      <c r="D3524" s="340" t="str">
        <f>VLOOKUP(C3524,Plan!A$1:B$65542,2,0)</f>
        <v>Disponible Administración</v>
      </c>
      <c r="E3524" s="341">
        <f>+F3524-G3524</f>
        <v>500000</v>
      </c>
      <c r="F3524" s="396">
        <v>500000</v>
      </c>
      <c r="G3524" s="396">
        <v>0</v>
      </c>
      <c r="H3524" s="347" t="s">
        <v>1634</v>
      </c>
      <c r="I3524" s="347" t="s">
        <v>1303</v>
      </c>
      <c r="K3524" s="370"/>
      <c r="N3524" s="370"/>
    </row>
    <row r="3525" spans="1:14" s="347" customFormat="1" x14ac:dyDescent="0.25">
      <c r="A3525" s="369">
        <f>+A3524</f>
        <v>44378</v>
      </c>
      <c r="B3525" s="347">
        <f>+B3524</f>
        <v>7</v>
      </c>
      <c r="C3525" s="347">
        <v>3450</v>
      </c>
      <c r="D3525" s="340" t="str">
        <f>VLOOKUP(C3525,Plan!A$1:B$65542,2,0)</f>
        <v>Pastoral Social</v>
      </c>
      <c r="E3525" s="396">
        <f>-G3525</f>
        <v>-500000</v>
      </c>
      <c r="F3525" s="396">
        <v>0</v>
      </c>
      <c r="G3525" s="396">
        <f>+F3524</f>
        <v>500000</v>
      </c>
      <c r="H3525" s="347" t="str">
        <f>+H3524</f>
        <v>Canastas Jaime Carafi/ Memoria Sra, Silvia</v>
      </c>
      <c r="I3525" s="347" t="s">
        <v>1303</v>
      </c>
      <c r="K3525" s="370"/>
      <c r="N3525" s="370"/>
    </row>
    <row r="3526" spans="1:14" s="347" customFormat="1" x14ac:dyDescent="0.25">
      <c r="A3526" s="369"/>
      <c r="E3526" s="396"/>
      <c r="F3526" s="396"/>
      <c r="G3526" s="396"/>
      <c r="K3526" s="370"/>
      <c r="N3526" s="370"/>
    </row>
    <row r="3527" spans="1:14" s="347" customFormat="1" x14ac:dyDescent="0.25">
      <c r="A3527" s="369">
        <v>44378</v>
      </c>
      <c r="B3527" s="340">
        <f>+MONTH(A3527)</f>
        <v>7</v>
      </c>
      <c r="C3527" s="347">
        <v>110</v>
      </c>
      <c r="D3527" s="340" t="str">
        <f>VLOOKUP(C3527,Plan!A$1:B$65542,2,0)</f>
        <v>Disponible Administración</v>
      </c>
      <c r="E3527" s="341">
        <f>+F3527-G3527</f>
        <v>40000</v>
      </c>
      <c r="F3527" s="396">
        <v>40000</v>
      </c>
      <c r="G3527" s="396">
        <v>0</v>
      </c>
      <c r="H3527" s="347" t="s">
        <v>1520</v>
      </c>
      <c r="I3527" s="347" t="s">
        <v>1303</v>
      </c>
      <c r="K3527" s="370"/>
      <c r="N3527" s="370"/>
    </row>
    <row r="3528" spans="1:14" s="347" customFormat="1" x14ac:dyDescent="0.25">
      <c r="A3528" s="369">
        <f>+A3527</f>
        <v>44378</v>
      </c>
      <c r="B3528" s="347">
        <f>+B3527</f>
        <v>7</v>
      </c>
      <c r="C3528" s="347">
        <v>3450</v>
      </c>
      <c r="D3528" s="340" t="str">
        <f>VLOOKUP(C3528,Plan!A$1:B$65542,2,0)</f>
        <v>Pastoral Social</v>
      </c>
      <c r="E3528" s="396">
        <f>-G3528</f>
        <v>-40000</v>
      </c>
      <c r="F3528" s="396">
        <v>0</v>
      </c>
      <c r="G3528" s="396">
        <f>+F3527</f>
        <v>40000</v>
      </c>
      <c r="H3528" s="347" t="str">
        <f>+H3527</f>
        <v>Canastas Gonzalo Contardo M</v>
      </c>
      <c r="I3528" s="347" t="s">
        <v>1303</v>
      </c>
      <c r="K3528" s="370"/>
      <c r="N3528" s="370"/>
    </row>
    <row r="3529" spans="1:14" s="347" customFormat="1" x14ac:dyDescent="0.25">
      <c r="A3529" s="369"/>
      <c r="E3529" s="396"/>
      <c r="F3529" s="396"/>
      <c r="G3529" s="396"/>
      <c r="K3529" s="370"/>
      <c r="N3529" s="370"/>
    </row>
    <row r="3530" spans="1:14" s="347" customFormat="1" x14ac:dyDescent="0.25">
      <c r="A3530" s="369">
        <v>44378</v>
      </c>
      <c r="B3530" s="340">
        <f>+MONTH(A3530)</f>
        <v>7</v>
      </c>
      <c r="C3530" s="347">
        <v>110</v>
      </c>
      <c r="D3530" s="340" t="str">
        <f>VLOOKUP(C3530,Plan!A$1:B$65542,2,0)</f>
        <v>Disponible Administración</v>
      </c>
      <c r="E3530" s="341">
        <f>+F3530-G3530</f>
        <v>10000</v>
      </c>
      <c r="F3530" s="396">
        <v>10000</v>
      </c>
      <c r="G3530" s="396">
        <v>0</v>
      </c>
      <c r="H3530" s="347" t="s">
        <v>880</v>
      </c>
      <c r="I3530" s="347" t="s">
        <v>1303</v>
      </c>
      <c r="K3530" s="370"/>
      <c r="N3530" s="370"/>
    </row>
    <row r="3531" spans="1:14" s="347" customFormat="1" x14ac:dyDescent="0.25">
      <c r="A3531" s="369">
        <f>+A3530</f>
        <v>44378</v>
      </c>
      <c r="B3531" s="347">
        <f>+B3530</f>
        <v>7</v>
      </c>
      <c r="C3531" s="347">
        <v>3110</v>
      </c>
      <c r="D3531" s="340" t="str">
        <f>VLOOKUP(C3531,Plan!A$1:B$65542,2,0)</f>
        <v>Colectas Normales</v>
      </c>
      <c r="E3531" s="396">
        <f>-G3531</f>
        <v>-10000</v>
      </c>
      <c r="F3531" s="396">
        <v>0</v>
      </c>
      <c r="G3531" s="396">
        <f>+F3530</f>
        <v>10000</v>
      </c>
      <c r="H3531" s="347" t="str">
        <f>+H3530</f>
        <v>Colecta Sebastian Rios</v>
      </c>
      <c r="I3531" s="347" t="s">
        <v>1303</v>
      </c>
      <c r="K3531" s="370"/>
      <c r="N3531" s="370"/>
    </row>
    <row r="3532" spans="1:14" s="347" customFormat="1" x14ac:dyDescent="0.25">
      <c r="A3532" s="369"/>
      <c r="E3532" s="396"/>
      <c r="F3532" s="396"/>
      <c r="G3532" s="396"/>
      <c r="K3532" s="370"/>
      <c r="N3532" s="370"/>
    </row>
    <row r="3533" spans="1:14" s="347" customFormat="1" x14ac:dyDescent="0.25">
      <c r="A3533" s="369">
        <v>44378</v>
      </c>
      <c r="B3533" s="340">
        <f>+MONTH(A3533)</f>
        <v>7</v>
      </c>
      <c r="C3533" s="347">
        <v>110</v>
      </c>
      <c r="D3533" s="340" t="str">
        <f>VLOOKUP(C3533,Plan!A$1:B$65542,2,0)</f>
        <v>Disponible Administración</v>
      </c>
      <c r="E3533" s="341">
        <f>+F3533-G3533</f>
        <v>100000</v>
      </c>
      <c r="F3533" s="396">
        <v>100000</v>
      </c>
      <c r="G3533" s="396">
        <v>0</v>
      </c>
      <c r="H3533" s="347" t="s">
        <v>887</v>
      </c>
      <c r="I3533" s="347" t="s">
        <v>1303</v>
      </c>
      <c r="K3533" s="370"/>
      <c r="N3533" s="370"/>
    </row>
    <row r="3534" spans="1:14" s="347" customFormat="1" x14ac:dyDescent="0.25">
      <c r="A3534" s="369">
        <f>+A3533</f>
        <v>44378</v>
      </c>
      <c r="B3534" s="347">
        <f>+B3533</f>
        <v>7</v>
      </c>
      <c r="C3534" s="347">
        <v>3110</v>
      </c>
      <c r="D3534" s="340" t="str">
        <f>VLOOKUP(C3534,Plan!A$1:B$65542,2,0)</f>
        <v>Colectas Normales</v>
      </c>
      <c r="E3534" s="396">
        <f>-G3534</f>
        <v>-100000</v>
      </c>
      <c r="F3534" s="396">
        <v>0</v>
      </c>
      <c r="G3534" s="396">
        <f>+F3533</f>
        <v>100000</v>
      </c>
      <c r="H3534" s="347" t="str">
        <f>+H3533</f>
        <v>Colecta Fernando Varela</v>
      </c>
      <c r="I3534" s="347" t="s">
        <v>1303</v>
      </c>
      <c r="K3534" s="370"/>
      <c r="N3534" s="370"/>
    </row>
    <row r="3535" spans="1:14" s="347" customFormat="1" x14ac:dyDescent="0.25">
      <c r="A3535" s="369"/>
      <c r="E3535" s="396"/>
      <c r="F3535" s="396"/>
      <c r="G3535" s="396"/>
      <c r="K3535" s="370"/>
      <c r="N3535" s="370"/>
    </row>
    <row r="3536" spans="1:14" s="347" customFormat="1" x14ac:dyDescent="0.25">
      <c r="A3536" s="369">
        <v>44378</v>
      </c>
      <c r="B3536" s="340">
        <f>+MONTH(A3536)</f>
        <v>7</v>
      </c>
      <c r="C3536" s="347">
        <v>110</v>
      </c>
      <c r="D3536" s="340" t="str">
        <f>VLOOKUP(C3536,Plan!A$1:B$65542,2,0)</f>
        <v>Disponible Administración</v>
      </c>
      <c r="E3536" s="341">
        <f>+F3536-G3536</f>
        <v>16000</v>
      </c>
      <c r="F3536" s="396">
        <v>16000</v>
      </c>
      <c r="G3536" s="396">
        <v>0</v>
      </c>
      <c r="H3536" s="347" t="s">
        <v>1635</v>
      </c>
      <c r="I3536" s="347" t="s">
        <v>1303</v>
      </c>
      <c r="K3536" s="370"/>
      <c r="N3536" s="370"/>
    </row>
    <row r="3537" spans="1:14" s="347" customFormat="1" x14ac:dyDescent="0.25">
      <c r="A3537" s="369">
        <f>+A3536</f>
        <v>44378</v>
      </c>
      <c r="B3537" s="347">
        <f>+B3536</f>
        <v>7</v>
      </c>
      <c r="C3537" s="347">
        <v>3110</v>
      </c>
      <c r="D3537" s="340" t="str">
        <f>VLOOKUP(C3537,Plan!A$1:B$65542,2,0)</f>
        <v>Colectas Normales</v>
      </c>
      <c r="E3537" s="396">
        <f>-G3537</f>
        <v>-16000</v>
      </c>
      <c r="F3537" s="396">
        <v>0</v>
      </c>
      <c r="G3537" s="396">
        <f>+F3536</f>
        <v>16000</v>
      </c>
      <c r="H3537" s="347" t="str">
        <f>+H3536</f>
        <v>Colecta Maria Gloria Urrutia Cruz</v>
      </c>
      <c r="I3537" s="347" t="s">
        <v>1303</v>
      </c>
      <c r="K3537" s="370"/>
      <c r="N3537" s="370"/>
    </row>
    <row r="3538" spans="1:14" s="347" customFormat="1" x14ac:dyDescent="0.25">
      <c r="A3538" s="369"/>
      <c r="E3538" s="396"/>
      <c r="F3538" s="396"/>
      <c r="G3538" s="396"/>
      <c r="K3538" s="370"/>
      <c r="N3538" s="370"/>
    </row>
    <row r="3539" spans="1:14" s="347" customFormat="1" x14ac:dyDescent="0.25">
      <c r="A3539" s="369">
        <v>44378</v>
      </c>
      <c r="B3539" s="340">
        <f>+MONTH(A3539)</f>
        <v>7</v>
      </c>
      <c r="C3539" s="347">
        <v>110</v>
      </c>
      <c r="D3539" s="340" t="str">
        <f>VLOOKUP(C3539,Plan!A$1:B$65542,2,0)</f>
        <v>Disponible Administración</v>
      </c>
      <c r="E3539" s="341">
        <f>+F3539-G3539</f>
        <v>12000</v>
      </c>
      <c r="F3539" s="396">
        <v>12000</v>
      </c>
      <c r="G3539" s="396">
        <v>0</v>
      </c>
      <c r="H3539" s="347" t="s">
        <v>1163</v>
      </c>
      <c r="I3539" s="347" t="s">
        <v>1303</v>
      </c>
      <c r="K3539" s="370"/>
      <c r="N3539" s="370"/>
    </row>
    <row r="3540" spans="1:14" s="347" customFormat="1" x14ac:dyDescent="0.25">
      <c r="A3540" s="369">
        <f>+A3539</f>
        <v>44378</v>
      </c>
      <c r="B3540" s="347">
        <f>+B3539</f>
        <v>7</v>
      </c>
      <c r="C3540" s="347">
        <v>3110</v>
      </c>
      <c r="D3540" s="340" t="str">
        <f>VLOOKUP(C3540,Plan!A$1:B$65542,2,0)</f>
        <v>Colectas Normales</v>
      </c>
      <c r="E3540" s="396">
        <f>-G3540</f>
        <v>-12000</v>
      </c>
      <c r="F3540" s="396">
        <v>0</v>
      </c>
      <c r="G3540" s="396">
        <f>+F3539</f>
        <v>12000</v>
      </c>
      <c r="H3540" s="347" t="str">
        <f>+H3539</f>
        <v>Colecta Ricardo Cañas Cambiaso</v>
      </c>
      <c r="I3540" s="347" t="s">
        <v>1303</v>
      </c>
      <c r="K3540" s="370"/>
      <c r="N3540" s="370"/>
    </row>
    <row r="3541" spans="1:14" s="347" customFormat="1" x14ac:dyDescent="0.25">
      <c r="A3541" s="369"/>
      <c r="E3541" s="396"/>
      <c r="F3541" s="396"/>
      <c r="G3541" s="396"/>
      <c r="K3541" s="370"/>
      <c r="N3541" s="370"/>
    </row>
    <row r="3542" spans="1:14" s="347" customFormat="1" x14ac:dyDescent="0.25">
      <c r="A3542" s="369">
        <v>44378</v>
      </c>
      <c r="B3542" s="340">
        <f>+MONTH(A3542)</f>
        <v>7</v>
      </c>
      <c r="C3542" s="347">
        <v>110</v>
      </c>
      <c r="D3542" s="340" t="str">
        <f>VLOOKUP(C3542,Plan!A$1:B$65542,2,0)</f>
        <v>Disponible Administración</v>
      </c>
      <c r="E3542" s="341">
        <f>+F3542-G3542</f>
        <v>19614</v>
      </c>
      <c r="F3542" s="396">
        <v>19614</v>
      </c>
      <c r="G3542" s="396">
        <v>0</v>
      </c>
      <c r="H3542" s="347" t="s">
        <v>1529</v>
      </c>
      <c r="I3542" s="347" t="s">
        <v>1303</v>
      </c>
      <c r="K3542" s="370"/>
      <c r="N3542" s="370"/>
    </row>
    <row r="3543" spans="1:14" s="347" customFormat="1" x14ac:dyDescent="0.25">
      <c r="A3543" s="369">
        <f>+A3542</f>
        <v>44378</v>
      </c>
      <c r="B3543" s="347">
        <f>+B3542</f>
        <v>7</v>
      </c>
      <c r="C3543" s="347">
        <v>3450</v>
      </c>
      <c r="D3543" s="340" t="str">
        <f>VLOOKUP(C3543,Plan!A$1:B$65542,2,0)</f>
        <v>Pastoral Social</v>
      </c>
      <c r="E3543" s="396">
        <f>-G3543</f>
        <v>-19614</v>
      </c>
      <c r="F3543" s="396">
        <v>0</v>
      </c>
      <c r="G3543" s="396">
        <f>+F3542</f>
        <v>19614</v>
      </c>
      <c r="H3543" s="347" t="str">
        <f>+H3542</f>
        <v>Canastas DCT</v>
      </c>
      <c r="I3543" s="347" t="s">
        <v>1303</v>
      </c>
      <c r="K3543" s="370"/>
      <c r="N3543" s="370"/>
    </row>
    <row r="3544" spans="1:14" s="347" customFormat="1" x14ac:dyDescent="0.25">
      <c r="A3544" s="369"/>
      <c r="E3544" s="396"/>
      <c r="F3544" s="396"/>
      <c r="G3544" s="396"/>
      <c r="K3544" s="370"/>
      <c r="N3544" s="370"/>
    </row>
    <row r="3545" spans="1:14" s="347" customFormat="1" x14ac:dyDescent="0.25">
      <c r="A3545" s="369">
        <v>44378</v>
      </c>
      <c r="B3545" s="340">
        <f>+MONTH(A3545)</f>
        <v>7</v>
      </c>
      <c r="C3545" s="347">
        <v>110</v>
      </c>
      <c r="D3545" s="340" t="str">
        <f>VLOOKUP(C3545,Plan!A$1:B$65542,2,0)</f>
        <v>Disponible Administración</v>
      </c>
      <c r="E3545" s="341">
        <f>+F3545-G3545</f>
        <v>15000</v>
      </c>
      <c r="F3545" s="396">
        <v>15000</v>
      </c>
      <c r="G3545" s="396">
        <v>0</v>
      </c>
      <c r="H3545" s="347" t="s">
        <v>888</v>
      </c>
      <c r="I3545" s="347" t="s">
        <v>1303</v>
      </c>
      <c r="K3545" s="370"/>
      <c r="N3545" s="370"/>
    </row>
    <row r="3546" spans="1:14" s="347" customFormat="1" x14ac:dyDescent="0.25">
      <c r="A3546" s="369">
        <f>+A3545</f>
        <v>44378</v>
      </c>
      <c r="B3546" s="347">
        <f>+B3545</f>
        <v>7</v>
      </c>
      <c r="C3546" s="347">
        <v>3110</v>
      </c>
      <c r="D3546" s="340" t="str">
        <f>VLOOKUP(C3546,Plan!A$1:B$65542,2,0)</f>
        <v>Colectas Normales</v>
      </c>
      <c r="E3546" s="396">
        <f>-G3546</f>
        <v>-15000</v>
      </c>
      <c r="F3546" s="396">
        <v>0</v>
      </c>
      <c r="G3546" s="396">
        <f>+F3545</f>
        <v>15000</v>
      </c>
      <c r="H3546" s="347" t="str">
        <f>+H3545</f>
        <v>Colecta Gonzalo Contardo M</v>
      </c>
      <c r="I3546" s="347" t="s">
        <v>1303</v>
      </c>
      <c r="K3546" s="370"/>
      <c r="N3546" s="370"/>
    </row>
    <row r="3547" spans="1:14" s="347" customFormat="1" x14ac:dyDescent="0.25">
      <c r="A3547" s="369"/>
      <c r="E3547" s="396"/>
      <c r="F3547" s="396"/>
      <c r="G3547" s="396"/>
      <c r="K3547" s="370"/>
      <c r="N3547" s="370"/>
    </row>
    <row r="3548" spans="1:14" s="347" customFormat="1" x14ac:dyDescent="0.25">
      <c r="A3548" s="369">
        <v>44378</v>
      </c>
      <c r="B3548" s="340">
        <f>+MONTH(A3548)</f>
        <v>7</v>
      </c>
      <c r="C3548" s="347">
        <v>110</v>
      </c>
      <c r="D3548" s="340" t="str">
        <f>VLOOKUP(C3548,Plan!A$1:B$65542,2,0)</f>
        <v>Disponible Administración</v>
      </c>
      <c r="E3548" s="341">
        <f>+F3548-G3548</f>
        <v>22000</v>
      </c>
      <c r="F3548" s="396">
        <v>22000</v>
      </c>
      <c r="G3548" s="396">
        <v>0</v>
      </c>
      <c r="H3548" s="347" t="s">
        <v>1410</v>
      </c>
      <c r="I3548" s="347" t="s">
        <v>1303</v>
      </c>
      <c r="K3548" s="370"/>
      <c r="N3548" s="370"/>
    </row>
    <row r="3549" spans="1:14" s="347" customFormat="1" x14ac:dyDescent="0.25">
      <c r="A3549" s="369">
        <f>+A3548</f>
        <v>44378</v>
      </c>
      <c r="B3549" s="347">
        <f>+B3548</f>
        <v>7</v>
      </c>
      <c r="C3549" s="347">
        <v>3110</v>
      </c>
      <c r="D3549" s="340" t="str">
        <f>VLOOKUP(C3549,Plan!A$1:B$65542,2,0)</f>
        <v>Colectas Normales</v>
      </c>
      <c r="E3549" s="396">
        <f>-G3549</f>
        <v>-22000</v>
      </c>
      <c r="F3549" s="396">
        <v>0</v>
      </c>
      <c r="G3549" s="396">
        <f>+F3548</f>
        <v>22000</v>
      </c>
      <c r="H3549" s="347" t="str">
        <f>+H3548</f>
        <v>Colecta Col. Cordillera</v>
      </c>
      <c r="I3549" s="347" t="s">
        <v>1303</v>
      </c>
      <c r="K3549" s="370"/>
      <c r="N3549" s="370"/>
    </row>
    <row r="3550" spans="1:14" s="347" customFormat="1" x14ac:dyDescent="0.25">
      <c r="A3550" s="369"/>
      <c r="E3550" s="396"/>
      <c r="F3550" s="396"/>
      <c r="G3550" s="396"/>
      <c r="K3550" s="370"/>
      <c r="N3550" s="370"/>
    </row>
    <row r="3551" spans="1:14" s="347" customFormat="1" x14ac:dyDescent="0.25">
      <c r="A3551" s="369">
        <v>44379</v>
      </c>
      <c r="B3551" s="340">
        <f>+MONTH(A3551)</f>
        <v>7</v>
      </c>
      <c r="C3551" s="347">
        <v>110</v>
      </c>
      <c r="D3551" s="340" t="str">
        <f>VLOOKUP(C3551,Plan!A$1:B$65542,2,0)</f>
        <v>Disponible Administración</v>
      </c>
      <c r="E3551" s="341">
        <f>+F3551-G3551</f>
        <v>10000</v>
      </c>
      <c r="F3551" s="396">
        <v>10000</v>
      </c>
      <c r="G3551" s="396">
        <v>0</v>
      </c>
      <c r="H3551" s="347" t="s">
        <v>1636</v>
      </c>
      <c r="I3551" s="347" t="s">
        <v>1303</v>
      </c>
      <c r="K3551" s="370"/>
      <c r="N3551" s="370"/>
    </row>
    <row r="3552" spans="1:14" s="347" customFormat="1" x14ac:dyDescent="0.25">
      <c r="A3552" s="369">
        <f>+A3551</f>
        <v>44379</v>
      </c>
      <c r="B3552" s="347">
        <f>+B3551</f>
        <v>7</v>
      </c>
      <c r="C3552" s="347">
        <v>3340</v>
      </c>
      <c r="D3552" s="340" t="str">
        <f>VLOOKUP(C3552,Plan!A$1:B$65542,2,0)</f>
        <v>Misas</v>
      </c>
      <c r="E3552" s="396">
        <f>-G3552</f>
        <v>-10000</v>
      </c>
      <c r="F3552" s="396">
        <v>0</v>
      </c>
      <c r="G3552" s="396">
        <f>+F3551</f>
        <v>10000</v>
      </c>
      <c r="H3552" s="347" t="str">
        <f>+H3551</f>
        <v>Misa Vesna Vukic</v>
      </c>
      <c r="I3552" s="347" t="s">
        <v>1303</v>
      </c>
      <c r="K3552" s="370"/>
      <c r="N3552" s="370"/>
    </row>
    <row r="3553" spans="1:14" s="347" customFormat="1" x14ac:dyDescent="0.25">
      <c r="A3553" s="369"/>
      <c r="E3553" s="396"/>
      <c r="F3553" s="396"/>
      <c r="G3553" s="396"/>
      <c r="K3553" s="370"/>
      <c r="N3553" s="370"/>
    </row>
    <row r="3554" spans="1:14" s="347" customFormat="1" x14ac:dyDescent="0.25">
      <c r="A3554" s="369">
        <v>44379</v>
      </c>
      <c r="B3554" s="340">
        <f>+MONTH(A3554)</f>
        <v>7</v>
      </c>
      <c r="C3554" s="347">
        <v>110</v>
      </c>
      <c r="D3554" s="340" t="str">
        <f>VLOOKUP(C3554,Plan!A$1:B$65542,2,0)</f>
        <v>Disponible Administración</v>
      </c>
      <c r="E3554" s="341">
        <f>+F3554-G3554</f>
        <v>10000</v>
      </c>
      <c r="F3554" s="396">
        <v>10000</v>
      </c>
      <c r="G3554" s="396">
        <v>0</v>
      </c>
      <c r="H3554" s="347" t="s">
        <v>1637</v>
      </c>
      <c r="I3554" s="347" t="s">
        <v>1303</v>
      </c>
      <c r="K3554" s="370"/>
      <c r="N3554" s="370"/>
    </row>
    <row r="3555" spans="1:14" s="347" customFormat="1" x14ac:dyDescent="0.25">
      <c r="A3555" s="369">
        <f>+A3554</f>
        <v>44379</v>
      </c>
      <c r="B3555" s="347">
        <f>+B3554</f>
        <v>7</v>
      </c>
      <c r="C3555" s="347">
        <v>3340</v>
      </c>
      <c r="D3555" s="340" t="str">
        <f>VLOOKUP(C3555,Plan!A$1:B$65542,2,0)</f>
        <v>Misas</v>
      </c>
      <c r="E3555" s="396">
        <f>-G3555</f>
        <v>-10000</v>
      </c>
      <c r="F3555" s="396">
        <v>0</v>
      </c>
      <c r="G3555" s="396">
        <f>+F3554</f>
        <v>10000</v>
      </c>
      <c r="H3555" s="347" t="str">
        <f>+H3554</f>
        <v>Misa Rodrigo Carrasco</v>
      </c>
      <c r="I3555" s="347" t="s">
        <v>1303</v>
      </c>
      <c r="K3555" s="370"/>
      <c r="N3555" s="370"/>
    </row>
    <row r="3556" spans="1:14" s="347" customFormat="1" x14ac:dyDescent="0.25">
      <c r="A3556" s="369"/>
      <c r="E3556" s="396"/>
      <c r="F3556" s="396"/>
      <c r="G3556" s="396"/>
      <c r="K3556" s="370"/>
      <c r="N3556" s="370"/>
    </row>
    <row r="3557" spans="1:14" s="347" customFormat="1" x14ac:dyDescent="0.25">
      <c r="A3557" s="369">
        <v>44379</v>
      </c>
      <c r="B3557" s="340">
        <f>+MONTH(A3557)</f>
        <v>7</v>
      </c>
      <c r="C3557" s="347">
        <v>110</v>
      </c>
      <c r="D3557" s="340" t="str">
        <f>VLOOKUP(C3557,Plan!A$1:B$65542,2,0)</f>
        <v>Disponible Administración</v>
      </c>
      <c r="E3557" s="341">
        <f>+F3557-G3557</f>
        <v>10000</v>
      </c>
      <c r="F3557" s="396">
        <v>10000</v>
      </c>
      <c r="G3557" s="396">
        <v>0</v>
      </c>
      <c r="H3557" s="347" t="s">
        <v>1423</v>
      </c>
      <c r="I3557" s="347" t="s">
        <v>1303</v>
      </c>
      <c r="K3557" s="370"/>
      <c r="N3557" s="370"/>
    </row>
    <row r="3558" spans="1:14" s="347" customFormat="1" x14ac:dyDescent="0.25">
      <c r="A3558" s="369">
        <f>+A3557</f>
        <v>44379</v>
      </c>
      <c r="B3558" s="347">
        <f>+B3557</f>
        <v>7</v>
      </c>
      <c r="C3558" s="347">
        <v>3110</v>
      </c>
      <c r="D3558" s="340" t="str">
        <f>VLOOKUP(C3558,Plan!A$1:B$65542,2,0)</f>
        <v>Colectas Normales</v>
      </c>
      <c r="E3558" s="396">
        <f>-G3558</f>
        <v>-10000</v>
      </c>
      <c r="F3558" s="396">
        <v>0</v>
      </c>
      <c r="G3558" s="396">
        <f>+F3557</f>
        <v>10000</v>
      </c>
      <c r="H3558" s="347" t="str">
        <f>+H3557</f>
        <v>Colecta Susana Ruiz Tagle Cox</v>
      </c>
      <c r="I3558" s="347" t="s">
        <v>1303</v>
      </c>
      <c r="K3558" s="370"/>
      <c r="N3558" s="370"/>
    </row>
    <row r="3559" spans="1:14" s="347" customFormat="1" x14ac:dyDescent="0.25">
      <c r="A3559" s="369"/>
      <c r="E3559" s="396"/>
      <c r="F3559" s="396"/>
      <c r="G3559" s="396"/>
      <c r="K3559" s="370"/>
      <c r="N3559" s="370"/>
    </row>
    <row r="3560" spans="1:14" s="347" customFormat="1" x14ac:dyDescent="0.25">
      <c r="A3560" s="369">
        <v>44379</v>
      </c>
      <c r="B3560" s="340">
        <f>+MONTH(A3560)</f>
        <v>7</v>
      </c>
      <c r="C3560" s="347">
        <v>110</v>
      </c>
      <c r="D3560" s="340" t="str">
        <f>VLOOKUP(C3560,Plan!A$1:B$65542,2,0)</f>
        <v>Disponible Administración</v>
      </c>
      <c r="E3560" s="341">
        <f>+F3560-G3560</f>
        <v>20000</v>
      </c>
      <c r="F3560" s="396">
        <v>20000</v>
      </c>
      <c r="G3560" s="396">
        <v>0</v>
      </c>
      <c r="H3560" s="347" t="s">
        <v>1638</v>
      </c>
      <c r="I3560" s="347" t="s">
        <v>1303</v>
      </c>
      <c r="K3560" s="370"/>
      <c r="N3560" s="370"/>
    </row>
    <row r="3561" spans="1:14" s="347" customFormat="1" x14ac:dyDescent="0.25">
      <c r="A3561" s="369">
        <f>+A3560</f>
        <v>44379</v>
      </c>
      <c r="B3561" s="347">
        <f>+B3560</f>
        <v>7</v>
      </c>
      <c r="C3561" s="347">
        <v>3350</v>
      </c>
      <c r="D3561" s="340" t="str">
        <f>VLOOKUP(C3561,Plan!A$1:B$65542,2,0)</f>
        <v>Bautizos</v>
      </c>
      <c r="E3561" s="396">
        <f>-G3561</f>
        <v>-20000</v>
      </c>
      <c r="F3561" s="396">
        <v>0</v>
      </c>
      <c r="G3561" s="396">
        <f>+F3560</f>
        <v>20000</v>
      </c>
      <c r="H3561" s="347" t="str">
        <f>+H3560</f>
        <v>Bautizo Montserrat Lemus M.</v>
      </c>
      <c r="I3561" s="347" t="s">
        <v>1303</v>
      </c>
      <c r="K3561" s="370"/>
      <c r="N3561" s="370"/>
    </row>
    <row r="3562" spans="1:14" s="347" customFormat="1" x14ac:dyDescent="0.25">
      <c r="A3562" s="369"/>
      <c r="E3562" s="396"/>
      <c r="F3562" s="396"/>
      <c r="G3562" s="396"/>
      <c r="K3562" s="370"/>
      <c r="N3562" s="370"/>
    </row>
    <row r="3563" spans="1:14" s="347" customFormat="1" x14ac:dyDescent="0.25">
      <c r="A3563" s="369">
        <v>44379</v>
      </c>
      <c r="B3563" s="340">
        <f>+MONTH(A3563)</f>
        <v>7</v>
      </c>
      <c r="C3563" s="347">
        <v>110</v>
      </c>
      <c r="D3563" s="340" t="str">
        <f>VLOOKUP(C3563,Plan!A$1:B$65542,2,0)</f>
        <v>Disponible Administración</v>
      </c>
      <c r="E3563" s="341">
        <f>+F3563-G3563</f>
        <v>40000</v>
      </c>
      <c r="F3563" s="396">
        <v>40000</v>
      </c>
      <c r="G3563" s="396">
        <v>0</v>
      </c>
      <c r="H3563" s="347" t="s">
        <v>1639</v>
      </c>
      <c r="I3563" s="347" t="s">
        <v>1303</v>
      </c>
      <c r="K3563" s="370"/>
      <c r="N3563" s="370"/>
    </row>
    <row r="3564" spans="1:14" s="347" customFormat="1" x14ac:dyDescent="0.25">
      <c r="A3564" s="369">
        <f>+A3563</f>
        <v>44379</v>
      </c>
      <c r="B3564" s="347">
        <f>+B3563</f>
        <v>7</v>
      </c>
      <c r="C3564" s="347">
        <v>3450</v>
      </c>
      <c r="D3564" s="340" t="str">
        <f>VLOOKUP(C3564,Plan!A$1:B$65542,2,0)</f>
        <v>Pastoral Social</v>
      </c>
      <c r="E3564" s="396">
        <f>-G3564</f>
        <v>-40000</v>
      </c>
      <c r="F3564" s="396">
        <v>0</v>
      </c>
      <c r="G3564" s="396">
        <f>+F3563</f>
        <v>40000</v>
      </c>
      <c r="H3564" s="347" t="str">
        <f>+H3563</f>
        <v>Canasta Lucia Riesco Valdes</v>
      </c>
      <c r="I3564" s="347" t="s">
        <v>1303</v>
      </c>
      <c r="K3564" s="370"/>
      <c r="N3564" s="370"/>
    </row>
    <row r="3565" spans="1:14" s="347" customFormat="1" x14ac:dyDescent="0.25">
      <c r="A3565" s="369"/>
      <c r="E3565" s="396"/>
      <c r="F3565" s="396"/>
      <c r="G3565" s="396"/>
      <c r="K3565" s="370"/>
      <c r="N3565" s="370"/>
    </row>
    <row r="3566" spans="1:14" s="347" customFormat="1" x14ac:dyDescent="0.25">
      <c r="A3566" s="369">
        <v>44379</v>
      </c>
      <c r="B3566" s="340">
        <f>+MONTH(A3566)</f>
        <v>7</v>
      </c>
      <c r="C3566" s="347">
        <v>110</v>
      </c>
      <c r="D3566" s="340" t="str">
        <f>VLOOKUP(C3566,Plan!A$1:B$65542,2,0)</f>
        <v>Disponible Administración</v>
      </c>
      <c r="E3566" s="341">
        <f>+F3566-G3566</f>
        <v>29643</v>
      </c>
      <c r="F3566" s="396">
        <v>29643</v>
      </c>
      <c r="G3566" s="396">
        <v>0</v>
      </c>
      <c r="H3566" s="347" t="s">
        <v>1529</v>
      </c>
      <c r="I3566" s="347" t="s">
        <v>1303</v>
      </c>
      <c r="K3566" s="370"/>
      <c r="N3566" s="370"/>
    </row>
    <row r="3567" spans="1:14" s="347" customFormat="1" x14ac:dyDescent="0.25">
      <c r="A3567" s="369">
        <f>+A3566</f>
        <v>44379</v>
      </c>
      <c r="B3567" s="347">
        <f>+B3566</f>
        <v>7</v>
      </c>
      <c r="C3567" s="347">
        <v>3450</v>
      </c>
      <c r="D3567" s="340" t="str">
        <f>VLOOKUP(C3567,Plan!A$1:B$65542,2,0)</f>
        <v>Pastoral Social</v>
      </c>
      <c r="E3567" s="396">
        <f>-G3567</f>
        <v>-29643</v>
      </c>
      <c r="F3567" s="396">
        <v>0</v>
      </c>
      <c r="G3567" s="396">
        <f>+F3566</f>
        <v>29643</v>
      </c>
      <c r="H3567" s="347" t="str">
        <f>+H3566</f>
        <v>Canastas DCT</v>
      </c>
      <c r="I3567" s="347" t="s">
        <v>1303</v>
      </c>
      <c r="K3567" s="370"/>
      <c r="N3567" s="370"/>
    </row>
    <row r="3568" spans="1:14" s="347" customFormat="1" x14ac:dyDescent="0.25">
      <c r="A3568" s="369"/>
      <c r="E3568" s="396"/>
      <c r="F3568" s="396"/>
      <c r="G3568" s="396"/>
      <c r="K3568" s="370"/>
      <c r="N3568" s="370"/>
    </row>
    <row r="3569" spans="1:14" s="347" customFormat="1" x14ac:dyDescent="0.25">
      <c r="A3569" s="369">
        <v>44379</v>
      </c>
      <c r="B3569" s="340">
        <f>+MONTH(A3569)</f>
        <v>7</v>
      </c>
      <c r="C3569" s="347">
        <v>110</v>
      </c>
      <c r="D3569" s="340" t="str">
        <f>VLOOKUP(C3569,Plan!A$1:B$65542,2,0)</f>
        <v>Disponible Administración</v>
      </c>
      <c r="E3569" s="341">
        <f>+F3569-G3569</f>
        <v>30000</v>
      </c>
      <c r="F3569" s="396">
        <v>30000</v>
      </c>
      <c r="G3569" s="396">
        <v>0</v>
      </c>
      <c r="H3569" s="347" t="s">
        <v>747</v>
      </c>
      <c r="I3569" s="347" t="s">
        <v>1303</v>
      </c>
      <c r="K3569" s="370"/>
      <c r="N3569" s="370"/>
    </row>
    <row r="3570" spans="1:14" s="347" customFormat="1" x14ac:dyDescent="0.25">
      <c r="A3570" s="369">
        <f>+A3569</f>
        <v>44379</v>
      </c>
      <c r="B3570" s="347">
        <f>+B3569</f>
        <v>7</v>
      </c>
      <c r="C3570" s="347">
        <v>215</v>
      </c>
      <c r="D3570" s="340" t="str">
        <f>VLOOKUP(C3570,Plan!A$1:B$65542,2,0)</f>
        <v>Cuenta por Pagar a Cali</v>
      </c>
      <c r="E3570" s="396">
        <f>-G3570</f>
        <v>-30000</v>
      </c>
      <c r="F3570" s="396">
        <v>0</v>
      </c>
      <c r="G3570" s="396">
        <f>+F3569</f>
        <v>30000</v>
      </c>
      <c r="H3570" s="347" t="str">
        <f>+H3569</f>
        <v>Carlos Celis Celedón / Azul</v>
      </c>
      <c r="I3570" s="347" t="s">
        <v>1303</v>
      </c>
      <c r="K3570" s="370"/>
      <c r="N3570" s="370"/>
    </row>
    <row r="3571" spans="1:14" s="347" customFormat="1" x14ac:dyDescent="0.25">
      <c r="A3571" s="369"/>
      <c r="E3571" s="396"/>
      <c r="F3571" s="396"/>
      <c r="G3571" s="396"/>
      <c r="K3571" s="370"/>
      <c r="N3571" s="370"/>
    </row>
    <row r="3572" spans="1:14" s="347" customFormat="1" x14ac:dyDescent="0.25">
      <c r="A3572" s="369">
        <v>44379</v>
      </c>
      <c r="B3572" s="340">
        <f>+MONTH(A3572)</f>
        <v>7</v>
      </c>
      <c r="C3572" s="347">
        <v>110</v>
      </c>
      <c r="D3572" s="340" t="str">
        <f>VLOOKUP(C3572,Plan!A$1:B$65542,2,0)</f>
        <v>Disponible Administración</v>
      </c>
      <c r="E3572" s="341">
        <f>+F3572-G3572</f>
        <v>5000</v>
      </c>
      <c r="F3572" s="396">
        <v>5000</v>
      </c>
      <c r="G3572" s="396">
        <v>0</v>
      </c>
      <c r="H3572" s="347" t="s">
        <v>1381</v>
      </c>
      <c r="I3572" s="347" t="s">
        <v>1303</v>
      </c>
      <c r="K3572" s="370"/>
      <c r="N3572" s="370"/>
    </row>
    <row r="3573" spans="1:14" s="347" customFormat="1" x14ac:dyDescent="0.25">
      <c r="A3573" s="369">
        <f>+A3572</f>
        <v>44379</v>
      </c>
      <c r="B3573" s="347">
        <f>+B3572</f>
        <v>7</v>
      </c>
      <c r="C3573" s="347">
        <v>3110</v>
      </c>
      <c r="D3573" s="340" t="str">
        <f>VLOOKUP(C3573,Plan!A$1:B$65542,2,0)</f>
        <v>Colectas Normales</v>
      </c>
      <c r="E3573" s="396">
        <f>-G3573</f>
        <v>-5000</v>
      </c>
      <c r="F3573" s="396">
        <v>0</v>
      </c>
      <c r="G3573" s="396">
        <f>+F3572</f>
        <v>5000</v>
      </c>
      <c r="H3573" s="347" t="str">
        <f>+H3572</f>
        <v>Colecta Ingrid Maria Nielsen Galli</v>
      </c>
      <c r="I3573" s="347" t="s">
        <v>1303</v>
      </c>
      <c r="K3573" s="370"/>
      <c r="N3573" s="370"/>
    </row>
    <row r="3574" spans="1:14" s="347" customFormat="1" x14ac:dyDescent="0.25">
      <c r="A3574" s="369"/>
      <c r="E3574" s="396"/>
      <c r="F3574" s="396"/>
      <c r="G3574" s="396"/>
      <c r="K3574" s="370"/>
      <c r="N3574" s="370"/>
    </row>
    <row r="3575" spans="1:14" s="347" customFormat="1" x14ac:dyDescent="0.25">
      <c r="A3575" s="369">
        <v>44379</v>
      </c>
      <c r="B3575" s="340">
        <f>+MONTH(A3575)</f>
        <v>7</v>
      </c>
      <c r="C3575" s="347">
        <v>110</v>
      </c>
      <c r="D3575" s="340" t="str">
        <f>VLOOKUP(C3575,Plan!A$1:B$65542,2,0)</f>
        <v>Disponible Administración</v>
      </c>
      <c r="E3575" s="341">
        <f>+F3575-G3575</f>
        <v>12000</v>
      </c>
      <c r="F3575" s="396">
        <v>12000</v>
      </c>
      <c r="G3575" s="396">
        <v>0</v>
      </c>
      <c r="H3575" s="347" t="s">
        <v>1555</v>
      </c>
      <c r="I3575" s="347" t="s">
        <v>1303</v>
      </c>
      <c r="K3575" s="370"/>
      <c r="N3575" s="370"/>
    </row>
    <row r="3576" spans="1:14" s="347" customFormat="1" x14ac:dyDescent="0.25">
      <c r="A3576" s="369">
        <f>+A3575</f>
        <v>44379</v>
      </c>
      <c r="B3576" s="347">
        <f>+B3575</f>
        <v>7</v>
      </c>
      <c r="C3576" s="347">
        <v>3450</v>
      </c>
      <c r="D3576" s="340" t="str">
        <f>VLOOKUP(C3576,Plan!A$1:B$65542,2,0)</f>
        <v>Pastoral Social</v>
      </c>
      <c r="E3576" s="396">
        <f>-G3576</f>
        <v>-12000</v>
      </c>
      <c r="F3576" s="396">
        <v>0</v>
      </c>
      <c r="G3576" s="396">
        <f>+F3575</f>
        <v>12000</v>
      </c>
      <c r="H3576" s="347" t="str">
        <f>+H3575</f>
        <v>Canastas Ingrid Maria Nielsen Galli</v>
      </c>
      <c r="I3576" s="347" t="s">
        <v>1303</v>
      </c>
      <c r="K3576" s="370"/>
      <c r="N3576" s="370"/>
    </row>
    <row r="3577" spans="1:14" s="347" customFormat="1" x14ac:dyDescent="0.25">
      <c r="A3577" s="369"/>
      <c r="E3577" s="396"/>
      <c r="F3577" s="396"/>
      <c r="G3577" s="396"/>
      <c r="K3577" s="370"/>
      <c r="N3577" s="370"/>
    </row>
    <row r="3578" spans="1:14" s="347" customFormat="1" x14ac:dyDescent="0.25">
      <c r="A3578" s="369">
        <v>44379</v>
      </c>
      <c r="B3578" s="340">
        <f>+MONTH(A3578)</f>
        <v>7</v>
      </c>
      <c r="C3578" s="347">
        <v>110</v>
      </c>
      <c r="D3578" s="340" t="str">
        <f>VLOOKUP(C3578,Plan!A$1:B$65542,2,0)</f>
        <v>Disponible Administración</v>
      </c>
      <c r="E3578" s="341">
        <f>+F3578-G3578</f>
        <v>10000</v>
      </c>
      <c r="F3578" s="396">
        <v>10000</v>
      </c>
      <c r="G3578" s="396">
        <v>0</v>
      </c>
      <c r="H3578" s="347" t="s">
        <v>1440</v>
      </c>
      <c r="I3578" s="347" t="s">
        <v>1303</v>
      </c>
      <c r="K3578" s="370"/>
      <c r="N3578" s="370"/>
    </row>
    <row r="3579" spans="1:14" s="347" customFormat="1" x14ac:dyDescent="0.25">
      <c r="A3579" s="369">
        <f>+A3578</f>
        <v>44379</v>
      </c>
      <c r="B3579" s="347">
        <f>+B3578</f>
        <v>7</v>
      </c>
      <c r="C3579" s="347">
        <v>215</v>
      </c>
      <c r="D3579" s="340" t="str">
        <f>VLOOKUP(C3579,Plan!A$1:B$65542,2,0)</f>
        <v>Cuenta por Pagar a Cali</v>
      </c>
      <c r="E3579" s="396">
        <f>-G3579</f>
        <v>-10000</v>
      </c>
      <c r="F3579" s="396">
        <v>0</v>
      </c>
      <c r="G3579" s="396">
        <f>+F3578</f>
        <v>10000</v>
      </c>
      <c r="H3579" s="347" t="str">
        <f>+H3578</f>
        <v xml:space="preserve">Ingrid María Nielsen Galli/Azul </v>
      </c>
      <c r="I3579" s="347" t="s">
        <v>1303</v>
      </c>
      <c r="K3579" s="370"/>
      <c r="N3579" s="370"/>
    </row>
    <row r="3580" spans="1:14" s="347" customFormat="1" x14ac:dyDescent="0.25">
      <c r="A3580" s="369"/>
      <c r="E3580" s="396"/>
      <c r="F3580" s="396"/>
      <c r="G3580" s="396"/>
      <c r="K3580" s="370"/>
      <c r="N3580" s="370"/>
    </row>
    <row r="3581" spans="1:14" s="347" customFormat="1" x14ac:dyDescent="0.25">
      <c r="A3581" s="369">
        <v>44382</v>
      </c>
      <c r="B3581" s="340">
        <f>+MONTH(A3581)</f>
        <v>7</v>
      </c>
      <c r="C3581" s="347">
        <v>110</v>
      </c>
      <c r="D3581" s="340" t="str">
        <f>VLOOKUP(C3581,Plan!A$1:B$65542,2,0)</f>
        <v>Disponible Administración</v>
      </c>
      <c r="E3581" s="341">
        <f>+F3581-G3581</f>
        <v>15000</v>
      </c>
      <c r="F3581" s="396">
        <v>15000</v>
      </c>
      <c r="G3581" s="396">
        <v>0</v>
      </c>
      <c r="H3581" s="347" t="s">
        <v>1318</v>
      </c>
      <c r="I3581" s="347" t="s">
        <v>1303</v>
      </c>
      <c r="K3581" s="370"/>
      <c r="N3581" s="370"/>
    </row>
    <row r="3582" spans="1:14" s="347" customFormat="1" x14ac:dyDescent="0.25">
      <c r="A3582" s="369">
        <f>+A3581</f>
        <v>44382</v>
      </c>
      <c r="B3582" s="347">
        <f>+B3581</f>
        <v>7</v>
      </c>
      <c r="C3582" s="347">
        <v>3110</v>
      </c>
      <c r="D3582" s="340" t="str">
        <f>VLOOKUP(C3582,Plan!A$1:B$65542,2,0)</f>
        <v>Colectas Normales</v>
      </c>
      <c r="E3582" s="396">
        <f>-G3582</f>
        <v>-15000</v>
      </c>
      <c r="F3582" s="396">
        <v>0</v>
      </c>
      <c r="G3582" s="396">
        <f>+F3581</f>
        <v>15000</v>
      </c>
      <c r="H3582" s="347" t="str">
        <f>+H3581</f>
        <v>Colecta Jaime Andres Court Viviani</v>
      </c>
      <c r="I3582" s="347" t="s">
        <v>1303</v>
      </c>
      <c r="K3582" s="370"/>
      <c r="N3582" s="370"/>
    </row>
    <row r="3583" spans="1:14" s="347" customFormat="1" x14ac:dyDescent="0.25">
      <c r="A3583" s="369"/>
      <c r="E3583" s="396"/>
      <c r="F3583" s="396"/>
      <c r="G3583" s="396"/>
      <c r="K3583" s="370"/>
      <c r="N3583" s="370"/>
    </row>
    <row r="3584" spans="1:14" s="347" customFormat="1" x14ac:dyDescent="0.25">
      <c r="A3584" s="369">
        <v>44382</v>
      </c>
      <c r="B3584" s="340">
        <f>+MONTH(A3584)</f>
        <v>7</v>
      </c>
      <c r="C3584" s="347">
        <v>110</v>
      </c>
      <c r="D3584" s="340" t="str">
        <f>VLOOKUP(C3584,Plan!A$1:B$65542,2,0)</f>
        <v>Disponible Administración</v>
      </c>
      <c r="E3584" s="341">
        <f>+F3584-G3584</f>
        <v>30000</v>
      </c>
      <c r="F3584" s="396">
        <v>30000</v>
      </c>
      <c r="G3584" s="396">
        <v>0</v>
      </c>
      <c r="H3584" s="347" t="s">
        <v>1319</v>
      </c>
      <c r="I3584" s="347" t="s">
        <v>1303</v>
      </c>
      <c r="K3584" s="370"/>
      <c r="N3584" s="370"/>
    </row>
    <row r="3585" spans="1:14" s="347" customFormat="1" x14ac:dyDescent="0.25">
      <c r="A3585" s="369">
        <f>+A3584</f>
        <v>44382</v>
      </c>
      <c r="B3585" s="347">
        <f>+B3584</f>
        <v>7</v>
      </c>
      <c r="C3585" s="347">
        <v>215</v>
      </c>
      <c r="D3585" s="340" t="str">
        <f>VLOOKUP(C3585,Plan!A$1:B$65542,2,0)</f>
        <v>Cuenta por Pagar a Cali</v>
      </c>
      <c r="E3585" s="396">
        <f>-G3585</f>
        <v>-30000</v>
      </c>
      <c r="F3585" s="396">
        <v>0</v>
      </c>
      <c r="G3585" s="396">
        <f>+F3584</f>
        <v>30000</v>
      </c>
      <c r="H3585" s="347" t="str">
        <f>+H3584</f>
        <v>Jaime Andres Court Viviani /249</v>
      </c>
      <c r="I3585" s="347" t="s">
        <v>1303</v>
      </c>
      <c r="K3585" s="370"/>
      <c r="N3585" s="370"/>
    </row>
    <row r="3586" spans="1:14" s="347" customFormat="1" x14ac:dyDescent="0.25">
      <c r="A3586" s="369"/>
      <c r="E3586" s="396"/>
      <c r="F3586" s="396"/>
      <c r="G3586" s="396"/>
      <c r="K3586" s="370"/>
      <c r="N3586" s="370"/>
    </row>
    <row r="3587" spans="1:14" s="347" customFormat="1" x14ac:dyDescent="0.25">
      <c r="A3587" s="369">
        <v>44382</v>
      </c>
      <c r="B3587" s="340">
        <f>+MONTH(A3587)</f>
        <v>7</v>
      </c>
      <c r="C3587" s="347">
        <v>110</v>
      </c>
      <c r="D3587" s="340" t="str">
        <f>VLOOKUP(C3587,Plan!A$1:B$65542,2,0)</f>
        <v>Disponible Administración</v>
      </c>
      <c r="E3587" s="341">
        <f>+F3587-G3587</f>
        <v>5000</v>
      </c>
      <c r="F3587" s="396">
        <v>5000</v>
      </c>
      <c r="G3587" s="396">
        <v>0</v>
      </c>
      <c r="H3587" s="347" t="s">
        <v>1151</v>
      </c>
      <c r="I3587" s="347" t="s">
        <v>1303</v>
      </c>
      <c r="K3587" s="370"/>
      <c r="N3587" s="370"/>
    </row>
    <row r="3588" spans="1:14" s="347" customFormat="1" x14ac:dyDescent="0.25">
      <c r="A3588" s="369">
        <f>+A3587</f>
        <v>44382</v>
      </c>
      <c r="B3588" s="347">
        <f>+B3587</f>
        <v>7</v>
      </c>
      <c r="C3588" s="347">
        <v>3110</v>
      </c>
      <c r="D3588" s="340" t="str">
        <f>VLOOKUP(C3588,Plan!A$1:B$65542,2,0)</f>
        <v>Colectas Normales</v>
      </c>
      <c r="E3588" s="396">
        <f>-G3588</f>
        <v>-5000</v>
      </c>
      <c r="F3588" s="396">
        <v>0</v>
      </c>
      <c r="G3588" s="396">
        <f>+F3587</f>
        <v>5000</v>
      </c>
      <c r="H3588" s="347" t="str">
        <f>+H3587</f>
        <v>Colecta Eduardo Boys M</v>
      </c>
      <c r="I3588" s="347" t="s">
        <v>1303</v>
      </c>
      <c r="K3588" s="370"/>
      <c r="N3588" s="370"/>
    </row>
    <row r="3589" spans="1:14" s="347" customFormat="1" x14ac:dyDescent="0.25">
      <c r="A3589" s="369"/>
      <c r="E3589" s="396"/>
      <c r="F3589" s="396"/>
      <c r="G3589" s="396"/>
      <c r="K3589" s="370"/>
      <c r="N3589" s="370"/>
    </row>
    <row r="3590" spans="1:14" s="347" customFormat="1" x14ac:dyDescent="0.25">
      <c r="A3590" s="369">
        <v>44382</v>
      </c>
      <c r="B3590" s="340">
        <f>+MONTH(A3590)</f>
        <v>7</v>
      </c>
      <c r="C3590" s="347">
        <v>110</v>
      </c>
      <c r="D3590" s="340" t="str">
        <f>VLOOKUP(C3590,Plan!A$1:B$65542,2,0)</f>
        <v>Disponible Administración</v>
      </c>
      <c r="E3590" s="341">
        <f>+F3590-G3590</f>
        <v>20000</v>
      </c>
      <c r="F3590" s="396">
        <v>20000</v>
      </c>
      <c r="G3590" s="396">
        <v>0</v>
      </c>
      <c r="H3590" s="347" t="s">
        <v>1152</v>
      </c>
      <c r="I3590" s="347" t="s">
        <v>1303</v>
      </c>
      <c r="K3590" s="370"/>
      <c r="N3590" s="370"/>
    </row>
    <row r="3591" spans="1:14" s="347" customFormat="1" x14ac:dyDescent="0.25">
      <c r="A3591" s="369">
        <f>+A3590</f>
        <v>44382</v>
      </c>
      <c r="B3591" s="347">
        <f>+B3590</f>
        <v>7</v>
      </c>
      <c r="C3591" s="347">
        <v>3110</v>
      </c>
      <c r="D3591" s="340" t="str">
        <f>VLOOKUP(C3591,Plan!A$1:B$65542,2,0)</f>
        <v>Colectas Normales</v>
      </c>
      <c r="E3591" s="396">
        <f>-G3591</f>
        <v>-20000</v>
      </c>
      <c r="F3591" s="396">
        <v>0</v>
      </c>
      <c r="G3591" s="396">
        <f>+F3590</f>
        <v>20000</v>
      </c>
      <c r="H3591" s="347" t="str">
        <f>+H3590</f>
        <v>Colecta Beatriz Herrera S</v>
      </c>
      <c r="I3591" s="347" t="s">
        <v>1303</v>
      </c>
      <c r="K3591" s="370"/>
      <c r="N3591" s="370"/>
    </row>
    <row r="3592" spans="1:14" s="347" customFormat="1" x14ac:dyDescent="0.25">
      <c r="A3592" s="369"/>
      <c r="E3592" s="396"/>
      <c r="F3592" s="396"/>
      <c r="G3592" s="396"/>
      <c r="K3592" s="370"/>
      <c r="N3592" s="370"/>
    </row>
    <row r="3593" spans="1:14" s="347" customFormat="1" x14ac:dyDescent="0.25">
      <c r="A3593" s="369">
        <v>44382</v>
      </c>
      <c r="B3593" s="340">
        <f>+MONTH(A3593)</f>
        <v>7</v>
      </c>
      <c r="C3593" s="347">
        <v>110</v>
      </c>
      <c r="D3593" s="340" t="str">
        <f>VLOOKUP(C3593,Plan!A$1:B$65542,2,0)</f>
        <v>Disponible Administración</v>
      </c>
      <c r="E3593" s="341">
        <f>+F3593-G3593</f>
        <v>40000</v>
      </c>
      <c r="F3593" s="396">
        <v>40000</v>
      </c>
      <c r="G3593" s="396">
        <v>0</v>
      </c>
      <c r="H3593" s="347" t="s">
        <v>1552</v>
      </c>
      <c r="I3593" s="347" t="s">
        <v>1303</v>
      </c>
      <c r="K3593" s="370"/>
      <c r="N3593" s="370"/>
    </row>
    <row r="3594" spans="1:14" s="347" customFormat="1" x14ac:dyDescent="0.25">
      <c r="A3594" s="369">
        <f>+A3593</f>
        <v>44382</v>
      </c>
      <c r="B3594" s="347">
        <f>+B3593</f>
        <v>7</v>
      </c>
      <c r="C3594" s="347">
        <v>3450</v>
      </c>
      <c r="D3594" s="340" t="str">
        <f>VLOOKUP(C3594,Plan!A$1:B$65542,2,0)</f>
        <v>Pastoral Social</v>
      </c>
      <c r="E3594" s="396">
        <f>-G3594</f>
        <v>-40000</v>
      </c>
      <c r="F3594" s="396">
        <v>0</v>
      </c>
      <c r="G3594" s="396">
        <f>+F3593</f>
        <v>40000</v>
      </c>
      <c r="H3594" s="347" t="str">
        <f>+H3593</f>
        <v>Canastas Luis Larenas Vergara</v>
      </c>
      <c r="I3594" s="347" t="s">
        <v>1303</v>
      </c>
      <c r="K3594" s="370"/>
      <c r="N3594" s="370"/>
    </row>
    <row r="3595" spans="1:14" s="347" customFormat="1" x14ac:dyDescent="0.25">
      <c r="A3595" s="369"/>
      <c r="E3595" s="396"/>
      <c r="F3595" s="396"/>
      <c r="G3595" s="396"/>
      <c r="K3595" s="370"/>
      <c r="N3595" s="370"/>
    </row>
    <row r="3596" spans="1:14" s="347" customFormat="1" x14ac:dyDescent="0.25">
      <c r="A3596" s="369">
        <v>44382</v>
      </c>
      <c r="B3596" s="340">
        <f>+MONTH(A3596)</f>
        <v>7</v>
      </c>
      <c r="C3596" s="347">
        <v>110</v>
      </c>
      <c r="D3596" s="340" t="str">
        <f>VLOOKUP(C3596,Plan!A$1:B$65542,2,0)</f>
        <v>Disponible Administración</v>
      </c>
      <c r="E3596" s="341">
        <f>+F3596-G3596</f>
        <v>120000</v>
      </c>
      <c r="F3596" s="396">
        <v>120000</v>
      </c>
      <c r="G3596" s="396">
        <v>0</v>
      </c>
      <c r="H3596" s="347" t="s">
        <v>987</v>
      </c>
      <c r="I3596" s="347" t="s">
        <v>1303</v>
      </c>
      <c r="K3596" s="370"/>
      <c r="N3596" s="370"/>
    </row>
    <row r="3597" spans="1:14" s="347" customFormat="1" x14ac:dyDescent="0.25">
      <c r="A3597" s="369">
        <f>+A3596</f>
        <v>44382</v>
      </c>
      <c r="B3597" s="347">
        <f>+B3596</f>
        <v>7</v>
      </c>
      <c r="C3597" s="347">
        <v>215</v>
      </c>
      <c r="D3597" s="340" t="str">
        <f>VLOOKUP(C3597,Plan!A$1:B$65542,2,0)</f>
        <v>Cuenta por Pagar a Cali</v>
      </c>
      <c r="E3597" s="396">
        <f>-G3597</f>
        <v>-120000</v>
      </c>
      <c r="F3597" s="396">
        <v>0</v>
      </c>
      <c r="G3597" s="396">
        <f>+F3596</f>
        <v>120000</v>
      </c>
      <c r="H3597" s="347" t="str">
        <f>+H3596</f>
        <v xml:space="preserve">I. Ureta / 248 </v>
      </c>
      <c r="I3597" s="347" t="s">
        <v>1303</v>
      </c>
      <c r="K3597" s="370"/>
      <c r="N3597" s="370"/>
    </row>
    <row r="3598" spans="1:14" s="347" customFormat="1" x14ac:dyDescent="0.25">
      <c r="A3598" s="369"/>
      <c r="E3598" s="396"/>
      <c r="F3598" s="396"/>
      <c r="G3598" s="396"/>
      <c r="K3598" s="370"/>
      <c r="N3598" s="370"/>
    </row>
    <row r="3599" spans="1:14" s="347" customFormat="1" x14ac:dyDescent="0.25">
      <c r="A3599" s="369">
        <v>44382</v>
      </c>
      <c r="B3599" s="340">
        <f>+MONTH(A3599)</f>
        <v>7</v>
      </c>
      <c r="C3599" s="347">
        <v>110</v>
      </c>
      <c r="D3599" s="340" t="str">
        <f>VLOOKUP(C3599,Plan!A$1:B$65542,2,0)</f>
        <v>Disponible Administración</v>
      </c>
      <c r="E3599" s="341">
        <f>+F3599-G3599</f>
        <v>50000</v>
      </c>
      <c r="F3599" s="396">
        <v>50000</v>
      </c>
      <c r="G3599" s="396">
        <v>0</v>
      </c>
      <c r="H3599" s="347" t="s">
        <v>1436</v>
      </c>
      <c r="I3599" s="347" t="s">
        <v>1303</v>
      </c>
      <c r="K3599" s="370"/>
      <c r="N3599" s="370"/>
    </row>
    <row r="3600" spans="1:14" s="347" customFormat="1" x14ac:dyDescent="0.25">
      <c r="A3600" s="369">
        <f>+A3599</f>
        <v>44382</v>
      </c>
      <c r="B3600" s="347">
        <f>+B3599</f>
        <v>7</v>
      </c>
      <c r="C3600" s="347">
        <v>3110</v>
      </c>
      <c r="D3600" s="340" t="str">
        <f>VLOOKUP(C3600,Plan!A$1:B$65542,2,0)</f>
        <v>Colectas Normales</v>
      </c>
      <c r="E3600" s="396">
        <f>-G3600</f>
        <v>-50000</v>
      </c>
      <c r="F3600" s="396">
        <v>0</v>
      </c>
      <c r="G3600" s="396">
        <f>+F3599</f>
        <v>50000</v>
      </c>
      <c r="H3600" s="347" t="str">
        <f>+H3599</f>
        <v>Colecta Ignacio Ureta Larenas</v>
      </c>
      <c r="I3600" s="347" t="s">
        <v>1303</v>
      </c>
      <c r="K3600" s="370"/>
      <c r="N3600" s="370"/>
    </row>
    <row r="3601" spans="1:14" s="347" customFormat="1" x14ac:dyDescent="0.25">
      <c r="A3601" s="369"/>
      <c r="E3601" s="396"/>
      <c r="F3601" s="396"/>
      <c r="G3601" s="396"/>
      <c r="K3601" s="370"/>
      <c r="N3601" s="370"/>
    </row>
    <row r="3602" spans="1:14" s="347" customFormat="1" x14ac:dyDescent="0.25">
      <c r="A3602" s="369">
        <v>44382</v>
      </c>
      <c r="B3602" s="340">
        <f>+MONTH(A3602)</f>
        <v>7</v>
      </c>
      <c r="C3602" s="347">
        <v>110</v>
      </c>
      <c r="D3602" s="340" t="str">
        <f>VLOOKUP(C3602,Plan!A$1:B$65542,2,0)</f>
        <v>Disponible Administración</v>
      </c>
      <c r="E3602" s="341">
        <f>+F3602-G3602</f>
        <v>35000</v>
      </c>
      <c r="F3602" s="396">
        <v>35000</v>
      </c>
      <c r="G3602" s="396">
        <v>0</v>
      </c>
      <c r="H3602" s="347" t="s">
        <v>1437</v>
      </c>
      <c r="I3602" s="347" t="s">
        <v>1303</v>
      </c>
      <c r="K3602" s="370"/>
      <c r="N3602" s="370"/>
    </row>
    <row r="3603" spans="1:14" s="347" customFormat="1" x14ac:dyDescent="0.25">
      <c r="A3603" s="369">
        <f>+A3602</f>
        <v>44382</v>
      </c>
      <c r="B3603" s="347">
        <f>+B3602</f>
        <v>7</v>
      </c>
      <c r="C3603" s="347">
        <v>3450</v>
      </c>
      <c r="D3603" s="340" t="str">
        <f>VLOOKUP(C3603,Plan!A$1:B$65542,2,0)</f>
        <v>Pastoral Social</v>
      </c>
      <c r="E3603" s="396">
        <f>-G3603</f>
        <v>-35000</v>
      </c>
      <c r="F3603" s="396">
        <v>0</v>
      </c>
      <c r="G3603" s="396">
        <f>+F3602</f>
        <v>35000</v>
      </c>
      <c r="H3603" s="347" t="str">
        <f>+H3602</f>
        <v>Canastas Ignacio Ureta Larenas</v>
      </c>
      <c r="I3603" s="347" t="s">
        <v>1303</v>
      </c>
      <c r="K3603" s="370"/>
      <c r="N3603" s="370"/>
    </row>
    <row r="3604" spans="1:14" s="347" customFormat="1" x14ac:dyDescent="0.25">
      <c r="A3604" s="369"/>
      <c r="E3604" s="396"/>
      <c r="F3604" s="396"/>
      <c r="G3604" s="396"/>
      <c r="K3604" s="370"/>
      <c r="N3604" s="370"/>
    </row>
    <row r="3605" spans="1:14" s="347" customFormat="1" x14ac:dyDescent="0.25">
      <c r="A3605" s="369">
        <v>44382</v>
      </c>
      <c r="B3605" s="340">
        <f>+MONTH(A3605)</f>
        <v>7</v>
      </c>
      <c r="C3605" s="347">
        <v>4322</v>
      </c>
      <c r="D3605" s="340" t="str">
        <f>VLOOKUP(C3605,Plan!A$1:B$65542,2,0)</f>
        <v>Agua</v>
      </c>
      <c r="E3605" s="341">
        <f>+F3605-G3605</f>
        <v>25705</v>
      </c>
      <c r="F3605" s="396">
        <v>25705</v>
      </c>
      <c r="G3605" s="396">
        <v>0</v>
      </c>
      <c r="H3605" s="347" t="s">
        <v>1640</v>
      </c>
      <c r="I3605" s="347" t="s">
        <v>1303</v>
      </c>
      <c r="K3605" s="370"/>
      <c r="N3605" s="370"/>
    </row>
    <row r="3606" spans="1:14" s="347" customFormat="1" x14ac:dyDescent="0.25">
      <c r="A3606" s="369">
        <f>+A3605</f>
        <v>44382</v>
      </c>
      <c r="B3606" s="347">
        <f>+B3605</f>
        <v>7</v>
      </c>
      <c r="C3606" s="347">
        <v>110</v>
      </c>
      <c r="D3606" s="340" t="str">
        <f>VLOOKUP(C3606,Plan!A$1:B$65542,2,0)</f>
        <v>Disponible Administración</v>
      </c>
      <c r="E3606" s="396">
        <f>-G3606</f>
        <v>-25705</v>
      </c>
      <c r="F3606" s="396">
        <v>0</v>
      </c>
      <c r="G3606" s="396">
        <f>+F3605</f>
        <v>25705</v>
      </c>
      <c r="H3606" s="347" t="str">
        <f>+H3605</f>
        <v>PAC AGUAS CORDILLERA</v>
      </c>
      <c r="I3606" s="347" t="s">
        <v>1303</v>
      </c>
      <c r="K3606" s="370"/>
      <c r="N3606" s="370"/>
    </row>
    <row r="3607" spans="1:14" s="347" customFormat="1" x14ac:dyDescent="0.25">
      <c r="A3607" s="369"/>
      <c r="E3607" s="396"/>
      <c r="F3607" s="396"/>
      <c r="G3607" s="396"/>
      <c r="K3607" s="370"/>
      <c r="N3607" s="370"/>
    </row>
    <row r="3608" spans="1:14" s="347" customFormat="1" x14ac:dyDescent="0.25">
      <c r="A3608" s="369">
        <v>44382</v>
      </c>
      <c r="B3608" s="340">
        <f>+MONTH(A3608)</f>
        <v>7</v>
      </c>
      <c r="C3608" s="347">
        <v>110</v>
      </c>
      <c r="D3608" s="340" t="str">
        <f>VLOOKUP(C3608,Plan!A$1:B$65542,2,0)</f>
        <v>Disponible Administración</v>
      </c>
      <c r="E3608" s="341">
        <f>+F3608-G3608</f>
        <v>30000</v>
      </c>
      <c r="F3608" s="396">
        <v>30000</v>
      </c>
      <c r="G3608" s="396">
        <v>0</v>
      </c>
      <c r="H3608" s="347" t="s">
        <v>1641</v>
      </c>
      <c r="I3608" s="347" t="s">
        <v>1303</v>
      </c>
      <c r="K3608" s="370"/>
      <c r="N3608" s="370"/>
    </row>
    <row r="3609" spans="1:14" s="347" customFormat="1" x14ac:dyDescent="0.25">
      <c r="A3609" s="369">
        <f>+A3608</f>
        <v>44382</v>
      </c>
      <c r="B3609" s="347">
        <f>+B3608</f>
        <v>7</v>
      </c>
      <c r="C3609" s="347">
        <v>215</v>
      </c>
      <c r="D3609" s="340" t="str">
        <f>VLOOKUP(C3609,Plan!A$1:B$65542,2,0)</f>
        <v>Cuenta por Pagar a Cali</v>
      </c>
      <c r="E3609" s="396">
        <f>-G3609</f>
        <v>-30000</v>
      </c>
      <c r="F3609" s="396">
        <v>0</v>
      </c>
      <c r="G3609" s="396">
        <f>+F3608</f>
        <v>30000</v>
      </c>
      <c r="H3609" s="347" t="str">
        <f>+H3608</f>
        <v>Ana María Allende Zañartu/ 248</v>
      </c>
      <c r="I3609" s="347" t="s">
        <v>1303</v>
      </c>
      <c r="K3609" s="370"/>
      <c r="N3609" s="370"/>
    </row>
    <row r="3610" spans="1:14" s="347" customFormat="1" x14ac:dyDescent="0.25">
      <c r="A3610" s="369"/>
      <c r="E3610" s="396"/>
      <c r="F3610" s="396"/>
      <c r="G3610" s="396"/>
      <c r="K3610" s="370"/>
      <c r="N3610" s="370"/>
    </row>
    <row r="3611" spans="1:14" s="347" customFormat="1" x14ac:dyDescent="0.25">
      <c r="A3611" s="369">
        <v>44382</v>
      </c>
      <c r="B3611" s="340">
        <f>+MONTH(A3611)</f>
        <v>7</v>
      </c>
      <c r="C3611" s="347">
        <v>110</v>
      </c>
      <c r="D3611" s="340" t="str">
        <f>VLOOKUP(C3611,Plan!A$1:B$65542,2,0)</f>
        <v>Disponible Administración</v>
      </c>
      <c r="E3611" s="341">
        <f>+F3611-G3611</f>
        <v>30000</v>
      </c>
      <c r="F3611" s="396">
        <v>30000</v>
      </c>
      <c r="G3611" s="396">
        <v>0</v>
      </c>
      <c r="H3611" s="347" t="s">
        <v>1131</v>
      </c>
      <c r="I3611" s="347" t="s">
        <v>1303</v>
      </c>
      <c r="K3611" s="370"/>
      <c r="N3611" s="370"/>
    </row>
    <row r="3612" spans="1:14" s="347" customFormat="1" x14ac:dyDescent="0.25">
      <c r="A3612" s="369">
        <f>+A3611</f>
        <v>44382</v>
      </c>
      <c r="B3612" s="347">
        <f>+B3611</f>
        <v>7</v>
      </c>
      <c r="C3612" s="347">
        <v>3110</v>
      </c>
      <c r="D3612" s="340" t="str">
        <f>VLOOKUP(C3612,Plan!A$1:B$65542,2,0)</f>
        <v>Colectas Normales</v>
      </c>
      <c r="E3612" s="396">
        <f>-G3612</f>
        <v>-30000</v>
      </c>
      <c r="F3612" s="396">
        <v>0</v>
      </c>
      <c r="G3612" s="396">
        <f>+F3611</f>
        <v>30000</v>
      </c>
      <c r="H3612" s="347" t="str">
        <f>+H3611</f>
        <v>Colecta Sandra Socias R</v>
      </c>
      <c r="I3612" s="347" t="s">
        <v>1303</v>
      </c>
      <c r="K3612" s="370"/>
      <c r="N3612" s="370"/>
    </row>
    <row r="3613" spans="1:14" s="347" customFormat="1" x14ac:dyDescent="0.25">
      <c r="A3613" s="369"/>
      <c r="E3613" s="396"/>
      <c r="F3613" s="396"/>
      <c r="G3613" s="396"/>
      <c r="K3613" s="370"/>
      <c r="N3613" s="370"/>
    </row>
    <row r="3614" spans="1:14" s="347" customFormat="1" x14ac:dyDescent="0.25">
      <c r="A3614" s="369">
        <v>44382</v>
      </c>
      <c r="B3614" s="340">
        <f>+MONTH(A3614)</f>
        <v>7</v>
      </c>
      <c r="C3614" s="347">
        <v>110</v>
      </c>
      <c r="D3614" s="340" t="str">
        <f>VLOOKUP(C3614,Plan!A$1:B$65542,2,0)</f>
        <v>Disponible Administración</v>
      </c>
      <c r="E3614" s="341">
        <f>+F3614-G3614</f>
        <v>10000</v>
      </c>
      <c r="F3614" s="396">
        <v>10000</v>
      </c>
      <c r="G3614" s="396">
        <v>0</v>
      </c>
      <c r="H3614" s="347" t="s">
        <v>971</v>
      </c>
      <c r="I3614" s="347" t="s">
        <v>1303</v>
      </c>
      <c r="K3614" s="370"/>
      <c r="N3614" s="370"/>
    </row>
    <row r="3615" spans="1:14" s="347" customFormat="1" x14ac:dyDescent="0.25">
      <c r="A3615" s="369">
        <f>+A3614</f>
        <v>44382</v>
      </c>
      <c r="B3615" s="347">
        <f>+B3614</f>
        <v>7</v>
      </c>
      <c r="C3615" s="347">
        <v>3110</v>
      </c>
      <c r="D3615" s="340" t="str">
        <f>VLOOKUP(C3615,Plan!A$1:B$65542,2,0)</f>
        <v>Colectas Normales</v>
      </c>
      <c r="E3615" s="396">
        <f>-G3615</f>
        <v>-10000</v>
      </c>
      <c r="F3615" s="396">
        <v>0</v>
      </c>
      <c r="G3615" s="396">
        <f>+F3614</f>
        <v>10000</v>
      </c>
      <c r="H3615" s="347" t="s">
        <v>971</v>
      </c>
      <c r="I3615" s="347" t="s">
        <v>1303</v>
      </c>
      <c r="K3615" s="370"/>
      <c r="N3615" s="370"/>
    </row>
    <row r="3616" spans="1:14" s="347" customFormat="1" x14ac:dyDescent="0.25">
      <c r="A3616" s="369"/>
      <c r="E3616" s="396"/>
      <c r="F3616" s="396"/>
      <c r="G3616" s="396"/>
      <c r="K3616" s="370"/>
      <c r="N3616" s="370"/>
    </row>
    <row r="3617" spans="1:14" s="347" customFormat="1" x14ac:dyDescent="0.25">
      <c r="A3617" s="369">
        <v>44382</v>
      </c>
      <c r="B3617" s="340">
        <f>+MONTH(A3617)</f>
        <v>7</v>
      </c>
      <c r="C3617" s="347">
        <v>110</v>
      </c>
      <c r="D3617" s="340" t="str">
        <f>VLOOKUP(C3617,Plan!A$1:B$65542,2,0)</f>
        <v>Disponible Administración</v>
      </c>
      <c r="E3617" s="341">
        <f>+F3617-G3617</f>
        <v>20000</v>
      </c>
      <c r="F3617" s="396">
        <v>20000</v>
      </c>
      <c r="G3617" s="396">
        <v>0</v>
      </c>
      <c r="H3617" s="347" t="s">
        <v>1642</v>
      </c>
      <c r="I3617" s="347" t="s">
        <v>1303</v>
      </c>
      <c r="K3617" s="370"/>
      <c r="N3617" s="370"/>
    </row>
    <row r="3618" spans="1:14" s="347" customFormat="1" x14ac:dyDescent="0.25">
      <c r="A3618" s="369">
        <f>+A3617</f>
        <v>44382</v>
      </c>
      <c r="B3618" s="347">
        <f>+B3617</f>
        <v>7</v>
      </c>
      <c r="C3618" s="347">
        <v>3450</v>
      </c>
      <c r="D3618" s="340" t="str">
        <f>VLOOKUP(C3618,Plan!A$1:B$65542,2,0)</f>
        <v>Pastoral Social</v>
      </c>
      <c r="E3618" s="396">
        <f>-G3618</f>
        <v>-20000</v>
      </c>
      <c r="F3618" s="396">
        <v>0</v>
      </c>
      <c r="G3618" s="396">
        <f>+F3617</f>
        <v>20000</v>
      </c>
      <c r="H3618" s="347" t="str">
        <f>+H3617</f>
        <v>Canastas Hilda Dougnac</v>
      </c>
      <c r="I3618" s="347" t="s">
        <v>1303</v>
      </c>
      <c r="K3618" s="370"/>
      <c r="N3618" s="370"/>
    </row>
    <row r="3619" spans="1:14" s="347" customFormat="1" x14ac:dyDescent="0.25">
      <c r="A3619" s="369"/>
      <c r="E3619" s="396"/>
      <c r="F3619" s="396"/>
      <c r="G3619" s="396"/>
      <c r="K3619" s="370"/>
      <c r="N3619" s="370"/>
    </row>
    <row r="3620" spans="1:14" s="347" customFormat="1" x14ac:dyDescent="0.25">
      <c r="A3620" s="369">
        <v>44382</v>
      </c>
      <c r="B3620" s="340">
        <f>+MONTH(A3620)</f>
        <v>7</v>
      </c>
      <c r="C3620" s="347">
        <v>110</v>
      </c>
      <c r="D3620" s="340" t="str">
        <f>VLOOKUP(C3620,Plan!A$1:B$65542,2,0)</f>
        <v>Disponible Administración</v>
      </c>
      <c r="E3620" s="341">
        <f>+F3620-G3620</f>
        <v>10000</v>
      </c>
      <c r="F3620" s="396">
        <v>10000</v>
      </c>
      <c r="G3620" s="396">
        <v>0</v>
      </c>
      <c r="H3620" s="347" t="s">
        <v>1205</v>
      </c>
      <c r="I3620" s="347" t="s">
        <v>1303</v>
      </c>
      <c r="K3620" s="370"/>
      <c r="N3620" s="370"/>
    </row>
    <row r="3621" spans="1:14" s="347" customFormat="1" x14ac:dyDescent="0.25">
      <c r="A3621" s="369">
        <f>+A3620</f>
        <v>44382</v>
      </c>
      <c r="B3621" s="347">
        <f>+B3620</f>
        <v>7</v>
      </c>
      <c r="C3621" s="347">
        <v>3110</v>
      </c>
      <c r="D3621" s="340" t="str">
        <f>VLOOKUP(C3621,Plan!A$1:B$65542,2,0)</f>
        <v>Colectas Normales</v>
      </c>
      <c r="E3621" s="396">
        <f>-G3621</f>
        <v>-10000</v>
      </c>
      <c r="F3621" s="396">
        <v>0</v>
      </c>
      <c r="G3621" s="396">
        <f>+F3620</f>
        <v>10000</v>
      </c>
      <c r="H3621" s="347" t="str">
        <f>+H3620</f>
        <v>Colecta Gonzalo Nieto Valdes</v>
      </c>
      <c r="I3621" s="347" t="s">
        <v>1303</v>
      </c>
      <c r="K3621" s="370"/>
      <c r="N3621" s="370"/>
    </row>
    <row r="3622" spans="1:14" s="347" customFormat="1" x14ac:dyDescent="0.25">
      <c r="A3622" s="369"/>
      <c r="E3622" s="396"/>
      <c r="F3622" s="396"/>
      <c r="G3622" s="396"/>
      <c r="K3622" s="370"/>
      <c r="N3622" s="370"/>
    </row>
    <row r="3623" spans="1:14" s="347" customFormat="1" x14ac:dyDescent="0.25">
      <c r="A3623" s="369">
        <v>44382</v>
      </c>
      <c r="B3623" s="340">
        <f>+MONTH(A3623)</f>
        <v>7</v>
      </c>
      <c r="C3623" s="347">
        <v>110</v>
      </c>
      <c r="D3623" s="340" t="str">
        <f>VLOOKUP(C3623,Plan!A$1:B$65542,2,0)</f>
        <v>Disponible Administración</v>
      </c>
      <c r="E3623" s="341">
        <f>+F3623-G3623</f>
        <v>10000</v>
      </c>
      <c r="F3623" s="396">
        <v>10000</v>
      </c>
      <c r="G3623" s="396">
        <v>0</v>
      </c>
      <c r="H3623" s="347" t="s">
        <v>881</v>
      </c>
      <c r="I3623" s="347" t="s">
        <v>1303</v>
      </c>
      <c r="K3623" s="370"/>
      <c r="N3623" s="370"/>
    </row>
    <row r="3624" spans="1:14" s="347" customFormat="1" x14ac:dyDescent="0.25">
      <c r="A3624" s="369">
        <f>+A3623</f>
        <v>44382</v>
      </c>
      <c r="B3624" s="347">
        <f>+B3623</f>
        <v>7</v>
      </c>
      <c r="C3624" s="347">
        <v>3110</v>
      </c>
      <c r="D3624" s="340" t="str">
        <f>VLOOKUP(C3624,Plan!A$1:B$65542,2,0)</f>
        <v>Colectas Normales</v>
      </c>
      <c r="E3624" s="396">
        <f>-G3624</f>
        <v>-10000</v>
      </c>
      <c r="F3624" s="396">
        <v>0</v>
      </c>
      <c r="G3624" s="396">
        <f>+F3623</f>
        <v>10000</v>
      </c>
      <c r="H3624" s="347" t="str">
        <f>+H3623</f>
        <v>Colecta Rafael Marin Jordan</v>
      </c>
      <c r="I3624" s="347" t="s">
        <v>1303</v>
      </c>
      <c r="K3624" s="370"/>
      <c r="N3624" s="370"/>
    </row>
    <row r="3625" spans="1:14" s="347" customFormat="1" x14ac:dyDescent="0.25">
      <c r="A3625" s="369"/>
      <c r="E3625" s="396"/>
      <c r="F3625" s="396"/>
      <c r="G3625" s="396"/>
      <c r="K3625" s="370"/>
      <c r="N3625" s="370"/>
    </row>
    <row r="3626" spans="1:14" s="347" customFormat="1" x14ac:dyDescent="0.25">
      <c r="A3626" s="369">
        <v>44382</v>
      </c>
      <c r="B3626" s="340">
        <f>+MONTH(A3626)</f>
        <v>7</v>
      </c>
      <c r="C3626" s="347">
        <v>110</v>
      </c>
      <c r="D3626" s="340" t="str">
        <f>VLOOKUP(C3626,Plan!A$1:B$65542,2,0)</f>
        <v>Disponible Administración</v>
      </c>
      <c r="E3626" s="341">
        <f>+F3626-G3626</f>
        <v>15000</v>
      </c>
      <c r="F3626" s="396">
        <v>15000</v>
      </c>
      <c r="G3626" s="396">
        <v>0</v>
      </c>
      <c r="H3626" s="347" t="s">
        <v>688</v>
      </c>
      <c r="I3626" s="347" t="s">
        <v>1303</v>
      </c>
      <c r="K3626" s="370"/>
      <c r="N3626" s="370"/>
    </row>
    <row r="3627" spans="1:14" s="347" customFormat="1" x14ac:dyDescent="0.25">
      <c r="A3627" s="369">
        <f>+A3626</f>
        <v>44382</v>
      </c>
      <c r="B3627" s="347">
        <f>+B3626</f>
        <v>7</v>
      </c>
      <c r="C3627" s="347">
        <v>215</v>
      </c>
      <c r="D3627" s="340" t="str">
        <f>VLOOKUP(C3627,Plan!A$1:B$65542,2,0)</f>
        <v>Cuenta por Pagar a Cali</v>
      </c>
      <c r="E3627" s="396">
        <f>-G3627</f>
        <v>-15000</v>
      </c>
      <c r="F3627" s="396">
        <v>0</v>
      </c>
      <c r="G3627" s="396">
        <f>+F3626</f>
        <v>15000</v>
      </c>
      <c r="H3627" s="347" t="str">
        <f>+H3626</f>
        <v>María Elena de Castro Espinosa/249</v>
      </c>
      <c r="I3627" s="347" t="s">
        <v>1303</v>
      </c>
      <c r="K3627" s="370"/>
      <c r="N3627" s="370"/>
    </row>
    <row r="3628" spans="1:14" s="347" customFormat="1" x14ac:dyDescent="0.25">
      <c r="A3628" s="369"/>
      <c r="E3628" s="396"/>
      <c r="F3628" s="396"/>
      <c r="G3628" s="396"/>
      <c r="K3628" s="370"/>
      <c r="N3628" s="370"/>
    </row>
    <row r="3629" spans="1:14" s="347" customFormat="1" x14ac:dyDescent="0.25">
      <c r="A3629" s="369">
        <v>44382</v>
      </c>
      <c r="B3629" s="340">
        <f>+MONTH(A3629)</f>
        <v>7</v>
      </c>
      <c r="C3629" s="347">
        <v>110</v>
      </c>
      <c r="D3629" s="340" t="str">
        <f>VLOOKUP(C3629,Plan!A$1:B$65542,2,0)</f>
        <v>Disponible Administración</v>
      </c>
      <c r="E3629" s="341">
        <f>+F3629-G3629</f>
        <v>20000</v>
      </c>
      <c r="F3629" s="396">
        <v>20000</v>
      </c>
      <c r="G3629" s="396">
        <v>0</v>
      </c>
      <c r="H3629" s="347" t="s">
        <v>906</v>
      </c>
      <c r="I3629" s="347" t="s">
        <v>1303</v>
      </c>
      <c r="K3629" s="370"/>
      <c r="N3629" s="370"/>
    </row>
    <row r="3630" spans="1:14" s="347" customFormat="1" x14ac:dyDescent="0.25">
      <c r="A3630" s="369">
        <f>+A3629</f>
        <v>44382</v>
      </c>
      <c r="B3630" s="347">
        <f>+B3629</f>
        <v>7</v>
      </c>
      <c r="C3630" s="347">
        <v>3110</v>
      </c>
      <c r="D3630" s="340" t="str">
        <f>VLOOKUP(C3630,Plan!A$1:B$65542,2,0)</f>
        <v>Colectas Normales</v>
      </c>
      <c r="E3630" s="396">
        <f>-G3630</f>
        <v>-20000</v>
      </c>
      <c r="F3630" s="396">
        <v>0</v>
      </c>
      <c r="G3630" s="396">
        <f>+F3629</f>
        <v>20000</v>
      </c>
      <c r="H3630" s="347" t="str">
        <f>+H3629</f>
        <v>Colecta Carmen Barañao</v>
      </c>
      <c r="I3630" s="347" t="s">
        <v>1303</v>
      </c>
      <c r="K3630" s="370"/>
      <c r="N3630" s="370"/>
    </row>
    <row r="3631" spans="1:14" s="347" customFormat="1" x14ac:dyDescent="0.25">
      <c r="A3631" s="369"/>
      <c r="E3631" s="396"/>
      <c r="F3631" s="396"/>
      <c r="G3631" s="396"/>
      <c r="K3631" s="370"/>
      <c r="N3631" s="370"/>
    </row>
    <row r="3632" spans="1:14" s="347" customFormat="1" x14ac:dyDescent="0.25">
      <c r="A3632" s="369">
        <v>44382</v>
      </c>
      <c r="B3632" s="340">
        <f>+MONTH(A3632)</f>
        <v>7</v>
      </c>
      <c r="C3632" s="347">
        <v>110</v>
      </c>
      <c r="D3632" s="340" t="str">
        <f>VLOOKUP(C3632,Plan!A$1:B$65542,2,0)</f>
        <v>Disponible Administración</v>
      </c>
      <c r="E3632" s="341">
        <f>+F3632-G3632</f>
        <v>3000</v>
      </c>
      <c r="F3632" s="396">
        <v>3000</v>
      </c>
      <c r="G3632" s="396">
        <v>0</v>
      </c>
      <c r="H3632" s="347" t="s">
        <v>915</v>
      </c>
      <c r="I3632" s="347" t="s">
        <v>1303</v>
      </c>
      <c r="K3632" s="370"/>
      <c r="N3632" s="370"/>
    </row>
    <row r="3633" spans="1:14" s="347" customFormat="1" x14ac:dyDescent="0.25">
      <c r="A3633" s="369">
        <f>+A3632</f>
        <v>44382</v>
      </c>
      <c r="B3633" s="347">
        <f>+B3632</f>
        <v>7</v>
      </c>
      <c r="C3633" s="347">
        <v>3110</v>
      </c>
      <c r="D3633" s="340" t="str">
        <f>VLOOKUP(C3633,Plan!A$1:B$65542,2,0)</f>
        <v>Colectas Normales</v>
      </c>
      <c r="E3633" s="396">
        <f>-G3633</f>
        <v>-3000</v>
      </c>
      <c r="F3633" s="396">
        <v>0</v>
      </c>
      <c r="G3633" s="396">
        <f>+F3632</f>
        <v>3000</v>
      </c>
      <c r="H3633" s="347" t="str">
        <f>+H3632</f>
        <v>Colecta Jose Perez de Castro</v>
      </c>
      <c r="I3633" s="347" t="s">
        <v>1303</v>
      </c>
      <c r="K3633" s="370"/>
      <c r="N3633" s="370"/>
    </row>
    <row r="3634" spans="1:14" s="347" customFormat="1" x14ac:dyDescent="0.25">
      <c r="A3634" s="369"/>
      <c r="E3634" s="396"/>
      <c r="F3634" s="396"/>
      <c r="G3634" s="396"/>
      <c r="K3634" s="370"/>
      <c r="N3634" s="370"/>
    </row>
    <row r="3635" spans="1:14" s="347" customFormat="1" x14ac:dyDescent="0.25">
      <c r="A3635" s="369">
        <v>44382</v>
      </c>
      <c r="B3635" s="340">
        <f>+MONTH(A3635)</f>
        <v>7</v>
      </c>
      <c r="C3635" s="347">
        <v>110</v>
      </c>
      <c r="D3635" s="340" t="str">
        <f>VLOOKUP(C3635,Plan!A$1:B$65542,2,0)</f>
        <v>Disponible Administración</v>
      </c>
      <c r="E3635" s="341">
        <f>+F3635-G3635</f>
        <v>20000</v>
      </c>
      <c r="F3635" s="396">
        <v>20000</v>
      </c>
      <c r="G3635" s="396">
        <v>0</v>
      </c>
      <c r="H3635" s="347" t="s">
        <v>1337</v>
      </c>
      <c r="I3635" s="347" t="s">
        <v>1303</v>
      </c>
      <c r="K3635" s="370"/>
      <c r="N3635" s="370"/>
    </row>
    <row r="3636" spans="1:14" s="347" customFormat="1" x14ac:dyDescent="0.25">
      <c r="A3636" s="369">
        <f>+A3635</f>
        <v>44382</v>
      </c>
      <c r="B3636" s="347">
        <f>+B3635</f>
        <v>7</v>
      </c>
      <c r="C3636" s="347">
        <v>3450</v>
      </c>
      <c r="D3636" s="340" t="str">
        <f>VLOOKUP(C3636,Plan!A$1:B$65542,2,0)</f>
        <v>Pastoral Social</v>
      </c>
      <c r="E3636" s="396">
        <f>-G3636</f>
        <v>-20000</v>
      </c>
      <c r="F3636" s="396">
        <v>0</v>
      </c>
      <c r="G3636" s="396">
        <f>+F3635</f>
        <v>20000</v>
      </c>
      <c r="H3636" s="347" t="str">
        <f>+H3635</f>
        <v>Canastas Ricardo Fernandez</v>
      </c>
      <c r="I3636" s="347" t="s">
        <v>1303</v>
      </c>
      <c r="K3636" s="370"/>
      <c r="N3636" s="370"/>
    </row>
    <row r="3637" spans="1:14" s="347" customFormat="1" x14ac:dyDescent="0.25">
      <c r="K3637" s="370"/>
      <c r="N3637" s="370"/>
    </row>
    <row r="3638" spans="1:14" s="347" customFormat="1" x14ac:dyDescent="0.25">
      <c r="A3638" s="369">
        <v>44382</v>
      </c>
      <c r="B3638" s="340">
        <f>+MONTH(A3638)</f>
        <v>7</v>
      </c>
      <c r="C3638" s="347">
        <v>110</v>
      </c>
      <c r="D3638" s="340" t="str">
        <f>VLOOKUP(C3638,Plan!A$1:B$65542,2,0)</f>
        <v>Disponible Administración</v>
      </c>
      <c r="E3638" s="341">
        <f>+F3638-G3638</f>
        <v>5000</v>
      </c>
      <c r="F3638" s="396">
        <v>5000</v>
      </c>
      <c r="G3638" s="396">
        <v>0</v>
      </c>
      <c r="H3638" s="347" t="s">
        <v>1108</v>
      </c>
      <c r="I3638" s="347" t="s">
        <v>1303</v>
      </c>
      <c r="K3638" s="370"/>
      <c r="N3638" s="370"/>
    </row>
    <row r="3639" spans="1:14" s="347" customFormat="1" x14ac:dyDescent="0.25">
      <c r="A3639" s="369">
        <f>+A3638</f>
        <v>44382</v>
      </c>
      <c r="B3639" s="347">
        <f>+B3638</f>
        <v>7</v>
      </c>
      <c r="C3639" s="347">
        <v>3110</v>
      </c>
      <c r="D3639" s="340" t="str">
        <f>VLOOKUP(C3639,Plan!A$1:B$65542,2,0)</f>
        <v>Colectas Normales</v>
      </c>
      <c r="E3639" s="396">
        <f>-G3639</f>
        <v>-5000</v>
      </c>
      <c r="F3639" s="396">
        <v>0</v>
      </c>
      <c r="G3639" s="396">
        <f>+F3638</f>
        <v>5000</v>
      </c>
      <c r="H3639" s="347" t="str">
        <f>+H3638</f>
        <v>Colecta Ricardo Fernandez</v>
      </c>
      <c r="I3639" s="347" t="s">
        <v>1303</v>
      </c>
      <c r="K3639" s="370"/>
      <c r="N3639" s="370"/>
    </row>
    <row r="3640" spans="1:14" s="347" customFormat="1" x14ac:dyDescent="0.25">
      <c r="A3640" s="369"/>
      <c r="E3640" s="396"/>
      <c r="F3640" s="396"/>
      <c r="G3640" s="396"/>
      <c r="K3640" s="370"/>
      <c r="N3640" s="370"/>
    </row>
    <row r="3641" spans="1:14" s="347" customFormat="1" x14ac:dyDescent="0.25">
      <c r="A3641" s="369">
        <v>44382</v>
      </c>
      <c r="B3641" s="340">
        <f>+MONTH(A3641)</f>
        <v>7</v>
      </c>
      <c r="C3641" s="347">
        <v>110</v>
      </c>
      <c r="D3641" s="340" t="str">
        <f>VLOOKUP(C3641,Plan!A$1:B$65542,2,0)</f>
        <v>Disponible Administración</v>
      </c>
      <c r="E3641" s="341">
        <f>+F3641-G3641</f>
        <v>10000</v>
      </c>
      <c r="F3641" s="396">
        <v>10000</v>
      </c>
      <c r="G3641" s="396">
        <v>0</v>
      </c>
      <c r="H3641" s="347" t="s">
        <v>880</v>
      </c>
      <c r="I3641" s="347" t="s">
        <v>1303</v>
      </c>
      <c r="K3641" s="370"/>
      <c r="N3641" s="370"/>
    </row>
    <row r="3642" spans="1:14" s="347" customFormat="1" x14ac:dyDescent="0.25">
      <c r="A3642" s="369">
        <f>+A3641</f>
        <v>44382</v>
      </c>
      <c r="B3642" s="347">
        <f>+B3641</f>
        <v>7</v>
      </c>
      <c r="C3642" s="347">
        <v>3110</v>
      </c>
      <c r="D3642" s="340" t="str">
        <f>VLOOKUP(C3642,Plan!A$1:B$65542,2,0)</f>
        <v>Colectas Normales</v>
      </c>
      <c r="E3642" s="396">
        <f>-G3642</f>
        <v>-10000</v>
      </c>
      <c r="F3642" s="396">
        <v>0</v>
      </c>
      <c r="G3642" s="396">
        <f>+F3641</f>
        <v>10000</v>
      </c>
      <c r="H3642" s="347" t="str">
        <f>+H3641</f>
        <v>Colecta Sebastian Rios</v>
      </c>
      <c r="I3642" s="347" t="s">
        <v>1303</v>
      </c>
      <c r="K3642" s="370"/>
      <c r="N3642" s="370"/>
    </row>
    <row r="3643" spans="1:14" s="347" customFormat="1" x14ac:dyDescent="0.25">
      <c r="A3643" s="369"/>
      <c r="E3643" s="396"/>
      <c r="F3643" s="396"/>
      <c r="G3643" s="396"/>
      <c r="K3643" s="370"/>
      <c r="N3643" s="370"/>
    </row>
    <row r="3644" spans="1:14" s="347" customFormat="1" x14ac:dyDescent="0.25">
      <c r="A3644" s="369">
        <v>44382</v>
      </c>
      <c r="B3644" s="340">
        <f>+MONTH(A3644)</f>
        <v>7</v>
      </c>
      <c r="C3644" s="347">
        <v>110</v>
      </c>
      <c r="D3644" s="340" t="str">
        <f>VLOOKUP(C3644,Plan!A$1:B$65542,2,0)</f>
        <v>Disponible Administración</v>
      </c>
      <c r="E3644" s="341">
        <f>+F3644-G3644</f>
        <v>25000</v>
      </c>
      <c r="F3644" s="396">
        <v>25000</v>
      </c>
      <c r="G3644" s="396">
        <v>0</v>
      </c>
      <c r="H3644" s="347" t="s">
        <v>1425</v>
      </c>
      <c r="I3644" s="347" t="s">
        <v>1303</v>
      </c>
      <c r="K3644" s="370"/>
      <c r="N3644" s="370"/>
    </row>
    <row r="3645" spans="1:14" s="347" customFormat="1" x14ac:dyDescent="0.25">
      <c r="A3645" s="369">
        <f>+A3644</f>
        <v>44382</v>
      </c>
      <c r="B3645" s="347">
        <f>+B3644</f>
        <v>7</v>
      </c>
      <c r="C3645" s="347">
        <v>3360</v>
      </c>
      <c r="D3645" s="340" t="str">
        <f>VLOOKUP(C3645,Plan!A$1:B$65542,2,0)</f>
        <v>Otros</v>
      </c>
      <c r="E3645" s="396">
        <f>-G3645</f>
        <v>-25000</v>
      </c>
      <c r="F3645" s="396">
        <v>0</v>
      </c>
      <c r="G3645" s="396">
        <f>+F3644</f>
        <v>25000</v>
      </c>
      <c r="H3645" s="347" t="str">
        <f>+H3644</f>
        <v>Curso Maria Soledad Toso Loyola</v>
      </c>
      <c r="I3645" s="347" t="s">
        <v>1303</v>
      </c>
      <c r="K3645" s="370"/>
      <c r="N3645" s="370"/>
    </row>
    <row r="3646" spans="1:14" s="347" customFormat="1" x14ac:dyDescent="0.25">
      <c r="A3646" s="369"/>
      <c r="E3646" s="396"/>
      <c r="F3646" s="396"/>
      <c r="G3646" s="396"/>
      <c r="K3646" s="370"/>
      <c r="N3646" s="370"/>
    </row>
    <row r="3647" spans="1:14" s="347" customFormat="1" x14ac:dyDescent="0.25">
      <c r="A3647" s="369">
        <v>44382</v>
      </c>
      <c r="B3647" s="340">
        <f>+MONTH(A3647)</f>
        <v>7</v>
      </c>
      <c r="C3647" s="347">
        <v>110</v>
      </c>
      <c r="D3647" s="340" t="str">
        <f>VLOOKUP(C3647,Plan!A$1:B$65542,2,0)</f>
        <v>Disponible Administración</v>
      </c>
      <c r="E3647" s="341">
        <f>+F3647-G3647</f>
        <v>10000</v>
      </c>
      <c r="F3647" s="396">
        <v>10000</v>
      </c>
      <c r="G3647" s="396">
        <v>0</v>
      </c>
      <c r="H3647" s="347" t="s">
        <v>900</v>
      </c>
      <c r="I3647" s="347" t="s">
        <v>1303</v>
      </c>
      <c r="K3647" s="370"/>
      <c r="N3647" s="370"/>
    </row>
    <row r="3648" spans="1:14" s="347" customFormat="1" x14ac:dyDescent="0.25">
      <c r="A3648" s="369">
        <f>+A3647</f>
        <v>44382</v>
      </c>
      <c r="B3648" s="347">
        <f>+B3647</f>
        <v>7</v>
      </c>
      <c r="C3648" s="347">
        <v>3110</v>
      </c>
      <c r="D3648" s="340" t="str">
        <f>VLOOKUP(C3648,Plan!A$1:B$65542,2,0)</f>
        <v>Colectas Normales</v>
      </c>
      <c r="E3648" s="396">
        <f>-G3648</f>
        <v>-10000</v>
      </c>
      <c r="F3648" s="396">
        <v>0</v>
      </c>
      <c r="G3648" s="396">
        <f>+F3647</f>
        <v>10000</v>
      </c>
      <c r="H3648" s="347" t="str">
        <f>+H3647</f>
        <v>Colecta Paula Fernandez</v>
      </c>
      <c r="I3648" s="347" t="s">
        <v>1303</v>
      </c>
      <c r="K3648" s="370"/>
      <c r="N3648" s="370"/>
    </row>
    <row r="3649" spans="1:14" s="347" customFormat="1" x14ac:dyDescent="0.25">
      <c r="A3649" s="369"/>
      <c r="E3649" s="396"/>
      <c r="F3649" s="396"/>
      <c r="G3649" s="396"/>
      <c r="K3649" s="370"/>
      <c r="N3649" s="370"/>
    </row>
    <row r="3650" spans="1:14" s="347" customFormat="1" x14ac:dyDescent="0.25">
      <c r="A3650" s="369">
        <v>44382</v>
      </c>
      <c r="B3650" s="340">
        <f>+MONTH(A3650)</f>
        <v>7</v>
      </c>
      <c r="C3650" s="347">
        <v>110</v>
      </c>
      <c r="D3650" s="340" t="str">
        <f>VLOOKUP(C3650,Plan!A$1:B$65542,2,0)</f>
        <v>Disponible Administración</v>
      </c>
      <c r="E3650" s="341">
        <f>+F3650-G3650</f>
        <v>50000</v>
      </c>
      <c r="F3650" s="396">
        <v>50000</v>
      </c>
      <c r="G3650" s="396">
        <v>0</v>
      </c>
      <c r="H3650" s="347" t="s">
        <v>1524</v>
      </c>
      <c r="I3650" s="347" t="s">
        <v>1303</v>
      </c>
      <c r="K3650" s="370"/>
      <c r="N3650" s="370"/>
    </row>
    <row r="3651" spans="1:14" s="347" customFormat="1" x14ac:dyDescent="0.25">
      <c r="A3651" s="369">
        <f>+A3650</f>
        <v>44382</v>
      </c>
      <c r="B3651" s="347">
        <f>+B3650</f>
        <v>7</v>
      </c>
      <c r="C3651" s="347">
        <v>3360</v>
      </c>
      <c r="D3651" s="340" t="str">
        <f>VLOOKUP(C3651,Plan!A$1:B$65542,2,0)</f>
        <v>Otros</v>
      </c>
      <c r="E3651" s="396">
        <f>-G3651</f>
        <v>-50000</v>
      </c>
      <c r="F3651" s="396">
        <v>0</v>
      </c>
      <c r="G3651" s="396">
        <f>+F3650</f>
        <v>50000</v>
      </c>
      <c r="H3651" s="347" t="str">
        <f>+H3650</f>
        <v>Curso Pedro Iriberry Mc.</v>
      </c>
      <c r="I3651" s="347" t="s">
        <v>1303</v>
      </c>
      <c r="K3651" s="370"/>
      <c r="N3651" s="370"/>
    </row>
    <row r="3652" spans="1:14" s="347" customFormat="1" x14ac:dyDescent="0.25">
      <c r="A3652" s="369"/>
      <c r="E3652" s="396"/>
      <c r="F3652" s="396"/>
      <c r="G3652" s="396"/>
      <c r="K3652" s="370"/>
      <c r="N3652" s="370"/>
    </row>
    <row r="3653" spans="1:14" s="347" customFormat="1" x14ac:dyDescent="0.25">
      <c r="A3653" s="369">
        <v>44382</v>
      </c>
      <c r="B3653" s="340">
        <f>+MONTH(A3653)</f>
        <v>7</v>
      </c>
      <c r="C3653" s="347">
        <v>110</v>
      </c>
      <c r="D3653" s="340" t="str">
        <f>VLOOKUP(C3653,Plan!A$1:B$65542,2,0)</f>
        <v>Disponible Administración</v>
      </c>
      <c r="E3653" s="341">
        <f>+F3653-G3653</f>
        <v>10000</v>
      </c>
      <c r="F3653" s="396">
        <v>10000</v>
      </c>
      <c r="G3653" s="396">
        <v>0</v>
      </c>
      <c r="H3653" s="347" t="s">
        <v>1643</v>
      </c>
      <c r="I3653" s="347" t="s">
        <v>1303</v>
      </c>
      <c r="K3653" s="370"/>
      <c r="N3653" s="370"/>
    </row>
    <row r="3654" spans="1:14" s="347" customFormat="1" x14ac:dyDescent="0.25">
      <c r="A3654" s="369">
        <f>+A3653</f>
        <v>44382</v>
      </c>
      <c r="B3654" s="347">
        <f>+B3653</f>
        <v>7</v>
      </c>
      <c r="C3654" s="347">
        <v>3110</v>
      </c>
      <c r="D3654" s="340" t="str">
        <f>VLOOKUP(C3654,Plan!A$1:B$65542,2,0)</f>
        <v>Colectas Normales</v>
      </c>
      <c r="E3654" s="396">
        <f>-G3654</f>
        <v>-10000</v>
      </c>
      <c r="F3654" s="396">
        <v>0</v>
      </c>
      <c r="G3654" s="396">
        <f>+F3653</f>
        <v>10000</v>
      </c>
      <c r="H3654" s="347" t="str">
        <f>+H3653</f>
        <v>Colecta Sara Concha G.</v>
      </c>
      <c r="I3654" s="347" t="s">
        <v>1303</v>
      </c>
      <c r="K3654" s="370"/>
      <c r="N3654" s="370"/>
    </row>
    <row r="3655" spans="1:14" s="347" customFormat="1" x14ac:dyDescent="0.25">
      <c r="A3655" s="369"/>
      <c r="E3655" s="396"/>
      <c r="F3655" s="396"/>
      <c r="G3655" s="396"/>
      <c r="K3655" s="370"/>
      <c r="N3655" s="370"/>
    </row>
    <row r="3656" spans="1:14" s="347" customFormat="1" x14ac:dyDescent="0.25">
      <c r="A3656" s="369">
        <v>44382</v>
      </c>
      <c r="B3656" s="340">
        <f>+MONTH(A3656)</f>
        <v>7</v>
      </c>
      <c r="C3656" s="347">
        <v>110</v>
      </c>
      <c r="D3656" s="340" t="str">
        <f>VLOOKUP(C3656,Plan!A$1:B$65542,2,0)</f>
        <v>Disponible Administración</v>
      </c>
      <c r="E3656" s="341">
        <f>+F3656-G3656</f>
        <v>190000</v>
      </c>
      <c r="F3656" s="396">
        <v>190000</v>
      </c>
      <c r="G3656" s="396">
        <v>0</v>
      </c>
      <c r="H3656" s="347" t="s">
        <v>1128</v>
      </c>
      <c r="I3656" s="347" t="s">
        <v>1303</v>
      </c>
      <c r="K3656" s="370"/>
      <c r="N3656" s="370"/>
    </row>
    <row r="3657" spans="1:14" s="347" customFormat="1" x14ac:dyDescent="0.25">
      <c r="A3657" s="369">
        <f>+A3656</f>
        <v>44382</v>
      </c>
      <c r="B3657" s="347">
        <f>+B3656</f>
        <v>7</v>
      </c>
      <c r="C3657" s="347">
        <v>3110</v>
      </c>
      <c r="D3657" s="340" t="str">
        <f>VLOOKUP(C3657,Plan!A$1:B$65542,2,0)</f>
        <v>Colectas Normales</v>
      </c>
      <c r="E3657" s="396">
        <f>-G3657</f>
        <v>-190000</v>
      </c>
      <c r="F3657" s="396">
        <v>0</v>
      </c>
      <c r="G3657" s="396">
        <f>+F3656</f>
        <v>190000</v>
      </c>
      <c r="H3657" s="347" t="str">
        <f>+H3656</f>
        <v>Colecta Ximena Suspichiatti</v>
      </c>
      <c r="I3657" s="347" t="s">
        <v>1303</v>
      </c>
      <c r="K3657" s="370"/>
      <c r="N3657" s="370"/>
    </row>
    <row r="3658" spans="1:14" s="347" customFormat="1" x14ac:dyDescent="0.25">
      <c r="A3658" s="369"/>
      <c r="E3658" s="396"/>
      <c r="F3658" s="396"/>
      <c r="G3658" s="396"/>
      <c r="K3658" s="370"/>
      <c r="N3658" s="370"/>
    </row>
    <row r="3659" spans="1:14" s="347" customFormat="1" x14ac:dyDescent="0.25">
      <c r="A3659" s="369">
        <v>44382</v>
      </c>
      <c r="B3659" s="340">
        <f>+MONTH(A3659)</f>
        <v>7</v>
      </c>
      <c r="C3659" s="347">
        <v>110</v>
      </c>
      <c r="D3659" s="340" t="str">
        <f>VLOOKUP(C3659,Plan!A$1:B$65542,2,0)</f>
        <v>Disponible Administración</v>
      </c>
      <c r="E3659" s="341">
        <f>+F3659-G3659</f>
        <v>15000</v>
      </c>
      <c r="F3659" s="396">
        <v>15000</v>
      </c>
      <c r="G3659" s="396">
        <v>0</v>
      </c>
      <c r="H3659" s="347" t="s">
        <v>1644</v>
      </c>
      <c r="I3659" s="347" t="s">
        <v>1303</v>
      </c>
      <c r="K3659" s="370"/>
      <c r="N3659" s="370"/>
    </row>
    <row r="3660" spans="1:14" s="347" customFormat="1" x14ac:dyDescent="0.25">
      <c r="A3660" s="369">
        <f>+A3659</f>
        <v>44382</v>
      </c>
      <c r="B3660" s="347">
        <f>+B3659</f>
        <v>7</v>
      </c>
      <c r="C3660" s="347">
        <v>215</v>
      </c>
      <c r="D3660" s="340" t="str">
        <f>VLOOKUP(C3660,Plan!A$1:B$65542,2,0)</f>
        <v>Cuenta por Pagar a Cali</v>
      </c>
      <c r="E3660" s="396">
        <f>-G3660</f>
        <v>-15000</v>
      </c>
      <c r="F3660" s="396">
        <v>0</v>
      </c>
      <c r="G3660" s="396">
        <f>+F3659</f>
        <v>15000</v>
      </c>
      <c r="H3660" s="347" t="str">
        <f>+H3659</f>
        <v>Pamela Daniels Sanchez/ Azul</v>
      </c>
      <c r="I3660" s="347" t="s">
        <v>1303</v>
      </c>
      <c r="K3660" s="370"/>
      <c r="N3660" s="370"/>
    </row>
    <row r="3661" spans="1:14" s="347" customFormat="1" x14ac:dyDescent="0.25">
      <c r="A3661" s="369"/>
      <c r="E3661" s="396"/>
      <c r="F3661" s="396"/>
      <c r="G3661" s="396"/>
      <c r="K3661" s="370"/>
      <c r="N3661" s="370"/>
    </row>
    <row r="3662" spans="1:14" s="347" customFormat="1" x14ac:dyDescent="0.25">
      <c r="A3662" s="369">
        <v>44382</v>
      </c>
      <c r="B3662" s="340">
        <f>+MONTH(A3662)</f>
        <v>7</v>
      </c>
      <c r="C3662" s="347">
        <v>110</v>
      </c>
      <c r="D3662" s="340" t="str">
        <f>VLOOKUP(C3662,Plan!A$1:B$65542,2,0)</f>
        <v>Disponible Administración</v>
      </c>
      <c r="E3662" s="341">
        <f>+F3662-G3662</f>
        <v>40000</v>
      </c>
      <c r="F3662" s="396">
        <v>40000</v>
      </c>
      <c r="G3662" s="396">
        <v>0</v>
      </c>
      <c r="H3662" s="347" t="s">
        <v>894</v>
      </c>
      <c r="I3662" s="347" t="s">
        <v>1303</v>
      </c>
      <c r="K3662" s="370"/>
      <c r="N3662" s="370"/>
    </row>
    <row r="3663" spans="1:14" s="347" customFormat="1" x14ac:dyDescent="0.25">
      <c r="A3663" s="369">
        <f>+A3662</f>
        <v>44382</v>
      </c>
      <c r="B3663" s="347">
        <f>+B3662</f>
        <v>7</v>
      </c>
      <c r="C3663" s="347">
        <v>3110</v>
      </c>
      <c r="D3663" s="340" t="str">
        <f>VLOOKUP(C3663,Plan!A$1:B$65542,2,0)</f>
        <v>Colectas Normales</v>
      </c>
      <c r="E3663" s="396">
        <f>-G3663</f>
        <v>-40000</v>
      </c>
      <c r="F3663" s="396">
        <v>0</v>
      </c>
      <c r="G3663" s="396">
        <f>+F3662</f>
        <v>40000</v>
      </c>
      <c r="H3663" s="347" t="str">
        <f>+H3662</f>
        <v>Colecta Maria Jose Fernandez Cifuentes</v>
      </c>
      <c r="I3663" s="347" t="s">
        <v>1303</v>
      </c>
      <c r="K3663" s="370"/>
      <c r="N3663" s="370"/>
    </row>
    <row r="3664" spans="1:14" s="347" customFormat="1" x14ac:dyDescent="0.25">
      <c r="A3664" s="369"/>
      <c r="E3664" s="396"/>
      <c r="F3664" s="396"/>
      <c r="G3664" s="396"/>
      <c r="K3664" s="370"/>
      <c r="N3664" s="370"/>
    </row>
    <row r="3665" spans="1:14" s="347" customFormat="1" x14ac:dyDescent="0.25">
      <c r="A3665" s="369">
        <v>44382</v>
      </c>
      <c r="B3665" s="340">
        <f>+MONTH(A3665)</f>
        <v>7</v>
      </c>
      <c r="C3665" s="347">
        <v>110</v>
      </c>
      <c r="D3665" s="340" t="str">
        <f>VLOOKUP(C3665,Plan!A$1:B$65542,2,0)</f>
        <v>Disponible Administración</v>
      </c>
      <c r="E3665" s="341">
        <f>+F3665-G3665</f>
        <v>20000</v>
      </c>
      <c r="F3665" s="396">
        <v>20000</v>
      </c>
      <c r="G3665" s="396">
        <v>0</v>
      </c>
      <c r="H3665" s="347" t="s">
        <v>1356</v>
      </c>
      <c r="I3665" s="347" t="s">
        <v>1303</v>
      </c>
      <c r="K3665" s="370"/>
      <c r="N3665" s="370"/>
    </row>
    <row r="3666" spans="1:14" s="347" customFormat="1" x14ac:dyDescent="0.25">
      <c r="A3666" s="369">
        <f>+A3665</f>
        <v>44382</v>
      </c>
      <c r="B3666" s="347">
        <f>+B3665</f>
        <v>7</v>
      </c>
      <c r="C3666" s="347">
        <v>3110</v>
      </c>
      <c r="D3666" s="340" t="str">
        <f>VLOOKUP(C3666,Plan!A$1:B$65542,2,0)</f>
        <v>Colectas Normales</v>
      </c>
      <c r="E3666" s="396">
        <f>-G3666</f>
        <v>-20000</v>
      </c>
      <c r="F3666" s="396">
        <v>0</v>
      </c>
      <c r="G3666" s="396">
        <f>+F3665</f>
        <v>20000</v>
      </c>
      <c r="H3666" s="347" t="str">
        <f>+H3665</f>
        <v>Colecta Maria Luisa Rojas Cruz</v>
      </c>
      <c r="I3666" s="347" t="s">
        <v>1303</v>
      </c>
      <c r="K3666" s="370"/>
      <c r="N3666" s="370"/>
    </row>
    <row r="3667" spans="1:14" s="347" customFormat="1" x14ac:dyDescent="0.25">
      <c r="A3667" s="369"/>
      <c r="E3667" s="396"/>
      <c r="F3667" s="396"/>
      <c r="G3667" s="396"/>
      <c r="K3667" s="370"/>
      <c r="N3667" s="370"/>
    </row>
    <row r="3668" spans="1:14" s="347" customFormat="1" x14ac:dyDescent="0.25">
      <c r="A3668" s="369">
        <v>44382</v>
      </c>
      <c r="B3668" s="340">
        <f>+MONTH(A3668)</f>
        <v>7</v>
      </c>
      <c r="C3668" s="347">
        <v>110</v>
      </c>
      <c r="D3668" s="340" t="str">
        <f>VLOOKUP(C3668,Plan!A$1:B$65542,2,0)</f>
        <v>Disponible Administración</v>
      </c>
      <c r="E3668" s="341">
        <f>+F3668-G3668</f>
        <v>25000</v>
      </c>
      <c r="F3668" s="396">
        <v>25000</v>
      </c>
      <c r="G3668" s="396">
        <v>0</v>
      </c>
      <c r="H3668" s="347" t="s">
        <v>931</v>
      </c>
      <c r="I3668" s="347" t="s">
        <v>1303</v>
      </c>
      <c r="K3668" s="370"/>
      <c r="N3668" s="370"/>
    </row>
    <row r="3669" spans="1:14" s="347" customFormat="1" x14ac:dyDescent="0.25">
      <c r="A3669" s="369">
        <f>+A3668</f>
        <v>44382</v>
      </c>
      <c r="B3669" s="347">
        <f>+B3668</f>
        <v>7</v>
      </c>
      <c r="C3669" s="347">
        <v>3110</v>
      </c>
      <c r="D3669" s="340" t="str">
        <f>VLOOKUP(C3669,Plan!A$1:B$65542,2,0)</f>
        <v>Colectas Normales</v>
      </c>
      <c r="E3669" s="396">
        <f>-G3669</f>
        <v>-25000</v>
      </c>
      <c r="F3669" s="396">
        <v>0</v>
      </c>
      <c r="G3669" s="396">
        <f>+F3668</f>
        <v>25000</v>
      </c>
      <c r="H3669" s="347" t="str">
        <f>+H3668</f>
        <v>Colecta Eduardo Calvimontes Candia</v>
      </c>
      <c r="I3669" s="347" t="s">
        <v>1303</v>
      </c>
      <c r="K3669" s="370"/>
      <c r="N3669" s="370"/>
    </row>
    <row r="3670" spans="1:14" s="347" customFormat="1" x14ac:dyDescent="0.25">
      <c r="A3670" s="369"/>
      <c r="E3670" s="396"/>
      <c r="F3670" s="396"/>
      <c r="G3670" s="396"/>
      <c r="K3670" s="370"/>
      <c r="N3670" s="370"/>
    </row>
    <row r="3671" spans="1:14" s="347" customFormat="1" x14ac:dyDescent="0.25">
      <c r="A3671" s="369">
        <v>44382</v>
      </c>
      <c r="B3671" s="340">
        <f>+MONTH(A3671)</f>
        <v>7</v>
      </c>
      <c r="C3671" s="347">
        <v>110</v>
      </c>
      <c r="D3671" s="340" t="str">
        <f>VLOOKUP(C3671,Plan!A$1:B$65542,2,0)</f>
        <v>Disponible Administración</v>
      </c>
      <c r="E3671" s="341">
        <f>+F3671-G3671</f>
        <v>20000</v>
      </c>
      <c r="F3671" s="396">
        <v>20000</v>
      </c>
      <c r="G3671" s="396">
        <v>0</v>
      </c>
      <c r="H3671" s="347" t="s">
        <v>1457</v>
      </c>
      <c r="I3671" s="347" t="s">
        <v>1303</v>
      </c>
      <c r="K3671" s="370"/>
      <c r="N3671" s="370"/>
    </row>
    <row r="3672" spans="1:14" s="347" customFormat="1" x14ac:dyDescent="0.25">
      <c r="A3672" s="369">
        <f>+A3671</f>
        <v>44382</v>
      </c>
      <c r="B3672" s="347">
        <f>+B3671</f>
        <v>7</v>
      </c>
      <c r="C3672" s="347">
        <v>215</v>
      </c>
      <c r="D3672" s="340" t="str">
        <f>VLOOKUP(C3672,Plan!A$1:B$65542,2,0)</f>
        <v>Cuenta por Pagar a Cali</v>
      </c>
      <c r="E3672" s="396">
        <f>-G3672</f>
        <v>-20000</v>
      </c>
      <c r="F3672" s="396">
        <v>0</v>
      </c>
      <c r="G3672" s="396">
        <f>+F3671</f>
        <v>20000</v>
      </c>
      <c r="H3672" s="347" t="str">
        <f>+H3671</f>
        <v>Eduardo Calvimontes Candia/Azul</v>
      </c>
      <c r="I3672" s="347" t="s">
        <v>1303</v>
      </c>
      <c r="K3672" s="370"/>
      <c r="N3672" s="370"/>
    </row>
    <row r="3673" spans="1:14" s="347" customFormat="1" x14ac:dyDescent="0.25">
      <c r="A3673" s="369"/>
      <c r="E3673" s="396"/>
      <c r="F3673" s="396"/>
      <c r="G3673" s="396"/>
      <c r="K3673" s="370"/>
      <c r="N3673" s="370"/>
    </row>
    <row r="3674" spans="1:14" s="347" customFormat="1" x14ac:dyDescent="0.25">
      <c r="A3674" s="369">
        <v>44382</v>
      </c>
      <c r="B3674" s="340">
        <f>+MONTH(A3674)</f>
        <v>7</v>
      </c>
      <c r="C3674" s="347">
        <v>110</v>
      </c>
      <c r="D3674" s="340" t="str">
        <f>VLOOKUP(C3674,Plan!A$1:B$65542,2,0)</f>
        <v>Disponible Administración</v>
      </c>
      <c r="E3674" s="341">
        <f>+F3674-G3674</f>
        <v>2000</v>
      </c>
      <c r="F3674" s="396">
        <v>2000</v>
      </c>
      <c r="G3674" s="396">
        <v>0</v>
      </c>
      <c r="H3674" s="347" t="s">
        <v>911</v>
      </c>
      <c r="I3674" s="347" t="s">
        <v>1303</v>
      </c>
      <c r="K3674" s="370"/>
      <c r="N3674" s="370"/>
    </row>
    <row r="3675" spans="1:14" s="347" customFormat="1" x14ac:dyDescent="0.25">
      <c r="A3675" s="369">
        <f>+A3674</f>
        <v>44382</v>
      </c>
      <c r="B3675" s="347">
        <f>+B3674</f>
        <v>7</v>
      </c>
      <c r="C3675" s="347">
        <v>3110</v>
      </c>
      <c r="D3675" s="340" t="str">
        <f>VLOOKUP(C3675,Plan!A$1:B$65542,2,0)</f>
        <v>Colectas Normales</v>
      </c>
      <c r="E3675" s="396">
        <f>-G3675</f>
        <v>-2000</v>
      </c>
      <c r="F3675" s="396">
        <v>0</v>
      </c>
      <c r="G3675" s="396">
        <f>+F3674</f>
        <v>2000</v>
      </c>
      <c r="H3675" s="347" t="str">
        <f>+H3674</f>
        <v>Colecta Andres Vial Infante</v>
      </c>
      <c r="I3675" s="347" t="s">
        <v>1303</v>
      </c>
      <c r="K3675" s="370"/>
      <c r="N3675" s="370"/>
    </row>
    <row r="3676" spans="1:14" s="347" customFormat="1" x14ac:dyDescent="0.25">
      <c r="A3676" s="369"/>
      <c r="E3676" s="396"/>
      <c r="F3676" s="396"/>
      <c r="G3676" s="396"/>
      <c r="K3676" s="370"/>
      <c r="N3676" s="370"/>
    </row>
    <row r="3677" spans="1:14" s="347" customFormat="1" x14ac:dyDescent="0.25">
      <c r="A3677" s="369">
        <v>44382</v>
      </c>
      <c r="B3677" s="340">
        <f>+MONTH(A3677)</f>
        <v>7</v>
      </c>
      <c r="C3677" s="347">
        <v>110</v>
      </c>
      <c r="D3677" s="340" t="str">
        <f>VLOOKUP(C3677,Plan!A$1:B$65542,2,0)</f>
        <v>Disponible Administración</v>
      </c>
      <c r="E3677" s="341">
        <f>+F3677-G3677</f>
        <v>2000</v>
      </c>
      <c r="F3677" s="396">
        <v>2000</v>
      </c>
      <c r="G3677" s="396">
        <v>0</v>
      </c>
      <c r="H3677" s="347" t="s">
        <v>1216</v>
      </c>
      <c r="I3677" s="347" t="s">
        <v>1303</v>
      </c>
      <c r="K3677" s="370"/>
      <c r="N3677" s="370"/>
    </row>
    <row r="3678" spans="1:14" s="347" customFormat="1" x14ac:dyDescent="0.25">
      <c r="A3678" s="369">
        <f>+A3677</f>
        <v>44382</v>
      </c>
      <c r="B3678" s="347">
        <f>+B3677</f>
        <v>7</v>
      </c>
      <c r="C3678" s="347">
        <v>3110</v>
      </c>
      <c r="D3678" s="340" t="str">
        <f>VLOOKUP(C3678,Plan!A$1:B$65542,2,0)</f>
        <v>Colectas Normales</v>
      </c>
      <c r="E3678" s="396">
        <f>-G3678</f>
        <v>-2000</v>
      </c>
      <c r="F3678" s="396">
        <v>0</v>
      </c>
      <c r="G3678" s="396">
        <f>+F3677</f>
        <v>2000</v>
      </c>
      <c r="H3678" s="347" t="str">
        <f>+H3677</f>
        <v>Colecta Trinidad Barriga Cruzat</v>
      </c>
      <c r="I3678" s="347" t="s">
        <v>1303</v>
      </c>
      <c r="K3678" s="370"/>
      <c r="N3678" s="370"/>
    </row>
    <row r="3679" spans="1:14" s="347" customFormat="1" x14ac:dyDescent="0.25">
      <c r="A3679" s="369"/>
      <c r="E3679" s="396"/>
      <c r="F3679" s="396"/>
      <c r="G3679" s="396"/>
      <c r="K3679" s="370"/>
      <c r="N3679" s="370"/>
    </row>
    <row r="3680" spans="1:14" s="347" customFormat="1" x14ac:dyDescent="0.25">
      <c r="A3680" s="369">
        <v>44382</v>
      </c>
      <c r="B3680" s="340">
        <f>+MONTH(A3680)</f>
        <v>7</v>
      </c>
      <c r="C3680" s="347">
        <v>110</v>
      </c>
      <c r="D3680" s="340" t="str">
        <f>VLOOKUP(C3680,Plan!A$1:B$65542,2,0)</f>
        <v>Disponible Administración</v>
      </c>
      <c r="E3680" s="341">
        <f>+F3680-G3680</f>
        <v>30000</v>
      </c>
      <c r="F3680" s="396">
        <v>30000</v>
      </c>
      <c r="G3680" s="396">
        <v>0</v>
      </c>
      <c r="H3680" s="347" t="s">
        <v>1645</v>
      </c>
      <c r="I3680" s="347" t="s">
        <v>1303</v>
      </c>
      <c r="K3680" s="370"/>
      <c r="N3680" s="370"/>
    </row>
    <row r="3681" spans="1:14" s="347" customFormat="1" x14ac:dyDescent="0.25">
      <c r="A3681" s="369">
        <f>+A3680</f>
        <v>44382</v>
      </c>
      <c r="B3681" s="347">
        <f>+B3680</f>
        <v>7</v>
      </c>
      <c r="C3681" s="347">
        <v>3110</v>
      </c>
      <c r="D3681" s="340" t="str">
        <f>VLOOKUP(C3681,Plan!A$1:B$65542,2,0)</f>
        <v>Colectas Normales</v>
      </c>
      <c r="E3681" s="396">
        <f>-G3681</f>
        <v>-30000</v>
      </c>
      <c r="F3681" s="396">
        <v>0</v>
      </c>
      <c r="G3681" s="396">
        <f>+F3680</f>
        <v>30000</v>
      </c>
      <c r="H3681" s="347" t="str">
        <f>+H3680</f>
        <v>Colecta M. Teresa Zegers Aldunate</v>
      </c>
      <c r="I3681" s="347" t="s">
        <v>1303</v>
      </c>
      <c r="K3681" s="370"/>
      <c r="N3681" s="370"/>
    </row>
    <row r="3682" spans="1:14" s="347" customFormat="1" x14ac:dyDescent="0.25">
      <c r="A3682" s="369"/>
      <c r="E3682" s="396"/>
      <c r="F3682" s="396"/>
      <c r="G3682" s="396"/>
      <c r="K3682" s="370"/>
      <c r="N3682" s="370"/>
    </row>
    <row r="3683" spans="1:14" s="347" customFormat="1" x14ac:dyDescent="0.25">
      <c r="A3683" s="369">
        <v>44382</v>
      </c>
      <c r="B3683" s="340">
        <f>+MONTH(A3683)</f>
        <v>7</v>
      </c>
      <c r="C3683" s="347">
        <v>110</v>
      </c>
      <c r="D3683" s="340" t="str">
        <f>VLOOKUP(C3683,Plan!A$1:B$65542,2,0)</f>
        <v>Disponible Administración</v>
      </c>
      <c r="E3683" s="341">
        <f>+F3683-G3683</f>
        <v>20000</v>
      </c>
      <c r="F3683" s="396">
        <v>20000</v>
      </c>
      <c r="G3683" s="396">
        <v>0</v>
      </c>
      <c r="H3683" s="347" t="s">
        <v>1500</v>
      </c>
      <c r="I3683" s="347" t="s">
        <v>1303</v>
      </c>
      <c r="K3683" s="370"/>
      <c r="N3683" s="370"/>
    </row>
    <row r="3684" spans="1:14" s="347" customFormat="1" x14ac:dyDescent="0.25">
      <c r="A3684" s="369">
        <f>+A3683</f>
        <v>44382</v>
      </c>
      <c r="B3684" s="347">
        <f>+B3683</f>
        <v>7</v>
      </c>
      <c r="C3684" s="347">
        <v>3450</v>
      </c>
      <c r="D3684" s="340" t="str">
        <f>VLOOKUP(C3684,Plan!A$1:B$65542,2,0)</f>
        <v>Pastoral Social</v>
      </c>
      <c r="E3684" s="396">
        <f>-G3684</f>
        <v>-20000</v>
      </c>
      <c r="F3684" s="396">
        <v>0</v>
      </c>
      <c r="G3684" s="396">
        <f>+F3683</f>
        <v>20000</v>
      </c>
      <c r="H3684" s="347" t="str">
        <f>+H3683</f>
        <v>Canastas M. Teresa Zegers Aldunate</v>
      </c>
      <c r="I3684" s="347" t="s">
        <v>1303</v>
      </c>
      <c r="K3684" s="370"/>
      <c r="N3684" s="370"/>
    </row>
    <row r="3685" spans="1:14" s="347" customFormat="1" x14ac:dyDescent="0.25">
      <c r="A3685" s="369"/>
      <c r="E3685" s="396"/>
      <c r="F3685" s="396"/>
      <c r="G3685" s="396"/>
      <c r="K3685" s="370"/>
      <c r="N3685" s="370"/>
    </row>
    <row r="3686" spans="1:14" s="347" customFormat="1" x14ac:dyDescent="0.25">
      <c r="A3686" s="369">
        <v>44382</v>
      </c>
      <c r="B3686" s="340">
        <f>+MONTH(A3686)</f>
        <v>7</v>
      </c>
      <c r="C3686" s="347">
        <v>110</v>
      </c>
      <c r="D3686" s="340" t="str">
        <f>VLOOKUP(C3686,Plan!A$1:B$65542,2,0)</f>
        <v>Disponible Administración</v>
      </c>
      <c r="E3686" s="341">
        <f>+F3686-G3686</f>
        <v>5000</v>
      </c>
      <c r="F3686" s="396">
        <v>5000</v>
      </c>
      <c r="G3686" s="396">
        <v>0</v>
      </c>
      <c r="H3686" s="347" t="s">
        <v>1376</v>
      </c>
      <c r="I3686" s="347" t="s">
        <v>1303</v>
      </c>
      <c r="K3686" s="370"/>
      <c r="N3686" s="370"/>
    </row>
    <row r="3687" spans="1:14" s="347" customFormat="1" x14ac:dyDescent="0.25">
      <c r="A3687" s="369">
        <f>+A3686</f>
        <v>44382</v>
      </c>
      <c r="B3687" s="347">
        <f>+B3686</f>
        <v>7</v>
      </c>
      <c r="C3687" s="347">
        <v>3110</v>
      </c>
      <c r="D3687" s="340" t="str">
        <f>VLOOKUP(C3687,Plan!A$1:B$65542,2,0)</f>
        <v>Colectas Normales</v>
      </c>
      <c r="E3687" s="396">
        <f>-G3687</f>
        <v>-5000</v>
      </c>
      <c r="F3687" s="396">
        <v>0</v>
      </c>
      <c r="G3687" s="396">
        <f>+F3686</f>
        <v>5000</v>
      </c>
      <c r="H3687" s="347" t="str">
        <f>+H3686</f>
        <v>Colecta Ana Gloria Awad Yazigi</v>
      </c>
      <c r="I3687" s="347" t="s">
        <v>1303</v>
      </c>
      <c r="K3687" s="370"/>
      <c r="N3687" s="370"/>
    </row>
    <row r="3688" spans="1:14" s="347" customFormat="1" x14ac:dyDescent="0.25">
      <c r="A3688" s="369"/>
      <c r="E3688" s="396"/>
      <c r="F3688" s="396"/>
      <c r="G3688" s="396"/>
      <c r="K3688" s="370"/>
      <c r="N3688" s="370"/>
    </row>
    <row r="3689" spans="1:14" s="347" customFormat="1" x14ac:dyDescent="0.25">
      <c r="A3689" s="369">
        <v>44382</v>
      </c>
      <c r="B3689" s="340">
        <f>+MONTH(A3689)</f>
        <v>7</v>
      </c>
      <c r="C3689" s="347">
        <v>4860</v>
      </c>
      <c r="D3689" s="340" t="str">
        <f>VLOOKUP(C3689,Plan!A$1:B$65542,2,0)</f>
        <v>Otros</v>
      </c>
      <c r="E3689" s="341">
        <f>+F3689-G3689</f>
        <v>1061</v>
      </c>
      <c r="F3689" s="396">
        <v>1061</v>
      </c>
      <c r="G3689" s="396">
        <v>0</v>
      </c>
      <c r="H3689" s="347" t="s">
        <v>1478</v>
      </c>
      <c r="I3689" s="347" t="s">
        <v>1303</v>
      </c>
      <c r="K3689" s="370"/>
      <c r="N3689" s="370"/>
    </row>
    <row r="3690" spans="1:14" s="347" customFormat="1" x14ac:dyDescent="0.25">
      <c r="A3690" s="369">
        <f>+A3689</f>
        <v>44382</v>
      </c>
      <c r="B3690" s="347">
        <f>+B3689</f>
        <v>7</v>
      </c>
      <c r="C3690" s="347">
        <v>110</v>
      </c>
      <c r="D3690" s="340" t="str">
        <f>VLOOKUP(C3690,Plan!A$1:B$65542,2,0)</f>
        <v>Disponible Administración</v>
      </c>
      <c r="E3690" s="396">
        <f>-G3690</f>
        <v>-1061</v>
      </c>
      <c r="F3690" s="396">
        <v>0</v>
      </c>
      <c r="G3690" s="396">
        <f>+F3689</f>
        <v>1061</v>
      </c>
      <c r="H3690" s="347" t="str">
        <f>+H3689</f>
        <v>Com. Bco. Chile</v>
      </c>
      <c r="I3690" s="347" t="s">
        <v>1303</v>
      </c>
      <c r="K3690" s="370"/>
      <c r="N3690" s="370"/>
    </row>
    <row r="3691" spans="1:14" s="347" customFormat="1" x14ac:dyDescent="0.25">
      <c r="A3691" s="369"/>
      <c r="E3691" s="396"/>
      <c r="F3691" s="396"/>
      <c r="G3691" s="396"/>
      <c r="K3691" s="370"/>
      <c r="N3691" s="370"/>
    </row>
    <row r="3692" spans="1:14" s="347" customFormat="1" x14ac:dyDescent="0.25">
      <c r="A3692" s="369">
        <v>44382</v>
      </c>
      <c r="B3692" s="340">
        <f>+MONTH(A3692)</f>
        <v>7</v>
      </c>
      <c r="C3692" s="347">
        <v>4860</v>
      </c>
      <c r="D3692" s="340" t="str">
        <f>VLOOKUP(C3692,Plan!A$1:B$65542,2,0)</f>
        <v>Otros</v>
      </c>
      <c r="E3692" s="341">
        <f>+F3692-G3692</f>
        <v>1768</v>
      </c>
      <c r="F3692" s="396">
        <v>1768</v>
      </c>
      <c r="G3692" s="396">
        <v>0</v>
      </c>
      <c r="H3692" s="347" t="s">
        <v>1478</v>
      </c>
      <c r="I3692" s="347" t="s">
        <v>1303</v>
      </c>
      <c r="K3692" s="370"/>
      <c r="N3692" s="370"/>
    </row>
    <row r="3693" spans="1:14" s="347" customFormat="1" x14ac:dyDescent="0.25">
      <c r="A3693" s="369">
        <f>+A3692</f>
        <v>44382</v>
      </c>
      <c r="B3693" s="347">
        <f>+B3692</f>
        <v>7</v>
      </c>
      <c r="C3693" s="347">
        <v>110</v>
      </c>
      <c r="D3693" s="340" t="str">
        <f>VLOOKUP(C3693,Plan!A$1:B$65542,2,0)</f>
        <v>Disponible Administración</v>
      </c>
      <c r="E3693" s="396">
        <f>-G3693</f>
        <v>-1768</v>
      </c>
      <c r="F3693" s="396">
        <v>0</v>
      </c>
      <c r="G3693" s="396">
        <f>+F3692</f>
        <v>1768</v>
      </c>
      <c r="H3693" s="347" t="str">
        <f>+H3692</f>
        <v>Com. Bco. Chile</v>
      </c>
      <c r="I3693" s="347" t="s">
        <v>1303</v>
      </c>
      <c r="K3693" s="370"/>
      <c r="N3693" s="370"/>
    </row>
    <row r="3694" spans="1:14" s="347" customFormat="1" x14ac:dyDescent="0.25">
      <c r="A3694" s="369"/>
      <c r="E3694" s="396"/>
      <c r="F3694" s="396"/>
      <c r="G3694" s="396"/>
      <c r="K3694" s="370"/>
      <c r="N3694" s="370"/>
    </row>
    <row r="3695" spans="1:14" s="347" customFormat="1" x14ac:dyDescent="0.25">
      <c r="A3695" s="369">
        <v>44382</v>
      </c>
      <c r="B3695" s="340">
        <f>+MONTH(A3695)</f>
        <v>7</v>
      </c>
      <c r="C3695" s="347">
        <v>110</v>
      </c>
      <c r="D3695" s="340" t="str">
        <f>VLOOKUP(C3695,Plan!A$1:B$65542,2,0)</f>
        <v>Disponible Administración</v>
      </c>
      <c r="E3695" s="341">
        <f>+F3695-G3695</f>
        <v>153800</v>
      </c>
      <c r="F3695" s="396">
        <v>153800</v>
      </c>
      <c r="G3695" s="396">
        <v>0</v>
      </c>
      <c r="H3695" s="347" t="s">
        <v>1410</v>
      </c>
      <c r="I3695" s="347" t="s">
        <v>1303</v>
      </c>
      <c r="K3695" s="370"/>
      <c r="N3695" s="370"/>
    </row>
    <row r="3696" spans="1:14" s="347" customFormat="1" x14ac:dyDescent="0.25">
      <c r="A3696" s="369">
        <f>+A3695</f>
        <v>44382</v>
      </c>
      <c r="B3696" s="347">
        <f>+B3695</f>
        <v>7</v>
      </c>
      <c r="C3696" s="347">
        <v>3110</v>
      </c>
      <c r="D3696" s="340" t="str">
        <f>VLOOKUP(C3696,Plan!A$1:B$65542,2,0)</f>
        <v>Colectas Normales</v>
      </c>
      <c r="E3696" s="396">
        <f>-G3696</f>
        <v>-153800</v>
      </c>
      <c r="F3696" s="396">
        <v>0</v>
      </c>
      <c r="G3696" s="396">
        <f>+F3695</f>
        <v>153800</v>
      </c>
      <c r="H3696" s="347" t="str">
        <f>+H3695</f>
        <v>Colecta Col. Cordillera</v>
      </c>
      <c r="I3696" s="347" t="s">
        <v>1303</v>
      </c>
      <c r="K3696" s="370"/>
      <c r="N3696" s="370"/>
    </row>
    <row r="3697" spans="1:14" s="347" customFormat="1" x14ac:dyDescent="0.25">
      <c r="A3697" s="369"/>
      <c r="E3697" s="396"/>
      <c r="F3697" s="396"/>
      <c r="G3697" s="396"/>
      <c r="K3697" s="370"/>
      <c r="N3697" s="370"/>
    </row>
    <row r="3698" spans="1:14" s="347" customFormat="1" x14ac:dyDescent="0.25">
      <c r="A3698" s="369">
        <v>44383</v>
      </c>
      <c r="B3698" s="340">
        <f>+MONTH(A3698)</f>
        <v>7</v>
      </c>
      <c r="C3698" s="347">
        <v>110</v>
      </c>
      <c r="D3698" s="340" t="str">
        <f>VLOOKUP(C3698,Plan!A$1:B$65542,2,0)</f>
        <v>Disponible Administración</v>
      </c>
      <c r="E3698" s="341">
        <f>+F3698-G3698</f>
        <v>25000</v>
      </c>
      <c r="F3698" s="396">
        <v>25000</v>
      </c>
      <c r="G3698" s="396">
        <v>0</v>
      </c>
      <c r="H3698" s="347" t="s">
        <v>1449</v>
      </c>
      <c r="I3698" s="347" t="s">
        <v>1303</v>
      </c>
      <c r="K3698" s="370"/>
      <c r="N3698" s="370"/>
    </row>
    <row r="3699" spans="1:14" s="347" customFormat="1" x14ac:dyDescent="0.25">
      <c r="A3699" s="369">
        <f>+A3698</f>
        <v>44383</v>
      </c>
      <c r="B3699" s="347">
        <f>+B3698</f>
        <v>7</v>
      </c>
      <c r="C3699" s="347">
        <v>3360</v>
      </c>
      <c r="D3699" s="340" t="str">
        <f>VLOOKUP(C3699,Plan!A$1:B$65542,2,0)</f>
        <v>Otros</v>
      </c>
      <c r="E3699" s="396">
        <f>-G3699</f>
        <v>-25000</v>
      </c>
      <c r="F3699" s="396">
        <v>0</v>
      </c>
      <c r="G3699" s="396">
        <f>+F3698</f>
        <v>25000</v>
      </c>
      <c r="H3699" s="347" t="str">
        <f>+H3698</f>
        <v>Curso Sofia Vives Ekdahl</v>
      </c>
      <c r="I3699" s="347" t="s">
        <v>1303</v>
      </c>
      <c r="K3699" s="370"/>
      <c r="N3699" s="370"/>
    </row>
    <row r="3700" spans="1:14" s="347" customFormat="1" x14ac:dyDescent="0.25">
      <c r="A3700" s="369"/>
      <c r="E3700" s="396"/>
      <c r="F3700" s="396"/>
      <c r="G3700" s="396"/>
      <c r="K3700" s="370"/>
      <c r="N3700" s="370"/>
    </row>
    <row r="3701" spans="1:14" s="347" customFormat="1" x14ac:dyDescent="0.25">
      <c r="A3701" s="369">
        <v>44383</v>
      </c>
      <c r="B3701" s="340">
        <f>+MONTH(A3701)</f>
        <v>7</v>
      </c>
      <c r="C3701" s="347">
        <v>110</v>
      </c>
      <c r="D3701" s="340" t="str">
        <f>VLOOKUP(C3701,Plan!A$1:B$65542,2,0)</f>
        <v>Disponible Administración</v>
      </c>
      <c r="E3701" s="341">
        <f>+F3701-G3701</f>
        <v>20000</v>
      </c>
      <c r="F3701" s="396">
        <v>20000</v>
      </c>
      <c r="G3701" s="396">
        <v>0</v>
      </c>
      <c r="H3701" s="347" t="s">
        <v>913</v>
      </c>
      <c r="I3701" s="347" t="s">
        <v>1303</v>
      </c>
      <c r="K3701" s="370"/>
      <c r="N3701" s="370"/>
    </row>
    <row r="3702" spans="1:14" s="347" customFormat="1" x14ac:dyDescent="0.25">
      <c r="A3702" s="369">
        <f>+A3701</f>
        <v>44383</v>
      </c>
      <c r="B3702" s="347">
        <f>+B3701</f>
        <v>7</v>
      </c>
      <c r="C3702" s="347">
        <v>3110</v>
      </c>
      <c r="D3702" s="340" t="str">
        <f>VLOOKUP(C3702,Plan!A$1:B$65542,2,0)</f>
        <v>Colectas Normales</v>
      </c>
      <c r="E3702" s="396">
        <f>-G3702</f>
        <v>-20000</v>
      </c>
      <c r="F3702" s="396">
        <v>0</v>
      </c>
      <c r="G3702" s="396">
        <f>+F3701</f>
        <v>20000</v>
      </c>
      <c r="H3702" s="347" t="str">
        <f>+H3701</f>
        <v>Colecta Sofia Vives Ekdahl</v>
      </c>
      <c r="I3702" s="347" t="s">
        <v>1303</v>
      </c>
      <c r="K3702" s="370"/>
      <c r="N3702" s="370"/>
    </row>
    <row r="3703" spans="1:14" s="347" customFormat="1" x14ac:dyDescent="0.25">
      <c r="A3703" s="369"/>
      <c r="E3703" s="396"/>
      <c r="F3703" s="396"/>
      <c r="G3703" s="396"/>
      <c r="K3703" s="370"/>
      <c r="N3703" s="370"/>
    </row>
    <row r="3704" spans="1:14" s="347" customFormat="1" x14ac:dyDescent="0.25">
      <c r="A3704" s="369">
        <v>44383</v>
      </c>
      <c r="B3704" s="340">
        <f>+MONTH(A3704)</f>
        <v>7</v>
      </c>
      <c r="C3704" s="347">
        <v>110</v>
      </c>
      <c r="D3704" s="340" t="str">
        <f>VLOOKUP(C3704,Plan!A$1:B$65542,2,0)</f>
        <v>Disponible Administración</v>
      </c>
      <c r="E3704" s="341">
        <f>+F3704-G3704</f>
        <v>40000</v>
      </c>
      <c r="F3704" s="396">
        <v>40000</v>
      </c>
      <c r="G3704" s="396">
        <v>0</v>
      </c>
      <c r="H3704" s="347" t="s">
        <v>912</v>
      </c>
      <c r="I3704" s="347" t="s">
        <v>1303</v>
      </c>
      <c r="K3704" s="370"/>
      <c r="N3704" s="370"/>
    </row>
    <row r="3705" spans="1:14" s="347" customFormat="1" x14ac:dyDescent="0.25">
      <c r="A3705" s="369">
        <f>+A3704</f>
        <v>44383</v>
      </c>
      <c r="B3705" s="347">
        <f>+B3704</f>
        <v>7</v>
      </c>
      <c r="C3705" s="347">
        <v>3110</v>
      </c>
      <c r="D3705" s="340" t="str">
        <f>VLOOKUP(C3705,Plan!A$1:B$65542,2,0)</f>
        <v>Colectas Normales</v>
      </c>
      <c r="E3705" s="396">
        <f>-G3705</f>
        <v>-40000</v>
      </c>
      <c r="F3705" s="396">
        <v>0</v>
      </c>
      <c r="G3705" s="396">
        <f>+F3704</f>
        <v>40000</v>
      </c>
      <c r="H3705" s="347" t="str">
        <f>+H3704</f>
        <v>Colecta Patricia Andrea Lorca Koch</v>
      </c>
      <c r="I3705" s="347" t="s">
        <v>1303</v>
      </c>
      <c r="K3705" s="370"/>
      <c r="N3705" s="370"/>
    </row>
    <row r="3706" spans="1:14" s="347" customFormat="1" x14ac:dyDescent="0.25">
      <c r="A3706" s="369"/>
      <c r="E3706" s="396"/>
      <c r="F3706" s="396"/>
      <c r="G3706" s="396"/>
      <c r="K3706" s="370"/>
      <c r="N3706" s="370"/>
    </row>
    <row r="3707" spans="1:14" s="347" customFormat="1" x14ac:dyDescent="0.25">
      <c r="A3707" s="369">
        <v>44383</v>
      </c>
      <c r="B3707" s="340">
        <f>+MONTH(A3707)</f>
        <v>7</v>
      </c>
      <c r="C3707" s="347">
        <v>110</v>
      </c>
      <c r="D3707" s="340" t="str">
        <f>VLOOKUP(C3707,Plan!A$1:B$65542,2,0)</f>
        <v>Disponible Administración</v>
      </c>
      <c r="E3707" s="341">
        <f>+F3707-G3707</f>
        <v>20000</v>
      </c>
      <c r="F3707" s="396">
        <v>20000</v>
      </c>
      <c r="G3707" s="396">
        <v>0</v>
      </c>
      <c r="H3707" s="347" t="s">
        <v>878</v>
      </c>
      <c r="I3707" s="347" t="s">
        <v>1303</v>
      </c>
      <c r="K3707" s="370"/>
      <c r="N3707" s="370"/>
    </row>
    <row r="3708" spans="1:14" s="347" customFormat="1" x14ac:dyDescent="0.25">
      <c r="A3708" s="369">
        <f>+A3707</f>
        <v>44383</v>
      </c>
      <c r="B3708" s="347">
        <f>+B3707</f>
        <v>7</v>
      </c>
      <c r="C3708" s="347">
        <v>3110</v>
      </c>
      <c r="D3708" s="340" t="str">
        <f>VLOOKUP(C3708,Plan!A$1:B$65542,2,0)</f>
        <v>Colectas Normales</v>
      </c>
      <c r="E3708" s="396">
        <f>-G3708</f>
        <v>-20000</v>
      </c>
      <c r="F3708" s="396">
        <v>0</v>
      </c>
      <c r="G3708" s="396">
        <f>+F3707</f>
        <v>20000</v>
      </c>
      <c r="H3708" s="347" t="str">
        <f>+H3707</f>
        <v>Colecta Olga Salinas Burgos</v>
      </c>
      <c r="I3708" s="347" t="s">
        <v>1303</v>
      </c>
      <c r="K3708" s="370"/>
      <c r="N3708" s="370"/>
    </row>
    <row r="3709" spans="1:14" s="347" customFormat="1" x14ac:dyDescent="0.25">
      <c r="A3709" s="369"/>
      <c r="E3709" s="396"/>
      <c r="F3709" s="396"/>
      <c r="G3709" s="396"/>
      <c r="K3709" s="370"/>
      <c r="N3709" s="370"/>
    </row>
    <row r="3710" spans="1:14" s="347" customFormat="1" x14ac:dyDescent="0.25">
      <c r="A3710" s="369">
        <v>44383</v>
      </c>
      <c r="B3710" s="340">
        <f>+MONTH(A3710)</f>
        <v>7</v>
      </c>
      <c r="C3710" s="347">
        <v>110</v>
      </c>
      <c r="D3710" s="340" t="str">
        <f>VLOOKUP(C3710,Plan!A$1:B$65542,2,0)</f>
        <v>Disponible Administración</v>
      </c>
      <c r="E3710" s="341">
        <f>+F3710-G3710</f>
        <v>22000</v>
      </c>
      <c r="F3710" s="396">
        <v>22000</v>
      </c>
      <c r="G3710" s="396">
        <v>0</v>
      </c>
      <c r="H3710" s="347" t="s">
        <v>1195</v>
      </c>
      <c r="I3710" s="347" t="s">
        <v>1303</v>
      </c>
      <c r="K3710" s="370"/>
      <c r="N3710" s="370"/>
    </row>
    <row r="3711" spans="1:14" s="347" customFormat="1" x14ac:dyDescent="0.25">
      <c r="A3711" s="369">
        <f>+A3710</f>
        <v>44383</v>
      </c>
      <c r="B3711" s="347">
        <f>+B3710</f>
        <v>7</v>
      </c>
      <c r="C3711" s="347">
        <v>3110</v>
      </c>
      <c r="D3711" s="340" t="str">
        <f>VLOOKUP(C3711,Plan!A$1:B$65542,2,0)</f>
        <v>Colectas Normales</v>
      </c>
      <c r="E3711" s="396">
        <f>-G3711</f>
        <v>-22000</v>
      </c>
      <c r="F3711" s="396">
        <v>0</v>
      </c>
      <c r="G3711" s="396">
        <f>+F3710</f>
        <v>22000</v>
      </c>
      <c r="H3711" s="347" t="str">
        <f>+H3710</f>
        <v>Colecta Mane Jara</v>
      </c>
      <c r="I3711" s="347" t="s">
        <v>1303</v>
      </c>
      <c r="K3711" s="370"/>
      <c r="N3711" s="370"/>
    </row>
    <row r="3712" spans="1:14" s="347" customFormat="1" x14ac:dyDescent="0.25">
      <c r="A3712" s="369"/>
      <c r="E3712" s="396"/>
      <c r="F3712" s="396"/>
      <c r="G3712" s="396"/>
      <c r="K3712" s="370"/>
      <c r="N3712" s="370"/>
    </row>
    <row r="3713" spans="1:14" s="347" customFormat="1" x14ac:dyDescent="0.25">
      <c r="A3713" s="369">
        <v>44383</v>
      </c>
      <c r="B3713" s="340">
        <f>+MONTH(A3713)</f>
        <v>7</v>
      </c>
      <c r="C3713" s="347">
        <v>110</v>
      </c>
      <c r="D3713" s="340" t="str">
        <f>VLOOKUP(C3713,Plan!A$1:B$65542,2,0)</f>
        <v>Disponible Administración</v>
      </c>
      <c r="E3713" s="341">
        <f>+F3713-G3713</f>
        <v>50000</v>
      </c>
      <c r="F3713" s="396">
        <v>50000</v>
      </c>
      <c r="G3713" s="396">
        <v>0</v>
      </c>
      <c r="H3713" s="347" t="s">
        <v>1646</v>
      </c>
      <c r="I3713" s="347" t="s">
        <v>1303</v>
      </c>
      <c r="K3713" s="370"/>
      <c r="N3713" s="370"/>
    </row>
    <row r="3714" spans="1:14" s="347" customFormat="1" x14ac:dyDescent="0.25">
      <c r="A3714" s="369">
        <f>+A3713</f>
        <v>44383</v>
      </c>
      <c r="B3714" s="347">
        <f>+B3713</f>
        <v>7</v>
      </c>
      <c r="C3714" s="347">
        <v>215</v>
      </c>
      <c r="D3714" s="340" t="str">
        <f>VLOOKUP(C3714,Plan!A$1:B$65542,2,0)</f>
        <v>Cuenta por Pagar a Cali</v>
      </c>
      <c r="E3714" s="396">
        <f>-G3714</f>
        <v>-50000</v>
      </c>
      <c r="F3714" s="396">
        <v>0</v>
      </c>
      <c r="G3714" s="396">
        <f>+F3713</f>
        <v>50000</v>
      </c>
      <c r="H3714" s="347" t="str">
        <f>+H3713</f>
        <v>Maria Teresa Gil Gomez / 249</v>
      </c>
      <c r="I3714" s="347" t="s">
        <v>1303</v>
      </c>
      <c r="K3714" s="370"/>
      <c r="N3714" s="370"/>
    </row>
    <row r="3715" spans="1:14" s="347" customFormat="1" x14ac:dyDescent="0.25">
      <c r="A3715" s="369"/>
      <c r="E3715" s="396"/>
      <c r="F3715" s="396"/>
      <c r="G3715" s="396"/>
      <c r="K3715" s="370"/>
      <c r="N3715" s="370"/>
    </row>
    <row r="3716" spans="1:14" s="347" customFormat="1" x14ac:dyDescent="0.25">
      <c r="A3716" s="369">
        <v>44383</v>
      </c>
      <c r="B3716" s="340">
        <f>+MONTH(A3716)</f>
        <v>7</v>
      </c>
      <c r="C3716" s="347">
        <v>110</v>
      </c>
      <c r="D3716" s="340" t="str">
        <f>VLOOKUP(C3716,Plan!A$1:B$65542,2,0)</f>
        <v>Disponible Administración</v>
      </c>
      <c r="E3716" s="341">
        <f>+F3716-G3716</f>
        <v>30000</v>
      </c>
      <c r="F3716" s="396">
        <v>30000</v>
      </c>
      <c r="G3716" s="396">
        <v>0</v>
      </c>
      <c r="H3716" s="347" t="s">
        <v>1647</v>
      </c>
      <c r="I3716" s="347" t="s">
        <v>1303</v>
      </c>
      <c r="K3716" s="370"/>
      <c r="N3716" s="370"/>
    </row>
    <row r="3717" spans="1:14" s="347" customFormat="1" x14ac:dyDescent="0.25">
      <c r="A3717" s="369">
        <f>+A3716</f>
        <v>44383</v>
      </c>
      <c r="B3717" s="347">
        <f>+B3716</f>
        <v>7</v>
      </c>
      <c r="C3717" s="347">
        <v>215</v>
      </c>
      <c r="D3717" s="340" t="str">
        <f>VLOOKUP(C3717,Plan!A$1:B$65542,2,0)</f>
        <v>Cuenta por Pagar a Cali</v>
      </c>
      <c r="E3717" s="396">
        <f>-G3717</f>
        <v>-30000</v>
      </c>
      <c r="F3717" s="396">
        <v>0</v>
      </c>
      <c r="G3717" s="396">
        <f>+F3716</f>
        <v>30000</v>
      </c>
      <c r="H3717" s="347" t="str">
        <f>+H3716</f>
        <v>Ana Maria Reyes Garin / 248</v>
      </c>
      <c r="I3717" s="347" t="s">
        <v>1303</v>
      </c>
      <c r="K3717" s="370"/>
      <c r="N3717" s="370"/>
    </row>
    <row r="3718" spans="1:14" s="347" customFormat="1" x14ac:dyDescent="0.25">
      <c r="A3718" s="369"/>
      <c r="E3718" s="396"/>
      <c r="F3718" s="396"/>
      <c r="G3718" s="396"/>
      <c r="K3718" s="370"/>
      <c r="N3718" s="370"/>
    </row>
    <row r="3719" spans="1:14" s="347" customFormat="1" x14ac:dyDescent="0.25">
      <c r="A3719" s="369">
        <v>44383</v>
      </c>
      <c r="B3719" s="340">
        <f>+MONTH(A3719)</f>
        <v>7</v>
      </c>
      <c r="C3719" s="347">
        <v>110</v>
      </c>
      <c r="D3719" s="340" t="str">
        <f>VLOOKUP(C3719,Plan!A$1:B$65542,2,0)</f>
        <v>Disponible Administración</v>
      </c>
      <c r="E3719" s="341">
        <f>+F3719-G3719</f>
        <v>21000</v>
      </c>
      <c r="F3719" s="396">
        <v>21000</v>
      </c>
      <c r="G3719" s="396">
        <v>0</v>
      </c>
      <c r="H3719" s="347" t="s">
        <v>1648</v>
      </c>
      <c r="I3719" s="347" t="s">
        <v>1303</v>
      </c>
      <c r="K3719" s="370"/>
      <c r="N3719" s="370"/>
    </row>
    <row r="3720" spans="1:14" s="347" customFormat="1" x14ac:dyDescent="0.25">
      <c r="A3720" s="369">
        <f>+A3719</f>
        <v>44383</v>
      </c>
      <c r="B3720" s="347">
        <f>+B3719</f>
        <v>7</v>
      </c>
      <c r="C3720" s="347">
        <v>215</v>
      </c>
      <c r="D3720" s="340" t="str">
        <f>VLOOKUP(C3720,Plan!A$1:B$65542,2,0)</f>
        <v>Cuenta por Pagar a Cali</v>
      </c>
      <c r="E3720" s="396">
        <f>-G3720</f>
        <v>-21000</v>
      </c>
      <c r="F3720" s="396">
        <v>0</v>
      </c>
      <c r="G3720" s="396">
        <f>+F3719</f>
        <v>21000</v>
      </c>
      <c r="H3720" s="347" t="str">
        <f>+H3719</f>
        <v>Maria Cristina Herrera Peralta /248</v>
      </c>
      <c r="I3720" s="347" t="s">
        <v>1303</v>
      </c>
      <c r="K3720" s="370"/>
      <c r="N3720" s="370"/>
    </row>
    <row r="3721" spans="1:14" s="347" customFormat="1" x14ac:dyDescent="0.25">
      <c r="A3721" s="369"/>
      <c r="E3721" s="396"/>
      <c r="F3721" s="396"/>
      <c r="G3721" s="396"/>
      <c r="K3721" s="370"/>
      <c r="N3721" s="370"/>
    </row>
    <row r="3722" spans="1:14" s="347" customFormat="1" x14ac:dyDescent="0.25">
      <c r="A3722" s="369">
        <v>44383</v>
      </c>
      <c r="B3722" s="340">
        <f>+MONTH(A3722)</f>
        <v>7</v>
      </c>
      <c r="C3722" s="347">
        <v>110</v>
      </c>
      <c r="D3722" s="340" t="str">
        <f>VLOOKUP(C3722,Plan!A$1:B$65542,2,0)</f>
        <v>Disponible Administración</v>
      </c>
      <c r="E3722" s="341">
        <f>+F3722-G3722</f>
        <v>70000</v>
      </c>
      <c r="F3722" s="396">
        <v>70000</v>
      </c>
      <c r="G3722" s="396">
        <v>0</v>
      </c>
      <c r="H3722" t="s">
        <v>892</v>
      </c>
      <c r="I3722" s="347" t="s">
        <v>1303</v>
      </c>
      <c r="K3722" s="370"/>
      <c r="N3722" s="370"/>
    </row>
    <row r="3723" spans="1:14" s="347" customFormat="1" x14ac:dyDescent="0.25">
      <c r="A3723" s="369">
        <f>+A3722</f>
        <v>44383</v>
      </c>
      <c r="B3723" s="347">
        <f>+B3722</f>
        <v>7</v>
      </c>
      <c r="C3723" s="347">
        <v>3110</v>
      </c>
      <c r="D3723" s="340" t="str">
        <f>VLOOKUP(C3723,Plan!A$1:B$65542,2,0)</f>
        <v>Colectas Normales</v>
      </c>
      <c r="E3723" s="396">
        <f>-G3723</f>
        <v>-70000</v>
      </c>
      <c r="F3723" s="396">
        <v>0</v>
      </c>
      <c r="G3723" s="396">
        <f>+F3722</f>
        <v>70000</v>
      </c>
      <c r="H3723" s="347" t="str">
        <f>+H3722</f>
        <v>Colecta SERVICIOS E INVERSIONES VARIOS SPA</v>
      </c>
      <c r="I3723" s="347" t="s">
        <v>1303</v>
      </c>
      <c r="K3723" s="370"/>
      <c r="N3723" s="370"/>
    </row>
    <row r="3724" spans="1:14" s="347" customFormat="1" x14ac:dyDescent="0.25">
      <c r="A3724" s="369"/>
      <c r="E3724" s="396"/>
      <c r="F3724" s="396"/>
      <c r="G3724" s="396"/>
      <c r="K3724" s="370"/>
      <c r="N3724" s="370"/>
    </row>
    <row r="3725" spans="1:14" s="347" customFormat="1" x14ac:dyDescent="0.25">
      <c r="A3725" s="369">
        <v>44383</v>
      </c>
      <c r="B3725" s="340">
        <f>+MONTH(A3725)</f>
        <v>7</v>
      </c>
      <c r="C3725" s="347">
        <v>110</v>
      </c>
      <c r="D3725" s="340" t="str">
        <f>VLOOKUP(C3725,Plan!A$1:B$65542,2,0)</f>
        <v>Disponible Administración</v>
      </c>
      <c r="E3725" s="341">
        <f>+F3725-G3725</f>
        <v>100000</v>
      </c>
      <c r="F3725" s="396">
        <v>100000</v>
      </c>
      <c r="G3725" s="396">
        <v>0</v>
      </c>
      <c r="H3725" t="s">
        <v>1321</v>
      </c>
      <c r="I3725" s="347" t="s">
        <v>1303</v>
      </c>
      <c r="K3725" s="370"/>
      <c r="N3725" s="370"/>
    </row>
    <row r="3726" spans="1:14" s="347" customFormat="1" x14ac:dyDescent="0.25">
      <c r="A3726" s="369">
        <f>+A3725</f>
        <v>44383</v>
      </c>
      <c r="B3726" s="347">
        <f>+B3725</f>
        <v>7</v>
      </c>
      <c r="C3726" s="347">
        <v>3450</v>
      </c>
      <c r="D3726" s="340" t="str">
        <f>VLOOKUP(C3726,Plan!A$1:B$65542,2,0)</f>
        <v>Pastoral Social</v>
      </c>
      <c r="E3726" s="396">
        <f>-G3726</f>
        <v>-100000</v>
      </c>
      <c r="F3726" s="396">
        <v>0</v>
      </c>
      <c r="G3726" s="396">
        <f>+F3725</f>
        <v>100000</v>
      </c>
      <c r="H3726" s="347" t="str">
        <f>+H3725</f>
        <v>Canastas SERVICIOS E INVERSIONES VARIOS SPA</v>
      </c>
      <c r="I3726" s="347" t="s">
        <v>1303</v>
      </c>
      <c r="K3726" s="370"/>
      <c r="N3726" s="370"/>
    </row>
    <row r="3727" spans="1:14" s="347" customFormat="1" x14ac:dyDescent="0.25">
      <c r="A3727" s="369"/>
      <c r="E3727" s="396"/>
      <c r="F3727" s="396"/>
      <c r="G3727" s="396"/>
      <c r="K3727" s="370"/>
      <c r="N3727" s="370"/>
    </row>
    <row r="3728" spans="1:14" s="347" customFormat="1" x14ac:dyDescent="0.25">
      <c r="A3728" s="369">
        <v>44383</v>
      </c>
      <c r="B3728" s="340">
        <f>+MONTH(A3728)</f>
        <v>7</v>
      </c>
      <c r="C3728" s="347">
        <v>110</v>
      </c>
      <c r="D3728" s="340" t="str">
        <f>VLOOKUP(C3728,Plan!A$1:B$65542,2,0)</f>
        <v>Disponible Administración</v>
      </c>
      <c r="E3728" s="341">
        <f>+F3728-G3728</f>
        <v>4901</v>
      </c>
      <c r="F3728" s="396">
        <v>4901</v>
      </c>
      <c r="G3728" s="396">
        <v>0</v>
      </c>
      <c r="H3728" t="s">
        <v>1338</v>
      </c>
      <c r="I3728" s="347" t="s">
        <v>1303</v>
      </c>
      <c r="K3728" s="370"/>
      <c r="N3728" s="370"/>
    </row>
    <row r="3729" spans="1:14" s="347" customFormat="1" x14ac:dyDescent="0.25">
      <c r="A3729" s="369">
        <f>+A3728</f>
        <v>44383</v>
      </c>
      <c r="B3729" s="347">
        <f>+B3728</f>
        <v>7</v>
      </c>
      <c r="C3729" s="347">
        <v>3340</v>
      </c>
      <c r="D3729" s="340" t="str">
        <f>VLOOKUP(C3729,Plan!A$1:B$65542,2,0)</f>
        <v>Misas</v>
      </c>
      <c r="E3729" s="396">
        <f>-G3729</f>
        <v>-4901</v>
      </c>
      <c r="F3729" s="396">
        <v>0</v>
      </c>
      <c r="G3729" s="396">
        <f>+F3728</f>
        <v>4901</v>
      </c>
      <c r="H3729" s="347" t="str">
        <f>+H3728</f>
        <v>Misa DCT</v>
      </c>
      <c r="I3729" s="347" t="s">
        <v>1303</v>
      </c>
      <c r="K3729" s="370"/>
      <c r="N3729" s="370"/>
    </row>
    <row r="3730" spans="1:14" s="347" customFormat="1" x14ac:dyDescent="0.25">
      <c r="A3730" s="369"/>
      <c r="E3730" s="396"/>
      <c r="F3730" s="396"/>
      <c r="G3730" s="396"/>
      <c r="K3730" s="370"/>
      <c r="N3730" s="370"/>
    </row>
    <row r="3731" spans="1:14" s="347" customFormat="1" x14ac:dyDescent="0.25">
      <c r="A3731" s="369">
        <v>44383</v>
      </c>
      <c r="B3731" s="340">
        <f>+MONTH(A3731)</f>
        <v>7</v>
      </c>
      <c r="C3731" s="347">
        <v>110</v>
      </c>
      <c r="D3731" s="340" t="str">
        <f>VLOOKUP(C3731,Plan!A$1:B$65542,2,0)</f>
        <v>Disponible Administración</v>
      </c>
      <c r="E3731" s="341">
        <f>+F3731-G3731</f>
        <v>245000</v>
      </c>
      <c r="F3731" s="396">
        <v>245000</v>
      </c>
      <c r="G3731" s="396">
        <v>0</v>
      </c>
      <c r="H3731" t="s">
        <v>1410</v>
      </c>
      <c r="I3731" s="347" t="s">
        <v>1303</v>
      </c>
      <c r="K3731" s="370"/>
      <c r="N3731" s="370"/>
    </row>
    <row r="3732" spans="1:14" s="347" customFormat="1" x14ac:dyDescent="0.25">
      <c r="A3732" s="369">
        <f>+A3731</f>
        <v>44383</v>
      </c>
      <c r="B3732" s="347">
        <f>+B3731</f>
        <v>7</v>
      </c>
      <c r="C3732" s="347">
        <v>3110</v>
      </c>
      <c r="D3732" s="340" t="str">
        <f>VLOOKUP(C3732,Plan!A$1:B$65542,2,0)</f>
        <v>Colectas Normales</v>
      </c>
      <c r="E3732" s="396">
        <f>-G3732</f>
        <v>-245000</v>
      </c>
      <c r="F3732" s="396">
        <v>0</v>
      </c>
      <c r="G3732" s="396">
        <f>+F3731</f>
        <v>245000</v>
      </c>
      <c r="H3732" s="347" t="str">
        <f>+H3731</f>
        <v>Colecta Col. Cordillera</v>
      </c>
      <c r="I3732" s="347" t="s">
        <v>1303</v>
      </c>
      <c r="K3732" s="370"/>
      <c r="N3732" s="370"/>
    </row>
    <row r="3733" spans="1:14" s="347" customFormat="1" x14ac:dyDescent="0.25">
      <c r="A3733" s="369"/>
      <c r="E3733" s="396"/>
      <c r="F3733" s="396"/>
      <c r="G3733" s="396"/>
      <c r="K3733" s="370"/>
      <c r="N3733" s="370"/>
    </row>
    <row r="3734" spans="1:14" s="347" customFormat="1" x14ac:dyDescent="0.25">
      <c r="A3734" s="369">
        <v>44383</v>
      </c>
      <c r="B3734" s="340">
        <f>+MONTH(A3734)</f>
        <v>7</v>
      </c>
      <c r="C3734" s="347">
        <v>4310</v>
      </c>
      <c r="D3734" s="340" t="str">
        <f>VLOOKUP(C3734,Plan!A$1:B$65542,2,0)</f>
        <v>Arriendos / Dividendos</v>
      </c>
      <c r="E3734" s="341">
        <f>+F3734-G3734</f>
        <v>810698</v>
      </c>
      <c r="F3734" s="396">
        <v>810698</v>
      </c>
      <c r="G3734" s="396">
        <v>0</v>
      </c>
      <c r="H3734" t="s">
        <v>1649</v>
      </c>
      <c r="I3734" s="347" t="s">
        <v>1303</v>
      </c>
      <c r="K3734" s="370"/>
      <c r="N3734" s="370"/>
    </row>
    <row r="3735" spans="1:14" s="347" customFormat="1" x14ac:dyDescent="0.25">
      <c r="A3735" s="369">
        <f>+A3734</f>
        <v>44383</v>
      </c>
      <c r="B3735" s="347">
        <f>+B3734</f>
        <v>7</v>
      </c>
      <c r="C3735" s="347">
        <v>110</v>
      </c>
      <c r="D3735" s="340" t="str">
        <f>VLOOKUP(C3735,Plan!A$1:B$65542,2,0)</f>
        <v>Disponible Administración</v>
      </c>
      <c r="E3735" s="396">
        <f>-G3735</f>
        <v>-810698</v>
      </c>
      <c r="F3735" s="396">
        <v>0</v>
      </c>
      <c r="G3735" s="396">
        <f>+F3734</f>
        <v>810698</v>
      </c>
      <c r="H3735" s="347" t="str">
        <f>+H3734</f>
        <v>Claudio Cortes Arriagada Arriendo Julio 2021</v>
      </c>
      <c r="I3735" s="347" t="s">
        <v>1303</v>
      </c>
      <c r="K3735" s="370"/>
      <c r="N3735" s="370"/>
    </row>
    <row r="3736" spans="1:14" s="347" customFormat="1" x14ac:dyDescent="0.25">
      <c r="A3736" s="369"/>
      <c r="E3736" s="396"/>
      <c r="F3736" s="396"/>
      <c r="G3736" s="396"/>
      <c r="K3736" s="370"/>
      <c r="N3736" s="370"/>
    </row>
    <row r="3737" spans="1:14" s="347" customFormat="1" x14ac:dyDescent="0.25">
      <c r="A3737" s="369">
        <v>44384</v>
      </c>
      <c r="B3737" s="340">
        <f>+MONTH(A3737)</f>
        <v>7</v>
      </c>
      <c r="C3737" s="347">
        <v>215</v>
      </c>
      <c r="D3737" s="340" t="str">
        <f>VLOOKUP(C3737,Plan!A$1:B$65542,2,0)</f>
        <v>Cuenta por Pagar a Cali</v>
      </c>
      <c r="E3737" s="341">
        <f>+F3737-G3737</f>
        <v>6596</v>
      </c>
      <c r="F3737" s="396">
        <f>+G3739-F3738</f>
        <v>6596</v>
      </c>
      <c r="G3737" s="396">
        <v>0</v>
      </c>
      <c r="H3737" t="s">
        <v>1650</v>
      </c>
      <c r="I3737" s="347" t="s">
        <v>1303</v>
      </c>
      <c r="K3737" s="370"/>
      <c r="N3737" s="370"/>
    </row>
    <row r="3738" spans="1:14" s="347" customFormat="1" x14ac:dyDescent="0.25">
      <c r="A3738" s="369">
        <v>44384</v>
      </c>
      <c r="B3738" s="340">
        <f>+MONTH(A3738)</f>
        <v>7</v>
      </c>
      <c r="C3738" s="347">
        <v>223</v>
      </c>
      <c r="D3738" s="340" t="str">
        <f>VLOOKUP(C3738,Plan!A$1:B$65542,2,0)</f>
        <v>Ret. Hon.  e Impto. Unico Administración</v>
      </c>
      <c r="E3738" s="341">
        <f>+F3738-G3738</f>
        <v>84700</v>
      </c>
      <c r="F3738" s="396">
        <v>84700</v>
      </c>
      <c r="G3738" s="396">
        <v>0</v>
      </c>
      <c r="H3738" t="s">
        <v>1650</v>
      </c>
      <c r="I3738" s="347" t="s">
        <v>1303</v>
      </c>
      <c r="K3738" s="370"/>
      <c r="N3738" s="370"/>
    </row>
    <row r="3739" spans="1:14" s="347" customFormat="1" x14ac:dyDescent="0.25">
      <c r="A3739" s="369">
        <f>+A3737</f>
        <v>44384</v>
      </c>
      <c r="B3739" s="347">
        <f>+B3737</f>
        <v>7</v>
      </c>
      <c r="C3739" s="347">
        <v>110</v>
      </c>
      <c r="D3739" s="340" t="str">
        <f>VLOOKUP(C3739,Plan!A$1:B$65542,2,0)</f>
        <v>Disponible Administración</v>
      </c>
      <c r="E3739" s="396">
        <f>-G3739</f>
        <v>-91296</v>
      </c>
      <c r="F3739" s="396">
        <v>0</v>
      </c>
      <c r="G3739" s="396">
        <v>91296</v>
      </c>
      <c r="H3739" s="347" t="str">
        <f>+H3737</f>
        <v>Impto.Ret Adm. Junio /2021</v>
      </c>
      <c r="I3739" s="347" t="s">
        <v>1303</v>
      </c>
      <c r="K3739" s="370"/>
      <c r="N3739" s="370"/>
    </row>
    <row r="3740" spans="1:14" s="347" customFormat="1" x14ac:dyDescent="0.25">
      <c r="A3740" s="369"/>
      <c r="E3740" s="396"/>
      <c r="F3740" s="396"/>
      <c r="G3740" s="396"/>
      <c r="K3740" s="370"/>
      <c r="N3740" s="370"/>
    </row>
    <row r="3741" spans="1:14" s="347" customFormat="1" x14ac:dyDescent="0.25">
      <c r="A3741" s="369">
        <v>44384</v>
      </c>
      <c r="B3741" s="340">
        <f>+MONTH(A3741)</f>
        <v>7</v>
      </c>
      <c r="C3741" s="347">
        <v>224</v>
      </c>
      <c r="D3741" s="340" t="str">
        <f>VLOOKUP(C3741,Plan!A$1:B$65542,2,0)</f>
        <v>Cotizaciones por Pagar</v>
      </c>
      <c r="E3741" s="341">
        <f>+F3741-G3741</f>
        <v>404880</v>
      </c>
      <c r="F3741" s="396">
        <v>404880</v>
      </c>
      <c r="G3741" s="396">
        <v>0</v>
      </c>
      <c r="H3741" t="s">
        <v>1327</v>
      </c>
      <c r="I3741" s="347" t="s">
        <v>1303</v>
      </c>
      <c r="K3741" s="370"/>
      <c r="N3741" s="370"/>
    </row>
    <row r="3742" spans="1:14" s="347" customFormat="1" x14ac:dyDescent="0.25">
      <c r="A3742" s="369">
        <f>+A3741</f>
        <v>44384</v>
      </c>
      <c r="B3742" s="347">
        <f>+B3741</f>
        <v>7</v>
      </c>
      <c r="C3742" s="347">
        <v>110</v>
      </c>
      <c r="D3742" s="340" t="str">
        <f>VLOOKUP(C3742,Plan!A$1:B$65542,2,0)</f>
        <v>Disponible Administración</v>
      </c>
      <c r="E3742" s="396">
        <f>-G3742</f>
        <v>-404880</v>
      </c>
      <c r="F3742" s="396">
        <v>0</v>
      </c>
      <c r="G3742" s="396">
        <f>+F3741</f>
        <v>404880</v>
      </c>
      <c r="H3742" s="347" t="str">
        <f>+H3741</f>
        <v>Prevision EE. PSAH</v>
      </c>
      <c r="I3742" s="347" t="s">
        <v>1303</v>
      </c>
      <c r="K3742" s="370"/>
      <c r="N3742" s="370"/>
    </row>
    <row r="3743" spans="1:14" s="347" customFormat="1" x14ac:dyDescent="0.25">
      <c r="A3743" s="369"/>
      <c r="E3743" s="396"/>
      <c r="F3743" s="396"/>
      <c r="G3743" s="396"/>
      <c r="K3743" s="370"/>
      <c r="N3743" s="370"/>
    </row>
    <row r="3744" spans="1:14" s="347" customFormat="1" x14ac:dyDescent="0.25">
      <c r="A3744" s="369">
        <v>44384</v>
      </c>
      <c r="B3744" s="340">
        <f>+MONTH(A3744)</f>
        <v>7</v>
      </c>
      <c r="C3744" s="347">
        <v>224</v>
      </c>
      <c r="D3744" s="340" t="str">
        <f>VLOOKUP(C3744,Plan!A$1:B$65542,2,0)</f>
        <v>Cotizaciones por Pagar</v>
      </c>
      <c r="E3744" s="341">
        <f>+F3744-G3744</f>
        <v>173269</v>
      </c>
      <c r="F3744" s="396">
        <v>173269</v>
      </c>
      <c r="G3744" s="396">
        <v>0</v>
      </c>
      <c r="H3744" t="s">
        <v>1469</v>
      </c>
      <c r="I3744" s="347" t="s">
        <v>1303</v>
      </c>
      <c r="K3744" s="370"/>
      <c r="N3744" s="370"/>
    </row>
    <row r="3745" spans="1:14" s="347" customFormat="1" x14ac:dyDescent="0.25">
      <c r="A3745" s="369">
        <f>+A3744</f>
        <v>44384</v>
      </c>
      <c r="B3745" s="347">
        <f>+B3744</f>
        <v>7</v>
      </c>
      <c r="C3745" s="347">
        <v>110</v>
      </c>
      <c r="D3745" s="340" t="str">
        <f>VLOOKUP(C3745,Plan!A$1:B$65542,2,0)</f>
        <v>Disponible Administración</v>
      </c>
      <c r="E3745" s="396">
        <f>-G3745</f>
        <v>-173269</v>
      </c>
      <c r="F3745" s="396">
        <v>0</v>
      </c>
      <c r="G3745" s="396">
        <f>+F3744</f>
        <v>173269</v>
      </c>
      <c r="H3745" s="347" t="str">
        <f>+H3744</f>
        <v>Prevision P. Pedro</v>
      </c>
      <c r="I3745" s="347" t="s">
        <v>1303</v>
      </c>
      <c r="K3745" s="370"/>
      <c r="N3745" s="370"/>
    </row>
    <row r="3746" spans="1:14" s="347" customFormat="1" x14ac:dyDescent="0.25">
      <c r="A3746" s="369"/>
      <c r="E3746" s="396"/>
      <c r="F3746" s="396"/>
      <c r="G3746" s="396"/>
      <c r="K3746" s="370"/>
      <c r="N3746" s="370"/>
    </row>
    <row r="3747" spans="1:14" s="347" customFormat="1" x14ac:dyDescent="0.25">
      <c r="A3747" s="369">
        <v>44384</v>
      </c>
      <c r="B3747" s="340">
        <f>+MONTH(A3747)</f>
        <v>7</v>
      </c>
      <c r="C3747" s="347">
        <v>110</v>
      </c>
      <c r="D3747" s="340" t="str">
        <f>VLOOKUP(C3747,Plan!A$1:B$65542,2,0)</f>
        <v>Disponible Administración</v>
      </c>
      <c r="E3747" s="341">
        <f>+F3747-G3747</f>
        <v>19762</v>
      </c>
      <c r="F3747" s="396">
        <v>19762</v>
      </c>
      <c r="G3747" s="396">
        <v>0</v>
      </c>
      <c r="H3747" t="s">
        <v>1529</v>
      </c>
      <c r="I3747" s="347" t="s">
        <v>1303</v>
      </c>
      <c r="K3747" s="370"/>
      <c r="N3747" s="370"/>
    </row>
    <row r="3748" spans="1:14" s="347" customFormat="1" x14ac:dyDescent="0.25">
      <c r="A3748" s="369">
        <f>+A3747</f>
        <v>44384</v>
      </c>
      <c r="B3748" s="347">
        <f>+B3747</f>
        <v>7</v>
      </c>
      <c r="C3748" s="347">
        <v>3450</v>
      </c>
      <c r="D3748" s="340" t="str">
        <f>VLOOKUP(C3748,Plan!A$1:B$65542,2,0)</f>
        <v>Pastoral Social</v>
      </c>
      <c r="E3748" s="396">
        <f>-G3748</f>
        <v>-19762</v>
      </c>
      <c r="F3748" s="396">
        <v>0</v>
      </c>
      <c r="G3748" s="396">
        <f>+F3747</f>
        <v>19762</v>
      </c>
      <c r="H3748" s="347" t="str">
        <f>+H3747</f>
        <v>Canastas DCT</v>
      </c>
      <c r="I3748" s="347" t="s">
        <v>1303</v>
      </c>
      <c r="K3748" s="370"/>
      <c r="N3748" s="370"/>
    </row>
    <row r="3749" spans="1:14" s="347" customFormat="1" x14ac:dyDescent="0.25">
      <c r="A3749" s="369"/>
      <c r="E3749" s="396"/>
      <c r="F3749" s="396"/>
      <c r="G3749" s="396"/>
      <c r="K3749" s="370"/>
      <c r="N3749" s="370"/>
    </row>
    <row r="3750" spans="1:14" s="347" customFormat="1" x14ac:dyDescent="0.25">
      <c r="A3750" s="369">
        <v>44384</v>
      </c>
      <c r="B3750" s="340">
        <f>+MONTH(A3750)</f>
        <v>7</v>
      </c>
      <c r="C3750" s="347">
        <v>110</v>
      </c>
      <c r="D3750" s="340" t="str">
        <f>VLOOKUP(C3750,Plan!A$1:B$65542,2,0)</f>
        <v>Disponible Administración</v>
      </c>
      <c r="E3750" s="341">
        <f>+F3750-G3750</f>
        <v>20000</v>
      </c>
      <c r="F3750" s="396">
        <v>20000</v>
      </c>
      <c r="G3750" s="396">
        <v>0</v>
      </c>
      <c r="H3750" t="s">
        <v>1651</v>
      </c>
      <c r="I3750" s="347" t="s">
        <v>1303</v>
      </c>
      <c r="K3750" s="370"/>
      <c r="N3750" s="370"/>
    </row>
    <row r="3751" spans="1:14" s="347" customFormat="1" x14ac:dyDescent="0.25">
      <c r="A3751" s="369">
        <f>+A3750</f>
        <v>44384</v>
      </c>
      <c r="B3751" s="347">
        <f>+B3750</f>
        <v>7</v>
      </c>
      <c r="C3751" s="347">
        <v>3450</v>
      </c>
      <c r="D3751" s="340" t="str">
        <f>VLOOKUP(C3751,Plan!A$1:B$65542,2,0)</f>
        <v>Pastoral Social</v>
      </c>
      <c r="E3751" s="396">
        <f>-G3751</f>
        <v>-20000</v>
      </c>
      <c r="F3751" s="396">
        <v>0</v>
      </c>
      <c r="G3751" s="396">
        <f>+F3750</f>
        <v>20000</v>
      </c>
      <c r="H3751" s="347" t="str">
        <f>+H3750</f>
        <v>Canastas Guido Albornoz Gomez</v>
      </c>
      <c r="I3751" s="347" t="s">
        <v>1303</v>
      </c>
      <c r="K3751" s="370"/>
      <c r="N3751" s="370"/>
    </row>
    <row r="3752" spans="1:14" s="347" customFormat="1" x14ac:dyDescent="0.25">
      <c r="A3752" s="369"/>
      <c r="E3752" s="396"/>
      <c r="F3752" s="396"/>
      <c r="G3752" s="396"/>
      <c r="K3752" s="370"/>
      <c r="N3752" s="370"/>
    </row>
    <row r="3753" spans="1:14" s="347" customFormat="1" x14ac:dyDescent="0.25">
      <c r="A3753" s="369">
        <v>44384</v>
      </c>
      <c r="B3753" s="340">
        <f>+MONTH(A3753)</f>
        <v>7</v>
      </c>
      <c r="C3753" s="347">
        <v>110</v>
      </c>
      <c r="D3753" s="340" t="str">
        <f>VLOOKUP(C3753,Plan!A$1:B$65542,2,0)</f>
        <v>Disponible Administración</v>
      </c>
      <c r="E3753" s="341">
        <f>+F3753-G3753</f>
        <v>20000</v>
      </c>
      <c r="F3753" s="396">
        <v>20000</v>
      </c>
      <c r="G3753" s="396">
        <v>0</v>
      </c>
      <c r="H3753" t="s">
        <v>1332</v>
      </c>
      <c r="I3753" s="347" t="s">
        <v>1303</v>
      </c>
      <c r="K3753" s="370"/>
      <c r="N3753" s="370"/>
    </row>
    <row r="3754" spans="1:14" s="347" customFormat="1" x14ac:dyDescent="0.25">
      <c r="A3754" s="369">
        <f>+A3753</f>
        <v>44384</v>
      </c>
      <c r="B3754" s="347">
        <f>+B3753</f>
        <v>7</v>
      </c>
      <c r="C3754" s="347">
        <v>3110</v>
      </c>
      <c r="D3754" s="340" t="str">
        <f>VLOOKUP(C3754,Plan!A$1:B$65542,2,0)</f>
        <v>Colectas Normales</v>
      </c>
      <c r="E3754" s="396">
        <f>-G3754</f>
        <v>-20000</v>
      </c>
      <c r="F3754" s="396">
        <v>0</v>
      </c>
      <c r="G3754" s="396">
        <f>+F3753</f>
        <v>20000</v>
      </c>
      <c r="H3754" s="347" t="str">
        <f>+H3753</f>
        <v>Colecta Maria Luz Parodi Gil</v>
      </c>
      <c r="I3754" s="347" t="s">
        <v>1303</v>
      </c>
      <c r="K3754" s="370"/>
      <c r="N3754" s="370"/>
    </row>
    <row r="3755" spans="1:14" s="347" customFormat="1" x14ac:dyDescent="0.25">
      <c r="A3755" s="369"/>
      <c r="E3755" s="396"/>
      <c r="F3755" s="396"/>
      <c r="G3755" s="396"/>
      <c r="K3755" s="370"/>
      <c r="N3755" s="370"/>
    </row>
    <row r="3756" spans="1:14" s="347" customFormat="1" x14ac:dyDescent="0.25">
      <c r="A3756" s="369">
        <v>44385</v>
      </c>
      <c r="B3756" s="340">
        <f>+MONTH(A3756)</f>
        <v>7</v>
      </c>
      <c r="C3756" s="347">
        <v>110</v>
      </c>
      <c r="D3756" s="340" t="str">
        <f>VLOOKUP(C3756,Plan!A$1:B$65542,2,0)</f>
        <v>Disponible Administración</v>
      </c>
      <c r="E3756" s="341">
        <f>+F3756-G3756</f>
        <v>30000</v>
      </c>
      <c r="F3756" s="396">
        <v>30000</v>
      </c>
      <c r="G3756" s="396">
        <v>0</v>
      </c>
      <c r="H3756" t="s">
        <v>1652</v>
      </c>
      <c r="I3756" s="347" t="s">
        <v>1303</v>
      </c>
      <c r="K3756" s="370"/>
      <c r="N3756" s="370"/>
    </row>
    <row r="3757" spans="1:14" s="347" customFormat="1" x14ac:dyDescent="0.25">
      <c r="A3757" s="369">
        <f>+A3756</f>
        <v>44385</v>
      </c>
      <c r="B3757" s="347">
        <f>+B3756</f>
        <v>7</v>
      </c>
      <c r="C3757" s="347">
        <v>3110</v>
      </c>
      <c r="D3757" s="340" t="str">
        <f>VLOOKUP(C3757,Plan!A$1:B$65542,2,0)</f>
        <v>Colectas Normales</v>
      </c>
      <c r="E3757" s="396">
        <f>-G3757</f>
        <v>-30000</v>
      </c>
      <c r="F3757" s="396">
        <v>0</v>
      </c>
      <c r="G3757" s="396">
        <f>+F3756</f>
        <v>30000</v>
      </c>
      <c r="H3757" s="347" t="str">
        <f>+H3756</f>
        <v>Colecta Maria del Pilar Rios D.</v>
      </c>
      <c r="I3757" s="347" t="s">
        <v>1303</v>
      </c>
      <c r="K3757" s="370"/>
      <c r="N3757" s="370"/>
    </row>
    <row r="3758" spans="1:14" s="347" customFormat="1" x14ac:dyDescent="0.25">
      <c r="A3758" s="369"/>
      <c r="E3758" s="396"/>
      <c r="F3758" s="396"/>
      <c r="G3758" s="396"/>
      <c r="K3758" s="370"/>
      <c r="N3758" s="370"/>
    </row>
    <row r="3759" spans="1:14" s="347" customFormat="1" x14ac:dyDescent="0.25">
      <c r="A3759" s="369">
        <v>44385</v>
      </c>
      <c r="B3759" s="340">
        <f>+MONTH(A3759)</f>
        <v>7</v>
      </c>
      <c r="C3759" s="347">
        <v>110</v>
      </c>
      <c r="D3759" s="340" t="str">
        <f>VLOOKUP(C3759,Plan!A$1:B$65542,2,0)</f>
        <v>Disponible Administración</v>
      </c>
      <c r="E3759" s="341">
        <f>+F3759-G3759</f>
        <v>19605</v>
      </c>
      <c r="F3759" s="396">
        <v>19605</v>
      </c>
      <c r="G3759" s="396">
        <v>0</v>
      </c>
      <c r="H3759" t="s">
        <v>1529</v>
      </c>
      <c r="I3759" s="347" t="s">
        <v>1303</v>
      </c>
      <c r="K3759" s="370"/>
      <c r="N3759" s="370"/>
    </row>
    <row r="3760" spans="1:14" s="347" customFormat="1" x14ac:dyDescent="0.25">
      <c r="A3760" s="369">
        <f>+A3759</f>
        <v>44385</v>
      </c>
      <c r="B3760" s="347">
        <f>+B3759</f>
        <v>7</v>
      </c>
      <c r="C3760" s="347">
        <v>3450</v>
      </c>
      <c r="D3760" s="340" t="str">
        <f>VLOOKUP(C3760,Plan!A$1:B$65542,2,0)</f>
        <v>Pastoral Social</v>
      </c>
      <c r="E3760" s="396">
        <f>-G3760</f>
        <v>-19605</v>
      </c>
      <c r="F3760" s="396">
        <v>0</v>
      </c>
      <c r="G3760" s="396">
        <f>+F3759</f>
        <v>19605</v>
      </c>
      <c r="H3760" s="347" t="str">
        <f>+H3759</f>
        <v>Canastas DCT</v>
      </c>
      <c r="I3760" s="347" t="s">
        <v>1303</v>
      </c>
      <c r="K3760" s="370"/>
      <c r="N3760" s="370"/>
    </row>
    <row r="3761" spans="1:14" s="347" customFormat="1" x14ac:dyDescent="0.25">
      <c r="A3761" s="369"/>
      <c r="E3761" s="396"/>
      <c r="F3761" s="396"/>
      <c r="G3761" s="396"/>
      <c r="K3761" s="370"/>
      <c r="N3761" s="370"/>
    </row>
    <row r="3762" spans="1:14" s="347" customFormat="1" x14ac:dyDescent="0.25">
      <c r="A3762" s="369">
        <v>44385</v>
      </c>
      <c r="B3762" s="340">
        <f>+MONTH(A3762)</f>
        <v>7</v>
      </c>
      <c r="C3762" s="347">
        <v>110</v>
      </c>
      <c r="D3762" s="340" t="str">
        <f>VLOOKUP(C3762,Plan!A$1:B$65542,2,0)</f>
        <v>Disponible Administración</v>
      </c>
      <c r="E3762" s="341">
        <f>+F3762-G3762</f>
        <v>25000</v>
      </c>
      <c r="F3762" s="396">
        <v>25000</v>
      </c>
      <c r="G3762" s="396">
        <v>0</v>
      </c>
      <c r="H3762" t="s">
        <v>1442</v>
      </c>
      <c r="I3762" s="347" t="s">
        <v>1303</v>
      </c>
      <c r="K3762" s="370"/>
      <c r="N3762" s="370"/>
    </row>
    <row r="3763" spans="1:14" s="347" customFormat="1" x14ac:dyDescent="0.25">
      <c r="A3763" s="369">
        <f>+A3762</f>
        <v>44385</v>
      </c>
      <c r="B3763" s="347">
        <f>+B3762</f>
        <v>7</v>
      </c>
      <c r="C3763" s="347">
        <v>3360</v>
      </c>
      <c r="D3763" s="340" t="str">
        <f>VLOOKUP(C3763,Plan!A$1:B$65542,2,0)</f>
        <v>Otros</v>
      </c>
      <c r="E3763" s="396">
        <f>-G3763</f>
        <v>-25000</v>
      </c>
      <c r="F3763" s="396">
        <v>0</v>
      </c>
      <c r="G3763" s="396">
        <f>+F3762</f>
        <v>25000</v>
      </c>
      <c r="H3763" s="347" t="str">
        <f>+H3762</f>
        <v>Curso Jorge Larrañaga</v>
      </c>
      <c r="I3763" s="347" t="s">
        <v>1303</v>
      </c>
      <c r="K3763" s="370"/>
      <c r="N3763" s="370"/>
    </row>
    <row r="3764" spans="1:14" s="347" customFormat="1" x14ac:dyDescent="0.25">
      <c r="A3764" s="369"/>
      <c r="E3764" s="396"/>
      <c r="F3764" s="396"/>
      <c r="G3764" s="396"/>
      <c r="K3764" s="370"/>
      <c r="N3764" s="370"/>
    </row>
    <row r="3765" spans="1:14" s="347" customFormat="1" x14ac:dyDescent="0.25">
      <c r="A3765" s="369">
        <v>44385</v>
      </c>
      <c r="B3765" s="340">
        <f>+MONTH(A3765)</f>
        <v>7</v>
      </c>
      <c r="C3765" s="347">
        <v>110</v>
      </c>
      <c r="D3765" s="340" t="str">
        <f>VLOOKUP(C3765,Plan!A$1:B$65542,2,0)</f>
        <v>Disponible Administración</v>
      </c>
      <c r="E3765" s="341">
        <f>+F3765-G3765</f>
        <v>20000</v>
      </c>
      <c r="F3765" s="396">
        <v>20000</v>
      </c>
      <c r="G3765" s="396">
        <v>0</v>
      </c>
      <c r="H3765" t="s">
        <v>1201</v>
      </c>
      <c r="I3765" s="347" t="s">
        <v>1303</v>
      </c>
      <c r="K3765" s="370"/>
      <c r="N3765" s="370"/>
    </row>
    <row r="3766" spans="1:14" s="347" customFormat="1" x14ac:dyDescent="0.25">
      <c r="A3766" s="369">
        <f>+A3765</f>
        <v>44385</v>
      </c>
      <c r="B3766" s="347">
        <f>+B3765</f>
        <v>7</v>
      </c>
      <c r="C3766" s="347">
        <v>3110</v>
      </c>
      <c r="D3766" s="340" t="str">
        <f>VLOOKUP(C3766,Plan!A$1:B$65542,2,0)</f>
        <v>Colectas Normales</v>
      </c>
      <c r="E3766" s="396">
        <f>-G3766</f>
        <v>-20000</v>
      </c>
      <c r="F3766" s="396">
        <v>0</v>
      </c>
      <c r="G3766" s="396">
        <f>+F3765</f>
        <v>20000</v>
      </c>
      <c r="H3766" s="347" t="str">
        <f>+H3765</f>
        <v>Colecta Jorge Larrañaga</v>
      </c>
      <c r="I3766" s="347" t="s">
        <v>1303</v>
      </c>
      <c r="K3766" s="370"/>
      <c r="N3766" s="370"/>
    </row>
    <row r="3767" spans="1:14" s="347" customFormat="1" x14ac:dyDescent="0.25">
      <c r="A3767" s="369"/>
      <c r="E3767" s="396"/>
      <c r="F3767" s="396"/>
      <c r="G3767" s="396"/>
      <c r="K3767" s="370"/>
      <c r="N3767" s="370"/>
    </row>
    <row r="3768" spans="1:14" s="347" customFormat="1" x14ac:dyDescent="0.25">
      <c r="A3768" s="369">
        <v>44386</v>
      </c>
      <c r="B3768" s="340">
        <f>+MONTH(A3768)</f>
        <v>7</v>
      </c>
      <c r="C3768" s="347">
        <v>110</v>
      </c>
      <c r="D3768" s="340" t="str">
        <f>VLOOKUP(C3768,Plan!A$1:B$65542,2,0)</f>
        <v>Disponible Administración</v>
      </c>
      <c r="E3768" s="341">
        <f>+F3768-G3768</f>
        <v>20000</v>
      </c>
      <c r="F3768" s="396">
        <v>20000</v>
      </c>
      <c r="G3768" s="396">
        <v>0</v>
      </c>
      <c r="H3768" t="s">
        <v>1653</v>
      </c>
      <c r="I3768" s="347" t="s">
        <v>1303</v>
      </c>
      <c r="K3768" s="370"/>
      <c r="N3768" s="370"/>
    </row>
    <row r="3769" spans="1:14" s="347" customFormat="1" x14ac:dyDescent="0.25">
      <c r="A3769" s="369">
        <f>+A3768</f>
        <v>44386</v>
      </c>
      <c r="B3769" s="347">
        <f>+B3768</f>
        <v>7</v>
      </c>
      <c r="C3769" s="347">
        <v>3350</v>
      </c>
      <c r="D3769" s="340" t="str">
        <f>VLOOKUP(C3769,Plan!A$1:B$65542,2,0)</f>
        <v>Bautizos</v>
      </c>
      <c r="E3769" s="396">
        <f>-G3769</f>
        <v>-20000</v>
      </c>
      <c r="F3769" s="396">
        <v>0</v>
      </c>
      <c r="G3769" s="396">
        <f>+F3768</f>
        <v>20000</v>
      </c>
      <c r="H3769" s="347" t="str">
        <f>+H3768</f>
        <v>Bautizo Francisco Cood Ferrer</v>
      </c>
      <c r="I3769" s="347" t="s">
        <v>1303</v>
      </c>
      <c r="K3769" s="370"/>
      <c r="N3769" s="370"/>
    </row>
    <row r="3770" spans="1:14" s="347" customFormat="1" x14ac:dyDescent="0.25">
      <c r="A3770" s="369"/>
      <c r="E3770" s="396"/>
      <c r="F3770" s="396"/>
      <c r="G3770" s="396"/>
      <c r="K3770" s="370"/>
      <c r="N3770" s="370"/>
    </row>
    <row r="3771" spans="1:14" s="347" customFormat="1" x14ac:dyDescent="0.25">
      <c r="A3771" s="369">
        <v>44386</v>
      </c>
      <c r="B3771" s="340">
        <f>+MONTH(A3771)</f>
        <v>7</v>
      </c>
      <c r="C3771" s="347">
        <v>110</v>
      </c>
      <c r="D3771" s="340" t="str">
        <f>VLOOKUP(C3771,Plan!A$1:B$65542,2,0)</f>
        <v>Disponible Administración</v>
      </c>
      <c r="E3771" s="341">
        <f>+F3771-G3771</f>
        <v>25000</v>
      </c>
      <c r="F3771" s="396">
        <v>25000</v>
      </c>
      <c r="G3771" s="396">
        <v>0</v>
      </c>
      <c r="H3771" t="s">
        <v>1530</v>
      </c>
      <c r="I3771" s="347" t="s">
        <v>1303</v>
      </c>
      <c r="K3771" s="370"/>
      <c r="N3771" s="370"/>
    </row>
    <row r="3772" spans="1:14" s="347" customFormat="1" x14ac:dyDescent="0.25">
      <c r="A3772" s="369">
        <f>+A3771</f>
        <v>44386</v>
      </c>
      <c r="B3772" s="347">
        <f>+B3771</f>
        <v>7</v>
      </c>
      <c r="C3772" s="347">
        <v>3450</v>
      </c>
      <c r="D3772" s="340" t="str">
        <f>VLOOKUP(C3772,Plan!A$1:B$65542,2,0)</f>
        <v>Pastoral Social</v>
      </c>
      <c r="E3772" s="396">
        <f>-G3772</f>
        <v>-25000</v>
      </c>
      <c r="F3772" s="396">
        <v>0</v>
      </c>
      <c r="G3772" s="396">
        <f>+F3771</f>
        <v>25000</v>
      </c>
      <c r="H3772" s="347" t="str">
        <f>+H3771</f>
        <v>Canastas Francisco Rodriguez B.</v>
      </c>
      <c r="I3772" s="347" t="s">
        <v>1303</v>
      </c>
      <c r="K3772" s="370"/>
      <c r="N3772" s="370"/>
    </row>
    <row r="3773" spans="1:14" s="347" customFormat="1" x14ac:dyDescent="0.25">
      <c r="A3773" s="369"/>
      <c r="E3773" s="396"/>
      <c r="F3773" s="396"/>
      <c r="G3773" s="396"/>
      <c r="K3773" s="370"/>
      <c r="N3773" s="370"/>
    </row>
    <row r="3774" spans="1:14" s="347" customFormat="1" x14ac:dyDescent="0.25">
      <c r="A3774" s="369">
        <v>44386</v>
      </c>
      <c r="B3774" s="340">
        <f>+MONTH(A3774)</f>
        <v>7</v>
      </c>
      <c r="C3774" s="347">
        <v>4324</v>
      </c>
      <c r="D3774" s="340" t="str">
        <f>VLOOKUP(C3774,Plan!A$1:B$65542,2,0)</f>
        <v>Gas</v>
      </c>
      <c r="E3774" s="341">
        <f>+F3774-G3774</f>
        <v>8896</v>
      </c>
      <c r="F3774" s="396">
        <v>8896</v>
      </c>
      <c r="G3774" s="396">
        <v>0</v>
      </c>
      <c r="H3774" t="s">
        <v>1654</v>
      </c>
      <c r="I3774" s="347" t="s">
        <v>1303</v>
      </c>
      <c r="K3774" s="370"/>
      <c r="N3774" s="370"/>
    </row>
    <row r="3775" spans="1:14" s="347" customFormat="1" x14ac:dyDescent="0.25">
      <c r="A3775" s="369">
        <f>+A3774</f>
        <v>44386</v>
      </c>
      <c r="B3775" s="347">
        <f>+B3774</f>
        <v>7</v>
      </c>
      <c r="C3775" s="347">
        <v>110</v>
      </c>
      <c r="D3775" s="340" t="str">
        <f>VLOOKUP(C3775,Plan!A$1:B$65542,2,0)</f>
        <v>Disponible Administración</v>
      </c>
      <c r="E3775" s="396">
        <f>-G3775</f>
        <v>-8896</v>
      </c>
      <c r="F3775" s="396">
        <v>0</v>
      </c>
      <c r="G3775" s="396">
        <f>+F3774</f>
        <v>8896</v>
      </c>
      <c r="H3775" s="347" t="str">
        <f>+H3774</f>
        <v>PAC GAS OFICINA</v>
      </c>
      <c r="I3775" s="347" t="s">
        <v>1303</v>
      </c>
      <c r="K3775" s="370"/>
      <c r="N3775" s="370"/>
    </row>
    <row r="3776" spans="1:14" s="347" customFormat="1" x14ac:dyDescent="0.25">
      <c r="A3776" s="369"/>
      <c r="E3776" s="396"/>
      <c r="F3776" s="396"/>
      <c r="G3776" s="396"/>
      <c r="K3776" s="370"/>
      <c r="N3776" s="370"/>
    </row>
    <row r="3777" spans="1:14" s="347" customFormat="1" x14ac:dyDescent="0.25">
      <c r="A3777" s="369">
        <v>44386</v>
      </c>
      <c r="B3777" s="340">
        <f>+MONTH(A3777)</f>
        <v>7</v>
      </c>
      <c r="C3777" s="347">
        <v>4323</v>
      </c>
      <c r="D3777" s="340" t="str">
        <f>VLOOKUP(C3777,Plan!A$1:B$65542,2,0)</f>
        <v>Telefonía, Internet (VTR, Entel)</v>
      </c>
      <c r="E3777" s="341">
        <f>+F3777-G3777</f>
        <v>35155</v>
      </c>
      <c r="F3777" s="396">
        <v>35155</v>
      </c>
      <c r="G3777" s="396">
        <v>0</v>
      </c>
      <c r="H3777" t="s">
        <v>1145</v>
      </c>
      <c r="I3777" s="347" t="s">
        <v>1303</v>
      </c>
      <c r="K3777" s="370"/>
      <c r="N3777" s="370"/>
    </row>
    <row r="3778" spans="1:14" s="347" customFormat="1" x14ac:dyDescent="0.25">
      <c r="A3778" s="369">
        <f>+A3777</f>
        <v>44386</v>
      </c>
      <c r="B3778" s="347">
        <f>+B3777</f>
        <v>7</v>
      </c>
      <c r="C3778" s="347">
        <v>110</v>
      </c>
      <c r="D3778" s="340" t="str">
        <f>VLOOKUP(C3778,Plan!A$1:B$65542,2,0)</f>
        <v>Disponible Administración</v>
      </c>
      <c r="E3778" s="396">
        <f>-G3778</f>
        <v>-35155</v>
      </c>
      <c r="F3778" s="396">
        <v>0</v>
      </c>
      <c r="G3778" s="396">
        <f>+F3777</f>
        <v>35155</v>
      </c>
      <c r="H3778" s="347" t="str">
        <f>+H3777</f>
        <v>PAC VTR OFICINA</v>
      </c>
      <c r="I3778" s="347" t="s">
        <v>1303</v>
      </c>
      <c r="K3778" s="370"/>
      <c r="N3778" s="370"/>
    </row>
    <row r="3779" spans="1:14" s="347" customFormat="1" x14ac:dyDescent="0.25">
      <c r="A3779" s="369"/>
      <c r="E3779" s="396"/>
      <c r="F3779" s="396"/>
      <c r="G3779" s="396"/>
      <c r="K3779" s="370"/>
      <c r="N3779" s="370"/>
    </row>
    <row r="3780" spans="1:14" s="347" customFormat="1" x14ac:dyDescent="0.25">
      <c r="A3780" s="369">
        <v>44386</v>
      </c>
      <c r="B3780" s="340">
        <f>+MONTH(A3780)</f>
        <v>7</v>
      </c>
      <c r="C3780" s="347">
        <v>110</v>
      </c>
      <c r="D3780" s="340" t="str">
        <f>VLOOKUP(C3780,Plan!A$1:B$65542,2,0)</f>
        <v>Disponible Administración</v>
      </c>
      <c r="E3780" s="341">
        <f>+F3780-G3780</f>
        <v>4901</v>
      </c>
      <c r="F3780" s="396">
        <v>4901</v>
      </c>
      <c r="G3780" s="396">
        <v>0</v>
      </c>
      <c r="H3780" t="s">
        <v>1338</v>
      </c>
      <c r="I3780" s="347" t="s">
        <v>1303</v>
      </c>
      <c r="K3780" s="370"/>
      <c r="N3780" s="370"/>
    </row>
    <row r="3781" spans="1:14" s="347" customFormat="1" x14ac:dyDescent="0.25">
      <c r="A3781" s="369">
        <f>+A3780</f>
        <v>44386</v>
      </c>
      <c r="B3781" s="347">
        <f>+B3780</f>
        <v>7</v>
      </c>
      <c r="C3781" s="347">
        <v>3340</v>
      </c>
      <c r="D3781" s="340" t="str">
        <f>VLOOKUP(C3781,Plan!A$1:B$65542,2,0)</f>
        <v>Misas</v>
      </c>
      <c r="E3781" s="396">
        <f>-G3781</f>
        <v>-4901</v>
      </c>
      <c r="F3781" s="396">
        <v>0</v>
      </c>
      <c r="G3781" s="396">
        <f>+F3780</f>
        <v>4901</v>
      </c>
      <c r="H3781" s="347" t="str">
        <f>+H3780</f>
        <v>Misa DCT</v>
      </c>
      <c r="I3781" s="347" t="s">
        <v>1303</v>
      </c>
      <c r="K3781" s="370"/>
      <c r="N3781" s="370"/>
    </row>
    <row r="3782" spans="1:14" s="347" customFormat="1" x14ac:dyDescent="0.25">
      <c r="A3782" s="369"/>
      <c r="E3782" s="396"/>
      <c r="F3782" s="396"/>
      <c r="G3782" s="396"/>
      <c r="K3782" s="370"/>
      <c r="N3782" s="370"/>
    </row>
    <row r="3783" spans="1:14" s="347" customFormat="1" x14ac:dyDescent="0.25">
      <c r="A3783" s="369">
        <v>44386</v>
      </c>
      <c r="B3783" s="340">
        <f>+MONTH(A3783)</f>
        <v>7</v>
      </c>
      <c r="C3783" s="347">
        <v>110</v>
      </c>
      <c r="D3783" s="340" t="str">
        <f>VLOOKUP(C3783,Plan!A$1:B$65542,2,0)</f>
        <v>Disponible Administración</v>
      </c>
      <c r="E3783" s="341">
        <f>+F3783-G3783</f>
        <v>100000</v>
      </c>
      <c r="F3783" s="396">
        <v>100000</v>
      </c>
      <c r="G3783" s="396">
        <v>0</v>
      </c>
      <c r="H3783" t="s">
        <v>1581</v>
      </c>
      <c r="I3783" s="347" t="s">
        <v>1303</v>
      </c>
      <c r="K3783" s="370"/>
      <c r="N3783" s="370"/>
    </row>
    <row r="3784" spans="1:14" s="347" customFormat="1" x14ac:dyDescent="0.25">
      <c r="A3784" s="369">
        <f>+A3783</f>
        <v>44386</v>
      </c>
      <c r="B3784" s="347">
        <f>+B3783</f>
        <v>7</v>
      </c>
      <c r="C3784" s="347">
        <v>215</v>
      </c>
      <c r="D3784" s="340" t="str">
        <f>VLOOKUP(C3784,Plan!A$1:B$65542,2,0)</f>
        <v>Cuenta por Pagar a Cali</v>
      </c>
      <c r="E3784" s="396">
        <f>-G3784</f>
        <v>-100000</v>
      </c>
      <c r="F3784" s="396">
        <v>0</v>
      </c>
      <c r="G3784" s="396">
        <f>+F3783</f>
        <v>100000</v>
      </c>
      <c r="H3784" s="347" t="str">
        <f>+H3783</f>
        <v>Hugo Rosende Alvarez / 249</v>
      </c>
      <c r="I3784" s="347" t="s">
        <v>1303</v>
      </c>
      <c r="K3784" s="370"/>
      <c r="N3784" s="370"/>
    </row>
    <row r="3785" spans="1:14" s="347" customFormat="1" x14ac:dyDescent="0.25">
      <c r="A3785" s="369"/>
      <c r="E3785" s="396"/>
      <c r="F3785" s="396"/>
      <c r="G3785" s="396"/>
      <c r="K3785" s="370"/>
      <c r="N3785" s="370"/>
    </row>
    <row r="3786" spans="1:14" s="347" customFormat="1" x14ac:dyDescent="0.25">
      <c r="A3786" s="369">
        <v>44386</v>
      </c>
      <c r="B3786" s="340">
        <f>+MONTH(A3786)</f>
        <v>7</v>
      </c>
      <c r="C3786" s="347">
        <v>110</v>
      </c>
      <c r="D3786" s="340" t="str">
        <f>VLOOKUP(C3786,Plan!A$1:B$65542,2,0)</f>
        <v>Disponible Administración</v>
      </c>
      <c r="E3786" s="341">
        <f>+F3786-G3786</f>
        <v>20000</v>
      </c>
      <c r="F3786" s="396">
        <v>20000</v>
      </c>
      <c r="G3786" s="396">
        <v>0</v>
      </c>
      <c r="H3786" t="s">
        <v>951</v>
      </c>
      <c r="I3786" s="347" t="s">
        <v>1303</v>
      </c>
      <c r="K3786" s="370"/>
      <c r="N3786" s="370"/>
    </row>
    <row r="3787" spans="1:14" s="347" customFormat="1" x14ac:dyDescent="0.25">
      <c r="A3787" s="369">
        <f>+A3786</f>
        <v>44386</v>
      </c>
      <c r="B3787" s="347">
        <f>+B3786</f>
        <v>7</v>
      </c>
      <c r="C3787" s="347">
        <v>3110</v>
      </c>
      <c r="D3787" s="340" t="str">
        <f>VLOOKUP(C3787,Plan!A$1:B$65542,2,0)</f>
        <v>Colectas Normales</v>
      </c>
      <c r="E3787" s="396">
        <f>-G3787</f>
        <v>-20000</v>
      </c>
      <c r="F3787" s="396">
        <v>0</v>
      </c>
      <c r="G3787" s="396">
        <f>+F3786</f>
        <v>20000</v>
      </c>
      <c r="H3787" s="347" t="str">
        <f>+H3786</f>
        <v>Colecta Cyril Hodgson Larrain</v>
      </c>
      <c r="I3787" s="347" t="s">
        <v>1303</v>
      </c>
      <c r="K3787" s="370"/>
      <c r="N3787" s="370"/>
    </row>
    <row r="3788" spans="1:14" s="347" customFormat="1" x14ac:dyDescent="0.25">
      <c r="A3788" s="369"/>
      <c r="E3788" s="396"/>
      <c r="F3788" s="396"/>
      <c r="G3788" s="396"/>
      <c r="K3788" s="370"/>
      <c r="N3788" s="370"/>
    </row>
    <row r="3789" spans="1:14" s="347" customFormat="1" x14ac:dyDescent="0.25">
      <c r="A3789" s="369">
        <v>44386</v>
      </c>
      <c r="B3789" s="340">
        <f>+MONTH(A3789)</f>
        <v>7</v>
      </c>
      <c r="C3789" s="347">
        <v>110</v>
      </c>
      <c r="D3789" s="340" t="str">
        <f>VLOOKUP(C3789,Plan!A$1:B$65542,2,0)</f>
        <v>Disponible Administración</v>
      </c>
      <c r="E3789" s="341">
        <f>+F3789-G3789</f>
        <v>30000</v>
      </c>
      <c r="F3789" s="396">
        <v>30000</v>
      </c>
      <c r="G3789" s="396">
        <v>0</v>
      </c>
      <c r="H3789" t="s">
        <v>1577</v>
      </c>
      <c r="I3789" s="347" t="s">
        <v>1303</v>
      </c>
      <c r="K3789" s="370"/>
      <c r="N3789" s="370"/>
    </row>
    <row r="3790" spans="1:14" s="347" customFormat="1" x14ac:dyDescent="0.25">
      <c r="A3790" s="369">
        <f>+A3789</f>
        <v>44386</v>
      </c>
      <c r="B3790" s="347">
        <f>+B3789</f>
        <v>7</v>
      </c>
      <c r="C3790" s="347">
        <v>3450</v>
      </c>
      <c r="D3790" s="340" t="str">
        <f>VLOOKUP(C3790,Plan!A$1:B$65542,2,0)</f>
        <v>Pastoral Social</v>
      </c>
      <c r="E3790" s="396">
        <f>-G3790</f>
        <v>-30000</v>
      </c>
      <c r="F3790" s="396">
        <v>0</v>
      </c>
      <c r="G3790" s="396">
        <f>+F3789</f>
        <v>30000</v>
      </c>
      <c r="H3790" s="347" t="str">
        <f>+H3789</f>
        <v>Canastas Cyril Hodgson Larrain</v>
      </c>
      <c r="I3790" s="347" t="s">
        <v>1303</v>
      </c>
      <c r="K3790" s="370"/>
      <c r="N3790" s="370"/>
    </row>
    <row r="3791" spans="1:14" s="347" customFormat="1" x14ac:dyDescent="0.25">
      <c r="A3791" s="369"/>
      <c r="E3791" s="396"/>
      <c r="F3791" s="396"/>
      <c r="G3791" s="396"/>
      <c r="K3791" s="370"/>
      <c r="N3791" s="370"/>
    </row>
    <row r="3792" spans="1:14" s="347" customFormat="1" x14ac:dyDescent="0.25">
      <c r="A3792" s="369">
        <v>44386</v>
      </c>
      <c r="B3792" s="340">
        <f>+MONTH(A3792)</f>
        <v>7</v>
      </c>
      <c r="C3792" s="347">
        <v>110</v>
      </c>
      <c r="D3792" s="340" t="str">
        <f>VLOOKUP(C3792,Plan!A$1:B$65542,2,0)</f>
        <v>Disponible Administración</v>
      </c>
      <c r="E3792" s="341">
        <f>+F3792-G3792</f>
        <v>16000</v>
      </c>
      <c r="F3792" s="396">
        <v>16000</v>
      </c>
      <c r="G3792" s="396">
        <v>0</v>
      </c>
      <c r="H3792" t="s">
        <v>1330</v>
      </c>
      <c r="I3792" s="347" t="s">
        <v>1303</v>
      </c>
      <c r="K3792" s="370"/>
      <c r="N3792" s="370"/>
    </row>
    <row r="3793" spans="1:14" s="347" customFormat="1" x14ac:dyDescent="0.25">
      <c r="A3793" s="369">
        <f>+A3792</f>
        <v>44386</v>
      </c>
      <c r="B3793" s="347">
        <f>+B3792</f>
        <v>7</v>
      </c>
      <c r="C3793" s="347">
        <v>3110</v>
      </c>
      <c r="D3793" s="340" t="str">
        <f>VLOOKUP(C3793,Plan!A$1:B$65542,2,0)</f>
        <v>Colectas Normales</v>
      </c>
      <c r="E3793" s="396">
        <f>-G3793</f>
        <v>-16000</v>
      </c>
      <c r="F3793" s="396">
        <v>0</v>
      </c>
      <c r="G3793" s="396">
        <f>+F3792</f>
        <v>16000</v>
      </c>
      <c r="H3793" s="347" t="str">
        <f>+H3792</f>
        <v>Colecta Leonardo Robles Copello</v>
      </c>
      <c r="I3793" s="347" t="s">
        <v>1303</v>
      </c>
      <c r="K3793" s="370"/>
      <c r="N3793" s="370"/>
    </row>
    <row r="3794" spans="1:14" s="347" customFormat="1" x14ac:dyDescent="0.25">
      <c r="A3794" s="369"/>
      <c r="E3794" s="396"/>
      <c r="F3794" s="396"/>
      <c r="G3794" s="396"/>
      <c r="K3794" s="370"/>
      <c r="N3794" s="370"/>
    </row>
    <row r="3795" spans="1:14" s="347" customFormat="1" x14ac:dyDescent="0.25">
      <c r="A3795" s="369">
        <v>44386</v>
      </c>
      <c r="B3795" s="340">
        <f>+MONTH(A3795)</f>
        <v>7</v>
      </c>
      <c r="C3795" s="347">
        <v>110</v>
      </c>
      <c r="D3795" s="340" t="str">
        <f>VLOOKUP(C3795,Plan!A$1:B$65542,2,0)</f>
        <v>Disponible Administración</v>
      </c>
      <c r="E3795" s="341">
        <f>+F3795-G3795</f>
        <v>20000</v>
      </c>
      <c r="F3795" s="396">
        <v>20000</v>
      </c>
      <c r="G3795" s="396">
        <v>0</v>
      </c>
      <c r="H3795" t="s">
        <v>1585</v>
      </c>
      <c r="I3795" s="347" t="s">
        <v>1303</v>
      </c>
      <c r="K3795" s="370"/>
      <c r="N3795" s="370"/>
    </row>
    <row r="3796" spans="1:14" s="347" customFormat="1" x14ac:dyDescent="0.25">
      <c r="A3796" s="369">
        <f>+A3795</f>
        <v>44386</v>
      </c>
      <c r="B3796" s="347">
        <f>+B3795</f>
        <v>7</v>
      </c>
      <c r="C3796" s="347">
        <v>3450</v>
      </c>
      <c r="D3796" s="340" t="str">
        <f>VLOOKUP(C3796,Plan!A$1:B$65542,2,0)</f>
        <v>Pastoral Social</v>
      </c>
      <c r="E3796" s="396">
        <f>-G3796</f>
        <v>-20000</v>
      </c>
      <c r="F3796" s="396">
        <v>0</v>
      </c>
      <c r="G3796" s="396">
        <f>+F3795</f>
        <v>20000</v>
      </c>
      <c r="H3796" s="347" t="str">
        <f>+H3795</f>
        <v>Canastas Leonardo Robles Copello</v>
      </c>
      <c r="I3796" s="347" t="s">
        <v>1303</v>
      </c>
      <c r="K3796" s="370"/>
      <c r="N3796" s="370"/>
    </row>
    <row r="3797" spans="1:14" s="347" customFormat="1" x14ac:dyDescent="0.25">
      <c r="A3797" s="369"/>
      <c r="E3797" s="396"/>
      <c r="F3797" s="396"/>
      <c r="G3797" s="396"/>
      <c r="K3797" s="370"/>
      <c r="N3797" s="370"/>
    </row>
    <row r="3798" spans="1:14" s="347" customFormat="1" x14ac:dyDescent="0.25">
      <c r="A3798" s="369">
        <v>44389</v>
      </c>
      <c r="B3798" s="340">
        <f>+MONTH(A3798)</f>
        <v>7</v>
      </c>
      <c r="C3798" s="347">
        <v>110</v>
      </c>
      <c r="D3798" s="340" t="str">
        <f>VLOOKUP(C3798,Plan!A$1:B$65542,2,0)</f>
        <v>Disponible Administración</v>
      </c>
      <c r="E3798" s="341">
        <f>+F3798-G3798</f>
        <v>10000</v>
      </c>
      <c r="F3798" s="396">
        <v>10000</v>
      </c>
      <c r="G3798" s="396">
        <v>0</v>
      </c>
      <c r="H3798" t="s">
        <v>1655</v>
      </c>
      <c r="I3798" s="347" t="s">
        <v>1303</v>
      </c>
      <c r="K3798" s="370"/>
      <c r="N3798" s="370"/>
    </row>
    <row r="3799" spans="1:14" s="347" customFormat="1" x14ac:dyDescent="0.25">
      <c r="A3799" s="369">
        <f>+A3798</f>
        <v>44389</v>
      </c>
      <c r="B3799" s="347">
        <f>+B3798</f>
        <v>7</v>
      </c>
      <c r="C3799" s="347">
        <v>3340</v>
      </c>
      <c r="D3799" s="340" t="str">
        <f>VLOOKUP(C3799,Plan!A$1:B$65542,2,0)</f>
        <v>Misas</v>
      </c>
      <c r="E3799" s="396">
        <f>-G3799</f>
        <v>-10000</v>
      </c>
      <c r="F3799" s="396">
        <v>0</v>
      </c>
      <c r="G3799" s="396">
        <f>+F3798</f>
        <v>10000</v>
      </c>
      <c r="H3799" s="347" t="str">
        <f>+H3798</f>
        <v>Misa Isabel Grez</v>
      </c>
      <c r="I3799" s="347" t="s">
        <v>1303</v>
      </c>
      <c r="K3799" s="370"/>
      <c r="N3799" s="370"/>
    </row>
    <row r="3800" spans="1:14" s="347" customFormat="1" x14ac:dyDescent="0.25">
      <c r="A3800" s="369"/>
      <c r="E3800" s="396"/>
      <c r="F3800" s="396"/>
      <c r="G3800" s="396"/>
      <c r="K3800" s="370"/>
      <c r="N3800" s="370"/>
    </row>
    <row r="3801" spans="1:14" s="347" customFormat="1" x14ac:dyDescent="0.25">
      <c r="A3801" s="369">
        <v>44389</v>
      </c>
      <c r="B3801" s="340">
        <f>+MONTH(A3801)</f>
        <v>7</v>
      </c>
      <c r="C3801" s="347">
        <v>110</v>
      </c>
      <c r="D3801" s="340" t="str">
        <f>VLOOKUP(C3801,Plan!A$1:B$65542,2,0)</f>
        <v>Disponible Administración</v>
      </c>
      <c r="E3801" s="341">
        <f>+F3801-G3801</f>
        <v>8000</v>
      </c>
      <c r="F3801" s="396">
        <v>8000</v>
      </c>
      <c r="G3801" s="396">
        <v>0</v>
      </c>
      <c r="H3801" t="s">
        <v>971</v>
      </c>
      <c r="I3801" s="347" t="s">
        <v>1303</v>
      </c>
      <c r="K3801" s="370"/>
      <c r="N3801" s="370"/>
    </row>
    <row r="3802" spans="1:14" s="347" customFormat="1" x14ac:dyDescent="0.25">
      <c r="A3802" s="369">
        <f>+A3801</f>
        <v>44389</v>
      </c>
      <c r="B3802" s="347">
        <f>+B3801</f>
        <v>7</v>
      </c>
      <c r="C3802" s="347">
        <v>3110</v>
      </c>
      <c r="D3802" s="340" t="str">
        <f>VLOOKUP(C3802,Plan!A$1:B$65542,2,0)</f>
        <v>Colectas Normales</v>
      </c>
      <c r="E3802" s="396">
        <f>-G3802</f>
        <v>-8000</v>
      </c>
      <c r="F3802" s="396">
        <v>0</v>
      </c>
      <c r="G3802" s="396">
        <f>+F3801</f>
        <v>8000</v>
      </c>
      <c r="H3802" s="347" t="str">
        <f>+H3801</f>
        <v>Colecta Pablo Irarrazaval Mena</v>
      </c>
      <c r="I3802" s="347" t="s">
        <v>1303</v>
      </c>
      <c r="K3802" s="370"/>
      <c r="N3802" s="370"/>
    </row>
    <row r="3803" spans="1:14" s="347" customFormat="1" x14ac:dyDescent="0.25">
      <c r="A3803" s="369"/>
      <c r="E3803" s="396"/>
      <c r="F3803" s="396"/>
      <c r="G3803" s="396"/>
      <c r="K3803" s="370"/>
      <c r="N3803" s="370"/>
    </row>
    <row r="3804" spans="1:14" s="347" customFormat="1" x14ac:dyDescent="0.25">
      <c r="A3804" s="369">
        <v>44389</v>
      </c>
      <c r="B3804" s="340">
        <f>+MONTH(A3804)</f>
        <v>7</v>
      </c>
      <c r="C3804" s="347">
        <v>110</v>
      </c>
      <c r="D3804" s="340" t="str">
        <f>VLOOKUP(C3804,Plan!A$1:B$65542,2,0)</f>
        <v>Disponible Administración</v>
      </c>
      <c r="E3804" s="341">
        <f>+F3804-G3804</f>
        <v>40000</v>
      </c>
      <c r="F3804" s="396">
        <v>40000</v>
      </c>
      <c r="G3804" s="396">
        <v>0</v>
      </c>
      <c r="H3804" t="s">
        <v>1306</v>
      </c>
      <c r="I3804" s="347" t="s">
        <v>1303</v>
      </c>
      <c r="K3804" s="370"/>
      <c r="N3804" s="370"/>
    </row>
    <row r="3805" spans="1:14" s="347" customFormat="1" x14ac:dyDescent="0.25">
      <c r="A3805" s="369">
        <f>+A3804</f>
        <v>44389</v>
      </c>
      <c r="B3805" s="347">
        <f>+B3804</f>
        <v>7</v>
      </c>
      <c r="C3805" s="347">
        <v>3110</v>
      </c>
      <c r="D3805" s="340" t="str">
        <f>VLOOKUP(C3805,Plan!A$1:B$65542,2,0)</f>
        <v>Colectas Normales</v>
      </c>
      <c r="E3805" s="396">
        <f>-G3805</f>
        <v>-40000</v>
      </c>
      <c r="F3805" s="396">
        <v>0</v>
      </c>
      <c r="G3805" s="396">
        <f>+F3804</f>
        <v>40000</v>
      </c>
      <c r="H3805" s="347" t="str">
        <f>+H3804</f>
        <v>Colecta Marcela Nuñez</v>
      </c>
      <c r="I3805" s="347" t="s">
        <v>1303</v>
      </c>
      <c r="K3805" s="370"/>
      <c r="N3805" s="370"/>
    </row>
    <row r="3806" spans="1:14" s="347" customFormat="1" x14ac:dyDescent="0.25">
      <c r="A3806" s="369"/>
      <c r="E3806" s="396"/>
      <c r="F3806" s="396"/>
      <c r="G3806" s="396"/>
      <c r="K3806" s="370"/>
      <c r="N3806" s="370"/>
    </row>
    <row r="3807" spans="1:14" s="347" customFormat="1" x14ac:dyDescent="0.25">
      <c r="A3807" s="369">
        <v>44389</v>
      </c>
      <c r="B3807" s="340">
        <f>+MONTH(A3807)</f>
        <v>7</v>
      </c>
      <c r="C3807" s="347">
        <v>110</v>
      </c>
      <c r="D3807" s="340" t="str">
        <f>VLOOKUP(C3807,Plan!A$1:B$65542,2,0)</f>
        <v>Disponible Administración</v>
      </c>
      <c r="E3807" s="341">
        <f>+F3807-G3807</f>
        <v>40000</v>
      </c>
      <c r="F3807" s="396">
        <v>40000</v>
      </c>
      <c r="G3807" s="396">
        <v>0</v>
      </c>
      <c r="H3807" t="s">
        <v>1487</v>
      </c>
      <c r="I3807" s="347" t="s">
        <v>1303</v>
      </c>
      <c r="K3807" s="370"/>
      <c r="N3807" s="370"/>
    </row>
    <row r="3808" spans="1:14" s="347" customFormat="1" x14ac:dyDescent="0.25">
      <c r="A3808" s="369">
        <f>+A3807</f>
        <v>44389</v>
      </c>
      <c r="B3808" s="347">
        <f>+B3807</f>
        <v>7</v>
      </c>
      <c r="C3808" s="347">
        <v>3450</v>
      </c>
      <c r="D3808" s="340" t="str">
        <f>VLOOKUP(C3808,Plan!A$1:B$65542,2,0)</f>
        <v>Pastoral Social</v>
      </c>
      <c r="E3808" s="396">
        <f>-G3808</f>
        <v>-40000</v>
      </c>
      <c r="F3808" s="396">
        <v>0</v>
      </c>
      <c r="G3808" s="396">
        <f>+F3807</f>
        <v>40000</v>
      </c>
      <c r="H3808" s="347" t="str">
        <f>+H3807</f>
        <v>Canastas Marcela Nuñez</v>
      </c>
      <c r="I3808" s="347" t="s">
        <v>1303</v>
      </c>
      <c r="K3808" s="370"/>
      <c r="N3808" s="370"/>
    </row>
    <row r="3809" spans="1:14" s="347" customFormat="1" x14ac:dyDescent="0.25">
      <c r="A3809" s="369"/>
      <c r="E3809" s="396"/>
      <c r="F3809" s="396"/>
      <c r="G3809" s="396"/>
      <c r="K3809" s="370"/>
      <c r="N3809" s="370"/>
    </row>
    <row r="3810" spans="1:14" s="347" customFormat="1" x14ac:dyDescent="0.25">
      <c r="A3810" s="369">
        <v>44389</v>
      </c>
      <c r="B3810" s="340">
        <f>+MONTH(A3810)</f>
        <v>7</v>
      </c>
      <c r="C3810" s="347">
        <v>110</v>
      </c>
      <c r="D3810" s="340" t="str">
        <f>VLOOKUP(C3810,Plan!A$1:B$65542,2,0)</f>
        <v>Disponible Administración</v>
      </c>
      <c r="E3810" s="341">
        <f>+F3810-G3810</f>
        <v>10000</v>
      </c>
      <c r="F3810" s="396">
        <v>10000</v>
      </c>
      <c r="G3810" s="396">
        <v>0</v>
      </c>
      <c r="H3810" t="s">
        <v>881</v>
      </c>
      <c r="I3810" s="347" t="s">
        <v>1303</v>
      </c>
      <c r="K3810" s="370"/>
      <c r="N3810" s="370"/>
    </row>
    <row r="3811" spans="1:14" s="347" customFormat="1" x14ac:dyDescent="0.25">
      <c r="A3811" s="369">
        <f>+A3810</f>
        <v>44389</v>
      </c>
      <c r="B3811" s="347">
        <f>+B3810</f>
        <v>7</v>
      </c>
      <c r="C3811" s="347">
        <v>3110</v>
      </c>
      <c r="D3811" s="340" t="str">
        <f>VLOOKUP(C3811,Plan!A$1:B$65542,2,0)</f>
        <v>Colectas Normales</v>
      </c>
      <c r="E3811" s="396">
        <f>-G3811</f>
        <v>-10000</v>
      </c>
      <c r="F3811" s="396">
        <v>0</v>
      </c>
      <c r="G3811" s="396">
        <f>+F3810</f>
        <v>10000</v>
      </c>
      <c r="H3811" s="347" t="str">
        <f>+H3810</f>
        <v>Colecta Rafael Marin Jordan</v>
      </c>
      <c r="I3811" s="347" t="s">
        <v>1303</v>
      </c>
      <c r="K3811" s="370"/>
      <c r="N3811" s="370"/>
    </row>
    <row r="3812" spans="1:14" s="347" customFormat="1" x14ac:dyDescent="0.25">
      <c r="A3812" s="369"/>
      <c r="E3812" s="396"/>
      <c r="F3812" s="396"/>
      <c r="G3812" s="396"/>
      <c r="K3812" s="370"/>
      <c r="N3812" s="370"/>
    </row>
    <row r="3813" spans="1:14" s="347" customFormat="1" x14ac:dyDescent="0.25">
      <c r="A3813" s="369">
        <v>44389</v>
      </c>
      <c r="B3813" s="340">
        <f>+MONTH(A3813)</f>
        <v>7</v>
      </c>
      <c r="C3813" s="347">
        <v>110</v>
      </c>
      <c r="D3813" s="340" t="str">
        <f>VLOOKUP(C3813,Plan!A$1:B$65542,2,0)</f>
        <v>Disponible Administración</v>
      </c>
      <c r="E3813" s="341">
        <f>+F3813-G3813</f>
        <v>10000</v>
      </c>
      <c r="F3813" s="396">
        <v>10000</v>
      </c>
      <c r="G3813" s="396">
        <v>0</v>
      </c>
      <c r="H3813" t="s">
        <v>880</v>
      </c>
      <c r="I3813" s="347" t="s">
        <v>1303</v>
      </c>
      <c r="K3813" s="370"/>
      <c r="N3813" s="370"/>
    </row>
    <row r="3814" spans="1:14" s="347" customFormat="1" x14ac:dyDescent="0.25">
      <c r="A3814" s="369">
        <f>+A3813</f>
        <v>44389</v>
      </c>
      <c r="B3814" s="347">
        <f>+B3813</f>
        <v>7</v>
      </c>
      <c r="C3814" s="347">
        <v>3110</v>
      </c>
      <c r="D3814" s="340" t="str">
        <f>VLOOKUP(C3814,Plan!A$1:B$65542,2,0)</f>
        <v>Colectas Normales</v>
      </c>
      <c r="E3814" s="396">
        <f>-G3814</f>
        <v>-10000</v>
      </c>
      <c r="F3814" s="396">
        <v>0</v>
      </c>
      <c r="G3814" s="396">
        <f>+F3813</f>
        <v>10000</v>
      </c>
      <c r="H3814" s="347" t="str">
        <f>+H3813</f>
        <v>Colecta Sebastian Rios</v>
      </c>
      <c r="I3814" s="347" t="s">
        <v>1303</v>
      </c>
      <c r="K3814" s="370"/>
      <c r="N3814" s="370"/>
    </row>
    <row r="3815" spans="1:14" s="347" customFormat="1" x14ac:dyDescent="0.25">
      <c r="A3815" s="369"/>
      <c r="E3815" s="396"/>
      <c r="F3815" s="396"/>
      <c r="G3815" s="396"/>
      <c r="K3815" s="370"/>
      <c r="N3815" s="370"/>
    </row>
    <row r="3816" spans="1:14" s="347" customFormat="1" x14ac:dyDescent="0.25">
      <c r="A3816" s="369">
        <v>44389</v>
      </c>
      <c r="B3816" s="340">
        <f>+MONTH(A3816)</f>
        <v>7</v>
      </c>
      <c r="C3816" s="347">
        <v>110</v>
      </c>
      <c r="D3816" s="340" t="str">
        <f>VLOOKUP(C3816,Plan!A$1:B$65542,2,0)</f>
        <v>Disponible Administración</v>
      </c>
      <c r="E3816" s="341">
        <f>+F3816-G3816</f>
        <v>3000</v>
      </c>
      <c r="F3816" s="396">
        <v>3000</v>
      </c>
      <c r="G3816" s="396">
        <v>0</v>
      </c>
      <c r="H3816" t="s">
        <v>915</v>
      </c>
      <c r="I3816" s="347" t="s">
        <v>1303</v>
      </c>
      <c r="K3816" s="370"/>
      <c r="N3816" s="370"/>
    </row>
    <row r="3817" spans="1:14" s="347" customFormat="1" x14ac:dyDescent="0.25">
      <c r="A3817" s="369">
        <f>+A3816</f>
        <v>44389</v>
      </c>
      <c r="B3817" s="347">
        <f>+B3816</f>
        <v>7</v>
      </c>
      <c r="C3817" s="347">
        <v>3110</v>
      </c>
      <c r="D3817" s="340" t="str">
        <f>VLOOKUP(C3817,Plan!A$1:B$65542,2,0)</f>
        <v>Colectas Normales</v>
      </c>
      <c r="E3817" s="396">
        <f>-G3817</f>
        <v>-3000</v>
      </c>
      <c r="F3817" s="396">
        <v>0</v>
      </c>
      <c r="G3817" s="396">
        <f>+F3816</f>
        <v>3000</v>
      </c>
      <c r="H3817" s="347" t="str">
        <f>+H3816</f>
        <v>Colecta Jose Perez de Castro</v>
      </c>
      <c r="I3817" s="347" t="s">
        <v>1303</v>
      </c>
      <c r="K3817" s="370"/>
      <c r="N3817" s="370"/>
    </row>
    <row r="3818" spans="1:14" s="347" customFormat="1" x14ac:dyDescent="0.25">
      <c r="A3818" s="369"/>
      <c r="E3818" s="396"/>
      <c r="F3818" s="396"/>
      <c r="G3818" s="396"/>
      <c r="K3818" s="370"/>
      <c r="N3818" s="370"/>
    </row>
    <row r="3819" spans="1:14" s="347" customFormat="1" x14ac:dyDescent="0.25">
      <c r="A3819" s="369">
        <v>44389</v>
      </c>
      <c r="B3819" s="340">
        <f>+MONTH(A3819)</f>
        <v>7</v>
      </c>
      <c r="C3819" s="347">
        <v>110</v>
      </c>
      <c r="D3819" s="340" t="str">
        <f>VLOOKUP(C3819,Plan!A$1:B$65542,2,0)</f>
        <v>Disponible Administración</v>
      </c>
      <c r="E3819" s="341">
        <f>+F3819-G3819</f>
        <v>10000</v>
      </c>
      <c r="F3819" s="396">
        <v>10000</v>
      </c>
      <c r="G3819" s="396">
        <v>0</v>
      </c>
      <c r="H3819" t="s">
        <v>1519</v>
      </c>
      <c r="I3819" s="347" t="s">
        <v>1303</v>
      </c>
      <c r="K3819" s="370"/>
      <c r="N3819" s="370"/>
    </row>
    <row r="3820" spans="1:14" s="347" customFormat="1" x14ac:dyDescent="0.25">
      <c r="A3820" s="369">
        <f>+A3819</f>
        <v>44389</v>
      </c>
      <c r="B3820" s="347">
        <f>+B3819</f>
        <v>7</v>
      </c>
      <c r="C3820" s="347">
        <v>3110</v>
      </c>
      <c r="D3820" s="340" t="str">
        <f>VLOOKUP(C3820,Plan!A$1:B$65542,2,0)</f>
        <v>Colectas Normales</v>
      </c>
      <c r="E3820" s="396">
        <f>-G3820</f>
        <v>-10000</v>
      </c>
      <c r="F3820" s="396">
        <v>0</v>
      </c>
      <c r="G3820" s="396">
        <f>+F3819</f>
        <v>10000</v>
      </c>
      <c r="H3820" s="347" t="str">
        <f>+H3819</f>
        <v>Colecta Juan Rafael Arnaiz</v>
      </c>
      <c r="I3820" s="347" t="s">
        <v>1303</v>
      </c>
      <c r="K3820" s="370"/>
      <c r="N3820" s="370"/>
    </row>
    <row r="3821" spans="1:14" s="347" customFormat="1" x14ac:dyDescent="0.25">
      <c r="A3821" s="369"/>
      <c r="E3821" s="396"/>
      <c r="F3821" s="396"/>
      <c r="G3821" s="396"/>
      <c r="K3821" s="370"/>
      <c r="N3821" s="370"/>
    </row>
    <row r="3822" spans="1:14" s="347" customFormat="1" x14ac:dyDescent="0.25">
      <c r="A3822" s="369">
        <v>44389</v>
      </c>
      <c r="B3822" s="340">
        <f>+MONTH(A3822)</f>
        <v>7</v>
      </c>
      <c r="C3822" s="347">
        <v>110</v>
      </c>
      <c r="D3822" s="340" t="str">
        <f>VLOOKUP(C3822,Plan!A$1:B$65542,2,0)</f>
        <v>Disponible Administración</v>
      </c>
      <c r="E3822" s="341">
        <f>+F3822-G3822</f>
        <v>10000</v>
      </c>
      <c r="F3822" s="396">
        <v>10000</v>
      </c>
      <c r="G3822" s="396">
        <v>0</v>
      </c>
      <c r="H3822" t="s">
        <v>899</v>
      </c>
      <c r="I3822" s="347" t="s">
        <v>1303</v>
      </c>
      <c r="K3822" s="370"/>
      <c r="N3822" s="370"/>
    </row>
    <row r="3823" spans="1:14" s="347" customFormat="1" x14ac:dyDescent="0.25">
      <c r="A3823" s="369">
        <f>+A3822</f>
        <v>44389</v>
      </c>
      <c r="B3823" s="347">
        <f>+B3822</f>
        <v>7</v>
      </c>
      <c r="C3823" s="347">
        <v>3110</v>
      </c>
      <c r="D3823" s="340" t="str">
        <f>VLOOKUP(C3823,Plan!A$1:B$65542,2,0)</f>
        <v>Colectas Normales</v>
      </c>
      <c r="E3823" s="396">
        <f>-G3823</f>
        <v>-10000</v>
      </c>
      <c r="F3823" s="396">
        <v>0</v>
      </c>
      <c r="G3823" s="396">
        <f>+F3822</f>
        <v>10000</v>
      </c>
      <c r="H3823" s="347" t="str">
        <f>+H3822</f>
        <v>Colecta Carlos Anwandter</v>
      </c>
      <c r="I3823" s="347" t="s">
        <v>1303</v>
      </c>
      <c r="K3823" s="370"/>
      <c r="N3823" s="370"/>
    </row>
    <row r="3824" spans="1:14" s="347" customFormat="1" x14ac:dyDescent="0.25">
      <c r="A3824" s="369"/>
      <c r="E3824" s="396"/>
      <c r="F3824" s="396"/>
      <c r="G3824" s="396"/>
      <c r="K3824" s="370"/>
      <c r="N3824" s="370"/>
    </row>
    <row r="3825" spans="1:14" s="347" customFormat="1" x14ac:dyDescent="0.25">
      <c r="A3825" s="369">
        <v>44389</v>
      </c>
      <c r="B3825" s="340">
        <f>+MONTH(A3825)</f>
        <v>7</v>
      </c>
      <c r="C3825" s="347">
        <v>110</v>
      </c>
      <c r="D3825" s="340" t="str">
        <f>VLOOKUP(C3825,Plan!A$1:B$65542,2,0)</f>
        <v>Disponible Administración</v>
      </c>
      <c r="E3825" s="341">
        <f>+F3825-G3825</f>
        <v>2000</v>
      </c>
      <c r="F3825" s="396">
        <v>2000</v>
      </c>
      <c r="G3825" s="396">
        <v>0</v>
      </c>
      <c r="H3825" t="s">
        <v>1216</v>
      </c>
      <c r="I3825" s="347" t="s">
        <v>1303</v>
      </c>
      <c r="K3825" s="370"/>
      <c r="N3825" s="370"/>
    </row>
    <row r="3826" spans="1:14" s="347" customFormat="1" x14ac:dyDescent="0.25">
      <c r="A3826" s="369">
        <f>+A3825</f>
        <v>44389</v>
      </c>
      <c r="B3826" s="347">
        <f>+B3825</f>
        <v>7</v>
      </c>
      <c r="C3826" s="347">
        <v>3110</v>
      </c>
      <c r="D3826" s="340" t="str">
        <f>VLOOKUP(C3826,Plan!A$1:B$65542,2,0)</f>
        <v>Colectas Normales</v>
      </c>
      <c r="E3826" s="396">
        <f>-G3826</f>
        <v>-2000</v>
      </c>
      <c r="F3826" s="396">
        <v>0</v>
      </c>
      <c r="G3826" s="396">
        <f>+F3825</f>
        <v>2000</v>
      </c>
      <c r="H3826" s="347" t="str">
        <f>+H3825</f>
        <v>Colecta Trinidad Barriga Cruzat</v>
      </c>
      <c r="I3826" s="347" t="s">
        <v>1303</v>
      </c>
      <c r="K3826" s="370"/>
      <c r="N3826" s="370"/>
    </row>
    <row r="3827" spans="1:14" s="347" customFormat="1" x14ac:dyDescent="0.25">
      <c r="A3827" s="369"/>
      <c r="E3827" s="396"/>
      <c r="F3827" s="396"/>
      <c r="G3827" s="396"/>
      <c r="K3827" s="370"/>
      <c r="N3827" s="370"/>
    </row>
    <row r="3828" spans="1:14" s="347" customFormat="1" x14ac:dyDescent="0.25">
      <c r="A3828" s="369">
        <v>44389</v>
      </c>
      <c r="B3828" s="340">
        <f>+MONTH(A3828)</f>
        <v>7</v>
      </c>
      <c r="C3828" s="347">
        <v>110</v>
      </c>
      <c r="D3828" s="340" t="str">
        <f>VLOOKUP(C3828,Plan!A$1:B$65542,2,0)</f>
        <v>Disponible Administración</v>
      </c>
      <c r="E3828" s="341">
        <f>+F3828-G3828</f>
        <v>20000</v>
      </c>
      <c r="F3828" s="396">
        <v>20000</v>
      </c>
      <c r="G3828" s="396">
        <v>0</v>
      </c>
      <c r="H3828" t="s">
        <v>1656</v>
      </c>
      <c r="I3828" s="347" t="s">
        <v>1303</v>
      </c>
      <c r="K3828" s="370"/>
      <c r="N3828" s="370"/>
    </row>
    <row r="3829" spans="1:14" s="347" customFormat="1" x14ac:dyDescent="0.25">
      <c r="A3829" s="369">
        <f>+A3828</f>
        <v>44389</v>
      </c>
      <c r="B3829" s="347">
        <f>+B3828</f>
        <v>7</v>
      </c>
      <c r="C3829" s="347">
        <v>3450</v>
      </c>
      <c r="D3829" s="340" t="str">
        <f>VLOOKUP(C3829,Plan!A$1:B$65542,2,0)</f>
        <v>Pastoral Social</v>
      </c>
      <c r="E3829" s="396">
        <f>-G3829</f>
        <v>-20000</v>
      </c>
      <c r="F3829" s="396">
        <v>0</v>
      </c>
      <c r="G3829" s="396">
        <f>+F3828</f>
        <v>20000</v>
      </c>
      <c r="H3829" s="347" t="str">
        <f>+H3828</f>
        <v>Canastas Sofia Vives Ekdahl</v>
      </c>
      <c r="I3829" s="347" t="s">
        <v>1303</v>
      </c>
      <c r="K3829" s="370"/>
      <c r="N3829" s="370"/>
    </row>
    <row r="3830" spans="1:14" s="347" customFormat="1" x14ac:dyDescent="0.25">
      <c r="A3830" s="369"/>
      <c r="E3830" s="396"/>
      <c r="F3830" s="396"/>
      <c r="G3830" s="396"/>
      <c r="K3830" s="370"/>
      <c r="N3830" s="370"/>
    </row>
    <row r="3831" spans="1:14" s="347" customFormat="1" x14ac:dyDescent="0.25">
      <c r="A3831" s="369">
        <v>44389</v>
      </c>
      <c r="B3831" s="340">
        <f>+MONTH(A3831)</f>
        <v>7</v>
      </c>
      <c r="C3831" s="347">
        <v>110</v>
      </c>
      <c r="D3831" s="340" t="str">
        <f>VLOOKUP(C3831,Plan!A$1:B$65542,2,0)</f>
        <v>Disponible Administración</v>
      </c>
      <c r="E3831" s="341">
        <f>+F3831-G3831</f>
        <v>248400</v>
      </c>
      <c r="F3831" s="396">
        <v>248400</v>
      </c>
      <c r="G3831" s="396">
        <v>0</v>
      </c>
      <c r="H3831" t="s">
        <v>1410</v>
      </c>
      <c r="I3831" s="347" t="s">
        <v>1303</v>
      </c>
      <c r="K3831" s="370"/>
      <c r="N3831" s="370"/>
    </row>
    <row r="3832" spans="1:14" s="347" customFormat="1" x14ac:dyDescent="0.25">
      <c r="A3832" s="369">
        <f>+A3831</f>
        <v>44389</v>
      </c>
      <c r="B3832" s="347">
        <f>+B3831</f>
        <v>7</v>
      </c>
      <c r="C3832" s="347">
        <v>3110</v>
      </c>
      <c r="D3832" s="340" t="str">
        <f>VLOOKUP(C3832,Plan!A$1:B$65542,2,0)</f>
        <v>Colectas Normales</v>
      </c>
      <c r="E3832" s="396">
        <f>-G3832</f>
        <v>-248400</v>
      </c>
      <c r="F3832" s="396">
        <v>0</v>
      </c>
      <c r="G3832" s="396">
        <f>+F3831</f>
        <v>248400</v>
      </c>
      <c r="H3832" s="347" t="str">
        <f>+H3831</f>
        <v>Colecta Col. Cordillera</v>
      </c>
      <c r="I3832" s="347" t="s">
        <v>1303</v>
      </c>
      <c r="K3832" s="370"/>
      <c r="N3832" s="370"/>
    </row>
    <row r="3833" spans="1:14" s="347" customFormat="1" x14ac:dyDescent="0.25">
      <c r="A3833" s="369"/>
      <c r="E3833" s="396"/>
      <c r="F3833" s="396"/>
      <c r="G3833" s="396"/>
      <c r="K3833" s="370"/>
      <c r="N3833" s="370"/>
    </row>
    <row r="3834" spans="1:14" s="347" customFormat="1" x14ac:dyDescent="0.25">
      <c r="A3834" s="369">
        <v>44390</v>
      </c>
      <c r="B3834" s="340">
        <f>+MONTH(A3834)</f>
        <v>7</v>
      </c>
      <c r="C3834" s="347">
        <v>110</v>
      </c>
      <c r="D3834" s="340" t="str">
        <f>VLOOKUP(C3834,Plan!A$1:B$65542,2,0)</f>
        <v>Disponible Administración</v>
      </c>
      <c r="E3834" s="341">
        <f>+F3834-G3834</f>
        <v>10000</v>
      </c>
      <c r="F3834" s="396">
        <v>10000</v>
      </c>
      <c r="G3834" s="396">
        <v>0</v>
      </c>
      <c r="H3834" t="s">
        <v>1151</v>
      </c>
      <c r="I3834" s="347" t="s">
        <v>1303</v>
      </c>
      <c r="K3834" s="370"/>
      <c r="N3834" s="370"/>
    </row>
    <row r="3835" spans="1:14" s="347" customFormat="1" x14ac:dyDescent="0.25">
      <c r="A3835" s="369">
        <f>+A3834</f>
        <v>44390</v>
      </c>
      <c r="B3835" s="347">
        <f>+B3834</f>
        <v>7</v>
      </c>
      <c r="C3835" s="347">
        <v>3110</v>
      </c>
      <c r="D3835" s="340" t="str">
        <f>VLOOKUP(C3835,Plan!A$1:B$65542,2,0)</f>
        <v>Colectas Normales</v>
      </c>
      <c r="E3835" s="396">
        <f>-G3835</f>
        <v>-10000</v>
      </c>
      <c r="F3835" s="396">
        <v>0</v>
      </c>
      <c r="G3835" s="396">
        <f>+F3834</f>
        <v>10000</v>
      </c>
      <c r="H3835" s="347" t="str">
        <f>+H3834</f>
        <v>Colecta Eduardo Boys M</v>
      </c>
      <c r="I3835" s="347" t="s">
        <v>1303</v>
      </c>
      <c r="K3835" s="370"/>
      <c r="N3835" s="370"/>
    </row>
    <row r="3836" spans="1:14" s="347" customFormat="1" x14ac:dyDescent="0.25">
      <c r="A3836" s="369"/>
      <c r="E3836" s="396"/>
      <c r="F3836" s="396"/>
      <c r="G3836" s="396"/>
      <c r="K3836" s="370"/>
      <c r="N3836" s="370"/>
    </row>
    <row r="3837" spans="1:14" s="347" customFormat="1" x14ac:dyDescent="0.25">
      <c r="A3837" s="369">
        <v>44390</v>
      </c>
      <c r="B3837" s="340">
        <f>+MONTH(A3837)</f>
        <v>7</v>
      </c>
      <c r="C3837" s="347">
        <v>110</v>
      </c>
      <c r="D3837" s="340" t="str">
        <f>VLOOKUP(C3837,Plan!A$1:B$65542,2,0)</f>
        <v>Disponible Administración</v>
      </c>
      <c r="E3837" s="341">
        <f>+F3837-G3837</f>
        <v>20000</v>
      </c>
      <c r="F3837" s="396">
        <v>20000</v>
      </c>
      <c r="G3837" s="396">
        <v>0</v>
      </c>
      <c r="H3837" t="s">
        <v>1657</v>
      </c>
      <c r="I3837" s="347" t="s">
        <v>1303</v>
      </c>
      <c r="K3837" s="370"/>
      <c r="N3837" s="370"/>
    </row>
    <row r="3838" spans="1:14" s="347" customFormat="1" x14ac:dyDescent="0.25">
      <c r="A3838" s="369">
        <f>+A3837</f>
        <v>44390</v>
      </c>
      <c r="B3838" s="347">
        <f>+B3837</f>
        <v>7</v>
      </c>
      <c r="C3838" s="347">
        <v>3110</v>
      </c>
      <c r="D3838" s="340" t="str">
        <f>VLOOKUP(C3838,Plan!A$1:B$65542,2,0)</f>
        <v>Colectas Normales</v>
      </c>
      <c r="E3838" s="396">
        <f>-G3838</f>
        <v>-20000</v>
      </c>
      <c r="F3838" s="396">
        <v>0</v>
      </c>
      <c r="G3838" s="396">
        <f>+F3837</f>
        <v>20000</v>
      </c>
      <c r="H3838" s="347" t="str">
        <f>+H3837</f>
        <v>Colecta Tomas Arsenio Alcalde Herrera</v>
      </c>
      <c r="I3838" s="347" t="s">
        <v>1303</v>
      </c>
      <c r="K3838" s="370"/>
      <c r="N3838" s="370"/>
    </row>
    <row r="3839" spans="1:14" s="347" customFormat="1" x14ac:dyDescent="0.25">
      <c r="A3839" s="369"/>
      <c r="E3839" s="396"/>
      <c r="F3839" s="396"/>
      <c r="G3839" s="396"/>
      <c r="K3839" s="370"/>
      <c r="N3839" s="370"/>
    </row>
    <row r="3840" spans="1:14" s="347" customFormat="1" x14ac:dyDescent="0.25">
      <c r="A3840" s="369">
        <v>44390</v>
      </c>
      <c r="B3840" s="340">
        <f>+MONTH(A3840)</f>
        <v>7</v>
      </c>
      <c r="C3840" s="347">
        <v>110</v>
      </c>
      <c r="D3840" s="340" t="str">
        <f>VLOOKUP(C3840,Plan!A$1:B$65542,2,0)</f>
        <v>Disponible Administración</v>
      </c>
      <c r="E3840" s="341">
        <f>+F3840-G3840</f>
        <v>12742</v>
      </c>
      <c r="F3840" s="396">
        <v>12742</v>
      </c>
      <c r="G3840" s="396">
        <v>0</v>
      </c>
      <c r="H3840" t="s">
        <v>1338</v>
      </c>
      <c r="I3840" s="347" t="s">
        <v>1303</v>
      </c>
      <c r="K3840" s="370"/>
      <c r="N3840" s="370"/>
    </row>
    <row r="3841" spans="1:14" s="347" customFormat="1" x14ac:dyDescent="0.25">
      <c r="A3841" s="369">
        <f>+A3840</f>
        <v>44390</v>
      </c>
      <c r="B3841" s="347">
        <f>+B3840</f>
        <v>7</v>
      </c>
      <c r="C3841" s="347">
        <v>3340</v>
      </c>
      <c r="D3841" s="340" t="str">
        <f>VLOOKUP(C3841,Plan!A$1:B$65542,2,0)</f>
        <v>Misas</v>
      </c>
      <c r="E3841" s="396">
        <f>-G3841</f>
        <v>-12742</v>
      </c>
      <c r="F3841" s="396">
        <v>0</v>
      </c>
      <c r="G3841" s="396">
        <f>+F3840</f>
        <v>12742</v>
      </c>
      <c r="H3841" s="347" t="str">
        <f>+H3840</f>
        <v>Misa DCT</v>
      </c>
      <c r="I3841" s="347" t="s">
        <v>1303</v>
      </c>
      <c r="K3841" s="370"/>
      <c r="N3841" s="370"/>
    </row>
    <row r="3842" spans="1:14" s="347" customFormat="1" x14ac:dyDescent="0.25">
      <c r="A3842" s="369"/>
      <c r="B3842" s="340"/>
      <c r="D3842" s="340"/>
      <c r="E3842" s="341"/>
      <c r="F3842" s="396"/>
      <c r="G3842" s="396"/>
      <c r="H3842"/>
      <c r="K3842" s="370"/>
      <c r="N3842" s="370"/>
    </row>
    <row r="3843" spans="1:14" s="347" customFormat="1" x14ac:dyDescent="0.25">
      <c r="A3843" s="369">
        <v>44390</v>
      </c>
      <c r="B3843" s="340">
        <f>+MONTH(A3843)</f>
        <v>7</v>
      </c>
      <c r="C3843" s="347">
        <v>110</v>
      </c>
      <c r="D3843" s="340" t="str">
        <f>VLOOKUP(C3843,Plan!A$1:B$65542,2,0)</f>
        <v>Disponible Administración</v>
      </c>
      <c r="E3843" s="341">
        <f>+F3843-G3843</f>
        <v>100000</v>
      </c>
      <c r="F3843" s="396">
        <v>100000</v>
      </c>
      <c r="G3843" s="396">
        <v>0</v>
      </c>
      <c r="H3843" t="s">
        <v>1485</v>
      </c>
      <c r="I3843" s="347" t="s">
        <v>1303</v>
      </c>
      <c r="K3843" s="370"/>
      <c r="N3843" s="370"/>
    </row>
    <row r="3844" spans="1:14" s="347" customFormat="1" x14ac:dyDescent="0.25">
      <c r="A3844" s="369">
        <f>+A3843</f>
        <v>44390</v>
      </c>
      <c r="B3844" s="347">
        <f>+B3843</f>
        <v>7</v>
      </c>
      <c r="C3844" s="347">
        <v>3450</v>
      </c>
      <c r="D3844" s="340" t="str">
        <f>VLOOKUP(C3844,Plan!A$1:B$65542,2,0)</f>
        <v>Pastoral Social</v>
      </c>
      <c r="E3844" s="396">
        <f>-G3844</f>
        <v>-100000</v>
      </c>
      <c r="F3844" s="396">
        <v>0</v>
      </c>
      <c r="G3844" s="396">
        <f>+F3843</f>
        <v>100000</v>
      </c>
      <c r="H3844" s="347" t="str">
        <f>+H3843</f>
        <v>Canastas Raimundo Barros Montaner</v>
      </c>
      <c r="I3844" s="347" t="s">
        <v>1303</v>
      </c>
      <c r="K3844" s="370"/>
      <c r="N3844" s="370"/>
    </row>
    <row r="3845" spans="1:14" s="347" customFormat="1" x14ac:dyDescent="0.25">
      <c r="A3845" s="369"/>
      <c r="E3845" s="396"/>
      <c r="F3845" s="396"/>
      <c r="G3845" s="396"/>
      <c r="K3845" s="370"/>
      <c r="N3845" s="370"/>
    </row>
    <row r="3846" spans="1:14" s="347" customFormat="1" x14ac:dyDescent="0.25">
      <c r="A3846" s="369">
        <v>44391</v>
      </c>
      <c r="B3846" s="340">
        <f>+MONTH(A3846)</f>
        <v>7</v>
      </c>
      <c r="C3846" s="347">
        <v>110</v>
      </c>
      <c r="D3846" s="340" t="str">
        <f>VLOOKUP(C3846,Plan!A$1:B$65542,2,0)</f>
        <v>Disponible Administración</v>
      </c>
      <c r="E3846" s="341">
        <f>+F3846-G3846</f>
        <v>40000</v>
      </c>
      <c r="F3846" s="396">
        <v>40000</v>
      </c>
      <c r="G3846" s="396">
        <v>0</v>
      </c>
      <c r="H3846" t="s">
        <v>1658</v>
      </c>
      <c r="I3846" s="347" t="s">
        <v>1303</v>
      </c>
      <c r="K3846" s="370"/>
      <c r="N3846" s="370"/>
    </row>
    <row r="3847" spans="1:14" s="347" customFormat="1" x14ac:dyDescent="0.25">
      <c r="A3847" s="369">
        <f>+A3846</f>
        <v>44391</v>
      </c>
      <c r="B3847" s="347">
        <f>+B3846</f>
        <v>7</v>
      </c>
      <c r="C3847" s="347">
        <v>3450</v>
      </c>
      <c r="D3847" s="340" t="str">
        <f>VLOOKUP(C3847,Plan!A$1:B$65542,2,0)</f>
        <v>Pastoral Social</v>
      </c>
      <c r="E3847" s="396">
        <f>-G3847</f>
        <v>-40000</v>
      </c>
      <c r="F3847" s="396">
        <v>0</v>
      </c>
      <c r="G3847" s="396">
        <f>+F3846</f>
        <v>40000</v>
      </c>
      <c r="H3847" s="347" t="str">
        <f>+H3846</f>
        <v>Canastas Veronica Aurora Ballician Astorga</v>
      </c>
      <c r="I3847" s="347" t="s">
        <v>1303</v>
      </c>
      <c r="K3847" s="370"/>
      <c r="N3847" s="370"/>
    </row>
    <row r="3848" spans="1:14" s="347" customFormat="1" x14ac:dyDescent="0.25">
      <c r="A3848" s="369"/>
      <c r="E3848" s="396"/>
      <c r="F3848" s="396"/>
      <c r="G3848" s="396"/>
      <c r="K3848" s="370"/>
      <c r="N3848" s="370"/>
    </row>
    <row r="3849" spans="1:14" s="347" customFormat="1" x14ac:dyDescent="0.25">
      <c r="A3849" s="369">
        <v>44392</v>
      </c>
      <c r="B3849" s="340">
        <f>+MONTH(A3849)</f>
        <v>7</v>
      </c>
      <c r="C3849" s="347">
        <v>4223</v>
      </c>
      <c r="D3849" s="340" t="str">
        <f>VLOOKUP(C3849,Plan!A$1:B$65542,2,0)</f>
        <v xml:space="preserve">         Comunicaciones</v>
      </c>
      <c r="E3849" s="341">
        <f>+F3849-G3849</f>
        <v>338983</v>
      </c>
      <c r="F3849" s="396">
        <f>+G3850+G3851</f>
        <v>338983</v>
      </c>
      <c r="G3849" s="396">
        <v>0</v>
      </c>
      <c r="H3849" s="156" t="s">
        <v>1659</v>
      </c>
      <c r="I3849" s="347" t="s">
        <v>1303</v>
      </c>
      <c r="K3849" s="370"/>
      <c r="N3849" s="370"/>
    </row>
    <row r="3850" spans="1:14" s="347" customFormat="1" x14ac:dyDescent="0.25">
      <c r="A3850" s="369">
        <v>44391</v>
      </c>
      <c r="B3850" s="340">
        <f>+MONTH(A3850)</f>
        <v>7</v>
      </c>
      <c r="C3850" s="347">
        <v>223</v>
      </c>
      <c r="D3850" s="340" t="str">
        <f>VLOOKUP(C3850,Plan!A$1:B$65542,2,0)</f>
        <v>Ret. Hon.  e Impto. Unico Administración</v>
      </c>
      <c r="E3850" s="341">
        <f>+F3850-G3850</f>
        <v>-38983</v>
      </c>
      <c r="F3850" s="396">
        <v>0</v>
      </c>
      <c r="G3850" s="396">
        <v>38983</v>
      </c>
      <c r="H3850" s="156" t="s">
        <v>1659</v>
      </c>
      <c r="I3850" s="347" t="s">
        <v>1303</v>
      </c>
      <c r="K3850" s="370"/>
      <c r="N3850" s="370"/>
    </row>
    <row r="3851" spans="1:14" s="347" customFormat="1" x14ac:dyDescent="0.25">
      <c r="A3851" s="369">
        <f>+A3849</f>
        <v>44392</v>
      </c>
      <c r="B3851" s="347">
        <f>+B3849</f>
        <v>7</v>
      </c>
      <c r="C3851" s="347">
        <v>110</v>
      </c>
      <c r="D3851" s="340" t="str">
        <f>VLOOKUP(C3851,Plan!A$1:B$65542,2,0)</f>
        <v>Disponible Administración</v>
      </c>
      <c r="E3851" s="396">
        <f>-G3851</f>
        <v>-300000</v>
      </c>
      <c r="F3851" s="396">
        <v>0</v>
      </c>
      <c r="G3851" s="396">
        <v>300000</v>
      </c>
      <c r="H3851" s="347" t="str">
        <f>+H3849</f>
        <v>Be-29 Maria Ines Jara Lama Junio/2021</v>
      </c>
      <c r="I3851" s="347" t="s">
        <v>1303</v>
      </c>
      <c r="K3851" s="370"/>
      <c r="N3851" s="370"/>
    </row>
    <row r="3852" spans="1:14" s="347" customFormat="1" x14ac:dyDescent="0.25">
      <c r="A3852" s="369"/>
      <c r="E3852" s="396"/>
      <c r="F3852" s="396"/>
      <c r="G3852" s="396"/>
      <c r="K3852" s="370"/>
      <c r="N3852" s="370"/>
    </row>
    <row r="3853" spans="1:14" s="347" customFormat="1" x14ac:dyDescent="0.25">
      <c r="A3853" s="369">
        <v>44392</v>
      </c>
      <c r="B3853" s="340">
        <f>+MONTH(A3853)</f>
        <v>7</v>
      </c>
      <c r="C3853" s="347">
        <v>4223</v>
      </c>
      <c r="D3853" s="340" t="str">
        <f>VLOOKUP(C3853,Plan!A$1:B$65542,2,0)</f>
        <v xml:space="preserve">         Comunicaciones</v>
      </c>
      <c r="E3853" s="341">
        <f>+F3853-G3853</f>
        <v>112994</v>
      </c>
      <c r="F3853" s="396">
        <f>+G3855+G3854</f>
        <v>112994</v>
      </c>
      <c r="G3853" s="396">
        <v>0</v>
      </c>
      <c r="H3853" s="156" t="s">
        <v>1660</v>
      </c>
      <c r="I3853" s="347" t="s">
        <v>1303</v>
      </c>
      <c r="K3853" s="370"/>
      <c r="N3853" s="370"/>
    </row>
    <row r="3854" spans="1:14" s="347" customFormat="1" x14ac:dyDescent="0.25">
      <c r="A3854" s="369">
        <f>+A3853</f>
        <v>44392</v>
      </c>
      <c r="B3854" s="347">
        <f>+B3853</f>
        <v>7</v>
      </c>
      <c r="C3854" s="347">
        <v>223</v>
      </c>
      <c r="D3854" s="340" t="str">
        <f>VLOOKUP(C3854,Plan!A$1:B$65542,2,0)</f>
        <v>Ret. Hon.  e Impto. Unico Administración</v>
      </c>
      <c r="E3854" s="396">
        <f>-G3854</f>
        <v>-12994</v>
      </c>
      <c r="F3854" s="396">
        <v>0</v>
      </c>
      <c r="G3854" s="396">
        <v>12994</v>
      </c>
      <c r="H3854" s="347" t="str">
        <f>+H3853</f>
        <v>Be-4 Diseño Web</v>
      </c>
      <c r="I3854" s="347" t="s">
        <v>1303</v>
      </c>
      <c r="K3854" s="370"/>
      <c r="N3854" s="370"/>
    </row>
    <row r="3855" spans="1:14" s="347" customFormat="1" x14ac:dyDescent="0.25">
      <c r="A3855" s="369">
        <f>+A3853</f>
        <v>44392</v>
      </c>
      <c r="B3855" s="347">
        <f>+B3853</f>
        <v>7</v>
      </c>
      <c r="C3855" s="347">
        <v>110</v>
      </c>
      <c r="D3855" s="340" t="str">
        <f>VLOOKUP(C3855,Plan!A$1:B$65542,2,0)</f>
        <v>Disponible Administración</v>
      </c>
      <c r="E3855" s="396">
        <f>-G3855</f>
        <v>-100000</v>
      </c>
      <c r="F3855" s="396">
        <v>0</v>
      </c>
      <c r="G3855" s="396">
        <v>100000</v>
      </c>
      <c r="H3855" s="347" t="str">
        <f>+H3853</f>
        <v>Be-4 Diseño Web</v>
      </c>
      <c r="I3855" s="347" t="s">
        <v>1303</v>
      </c>
      <c r="K3855" s="370"/>
      <c r="N3855" s="370"/>
    </row>
    <row r="3856" spans="1:14" s="347" customFormat="1" x14ac:dyDescent="0.25">
      <c r="A3856" s="369"/>
      <c r="E3856" s="396"/>
      <c r="F3856" s="396"/>
      <c r="G3856" s="396"/>
      <c r="K3856" s="370"/>
      <c r="N3856" s="370"/>
    </row>
    <row r="3857" spans="1:14" s="347" customFormat="1" x14ac:dyDescent="0.25">
      <c r="A3857" s="369">
        <v>44392</v>
      </c>
      <c r="B3857" s="340">
        <f>+MONTH(A3857)</f>
        <v>7</v>
      </c>
      <c r="C3857" s="347">
        <v>4643</v>
      </c>
      <c r="D3857" s="340" t="str">
        <f>VLOOKUP(C3857,Plan!A$1:B$65542,2,0)</f>
        <v xml:space="preserve">             Otros</v>
      </c>
      <c r="E3857" s="341">
        <f>+F3857-G3857</f>
        <v>280000</v>
      </c>
      <c r="F3857" s="396">
        <f>+G3858+G3859</f>
        <v>280000</v>
      </c>
      <c r="G3857" s="396">
        <v>0</v>
      </c>
      <c r="H3857" s="156" t="s">
        <v>1885</v>
      </c>
      <c r="I3857" s="347" t="s">
        <v>1303</v>
      </c>
      <c r="K3857" s="370"/>
      <c r="N3857" s="370"/>
    </row>
    <row r="3858" spans="1:14" s="347" customFormat="1" x14ac:dyDescent="0.25">
      <c r="A3858" s="369">
        <f>+A3857</f>
        <v>44392</v>
      </c>
      <c r="B3858" s="347">
        <f>+B3857</f>
        <v>7</v>
      </c>
      <c r="C3858" s="347">
        <v>223</v>
      </c>
      <c r="D3858" s="340" t="str">
        <f>VLOOKUP(C3858,Plan!A$1:B$65542,2,0)</f>
        <v>Ret. Hon.  e Impto. Unico Administración</v>
      </c>
      <c r="E3858" s="396">
        <f>-G3858</f>
        <v>-32200</v>
      </c>
      <c r="F3858" s="396">
        <v>0</v>
      </c>
      <c r="G3858" s="396">
        <v>32200</v>
      </c>
      <c r="H3858" s="347" t="str">
        <f>+H3857</f>
        <v>BTe-110 Gastos Dorlly Cardenas Lindarte</v>
      </c>
      <c r="I3858" s="347" t="s">
        <v>1303</v>
      </c>
      <c r="K3858" s="370"/>
      <c r="N3858" s="370"/>
    </row>
    <row r="3859" spans="1:14" s="347" customFormat="1" x14ac:dyDescent="0.25">
      <c r="A3859" s="369">
        <f>+A3857</f>
        <v>44392</v>
      </c>
      <c r="B3859" s="347">
        <f>+B3857</f>
        <v>7</v>
      </c>
      <c r="C3859" s="347">
        <v>110</v>
      </c>
      <c r="D3859" s="340" t="str">
        <f>VLOOKUP(C3859,Plan!A$1:B$65542,2,0)</f>
        <v>Disponible Administración</v>
      </c>
      <c r="E3859" s="396">
        <f>-G3859</f>
        <v>-247800</v>
      </c>
      <c r="F3859" s="396">
        <v>0</v>
      </c>
      <c r="G3859" s="396">
        <v>247800</v>
      </c>
      <c r="H3859" s="347" t="str">
        <f>+H3857</f>
        <v>BTe-110 Gastos Dorlly Cardenas Lindarte</v>
      </c>
      <c r="I3859" s="347" t="s">
        <v>1303</v>
      </c>
      <c r="K3859" s="370"/>
      <c r="N3859" s="370"/>
    </row>
    <row r="3860" spans="1:14" s="347" customFormat="1" x14ac:dyDescent="0.25">
      <c r="A3860" s="369"/>
      <c r="E3860" s="396"/>
      <c r="F3860" s="396"/>
      <c r="G3860" s="396"/>
      <c r="K3860" s="370"/>
      <c r="N3860" s="370"/>
    </row>
    <row r="3861" spans="1:14" s="347" customFormat="1" x14ac:dyDescent="0.25">
      <c r="A3861" s="369">
        <v>44392</v>
      </c>
      <c r="B3861" s="340">
        <f>+MONTH(A3861)</f>
        <v>7</v>
      </c>
      <c r="C3861" s="347">
        <v>4340</v>
      </c>
      <c r="D3861" s="340" t="str">
        <f>VLOOKUP(C3861,Plan!A$1:B$65542,2,0)</f>
        <v>Caja Chica</v>
      </c>
      <c r="E3861" s="341">
        <f>+F3861-G3861</f>
        <v>241768</v>
      </c>
      <c r="F3861" s="396">
        <v>241768</v>
      </c>
      <c r="G3861" s="396">
        <v>0</v>
      </c>
      <c r="H3861" s="156" t="s">
        <v>1661</v>
      </c>
      <c r="I3861" s="347" t="s">
        <v>1303</v>
      </c>
      <c r="K3861" s="370"/>
      <c r="N3861" s="370"/>
    </row>
    <row r="3862" spans="1:14" s="347" customFormat="1" x14ac:dyDescent="0.25">
      <c r="A3862" s="369">
        <f>+A3861</f>
        <v>44392</v>
      </c>
      <c r="B3862" s="347">
        <f>+B3861</f>
        <v>7</v>
      </c>
      <c r="C3862" s="347">
        <v>110</v>
      </c>
      <c r="D3862" s="340" t="str">
        <f>VLOOKUP(C3862,Plan!A$1:B$65542,2,0)</f>
        <v>Disponible Administración</v>
      </c>
      <c r="E3862" s="396">
        <f>-G3862</f>
        <v>-241768</v>
      </c>
      <c r="F3862" s="396">
        <v>0</v>
      </c>
      <c r="G3862" s="396">
        <f>+F3861</f>
        <v>241768</v>
      </c>
      <c r="H3862" s="347" t="str">
        <f>+H3861</f>
        <v>Rend. Caja Chica Abr-Jul Veronica Arriagada Soto</v>
      </c>
      <c r="I3862" s="347" t="s">
        <v>1303</v>
      </c>
      <c r="K3862" s="370"/>
      <c r="N3862" s="370"/>
    </row>
    <row r="3863" spans="1:14" s="347" customFormat="1" x14ac:dyDescent="0.25">
      <c r="A3863" s="369"/>
      <c r="E3863" s="396"/>
      <c r="F3863" s="396"/>
      <c r="G3863" s="396"/>
      <c r="K3863" s="370"/>
      <c r="N3863" s="370"/>
    </row>
    <row r="3864" spans="1:14" s="347" customFormat="1" x14ac:dyDescent="0.25">
      <c r="A3864" s="369">
        <v>44392</v>
      </c>
      <c r="B3864" s="340">
        <f>+MONTH(A3864)</f>
        <v>7</v>
      </c>
      <c r="C3864" s="347">
        <v>3360</v>
      </c>
      <c r="D3864" s="340" t="str">
        <f>VLOOKUP(C3864,Plan!A$1:B$65542,2,0)</f>
        <v>Otros</v>
      </c>
      <c r="E3864" s="341">
        <f>+F3864-G3864</f>
        <v>355000</v>
      </c>
      <c r="F3864" s="396">
        <v>355000</v>
      </c>
      <c r="G3864" s="396">
        <v>0</v>
      </c>
      <c r="H3864" s="156" t="s">
        <v>1662</v>
      </c>
      <c r="I3864" s="347" t="s">
        <v>1303</v>
      </c>
      <c r="K3864" s="370"/>
      <c r="N3864" s="370"/>
    </row>
    <row r="3865" spans="1:14" s="347" customFormat="1" x14ac:dyDescent="0.25">
      <c r="A3865" s="369">
        <f>+A3864</f>
        <v>44392</v>
      </c>
      <c r="B3865" s="347">
        <f>+B3864</f>
        <v>7</v>
      </c>
      <c r="C3865" s="347">
        <v>110</v>
      </c>
      <c r="D3865" s="340" t="str">
        <f>VLOOKUP(C3865,Plan!A$1:B$65542,2,0)</f>
        <v>Disponible Administración</v>
      </c>
      <c r="E3865" s="396">
        <f>-G3865</f>
        <v>-355000</v>
      </c>
      <c r="F3865" s="396">
        <v>0</v>
      </c>
      <c r="G3865" s="396">
        <f>+F3864</f>
        <v>355000</v>
      </c>
      <c r="H3865" s="347" t="str">
        <f>+H3864</f>
        <v>Devolucion Transf. Fco Guimpert</v>
      </c>
      <c r="I3865" s="347" t="s">
        <v>1303</v>
      </c>
      <c r="K3865" s="370"/>
      <c r="N3865" s="370"/>
    </row>
    <row r="3866" spans="1:14" s="347" customFormat="1" x14ac:dyDescent="0.25">
      <c r="A3866" s="369"/>
      <c r="E3866" s="396"/>
      <c r="F3866" s="396"/>
      <c r="G3866" s="396"/>
      <c r="K3866" s="370"/>
      <c r="N3866" s="370"/>
    </row>
    <row r="3867" spans="1:14" s="347" customFormat="1" x14ac:dyDescent="0.25">
      <c r="A3867" s="369">
        <v>44392</v>
      </c>
      <c r="B3867" s="340">
        <f>+MONTH(A3867)</f>
        <v>7</v>
      </c>
      <c r="C3867" s="358">
        <v>4326</v>
      </c>
      <c r="D3867" s="340" t="str">
        <f>VLOOKUP(C3867,Plan!A$1:B$65542,2,0)</f>
        <v>Seguros</v>
      </c>
      <c r="E3867" s="341">
        <f>+F3867-G3867</f>
        <v>38173</v>
      </c>
      <c r="F3867" s="396">
        <v>38173</v>
      </c>
      <c r="G3867" s="396">
        <v>0</v>
      </c>
      <c r="H3867" s="156" t="s">
        <v>1663</v>
      </c>
      <c r="I3867" s="347" t="s">
        <v>1303</v>
      </c>
      <c r="K3867" s="370"/>
      <c r="N3867" s="370"/>
    </row>
    <row r="3868" spans="1:14" s="347" customFormat="1" x14ac:dyDescent="0.25">
      <c r="A3868" s="369">
        <f>+A3867</f>
        <v>44392</v>
      </c>
      <c r="B3868" s="347">
        <f>+B3867</f>
        <v>7</v>
      </c>
      <c r="C3868" s="347">
        <v>110</v>
      </c>
      <c r="D3868" s="340" t="str">
        <f>VLOOKUP(C3868,Plan!A$1:B$65542,2,0)</f>
        <v>Disponible Administración</v>
      </c>
      <c r="E3868" s="396">
        <f>-G3868</f>
        <v>-38173</v>
      </c>
      <c r="F3868" s="396">
        <v>0</v>
      </c>
      <c r="G3868" s="396">
        <f>+F3867</f>
        <v>38173</v>
      </c>
      <c r="H3868" s="347" t="str">
        <f>+H3867</f>
        <v>Rend. Compra seguro Covid EE.</v>
      </c>
      <c r="I3868" s="347" t="s">
        <v>1303</v>
      </c>
      <c r="K3868" s="370"/>
      <c r="N3868" s="370"/>
    </row>
    <row r="3869" spans="1:14" s="347" customFormat="1" x14ac:dyDescent="0.25">
      <c r="A3869" s="369"/>
      <c r="E3869" s="396"/>
      <c r="F3869" s="396"/>
      <c r="G3869" s="396"/>
      <c r="K3869" s="370"/>
      <c r="N3869" s="370"/>
    </row>
    <row r="3870" spans="1:14" s="347" customFormat="1" x14ac:dyDescent="0.25">
      <c r="A3870" s="369">
        <v>44392</v>
      </c>
      <c r="B3870" s="340">
        <f>+MONTH(A3870)</f>
        <v>7</v>
      </c>
      <c r="C3870" s="347">
        <v>110</v>
      </c>
      <c r="D3870" s="340" t="str">
        <f>VLOOKUP(C3870,Plan!A$1:B$65542,2,0)</f>
        <v>Disponible Administración</v>
      </c>
      <c r="E3870" s="341">
        <f>+F3870-G3870</f>
        <v>100000</v>
      </c>
      <c r="F3870" s="396">
        <v>100000</v>
      </c>
      <c r="G3870" s="396">
        <v>0</v>
      </c>
      <c r="H3870" s="156" t="s">
        <v>1476</v>
      </c>
      <c r="I3870" s="347" t="s">
        <v>1303</v>
      </c>
      <c r="K3870" s="370"/>
      <c r="N3870" s="370"/>
    </row>
    <row r="3871" spans="1:14" s="347" customFormat="1" x14ac:dyDescent="0.25">
      <c r="A3871" s="369">
        <f>+A3870</f>
        <v>44392</v>
      </c>
      <c r="B3871" s="347">
        <f>+B3870</f>
        <v>7</v>
      </c>
      <c r="C3871" s="347">
        <v>3450</v>
      </c>
      <c r="D3871" s="340" t="str">
        <f>VLOOKUP(C3871,Plan!A$1:B$65542,2,0)</f>
        <v>Pastoral Social</v>
      </c>
      <c r="E3871" s="396">
        <f>-G3871</f>
        <v>-100000</v>
      </c>
      <c r="F3871" s="396">
        <v>0</v>
      </c>
      <c r="G3871" s="396">
        <f>+F3870</f>
        <v>100000</v>
      </c>
      <c r="H3871" s="347" t="str">
        <f>+H3870</f>
        <v>Canastas Ana Maria Alvarez T</v>
      </c>
      <c r="I3871" s="347" t="s">
        <v>1303</v>
      </c>
      <c r="K3871" s="370"/>
      <c r="N3871" s="370"/>
    </row>
    <row r="3872" spans="1:14" s="347" customFormat="1" x14ac:dyDescent="0.25">
      <c r="A3872" s="369"/>
      <c r="E3872" s="396"/>
      <c r="F3872" s="396"/>
      <c r="G3872" s="396"/>
      <c r="K3872" s="370"/>
      <c r="N3872" s="370"/>
    </row>
    <row r="3873" spans="1:14" s="347" customFormat="1" x14ac:dyDescent="0.25">
      <c r="A3873" s="369">
        <v>44392</v>
      </c>
      <c r="B3873" s="340">
        <f>+MONTH(A3873)</f>
        <v>7</v>
      </c>
      <c r="C3873" s="347">
        <v>4325</v>
      </c>
      <c r="D3873" s="340" t="str">
        <f>VLOOKUP(C3873,Plan!A$1:B$65542,2,0)</f>
        <v>Alarma (ADT)</v>
      </c>
      <c r="E3873" s="341">
        <f>+F3873-G3873</f>
        <v>43381</v>
      </c>
      <c r="F3873" s="396">
        <v>43381</v>
      </c>
      <c r="G3873" s="396">
        <v>0</v>
      </c>
      <c r="H3873" s="156" t="s">
        <v>1664</v>
      </c>
      <c r="I3873" s="347" t="s">
        <v>1303</v>
      </c>
      <c r="K3873" s="370"/>
      <c r="N3873" s="370"/>
    </row>
    <row r="3874" spans="1:14" s="347" customFormat="1" x14ac:dyDescent="0.25">
      <c r="A3874" s="369">
        <f>+A3873</f>
        <v>44392</v>
      </c>
      <c r="B3874" s="347">
        <f>+B3873</f>
        <v>7</v>
      </c>
      <c r="C3874" s="347">
        <v>110</v>
      </c>
      <c r="D3874" s="340" t="str">
        <f>VLOOKUP(C3874,Plan!A$1:B$65542,2,0)</f>
        <v>Disponible Administración</v>
      </c>
      <c r="E3874" s="396">
        <f>-G3874</f>
        <v>-43381</v>
      </c>
      <c r="F3874" s="396">
        <v>0</v>
      </c>
      <c r="G3874" s="396">
        <f>+F3873</f>
        <v>43381</v>
      </c>
      <c r="H3874" s="347" t="str">
        <f>+H3873</f>
        <v>PAC ADT OFICINA</v>
      </c>
      <c r="I3874" s="347" t="s">
        <v>1303</v>
      </c>
      <c r="K3874" s="370"/>
      <c r="N3874" s="370"/>
    </row>
    <row r="3875" spans="1:14" s="347" customFormat="1" x14ac:dyDescent="0.25">
      <c r="A3875" s="369"/>
      <c r="E3875" s="396"/>
      <c r="F3875" s="396"/>
      <c r="G3875" s="396"/>
      <c r="K3875" s="370"/>
      <c r="N3875" s="370"/>
    </row>
    <row r="3876" spans="1:14" s="347" customFormat="1" x14ac:dyDescent="0.25">
      <c r="A3876" s="369">
        <v>44392</v>
      </c>
      <c r="B3876" s="340">
        <f>+MONTH(A3876)</f>
        <v>7</v>
      </c>
      <c r="C3876" s="347">
        <v>4323</v>
      </c>
      <c r="D3876" s="340" t="str">
        <f>VLOOKUP(C3876,Plan!A$1:B$65542,2,0)</f>
        <v>Telefonía, Internet (VTR, Entel)</v>
      </c>
      <c r="E3876" s="341">
        <f>+F3876-G3876</f>
        <v>20990</v>
      </c>
      <c r="F3876" s="396">
        <v>20990</v>
      </c>
      <c r="G3876" s="396">
        <v>0</v>
      </c>
      <c r="H3876" s="156" t="s">
        <v>1359</v>
      </c>
      <c r="I3876" s="347" t="s">
        <v>1303</v>
      </c>
      <c r="K3876" s="370"/>
      <c r="N3876" s="370"/>
    </row>
    <row r="3877" spans="1:14" s="347" customFormat="1" x14ac:dyDescent="0.25">
      <c r="A3877" s="369">
        <f>+A3876</f>
        <v>44392</v>
      </c>
      <c r="B3877" s="347">
        <f>+B3876</f>
        <v>7</v>
      </c>
      <c r="C3877" s="347">
        <v>110</v>
      </c>
      <c r="D3877" s="340" t="str">
        <f>VLOOKUP(C3877,Plan!A$1:B$65542,2,0)</f>
        <v>Disponible Administración</v>
      </c>
      <c r="E3877" s="396">
        <f>-G3877</f>
        <v>-20990</v>
      </c>
      <c r="F3877" s="396">
        <v>0</v>
      </c>
      <c r="G3877" s="396">
        <f>+F3876</f>
        <v>20990</v>
      </c>
      <c r="H3877" s="347" t="str">
        <f>+H3876</f>
        <v>PAC ENTEL OFICINA</v>
      </c>
      <c r="I3877" s="347" t="s">
        <v>1303</v>
      </c>
      <c r="K3877" s="370"/>
      <c r="N3877" s="370"/>
    </row>
    <row r="3878" spans="1:14" s="347" customFormat="1" x14ac:dyDescent="0.25">
      <c r="A3878" s="369"/>
      <c r="E3878" s="396"/>
      <c r="F3878" s="396"/>
      <c r="G3878" s="396"/>
      <c r="K3878" s="370"/>
      <c r="N3878" s="370"/>
    </row>
    <row r="3879" spans="1:14" s="347" customFormat="1" x14ac:dyDescent="0.25">
      <c r="A3879" s="369">
        <v>44392</v>
      </c>
      <c r="B3879" s="340">
        <f>+MONTH(A3879)</f>
        <v>7</v>
      </c>
      <c r="C3879" s="347">
        <v>110</v>
      </c>
      <c r="D3879" s="340" t="str">
        <f>VLOOKUP(C3879,Plan!A$1:B$65542,2,0)</f>
        <v>Disponible Administración</v>
      </c>
      <c r="E3879" s="341">
        <f>+F3879-G3879</f>
        <v>66000</v>
      </c>
      <c r="F3879" s="396">
        <v>66000</v>
      </c>
      <c r="G3879" s="396">
        <v>0</v>
      </c>
      <c r="H3879" s="156" t="s">
        <v>1665</v>
      </c>
      <c r="I3879" s="347" t="s">
        <v>1303</v>
      </c>
      <c r="K3879" s="370"/>
      <c r="N3879" s="370"/>
    </row>
    <row r="3880" spans="1:14" s="347" customFormat="1" x14ac:dyDescent="0.25">
      <c r="A3880" s="369">
        <f>+A3879</f>
        <v>44392</v>
      </c>
      <c r="B3880" s="347">
        <f>+B3879</f>
        <v>7</v>
      </c>
      <c r="C3880" s="347">
        <v>3110</v>
      </c>
      <c r="D3880" s="340" t="str">
        <f>VLOOKUP(C3880,Plan!A$1:B$65542,2,0)</f>
        <v>Colectas Normales</v>
      </c>
      <c r="E3880" s="396">
        <f>-G3880</f>
        <v>-66000</v>
      </c>
      <c r="F3880" s="396">
        <v>0</v>
      </c>
      <c r="G3880" s="396">
        <f>+F3879</f>
        <v>66000</v>
      </c>
      <c r="H3880" s="347" t="str">
        <f>+H3879</f>
        <v>COLECTA COL. CORDILLERA</v>
      </c>
      <c r="I3880" s="347" t="s">
        <v>1303</v>
      </c>
      <c r="K3880" s="370"/>
      <c r="N3880" s="370"/>
    </row>
    <row r="3881" spans="1:14" s="347" customFormat="1" x14ac:dyDescent="0.25">
      <c r="A3881" s="369"/>
      <c r="E3881" s="396"/>
      <c r="F3881" s="396"/>
      <c r="G3881" s="396"/>
      <c r="K3881" s="370"/>
      <c r="N3881" s="370"/>
    </row>
    <row r="3882" spans="1:14" s="347" customFormat="1" x14ac:dyDescent="0.25">
      <c r="A3882" s="369">
        <v>44392</v>
      </c>
      <c r="B3882" s="340">
        <f>+MONTH(A3882)</f>
        <v>7</v>
      </c>
      <c r="C3882" s="347">
        <v>110</v>
      </c>
      <c r="D3882" s="340" t="str">
        <f>VLOOKUP(C3882,Plan!A$1:B$65542,2,0)</f>
        <v>Disponible Administración</v>
      </c>
      <c r="E3882" s="341">
        <f>+F3882-G3882</f>
        <v>40000</v>
      </c>
      <c r="F3882" s="396">
        <v>40000</v>
      </c>
      <c r="G3882" s="396">
        <v>0</v>
      </c>
      <c r="H3882" s="156" t="s">
        <v>1666</v>
      </c>
      <c r="I3882" s="347" t="s">
        <v>1303</v>
      </c>
      <c r="K3882" s="370"/>
      <c r="N3882" s="370"/>
    </row>
    <row r="3883" spans="1:14" s="347" customFormat="1" x14ac:dyDescent="0.25">
      <c r="A3883" s="369">
        <f>+A3882</f>
        <v>44392</v>
      </c>
      <c r="B3883" s="347">
        <f>+B3882</f>
        <v>7</v>
      </c>
      <c r="C3883" s="347">
        <v>3350</v>
      </c>
      <c r="D3883" s="340" t="str">
        <f>VLOOKUP(C3883,Plan!A$1:B$65542,2,0)</f>
        <v>Bautizos</v>
      </c>
      <c r="E3883" s="396">
        <f>-G3883</f>
        <v>-40000</v>
      </c>
      <c r="F3883" s="396">
        <v>0</v>
      </c>
      <c r="G3883" s="396">
        <f>+F3882</f>
        <v>40000</v>
      </c>
      <c r="H3883" s="347" t="str">
        <f>+H3882</f>
        <v>Bautizo Anne Marie Dufeau</v>
      </c>
      <c r="I3883" s="347" t="s">
        <v>1303</v>
      </c>
      <c r="K3883" s="370"/>
      <c r="N3883" s="370"/>
    </row>
    <row r="3884" spans="1:14" s="347" customFormat="1" x14ac:dyDescent="0.25">
      <c r="A3884" s="369"/>
      <c r="E3884" s="396"/>
      <c r="F3884" s="396"/>
      <c r="G3884" s="396"/>
      <c r="K3884" s="370"/>
      <c r="N3884" s="370"/>
    </row>
    <row r="3885" spans="1:14" s="347" customFormat="1" x14ac:dyDescent="0.25">
      <c r="A3885" s="369">
        <v>44396</v>
      </c>
      <c r="B3885" s="340">
        <f>+MONTH(A3885)</f>
        <v>7</v>
      </c>
      <c r="C3885" s="347">
        <v>110</v>
      </c>
      <c r="D3885" s="340" t="str">
        <f>VLOOKUP(C3885,Plan!A$1:B$65542,2,0)</f>
        <v>Disponible Administración</v>
      </c>
      <c r="E3885" s="341">
        <f>+F3885-G3885</f>
        <v>30000</v>
      </c>
      <c r="F3885" s="396">
        <v>30000</v>
      </c>
      <c r="G3885" s="396">
        <v>0</v>
      </c>
      <c r="H3885" s="156" t="s">
        <v>1599</v>
      </c>
      <c r="I3885" s="347" t="s">
        <v>1303</v>
      </c>
      <c r="K3885" s="370"/>
      <c r="N3885" s="370"/>
    </row>
    <row r="3886" spans="1:14" s="347" customFormat="1" x14ac:dyDescent="0.25">
      <c r="A3886" s="369">
        <f>+A3885</f>
        <v>44396</v>
      </c>
      <c r="B3886" s="347">
        <f>+B3885</f>
        <v>7</v>
      </c>
      <c r="C3886" s="347">
        <v>3110</v>
      </c>
      <c r="D3886" s="340" t="str">
        <f>VLOOKUP(C3886,Plan!A$1:B$65542,2,0)</f>
        <v>Colectas Normales</v>
      </c>
      <c r="E3886" s="396">
        <f>-G3886</f>
        <v>-30000</v>
      </c>
      <c r="F3886" s="396">
        <v>0</v>
      </c>
      <c r="G3886" s="396">
        <f>+F3885</f>
        <v>30000</v>
      </c>
      <c r="H3886" s="347" t="str">
        <f>+H3885</f>
        <v>Colecta Yolanda Haase Baeza</v>
      </c>
      <c r="I3886" s="347" t="s">
        <v>1303</v>
      </c>
      <c r="K3886" s="370"/>
      <c r="N3886" s="370"/>
    </row>
    <row r="3887" spans="1:14" s="347" customFormat="1" x14ac:dyDescent="0.25">
      <c r="A3887" s="369"/>
      <c r="E3887" s="396"/>
      <c r="F3887" s="396"/>
      <c r="G3887" s="396"/>
      <c r="K3887" s="370"/>
      <c r="N3887" s="370"/>
    </row>
    <row r="3888" spans="1:14" s="347" customFormat="1" x14ac:dyDescent="0.25">
      <c r="A3888" s="369">
        <v>44396</v>
      </c>
      <c r="B3888" s="340">
        <f>+MONTH(A3888)</f>
        <v>7</v>
      </c>
      <c r="C3888" s="347">
        <v>110</v>
      </c>
      <c r="D3888" s="340" t="str">
        <f>VLOOKUP(C3888,Plan!A$1:B$65542,2,0)</f>
        <v>Disponible Administración</v>
      </c>
      <c r="E3888" s="341">
        <f>+F3888-G3888</f>
        <v>30000</v>
      </c>
      <c r="F3888" s="396">
        <v>30000</v>
      </c>
      <c r="G3888" s="396">
        <v>0</v>
      </c>
      <c r="H3888" s="156" t="s">
        <v>1600</v>
      </c>
      <c r="I3888" s="347" t="s">
        <v>1303</v>
      </c>
      <c r="K3888" s="370"/>
      <c r="N3888" s="370"/>
    </row>
    <row r="3889" spans="1:14" s="347" customFormat="1" x14ac:dyDescent="0.25">
      <c r="A3889" s="369">
        <f>+A3888</f>
        <v>44396</v>
      </c>
      <c r="B3889" s="347">
        <f>+B3888</f>
        <v>7</v>
      </c>
      <c r="C3889" s="347">
        <v>3450</v>
      </c>
      <c r="D3889" s="340" t="str">
        <f>VLOOKUP(C3889,Plan!A$1:B$65542,2,0)</f>
        <v>Pastoral Social</v>
      </c>
      <c r="E3889" s="396">
        <f>-G3889</f>
        <v>-30000</v>
      </c>
      <c r="F3889" s="396">
        <v>0</v>
      </c>
      <c r="G3889" s="396">
        <f>+F3888</f>
        <v>30000</v>
      </c>
      <c r="H3889" s="347" t="str">
        <f>+H3888</f>
        <v>Canastas Yolanda Haase Baeza</v>
      </c>
      <c r="I3889" s="347" t="s">
        <v>1303</v>
      </c>
      <c r="K3889" s="370"/>
      <c r="N3889" s="370"/>
    </row>
    <row r="3890" spans="1:14" s="347" customFormat="1" x14ac:dyDescent="0.25">
      <c r="A3890" s="369"/>
      <c r="E3890" s="396"/>
      <c r="F3890" s="396"/>
      <c r="G3890" s="396"/>
      <c r="K3890" s="370"/>
      <c r="N3890" s="370"/>
    </row>
    <row r="3891" spans="1:14" s="347" customFormat="1" x14ac:dyDescent="0.25">
      <c r="A3891" s="369">
        <v>44396</v>
      </c>
      <c r="B3891" s="340">
        <f>+MONTH(A3891)</f>
        <v>7</v>
      </c>
      <c r="C3891" s="347">
        <v>110</v>
      </c>
      <c r="D3891" s="340" t="str">
        <f>VLOOKUP(C3891,Plan!A$1:B$65542,2,0)</f>
        <v>Disponible Administración</v>
      </c>
      <c r="E3891" s="341">
        <f>+F3891-G3891</f>
        <v>30000</v>
      </c>
      <c r="F3891" s="396">
        <v>30000</v>
      </c>
      <c r="G3891" s="396">
        <v>0</v>
      </c>
      <c r="H3891" s="156" t="s">
        <v>675</v>
      </c>
      <c r="I3891" s="347" t="s">
        <v>1303</v>
      </c>
      <c r="K3891" s="370"/>
      <c r="N3891" s="370"/>
    </row>
    <row r="3892" spans="1:14" s="347" customFormat="1" x14ac:dyDescent="0.25">
      <c r="A3892" s="369">
        <f>+A3891</f>
        <v>44396</v>
      </c>
      <c r="B3892" s="347">
        <f>+B3891</f>
        <v>7</v>
      </c>
      <c r="C3892" s="347">
        <v>215</v>
      </c>
      <c r="D3892" s="340" t="str">
        <f>VLOOKUP(C3892,Plan!A$1:B$65542,2,0)</f>
        <v>Cuenta por Pagar a Cali</v>
      </c>
      <c r="E3892" s="396">
        <f>-G3892</f>
        <v>-30000</v>
      </c>
      <c r="F3892" s="396">
        <v>0</v>
      </c>
      <c r="G3892" s="396">
        <f>+F3891</f>
        <v>30000</v>
      </c>
      <c r="H3892" s="347" t="str">
        <f>+H3891</f>
        <v>Yolanda Haase Baeza / 249</v>
      </c>
      <c r="I3892" s="347" t="s">
        <v>1303</v>
      </c>
      <c r="K3892" s="370"/>
      <c r="N3892" s="370"/>
    </row>
    <row r="3893" spans="1:14" s="347" customFormat="1" x14ac:dyDescent="0.25">
      <c r="A3893" s="369"/>
      <c r="E3893" s="396"/>
      <c r="F3893" s="396"/>
      <c r="G3893" s="396"/>
      <c r="K3893" s="370"/>
      <c r="N3893" s="370"/>
    </row>
    <row r="3894" spans="1:14" s="347" customFormat="1" x14ac:dyDescent="0.25">
      <c r="A3894" s="369">
        <v>44396</v>
      </c>
      <c r="B3894" s="340">
        <f>+MONTH(A3894)</f>
        <v>7</v>
      </c>
      <c r="C3894" s="347">
        <v>110</v>
      </c>
      <c r="D3894" s="340" t="str">
        <f>VLOOKUP(C3894,Plan!A$1:B$65542,2,0)</f>
        <v>Disponible Administración</v>
      </c>
      <c r="E3894" s="341">
        <f>+F3894-G3894</f>
        <v>5000</v>
      </c>
      <c r="F3894" s="396">
        <v>5000</v>
      </c>
      <c r="G3894" s="396">
        <v>0</v>
      </c>
      <c r="H3894" s="156" t="s">
        <v>1429</v>
      </c>
      <c r="I3894" s="347" t="s">
        <v>1303</v>
      </c>
      <c r="K3894" s="370"/>
      <c r="N3894" s="370"/>
    </row>
    <row r="3895" spans="1:14" s="347" customFormat="1" x14ac:dyDescent="0.25">
      <c r="A3895" s="369">
        <f>+A3894</f>
        <v>44396</v>
      </c>
      <c r="B3895" s="347">
        <f>+B3894</f>
        <v>7</v>
      </c>
      <c r="C3895" s="347">
        <v>3340</v>
      </c>
      <c r="D3895" s="340" t="str">
        <f>VLOOKUP(C3895,Plan!A$1:B$65542,2,0)</f>
        <v>Misas</v>
      </c>
      <c r="E3895" s="396">
        <f>-G3895</f>
        <v>-5000</v>
      </c>
      <c r="F3895" s="396">
        <v>0</v>
      </c>
      <c r="G3895" s="396">
        <f>+F3894</f>
        <v>5000</v>
      </c>
      <c r="H3895" s="347" t="str">
        <f>+H3894</f>
        <v>Misa Carmen Gloria Rivas Varas</v>
      </c>
      <c r="I3895" s="347" t="s">
        <v>1303</v>
      </c>
      <c r="K3895" s="370"/>
      <c r="N3895" s="370"/>
    </row>
    <row r="3896" spans="1:14" s="347" customFormat="1" x14ac:dyDescent="0.25">
      <c r="K3896" s="370"/>
      <c r="N3896" s="370"/>
    </row>
    <row r="3897" spans="1:14" s="347" customFormat="1" x14ac:dyDescent="0.25">
      <c r="A3897" s="369">
        <v>44396</v>
      </c>
      <c r="B3897" s="340">
        <f>+MONTH(A3897)</f>
        <v>7</v>
      </c>
      <c r="C3897" s="347">
        <v>110</v>
      </c>
      <c r="D3897" s="340" t="str">
        <f>VLOOKUP(C3897,Plan!A$1:B$65542,2,0)</f>
        <v>Disponible Administración</v>
      </c>
      <c r="E3897" s="341">
        <f>+F3897-G3897</f>
        <v>100000</v>
      </c>
      <c r="F3897" s="396">
        <v>100000</v>
      </c>
      <c r="G3897" s="396">
        <v>0</v>
      </c>
      <c r="H3897" s="156" t="s">
        <v>1107</v>
      </c>
      <c r="I3897" s="347" t="s">
        <v>1303</v>
      </c>
      <c r="K3897" s="370"/>
      <c r="N3897" s="370"/>
    </row>
    <row r="3898" spans="1:14" s="347" customFormat="1" x14ac:dyDescent="0.25">
      <c r="A3898" s="369">
        <f>+A3897</f>
        <v>44396</v>
      </c>
      <c r="B3898" s="347">
        <f>+B3897</f>
        <v>7</v>
      </c>
      <c r="C3898" s="347">
        <v>3110</v>
      </c>
      <c r="D3898" s="340" t="str">
        <f>VLOOKUP(C3898,Plan!A$1:B$65542,2,0)</f>
        <v>Colectas Normales</v>
      </c>
      <c r="E3898" s="396">
        <f>-G3898</f>
        <v>-100000</v>
      </c>
      <c r="F3898" s="396">
        <v>0</v>
      </c>
      <c r="G3898" s="396">
        <f>+F3897</f>
        <v>100000</v>
      </c>
      <c r="H3898" s="347" t="str">
        <f>+H3897</f>
        <v>Colecta Francisco Guillen</v>
      </c>
      <c r="I3898" s="347" t="s">
        <v>1303</v>
      </c>
      <c r="K3898" s="370"/>
      <c r="N3898" s="370"/>
    </row>
    <row r="3899" spans="1:14" s="347" customFormat="1" x14ac:dyDescent="0.25">
      <c r="A3899" s="369"/>
      <c r="E3899" s="396"/>
      <c r="F3899" s="396"/>
      <c r="G3899" s="396"/>
      <c r="K3899" s="370"/>
      <c r="N3899" s="370"/>
    </row>
    <row r="3900" spans="1:14" s="347" customFormat="1" x14ac:dyDescent="0.25">
      <c r="A3900" s="369">
        <v>44396</v>
      </c>
      <c r="B3900" s="340">
        <f>+MONTH(A3900)</f>
        <v>7</v>
      </c>
      <c r="C3900" s="347">
        <v>110</v>
      </c>
      <c r="D3900" s="340" t="str">
        <f>VLOOKUP(C3900,Plan!A$1:B$65542,2,0)</f>
        <v>Disponible Administración</v>
      </c>
      <c r="E3900" s="341">
        <f>+F3900-G3900</f>
        <v>8000</v>
      </c>
      <c r="F3900" s="396">
        <v>8000</v>
      </c>
      <c r="G3900" s="396">
        <v>0</v>
      </c>
      <c r="H3900" s="156" t="s">
        <v>971</v>
      </c>
      <c r="I3900" s="347" t="s">
        <v>1303</v>
      </c>
      <c r="K3900" s="370"/>
      <c r="N3900" s="370"/>
    </row>
    <row r="3901" spans="1:14" s="347" customFormat="1" x14ac:dyDescent="0.25">
      <c r="A3901" s="369">
        <f>+A3900</f>
        <v>44396</v>
      </c>
      <c r="B3901" s="347">
        <f>+B3900</f>
        <v>7</v>
      </c>
      <c r="C3901" s="347">
        <v>3110</v>
      </c>
      <c r="D3901" s="340" t="str">
        <f>VLOOKUP(C3901,Plan!A$1:B$65542,2,0)</f>
        <v>Colectas Normales</v>
      </c>
      <c r="E3901" s="396">
        <f>-G3901</f>
        <v>-8000</v>
      </c>
      <c r="F3901" s="396">
        <v>0</v>
      </c>
      <c r="G3901" s="396">
        <f>+F3900</f>
        <v>8000</v>
      </c>
      <c r="H3901" s="347" t="str">
        <f>+H3900</f>
        <v>Colecta Pablo Irarrazaval Mena</v>
      </c>
      <c r="I3901" s="347" t="s">
        <v>1303</v>
      </c>
      <c r="K3901" s="370"/>
      <c r="N3901" s="370"/>
    </row>
    <row r="3902" spans="1:14" s="347" customFormat="1" x14ac:dyDescent="0.25">
      <c r="A3902" s="369"/>
      <c r="E3902" s="396"/>
      <c r="F3902" s="396"/>
      <c r="G3902" s="396"/>
      <c r="K3902" s="370"/>
      <c r="N3902" s="370"/>
    </row>
    <row r="3903" spans="1:14" s="347" customFormat="1" x14ac:dyDescent="0.25">
      <c r="A3903" s="369">
        <v>44396</v>
      </c>
      <c r="B3903" s="340">
        <f>+MONTH(A3903)</f>
        <v>7</v>
      </c>
      <c r="C3903" s="347">
        <v>110</v>
      </c>
      <c r="D3903" s="340" t="str">
        <f>VLOOKUP(C3903,Plan!A$1:B$65542,2,0)</f>
        <v>Disponible Administración</v>
      </c>
      <c r="E3903" s="341">
        <f>+F3903-G3903</f>
        <v>10000</v>
      </c>
      <c r="F3903" s="396">
        <v>10000</v>
      </c>
      <c r="G3903" s="396">
        <v>0</v>
      </c>
      <c r="H3903" s="156" t="s">
        <v>881</v>
      </c>
      <c r="I3903" s="347" t="s">
        <v>1303</v>
      </c>
      <c r="K3903" s="370"/>
      <c r="N3903" s="370"/>
    </row>
    <row r="3904" spans="1:14" s="347" customFormat="1" x14ac:dyDescent="0.25">
      <c r="A3904" s="369">
        <f>+A3903</f>
        <v>44396</v>
      </c>
      <c r="B3904" s="347">
        <f>+B3903</f>
        <v>7</v>
      </c>
      <c r="C3904" s="347">
        <v>3110</v>
      </c>
      <c r="D3904" s="340" t="str">
        <f>VLOOKUP(C3904,Plan!A$1:B$65542,2,0)</f>
        <v>Colectas Normales</v>
      </c>
      <c r="E3904" s="396">
        <f>-G3904</f>
        <v>-10000</v>
      </c>
      <c r="F3904" s="396">
        <v>0</v>
      </c>
      <c r="G3904" s="396">
        <f>+F3903</f>
        <v>10000</v>
      </c>
      <c r="H3904" s="347" t="str">
        <f>+H3903</f>
        <v>Colecta Rafael Marin Jordan</v>
      </c>
      <c r="I3904" s="347" t="s">
        <v>1303</v>
      </c>
      <c r="K3904" s="370"/>
      <c r="N3904" s="370"/>
    </row>
    <row r="3905" spans="1:14" s="347" customFormat="1" x14ac:dyDescent="0.25">
      <c r="A3905" s="369"/>
      <c r="E3905" s="396"/>
      <c r="F3905" s="396"/>
      <c r="G3905" s="396"/>
      <c r="K3905" s="370"/>
      <c r="N3905" s="370"/>
    </row>
    <row r="3906" spans="1:14" s="347" customFormat="1" x14ac:dyDescent="0.25">
      <c r="A3906" s="369">
        <v>44396</v>
      </c>
      <c r="B3906" s="340">
        <f>+MONTH(A3906)</f>
        <v>7</v>
      </c>
      <c r="C3906" s="347">
        <v>110</v>
      </c>
      <c r="D3906" s="340" t="str">
        <f>VLOOKUP(C3906,Plan!A$1:B$65542,2,0)</f>
        <v>Disponible Administración</v>
      </c>
      <c r="E3906" s="341">
        <f>+F3906-G3906</f>
        <v>3000</v>
      </c>
      <c r="F3906" s="396">
        <v>3000</v>
      </c>
      <c r="G3906" s="396">
        <v>0</v>
      </c>
      <c r="H3906" s="156" t="s">
        <v>915</v>
      </c>
      <c r="I3906" s="347" t="s">
        <v>1303</v>
      </c>
      <c r="K3906" s="370"/>
      <c r="N3906" s="370"/>
    </row>
    <row r="3907" spans="1:14" s="347" customFormat="1" x14ac:dyDescent="0.25">
      <c r="A3907" s="369">
        <f>+A3906</f>
        <v>44396</v>
      </c>
      <c r="B3907" s="347">
        <f>+B3906</f>
        <v>7</v>
      </c>
      <c r="C3907" s="347">
        <v>3110</v>
      </c>
      <c r="D3907" s="340" t="str">
        <f>VLOOKUP(C3907,Plan!A$1:B$65542,2,0)</f>
        <v>Colectas Normales</v>
      </c>
      <c r="E3907" s="396">
        <f>-G3907</f>
        <v>-3000</v>
      </c>
      <c r="F3907" s="396">
        <v>0</v>
      </c>
      <c r="G3907" s="396">
        <f>+F3906</f>
        <v>3000</v>
      </c>
      <c r="H3907" s="347" t="str">
        <f>+H3906</f>
        <v>Colecta Jose Perez de Castro</v>
      </c>
      <c r="I3907" s="347" t="s">
        <v>1303</v>
      </c>
      <c r="K3907" s="370"/>
      <c r="N3907" s="370"/>
    </row>
    <row r="3908" spans="1:14" s="347" customFormat="1" x14ac:dyDescent="0.25">
      <c r="A3908" s="369"/>
      <c r="E3908" s="396"/>
      <c r="F3908" s="396"/>
      <c r="G3908" s="396"/>
      <c r="K3908" s="370"/>
      <c r="N3908" s="370"/>
    </row>
    <row r="3909" spans="1:14" s="347" customFormat="1" x14ac:dyDescent="0.25">
      <c r="A3909" s="369">
        <v>44396</v>
      </c>
      <c r="B3909" s="340">
        <f>+MONTH(A3909)</f>
        <v>7</v>
      </c>
      <c r="C3909" s="347">
        <v>110</v>
      </c>
      <c r="D3909" s="340" t="str">
        <f>VLOOKUP(C3909,Plan!A$1:B$65542,2,0)</f>
        <v>Disponible Administración</v>
      </c>
      <c r="E3909" s="341">
        <f>+F3909-G3909</f>
        <v>5000</v>
      </c>
      <c r="F3909" s="396">
        <v>5000</v>
      </c>
      <c r="G3909" s="396">
        <v>0</v>
      </c>
      <c r="H3909" s="156" t="s">
        <v>899</v>
      </c>
      <c r="I3909" s="347" t="s">
        <v>1303</v>
      </c>
      <c r="K3909" s="370"/>
      <c r="N3909" s="370"/>
    </row>
    <row r="3910" spans="1:14" s="347" customFormat="1" x14ac:dyDescent="0.25">
      <c r="A3910" s="369">
        <f>+A3909</f>
        <v>44396</v>
      </c>
      <c r="B3910" s="347">
        <f>+B3909</f>
        <v>7</v>
      </c>
      <c r="C3910" s="347">
        <v>3110</v>
      </c>
      <c r="D3910" s="340" t="str">
        <f>VLOOKUP(C3910,Plan!A$1:B$65542,2,0)</f>
        <v>Colectas Normales</v>
      </c>
      <c r="E3910" s="396">
        <f>-G3910</f>
        <v>-5000</v>
      </c>
      <c r="F3910" s="396">
        <v>0</v>
      </c>
      <c r="G3910" s="396">
        <f>+F3909</f>
        <v>5000</v>
      </c>
      <c r="H3910" s="347" t="str">
        <f>+H3909</f>
        <v>Colecta Carlos Anwandter</v>
      </c>
      <c r="I3910" s="347" t="s">
        <v>1303</v>
      </c>
      <c r="K3910" s="370"/>
      <c r="N3910" s="370"/>
    </row>
    <row r="3911" spans="1:14" s="347" customFormat="1" x14ac:dyDescent="0.25">
      <c r="A3911" s="369"/>
      <c r="E3911" s="396"/>
      <c r="F3911" s="396"/>
      <c r="G3911" s="396"/>
      <c r="K3911" s="370"/>
      <c r="N3911" s="370"/>
    </row>
    <row r="3912" spans="1:14" s="347" customFormat="1" x14ac:dyDescent="0.25">
      <c r="A3912" s="369">
        <v>44396</v>
      </c>
      <c r="B3912" s="340">
        <f>+MONTH(A3912)</f>
        <v>7</v>
      </c>
      <c r="C3912" s="347">
        <v>110</v>
      </c>
      <c r="D3912" s="340" t="str">
        <f>VLOOKUP(C3912,Plan!A$1:B$65542,2,0)</f>
        <v>Disponible Administración</v>
      </c>
      <c r="E3912" s="341">
        <f>+F3912-G3912</f>
        <v>5000</v>
      </c>
      <c r="F3912" s="396">
        <v>5000</v>
      </c>
      <c r="G3912" s="396">
        <v>0</v>
      </c>
      <c r="H3912" s="156" t="s">
        <v>1108</v>
      </c>
      <c r="I3912" s="347" t="s">
        <v>1303</v>
      </c>
      <c r="K3912" s="370"/>
      <c r="N3912" s="370"/>
    </row>
    <row r="3913" spans="1:14" s="347" customFormat="1" x14ac:dyDescent="0.25">
      <c r="A3913" s="369">
        <f>+A3912</f>
        <v>44396</v>
      </c>
      <c r="B3913" s="347">
        <f>+B3912</f>
        <v>7</v>
      </c>
      <c r="C3913" s="347">
        <v>3110</v>
      </c>
      <c r="D3913" s="340" t="str">
        <f>VLOOKUP(C3913,Plan!A$1:B$65542,2,0)</f>
        <v>Colectas Normales</v>
      </c>
      <c r="E3913" s="396">
        <f>-G3913</f>
        <v>-5000</v>
      </c>
      <c r="F3913" s="396">
        <v>0</v>
      </c>
      <c r="G3913" s="396">
        <f>+F3912</f>
        <v>5000</v>
      </c>
      <c r="H3913" s="347" t="str">
        <f>+H3912</f>
        <v>Colecta Ricardo Fernandez</v>
      </c>
      <c r="I3913" s="347" t="s">
        <v>1303</v>
      </c>
      <c r="K3913" s="370"/>
      <c r="N3913" s="370"/>
    </row>
    <row r="3914" spans="1:14" s="347" customFormat="1" x14ac:dyDescent="0.25">
      <c r="A3914" s="369"/>
      <c r="E3914" s="396"/>
      <c r="F3914" s="396"/>
      <c r="G3914" s="396"/>
      <c r="K3914" s="370"/>
      <c r="N3914" s="370"/>
    </row>
    <row r="3915" spans="1:14" s="347" customFormat="1" x14ac:dyDescent="0.25">
      <c r="A3915" s="369">
        <v>44396</v>
      </c>
      <c r="B3915" s="340">
        <f>+MONTH(A3915)</f>
        <v>7</v>
      </c>
      <c r="C3915" s="347">
        <v>110</v>
      </c>
      <c r="D3915" s="340" t="str">
        <f>VLOOKUP(C3915,Plan!A$1:B$65542,2,0)</f>
        <v>Disponible Administración</v>
      </c>
      <c r="E3915" s="341">
        <f>+F3915-G3915</f>
        <v>2000</v>
      </c>
      <c r="F3915" s="396">
        <v>2000</v>
      </c>
      <c r="G3915" s="396">
        <v>0</v>
      </c>
      <c r="H3915" s="156" t="s">
        <v>1216</v>
      </c>
      <c r="I3915" s="347" t="s">
        <v>1303</v>
      </c>
      <c r="K3915" s="370"/>
      <c r="N3915" s="370"/>
    </row>
    <row r="3916" spans="1:14" s="347" customFormat="1" x14ac:dyDescent="0.25">
      <c r="A3916" s="369">
        <f>+A3915</f>
        <v>44396</v>
      </c>
      <c r="B3916" s="347">
        <f>+B3915</f>
        <v>7</v>
      </c>
      <c r="C3916" s="347">
        <v>3110</v>
      </c>
      <c r="D3916" s="340" t="str">
        <f>VLOOKUP(C3916,Plan!A$1:B$65542,2,0)</f>
        <v>Colectas Normales</v>
      </c>
      <c r="E3916" s="396">
        <f>-G3916</f>
        <v>-2000</v>
      </c>
      <c r="F3916" s="396">
        <v>0</v>
      </c>
      <c r="G3916" s="396">
        <f>+F3915</f>
        <v>2000</v>
      </c>
      <c r="H3916" s="347" t="str">
        <f>+H3915</f>
        <v>Colecta Trinidad Barriga Cruzat</v>
      </c>
      <c r="I3916" s="347" t="s">
        <v>1303</v>
      </c>
      <c r="K3916" s="370"/>
      <c r="N3916" s="370"/>
    </row>
    <row r="3917" spans="1:14" s="347" customFormat="1" x14ac:dyDescent="0.25">
      <c r="A3917" s="369"/>
      <c r="E3917" s="396"/>
      <c r="F3917" s="396"/>
      <c r="G3917" s="396"/>
      <c r="K3917" s="370"/>
      <c r="N3917" s="370"/>
    </row>
    <row r="3918" spans="1:14" s="347" customFormat="1" x14ac:dyDescent="0.25">
      <c r="A3918" s="369">
        <v>44396</v>
      </c>
      <c r="B3918" s="340">
        <f>+MONTH(A3918)</f>
        <v>7</v>
      </c>
      <c r="C3918" s="347">
        <v>110</v>
      </c>
      <c r="D3918" s="340" t="str">
        <f>VLOOKUP(C3918,Plan!A$1:B$65542,2,0)</f>
        <v>Disponible Administración</v>
      </c>
      <c r="E3918" s="341">
        <f>+F3918-G3918</f>
        <v>13922</v>
      </c>
      <c r="F3918" s="396">
        <v>13922</v>
      </c>
      <c r="G3918" s="396">
        <v>0</v>
      </c>
      <c r="H3918" s="156" t="s">
        <v>1667</v>
      </c>
      <c r="I3918" s="347" t="s">
        <v>1303</v>
      </c>
      <c r="K3918" s="370"/>
      <c r="N3918" s="370"/>
    </row>
    <row r="3919" spans="1:14" s="347" customFormat="1" x14ac:dyDescent="0.25">
      <c r="A3919" s="369">
        <f>+A3918</f>
        <v>44396</v>
      </c>
      <c r="B3919" s="347">
        <f>+B3918</f>
        <v>7</v>
      </c>
      <c r="C3919" s="347">
        <v>3520</v>
      </c>
      <c r="D3919" s="340" t="str">
        <f>VLOOKUP(C3919,Plan!A$1:B$65542,2,0)</f>
        <v>Otros Ingreso</v>
      </c>
      <c r="E3919" s="396">
        <f>-G3919</f>
        <v>-13922</v>
      </c>
      <c r="F3919" s="396">
        <v>0</v>
      </c>
      <c r="G3919" s="396">
        <f>+F3918</f>
        <v>13922</v>
      </c>
      <c r="H3919" s="347" t="str">
        <f>+H3918</f>
        <v>Dev. Asignacion Familiar</v>
      </c>
      <c r="I3919" s="347" t="s">
        <v>1303</v>
      </c>
      <c r="K3919" s="370"/>
      <c r="N3919" s="370"/>
    </row>
    <row r="3920" spans="1:14" s="347" customFormat="1" x14ac:dyDescent="0.25">
      <c r="A3920" s="369"/>
      <c r="E3920" s="396"/>
      <c r="F3920" s="396"/>
      <c r="G3920" s="396"/>
      <c r="K3920" s="370"/>
      <c r="N3920" s="370"/>
    </row>
    <row r="3921" spans="1:14" s="347" customFormat="1" x14ac:dyDescent="0.25">
      <c r="A3921" s="369">
        <v>44396</v>
      </c>
      <c r="B3921" s="340">
        <f>+MONTH(A3921)</f>
        <v>7</v>
      </c>
      <c r="C3921" s="347">
        <v>110</v>
      </c>
      <c r="D3921" s="340" t="str">
        <f>VLOOKUP(C3921,Plan!A$1:B$65542,2,0)</f>
        <v>Disponible Administración</v>
      </c>
      <c r="E3921" s="341">
        <f>+F3921-G3921</f>
        <v>401000</v>
      </c>
      <c r="F3921" s="396">
        <v>401000</v>
      </c>
      <c r="G3921" s="396">
        <v>0</v>
      </c>
      <c r="H3921" s="156" t="s">
        <v>1410</v>
      </c>
      <c r="I3921" s="347" t="s">
        <v>1303</v>
      </c>
      <c r="K3921" s="370"/>
      <c r="N3921" s="370"/>
    </row>
    <row r="3922" spans="1:14" s="347" customFormat="1" x14ac:dyDescent="0.25">
      <c r="A3922" s="369">
        <f>+A3921</f>
        <v>44396</v>
      </c>
      <c r="B3922" s="347">
        <f>+B3921</f>
        <v>7</v>
      </c>
      <c r="C3922" s="347">
        <v>3110</v>
      </c>
      <c r="D3922" s="340" t="str">
        <f>VLOOKUP(C3922,Plan!A$1:B$65542,2,0)</f>
        <v>Colectas Normales</v>
      </c>
      <c r="E3922" s="396">
        <f>-G3922</f>
        <v>-401000</v>
      </c>
      <c r="F3922" s="396">
        <v>0</v>
      </c>
      <c r="G3922" s="396">
        <f>+F3921</f>
        <v>401000</v>
      </c>
      <c r="H3922" s="347" t="str">
        <f>+H3921</f>
        <v>Colecta Col. Cordillera</v>
      </c>
      <c r="I3922" s="347" t="s">
        <v>1303</v>
      </c>
      <c r="K3922" s="370"/>
      <c r="N3922" s="370"/>
    </row>
    <row r="3923" spans="1:14" s="347" customFormat="1" x14ac:dyDescent="0.25">
      <c r="A3923" s="369"/>
      <c r="E3923" s="396"/>
      <c r="F3923" s="396"/>
      <c r="G3923" s="396"/>
      <c r="K3923" s="370"/>
      <c r="N3923" s="370"/>
    </row>
    <row r="3924" spans="1:14" s="347" customFormat="1" x14ac:dyDescent="0.25">
      <c r="A3924" s="369">
        <v>44397</v>
      </c>
      <c r="B3924" s="340">
        <f>+MONTH(A3924)</f>
        <v>7</v>
      </c>
      <c r="C3924" s="347">
        <v>110</v>
      </c>
      <c r="D3924" s="340" t="str">
        <f>VLOOKUP(C3924,Plan!A$1:B$65542,2,0)</f>
        <v>Disponible Administración</v>
      </c>
      <c r="E3924" s="341">
        <f>+F3924-G3924</f>
        <v>20000</v>
      </c>
      <c r="F3924" s="396">
        <v>20000</v>
      </c>
      <c r="G3924" s="396">
        <v>0</v>
      </c>
      <c r="H3924" s="156" t="s">
        <v>895</v>
      </c>
      <c r="I3924" s="347" t="s">
        <v>1303</v>
      </c>
      <c r="K3924" s="370"/>
      <c r="N3924" s="370"/>
    </row>
    <row r="3925" spans="1:14" s="347" customFormat="1" x14ac:dyDescent="0.25">
      <c r="A3925" s="369">
        <f>+A3924</f>
        <v>44397</v>
      </c>
      <c r="B3925" s="347">
        <f>+B3924</f>
        <v>7</v>
      </c>
      <c r="C3925" s="347">
        <v>3110</v>
      </c>
      <c r="D3925" s="340" t="str">
        <f>VLOOKUP(C3925,Plan!A$1:B$65542,2,0)</f>
        <v>Colectas Normales</v>
      </c>
      <c r="E3925" s="396">
        <f>-G3925</f>
        <v>-20000</v>
      </c>
      <c r="F3925" s="396">
        <v>0</v>
      </c>
      <c r="G3925" s="396">
        <f>+F3924</f>
        <v>20000</v>
      </c>
      <c r="H3925" s="347" t="str">
        <f>+H3924</f>
        <v>Colecta Luis Larenas Vergara</v>
      </c>
      <c r="I3925" s="347" t="s">
        <v>1303</v>
      </c>
      <c r="K3925" s="370"/>
      <c r="N3925" s="370"/>
    </row>
    <row r="3926" spans="1:14" s="347" customFormat="1" x14ac:dyDescent="0.25">
      <c r="A3926" s="369"/>
      <c r="E3926" s="396"/>
      <c r="F3926" s="396"/>
      <c r="G3926" s="396"/>
      <c r="K3926" s="370"/>
      <c r="N3926" s="370"/>
    </row>
    <row r="3927" spans="1:14" s="347" customFormat="1" x14ac:dyDescent="0.25">
      <c r="A3927" s="369">
        <v>44397</v>
      </c>
      <c r="B3927" s="340">
        <f>+MONTH(A3927)</f>
        <v>7</v>
      </c>
      <c r="C3927" s="347">
        <v>110</v>
      </c>
      <c r="D3927" s="340" t="str">
        <f>VLOOKUP(C3927,Plan!A$1:B$65542,2,0)</f>
        <v>Disponible Administración</v>
      </c>
      <c r="E3927" s="341">
        <f>+F3927-G3927</f>
        <v>15000</v>
      </c>
      <c r="F3927" s="396">
        <v>15000</v>
      </c>
      <c r="G3927" s="396">
        <v>0</v>
      </c>
      <c r="H3927" s="156" t="s">
        <v>1597</v>
      </c>
      <c r="I3927" s="347" t="s">
        <v>1303</v>
      </c>
      <c r="K3927" s="370"/>
      <c r="N3927" s="370"/>
    </row>
    <row r="3928" spans="1:14" s="347" customFormat="1" x14ac:dyDescent="0.25">
      <c r="A3928" s="369">
        <f>+A3927</f>
        <v>44397</v>
      </c>
      <c r="B3928" s="347">
        <f>+B3927</f>
        <v>7</v>
      </c>
      <c r="C3928" s="347">
        <v>3450</v>
      </c>
      <c r="D3928" s="340" t="str">
        <f>VLOOKUP(C3928,Plan!A$1:B$65542,2,0)</f>
        <v>Pastoral Social</v>
      </c>
      <c r="E3928" s="396">
        <f>-G3928</f>
        <v>-15000</v>
      </c>
      <c r="F3928" s="396">
        <v>0</v>
      </c>
      <c r="G3928" s="396">
        <f>+F3927</f>
        <v>15000</v>
      </c>
      <c r="H3928" s="347" t="str">
        <f>+H3927</f>
        <v>Canastas Maria Virginia Escala</v>
      </c>
      <c r="I3928" s="347" t="s">
        <v>1303</v>
      </c>
      <c r="K3928" s="370"/>
      <c r="N3928" s="370"/>
    </row>
    <row r="3929" spans="1:14" s="347" customFormat="1" x14ac:dyDescent="0.25">
      <c r="A3929" s="369"/>
      <c r="E3929" s="396"/>
      <c r="F3929" s="396"/>
      <c r="G3929" s="396"/>
      <c r="K3929" s="370"/>
      <c r="N3929" s="370"/>
    </row>
    <row r="3930" spans="1:14" s="347" customFormat="1" x14ac:dyDescent="0.25">
      <c r="A3930" s="369">
        <v>44397</v>
      </c>
      <c r="B3930" s="340">
        <f>+MONTH(A3930)</f>
        <v>7</v>
      </c>
      <c r="C3930" s="347">
        <v>110</v>
      </c>
      <c r="D3930" s="340" t="str">
        <f>VLOOKUP(C3930,Plan!A$1:B$65542,2,0)</f>
        <v>Disponible Administración</v>
      </c>
      <c r="E3930" s="341">
        <f>+F3930-G3930</f>
        <v>15000</v>
      </c>
      <c r="F3930" s="396">
        <v>15000</v>
      </c>
      <c r="G3930" s="396">
        <v>0</v>
      </c>
      <c r="H3930" s="156" t="s">
        <v>943</v>
      </c>
      <c r="I3930" s="347" t="s">
        <v>1303</v>
      </c>
      <c r="K3930" s="370"/>
      <c r="N3930" s="370"/>
    </row>
    <row r="3931" spans="1:14" s="347" customFormat="1" x14ac:dyDescent="0.25">
      <c r="A3931" s="369">
        <f>+A3930</f>
        <v>44397</v>
      </c>
      <c r="B3931" s="347">
        <f>+B3930</f>
        <v>7</v>
      </c>
      <c r="C3931" s="347">
        <v>3110</v>
      </c>
      <c r="D3931" s="340" t="str">
        <f>VLOOKUP(C3931,Plan!A$1:B$65542,2,0)</f>
        <v>Colectas Normales</v>
      </c>
      <c r="E3931" s="396">
        <f>-G3931</f>
        <v>-15000</v>
      </c>
      <c r="F3931" s="396">
        <v>0</v>
      </c>
      <c r="G3931" s="396">
        <f>+F3930</f>
        <v>15000</v>
      </c>
      <c r="H3931" s="347" t="str">
        <f>+H3930</f>
        <v>Colecta Carolina Guridi G</v>
      </c>
      <c r="I3931" s="347" t="s">
        <v>1303</v>
      </c>
      <c r="K3931" s="370"/>
      <c r="N3931" s="370"/>
    </row>
    <row r="3932" spans="1:14" s="347" customFormat="1" x14ac:dyDescent="0.25">
      <c r="A3932" s="369"/>
      <c r="E3932" s="396"/>
      <c r="F3932" s="396"/>
      <c r="G3932" s="396"/>
      <c r="K3932" s="370"/>
      <c r="N3932" s="370"/>
    </row>
    <row r="3933" spans="1:14" s="347" customFormat="1" x14ac:dyDescent="0.25">
      <c r="A3933" s="369">
        <v>44397</v>
      </c>
      <c r="B3933" s="340">
        <f>+MONTH(A3933)</f>
        <v>7</v>
      </c>
      <c r="C3933" s="347">
        <v>110</v>
      </c>
      <c r="D3933" s="340" t="str">
        <f>VLOOKUP(C3933,Plan!A$1:B$65542,2,0)</f>
        <v>Disponible Administración</v>
      </c>
      <c r="E3933" s="341">
        <f>+F3933-G3933</f>
        <v>19605</v>
      </c>
      <c r="F3933" s="396">
        <v>19605</v>
      </c>
      <c r="G3933" s="396">
        <v>0</v>
      </c>
      <c r="H3933" s="156" t="s">
        <v>1338</v>
      </c>
      <c r="I3933" s="347" t="s">
        <v>1303</v>
      </c>
      <c r="K3933" s="370"/>
      <c r="N3933" s="370"/>
    </row>
    <row r="3934" spans="1:14" s="347" customFormat="1" x14ac:dyDescent="0.25">
      <c r="A3934" s="369">
        <f>+A3933</f>
        <v>44397</v>
      </c>
      <c r="B3934" s="347">
        <f>+B3933</f>
        <v>7</v>
      </c>
      <c r="C3934" s="347">
        <v>3340</v>
      </c>
      <c r="D3934" s="340" t="str">
        <f>VLOOKUP(C3934,Plan!A$1:B$65542,2,0)</f>
        <v>Misas</v>
      </c>
      <c r="E3934" s="396">
        <f>-G3934</f>
        <v>-19605</v>
      </c>
      <c r="F3934" s="396">
        <v>0</v>
      </c>
      <c r="G3934" s="396">
        <f>+F3933</f>
        <v>19605</v>
      </c>
      <c r="H3934" s="347" t="str">
        <f>+H3933</f>
        <v>Misa DCT</v>
      </c>
      <c r="I3934" s="347" t="s">
        <v>1303</v>
      </c>
      <c r="K3934" s="370"/>
      <c r="N3934" s="370"/>
    </row>
    <row r="3935" spans="1:14" s="347" customFormat="1" x14ac:dyDescent="0.25">
      <c r="A3935" s="369"/>
      <c r="E3935" s="396"/>
      <c r="F3935" s="396"/>
      <c r="G3935" s="396"/>
      <c r="K3935" s="370"/>
      <c r="N3935" s="370"/>
    </row>
    <row r="3936" spans="1:14" s="347" customFormat="1" x14ac:dyDescent="0.25">
      <c r="A3936" s="369">
        <v>44398</v>
      </c>
      <c r="B3936" s="340">
        <f>+MONTH(A3936)</f>
        <v>7</v>
      </c>
      <c r="C3936" s="347">
        <v>110</v>
      </c>
      <c r="D3936" s="340" t="str">
        <f>VLOOKUP(C3936,Plan!A$1:B$65542,2,0)</f>
        <v>Disponible Administración</v>
      </c>
      <c r="E3936" s="341">
        <f>+F3936-G3936</f>
        <v>20000</v>
      </c>
      <c r="F3936" s="396">
        <v>20000</v>
      </c>
      <c r="G3936" s="396">
        <v>0</v>
      </c>
      <c r="H3936" s="156" t="s">
        <v>1819</v>
      </c>
      <c r="I3936" s="347" t="s">
        <v>1303</v>
      </c>
      <c r="K3936" s="370"/>
      <c r="N3936" s="370"/>
    </row>
    <row r="3937" spans="1:14" s="347" customFormat="1" x14ac:dyDescent="0.25">
      <c r="A3937" s="369">
        <f>+A3936</f>
        <v>44398</v>
      </c>
      <c r="B3937" s="347">
        <f>+B3936</f>
        <v>7</v>
      </c>
      <c r="C3937" s="347">
        <v>3350</v>
      </c>
      <c r="D3937" s="340" t="str">
        <f>VLOOKUP(C3937,Plan!A$1:B$65542,2,0)</f>
        <v>Bautizos</v>
      </c>
      <c r="E3937" s="396">
        <f>-G3937</f>
        <v>-20000</v>
      </c>
      <c r="F3937" s="396">
        <v>0</v>
      </c>
      <c r="G3937" s="396">
        <f>+F3936</f>
        <v>20000</v>
      </c>
      <c r="H3937" s="347" t="str">
        <f>+H3936</f>
        <v>Bautizo Paul Weinreich Bermeosolo</v>
      </c>
      <c r="I3937" s="347" t="s">
        <v>1303</v>
      </c>
      <c r="K3937" s="370"/>
      <c r="N3937" s="370"/>
    </row>
    <row r="3938" spans="1:14" s="347" customFormat="1" x14ac:dyDescent="0.25">
      <c r="A3938" s="369"/>
      <c r="E3938" s="396"/>
      <c r="F3938" s="396"/>
      <c r="G3938" s="396"/>
      <c r="K3938" s="370"/>
      <c r="N3938" s="370"/>
    </row>
    <row r="3939" spans="1:14" s="347" customFormat="1" x14ac:dyDescent="0.25">
      <c r="A3939" s="369">
        <v>44398</v>
      </c>
      <c r="B3939" s="340">
        <f>+MONTH(A3939)</f>
        <v>7</v>
      </c>
      <c r="C3939" s="347">
        <v>110</v>
      </c>
      <c r="D3939" s="340" t="str">
        <f>VLOOKUP(C3939,Plan!A$1:B$65542,2,0)</f>
        <v>Disponible Administración</v>
      </c>
      <c r="E3939" s="341">
        <f>+F3939-G3939</f>
        <v>39493</v>
      </c>
      <c r="F3939" s="396">
        <v>39493</v>
      </c>
      <c r="G3939" s="396">
        <v>0</v>
      </c>
      <c r="H3939" s="156" t="s">
        <v>897</v>
      </c>
      <c r="I3939" s="347" t="s">
        <v>1303</v>
      </c>
      <c r="K3939" s="370"/>
      <c r="N3939" s="370"/>
    </row>
    <row r="3940" spans="1:14" s="347" customFormat="1" x14ac:dyDescent="0.25">
      <c r="A3940" s="369">
        <f>+A3939</f>
        <v>44398</v>
      </c>
      <c r="B3940" s="347">
        <f>+B3939</f>
        <v>7</v>
      </c>
      <c r="C3940" s="347">
        <v>3110</v>
      </c>
      <c r="D3940" s="340" t="str">
        <f>VLOOKUP(C3940,Plan!A$1:B$65542,2,0)</f>
        <v>Colectas Normales</v>
      </c>
      <c r="E3940" s="396">
        <f>-G3940</f>
        <v>-39493</v>
      </c>
      <c r="F3940" s="396">
        <v>0</v>
      </c>
      <c r="G3940" s="396">
        <f>+F3939</f>
        <v>39493</v>
      </c>
      <c r="H3940" s="347" t="str">
        <f>+H3939</f>
        <v>Colecta DCT</v>
      </c>
      <c r="I3940" s="347" t="s">
        <v>1303</v>
      </c>
      <c r="K3940" s="370"/>
      <c r="N3940" s="370"/>
    </row>
    <row r="3941" spans="1:14" s="347" customFormat="1" x14ac:dyDescent="0.25">
      <c r="A3941" s="369"/>
      <c r="E3941" s="396"/>
      <c r="F3941" s="396"/>
      <c r="G3941" s="396"/>
      <c r="K3941" s="370"/>
      <c r="N3941" s="370"/>
    </row>
    <row r="3942" spans="1:14" s="347" customFormat="1" x14ac:dyDescent="0.25">
      <c r="A3942" s="369">
        <v>44398</v>
      </c>
      <c r="B3942" s="340">
        <f>+MONTH(A3942)</f>
        <v>7</v>
      </c>
      <c r="C3942" s="347">
        <v>110</v>
      </c>
      <c r="D3942" s="340" t="str">
        <f>VLOOKUP(C3942,Plan!A$1:B$65542,2,0)</f>
        <v>Disponible Administración</v>
      </c>
      <c r="E3942" s="341">
        <f>+F3942-G3942</f>
        <v>34309</v>
      </c>
      <c r="F3942" s="396">
        <v>34309</v>
      </c>
      <c r="G3942" s="396">
        <v>0</v>
      </c>
      <c r="H3942" s="156" t="s">
        <v>1338</v>
      </c>
      <c r="I3942" s="347" t="s">
        <v>1303</v>
      </c>
      <c r="K3942" s="370"/>
      <c r="N3942" s="370"/>
    </row>
    <row r="3943" spans="1:14" s="347" customFormat="1" x14ac:dyDescent="0.25">
      <c r="A3943" s="369">
        <f>+A3942</f>
        <v>44398</v>
      </c>
      <c r="B3943" s="347">
        <f>+B3942</f>
        <v>7</v>
      </c>
      <c r="C3943" s="347">
        <v>3340</v>
      </c>
      <c r="D3943" s="340" t="str">
        <f>VLOOKUP(C3943,Plan!A$1:B$65542,2,0)</f>
        <v>Misas</v>
      </c>
      <c r="E3943" s="396">
        <f>-G3943</f>
        <v>-34309</v>
      </c>
      <c r="F3943" s="396">
        <v>0</v>
      </c>
      <c r="G3943" s="396">
        <f>+F3942</f>
        <v>34309</v>
      </c>
      <c r="H3943" s="347" t="str">
        <f>+H3942</f>
        <v>Misa DCT</v>
      </c>
      <c r="I3943" s="347" t="s">
        <v>1303</v>
      </c>
      <c r="K3943" s="370"/>
      <c r="N3943" s="370"/>
    </row>
    <row r="3944" spans="1:14" s="347" customFormat="1" x14ac:dyDescent="0.25">
      <c r="A3944" s="369"/>
      <c r="E3944" s="396"/>
      <c r="F3944" s="396"/>
      <c r="G3944" s="396"/>
      <c r="K3944" s="370"/>
      <c r="N3944" s="370"/>
    </row>
    <row r="3945" spans="1:14" s="347" customFormat="1" x14ac:dyDescent="0.25">
      <c r="A3945" s="369">
        <v>44398</v>
      </c>
      <c r="B3945" s="340">
        <f>+MONTH(A3945)</f>
        <v>7</v>
      </c>
      <c r="C3945" s="347">
        <v>110</v>
      </c>
      <c r="D3945" s="340" t="str">
        <f>VLOOKUP(C3945,Plan!A$1:B$65542,2,0)</f>
        <v>Disponible Administración</v>
      </c>
      <c r="E3945" s="341">
        <f>+F3945-G3945</f>
        <v>20000</v>
      </c>
      <c r="F3945" s="396">
        <v>20000</v>
      </c>
      <c r="G3945" s="396">
        <v>0</v>
      </c>
      <c r="H3945" s="156" t="s">
        <v>1820</v>
      </c>
      <c r="I3945" s="347" t="s">
        <v>1303</v>
      </c>
      <c r="K3945" s="370"/>
      <c r="N3945" s="370"/>
    </row>
    <row r="3946" spans="1:14" s="347" customFormat="1" x14ac:dyDescent="0.25">
      <c r="A3946" s="369">
        <f>+A3945</f>
        <v>44398</v>
      </c>
      <c r="B3946" s="347">
        <f>+B3945</f>
        <v>7</v>
      </c>
      <c r="C3946" s="347">
        <v>3350</v>
      </c>
      <c r="D3946" s="340" t="str">
        <f>VLOOKUP(C3946,Plan!A$1:B$65542,2,0)</f>
        <v>Bautizos</v>
      </c>
      <c r="E3946" s="396">
        <f>-G3946</f>
        <v>-20000</v>
      </c>
      <c r="F3946" s="396">
        <v>0</v>
      </c>
      <c r="G3946" s="396">
        <f>+F3945</f>
        <v>20000</v>
      </c>
      <c r="H3946" s="347" t="str">
        <f>+H3945</f>
        <v>Bautizo Pablo Fuentes</v>
      </c>
      <c r="I3946" s="347" t="s">
        <v>1303</v>
      </c>
      <c r="K3946" s="370"/>
      <c r="N3946" s="370"/>
    </row>
    <row r="3947" spans="1:14" s="347" customFormat="1" x14ac:dyDescent="0.25">
      <c r="A3947" s="369"/>
      <c r="E3947" s="396"/>
      <c r="F3947" s="396"/>
      <c r="G3947" s="396"/>
      <c r="K3947" s="370"/>
      <c r="N3947" s="370"/>
    </row>
    <row r="3948" spans="1:14" s="347" customFormat="1" x14ac:dyDescent="0.25">
      <c r="A3948" s="369">
        <v>44400</v>
      </c>
      <c r="B3948" s="340">
        <f>+MONTH(A3948)</f>
        <v>7</v>
      </c>
      <c r="C3948" s="347">
        <v>110</v>
      </c>
      <c r="D3948" s="340" t="str">
        <f>VLOOKUP(C3948,Plan!A$1:B$65542,2,0)</f>
        <v>Disponible Administración</v>
      </c>
      <c r="E3948" s="341">
        <f>+F3948-G3948</f>
        <v>5000</v>
      </c>
      <c r="F3948" s="396">
        <v>5000</v>
      </c>
      <c r="G3948" s="396">
        <v>0</v>
      </c>
      <c r="H3948" s="156" t="s">
        <v>1151</v>
      </c>
      <c r="I3948" s="347" t="s">
        <v>1303</v>
      </c>
      <c r="K3948" s="370"/>
      <c r="N3948" s="370"/>
    </row>
    <row r="3949" spans="1:14" s="347" customFormat="1" x14ac:dyDescent="0.25">
      <c r="A3949" s="369">
        <f>+A3948</f>
        <v>44400</v>
      </c>
      <c r="B3949" s="347">
        <f>+B3948</f>
        <v>7</v>
      </c>
      <c r="C3949" s="347">
        <v>3110</v>
      </c>
      <c r="D3949" s="340" t="str">
        <f>VLOOKUP(C3949,Plan!A$1:B$65542,2,0)</f>
        <v>Colectas Normales</v>
      </c>
      <c r="E3949" s="396">
        <f>-G3949</f>
        <v>-5000</v>
      </c>
      <c r="F3949" s="396">
        <v>0</v>
      </c>
      <c r="G3949" s="396">
        <f>+F3948</f>
        <v>5000</v>
      </c>
      <c r="H3949" s="347" t="str">
        <f>+H3948</f>
        <v>Colecta Eduardo Boys M</v>
      </c>
      <c r="I3949" s="347" t="s">
        <v>1303</v>
      </c>
      <c r="K3949" s="370"/>
      <c r="N3949" s="370"/>
    </row>
    <row r="3950" spans="1:14" s="347" customFormat="1" x14ac:dyDescent="0.25">
      <c r="A3950" s="369"/>
      <c r="E3950" s="396"/>
      <c r="F3950" s="396"/>
      <c r="G3950" s="396"/>
      <c r="K3950" s="370"/>
      <c r="N3950" s="370"/>
    </row>
    <row r="3951" spans="1:14" s="347" customFormat="1" x14ac:dyDescent="0.25">
      <c r="A3951" s="369">
        <v>44403</v>
      </c>
      <c r="B3951" s="340">
        <f>+MONTH(A3951)</f>
        <v>7</v>
      </c>
      <c r="C3951" s="347">
        <v>110</v>
      </c>
      <c r="D3951" s="340" t="str">
        <f>VLOOKUP(C3951,Plan!A$1:B$65542,2,0)</f>
        <v>Disponible Administración</v>
      </c>
      <c r="E3951" s="341">
        <f>+F3951-G3951</f>
        <v>175881</v>
      </c>
      <c r="F3951" s="396">
        <v>175881</v>
      </c>
      <c r="G3951" s="396">
        <v>0</v>
      </c>
      <c r="H3951" s="156" t="s">
        <v>1821</v>
      </c>
      <c r="I3951" s="347" t="s">
        <v>1303</v>
      </c>
      <c r="K3951" s="370"/>
      <c r="N3951" s="370"/>
    </row>
    <row r="3952" spans="1:14" s="347" customFormat="1" x14ac:dyDescent="0.25">
      <c r="A3952" s="369">
        <f>+A3951</f>
        <v>44403</v>
      </c>
      <c r="B3952" s="347">
        <f>+B3951</f>
        <v>7</v>
      </c>
      <c r="C3952" s="347">
        <v>3110</v>
      </c>
      <c r="D3952" s="340" t="str">
        <f>VLOOKUP(C3952,Plan!A$1:B$65542,2,0)</f>
        <v>Colectas Normales</v>
      </c>
      <c r="E3952" s="396">
        <f>-G3952</f>
        <v>-175881</v>
      </c>
      <c r="F3952" s="396">
        <v>0</v>
      </c>
      <c r="G3952" s="396">
        <f>+F3951</f>
        <v>175881</v>
      </c>
      <c r="H3952" s="347" t="str">
        <f>+H3951</f>
        <v>Colecta Mercado Pago</v>
      </c>
      <c r="I3952" s="347" t="s">
        <v>1303</v>
      </c>
      <c r="K3952" s="370"/>
      <c r="N3952" s="370"/>
    </row>
    <row r="3953" spans="1:14" s="347" customFormat="1" x14ac:dyDescent="0.25">
      <c r="A3953" s="369"/>
      <c r="E3953" s="396"/>
      <c r="F3953" s="396"/>
      <c r="G3953" s="396"/>
      <c r="K3953" s="370"/>
      <c r="N3953" s="370"/>
    </row>
    <row r="3954" spans="1:14" s="347" customFormat="1" x14ac:dyDescent="0.25">
      <c r="A3954" s="369">
        <v>44403</v>
      </c>
      <c r="B3954" s="340">
        <f>+MONTH(A3954)</f>
        <v>7</v>
      </c>
      <c r="C3954" s="347">
        <v>4326</v>
      </c>
      <c r="D3954" s="340" t="str">
        <f>VLOOKUP(C3954,Plan!A$1:B$65542,2,0)</f>
        <v>Seguros</v>
      </c>
      <c r="E3954" s="341">
        <f>+F3954-G3954</f>
        <v>51089</v>
      </c>
      <c r="F3954" s="396">
        <v>51089</v>
      </c>
      <c r="G3954" s="396">
        <v>0</v>
      </c>
      <c r="H3954" s="156" t="s">
        <v>1822</v>
      </c>
      <c r="I3954" s="347" t="s">
        <v>1303</v>
      </c>
      <c r="K3954" s="370"/>
      <c r="N3954" s="370"/>
    </row>
    <row r="3955" spans="1:14" s="347" customFormat="1" x14ac:dyDescent="0.25">
      <c r="A3955" s="369">
        <f>+A3954</f>
        <v>44403</v>
      </c>
      <c r="B3955" s="347">
        <f>+B3954</f>
        <v>7</v>
      </c>
      <c r="C3955" s="347">
        <v>110</v>
      </c>
      <c r="D3955" s="340" t="str">
        <f>VLOOKUP(C3955,Plan!A$1:B$65542,2,0)</f>
        <v>Disponible Administración</v>
      </c>
      <c r="E3955" s="396">
        <f>-G3955</f>
        <v>-51089</v>
      </c>
      <c r="F3955" s="396">
        <v>0</v>
      </c>
      <c r="G3955" s="396">
        <f>+F3954</f>
        <v>51089</v>
      </c>
      <c r="H3955" s="347" t="str">
        <f>+H3954</f>
        <v>PAC ASEGURADORA POR VENIR</v>
      </c>
      <c r="I3955" s="347" t="s">
        <v>1303</v>
      </c>
      <c r="K3955" s="370"/>
      <c r="N3955" s="370"/>
    </row>
    <row r="3956" spans="1:14" s="347" customFormat="1" x14ac:dyDescent="0.25">
      <c r="A3956" s="369"/>
      <c r="E3956" s="396"/>
      <c r="F3956" s="396"/>
      <c r="G3956" s="396"/>
      <c r="K3956" s="370"/>
      <c r="N3956" s="370"/>
    </row>
    <row r="3957" spans="1:14" s="347" customFormat="1" x14ac:dyDescent="0.25">
      <c r="A3957" s="369">
        <v>44403</v>
      </c>
      <c r="B3957" s="340">
        <f>+MONTH(A3957)</f>
        <v>7</v>
      </c>
      <c r="C3957" s="347">
        <v>110</v>
      </c>
      <c r="D3957" s="340" t="str">
        <f>VLOOKUP(C3957,Plan!A$1:B$65542,2,0)</f>
        <v>Disponible Administración</v>
      </c>
      <c r="E3957" s="341">
        <f>+F3957-G3957</f>
        <v>20000</v>
      </c>
      <c r="F3957" s="396">
        <v>20000</v>
      </c>
      <c r="G3957" s="396">
        <v>0</v>
      </c>
      <c r="H3957" s="156" t="s">
        <v>1823</v>
      </c>
      <c r="I3957" s="347" t="s">
        <v>1303</v>
      </c>
      <c r="K3957" s="370"/>
      <c r="N3957" s="370"/>
    </row>
    <row r="3958" spans="1:14" s="347" customFormat="1" x14ac:dyDescent="0.25">
      <c r="A3958" s="369">
        <f>+A3957</f>
        <v>44403</v>
      </c>
      <c r="B3958" s="347">
        <f>+B3957</f>
        <v>7</v>
      </c>
      <c r="C3958" s="347">
        <v>3110</v>
      </c>
      <c r="D3958" s="340" t="str">
        <f>VLOOKUP(C3958,Plan!A$1:B$65542,2,0)</f>
        <v>Colectas Normales</v>
      </c>
      <c r="E3958" s="396">
        <f>-G3958</f>
        <v>-20000</v>
      </c>
      <c r="F3958" s="396">
        <v>0</v>
      </c>
      <c r="G3958" s="396">
        <f>+F3957</f>
        <v>20000</v>
      </c>
      <c r="H3958" s="347" t="str">
        <f>+H3957</f>
        <v>Colecta Constanza Fonseca E</v>
      </c>
      <c r="I3958" s="347" t="s">
        <v>1303</v>
      </c>
      <c r="K3958" s="370"/>
      <c r="N3958" s="370"/>
    </row>
    <row r="3959" spans="1:14" s="347" customFormat="1" x14ac:dyDescent="0.25">
      <c r="A3959" s="369"/>
      <c r="E3959" s="396"/>
      <c r="F3959" s="396"/>
      <c r="G3959" s="396"/>
      <c r="K3959" s="370"/>
      <c r="N3959" s="370"/>
    </row>
    <row r="3960" spans="1:14" s="347" customFormat="1" x14ac:dyDescent="0.25">
      <c r="A3960" s="369">
        <v>44403</v>
      </c>
      <c r="B3960" s="340">
        <f>+MONTH(A3960)</f>
        <v>7</v>
      </c>
      <c r="C3960" s="347">
        <v>110</v>
      </c>
      <c r="D3960" s="340" t="str">
        <f>VLOOKUP(C3960,Plan!A$1:B$65542,2,0)</f>
        <v>Disponible Administración</v>
      </c>
      <c r="E3960" s="341">
        <f>+F3960-G3960</f>
        <v>10000</v>
      </c>
      <c r="F3960" s="396">
        <v>10000</v>
      </c>
      <c r="G3960" s="396">
        <v>0</v>
      </c>
      <c r="H3960" s="156" t="s">
        <v>881</v>
      </c>
      <c r="I3960" s="347" t="s">
        <v>1303</v>
      </c>
      <c r="K3960" s="370"/>
      <c r="N3960" s="370"/>
    </row>
    <row r="3961" spans="1:14" s="347" customFormat="1" x14ac:dyDescent="0.25">
      <c r="A3961" s="369">
        <f>+A3960</f>
        <v>44403</v>
      </c>
      <c r="B3961" s="347">
        <f>+B3960</f>
        <v>7</v>
      </c>
      <c r="C3961" s="347">
        <v>3110</v>
      </c>
      <c r="D3961" s="340" t="str">
        <f>VLOOKUP(C3961,Plan!A$1:B$65542,2,0)</f>
        <v>Colectas Normales</v>
      </c>
      <c r="E3961" s="396">
        <f>-G3961</f>
        <v>-10000</v>
      </c>
      <c r="F3961" s="396">
        <v>0</v>
      </c>
      <c r="G3961" s="396">
        <f>+F3960</f>
        <v>10000</v>
      </c>
      <c r="H3961" s="347" t="str">
        <f>+H3960</f>
        <v>Colecta Rafael Marin Jordan</v>
      </c>
      <c r="I3961" s="347" t="s">
        <v>1303</v>
      </c>
      <c r="K3961" s="370"/>
      <c r="N3961" s="370"/>
    </row>
    <row r="3962" spans="1:14" s="347" customFormat="1" x14ac:dyDescent="0.25">
      <c r="A3962" s="369"/>
      <c r="E3962" s="396"/>
      <c r="F3962" s="396"/>
      <c r="G3962" s="396"/>
      <c r="K3962" s="370"/>
      <c r="N3962" s="370"/>
    </row>
    <row r="3963" spans="1:14" s="347" customFormat="1" x14ac:dyDescent="0.25">
      <c r="A3963" s="369">
        <v>44403</v>
      </c>
      <c r="B3963" s="340">
        <f>+MONTH(A3963)</f>
        <v>7</v>
      </c>
      <c r="C3963" s="347">
        <v>110</v>
      </c>
      <c r="D3963" s="340" t="str">
        <f>VLOOKUP(C3963,Plan!A$1:B$65542,2,0)</f>
        <v>Disponible Administración</v>
      </c>
      <c r="E3963" s="341">
        <f>+F3963-G3963</f>
        <v>10000</v>
      </c>
      <c r="F3963" s="396">
        <v>10000</v>
      </c>
      <c r="G3963" s="396">
        <v>0</v>
      </c>
      <c r="H3963" s="156" t="s">
        <v>971</v>
      </c>
      <c r="I3963" s="347" t="s">
        <v>1303</v>
      </c>
      <c r="K3963" s="370"/>
      <c r="N3963" s="370"/>
    </row>
    <row r="3964" spans="1:14" s="347" customFormat="1" x14ac:dyDescent="0.25">
      <c r="A3964" s="369">
        <f>+A3963</f>
        <v>44403</v>
      </c>
      <c r="B3964" s="347">
        <f>+B3963</f>
        <v>7</v>
      </c>
      <c r="C3964" s="347">
        <v>3110</v>
      </c>
      <c r="D3964" s="340" t="str">
        <f>VLOOKUP(C3964,Plan!A$1:B$65542,2,0)</f>
        <v>Colectas Normales</v>
      </c>
      <c r="E3964" s="396">
        <f>-G3964</f>
        <v>-10000</v>
      </c>
      <c r="F3964" s="396">
        <v>0</v>
      </c>
      <c r="G3964" s="396">
        <f>+F3963</f>
        <v>10000</v>
      </c>
      <c r="H3964" s="347" t="str">
        <f>+H3963</f>
        <v>Colecta Pablo Irarrazaval Mena</v>
      </c>
      <c r="I3964" s="347" t="s">
        <v>1303</v>
      </c>
      <c r="K3964" s="370"/>
      <c r="N3964" s="370"/>
    </row>
    <row r="3965" spans="1:14" s="347" customFormat="1" x14ac:dyDescent="0.25">
      <c r="A3965" s="369"/>
      <c r="E3965" s="396"/>
      <c r="F3965" s="396"/>
      <c r="G3965" s="396"/>
      <c r="K3965" s="370"/>
      <c r="N3965" s="370"/>
    </row>
    <row r="3966" spans="1:14" s="347" customFormat="1" x14ac:dyDescent="0.25">
      <c r="A3966" s="369">
        <v>44403</v>
      </c>
      <c r="B3966" s="340">
        <f>+MONTH(A3966)</f>
        <v>7</v>
      </c>
      <c r="C3966" s="347">
        <v>110</v>
      </c>
      <c r="D3966" s="340" t="str">
        <f>VLOOKUP(C3966,Plan!A$1:B$65542,2,0)</f>
        <v>Disponible Administración</v>
      </c>
      <c r="E3966" s="341">
        <f>+F3966-G3966</f>
        <v>10000</v>
      </c>
      <c r="F3966" s="396">
        <v>10000</v>
      </c>
      <c r="G3966" s="396">
        <v>0</v>
      </c>
      <c r="H3966" s="156" t="s">
        <v>880</v>
      </c>
      <c r="I3966" s="347" t="s">
        <v>1303</v>
      </c>
      <c r="K3966" s="370"/>
      <c r="N3966" s="370"/>
    </row>
    <row r="3967" spans="1:14" s="347" customFormat="1" x14ac:dyDescent="0.25">
      <c r="A3967" s="369">
        <f>+A3966</f>
        <v>44403</v>
      </c>
      <c r="B3967" s="347">
        <f>+B3966</f>
        <v>7</v>
      </c>
      <c r="C3967" s="347">
        <v>3110</v>
      </c>
      <c r="D3967" s="340" t="str">
        <f>VLOOKUP(C3967,Plan!A$1:B$65542,2,0)</f>
        <v>Colectas Normales</v>
      </c>
      <c r="E3967" s="396">
        <f>-G3967</f>
        <v>-10000</v>
      </c>
      <c r="F3967" s="396">
        <v>0</v>
      </c>
      <c r="G3967" s="396">
        <f>+F3966</f>
        <v>10000</v>
      </c>
      <c r="H3967" s="347" t="str">
        <f>+H3966</f>
        <v>Colecta Sebastian Rios</v>
      </c>
      <c r="I3967" s="347" t="s">
        <v>1303</v>
      </c>
      <c r="K3967" s="370"/>
      <c r="N3967" s="370"/>
    </row>
    <row r="3968" spans="1:14" s="347" customFormat="1" x14ac:dyDescent="0.25">
      <c r="A3968" s="369"/>
      <c r="E3968" s="396"/>
      <c r="F3968" s="396"/>
      <c r="G3968" s="396"/>
      <c r="K3968" s="370"/>
      <c r="N3968" s="370"/>
    </row>
    <row r="3969" spans="1:14" s="347" customFormat="1" x14ac:dyDescent="0.25">
      <c r="A3969" s="369">
        <v>44403</v>
      </c>
      <c r="B3969" s="340">
        <f>+MONTH(A3969)</f>
        <v>7</v>
      </c>
      <c r="C3969" s="347">
        <v>110</v>
      </c>
      <c r="D3969" s="340" t="str">
        <f>VLOOKUP(C3969,Plan!A$1:B$65542,2,0)</f>
        <v>Disponible Administración</v>
      </c>
      <c r="E3969" s="341">
        <f>+F3969-G3969</f>
        <v>2000</v>
      </c>
      <c r="F3969" s="396">
        <v>2000</v>
      </c>
      <c r="G3969" s="396">
        <v>0</v>
      </c>
      <c r="H3969" s="156" t="s">
        <v>1824</v>
      </c>
      <c r="I3969" s="347" t="s">
        <v>1303</v>
      </c>
      <c r="K3969" s="370"/>
      <c r="N3969" s="370"/>
    </row>
    <row r="3970" spans="1:14" s="347" customFormat="1" x14ac:dyDescent="0.25">
      <c r="A3970" s="369">
        <f>+A3969</f>
        <v>44403</v>
      </c>
      <c r="B3970" s="347">
        <f>+B3969</f>
        <v>7</v>
      </c>
      <c r="C3970" s="347">
        <v>3110</v>
      </c>
      <c r="D3970" s="340" t="str">
        <f>VLOOKUP(C3970,Plan!A$1:B$65542,2,0)</f>
        <v>Colectas Normales</v>
      </c>
      <c r="E3970" s="396">
        <f>-G3970</f>
        <v>-2000</v>
      </c>
      <c r="F3970" s="396">
        <v>0</v>
      </c>
      <c r="G3970" s="396">
        <f>+F3969</f>
        <v>2000</v>
      </c>
      <c r="H3970" s="347" t="str">
        <f>+H3969</f>
        <v>Colecta Jose Miguel Perez de Castro Z</v>
      </c>
      <c r="I3970" s="347" t="s">
        <v>1303</v>
      </c>
      <c r="K3970" s="370"/>
      <c r="N3970" s="370"/>
    </row>
    <row r="3971" spans="1:14" s="347" customFormat="1" x14ac:dyDescent="0.25">
      <c r="A3971" s="369"/>
      <c r="E3971" s="396"/>
      <c r="F3971" s="396"/>
      <c r="G3971" s="396"/>
      <c r="K3971" s="370"/>
      <c r="N3971" s="370"/>
    </row>
    <row r="3972" spans="1:14" s="347" customFormat="1" x14ac:dyDescent="0.25">
      <c r="A3972" s="369">
        <v>44403</v>
      </c>
      <c r="B3972" s="340">
        <f>+MONTH(A3972)</f>
        <v>7</v>
      </c>
      <c r="C3972" s="347">
        <v>110</v>
      </c>
      <c r="D3972" s="340" t="str">
        <f>VLOOKUP(C3972,Plan!A$1:B$65542,2,0)</f>
        <v>Disponible Administración</v>
      </c>
      <c r="E3972" s="341">
        <f>+F3972-G3972</f>
        <v>20000</v>
      </c>
      <c r="F3972" s="396">
        <v>20000</v>
      </c>
      <c r="G3972" s="396">
        <v>0</v>
      </c>
      <c r="H3972" s="156" t="s">
        <v>1519</v>
      </c>
      <c r="I3972" s="347" t="s">
        <v>1303</v>
      </c>
      <c r="K3972" s="370"/>
      <c r="N3972" s="370"/>
    </row>
    <row r="3973" spans="1:14" s="347" customFormat="1" x14ac:dyDescent="0.25">
      <c r="A3973" s="369">
        <f>+A3972</f>
        <v>44403</v>
      </c>
      <c r="B3973" s="347">
        <f>+B3972</f>
        <v>7</v>
      </c>
      <c r="C3973" s="347">
        <v>3110</v>
      </c>
      <c r="D3973" s="340" t="str">
        <f>VLOOKUP(C3973,Plan!A$1:B$65542,2,0)</f>
        <v>Colectas Normales</v>
      </c>
      <c r="E3973" s="396">
        <f>-G3973</f>
        <v>-20000</v>
      </c>
      <c r="F3973" s="396">
        <v>0</v>
      </c>
      <c r="G3973" s="396">
        <f>+F3972</f>
        <v>20000</v>
      </c>
      <c r="H3973" s="347" t="str">
        <f>+H3972</f>
        <v>Colecta Juan Rafael Arnaiz</v>
      </c>
      <c r="I3973" s="347" t="s">
        <v>1303</v>
      </c>
      <c r="K3973" s="370"/>
      <c r="N3973" s="370"/>
    </row>
    <row r="3974" spans="1:14" s="347" customFormat="1" x14ac:dyDescent="0.25">
      <c r="A3974" s="369"/>
      <c r="E3974" s="396"/>
      <c r="F3974" s="396"/>
      <c r="G3974" s="396"/>
      <c r="K3974" s="370"/>
      <c r="N3974" s="370"/>
    </row>
    <row r="3975" spans="1:14" s="347" customFormat="1" x14ac:dyDescent="0.25">
      <c r="A3975" s="369">
        <v>44403</v>
      </c>
      <c r="B3975" s="340">
        <f>+MONTH(A3975)</f>
        <v>7</v>
      </c>
      <c r="C3975" s="347">
        <v>110</v>
      </c>
      <c r="D3975" s="340" t="str">
        <f>VLOOKUP(C3975,Plan!A$1:B$65542,2,0)</f>
        <v>Disponible Administración</v>
      </c>
      <c r="E3975" s="341">
        <f>+F3975-G3975</f>
        <v>20000</v>
      </c>
      <c r="F3975" s="396">
        <v>20000</v>
      </c>
      <c r="G3975" s="396">
        <v>0</v>
      </c>
      <c r="H3975" s="156" t="s">
        <v>1825</v>
      </c>
      <c r="I3975" s="347" t="s">
        <v>1303</v>
      </c>
      <c r="K3975" s="370"/>
      <c r="N3975" s="370"/>
    </row>
    <row r="3976" spans="1:14" s="347" customFormat="1" x14ac:dyDescent="0.25">
      <c r="A3976" s="369">
        <f>+A3975</f>
        <v>44403</v>
      </c>
      <c r="B3976" s="347">
        <f>+B3975</f>
        <v>7</v>
      </c>
      <c r="C3976" s="347">
        <v>3110</v>
      </c>
      <c r="D3976" s="340" t="str">
        <f>VLOOKUP(C3976,Plan!A$1:B$65542,2,0)</f>
        <v>Colectas Normales</v>
      </c>
      <c r="E3976" s="396">
        <f>-G3976</f>
        <v>-20000</v>
      </c>
      <c r="F3976" s="396">
        <v>0</v>
      </c>
      <c r="G3976" s="396">
        <f>+F3975</f>
        <v>20000</v>
      </c>
      <c r="H3976" s="347" t="str">
        <f>+H3975</f>
        <v>Colecta Mariz Loreto Valenzuela Arata</v>
      </c>
      <c r="I3976" s="347" t="s">
        <v>1303</v>
      </c>
      <c r="K3976" s="370"/>
      <c r="N3976" s="370"/>
    </row>
    <row r="3977" spans="1:14" s="347" customFormat="1" x14ac:dyDescent="0.25">
      <c r="A3977" s="369"/>
      <c r="E3977" s="396"/>
      <c r="F3977" s="396"/>
      <c r="G3977" s="396"/>
      <c r="K3977" s="370"/>
      <c r="N3977" s="370"/>
    </row>
    <row r="3978" spans="1:14" s="347" customFormat="1" x14ac:dyDescent="0.25">
      <c r="A3978" s="369">
        <v>44403</v>
      </c>
      <c r="B3978" s="340">
        <f>+MONTH(A3978)</f>
        <v>7</v>
      </c>
      <c r="C3978" s="347">
        <v>110</v>
      </c>
      <c r="D3978" s="340" t="str">
        <f>VLOOKUP(C3978,Plan!A$1:B$65542,2,0)</f>
        <v>Disponible Administración</v>
      </c>
      <c r="E3978" s="341">
        <f>+F3978-G3978</f>
        <v>2000</v>
      </c>
      <c r="F3978" s="396">
        <v>2000</v>
      </c>
      <c r="G3978" s="396">
        <v>0</v>
      </c>
      <c r="H3978" s="156" t="s">
        <v>1216</v>
      </c>
      <c r="I3978" s="347" t="s">
        <v>1303</v>
      </c>
      <c r="K3978" s="370"/>
      <c r="N3978" s="370"/>
    </row>
    <row r="3979" spans="1:14" s="347" customFormat="1" x14ac:dyDescent="0.25">
      <c r="A3979" s="369">
        <f>+A3978</f>
        <v>44403</v>
      </c>
      <c r="B3979" s="347">
        <f>+B3978</f>
        <v>7</v>
      </c>
      <c r="C3979" s="347">
        <v>3110</v>
      </c>
      <c r="D3979" s="340" t="str">
        <f>VLOOKUP(C3979,Plan!A$1:B$65542,2,0)</f>
        <v>Colectas Normales</v>
      </c>
      <c r="E3979" s="396">
        <f>-G3979</f>
        <v>-2000</v>
      </c>
      <c r="F3979" s="396">
        <v>0</v>
      </c>
      <c r="G3979" s="396">
        <f>+F3978</f>
        <v>2000</v>
      </c>
      <c r="H3979" s="347" t="str">
        <f>+H3978</f>
        <v>Colecta Trinidad Barriga Cruzat</v>
      </c>
      <c r="I3979" s="347" t="s">
        <v>1303</v>
      </c>
      <c r="K3979" s="370"/>
      <c r="N3979" s="370"/>
    </row>
    <row r="3980" spans="1:14" s="347" customFormat="1" x14ac:dyDescent="0.25">
      <c r="A3980" s="369"/>
      <c r="E3980" s="396"/>
      <c r="F3980" s="396"/>
      <c r="G3980" s="396"/>
      <c r="K3980" s="370"/>
      <c r="N3980" s="370"/>
    </row>
    <row r="3981" spans="1:14" s="347" customFormat="1" x14ac:dyDescent="0.25">
      <c r="A3981" s="369">
        <v>44403</v>
      </c>
      <c r="B3981" s="340">
        <f>+MONTH(A3981)</f>
        <v>7</v>
      </c>
      <c r="C3981" s="347">
        <v>110</v>
      </c>
      <c r="D3981" s="340" t="str">
        <f>VLOOKUP(C3981,Plan!A$1:B$65542,2,0)</f>
        <v>Disponible Administración</v>
      </c>
      <c r="E3981" s="341">
        <f>+F3981-G3981</f>
        <v>218450</v>
      </c>
      <c r="F3981" s="396">
        <v>218450</v>
      </c>
      <c r="G3981" s="396">
        <v>0</v>
      </c>
      <c r="H3981" t="s">
        <v>1826</v>
      </c>
      <c r="I3981" s="347" t="s">
        <v>1303</v>
      </c>
      <c r="K3981" s="370"/>
      <c r="N3981" s="370"/>
    </row>
    <row r="3982" spans="1:14" s="347" customFormat="1" x14ac:dyDescent="0.25">
      <c r="A3982" s="369">
        <f>+A3981</f>
        <v>44403</v>
      </c>
      <c r="B3982" s="347">
        <f>+B3981</f>
        <v>7</v>
      </c>
      <c r="C3982" s="347">
        <v>3110</v>
      </c>
      <c r="D3982" s="340" t="str">
        <f>VLOOKUP(C3982,Plan!A$1:B$65542,2,0)</f>
        <v>Colectas Normales</v>
      </c>
      <c r="E3982" s="396">
        <f>-G3982</f>
        <v>-218450</v>
      </c>
      <c r="F3982" s="396">
        <v>0</v>
      </c>
      <c r="G3982" s="396">
        <f>+F3981</f>
        <v>218450</v>
      </c>
      <c r="H3982" s="347" t="str">
        <f>+H3981</f>
        <v xml:space="preserve">Dep. Colecta Col. Cordillera </v>
      </c>
      <c r="I3982" s="347" t="s">
        <v>1303</v>
      </c>
      <c r="K3982" s="370"/>
      <c r="N3982" s="370"/>
    </row>
    <row r="3983" spans="1:14" s="347" customFormat="1" x14ac:dyDescent="0.25">
      <c r="A3983" s="369"/>
      <c r="E3983" s="396"/>
      <c r="F3983" s="396"/>
      <c r="G3983" s="396"/>
      <c r="K3983" s="370"/>
      <c r="N3983" s="370"/>
    </row>
    <row r="3984" spans="1:14" s="347" customFormat="1" x14ac:dyDescent="0.25">
      <c r="A3984" s="369">
        <v>44404</v>
      </c>
      <c r="B3984" s="340">
        <f>+MONTH(A3984)</f>
        <v>7</v>
      </c>
      <c r="C3984" s="347">
        <v>110</v>
      </c>
      <c r="D3984" s="340" t="str">
        <f>VLOOKUP(C3984,Plan!A$1:B$65542,2,0)</f>
        <v>Disponible Administración</v>
      </c>
      <c r="E3984" s="341">
        <f>+F3984-G3984</f>
        <v>25000</v>
      </c>
      <c r="F3984" s="396">
        <v>25000</v>
      </c>
      <c r="G3984" s="396">
        <v>0</v>
      </c>
      <c r="H3984" s="156" t="s">
        <v>926</v>
      </c>
      <c r="I3984" s="347" t="s">
        <v>1303</v>
      </c>
      <c r="K3984" s="370"/>
      <c r="N3984" s="370"/>
    </row>
    <row r="3985" spans="1:14" s="347" customFormat="1" x14ac:dyDescent="0.25">
      <c r="A3985" s="369">
        <f>+A3984</f>
        <v>44404</v>
      </c>
      <c r="B3985" s="347">
        <f>+B3984</f>
        <v>7</v>
      </c>
      <c r="C3985" s="347">
        <v>3110</v>
      </c>
      <c r="D3985" s="340" t="str">
        <f>VLOOKUP(C3985,Plan!A$1:B$65542,2,0)</f>
        <v>Colectas Normales</v>
      </c>
      <c r="E3985" s="396">
        <f>-G3985</f>
        <v>-25000</v>
      </c>
      <c r="F3985" s="396">
        <v>0</v>
      </c>
      <c r="G3985" s="396">
        <f>+F3984</f>
        <v>25000</v>
      </c>
      <c r="H3985" s="347" t="str">
        <f>+H3984</f>
        <v>Colecta Rodrigo Eduardo Duran Cuinas</v>
      </c>
      <c r="I3985" s="347" t="s">
        <v>1303</v>
      </c>
      <c r="K3985" s="370"/>
      <c r="N3985" s="370"/>
    </row>
    <row r="3986" spans="1:14" s="347" customFormat="1" x14ac:dyDescent="0.25">
      <c r="A3986" s="369"/>
      <c r="E3986" s="396"/>
      <c r="F3986" s="396"/>
      <c r="G3986" s="396"/>
      <c r="K3986" s="370"/>
      <c r="N3986" s="370"/>
    </row>
    <row r="3987" spans="1:14" s="347" customFormat="1" x14ac:dyDescent="0.25">
      <c r="A3987" s="369">
        <v>44404</v>
      </c>
      <c r="B3987" s="340">
        <f>+MONTH(A3987)</f>
        <v>7</v>
      </c>
      <c r="C3987" s="347">
        <v>110</v>
      </c>
      <c r="D3987" s="340" t="str">
        <f>VLOOKUP(C3987,Plan!A$1:B$65542,2,0)</f>
        <v>Disponible Administración</v>
      </c>
      <c r="E3987" s="341">
        <f>+F3987-G3987</f>
        <v>25000</v>
      </c>
      <c r="F3987" s="396">
        <v>25000</v>
      </c>
      <c r="G3987" s="396">
        <v>0</v>
      </c>
      <c r="H3987" s="156" t="s">
        <v>1445</v>
      </c>
      <c r="I3987" s="347" t="s">
        <v>1303</v>
      </c>
      <c r="K3987" s="370"/>
      <c r="N3987" s="370"/>
    </row>
    <row r="3988" spans="1:14" s="347" customFormat="1" x14ac:dyDescent="0.25">
      <c r="A3988" s="369">
        <f>+A3987</f>
        <v>44404</v>
      </c>
      <c r="B3988" s="347">
        <f>+B3987</f>
        <v>7</v>
      </c>
      <c r="C3988" s="347">
        <v>3360</v>
      </c>
      <c r="D3988" s="340" t="str">
        <f>VLOOKUP(C3988,Plan!A$1:B$65542,2,0)</f>
        <v>Otros</v>
      </c>
      <c r="E3988" s="396">
        <f>-G3988</f>
        <v>-25000</v>
      </c>
      <c r="F3988" s="396">
        <v>0</v>
      </c>
      <c r="G3988" s="396">
        <f>+F3987</f>
        <v>25000</v>
      </c>
      <c r="H3988" s="347" t="str">
        <f>+H3987</f>
        <v>Curso Ana Maria Alvarez Toro</v>
      </c>
      <c r="I3988" s="347" t="s">
        <v>1303</v>
      </c>
      <c r="K3988" s="370"/>
      <c r="N3988" s="370"/>
    </row>
    <row r="3989" spans="1:14" s="347" customFormat="1" x14ac:dyDescent="0.25">
      <c r="A3989" s="369"/>
      <c r="E3989" s="396"/>
      <c r="F3989" s="396"/>
      <c r="G3989" s="396"/>
      <c r="K3989" s="370"/>
      <c r="N3989" s="370"/>
    </row>
    <row r="3990" spans="1:14" s="347" customFormat="1" x14ac:dyDescent="0.25">
      <c r="A3990" s="369">
        <v>44404</v>
      </c>
      <c r="B3990" s="340">
        <f>+MONTH(A3990)</f>
        <v>7</v>
      </c>
      <c r="C3990" s="347">
        <v>110</v>
      </c>
      <c r="D3990" s="340" t="str">
        <f>VLOOKUP(C3990,Plan!A$1:B$65542,2,0)</f>
        <v>Disponible Administración</v>
      </c>
      <c r="E3990" s="341">
        <f>+F3990-G3990</f>
        <v>500000</v>
      </c>
      <c r="F3990" s="396">
        <v>500000</v>
      </c>
      <c r="G3990" s="396">
        <v>0</v>
      </c>
      <c r="H3990" s="156" t="s">
        <v>1809</v>
      </c>
      <c r="I3990" s="347" t="s">
        <v>1303</v>
      </c>
      <c r="K3990" s="370"/>
      <c r="N3990" s="370"/>
    </row>
    <row r="3991" spans="1:14" s="347" customFormat="1" x14ac:dyDescent="0.25">
      <c r="A3991" s="369">
        <f>+A3990</f>
        <v>44404</v>
      </c>
      <c r="B3991" s="347">
        <f>+B3990</f>
        <v>7</v>
      </c>
      <c r="C3991" s="347">
        <v>3360</v>
      </c>
      <c r="D3991" s="340" t="str">
        <f>VLOOKUP(C3991,Plan!A$1:B$65542,2,0)</f>
        <v>Otros</v>
      </c>
      <c r="E3991" s="396">
        <f>-G3991</f>
        <v>-500000</v>
      </c>
      <c r="F3991" s="396">
        <v>0</v>
      </c>
      <c r="G3991" s="396">
        <f>+F3990</f>
        <v>500000</v>
      </c>
      <c r="H3991" s="347" t="str">
        <f>+H3990</f>
        <v>Curso Jose Miguel Carafi Melero</v>
      </c>
      <c r="I3991" s="347" t="s">
        <v>1303</v>
      </c>
      <c r="K3991" s="370"/>
      <c r="N3991" s="370"/>
    </row>
    <row r="3992" spans="1:14" s="347" customFormat="1" x14ac:dyDescent="0.25">
      <c r="A3992" s="369"/>
      <c r="E3992" s="396"/>
      <c r="F3992" s="396"/>
      <c r="G3992" s="396"/>
      <c r="K3992" s="370"/>
      <c r="N3992" s="370"/>
    </row>
    <row r="3993" spans="1:14" s="347" customFormat="1" x14ac:dyDescent="0.25">
      <c r="A3993" s="369">
        <v>44404</v>
      </c>
      <c r="B3993" s="340">
        <f>+MONTH(A3993)</f>
        <v>7</v>
      </c>
      <c r="C3993" s="347">
        <v>110</v>
      </c>
      <c r="D3993" s="340" t="str">
        <f>VLOOKUP(C3993,Plan!A$1:B$65542,2,0)</f>
        <v>Disponible Administración</v>
      </c>
      <c r="E3993" s="341">
        <f>+F3993-G3993</f>
        <v>5000</v>
      </c>
      <c r="F3993" s="396">
        <v>5000</v>
      </c>
      <c r="G3993" s="396">
        <v>0</v>
      </c>
      <c r="H3993" s="156" t="s">
        <v>1151</v>
      </c>
      <c r="I3993" s="347" t="s">
        <v>1303</v>
      </c>
      <c r="K3993" s="370"/>
      <c r="N3993" s="370"/>
    </row>
    <row r="3994" spans="1:14" s="347" customFormat="1" x14ac:dyDescent="0.25">
      <c r="A3994" s="369">
        <f>+A3993</f>
        <v>44404</v>
      </c>
      <c r="B3994" s="347">
        <f>+B3993</f>
        <v>7</v>
      </c>
      <c r="C3994" s="347">
        <v>3110</v>
      </c>
      <c r="D3994" s="340" t="str">
        <f>VLOOKUP(C3994,Plan!A$1:B$65542,2,0)</f>
        <v>Colectas Normales</v>
      </c>
      <c r="E3994" s="396">
        <f>-G3994</f>
        <v>-5000</v>
      </c>
      <c r="F3994" s="396">
        <v>0</v>
      </c>
      <c r="G3994" s="396">
        <f>+F3993</f>
        <v>5000</v>
      </c>
      <c r="H3994" s="347" t="str">
        <f>+H3993</f>
        <v>Colecta Eduardo Boys M</v>
      </c>
      <c r="I3994" s="347" t="s">
        <v>1303</v>
      </c>
      <c r="K3994" s="370"/>
      <c r="N3994" s="370"/>
    </row>
    <row r="3995" spans="1:14" s="347" customFormat="1" x14ac:dyDescent="0.25">
      <c r="A3995" s="369"/>
      <c r="E3995" s="396"/>
      <c r="F3995" s="396"/>
      <c r="G3995" s="396"/>
      <c r="K3995" s="370"/>
      <c r="N3995" s="370"/>
    </row>
    <row r="3996" spans="1:14" s="347" customFormat="1" x14ac:dyDescent="0.25">
      <c r="A3996" s="369">
        <v>44404</v>
      </c>
      <c r="B3996" s="340">
        <f>+MONTH(A3996)</f>
        <v>7</v>
      </c>
      <c r="C3996" s="347">
        <v>110</v>
      </c>
      <c r="D3996" s="340" t="str">
        <f>VLOOKUP(C3996,Plan!A$1:B$65542,2,0)</f>
        <v>Disponible Administración</v>
      </c>
      <c r="E3996" s="341">
        <f>+F3996-G3996</f>
        <v>478200</v>
      </c>
      <c r="F3996" s="396">
        <v>478200</v>
      </c>
      <c r="G3996" s="396">
        <v>0</v>
      </c>
      <c r="H3996" s="156" t="s">
        <v>1439</v>
      </c>
      <c r="I3996" s="347" t="s">
        <v>1303</v>
      </c>
      <c r="K3996" s="370"/>
      <c r="N3996" s="370"/>
    </row>
    <row r="3997" spans="1:14" s="347" customFormat="1" x14ac:dyDescent="0.25">
      <c r="A3997" s="369">
        <f>+A3996</f>
        <v>44404</v>
      </c>
      <c r="B3997" s="347">
        <f>+B3996</f>
        <v>7</v>
      </c>
      <c r="C3997" s="347">
        <v>3110</v>
      </c>
      <c r="D3997" s="340" t="str">
        <f>VLOOKUP(C3997,Plan!A$1:B$65542,2,0)</f>
        <v>Colectas Normales</v>
      </c>
      <c r="E3997" s="396">
        <f>-G3997</f>
        <v>-478200</v>
      </c>
      <c r="F3997" s="396">
        <v>0</v>
      </c>
      <c r="G3997" s="396">
        <f>+F3996</f>
        <v>478200</v>
      </c>
      <c r="H3997" s="347" t="str">
        <f>+H3996</f>
        <v>Dep. Colecta Col. Cordillera</v>
      </c>
      <c r="I3997" s="347" t="s">
        <v>1303</v>
      </c>
      <c r="K3997" s="370"/>
      <c r="N3997" s="370"/>
    </row>
    <row r="3998" spans="1:14" s="347" customFormat="1" x14ac:dyDescent="0.25">
      <c r="A3998" s="369"/>
      <c r="E3998" s="396"/>
      <c r="F3998" s="396"/>
      <c r="G3998" s="396"/>
      <c r="K3998" s="370"/>
      <c r="N3998" s="370"/>
    </row>
    <row r="3999" spans="1:14" s="347" customFormat="1" x14ac:dyDescent="0.25">
      <c r="A3999" s="369">
        <v>44405</v>
      </c>
      <c r="B3999" s="340">
        <f>+MONTH(A3999)</f>
        <v>7</v>
      </c>
      <c r="C3999" s="347">
        <v>110</v>
      </c>
      <c r="D3999" s="340" t="str">
        <f>VLOOKUP(C3999,Plan!A$1:B$65542,2,0)</f>
        <v>Disponible Administración</v>
      </c>
      <c r="E3999" s="341">
        <f>+F3999-G3999</f>
        <v>20000</v>
      </c>
      <c r="F3999" s="396">
        <v>20000</v>
      </c>
      <c r="G3999" s="396">
        <v>0</v>
      </c>
      <c r="H3999" s="156" t="s">
        <v>962</v>
      </c>
      <c r="I3999" s="347" t="s">
        <v>1303</v>
      </c>
      <c r="K3999" s="370"/>
      <c r="N3999" s="370"/>
    </row>
    <row r="4000" spans="1:14" s="347" customFormat="1" x14ac:dyDescent="0.25">
      <c r="A4000" s="369">
        <f>+A3999</f>
        <v>44405</v>
      </c>
      <c r="B4000" s="347">
        <f>+B3999</f>
        <v>7</v>
      </c>
      <c r="C4000" s="347">
        <v>3110</v>
      </c>
      <c r="D4000" s="340" t="str">
        <f>VLOOKUP(C4000,Plan!A$1:B$65542,2,0)</f>
        <v>Colectas Normales</v>
      </c>
      <c r="E4000" s="396">
        <f>-G4000</f>
        <v>-20000</v>
      </c>
      <c r="F4000" s="396">
        <v>0</v>
      </c>
      <c r="G4000" s="396">
        <f>+F3999</f>
        <v>20000</v>
      </c>
      <c r="H4000" s="347" t="str">
        <f>+H3999</f>
        <v>Colecta Pablo Garcia</v>
      </c>
      <c r="I4000" s="347" t="s">
        <v>1303</v>
      </c>
      <c r="K4000" s="370"/>
      <c r="N4000" s="370"/>
    </row>
    <row r="4001" spans="1:14" s="347" customFormat="1" x14ac:dyDescent="0.25">
      <c r="A4001" s="369"/>
      <c r="E4001" s="396"/>
      <c r="F4001" s="396"/>
      <c r="G4001" s="396"/>
      <c r="K4001" s="370"/>
      <c r="N4001" s="370"/>
    </row>
    <row r="4002" spans="1:14" s="347" customFormat="1" x14ac:dyDescent="0.25">
      <c r="A4002" s="369">
        <v>44405</v>
      </c>
      <c r="B4002" s="340">
        <f>+MONTH(A4002)</f>
        <v>7</v>
      </c>
      <c r="C4002" s="347">
        <v>110</v>
      </c>
      <c r="D4002" s="340" t="str">
        <f>VLOOKUP(C4002,Plan!A$1:B$65542,2,0)</f>
        <v>Disponible Administración</v>
      </c>
      <c r="E4002" s="341">
        <f>+F4002-G4002</f>
        <v>20000</v>
      </c>
      <c r="F4002" s="396">
        <v>20000</v>
      </c>
      <c r="G4002" s="396">
        <v>0</v>
      </c>
      <c r="H4002" s="156" t="s">
        <v>1334</v>
      </c>
      <c r="I4002" s="347" t="s">
        <v>1303</v>
      </c>
      <c r="K4002" s="370"/>
      <c r="N4002" s="370"/>
    </row>
    <row r="4003" spans="1:14" s="347" customFormat="1" x14ac:dyDescent="0.25">
      <c r="A4003" s="369">
        <f>+A4002</f>
        <v>44405</v>
      </c>
      <c r="B4003" s="347">
        <f>+B4002</f>
        <v>7</v>
      </c>
      <c r="C4003" s="347">
        <v>3110</v>
      </c>
      <c r="D4003" s="340" t="str">
        <f>VLOOKUP(C4003,Plan!A$1:B$65542,2,0)</f>
        <v>Colectas Normales</v>
      </c>
      <c r="E4003" s="396">
        <f>-G4003</f>
        <v>-20000</v>
      </c>
      <c r="F4003" s="396">
        <v>0</v>
      </c>
      <c r="G4003" s="396">
        <f>+F4002</f>
        <v>20000</v>
      </c>
      <c r="H4003" s="347" t="str">
        <f>+H4002</f>
        <v>Colecta Ana Maria Alvarez T</v>
      </c>
      <c r="I4003" s="347" t="s">
        <v>1303</v>
      </c>
      <c r="K4003" s="370"/>
      <c r="N4003" s="370"/>
    </row>
    <row r="4004" spans="1:14" s="347" customFormat="1" x14ac:dyDescent="0.25">
      <c r="A4004" s="369"/>
      <c r="E4004" s="396"/>
      <c r="F4004" s="396"/>
      <c r="G4004" s="396"/>
      <c r="K4004" s="370"/>
      <c r="N4004" s="370"/>
    </row>
    <row r="4005" spans="1:14" s="347" customFormat="1" x14ac:dyDescent="0.25">
      <c r="A4005" s="369">
        <v>44406</v>
      </c>
      <c r="B4005" s="340">
        <f>+MONTH(A4005)</f>
        <v>7</v>
      </c>
      <c r="C4005" s="347">
        <v>110</v>
      </c>
      <c r="D4005" s="340" t="str">
        <f>VLOOKUP(C4005,Plan!A$1:B$65542,2,0)</f>
        <v>Disponible Administración</v>
      </c>
      <c r="E4005" s="341">
        <f>+F4005-G4005</f>
        <v>20000</v>
      </c>
      <c r="F4005" s="396">
        <v>20000</v>
      </c>
      <c r="G4005" s="396">
        <v>0</v>
      </c>
      <c r="H4005" s="156" t="s">
        <v>1827</v>
      </c>
      <c r="I4005" s="347" t="s">
        <v>1303</v>
      </c>
      <c r="K4005" s="370"/>
      <c r="N4005" s="370"/>
    </row>
    <row r="4006" spans="1:14" s="347" customFormat="1" x14ac:dyDescent="0.25">
      <c r="A4006" s="369">
        <f>+A4005</f>
        <v>44406</v>
      </c>
      <c r="B4006" s="347">
        <f>+B4005</f>
        <v>7</v>
      </c>
      <c r="C4006" s="347">
        <v>3350</v>
      </c>
      <c r="D4006" s="340" t="str">
        <f>VLOOKUP(C4006,Plan!A$1:B$65542,2,0)</f>
        <v>Bautizos</v>
      </c>
      <c r="E4006" s="396">
        <f>-G4006</f>
        <v>-20000</v>
      </c>
      <c r="F4006" s="396">
        <v>0</v>
      </c>
      <c r="G4006" s="396">
        <f>+F4005</f>
        <v>20000</v>
      </c>
      <c r="H4006" s="347" t="str">
        <f>+H4005</f>
        <v>Bautizo Nicolas Aspillaga Pumarino</v>
      </c>
      <c r="I4006" s="347" t="s">
        <v>1303</v>
      </c>
      <c r="K4006" s="370"/>
      <c r="N4006" s="370"/>
    </row>
    <row r="4007" spans="1:14" s="347" customFormat="1" x14ac:dyDescent="0.25">
      <c r="A4007" s="369"/>
      <c r="E4007" s="396"/>
      <c r="F4007" s="396"/>
      <c r="G4007" s="396"/>
      <c r="K4007" s="370"/>
      <c r="N4007" s="370"/>
    </row>
    <row r="4008" spans="1:14" s="347" customFormat="1" x14ac:dyDescent="0.25">
      <c r="A4008" s="369">
        <v>44406</v>
      </c>
      <c r="B4008" s="340">
        <f>+MONTH(A4008)</f>
        <v>7</v>
      </c>
      <c r="C4008" s="347">
        <v>110</v>
      </c>
      <c r="D4008" s="340" t="str">
        <f>VLOOKUP(C4008,Plan!A$1:B$65542,2,0)</f>
        <v>Disponible Administración</v>
      </c>
      <c r="E4008" s="341">
        <f>+F4008-G4008</f>
        <v>40000</v>
      </c>
      <c r="F4008" s="396">
        <v>40000</v>
      </c>
      <c r="G4008" s="396">
        <v>0</v>
      </c>
      <c r="H4008" s="156" t="s">
        <v>1121</v>
      </c>
      <c r="I4008" s="347" t="s">
        <v>1303</v>
      </c>
      <c r="K4008" s="370"/>
      <c r="N4008" s="370"/>
    </row>
    <row r="4009" spans="1:14" s="347" customFormat="1" x14ac:dyDescent="0.25">
      <c r="A4009" s="369">
        <f>+A4008</f>
        <v>44406</v>
      </c>
      <c r="B4009" s="347">
        <f>+B4008</f>
        <v>7</v>
      </c>
      <c r="C4009" s="347">
        <v>3110</v>
      </c>
      <c r="D4009" s="340" t="str">
        <f>VLOOKUP(C4009,Plan!A$1:B$65542,2,0)</f>
        <v>Colectas Normales</v>
      </c>
      <c r="E4009" s="396">
        <f>-G4009</f>
        <v>-40000</v>
      </c>
      <c r="F4009" s="396">
        <v>0</v>
      </c>
      <c r="G4009" s="396">
        <f>+F4008</f>
        <v>40000</v>
      </c>
      <c r="H4009" s="347" t="str">
        <f>+H4008</f>
        <v>Colecta Luis Marin J.</v>
      </c>
      <c r="I4009" s="347" t="s">
        <v>1303</v>
      </c>
      <c r="K4009" s="370"/>
      <c r="N4009" s="370"/>
    </row>
    <row r="4010" spans="1:14" s="347" customFormat="1" x14ac:dyDescent="0.25">
      <c r="A4010" s="369"/>
      <c r="E4010" s="396"/>
      <c r="F4010" s="396"/>
      <c r="G4010" s="396"/>
      <c r="K4010" s="370"/>
      <c r="N4010" s="370"/>
    </row>
    <row r="4011" spans="1:14" s="347" customFormat="1" x14ac:dyDescent="0.25">
      <c r="A4011" s="369">
        <v>44406</v>
      </c>
      <c r="B4011" s="340">
        <f>+MONTH(A4011)</f>
        <v>7</v>
      </c>
      <c r="C4011" s="347">
        <v>110</v>
      </c>
      <c r="D4011" s="340" t="str">
        <f>VLOOKUP(C4011,Plan!A$1:B$65542,2,0)</f>
        <v>Disponible Administración</v>
      </c>
      <c r="E4011" s="341">
        <f>+F4011-G4011</f>
        <v>10000</v>
      </c>
      <c r="F4011" s="396">
        <v>10000</v>
      </c>
      <c r="G4011" s="396">
        <v>0</v>
      </c>
      <c r="H4011" s="156" t="s">
        <v>1828</v>
      </c>
      <c r="I4011" s="347" t="s">
        <v>1303</v>
      </c>
      <c r="K4011" s="370"/>
      <c r="N4011" s="370"/>
    </row>
    <row r="4012" spans="1:14" s="347" customFormat="1" x14ac:dyDescent="0.25">
      <c r="A4012" s="369">
        <f>+A4011</f>
        <v>44406</v>
      </c>
      <c r="B4012" s="347">
        <f>+B4011</f>
        <v>7</v>
      </c>
      <c r="C4012" s="347">
        <v>3340</v>
      </c>
      <c r="D4012" s="340" t="str">
        <f>VLOOKUP(C4012,Plan!A$1:B$65542,2,0)</f>
        <v>Misas</v>
      </c>
      <c r="E4012" s="396">
        <f>-G4012</f>
        <v>-10000</v>
      </c>
      <c r="F4012" s="396">
        <v>0</v>
      </c>
      <c r="G4012" s="396">
        <f>+F4011</f>
        <v>10000</v>
      </c>
      <c r="H4012" s="347" t="str">
        <f>+H4011</f>
        <v>Misa Maria Corte</v>
      </c>
      <c r="I4012" s="347" t="s">
        <v>1303</v>
      </c>
      <c r="K4012" s="370"/>
      <c r="N4012" s="370"/>
    </row>
    <row r="4013" spans="1:14" s="347" customFormat="1" x14ac:dyDescent="0.25">
      <c r="A4013" s="369"/>
      <c r="E4013" s="396"/>
      <c r="F4013" s="396"/>
      <c r="G4013" s="396"/>
      <c r="K4013" s="370"/>
      <c r="N4013" s="370"/>
    </row>
    <row r="4014" spans="1:14" s="347" customFormat="1" x14ac:dyDescent="0.25">
      <c r="A4014" s="369">
        <v>44406</v>
      </c>
      <c r="B4014" s="340">
        <f>+MONTH(A4014)</f>
        <v>7</v>
      </c>
      <c r="C4014" s="347">
        <v>110</v>
      </c>
      <c r="D4014" s="340" t="str">
        <f>VLOOKUP(C4014,Plan!A$1:B$65542,2,0)</f>
        <v>Disponible Administración</v>
      </c>
      <c r="E4014" s="341">
        <f>+F4014-G4014</f>
        <v>20000</v>
      </c>
      <c r="F4014" s="396">
        <v>20000</v>
      </c>
      <c r="G4014" s="396">
        <v>0</v>
      </c>
      <c r="H4014" s="156" t="s">
        <v>1829</v>
      </c>
      <c r="I4014" s="347" t="s">
        <v>1303</v>
      </c>
      <c r="K4014" s="370"/>
      <c r="N4014" s="370"/>
    </row>
    <row r="4015" spans="1:14" s="347" customFormat="1" x14ac:dyDescent="0.25">
      <c r="A4015" s="369">
        <f>+A4014</f>
        <v>44406</v>
      </c>
      <c r="B4015" s="347">
        <f>+B4014</f>
        <v>7</v>
      </c>
      <c r="C4015" s="347">
        <v>3350</v>
      </c>
      <c r="D4015" s="340" t="str">
        <f>VLOOKUP(C4015,Plan!A$1:B$65542,2,0)</f>
        <v>Bautizos</v>
      </c>
      <c r="E4015" s="396">
        <f>-G4015</f>
        <v>-20000</v>
      </c>
      <c r="F4015" s="396">
        <v>0</v>
      </c>
      <c r="G4015" s="396">
        <f>+F4014</f>
        <v>20000</v>
      </c>
      <c r="H4015" s="347" t="str">
        <f>+H4014</f>
        <v>Bautizo Andres Ignacio Kanacri Carafi</v>
      </c>
      <c r="I4015" s="347" t="s">
        <v>1303</v>
      </c>
      <c r="K4015" s="370"/>
      <c r="N4015" s="370"/>
    </row>
    <row r="4016" spans="1:14" s="347" customFormat="1" x14ac:dyDescent="0.25">
      <c r="A4016" s="369"/>
      <c r="E4016" s="396"/>
      <c r="F4016" s="396"/>
      <c r="G4016" s="396"/>
      <c r="K4016" s="370"/>
      <c r="N4016" s="370"/>
    </row>
    <row r="4017" spans="1:14" s="347" customFormat="1" x14ac:dyDescent="0.25">
      <c r="A4017" s="369">
        <v>44406</v>
      </c>
      <c r="B4017" s="340">
        <f>+MONTH(A4017)</f>
        <v>7</v>
      </c>
      <c r="C4017" s="347">
        <v>110</v>
      </c>
      <c r="D4017" s="340" t="str">
        <f>VLOOKUP(C4017,Plan!A$1:B$65542,2,0)</f>
        <v>Disponible Administración</v>
      </c>
      <c r="E4017" s="341">
        <f>+F4017-G4017</f>
        <v>8000</v>
      </c>
      <c r="F4017" s="396">
        <v>8000</v>
      </c>
      <c r="G4017" s="396">
        <v>0</v>
      </c>
      <c r="H4017" s="156" t="s">
        <v>1141</v>
      </c>
      <c r="I4017" s="347" t="s">
        <v>1303</v>
      </c>
      <c r="K4017" s="370"/>
      <c r="N4017" s="370"/>
    </row>
    <row r="4018" spans="1:14" s="347" customFormat="1" x14ac:dyDescent="0.25">
      <c r="A4018" s="369">
        <f>+A4017</f>
        <v>44406</v>
      </c>
      <c r="B4018" s="347">
        <f>+B4017</f>
        <v>7</v>
      </c>
      <c r="C4018" s="347">
        <v>3110</v>
      </c>
      <c r="D4018" s="340" t="str">
        <f>VLOOKUP(C4018,Plan!A$1:B$65542,2,0)</f>
        <v>Colectas Normales</v>
      </c>
      <c r="E4018" s="396">
        <f>-G4018</f>
        <v>-8000</v>
      </c>
      <c r="F4018" s="396">
        <v>0</v>
      </c>
      <c r="G4018" s="396">
        <f>+F4017</f>
        <v>8000</v>
      </c>
      <c r="H4018" s="347" t="str">
        <f>+H4017</f>
        <v>Colecta Cristian Huidobro Lermanda</v>
      </c>
      <c r="I4018" s="347" t="s">
        <v>1303</v>
      </c>
      <c r="K4018" s="370"/>
      <c r="N4018" s="370"/>
    </row>
    <row r="4019" spans="1:14" s="347" customFormat="1" x14ac:dyDescent="0.25">
      <c r="A4019" s="369"/>
      <c r="E4019" s="396"/>
      <c r="F4019" s="396"/>
      <c r="G4019" s="396"/>
      <c r="K4019" s="370"/>
      <c r="N4019" s="370"/>
    </row>
    <row r="4020" spans="1:14" s="347" customFormat="1" x14ac:dyDescent="0.25">
      <c r="A4020" s="369">
        <v>44406</v>
      </c>
      <c r="B4020" s="340">
        <f>+MONTH(A4020)</f>
        <v>7</v>
      </c>
      <c r="C4020" s="347">
        <v>110</v>
      </c>
      <c r="D4020" s="340" t="str">
        <f>VLOOKUP(C4020,Plan!A$1:B$65542,2,0)</f>
        <v>Disponible Administración</v>
      </c>
      <c r="E4020" s="341">
        <f>+F4020-G4020</f>
        <v>20000</v>
      </c>
      <c r="F4020" s="396">
        <v>20000</v>
      </c>
      <c r="G4020" s="396">
        <v>0</v>
      </c>
      <c r="H4020" s="156" t="s">
        <v>1830</v>
      </c>
      <c r="I4020" s="347" t="s">
        <v>1303</v>
      </c>
      <c r="K4020" s="370"/>
      <c r="N4020" s="370"/>
    </row>
    <row r="4021" spans="1:14" s="347" customFormat="1" x14ac:dyDescent="0.25">
      <c r="A4021" s="369">
        <f>+A4020</f>
        <v>44406</v>
      </c>
      <c r="B4021" s="347">
        <f>+B4020</f>
        <v>7</v>
      </c>
      <c r="C4021" s="347">
        <v>3350</v>
      </c>
      <c r="D4021" s="340" t="str">
        <f>VLOOKUP(C4021,Plan!A$1:B$65542,2,0)</f>
        <v>Bautizos</v>
      </c>
      <c r="E4021" s="396">
        <f>-G4021</f>
        <v>-20000</v>
      </c>
      <c r="F4021" s="396">
        <v>0</v>
      </c>
      <c r="G4021" s="396">
        <f>+F4020</f>
        <v>20000</v>
      </c>
      <c r="H4021" s="347" t="str">
        <f>+H4020</f>
        <v>Bautizo Gonzalo Laborde Correa</v>
      </c>
      <c r="I4021" s="347" t="s">
        <v>1303</v>
      </c>
      <c r="K4021" s="370"/>
      <c r="N4021" s="370"/>
    </row>
    <row r="4022" spans="1:14" s="347" customFormat="1" x14ac:dyDescent="0.25">
      <c r="A4022" s="369"/>
      <c r="E4022" s="396"/>
      <c r="F4022" s="396"/>
      <c r="G4022" s="396"/>
      <c r="K4022" s="370"/>
      <c r="N4022" s="370"/>
    </row>
    <row r="4023" spans="1:14" s="347" customFormat="1" x14ac:dyDescent="0.25">
      <c r="A4023" s="369">
        <v>44407</v>
      </c>
      <c r="B4023" s="340">
        <f>+MONTH(A4023)</f>
        <v>7</v>
      </c>
      <c r="C4023" s="347">
        <v>4680</v>
      </c>
      <c r="D4023" s="340" t="str">
        <f>VLOOKUP(C4023,Plan!A$1:B$65542,2,0)</f>
        <v>Pastoral Comunicacional</v>
      </c>
      <c r="E4023" s="341">
        <f>+F4023-G4023</f>
        <v>423803</v>
      </c>
      <c r="F4023" s="396">
        <v>423803</v>
      </c>
      <c r="G4023" s="396">
        <v>0</v>
      </c>
      <c r="H4023" s="156" t="s">
        <v>1831</v>
      </c>
      <c r="I4023" s="347" t="s">
        <v>1303</v>
      </c>
      <c r="K4023" s="370"/>
      <c r="N4023" s="370"/>
    </row>
    <row r="4024" spans="1:14" s="347" customFormat="1" x14ac:dyDescent="0.25">
      <c r="A4024" s="369">
        <f>+A4023</f>
        <v>44407</v>
      </c>
      <c r="B4024" s="347">
        <f>+B4023</f>
        <v>7</v>
      </c>
      <c r="C4024" s="347">
        <v>110</v>
      </c>
      <c r="D4024" s="340" t="str">
        <f>VLOOKUP(C4024,Plan!A$1:B$65542,2,0)</f>
        <v>Disponible Administración</v>
      </c>
      <c r="E4024" s="396">
        <f>-G4024</f>
        <v>-423803</v>
      </c>
      <c r="F4024" s="396">
        <v>0</v>
      </c>
      <c r="G4024" s="396">
        <f>+F4023</f>
        <v>423803</v>
      </c>
      <c r="H4024" s="347" t="str">
        <f>+H4023</f>
        <v>F.799 Serv. Julio21</v>
      </c>
      <c r="I4024" s="347" t="s">
        <v>1303</v>
      </c>
      <c r="K4024" s="370"/>
      <c r="N4024" s="370"/>
    </row>
    <row r="4025" spans="1:14" s="347" customFormat="1" x14ac:dyDescent="0.25">
      <c r="A4025" s="369"/>
      <c r="E4025" s="396"/>
      <c r="F4025" s="396"/>
      <c r="G4025" s="396"/>
      <c r="K4025" s="370"/>
      <c r="N4025" s="370"/>
    </row>
    <row r="4026" spans="1:14" s="347" customFormat="1" x14ac:dyDescent="0.25">
      <c r="A4026" s="369">
        <v>44407</v>
      </c>
      <c r="B4026" s="340">
        <f>+MONTH(A4026)</f>
        <v>7</v>
      </c>
      <c r="C4026" s="347">
        <v>4650</v>
      </c>
      <c r="D4026" s="340" t="str">
        <f>VLOOKUP(C4026,Plan!A$1:B$65542,2,0)</f>
        <v>Pastoral Social</v>
      </c>
      <c r="E4026" s="341">
        <f>+F4026-G4026</f>
        <v>1950000</v>
      </c>
      <c r="F4026" s="396">
        <v>1950000</v>
      </c>
      <c r="G4026" s="396">
        <v>0</v>
      </c>
      <c r="H4026" s="156" t="s">
        <v>1832</v>
      </c>
      <c r="I4026" s="347" t="s">
        <v>1303</v>
      </c>
      <c r="K4026" s="370"/>
      <c r="N4026" s="370"/>
    </row>
    <row r="4027" spans="1:14" s="347" customFormat="1" x14ac:dyDescent="0.25">
      <c r="A4027" s="369">
        <f>+A4026</f>
        <v>44407</v>
      </c>
      <c r="B4027" s="347">
        <f>+B4026</f>
        <v>7</v>
      </c>
      <c r="C4027" s="347">
        <v>110</v>
      </c>
      <c r="D4027" s="340" t="str">
        <f>VLOOKUP(C4027,Plan!A$1:B$65542,2,0)</f>
        <v>Disponible Administración</v>
      </c>
      <c r="E4027" s="396">
        <f>-G4027</f>
        <v>-1950000</v>
      </c>
      <c r="F4027" s="396">
        <v>0</v>
      </c>
      <c r="G4027" s="396">
        <f>+F4026</f>
        <v>1950000</v>
      </c>
      <c r="H4027" s="347" t="str">
        <f>+H4026</f>
        <v>Compra 96 Cajas Servicefood SpA</v>
      </c>
      <c r="I4027" s="347" t="s">
        <v>1303</v>
      </c>
      <c r="K4027" s="370"/>
      <c r="N4027" s="370"/>
    </row>
    <row r="4028" spans="1:14" s="347" customFormat="1" x14ac:dyDescent="0.25">
      <c r="A4028" s="369"/>
      <c r="E4028" s="396"/>
      <c r="F4028" s="396"/>
      <c r="G4028" s="396"/>
      <c r="K4028" s="370"/>
      <c r="N4028" s="370"/>
    </row>
    <row r="4029" spans="1:14" s="347" customFormat="1" x14ac:dyDescent="0.25">
      <c r="A4029" s="369">
        <v>44407</v>
      </c>
      <c r="B4029" s="340">
        <f>+MONTH(A4029)</f>
        <v>7</v>
      </c>
      <c r="C4029" s="347">
        <v>4223</v>
      </c>
      <c r="D4029" s="340" t="str">
        <f>VLOOKUP(C4029,Plan!A$1:B$65542,2,0)</f>
        <v xml:space="preserve">         Comunicaciones</v>
      </c>
      <c r="E4029" s="341">
        <f>+F4029-G4029</f>
        <v>451977</v>
      </c>
      <c r="F4029" s="396">
        <f>+G4030+G4031</f>
        <v>451977</v>
      </c>
      <c r="G4029" s="396">
        <v>0</v>
      </c>
      <c r="H4029" s="156" t="s">
        <v>1833</v>
      </c>
      <c r="I4029" s="347" t="s">
        <v>1303</v>
      </c>
      <c r="K4029" s="370"/>
      <c r="N4029" s="370"/>
    </row>
    <row r="4030" spans="1:14" s="347" customFormat="1" x14ac:dyDescent="0.25">
      <c r="A4030" s="369">
        <f>+A4029</f>
        <v>44407</v>
      </c>
      <c r="B4030" s="347">
        <f>+B4029</f>
        <v>7</v>
      </c>
      <c r="C4030" s="347">
        <v>110</v>
      </c>
      <c r="D4030" s="340" t="str">
        <f>VLOOKUP(C4030,Plan!A$1:B$65542,2,0)</f>
        <v>Disponible Administración</v>
      </c>
      <c r="E4030" s="396">
        <f>-G4030</f>
        <v>-400000</v>
      </c>
      <c r="F4030" s="396">
        <v>0</v>
      </c>
      <c r="G4030" s="396">
        <v>400000</v>
      </c>
      <c r="H4030" s="347" t="str">
        <f>+H4029</f>
        <v>BE-270 Cristian Moral Caroca</v>
      </c>
      <c r="I4030" s="347" t="s">
        <v>1303</v>
      </c>
      <c r="K4030" s="370"/>
      <c r="N4030" s="370"/>
    </row>
    <row r="4031" spans="1:14" s="347" customFormat="1" x14ac:dyDescent="0.25">
      <c r="A4031" s="369">
        <f>+A4030</f>
        <v>44407</v>
      </c>
      <c r="B4031" s="347">
        <f>+B4030</f>
        <v>7</v>
      </c>
      <c r="C4031" s="347">
        <v>223</v>
      </c>
      <c r="D4031" s="340" t="str">
        <f>VLOOKUP(C4031,Plan!A$1:B$65542,2,0)</f>
        <v>Ret. Hon.  e Impto. Unico Administración</v>
      </c>
      <c r="E4031" s="396">
        <f>-G4031</f>
        <v>-51977</v>
      </c>
      <c r="F4031" s="396">
        <v>0</v>
      </c>
      <c r="G4031" s="396">
        <v>51977</v>
      </c>
      <c r="H4031" s="347" t="str">
        <f>+H4030</f>
        <v>BE-270 Cristian Moral Caroca</v>
      </c>
      <c r="I4031" s="347" t="s">
        <v>1303</v>
      </c>
      <c r="K4031" s="370"/>
      <c r="N4031" s="370"/>
    </row>
    <row r="4032" spans="1:14" s="347" customFormat="1" x14ac:dyDescent="0.25">
      <c r="A4032" s="369"/>
      <c r="E4032" s="396"/>
      <c r="F4032" s="396"/>
      <c r="G4032" s="396"/>
      <c r="K4032" s="370"/>
      <c r="N4032" s="370"/>
    </row>
    <row r="4033" spans="1:15" s="347" customFormat="1" x14ac:dyDescent="0.25">
      <c r="A4033" s="369">
        <v>44407</v>
      </c>
      <c r="B4033" s="340">
        <f>+MONTH(A4033)</f>
        <v>7</v>
      </c>
      <c r="C4033" s="347">
        <v>4641</v>
      </c>
      <c r="D4033" s="340" t="str">
        <f>VLOOKUP(C4033,Plan!A$1:B$65542,2,0)</f>
        <v xml:space="preserve">             Capellanías </v>
      </c>
      <c r="E4033" s="341">
        <f>+F4033-G4033</f>
        <v>60000</v>
      </c>
      <c r="F4033" s="396">
        <v>60000</v>
      </c>
      <c r="G4033" s="396">
        <v>0</v>
      </c>
      <c r="H4033" s="156" t="s">
        <v>1834</v>
      </c>
      <c r="I4033" s="347" t="s">
        <v>1303</v>
      </c>
      <c r="K4033" s="370"/>
      <c r="N4033" s="370"/>
    </row>
    <row r="4034" spans="1:15" s="347" customFormat="1" x14ac:dyDescent="0.25">
      <c r="A4034" s="369">
        <f>+A4033</f>
        <v>44407</v>
      </c>
      <c r="B4034" s="347">
        <f>+B4033</f>
        <v>7</v>
      </c>
      <c r="C4034" s="347">
        <v>110</v>
      </c>
      <c r="D4034" s="340" t="str">
        <f>VLOOKUP(C4034,Plan!A$1:B$65542,2,0)</f>
        <v>Disponible Administración</v>
      </c>
      <c r="E4034" s="396">
        <f>-G4034</f>
        <v>-60000</v>
      </c>
      <c r="F4034" s="396">
        <v>0</v>
      </c>
      <c r="G4034" s="396">
        <f>+F4033</f>
        <v>60000</v>
      </c>
      <c r="H4034" s="347" t="str">
        <f>+H4033</f>
        <v>Capellania 4 Misas Jul/21 Sebastianus Go</v>
      </c>
      <c r="I4034" s="347" t="s">
        <v>1303</v>
      </c>
      <c r="K4034" s="370"/>
      <c r="N4034" s="370"/>
      <c r="O4034" s="475"/>
    </row>
    <row r="4035" spans="1:15" s="347" customFormat="1" x14ac:dyDescent="0.25">
      <c r="A4035" s="369"/>
      <c r="E4035" s="396"/>
      <c r="F4035" s="396"/>
      <c r="G4035" s="396"/>
      <c r="K4035" s="370"/>
      <c r="N4035" s="370"/>
    </row>
    <row r="4036" spans="1:15" s="347" customFormat="1" x14ac:dyDescent="0.25">
      <c r="A4036" s="369">
        <v>44407</v>
      </c>
      <c r="B4036" s="340">
        <f>+MONTH(A4036)</f>
        <v>7</v>
      </c>
      <c r="C4036" s="347">
        <v>3360</v>
      </c>
      <c r="D4036" s="340" t="str">
        <f>VLOOKUP(C4036,Plan!A$1:B$65542,2,0)</f>
        <v>Otros</v>
      </c>
      <c r="E4036" s="341">
        <f>+F4036-G4036</f>
        <v>450000</v>
      </c>
      <c r="F4036" s="396">
        <v>450000</v>
      </c>
      <c r="G4036" s="396">
        <v>0</v>
      </c>
      <c r="H4036" s="156" t="s">
        <v>1835</v>
      </c>
      <c r="I4036" s="347" t="s">
        <v>1303</v>
      </c>
      <c r="K4036" s="370"/>
      <c r="N4036" s="370"/>
    </row>
    <row r="4037" spans="1:15" s="347" customFormat="1" x14ac:dyDescent="0.25">
      <c r="A4037" s="369">
        <f>+A4036</f>
        <v>44407</v>
      </c>
      <c r="B4037" s="347">
        <f>+B4036</f>
        <v>7</v>
      </c>
      <c r="C4037" s="347">
        <v>110</v>
      </c>
      <c r="D4037" s="340" t="str">
        <f>VLOOKUP(C4037,Plan!A$1:B$65542,2,0)</f>
        <v>Disponible Administración</v>
      </c>
      <c r="E4037" s="396">
        <f>-G4037</f>
        <v>-450000</v>
      </c>
      <c r="F4037" s="396">
        <v>0</v>
      </c>
      <c r="G4037" s="396">
        <f>+F4036</f>
        <v>450000</v>
      </c>
      <c r="H4037" s="347" t="str">
        <f>+H4036</f>
        <v>Dev. Error en pago Curso Biblia</v>
      </c>
      <c r="I4037" s="347" t="s">
        <v>1303</v>
      </c>
      <c r="K4037" s="370"/>
      <c r="N4037" s="370"/>
    </row>
    <row r="4038" spans="1:15" s="347" customFormat="1" x14ac:dyDescent="0.25">
      <c r="A4038" s="369"/>
      <c r="E4038" s="396"/>
      <c r="F4038" s="396"/>
      <c r="G4038" s="396"/>
      <c r="K4038" s="370"/>
      <c r="N4038" s="370"/>
    </row>
    <row r="4039" spans="1:15" s="347" customFormat="1" x14ac:dyDescent="0.25">
      <c r="A4039" s="369">
        <v>44407</v>
      </c>
      <c r="B4039" s="340">
        <f>+MONTH(A4039)</f>
        <v>7</v>
      </c>
      <c r="C4039" s="347">
        <v>4643</v>
      </c>
      <c r="D4039" s="340" t="str">
        <f>VLOOKUP(C4039,Plan!A$1:B$65542,2,0)</f>
        <v xml:space="preserve">             Otros</v>
      </c>
      <c r="E4039" s="341">
        <f>+F4039-G4039</f>
        <v>60000</v>
      </c>
      <c r="F4039" s="396">
        <f>+G4040+G4041</f>
        <v>60000</v>
      </c>
      <c r="G4039" s="396">
        <v>0</v>
      </c>
      <c r="H4039" s="156" t="s">
        <v>1836</v>
      </c>
      <c r="I4039" s="347" t="s">
        <v>1303</v>
      </c>
      <c r="K4039" s="370"/>
      <c r="N4039" s="370"/>
    </row>
    <row r="4040" spans="1:15" s="347" customFormat="1" x14ac:dyDescent="0.25">
      <c r="A4040" s="369">
        <f>+A4039</f>
        <v>44407</v>
      </c>
      <c r="B4040" s="347">
        <f>+B4039</f>
        <v>7</v>
      </c>
      <c r="C4040" s="347">
        <v>110</v>
      </c>
      <c r="D4040" s="340" t="str">
        <f>VLOOKUP(C4040,Plan!A$1:B$65542,2,0)</f>
        <v>Disponible Administración</v>
      </c>
      <c r="E4040" s="396">
        <f>-G4040</f>
        <v>-53100</v>
      </c>
      <c r="F4040" s="396">
        <v>0</v>
      </c>
      <c r="G4040" s="396">
        <v>53100</v>
      </c>
      <c r="H4040" s="347" t="str">
        <f>+H4039</f>
        <v>BTE-111 Dorlly Cardenas Lindarte</v>
      </c>
      <c r="I4040" s="347" t="s">
        <v>1303</v>
      </c>
      <c r="K4040" s="370"/>
      <c r="N4040" s="370"/>
    </row>
    <row r="4041" spans="1:15" s="347" customFormat="1" x14ac:dyDescent="0.25">
      <c r="A4041" s="369">
        <f>+A4040</f>
        <v>44407</v>
      </c>
      <c r="B4041" s="347">
        <f>+B4040</f>
        <v>7</v>
      </c>
      <c r="C4041" s="347">
        <v>223</v>
      </c>
      <c r="D4041" s="340" t="str">
        <f>VLOOKUP(C4041,Plan!A$1:B$65542,2,0)</f>
        <v>Ret. Hon.  e Impto. Unico Administración</v>
      </c>
      <c r="E4041" s="396">
        <f>-G4041</f>
        <v>-6900</v>
      </c>
      <c r="F4041" s="396">
        <v>0</v>
      </c>
      <c r="G4041" s="396">
        <v>6900</v>
      </c>
      <c r="H4041" s="347" t="str">
        <f>+H4040</f>
        <v>BTE-111 Dorlly Cardenas Lindarte</v>
      </c>
      <c r="I4041" s="347" t="s">
        <v>1303</v>
      </c>
      <c r="K4041" s="370"/>
      <c r="N4041" s="370"/>
    </row>
    <row r="4042" spans="1:15" s="347" customFormat="1" x14ac:dyDescent="0.25">
      <c r="A4042" s="369"/>
      <c r="E4042" s="396"/>
      <c r="F4042" s="396"/>
      <c r="G4042" s="396"/>
      <c r="K4042" s="370"/>
      <c r="N4042" s="370"/>
    </row>
    <row r="4043" spans="1:15" s="347" customFormat="1" x14ac:dyDescent="0.25">
      <c r="A4043" s="369">
        <v>44407</v>
      </c>
      <c r="B4043" s="340">
        <f>+MONTH(A4043)</f>
        <v>7</v>
      </c>
      <c r="C4043" s="347">
        <v>4224</v>
      </c>
      <c r="D4043" s="340" t="str">
        <f>VLOOKUP(C4043,Plan!A$1:B$65542,2,0)</f>
        <v xml:space="preserve">         Jardinero</v>
      </c>
      <c r="E4043" s="341">
        <f>+F4043-G4043</f>
        <v>33898</v>
      </c>
      <c r="F4043" s="396">
        <f>+G4044+G4045</f>
        <v>33898</v>
      </c>
      <c r="G4043" s="396">
        <v>0</v>
      </c>
      <c r="H4043" s="156" t="s">
        <v>1837</v>
      </c>
      <c r="I4043" s="347" t="s">
        <v>1303</v>
      </c>
      <c r="K4043" s="370"/>
      <c r="N4043" s="370"/>
    </row>
    <row r="4044" spans="1:15" s="347" customFormat="1" x14ac:dyDescent="0.25">
      <c r="A4044" s="369">
        <f>+A4043</f>
        <v>44407</v>
      </c>
      <c r="B4044" s="347">
        <f>+B4043</f>
        <v>7</v>
      </c>
      <c r="C4044" s="347">
        <v>110</v>
      </c>
      <c r="D4044" s="340" t="str">
        <f>VLOOKUP(C4044,Plan!A$1:B$65542,2,0)</f>
        <v>Disponible Administración</v>
      </c>
      <c r="E4044" s="396">
        <f>-G4044</f>
        <v>-30000</v>
      </c>
      <c r="F4044" s="396">
        <v>0</v>
      </c>
      <c r="G4044" s="396">
        <v>30000</v>
      </c>
      <c r="H4044" s="347" t="str">
        <f>+H4043</f>
        <v>BTE-112 Eduardo Plaza Rivera</v>
      </c>
      <c r="I4044" s="347" t="s">
        <v>1303</v>
      </c>
      <c r="K4044" s="370"/>
      <c r="N4044" s="370"/>
    </row>
    <row r="4045" spans="1:15" s="347" customFormat="1" x14ac:dyDescent="0.25">
      <c r="A4045" s="369">
        <f>+A4044</f>
        <v>44407</v>
      </c>
      <c r="B4045" s="347">
        <f>+B4044</f>
        <v>7</v>
      </c>
      <c r="C4045" s="347">
        <v>223</v>
      </c>
      <c r="D4045" s="340" t="str">
        <f>VLOOKUP(C4045,Plan!A$1:B$65542,2,0)</f>
        <v>Ret. Hon.  e Impto. Unico Administración</v>
      </c>
      <c r="E4045" s="396">
        <f>-G4045</f>
        <v>-3898</v>
      </c>
      <c r="F4045" s="396">
        <v>0</v>
      </c>
      <c r="G4045" s="396">
        <v>3898</v>
      </c>
      <c r="H4045" s="347" t="str">
        <f>+H4044</f>
        <v>BTE-112 Eduardo Plaza Rivera</v>
      </c>
      <c r="I4045" s="347" t="s">
        <v>1303</v>
      </c>
      <c r="K4045" s="370"/>
      <c r="N4045" s="370"/>
    </row>
    <row r="4046" spans="1:15" s="347" customFormat="1" x14ac:dyDescent="0.25">
      <c r="A4046" s="369"/>
      <c r="B4046" s="340"/>
      <c r="D4046" s="340"/>
      <c r="E4046" s="341"/>
      <c r="F4046" s="396"/>
      <c r="G4046" s="396"/>
      <c r="H4046" s="156"/>
      <c r="K4046" s="370"/>
      <c r="N4046" s="370"/>
    </row>
    <row r="4047" spans="1:15" s="347" customFormat="1" x14ac:dyDescent="0.25">
      <c r="A4047" s="339">
        <v>44407</v>
      </c>
      <c r="B4047" s="340">
        <f>+MONTH(A4047)</f>
        <v>7</v>
      </c>
      <c r="C4047" s="338">
        <v>4231</v>
      </c>
      <c r="D4047" s="347" t="str">
        <f>VLOOKUP(C4047,Plan!A$1:B$65542,2,0)</f>
        <v>Auxiliares, secretarias y administración</v>
      </c>
      <c r="E4047" s="341">
        <f t="shared" ref="E4047:E4055" si="31">+F4047-G4047</f>
        <v>3059525</v>
      </c>
      <c r="F4047" s="345">
        <v>3059525</v>
      </c>
      <c r="G4047" s="346">
        <v>0</v>
      </c>
      <c r="H4047" s="343" t="s">
        <v>410</v>
      </c>
      <c r="I4047" s="401" t="s">
        <v>296</v>
      </c>
      <c r="K4047" s="370"/>
      <c r="N4047" s="370"/>
    </row>
    <row r="4048" spans="1:15" s="347" customFormat="1" x14ac:dyDescent="0.25">
      <c r="A4048" s="339">
        <f t="shared" ref="A4048:B4053" si="32">+A4047</f>
        <v>44407</v>
      </c>
      <c r="B4048" s="340">
        <f t="shared" si="32"/>
        <v>7</v>
      </c>
      <c r="C4048" s="338">
        <v>9011</v>
      </c>
      <c r="D4048" s="347" t="str">
        <f>VLOOKUP(C4048,Plan!A$1:B$65542,2,0)</f>
        <v>Sueldo Sacerdotes</v>
      </c>
      <c r="E4048" s="341">
        <f t="shared" si="31"/>
        <v>910865</v>
      </c>
      <c r="F4048" s="345">
        <v>910865</v>
      </c>
      <c r="G4048" s="346">
        <v>0</v>
      </c>
      <c r="H4048" s="338" t="s">
        <v>410</v>
      </c>
      <c r="I4048" s="401" t="s">
        <v>296</v>
      </c>
      <c r="K4048" s="370"/>
      <c r="N4048" s="370"/>
    </row>
    <row r="4049" spans="1:14" s="347" customFormat="1" x14ac:dyDescent="0.25">
      <c r="A4049" s="339">
        <f t="shared" si="32"/>
        <v>44407</v>
      </c>
      <c r="B4049" s="340">
        <f t="shared" si="32"/>
        <v>7</v>
      </c>
      <c r="C4049" s="338">
        <v>4231</v>
      </c>
      <c r="D4049" s="347" t="str">
        <f>VLOOKUP(C4049,Plan!A$1:B$65542,2,0)</f>
        <v>Auxiliares, secretarias y administración</v>
      </c>
      <c r="E4049" s="341">
        <f t="shared" si="31"/>
        <v>51252</v>
      </c>
      <c r="F4049" s="345">
        <v>51252</v>
      </c>
      <c r="G4049" s="346">
        <v>0</v>
      </c>
      <c r="H4049" s="338" t="s">
        <v>410</v>
      </c>
      <c r="I4049" s="401" t="s">
        <v>296</v>
      </c>
      <c r="K4049" s="370"/>
      <c r="N4049" s="370"/>
    </row>
    <row r="4050" spans="1:14" s="347" customFormat="1" x14ac:dyDescent="0.25">
      <c r="A4050" s="339">
        <f t="shared" si="32"/>
        <v>44407</v>
      </c>
      <c r="B4050" s="340">
        <f t="shared" si="32"/>
        <v>7</v>
      </c>
      <c r="C4050" s="338">
        <v>225</v>
      </c>
      <c r="D4050" s="347" t="str">
        <f>VLOOKUP(C4050,Plan!A$1:B$65542,2,0)</f>
        <v>Sueldos por Pagar</v>
      </c>
      <c r="E4050" s="341">
        <f t="shared" si="31"/>
        <v>-3403672</v>
      </c>
      <c r="F4050" s="345">
        <v>0</v>
      </c>
      <c r="G4050" s="346">
        <v>3403672</v>
      </c>
      <c r="H4050" s="338" t="s">
        <v>410</v>
      </c>
      <c r="I4050" s="401" t="s">
        <v>296</v>
      </c>
      <c r="K4050" s="370"/>
      <c r="N4050" s="370"/>
    </row>
    <row r="4051" spans="1:14" s="347" customFormat="1" x14ac:dyDescent="0.25">
      <c r="A4051" s="339">
        <f t="shared" si="32"/>
        <v>44407</v>
      </c>
      <c r="B4051" s="340">
        <f t="shared" si="32"/>
        <v>7</v>
      </c>
      <c r="C4051" s="338">
        <v>224</v>
      </c>
      <c r="D4051" s="347" t="str">
        <f>VLOOKUP(C4051,Plan!A$1:B$65542,2,0)</f>
        <v>Cotizaciones por Pagar</v>
      </c>
      <c r="E4051" s="341">
        <f t="shared" si="31"/>
        <v>-426355</v>
      </c>
      <c r="F4051" s="345">
        <v>0</v>
      </c>
      <c r="G4051" s="346">
        <v>426355</v>
      </c>
      <c r="H4051" s="338" t="s">
        <v>410</v>
      </c>
      <c r="I4051" s="401" t="s">
        <v>296</v>
      </c>
      <c r="K4051" s="370"/>
      <c r="N4051" s="370"/>
    </row>
    <row r="4052" spans="1:14" s="347" customFormat="1" x14ac:dyDescent="0.25">
      <c r="A4052" s="339">
        <f t="shared" si="32"/>
        <v>44407</v>
      </c>
      <c r="B4052" s="340">
        <f t="shared" si="32"/>
        <v>7</v>
      </c>
      <c r="C4052" s="338">
        <v>224</v>
      </c>
      <c r="D4052" s="347" t="str">
        <f>VLOOKUP(C4052,Plan!A$1:B$65542,2,0)</f>
        <v>Cotizaciones por Pagar</v>
      </c>
      <c r="E4052" s="341">
        <f t="shared" si="31"/>
        <v>-175865</v>
      </c>
      <c r="F4052" s="345">
        <v>0</v>
      </c>
      <c r="G4052" s="362">
        <v>175865</v>
      </c>
      <c r="H4052" s="338" t="s">
        <v>410</v>
      </c>
      <c r="I4052" s="401" t="s">
        <v>296</v>
      </c>
      <c r="K4052" s="370"/>
      <c r="N4052" s="370"/>
    </row>
    <row r="4053" spans="1:14" s="347" customFormat="1" x14ac:dyDescent="0.25">
      <c r="A4053" s="339">
        <f t="shared" si="32"/>
        <v>44407</v>
      </c>
      <c r="B4053" s="340">
        <f t="shared" si="32"/>
        <v>7</v>
      </c>
      <c r="C4053" s="338">
        <v>223</v>
      </c>
      <c r="D4053" s="347" t="str">
        <f>VLOOKUP(C4053,Plan!A$1:B$65542,2,0)</f>
        <v>Ret. Hon.  e Impto. Unico Administración</v>
      </c>
      <c r="E4053" s="341">
        <f t="shared" si="31"/>
        <v>-15750</v>
      </c>
      <c r="F4053" s="345">
        <v>0</v>
      </c>
      <c r="G4053" s="346">
        <v>15750</v>
      </c>
      <c r="H4053" s="338" t="s">
        <v>410</v>
      </c>
      <c r="I4053" s="401" t="s">
        <v>296</v>
      </c>
      <c r="K4053" s="370"/>
      <c r="N4053" s="370"/>
    </row>
    <row r="4054" spans="1:14" s="347" customFormat="1" x14ac:dyDescent="0.25">
      <c r="A4054" s="339">
        <v>44407</v>
      </c>
      <c r="B4054" s="340">
        <f>+B4053</f>
        <v>7</v>
      </c>
      <c r="C4054" s="338">
        <v>4231</v>
      </c>
      <c r="D4054" s="347" t="str">
        <f>VLOOKUP(C4054,Plan!A$1:B$65542,2,0)</f>
        <v>Auxiliares, secretarias y administración</v>
      </c>
      <c r="E4054" s="341">
        <f t="shared" si="31"/>
        <v>1293</v>
      </c>
      <c r="F4054" s="345">
        <v>1293</v>
      </c>
      <c r="G4054" s="342">
        <v>0</v>
      </c>
      <c r="H4054" s="338" t="s">
        <v>410</v>
      </c>
      <c r="I4054" s="401" t="s">
        <v>296</v>
      </c>
      <c r="K4054" s="370"/>
      <c r="N4054" s="370"/>
    </row>
    <row r="4055" spans="1:14" s="347" customFormat="1" x14ac:dyDescent="0.25">
      <c r="A4055" s="339">
        <v>44407</v>
      </c>
      <c r="B4055" s="340">
        <f>+B4054</f>
        <v>7</v>
      </c>
      <c r="C4055" s="338">
        <v>225</v>
      </c>
      <c r="D4055" s="347" t="str">
        <f>VLOOKUP(C4055,Plan!A$1:B$65542,2,0)</f>
        <v>Sueldos por Pagar</v>
      </c>
      <c r="E4055" s="341">
        <f t="shared" si="31"/>
        <v>-1293</v>
      </c>
      <c r="F4055" s="345">
        <v>0</v>
      </c>
      <c r="G4055" s="342">
        <v>1293</v>
      </c>
      <c r="H4055" s="338" t="s">
        <v>410</v>
      </c>
      <c r="I4055" s="401" t="s">
        <v>296</v>
      </c>
      <c r="K4055" s="370"/>
      <c r="N4055" s="370"/>
    </row>
    <row r="4056" spans="1:14" s="347" customFormat="1" x14ac:dyDescent="0.25">
      <c r="A4056" s="369"/>
      <c r="E4056" s="396"/>
      <c r="F4056" s="396"/>
      <c r="G4056" s="396"/>
      <c r="K4056" s="370"/>
      <c r="N4056" s="370"/>
    </row>
    <row r="4057" spans="1:14" s="347" customFormat="1" x14ac:dyDescent="0.25">
      <c r="A4057" s="369">
        <v>44407</v>
      </c>
      <c r="B4057" s="340">
        <f>+MONTH(A4057)</f>
        <v>7</v>
      </c>
      <c r="C4057" s="347">
        <v>225</v>
      </c>
      <c r="D4057" s="340" t="str">
        <f>VLOOKUP(C4057,Plan!A$1:B$65542,2,0)</f>
        <v>Sueldos por Pagar</v>
      </c>
      <c r="E4057" s="341">
        <f t="shared" ref="E4057:E4062" si="33">+F4057-G4057</f>
        <v>3404965</v>
      </c>
      <c r="F4057" s="396">
        <v>3404965</v>
      </c>
      <c r="G4057" s="396">
        <v>0</v>
      </c>
      <c r="H4057" s="347" t="s">
        <v>1838</v>
      </c>
      <c r="I4057" s="347" t="s">
        <v>1303</v>
      </c>
      <c r="K4057" s="370"/>
      <c r="N4057" s="370"/>
    </row>
    <row r="4058" spans="1:14" s="347" customFormat="1" x14ac:dyDescent="0.25">
      <c r="A4058" s="369">
        <f t="shared" ref="A4058:B4062" si="34">+A4057</f>
        <v>44407</v>
      </c>
      <c r="B4058" s="347">
        <f t="shared" si="34"/>
        <v>7</v>
      </c>
      <c r="C4058" s="347">
        <v>110</v>
      </c>
      <c r="D4058" s="340" t="str">
        <f>VLOOKUP(C4058,Plan!A$1:B$65542,2,0)</f>
        <v>Disponible Administración</v>
      </c>
      <c r="E4058" s="396">
        <f t="shared" si="33"/>
        <v>-735000</v>
      </c>
      <c r="F4058" s="396">
        <v>0</v>
      </c>
      <c r="G4058" s="396">
        <v>735000</v>
      </c>
      <c r="H4058" s="347" t="s">
        <v>1538</v>
      </c>
      <c r="I4058" s="347" t="s">
        <v>1303</v>
      </c>
      <c r="K4058" s="370"/>
      <c r="N4058" s="370"/>
    </row>
    <row r="4059" spans="1:14" s="347" customFormat="1" x14ac:dyDescent="0.25">
      <c r="A4059" s="369">
        <f t="shared" si="34"/>
        <v>44407</v>
      </c>
      <c r="B4059" s="347">
        <f t="shared" si="34"/>
        <v>7</v>
      </c>
      <c r="C4059" s="347">
        <v>110</v>
      </c>
      <c r="D4059" s="340" t="str">
        <f>VLOOKUP(C4059,Plan!A$1:B$65542,2,0)</f>
        <v>Disponible Administración</v>
      </c>
      <c r="E4059" s="396">
        <f t="shared" si="33"/>
        <v>-780179</v>
      </c>
      <c r="F4059" s="396">
        <v>0</v>
      </c>
      <c r="G4059" s="396">
        <v>780179</v>
      </c>
      <c r="H4059" s="347" t="s">
        <v>1539</v>
      </c>
      <c r="I4059" s="347" t="s">
        <v>1303</v>
      </c>
      <c r="K4059" s="370"/>
      <c r="N4059" s="370"/>
    </row>
    <row r="4060" spans="1:14" s="347" customFormat="1" x14ac:dyDescent="0.25">
      <c r="A4060" s="369">
        <f t="shared" si="34"/>
        <v>44407</v>
      </c>
      <c r="B4060" s="347">
        <f t="shared" si="34"/>
        <v>7</v>
      </c>
      <c r="C4060" s="347">
        <v>110</v>
      </c>
      <c r="D4060" s="340" t="str">
        <f>VLOOKUP(C4060,Plan!A$1:B$65542,2,0)</f>
        <v>Disponible Administración</v>
      </c>
      <c r="E4060" s="396">
        <f t="shared" si="33"/>
        <v>-515462</v>
      </c>
      <c r="F4060" s="396">
        <v>0</v>
      </c>
      <c r="G4060" s="396">
        <v>515462</v>
      </c>
      <c r="H4060" s="347" t="s">
        <v>1540</v>
      </c>
      <c r="I4060" s="347" t="s">
        <v>1303</v>
      </c>
      <c r="K4060" s="370"/>
      <c r="N4060" s="370"/>
    </row>
    <row r="4061" spans="1:14" s="347" customFormat="1" x14ac:dyDescent="0.25">
      <c r="A4061" s="369">
        <f t="shared" si="34"/>
        <v>44407</v>
      </c>
      <c r="B4061" s="347">
        <f t="shared" si="34"/>
        <v>7</v>
      </c>
      <c r="C4061" s="347">
        <v>110</v>
      </c>
      <c r="D4061" s="340" t="str">
        <f>VLOOKUP(C4061,Plan!A$1:B$65542,2,0)</f>
        <v>Disponible Administración</v>
      </c>
      <c r="E4061" s="396">
        <f t="shared" si="33"/>
        <v>-256763</v>
      </c>
      <c r="F4061" s="396">
        <v>0</v>
      </c>
      <c r="G4061" s="396">
        <v>256763</v>
      </c>
      <c r="H4061" s="347" t="s">
        <v>1541</v>
      </c>
      <c r="I4061" s="347" t="s">
        <v>1303</v>
      </c>
      <c r="K4061" s="370"/>
      <c r="N4061" s="370"/>
    </row>
    <row r="4062" spans="1:14" s="347" customFormat="1" x14ac:dyDescent="0.25">
      <c r="A4062" s="369">
        <f t="shared" si="34"/>
        <v>44407</v>
      </c>
      <c r="B4062" s="347">
        <f t="shared" si="34"/>
        <v>7</v>
      </c>
      <c r="C4062" s="347">
        <v>110</v>
      </c>
      <c r="D4062" s="340" t="str">
        <f>VLOOKUP(C4062,Plan!A$1:B$65542,2,0)</f>
        <v>Disponible Administración</v>
      </c>
      <c r="E4062" s="396">
        <f t="shared" si="33"/>
        <v>-1117561</v>
      </c>
      <c r="F4062" s="396">
        <v>0</v>
      </c>
      <c r="G4062" s="396">
        <v>1117561</v>
      </c>
      <c r="H4062" s="347" t="s">
        <v>1542</v>
      </c>
      <c r="I4062" s="347" t="s">
        <v>1303</v>
      </c>
      <c r="K4062" s="370"/>
      <c r="N4062" s="370"/>
    </row>
    <row r="4063" spans="1:14" s="347" customFormat="1" x14ac:dyDescent="0.25">
      <c r="A4063" s="369"/>
      <c r="E4063" s="396"/>
      <c r="F4063" s="396"/>
      <c r="G4063" s="396"/>
      <c r="K4063" s="370"/>
      <c r="N4063" s="370"/>
    </row>
    <row r="4064" spans="1:14" s="347" customFormat="1" x14ac:dyDescent="0.25">
      <c r="A4064" s="369">
        <v>44407</v>
      </c>
      <c r="B4064" s="340">
        <f>+MONTH(A4064)</f>
        <v>7</v>
      </c>
      <c r="C4064" s="347">
        <v>110</v>
      </c>
      <c r="D4064" s="340" t="str">
        <f>VLOOKUP(C4064,Plan!A$1:B$65542,2,0)</f>
        <v>Disponible Administración</v>
      </c>
      <c r="E4064" s="341">
        <f>+F4064-G4064</f>
        <v>15000</v>
      </c>
      <c r="F4064" s="396">
        <v>15000</v>
      </c>
      <c r="G4064" s="396">
        <v>0</v>
      </c>
      <c r="H4064" s="156" t="s">
        <v>1120</v>
      </c>
      <c r="I4064" s="347" t="s">
        <v>1303</v>
      </c>
      <c r="K4064" s="370"/>
      <c r="N4064" s="370"/>
    </row>
    <row r="4065" spans="1:14" s="347" customFormat="1" x14ac:dyDescent="0.25">
      <c r="A4065" s="369">
        <f>+A4064</f>
        <v>44407</v>
      </c>
      <c r="B4065" s="347">
        <f>+B4064</f>
        <v>7</v>
      </c>
      <c r="C4065" s="347">
        <v>3110</v>
      </c>
      <c r="D4065" s="340" t="str">
        <f>VLOOKUP(C4065,Plan!A$1:B$65542,2,0)</f>
        <v>Colectas Normales</v>
      </c>
      <c r="E4065" s="396">
        <f>-G4065</f>
        <v>-15000</v>
      </c>
      <c r="F4065" s="396">
        <v>0</v>
      </c>
      <c r="G4065" s="396">
        <f>+F4064</f>
        <v>15000</v>
      </c>
      <c r="H4065" s="347" t="str">
        <f>+H4064</f>
        <v>Colecta Maria Car Rios R</v>
      </c>
      <c r="I4065" s="347" t="s">
        <v>1303</v>
      </c>
      <c r="K4065" s="370"/>
      <c r="N4065" s="370"/>
    </row>
    <row r="4066" spans="1:14" s="347" customFormat="1" x14ac:dyDescent="0.25">
      <c r="A4066" s="369"/>
      <c r="E4066" s="396"/>
      <c r="F4066" s="396"/>
      <c r="G4066" s="396"/>
      <c r="K4066" s="370"/>
      <c r="N4066" s="370"/>
    </row>
    <row r="4067" spans="1:14" s="347" customFormat="1" x14ac:dyDescent="0.25">
      <c r="A4067" s="369">
        <v>44407</v>
      </c>
      <c r="B4067" s="340">
        <f>+MONTH(A4067)</f>
        <v>7</v>
      </c>
      <c r="C4067" s="347">
        <v>110</v>
      </c>
      <c r="D4067" s="340" t="str">
        <f>VLOOKUP(C4067,Plan!A$1:B$65542,2,0)</f>
        <v>Disponible Administración</v>
      </c>
      <c r="E4067" s="341">
        <f>+F4067-G4067</f>
        <v>15000</v>
      </c>
      <c r="F4067" s="396">
        <v>15000</v>
      </c>
      <c r="G4067" s="396">
        <v>0</v>
      </c>
      <c r="H4067" s="156" t="s">
        <v>1839</v>
      </c>
      <c r="I4067" s="347" t="s">
        <v>1303</v>
      </c>
      <c r="K4067" s="370"/>
      <c r="N4067" s="370"/>
    </row>
    <row r="4068" spans="1:14" s="347" customFormat="1" x14ac:dyDescent="0.25">
      <c r="A4068" s="369">
        <f>+A4067</f>
        <v>44407</v>
      </c>
      <c r="B4068" s="347">
        <f>+B4067</f>
        <v>7</v>
      </c>
      <c r="C4068" s="347">
        <v>3450</v>
      </c>
      <c r="D4068" s="340" t="str">
        <f>VLOOKUP(C4068,Plan!A$1:B$65542,2,0)</f>
        <v>Pastoral Social</v>
      </c>
      <c r="E4068" s="396">
        <f>-G4068</f>
        <v>-15000</v>
      </c>
      <c r="F4068" s="396">
        <v>0</v>
      </c>
      <c r="G4068" s="396">
        <f>+F4067</f>
        <v>15000</v>
      </c>
      <c r="H4068" s="347" t="str">
        <f>+H4067</f>
        <v>Dia del Niño Mané Jara</v>
      </c>
      <c r="I4068" s="347" t="s">
        <v>1303</v>
      </c>
      <c r="K4068" s="370"/>
      <c r="N4068" s="370"/>
    </row>
    <row r="4069" spans="1:14" s="347" customFormat="1" x14ac:dyDescent="0.25">
      <c r="A4069" s="369"/>
      <c r="E4069" s="396"/>
      <c r="F4069" s="396"/>
      <c r="G4069" s="396"/>
      <c r="K4069" s="370"/>
      <c r="N4069" s="370"/>
    </row>
    <row r="4070" spans="1:14" s="347" customFormat="1" x14ac:dyDescent="0.25">
      <c r="A4070" s="369">
        <v>44407</v>
      </c>
      <c r="B4070" s="340">
        <f>+MONTH(A4070)</f>
        <v>7</v>
      </c>
      <c r="C4070" s="347">
        <v>110</v>
      </c>
      <c r="D4070" s="340" t="str">
        <f>VLOOKUP(C4070,Plan!A$1:B$65542,2,0)</f>
        <v>Disponible Administración</v>
      </c>
      <c r="E4070" s="341">
        <f>+F4070-G4070</f>
        <v>20000</v>
      </c>
      <c r="F4070" s="396">
        <v>20000</v>
      </c>
      <c r="G4070" s="396">
        <v>0</v>
      </c>
      <c r="H4070" s="156" t="s">
        <v>1840</v>
      </c>
      <c r="I4070" s="347" t="s">
        <v>1303</v>
      </c>
      <c r="K4070" s="370"/>
      <c r="N4070" s="370"/>
    </row>
    <row r="4071" spans="1:14" s="347" customFormat="1" x14ac:dyDescent="0.25">
      <c r="A4071" s="369">
        <f>+A4070</f>
        <v>44407</v>
      </c>
      <c r="B4071" s="347">
        <f>+B4070</f>
        <v>7</v>
      </c>
      <c r="C4071" s="347">
        <v>3450</v>
      </c>
      <c r="D4071" s="340" t="str">
        <f>VLOOKUP(C4071,Plan!A$1:B$65542,2,0)</f>
        <v>Pastoral Social</v>
      </c>
      <c r="E4071" s="396">
        <f>-G4071</f>
        <v>-20000</v>
      </c>
      <c r="F4071" s="396">
        <v>0</v>
      </c>
      <c r="G4071" s="396">
        <f>+F4070</f>
        <v>20000</v>
      </c>
      <c r="H4071" s="347" t="str">
        <f>+H4070</f>
        <v>Dia del Niño Marcela Nuñez</v>
      </c>
      <c r="I4071" s="347" t="s">
        <v>1303</v>
      </c>
      <c r="K4071" s="370"/>
      <c r="N4071" s="370"/>
    </row>
    <row r="4072" spans="1:14" s="347" customFormat="1" x14ac:dyDescent="0.25">
      <c r="A4072" s="369"/>
      <c r="E4072" s="396"/>
      <c r="F4072" s="396"/>
      <c r="G4072" s="396"/>
      <c r="K4072" s="370"/>
      <c r="N4072" s="370"/>
    </row>
    <row r="4073" spans="1:14" s="347" customFormat="1" x14ac:dyDescent="0.25">
      <c r="A4073" s="369">
        <v>44407</v>
      </c>
      <c r="B4073" s="340">
        <f>+MONTH(A4073)</f>
        <v>7</v>
      </c>
      <c r="C4073" s="347">
        <v>110</v>
      </c>
      <c r="D4073" s="340" t="str">
        <f>VLOOKUP(C4073,Plan!A$1:B$65542,2,0)</f>
        <v>Disponible Administración</v>
      </c>
      <c r="E4073" s="341">
        <f>+F4073-G4073</f>
        <v>5000</v>
      </c>
      <c r="F4073" s="396">
        <v>5000</v>
      </c>
      <c r="G4073" s="396">
        <v>0</v>
      </c>
      <c r="H4073" s="156" t="s">
        <v>1841</v>
      </c>
      <c r="I4073" s="347" t="s">
        <v>1303</v>
      </c>
      <c r="K4073" s="370"/>
      <c r="N4073" s="370"/>
    </row>
    <row r="4074" spans="1:14" s="347" customFormat="1" x14ac:dyDescent="0.25">
      <c r="A4074" s="369">
        <f>+A4073</f>
        <v>44407</v>
      </c>
      <c r="B4074" s="347">
        <f>+B4073</f>
        <v>7</v>
      </c>
      <c r="C4074" s="347">
        <v>3450</v>
      </c>
      <c r="D4074" s="340" t="str">
        <f>VLOOKUP(C4074,Plan!A$1:B$65542,2,0)</f>
        <v>Pastoral Social</v>
      </c>
      <c r="E4074" s="396">
        <f>-G4074</f>
        <v>-5000</v>
      </c>
      <c r="F4074" s="396">
        <v>0</v>
      </c>
      <c r="G4074" s="396">
        <f>+F4073</f>
        <v>5000</v>
      </c>
      <c r="H4074" s="347" t="str">
        <f>+H4073</f>
        <v>Dia del Niño Maria Rebeca Antunez</v>
      </c>
      <c r="I4074" s="347" t="s">
        <v>1303</v>
      </c>
      <c r="K4074" s="370"/>
      <c r="N4074" s="370"/>
    </row>
    <row r="4075" spans="1:14" s="347" customFormat="1" x14ac:dyDescent="0.25">
      <c r="A4075" s="369"/>
      <c r="E4075" s="396"/>
      <c r="F4075" s="396"/>
      <c r="G4075" s="396"/>
      <c r="K4075" s="370"/>
      <c r="N4075" s="370"/>
    </row>
    <row r="4076" spans="1:14" s="347" customFormat="1" x14ac:dyDescent="0.25">
      <c r="A4076" s="369">
        <v>44407</v>
      </c>
      <c r="B4076" s="340">
        <f>+MONTH(A4076)</f>
        <v>7</v>
      </c>
      <c r="C4076" s="347">
        <v>110</v>
      </c>
      <c r="D4076" s="340" t="str">
        <f>VLOOKUP(C4076,Plan!A$1:B$65542,2,0)</f>
        <v>Disponible Administración</v>
      </c>
      <c r="E4076" s="341">
        <f>+F4076-G4076</f>
        <v>20000</v>
      </c>
      <c r="F4076" s="396">
        <v>20000</v>
      </c>
      <c r="G4076" s="396">
        <v>0</v>
      </c>
      <c r="H4076" s="156" t="s">
        <v>1842</v>
      </c>
      <c r="I4076" s="347" t="s">
        <v>1303</v>
      </c>
      <c r="K4076" s="370"/>
      <c r="N4076" s="370"/>
    </row>
    <row r="4077" spans="1:14" s="347" customFormat="1" x14ac:dyDescent="0.25">
      <c r="A4077" s="369">
        <f>+A4076</f>
        <v>44407</v>
      </c>
      <c r="B4077" s="347">
        <f>+B4076</f>
        <v>7</v>
      </c>
      <c r="C4077" s="347">
        <v>3450</v>
      </c>
      <c r="D4077" s="340" t="str">
        <f>VLOOKUP(C4077,Plan!A$1:B$65542,2,0)</f>
        <v>Pastoral Social</v>
      </c>
      <c r="E4077" s="396">
        <f>-G4077</f>
        <v>-20000</v>
      </c>
      <c r="F4077" s="396">
        <v>0</v>
      </c>
      <c r="G4077" s="396">
        <f>+F4076</f>
        <v>20000</v>
      </c>
      <c r="H4077" s="347" t="str">
        <f>+H4076</f>
        <v>Dia del Niño Rodrigo Duran</v>
      </c>
      <c r="I4077" s="347" t="s">
        <v>1303</v>
      </c>
      <c r="K4077" s="370"/>
      <c r="N4077" s="370"/>
    </row>
    <row r="4078" spans="1:14" s="347" customFormat="1" x14ac:dyDescent="0.25">
      <c r="A4078" s="369"/>
      <c r="E4078" s="396"/>
      <c r="F4078" s="396"/>
      <c r="G4078" s="396"/>
      <c r="K4078" s="370"/>
      <c r="N4078" s="370"/>
    </row>
    <row r="4079" spans="1:14" s="347" customFormat="1" x14ac:dyDescent="0.25">
      <c r="A4079" s="369">
        <v>44407</v>
      </c>
      <c r="B4079" s="340">
        <f>+MONTH(A4079)</f>
        <v>7</v>
      </c>
      <c r="C4079" s="347">
        <v>110</v>
      </c>
      <c r="D4079" s="340" t="str">
        <f>VLOOKUP(C4079,Plan!A$1:B$65542,2,0)</f>
        <v>Disponible Administración</v>
      </c>
      <c r="E4079" s="341">
        <f>+F4079-G4079</f>
        <v>15000</v>
      </c>
      <c r="F4079" s="396">
        <v>15000</v>
      </c>
      <c r="G4079" s="396">
        <v>0</v>
      </c>
      <c r="H4079" s="156" t="s">
        <v>1597</v>
      </c>
      <c r="I4079" s="347" t="s">
        <v>1303</v>
      </c>
      <c r="K4079" s="370"/>
      <c r="N4079" s="370"/>
    </row>
    <row r="4080" spans="1:14" s="347" customFormat="1" x14ac:dyDescent="0.25">
      <c r="A4080" s="369">
        <f>+A4079</f>
        <v>44407</v>
      </c>
      <c r="B4080" s="347">
        <f>+B4079</f>
        <v>7</v>
      </c>
      <c r="C4080" s="347">
        <v>3450</v>
      </c>
      <c r="D4080" s="340" t="str">
        <f>VLOOKUP(C4080,Plan!A$1:B$65542,2,0)</f>
        <v>Pastoral Social</v>
      </c>
      <c r="E4080" s="396">
        <f>-G4080</f>
        <v>-15000</v>
      </c>
      <c r="F4080" s="396">
        <v>0</v>
      </c>
      <c r="G4080" s="396">
        <f>+F4079</f>
        <v>15000</v>
      </c>
      <c r="H4080" s="347" t="str">
        <f>+H4079</f>
        <v>Canastas Maria Virginia Escala</v>
      </c>
      <c r="I4080" s="347" t="s">
        <v>1303</v>
      </c>
      <c r="K4080" s="370"/>
      <c r="N4080" s="370"/>
    </row>
    <row r="4081" spans="1:14" s="347" customFormat="1" x14ac:dyDescent="0.25">
      <c r="A4081" s="369"/>
      <c r="E4081" s="396"/>
      <c r="F4081" s="396"/>
      <c r="G4081" s="396"/>
      <c r="K4081" s="370"/>
      <c r="N4081" s="370"/>
    </row>
    <row r="4082" spans="1:14" s="347" customFormat="1" x14ac:dyDescent="0.25">
      <c r="A4082" s="369">
        <v>44407</v>
      </c>
      <c r="B4082" s="340">
        <f>+MONTH(A4082)</f>
        <v>7</v>
      </c>
      <c r="C4082" s="347">
        <v>110</v>
      </c>
      <c r="D4082" s="340" t="str">
        <f>VLOOKUP(C4082,Plan!A$1:B$65542,2,0)</f>
        <v>Disponible Administración</v>
      </c>
      <c r="E4082" s="341">
        <f>+F4082-G4082</f>
        <v>40000</v>
      </c>
      <c r="F4082" s="396">
        <v>40000</v>
      </c>
      <c r="G4082" s="396">
        <v>0</v>
      </c>
      <c r="H4082" s="156" t="s">
        <v>1631</v>
      </c>
      <c r="I4082" s="347" t="s">
        <v>1303</v>
      </c>
      <c r="K4082" s="370"/>
      <c r="N4082" s="370"/>
    </row>
    <row r="4083" spans="1:14" s="347" customFormat="1" x14ac:dyDescent="0.25">
      <c r="A4083" s="369">
        <f>+A4082</f>
        <v>44407</v>
      </c>
      <c r="B4083" s="347">
        <f>+B4082</f>
        <v>7</v>
      </c>
      <c r="C4083" s="347">
        <v>215</v>
      </c>
      <c r="D4083" s="340" t="str">
        <f>VLOOKUP(C4083,Plan!A$1:B$65542,2,0)</f>
        <v>Cuenta por Pagar a Cali</v>
      </c>
      <c r="E4083" s="396">
        <f>-G4083</f>
        <v>-40000</v>
      </c>
      <c r="F4083" s="396">
        <v>0</v>
      </c>
      <c r="G4083" s="396">
        <f>+F4082</f>
        <v>40000</v>
      </c>
      <c r="H4083" s="347" t="str">
        <f>+H4082</f>
        <v>Eduardo Castro de la Barra / 249</v>
      </c>
      <c r="I4083" s="347" t="s">
        <v>1303</v>
      </c>
      <c r="K4083" s="370"/>
      <c r="N4083" s="370"/>
    </row>
    <row r="4084" spans="1:14" s="347" customFormat="1" x14ac:dyDescent="0.25">
      <c r="A4084" s="369"/>
      <c r="E4084" s="396"/>
      <c r="F4084" s="396"/>
      <c r="G4084" s="396"/>
      <c r="K4084" s="370"/>
      <c r="N4084" s="370"/>
    </row>
    <row r="4085" spans="1:14" s="347" customFormat="1" x14ac:dyDescent="0.25">
      <c r="A4085" s="369">
        <v>44407</v>
      </c>
      <c r="B4085" s="340">
        <f>+MONTH(A4085)</f>
        <v>7</v>
      </c>
      <c r="C4085" s="347">
        <v>110</v>
      </c>
      <c r="D4085" s="340" t="str">
        <f>VLOOKUP(C4085,Plan!A$1:B$65542,2,0)</f>
        <v>Disponible Administración</v>
      </c>
      <c r="E4085" s="341">
        <f>+F4085-G4085</f>
        <v>20000</v>
      </c>
      <c r="F4085" s="396">
        <v>20000</v>
      </c>
      <c r="G4085" s="396">
        <v>0</v>
      </c>
      <c r="H4085" s="156" t="s">
        <v>961</v>
      </c>
      <c r="I4085" s="347" t="s">
        <v>1303</v>
      </c>
      <c r="K4085" s="370"/>
      <c r="N4085" s="370"/>
    </row>
    <row r="4086" spans="1:14" s="347" customFormat="1" x14ac:dyDescent="0.25">
      <c r="A4086" s="369">
        <f>+A4085</f>
        <v>44407</v>
      </c>
      <c r="B4086" s="347">
        <f>+B4085</f>
        <v>7</v>
      </c>
      <c r="C4086" s="347">
        <v>3110</v>
      </c>
      <c r="D4086" s="340" t="str">
        <f>VLOOKUP(C4086,Plan!A$1:B$65542,2,0)</f>
        <v>Colectas Normales</v>
      </c>
      <c r="E4086" s="396">
        <f>-G4086</f>
        <v>-20000</v>
      </c>
      <c r="F4086" s="396">
        <v>0</v>
      </c>
      <c r="G4086" s="396">
        <f>+F4085</f>
        <v>20000</v>
      </c>
      <c r="H4086" s="347" t="str">
        <f>+H4085</f>
        <v>Colecta Jose Luis Bustamante G</v>
      </c>
      <c r="I4086" s="347" t="s">
        <v>1303</v>
      </c>
      <c r="K4086" s="370"/>
      <c r="N4086" s="370"/>
    </row>
    <row r="4087" spans="1:14" s="347" customFormat="1" x14ac:dyDescent="0.25">
      <c r="A4087" s="369"/>
      <c r="E4087" s="396"/>
      <c r="F4087" s="396"/>
      <c r="G4087" s="396"/>
      <c r="K4087" s="370"/>
      <c r="N4087" s="370"/>
    </row>
    <row r="4088" spans="1:14" s="347" customFormat="1" x14ac:dyDescent="0.25">
      <c r="A4088" s="369">
        <v>44407</v>
      </c>
      <c r="B4088" s="340">
        <f>+MONTH(A4088)</f>
        <v>7</v>
      </c>
      <c r="C4088" s="347">
        <v>110</v>
      </c>
      <c r="D4088" s="340" t="str">
        <f>VLOOKUP(C4088,Plan!A$1:B$65542,2,0)</f>
        <v>Disponible Administración</v>
      </c>
      <c r="E4088" s="341">
        <f>+F4088-G4088</f>
        <v>1000000</v>
      </c>
      <c r="F4088" s="396">
        <v>1000000</v>
      </c>
      <c r="G4088" s="396">
        <v>0</v>
      </c>
      <c r="H4088" s="156" t="s">
        <v>1843</v>
      </c>
      <c r="I4088" s="347" t="s">
        <v>1303</v>
      </c>
      <c r="K4088" s="370"/>
      <c r="N4088" s="370"/>
    </row>
    <row r="4089" spans="1:14" s="347" customFormat="1" x14ac:dyDescent="0.25">
      <c r="A4089" s="369">
        <f>+A4088</f>
        <v>44407</v>
      </c>
      <c r="B4089" s="347">
        <f>+B4088</f>
        <v>7</v>
      </c>
      <c r="C4089" s="347">
        <v>215</v>
      </c>
      <c r="D4089" s="340" t="str">
        <f>VLOOKUP(C4089,Plan!A$1:B$65542,2,0)</f>
        <v>Cuenta por Pagar a Cali</v>
      </c>
      <c r="E4089" s="396">
        <f>-G4089</f>
        <v>-1000000</v>
      </c>
      <c r="F4089" s="396">
        <v>0</v>
      </c>
      <c r="G4089" s="396">
        <f>+F4088</f>
        <v>1000000</v>
      </c>
      <c r="H4089" s="347" t="str">
        <f>+H4088</f>
        <v xml:space="preserve">Fernando Arcuch Salum /Azul </v>
      </c>
      <c r="I4089" s="347" t="s">
        <v>1303</v>
      </c>
      <c r="K4089" s="370"/>
      <c r="N4089" s="370"/>
    </row>
    <row r="4090" spans="1:14" s="347" customFormat="1" x14ac:dyDescent="0.25">
      <c r="A4090" s="369"/>
      <c r="E4090" s="396"/>
      <c r="F4090" s="396"/>
      <c r="G4090" s="396"/>
      <c r="K4090" s="370"/>
      <c r="N4090" s="370"/>
    </row>
    <row r="4091" spans="1:14" s="347" customFormat="1" x14ac:dyDescent="0.25">
      <c r="A4091" s="369">
        <v>44407</v>
      </c>
      <c r="B4091" s="340">
        <f>+MONTH(A4091)</f>
        <v>7</v>
      </c>
      <c r="C4091" s="347">
        <v>110</v>
      </c>
      <c r="D4091" s="340" t="str">
        <f>VLOOKUP(C4091,Plan!A$1:B$65542,2,0)</f>
        <v>Disponible Administración</v>
      </c>
      <c r="E4091" s="341">
        <f>+F4091-G4091</f>
        <v>40000</v>
      </c>
      <c r="F4091" s="396">
        <v>40000</v>
      </c>
      <c r="G4091" s="396">
        <v>0</v>
      </c>
      <c r="H4091" s="156" t="s">
        <v>1844</v>
      </c>
      <c r="I4091" s="347" t="s">
        <v>1303</v>
      </c>
      <c r="K4091" s="370"/>
      <c r="N4091" s="370"/>
    </row>
    <row r="4092" spans="1:14" s="347" customFormat="1" x14ac:dyDescent="0.25">
      <c r="A4092" s="369">
        <f>+A4091</f>
        <v>44407</v>
      </c>
      <c r="B4092" s="347">
        <f>+B4091</f>
        <v>7</v>
      </c>
      <c r="C4092" s="347">
        <v>3450</v>
      </c>
      <c r="D4092" s="340" t="str">
        <f>VLOOKUP(C4092,Plan!A$1:B$65542,2,0)</f>
        <v>Pastoral Social</v>
      </c>
      <c r="E4092" s="396">
        <f>-G4092</f>
        <v>-40000</v>
      </c>
      <c r="F4092" s="396">
        <v>0</v>
      </c>
      <c r="G4092" s="396">
        <f>+F4091</f>
        <v>40000</v>
      </c>
      <c r="H4092" s="347" t="str">
        <f>+H4091</f>
        <v>Dia del Niño Karina Rabino</v>
      </c>
      <c r="I4092" s="347" t="s">
        <v>1303</v>
      </c>
      <c r="K4092" s="370"/>
      <c r="N4092" s="370"/>
    </row>
    <row r="4093" spans="1:14" s="347" customFormat="1" x14ac:dyDescent="0.25">
      <c r="A4093" s="369"/>
      <c r="E4093" s="396"/>
      <c r="F4093" s="396"/>
      <c r="G4093" s="396"/>
      <c r="K4093" s="370"/>
      <c r="N4093" s="370"/>
    </row>
    <row r="4094" spans="1:14" s="347" customFormat="1" x14ac:dyDescent="0.25">
      <c r="A4094" s="369">
        <v>44407</v>
      </c>
      <c r="B4094" s="340">
        <f>+MONTH(A4094)</f>
        <v>7</v>
      </c>
      <c r="C4094" s="347">
        <v>110</v>
      </c>
      <c r="D4094" s="340" t="str">
        <f>VLOOKUP(C4094,Plan!A$1:B$65542,2,0)</f>
        <v>Disponible Administración</v>
      </c>
      <c r="E4094" s="341">
        <f>+F4094-G4094</f>
        <v>15000</v>
      </c>
      <c r="F4094" s="396">
        <v>15000</v>
      </c>
      <c r="G4094" s="396">
        <v>0</v>
      </c>
      <c r="H4094" s="156" t="s">
        <v>1845</v>
      </c>
      <c r="I4094" s="347" t="s">
        <v>1303</v>
      </c>
      <c r="K4094" s="370"/>
      <c r="N4094" s="370"/>
    </row>
    <row r="4095" spans="1:14" s="347" customFormat="1" x14ac:dyDescent="0.25">
      <c r="A4095" s="369">
        <f>+A4094</f>
        <v>44407</v>
      </c>
      <c r="B4095" s="347">
        <f>+B4094</f>
        <v>7</v>
      </c>
      <c r="C4095" s="347">
        <v>3450</v>
      </c>
      <c r="D4095" s="340" t="str">
        <f>VLOOKUP(C4095,Plan!A$1:B$65542,2,0)</f>
        <v>Pastoral Social</v>
      </c>
      <c r="E4095" s="396">
        <f>-G4095</f>
        <v>-15000</v>
      </c>
      <c r="F4095" s="396">
        <v>0</v>
      </c>
      <c r="G4095" s="396">
        <f>+F4094</f>
        <v>15000</v>
      </c>
      <c r="H4095" s="347" t="str">
        <f>+H4094</f>
        <v>Dia del Niño Carmen Gloria Ovalle</v>
      </c>
      <c r="I4095" s="347" t="s">
        <v>1303</v>
      </c>
      <c r="K4095" s="370"/>
      <c r="N4095" s="370"/>
    </row>
    <row r="4096" spans="1:14" s="347" customFormat="1" x14ac:dyDescent="0.25">
      <c r="A4096" s="369"/>
      <c r="E4096" s="396"/>
      <c r="F4096" s="396"/>
      <c r="G4096" s="396"/>
      <c r="K4096" s="370"/>
      <c r="N4096" s="370"/>
    </row>
    <row r="4097" spans="1:14" s="347" customFormat="1" x14ac:dyDescent="0.25">
      <c r="A4097" s="369">
        <v>44407</v>
      </c>
      <c r="B4097" s="340">
        <f>+MONTH(A4097)</f>
        <v>7</v>
      </c>
      <c r="C4097" s="347">
        <v>110</v>
      </c>
      <c r="D4097" s="340" t="str">
        <f>VLOOKUP(C4097,Plan!A$1:B$65542,2,0)</f>
        <v>Disponible Administración</v>
      </c>
      <c r="E4097" s="341">
        <f>+F4097-G4097</f>
        <v>20000</v>
      </c>
      <c r="F4097" s="396">
        <v>20000</v>
      </c>
      <c r="G4097" s="396">
        <v>0</v>
      </c>
      <c r="H4097" s="156" t="s">
        <v>1846</v>
      </c>
      <c r="I4097" s="347" t="s">
        <v>1303</v>
      </c>
      <c r="K4097" s="370"/>
      <c r="N4097" s="370"/>
    </row>
    <row r="4098" spans="1:14" s="347" customFormat="1" x14ac:dyDescent="0.25">
      <c r="A4098" s="369">
        <f>+A4097</f>
        <v>44407</v>
      </c>
      <c r="B4098" s="347">
        <f>+B4097</f>
        <v>7</v>
      </c>
      <c r="C4098" s="347">
        <v>3350</v>
      </c>
      <c r="D4098" s="340" t="str">
        <f>VLOOKUP(C4098,Plan!A$1:B$65542,2,0)</f>
        <v>Bautizos</v>
      </c>
      <c r="E4098" s="396">
        <f>-G4098</f>
        <v>-20000</v>
      </c>
      <c r="F4098" s="396">
        <v>0</v>
      </c>
      <c r="G4098" s="396">
        <f>+F4097</f>
        <v>20000</v>
      </c>
      <c r="H4098" s="347" t="str">
        <f>+H4097</f>
        <v>Bautizo Maria Pia Cubillos Guzman</v>
      </c>
      <c r="I4098" s="347" t="s">
        <v>1303</v>
      </c>
      <c r="K4098" s="370"/>
      <c r="N4098" s="370"/>
    </row>
    <row r="4099" spans="1:14" s="347" customFormat="1" x14ac:dyDescent="0.25">
      <c r="A4099" s="369"/>
      <c r="E4099" s="396"/>
      <c r="F4099" s="396"/>
      <c r="G4099" s="396"/>
      <c r="K4099" s="370"/>
      <c r="N4099" s="370"/>
    </row>
    <row r="4100" spans="1:14" s="347" customFormat="1" x14ac:dyDescent="0.25">
      <c r="A4100" s="369">
        <v>44407</v>
      </c>
      <c r="B4100" s="340">
        <f>+MONTH(A4100)</f>
        <v>7</v>
      </c>
      <c r="C4100" s="347">
        <v>110</v>
      </c>
      <c r="D4100" s="340" t="str">
        <f>VLOOKUP(C4100,Plan!A$1:B$65542,2,0)</f>
        <v>Disponible Administración</v>
      </c>
      <c r="E4100" s="341">
        <f>+F4100-G4100</f>
        <v>63000</v>
      </c>
      <c r="F4100" s="396">
        <v>63000</v>
      </c>
      <c r="G4100" s="396">
        <v>0</v>
      </c>
      <c r="H4100" s="156" t="s">
        <v>1439</v>
      </c>
      <c r="I4100" s="347" t="s">
        <v>1303</v>
      </c>
      <c r="K4100" s="370"/>
      <c r="N4100" s="370"/>
    </row>
    <row r="4101" spans="1:14" s="347" customFormat="1" x14ac:dyDescent="0.25">
      <c r="A4101" s="369">
        <f>+A4100</f>
        <v>44407</v>
      </c>
      <c r="B4101" s="347">
        <f>+B4100</f>
        <v>7</v>
      </c>
      <c r="C4101" s="347">
        <v>3110</v>
      </c>
      <c r="D4101" s="340" t="str">
        <f>VLOOKUP(C4101,Plan!A$1:B$65542,2,0)</f>
        <v>Colectas Normales</v>
      </c>
      <c r="E4101" s="396">
        <f>-G4101</f>
        <v>-63000</v>
      </c>
      <c r="F4101" s="396">
        <v>0</v>
      </c>
      <c r="G4101" s="396">
        <f>+F4100</f>
        <v>63000</v>
      </c>
      <c r="H4101" s="347" t="str">
        <f>+H4100</f>
        <v>Dep. Colecta Col. Cordillera</v>
      </c>
      <c r="I4101" s="347" t="s">
        <v>1303</v>
      </c>
      <c r="K4101" s="370"/>
      <c r="N4101" s="370"/>
    </row>
    <row r="4102" spans="1:14" s="347" customFormat="1" x14ac:dyDescent="0.25">
      <c r="A4102" s="369"/>
      <c r="E4102" s="396"/>
      <c r="F4102" s="396"/>
      <c r="G4102" s="396"/>
      <c r="K4102" s="370"/>
      <c r="N4102" s="370"/>
    </row>
    <row r="4103" spans="1:14" s="347" customFormat="1" x14ac:dyDescent="0.25">
      <c r="A4103" s="369">
        <v>44407</v>
      </c>
      <c r="B4103" s="340">
        <f>+MONTH(A4103)</f>
        <v>7</v>
      </c>
      <c r="C4103" s="347">
        <v>142</v>
      </c>
      <c r="D4103" s="340" t="str">
        <f>VLOOKUP(C4103,Plan!A$1:B$65542,2,0)</f>
        <v>Cuentas por Cobrar a CALI (Colectas)</v>
      </c>
      <c r="E4103" s="341">
        <f>+F4103-G4103</f>
        <v>12000</v>
      </c>
      <c r="F4103" s="396">
        <v>12000</v>
      </c>
      <c r="G4103" s="396">
        <v>0</v>
      </c>
      <c r="H4103" t="s">
        <v>982</v>
      </c>
      <c r="I4103" s="347" t="s">
        <v>1303</v>
      </c>
      <c r="K4103" s="370"/>
      <c r="N4103" s="370"/>
    </row>
    <row r="4104" spans="1:14" s="347" customFormat="1" x14ac:dyDescent="0.25">
      <c r="A4104" s="369">
        <f>+A4103</f>
        <v>44407</v>
      </c>
      <c r="B4104" s="347">
        <f>+B4103</f>
        <v>7</v>
      </c>
      <c r="C4104" s="347">
        <v>142</v>
      </c>
      <c r="D4104" s="340" t="str">
        <f>VLOOKUP(C4104,Plan!A$1:B$65542,2,0)</f>
        <v>Cuentas por Cobrar a CALI (Colectas)</v>
      </c>
      <c r="E4104" s="341">
        <f t="shared" ref="E4104:E4110" si="35">+F4104-G4104</f>
        <v>20000</v>
      </c>
      <c r="F4104" s="396">
        <v>20000</v>
      </c>
      <c r="G4104" s="396">
        <v>0</v>
      </c>
      <c r="H4104" t="s">
        <v>1046</v>
      </c>
      <c r="I4104" s="347" t="s">
        <v>1303</v>
      </c>
      <c r="K4104" s="370"/>
      <c r="N4104" s="370"/>
    </row>
    <row r="4105" spans="1:14" s="347" customFormat="1" x14ac:dyDescent="0.25">
      <c r="A4105" s="369">
        <v>44407</v>
      </c>
      <c r="B4105" s="340">
        <f>+MONTH(A4105)</f>
        <v>7</v>
      </c>
      <c r="C4105" s="347">
        <v>142</v>
      </c>
      <c r="D4105" s="340" t="str">
        <f>VLOOKUP(C4105,Plan!A$1:B$65542,2,0)</f>
        <v>Cuentas por Cobrar a CALI (Colectas)</v>
      </c>
      <c r="E4105" s="341">
        <f t="shared" si="35"/>
        <v>5000</v>
      </c>
      <c r="F4105" s="396">
        <v>5000</v>
      </c>
      <c r="G4105" s="396">
        <v>0</v>
      </c>
      <c r="H4105" t="s">
        <v>1010</v>
      </c>
      <c r="I4105" s="347" t="s">
        <v>1303</v>
      </c>
      <c r="K4105" s="370"/>
      <c r="N4105" s="370"/>
    </row>
    <row r="4106" spans="1:14" s="347" customFormat="1" x14ac:dyDescent="0.25">
      <c r="A4106" s="369">
        <f>+A4105</f>
        <v>44407</v>
      </c>
      <c r="B4106" s="347">
        <f>+B4105</f>
        <v>7</v>
      </c>
      <c r="C4106" s="347">
        <v>142</v>
      </c>
      <c r="D4106" s="340" t="str">
        <f>VLOOKUP(C4106,Plan!A$1:B$65542,2,0)</f>
        <v>Cuentas por Cobrar a CALI (Colectas)</v>
      </c>
      <c r="E4106" s="341">
        <f t="shared" si="35"/>
        <v>5000</v>
      </c>
      <c r="F4106" s="396">
        <v>5000</v>
      </c>
      <c r="G4106" s="396">
        <v>0</v>
      </c>
      <c r="H4106" t="s">
        <v>1861</v>
      </c>
      <c r="I4106" s="347" t="s">
        <v>1303</v>
      </c>
      <c r="K4106" s="370"/>
      <c r="N4106" s="370"/>
    </row>
    <row r="4107" spans="1:14" s="347" customFormat="1" x14ac:dyDescent="0.25">
      <c r="A4107" s="369">
        <v>44407</v>
      </c>
      <c r="B4107" s="340">
        <f>+MONTH(A4107)</f>
        <v>7</v>
      </c>
      <c r="C4107" s="347">
        <v>142</v>
      </c>
      <c r="D4107" s="340" t="str">
        <f>VLOOKUP(C4107,Plan!A$1:B$65542,2,0)</f>
        <v>Cuentas por Cobrar a CALI (Colectas)</v>
      </c>
      <c r="E4107" s="341">
        <f t="shared" si="35"/>
        <v>7000</v>
      </c>
      <c r="F4107" s="396">
        <v>7000</v>
      </c>
      <c r="G4107" s="396">
        <v>0</v>
      </c>
      <c r="H4107" t="s">
        <v>1864</v>
      </c>
      <c r="I4107" s="347" t="s">
        <v>1303</v>
      </c>
      <c r="K4107" s="370"/>
      <c r="N4107" s="370"/>
    </row>
    <row r="4108" spans="1:14" s="347" customFormat="1" x14ac:dyDescent="0.25">
      <c r="A4108" s="369">
        <f>+A4107</f>
        <v>44407</v>
      </c>
      <c r="B4108" s="347">
        <f>+B4107</f>
        <v>7</v>
      </c>
      <c r="C4108" s="347">
        <v>3110</v>
      </c>
      <c r="D4108" s="340" t="str">
        <f>VLOOKUP(C4108,Plan!A$1:B$65542,2,0)</f>
        <v>Colectas Normales</v>
      </c>
      <c r="E4108" s="341">
        <f t="shared" si="35"/>
        <v>-12000</v>
      </c>
      <c r="F4108" s="396">
        <v>0</v>
      </c>
      <c r="G4108" s="396">
        <v>12000</v>
      </c>
      <c r="H4108" t="s">
        <v>982</v>
      </c>
      <c r="I4108" s="347" t="s">
        <v>1303</v>
      </c>
      <c r="K4108" s="370"/>
      <c r="N4108" s="370"/>
    </row>
    <row r="4109" spans="1:14" s="347" customFormat="1" x14ac:dyDescent="0.25">
      <c r="A4109" s="369">
        <v>44407</v>
      </c>
      <c r="B4109" s="340">
        <f>+MONTH(A4109)</f>
        <v>7</v>
      </c>
      <c r="C4109" s="347">
        <v>3110</v>
      </c>
      <c r="D4109" s="340" t="str">
        <f>VLOOKUP(C4109,Plan!A$1:B$65542,2,0)</f>
        <v>Colectas Normales</v>
      </c>
      <c r="E4109" s="341">
        <f t="shared" si="35"/>
        <v>-20000</v>
      </c>
      <c r="F4109" s="396">
        <v>0</v>
      </c>
      <c r="G4109" s="396">
        <v>20000</v>
      </c>
      <c r="H4109" t="s">
        <v>1046</v>
      </c>
      <c r="I4109" s="347" t="s">
        <v>1303</v>
      </c>
      <c r="K4109" s="370"/>
      <c r="N4109" s="370"/>
    </row>
    <row r="4110" spans="1:14" s="347" customFormat="1" x14ac:dyDescent="0.25">
      <c r="A4110" s="369">
        <f t="shared" ref="A4110:B4112" si="36">+A4109</f>
        <v>44407</v>
      </c>
      <c r="B4110" s="347">
        <f t="shared" si="36"/>
        <v>7</v>
      </c>
      <c r="C4110" s="347">
        <v>3110</v>
      </c>
      <c r="D4110" s="340" t="str">
        <f>VLOOKUP(C4110,Plan!A$1:B$65542,2,0)</f>
        <v>Colectas Normales</v>
      </c>
      <c r="E4110" s="341">
        <f t="shared" si="35"/>
        <v>-5000</v>
      </c>
      <c r="F4110" s="396">
        <v>0</v>
      </c>
      <c r="G4110" s="396">
        <v>5000</v>
      </c>
      <c r="H4110" t="s">
        <v>1010</v>
      </c>
      <c r="I4110" s="347" t="s">
        <v>1303</v>
      </c>
      <c r="K4110" s="370"/>
      <c r="N4110" s="370"/>
    </row>
    <row r="4111" spans="1:14" s="347" customFormat="1" x14ac:dyDescent="0.25">
      <c r="A4111" s="369">
        <f t="shared" si="36"/>
        <v>44407</v>
      </c>
      <c r="B4111" s="347">
        <f t="shared" si="36"/>
        <v>7</v>
      </c>
      <c r="C4111" s="347">
        <v>3110</v>
      </c>
      <c r="D4111" s="340" t="str">
        <f>VLOOKUP(C4111,Plan!A$1:B$65542,2,0)</f>
        <v>Colectas Normales</v>
      </c>
      <c r="E4111" s="341">
        <f>+F4111-G4111</f>
        <v>-5000</v>
      </c>
      <c r="F4111" s="396">
        <v>0</v>
      </c>
      <c r="G4111" s="396">
        <v>5000</v>
      </c>
      <c r="H4111" t="s">
        <v>1861</v>
      </c>
      <c r="I4111" s="347" t="s">
        <v>1303</v>
      </c>
      <c r="K4111" s="370"/>
      <c r="N4111" s="370"/>
    </row>
    <row r="4112" spans="1:14" s="347" customFormat="1" x14ac:dyDescent="0.25">
      <c r="A4112" s="369">
        <f t="shared" si="36"/>
        <v>44407</v>
      </c>
      <c r="B4112" s="347">
        <f t="shared" si="36"/>
        <v>7</v>
      </c>
      <c r="C4112" s="347">
        <v>3110</v>
      </c>
      <c r="D4112" s="340" t="str">
        <f>VLOOKUP(C4112,Plan!A$1:B$65542,2,0)</f>
        <v>Colectas Normales</v>
      </c>
      <c r="E4112" s="341">
        <f>+F4112-G4112</f>
        <v>-7000</v>
      </c>
      <c r="F4112" s="396">
        <v>0</v>
      </c>
      <c r="G4112" s="396">
        <v>7000</v>
      </c>
      <c r="H4112" t="s">
        <v>1864</v>
      </c>
      <c r="I4112" s="347" t="s">
        <v>1303</v>
      </c>
      <c r="K4112" s="370"/>
      <c r="N4112" s="370"/>
    </row>
    <row r="4113" spans="1:14" s="347" customFormat="1" x14ac:dyDescent="0.25">
      <c r="A4113" s="369"/>
      <c r="E4113" s="396"/>
      <c r="F4113" s="396"/>
      <c r="G4113" s="396"/>
      <c r="K4113" s="370"/>
      <c r="N4113" s="370"/>
    </row>
    <row r="4114" spans="1:14" s="347" customFormat="1" x14ac:dyDescent="0.25">
      <c r="A4114" s="369">
        <v>44407</v>
      </c>
      <c r="B4114" s="340">
        <f>+MONTH(A4114)</f>
        <v>7</v>
      </c>
      <c r="C4114" s="347">
        <v>143</v>
      </c>
      <c r="D4114" s="340" t="str">
        <f>VLOOKUP(C4114,Plan!A$1:B$65542,2,0)</f>
        <v>Cuentas por Cobrar a CALI (Canastas)</v>
      </c>
      <c r="E4114" s="341">
        <f>+F4114-G4114</f>
        <v>20000</v>
      </c>
      <c r="F4114" s="396">
        <v>20000</v>
      </c>
      <c r="G4114" s="396">
        <v>0</v>
      </c>
      <c r="H4114" t="s">
        <v>1855</v>
      </c>
      <c r="I4114" s="347" t="s">
        <v>1303</v>
      </c>
      <c r="K4114" s="370"/>
      <c r="N4114" s="370"/>
    </row>
    <row r="4115" spans="1:14" s="347" customFormat="1" x14ac:dyDescent="0.25">
      <c r="A4115" s="369">
        <f>+A4114</f>
        <v>44407</v>
      </c>
      <c r="B4115" s="347">
        <f>+B4114</f>
        <v>7</v>
      </c>
      <c r="C4115" s="347">
        <v>3450</v>
      </c>
      <c r="D4115" s="340" t="str">
        <f>VLOOKUP(C4115,Plan!A$1:B$65542,2,0)</f>
        <v>Pastoral Social</v>
      </c>
      <c r="E4115" s="341">
        <f>+F4115-G4115</f>
        <v>-20000</v>
      </c>
      <c r="F4115" s="396">
        <v>0</v>
      </c>
      <c r="G4115" s="396">
        <f>+F4114</f>
        <v>20000</v>
      </c>
      <c r="H4115" t="s">
        <v>1855</v>
      </c>
      <c r="I4115" s="347" t="s">
        <v>1303</v>
      </c>
      <c r="K4115" s="370"/>
      <c r="N4115" s="370"/>
    </row>
    <row r="4116" spans="1:14" s="347" customFormat="1" x14ac:dyDescent="0.25">
      <c r="A4116" s="369"/>
      <c r="E4116" s="396"/>
      <c r="F4116" s="396"/>
      <c r="G4116" s="396"/>
      <c r="K4116" s="370"/>
      <c r="N4116" s="370"/>
    </row>
    <row r="4117" spans="1:14" s="347" customFormat="1" x14ac:dyDescent="0.25">
      <c r="A4117" s="369">
        <v>44410</v>
      </c>
      <c r="B4117" s="340">
        <f>+MONTH(A4117)</f>
        <v>8</v>
      </c>
      <c r="C4117" s="347">
        <v>110</v>
      </c>
      <c r="D4117" s="340" t="str">
        <f>VLOOKUP(C4117,Plan!A$1:B$65542,2,0)</f>
        <v>Disponible Administración</v>
      </c>
      <c r="E4117" s="341">
        <f>+F4117-G4117</f>
        <v>4000</v>
      </c>
      <c r="F4117" s="396">
        <v>4000</v>
      </c>
      <c r="G4117" s="396">
        <v>0</v>
      </c>
      <c r="H4117" t="s">
        <v>1901</v>
      </c>
      <c r="I4117" s="347" t="s">
        <v>1303</v>
      </c>
      <c r="K4117" s="370"/>
      <c r="N4117" s="370"/>
    </row>
    <row r="4118" spans="1:14" s="347" customFormat="1" x14ac:dyDescent="0.25">
      <c r="A4118" s="369">
        <f>+A4117</f>
        <v>44410</v>
      </c>
      <c r="B4118" s="347">
        <f>+B4117</f>
        <v>8</v>
      </c>
      <c r="C4118" s="347">
        <v>3110</v>
      </c>
      <c r="D4118" s="340" t="str">
        <f>VLOOKUP(C4118,Plan!A$1:B$65542,2,0)</f>
        <v>Colectas Normales</v>
      </c>
      <c r="E4118" s="341">
        <f>+F4118-G4118</f>
        <v>-4000</v>
      </c>
      <c r="F4118" s="396">
        <v>0</v>
      </c>
      <c r="G4118" s="396">
        <f>+F4117</f>
        <v>4000</v>
      </c>
      <c r="H4118" t="str">
        <f>+H4117</f>
        <v>Colecta Maria Macarena Besa Prieto</v>
      </c>
      <c r="I4118" s="347" t="s">
        <v>1303</v>
      </c>
      <c r="K4118" s="370"/>
      <c r="N4118" s="370"/>
    </row>
    <row r="4119" spans="1:14" s="347" customFormat="1" x14ac:dyDescent="0.25">
      <c r="A4119" s="369"/>
      <c r="E4119" s="396"/>
      <c r="F4119" s="396"/>
      <c r="G4119" s="396"/>
      <c r="K4119" s="370"/>
      <c r="N4119" s="370"/>
    </row>
    <row r="4120" spans="1:14" s="347" customFormat="1" x14ac:dyDescent="0.25">
      <c r="A4120" s="369">
        <v>44410</v>
      </c>
      <c r="B4120" s="340">
        <f>+MONTH(A4120)</f>
        <v>8</v>
      </c>
      <c r="C4120" s="347">
        <v>110</v>
      </c>
      <c r="D4120" s="340" t="str">
        <f>VLOOKUP(C4120,Plan!A$1:B$65542,2,0)</f>
        <v>Disponible Administración</v>
      </c>
      <c r="E4120" s="341">
        <f>+F4120-G4120</f>
        <v>50000</v>
      </c>
      <c r="F4120" s="396">
        <v>50000</v>
      </c>
      <c r="G4120" s="396">
        <v>0</v>
      </c>
      <c r="H4120" t="s">
        <v>960</v>
      </c>
      <c r="I4120" s="347" t="s">
        <v>1303</v>
      </c>
      <c r="K4120" s="370"/>
      <c r="N4120" s="370"/>
    </row>
    <row r="4121" spans="1:14" s="347" customFormat="1" x14ac:dyDescent="0.25">
      <c r="A4121" s="369">
        <f>+A4120</f>
        <v>44410</v>
      </c>
      <c r="B4121" s="347">
        <f>+B4120</f>
        <v>8</v>
      </c>
      <c r="C4121" s="347">
        <v>3110</v>
      </c>
      <c r="D4121" s="340" t="str">
        <f>VLOOKUP(C4121,Plan!A$1:B$65542,2,0)</f>
        <v>Colectas Normales</v>
      </c>
      <c r="E4121" s="341">
        <f>+F4121-G4121</f>
        <v>-50000</v>
      </c>
      <c r="F4121" s="396">
        <v>0</v>
      </c>
      <c r="G4121" s="396">
        <f>+F4120</f>
        <v>50000</v>
      </c>
      <c r="H4121" t="str">
        <f>+H4120</f>
        <v>Colecta Ximena Garcia</v>
      </c>
      <c r="I4121" s="347" t="s">
        <v>1303</v>
      </c>
      <c r="K4121" s="370"/>
      <c r="N4121" s="370"/>
    </row>
    <row r="4122" spans="1:14" s="347" customFormat="1" x14ac:dyDescent="0.25">
      <c r="A4122" s="369"/>
      <c r="E4122" s="396"/>
      <c r="F4122" s="396"/>
      <c r="G4122" s="396"/>
      <c r="K4122" s="370"/>
      <c r="N4122" s="370"/>
    </row>
    <row r="4123" spans="1:14" s="347" customFormat="1" x14ac:dyDescent="0.25">
      <c r="A4123" s="369">
        <v>44410</v>
      </c>
      <c r="B4123" s="340">
        <f>+MONTH(A4123)</f>
        <v>8</v>
      </c>
      <c r="C4123" s="347">
        <v>110</v>
      </c>
      <c r="D4123" s="340" t="str">
        <f>VLOOKUP(C4123,Plan!A$1:B$65542,2,0)</f>
        <v>Disponible Administración</v>
      </c>
      <c r="E4123" s="341">
        <f>+F4123-G4123</f>
        <v>40000</v>
      </c>
      <c r="F4123" s="396">
        <v>40000</v>
      </c>
      <c r="G4123" s="396">
        <v>0</v>
      </c>
      <c r="H4123" t="s">
        <v>1902</v>
      </c>
      <c r="I4123" s="347" t="s">
        <v>1303</v>
      </c>
      <c r="K4123" s="370"/>
      <c r="N4123" s="370"/>
    </row>
    <row r="4124" spans="1:14" s="347" customFormat="1" x14ac:dyDescent="0.25">
      <c r="A4124" s="369">
        <f>+A4123</f>
        <v>44410</v>
      </c>
      <c r="B4124" s="347">
        <f>+B4123</f>
        <v>8</v>
      </c>
      <c r="C4124" s="347">
        <v>215</v>
      </c>
      <c r="D4124" s="340" t="str">
        <f>VLOOKUP(C4124,Plan!A$1:B$65542,2,0)</f>
        <v>Cuenta por Pagar a Cali</v>
      </c>
      <c r="E4124" s="341">
        <f>+F4124-G4124</f>
        <v>-40000</v>
      </c>
      <c r="F4124" s="396">
        <v>0</v>
      </c>
      <c r="G4124" s="396">
        <f>+F4123</f>
        <v>40000</v>
      </c>
      <c r="H4124" t="str">
        <f>+H4123</f>
        <v>María de los Ángeles Herrera Soler/249</v>
      </c>
      <c r="I4124" s="347" t="s">
        <v>1303</v>
      </c>
      <c r="K4124" s="370"/>
      <c r="N4124" s="370"/>
    </row>
    <row r="4125" spans="1:14" s="347" customFormat="1" x14ac:dyDescent="0.25">
      <c r="A4125" s="369"/>
      <c r="E4125" s="396"/>
      <c r="F4125" s="396"/>
      <c r="G4125" s="396"/>
      <c r="K4125" s="370"/>
      <c r="N4125" s="370"/>
    </row>
    <row r="4126" spans="1:14" s="347" customFormat="1" x14ac:dyDescent="0.25">
      <c r="A4126" s="369">
        <v>44410</v>
      </c>
      <c r="B4126" s="340">
        <f>+MONTH(A4126)</f>
        <v>8</v>
      </c>
      <c r="C4126" s="347">
        <v>110</v>
      </c>
      <c r="D4126" s="340" t="str">
        <f>VLOOKUP(C4126,Plan!A$1:B$65542,2,0)</f>
        <v>Disponible Administración</v>
      </c>
      <c r="E4126" s="341">
        <f>+F4126-G4126</f>
        <v>50000</v>
      </c>
      <c r="F4126" s="396">
        <v>50000</v>
      </c>
      <c r="G4126" s="396">
        <v>0</v>
      </c>
      <c r="H4126" t="s">
        <v>1903</v>
      </c>
      <c r="I4126" s="347" t="s">
        <v>1303</v>
      </c>
      <c r="K4126" s="370"/>
      <c r="N4126" s="370"/>
    </row>
    <row r="4127" spans="1:14" s="347" customFormat="1" x14ac:dyDescent="0.25">
      <c r="A4127" s="369">
        <f>+A4126</f>
        <v>44410</v>
      </c>
      <c r="B4127" s="347">
        <f>+B4126</f>
        <v>8</v>
      </c>
      <c r="C4127" s="347">
        <v>3450</v>
      </c>
      <c r="D4127" s="340" t="str">
        <f>VLOOKUP(C4127,Plan!A$1:B$65542,2,0)</f>
        <v>Pastoral Social</v>
      </c>
      <c r="E4127" s="341">
        <f>+F4127-G4127</f>
        <v>-50000</v>
      </c>
      <c r="F4127" s="396">
        <v>0</v>
      </c>
      <c r="G4127" s="396">
        <f>+F4126</f>
        <v>50000</v>
      </c>
      <c r="H4127" t="str">
        <f>+H4126</f>
        <v>Canasta Juan Muzio Muzio</v>
      </c>
      <c r="I4127" s="347" t="s">
        <v>1303</v>
      </c>
      <c r="K4127" s="370"/>
      <c r="N4127" s="370"/>
    </row>
    <row r="4128" spans="1:14" s="347" customFormat="1" x14ac:dyDescent="0.25">
      <c r="A4128" s="369"/>
      <c r="E4128" s="396"/>
      <c r="F4128" s="396"/>
      <c r="G4128" s="396"/>
      <c r="K4128" s="370"/>
      <c r="N4128" s="370"/>
    </row>
    <row r="4129" spans="1:14" s="347" customFormat="1" x14ac:dyDescent="0.25">
      <c r="A4129" s="369">
        <v>44410</v>
      </c>
      <c r="B4129" s="340">
        <f>+MONTH(A4129)</f>
        <v>8</v>
      </c>
      <c r="C4129" s="347">
        <v>110</v>
      </c>
      <c r="D4129" s="340" t="str">
        <f>VLOOKUP(C4129,Plan!A$1:B$65542,2,0)</f>
        <v>Disponible Administración</v>
      </c>
      <c r="E4129" s="341">
        <f>+F4129-G4129</f>
        <v>100000</v>
      </c>
      <c r="F4129" s="396">
        <v>100000</v>
      </c>
      <c r="G4129" s="396">
        <v>0</v>
      </c>
      <c r="H4129" t="s">
        <v>887</v>
      </c>
      <c r="I4129" s="347" t="s">
        <v>1303</v>
      </c>
      <c r="K4129" s="370"/>
      <c r="N4129" s="370"/>
    </row>
    <row r="4130" spans="1:14" s="347" customFormat="1" x14ac:dyDescent="0.25">
      <c r="A4130" s="369">
        <f>+A4129</f>
        <v>44410</v>
      </c>
      <c r="B4130" s="347">
        <f>+B4129</f>
        <v>8</v>
      </c>
      <c r="C4130" s="347">
        <v>3110</v>
      </c>
      <c r="D4130" s="340" t="str">
        <f>VLOOKUP(C4130,Plan!A$1:B$65542,2,0)</f>
        <v>Colectas Normales</v>
      </c>
      <c r="E4130" s="341">
        <f>+F4130-G4130</f>
        <v>-100000</v>
      </c>
      <c r="F4130" s="396">
        <v>0</v>
      </c>
      <c r="G4130" s="396">
        <f>+F4129</f>
        <v>100000</v>
      </c>
      <c r="H4130" t="str">
        <f>+H4129</f>
        <v>Colecta Fernando Varela</v>
      </c>
      <c r="I4130" s="347" t="s">
        <v>1303</v>
      </c>
      <c r="K4130" s="370"/>
      <c r="N4130" s="370"/>
    </row>
    <row r="4131" spans="1:14" s="347" customFormat="1" x14ac:dyDescent="0.25">
      <c r="A4131" s="369"/>
      <c r="E4131" s="396"/>
      <c r="F4131" s="396"/>
      <c r="G4131" s="396"/>
      <c r="K4131" s="370"/>
      <c r="N4131" s="370"/>
    </row>
    <row r="4132" spans="1:14" s="347" customFormat="1" x14ac:dyDescent="0.25">
      <c r="A4132" s="369">
        <v>44410</v>
      </c>
      <c r="B4132" s="340">
        <f>+MONTH(A4132)</f>
        <v>8</v>
      </c>
      <c r="C4132" s="347">
        <v>110</v>
      </c>
      <c r="D4132" s="340" t="str">
        <f>VLOOKUP(C4132,Plan!A$1:B$65542,2,0)</f>
        <v>Disponible Administración</v>
      </c>
      <c r="E4132" s="341">
        <f>+F4132-G4132</f>
        <v>10000</v>
      </c>
      <c r="F4132" s="396">
        <v>10000</v>
      </c>
      <c r="G4132" s="396">
        <v>0</v>
      </c>
      <c r="H4132" t="s">
        <v>1904</v>
      </c>
      <c r="I4132" s="347" t="s">
        <v>1303</v>
      </c>
      <c r="K4132" s="370"/>
      <c r="N4132" s="370"/>
    </row>
    <row r="4133" spans="1:14" s="347" customFormat="1" x14ac:dyDescent="0.25">
      <c r="A4133" s="369">
        <f>+A4132</f>
        <v>44410</v>
      </c>
      <c r="B4133" s="347">
        <f>+B4132</f>
        <v>8</v>
      </c>
      <c r="C4133" s="347">
        <v>3110</v>
      </c>
      <c r="D4133" s="340" t="str">
        <f>VLOOKUP(C4133,Plan!A$1:B$65542,2,0)</f>
        <v>Colectas Normales</v>
      </c>
      <c r="E4133" s="341">
        <f>+F4133-G4133</f>
        <v>-10000</v>
      </c>
      <c r="F4133" s="396">
        <v>0</v>
      </c>
      <c r="G4133" s="396">
        <f>+F4132</f>
        <v>10000</v>
      </c>
      <c r="H4133" t="str">
        <f>+H4132</f>
        <v>Colecta Rafael Cañas Cambiaso</v>
      </c>
      <c r="I4133" s="347" t="s">
        <v>1303</v>
      </c>
      <c r="K4133" s="370"/>
      <c r="N4133" s="370"/>
    </row>
    <row r="4134" spans="1:14" s="347" customFormat="1" x14ac:dyDescent="0.25">
      <c r="A4134" s="369"/>
      <c r="E4134" s="396"/>
      <c r="F4134" s="396"/>
      <c r="G4134" s="396"/>
      <c r="K4134" s="370"/>
      <c r="N4134" s="370"/>
    </row>
    <row r="4135" spans="1:14" s="347" customFormat="1" x14ac:dyDescent="0.25">
      <c r="A4135" s="369">
        <v>44410</v>
      </c>
      <c r="B4135" s="340">
        <f>+MONTH(A4135)</f>
        <v>8</v>
      </c>
      <c r="C4135" s="347">
        <v>110</v>
      </c>
      <c r="D4135" s="340" t="str">
        <f>VLOOKUP(C4135,Plan!A$1:B$65542,2,0)</f>
        <v>Disponible Administración</v>
      </c>
      <c r="E4135" s="341">
        <f>+F4135-G4135</f>
        <v>12000</v>
      </c>
      <c r="F4135" s="396">
        <v>12000</v>
      </c>
      <c r="G4135" s="396">
        <v>0</v>
      </c>
      <c r="H4135" t="s">
        <v>1163</v>
      </c>
      <c r="I4135" s="347" t="s">
        <v>1303</v>
      </c>
      <c r="K4135" s="370"/>
      <c r="N4135" s="370"/>
    </row>
    <row r="4136" spans="1:14" s="347" customFormat="1" x14ac:dyDescent="0.25">
      <c r="A4136" s="369">
        <f>+A4135</f>
        <v>44410</v>
      </c>
      <c r="B4136" s="347">
        <f>+B4135</f>
        <v>8</v>
      </c>
      <c r="C4136" s="347">
        <v>3110</v>
      </c>
      <c r="D4136" s="340" t="str">
        <f>VLOOKUP(C4136,Plan!A$1:B$65542,2,0)</f>
        <v>Colectas Normales</v>
      </c>
      <c r="E4136" s="341">
        <f>+F4136-G4136</f>
        <v>-12000</v>
      </c>
      <c r="F4136" s="396">
        <v>0</v>
      </c>
      <c r="G4136" s="396">
        <f>+F4135</f>
        <v>12000</v>
      </c>
      <c r="H4136" t="str">
        <f>+H4135</f>
        <v>Colecta Ricardo Cañas Cambiaso</v>
      </c>
      <c r="I4136" s="347" t="s">
        <v>1303</v>
      </c>
      <c r="K4136" s="370"/>
      <c r="N4136" s="370"/>
    </row>
    <row r="4137" spans="1:14" s="347" customFormat="1" x14ac:dyDescent="0.25">
      <c r="A4137" s="369"/>
      <c r="E4137" s="396"/>
      <c r="F4137" s="396"/>
      <c r="G4137" s="396"/>
      <c r="K4137" s="370"/>
      <c r="N4137" s="370"/>
    </row>
    <row r="4138" spans="1:14" s="347" customFormat="1" x14ac:dyDescent="0.25">
      <c r="A4138" s="369">
        <v>44410</v>
      </c>
      <c r="B4138" s="340">
        <f>+MONTH(A4138)</f>
        <v>8</v>
      </c>
      <c r="C4138" s="347">
        <v>110</v>
      </c>
      <c r="D4138" s="340" t="str">
        <f>VLOOKUP(C4138,Plan!A$1:B$65542,2,0)</f>
        <v>Disponible Administración</v>
      </c>
      <c r="E4138" s="341">
        <f>+F4138-G4138</f>
        <v>15000</v>
      </c>
      <c r="F4138" s="396">
        <v>15000</v>
      </c>
      <c r="G4138" s="396">
        <v>0</v>
      </c>
      <c r="H4138" t="s">
        <v>688</v>
      </c>
      <c r="I4138" s="347" t="s">
        <v>1303</v>
      </c>
      <c r="K4138" s="370"/>
      <c r="N4138" s="370"/>
    </row>
    <row r="4139" spans="1:14" s="347" customFormat="1" x14ac:dyDescent="0.25">
      <c r="A4139" s="369">
        <f>+A4138</f>
        <v>44410</v>
      </c>
      <c r="B4139" s="347">
        <f>+B4138</f>
        <v>8</v>
      </c>
      <c r="C4139" s="347">
        <v>215</v>
      </c>
      <c r="D4139" s="340" t="str">
        <f>VLOOKUP(C4139,Plan!A$1:B$65542,2,0)</f>
        <v>Cuenta por Pagar a Cali</v>
      </c>
      <c r="E4139" s="341">
        <f>+F4139-G4139</f>
        <v>-15000</v>
      </c>
      <c r="F4139" s="396">
        <v>0</v>
      </c>
      <c r="G4139" s="396">
        <f>+F4138</f>
        <v>15000</v>
      </c>
      <c r="H4139" t="str">
        <f>+H4138</f>
        <v>María Elena de Castro Espinosa/249</v>
      </c>
      <c r="I4139" s="347" t="s">
        <v>1303</v>
      </c>
      <c r="K4139" s="370"/>
      <c r="N4139" s="370"/>
    </row>
    <row r="4140" spans="1:14" s="347" customFormat="1" x14ac:dyDescent="0.25">
      <c r="A4140" s="369"/>
      <c r="E4140" s="396"/>
      <c r="F4140" s="396"/>
      <c r="G4140" s="396"/>
      <c r="K4140" s="370"/>
      <c r="N4140" s="370"/>
    </row>
    <row r="4141" spans="1:14" s="347" customFormat="1" x14ac:dyDescent="0.25">
      <c r="A4141" s="369">
        <v>44410</v>
      </c>
      <c r="B4141" s="340">
        <f>+MONTH(A4141)</f>
        <v>8</v>
      </c>
      <c r="C4141" s="347">
        <v>110</v>
      </c>
      <c r="D4141" s="340" t="str">
        <f>VLOOKUP(C4141,Plan!A$1:B$65542,2,0)</f>
        <v>Disponible Administración</v>
      </c>
      <c r="E4141" s="341">
        <f>+F4141-G4141</f>
        <v>10000</v>
      </c>
      <c r="F4141" s="396">
        <v>10000</v>
      </c>
      <c r="G4141" s="396">
        <v>0</v>
      </c>
      <c r="H4141" t="s">
        <v>1905</v>
      </c>
      <c r="I4141" s="347" t="s">
        <v>1303</v>
      </c>
      <c r="K4141" s="370"/>
      <c r="N4141" s="370"/>
    </row>
    <row r="4142" spans="1:14" s="347" customFormat="1" x14ac:dyDescent="0.25">
      <c r="A4142" s="369">
        <f>+A4141</f>
        <v>44410</v>
      </c>
      <c r="B4142" s="347">
        <f>+B4141</f>
        <v>8</v>
      </c>
      <c r="C4142" s="347">
        <v>3450</v>
      </c>
      <c r="D4142" s="340" t="str">
        <f>VLOOKUP(C4142,Plan!A$1:B$65542,2,0)</f>
        <v>Pastoral Social</v>
      </c>
      <c r="E4142" s="341">
        <f>+F4142-G4142</f>
        <v>-10000</v>
      </c>
      <c r="F4142" s="396">
        <v>0</v>
      </c>
      <c r="G4142" s="396">
        <f>+F4141</f>
        <v>10000</v>
      </c>
      <c r="H4142" t="str">
        <f>+H4141</f>
        <v>Dia del Niño Maria Angelica Arancibia</v>
      </c>
      <c r="I4142" s="347" t="s">
        <v>1303</v>
      </c>
      <c r="K4142" s="370"/>
      <c r="N4142" s="370"/>
    </row>
    <row r="4143" spans="1:14" s="347" customFormat="1" x14ac:dyDescent="0.25">
      <c r="A4143" s="369"/>
      <c r="E4143" s="396"/>
      <c r="F4143" s="396"/>
      <c r="G4143" s="396"/>
      <c r="K4143" s="370"/>
      <c r="N4143" s="370"/>
    </row>
    <row r="4144" spans="1:14" s="347" customFormat="1" x14ac:dyDescent="0.25">
      <c r="A4144" s="369">
        <v>44410</v>
      </c>
      <c r="B4144" s="340">
        <f>+MONTH(A4144)</f>
        <v>8</v>
      </c>
      <c r="C4144" s="347">
        <v>110</v>
      </c>
      <c r="D4144" s="340" t="str">
        <f>VLOOKUP(C4144,Plan!A$1:B$65542,2,0)</f>
        <v>Disponible Administración</v>
      </c>
      <c r="E4144" s="341">
        <f>+F4144-G4144</f>
        <v>50000</v>
      </c>
      <c r="F4144" s="396">
        <v>50000</v>
      </c>
      <c r="G4144" s="396">
        <v>0</v>
      </c>
      <c r="H4144" t="s">
        <v>733</v>
      </c>
      <c r="I4144" s="347" t="s">
        <v>1303</v>
      </c>
      <c r="K4144" s="370"/>
      <c r="N4144" s="370"/>
    </row>
    <row r="4145" spans="1:14" s="347" customFormat="1" x14ac:dyDescent="0.25">
      <c r="A4145" s="369">
        <f>+A4144</f>
        <v>44410</v>
      </c>
      <c r="B4145" s="347">
        <f>+B4144</f>
        <v>8</v>
      </c>
      <c r="C4145" s="347">
        <v>215</v>
      </c>
      <c r="D4145" s="340" t="str">
        <f>VLOOKUP(C4145,Plan!A$1:B$65542,2,0)</f>
        <v>Cuenta por Pagar a Cali</v>
      </c>
      <c r="E4145" s="341">
        <f>+F4145-G4145</f>
        <v>-50000</v>
      </c>
      <c r="F4145" s="396">
        <v>0</v>
      </c>
      <c r="G4145" s="396">
        <f>+F4144</f>
        <v>50000</v>
      </c>
      <c r="H4145" t="str">
        <f>+H4144</f>
        <v>Hilda Dougnac Rodríguez / Azul</v>
      </c>
      <c r="I4145" s="347" t="s">
        <v>1303</v>
      </c>
      <c r="K4145" s="370"/>
      <c r="N4145" s="370"/>
    </row>
    <row r="4146" spans="1:14" s="347" customFormat="1" x14ac:dyDescent="0.25">
      <c r="A4146" s="369"/>
      <c r="E4146" s="396"/>
      <c r="F4146" s="396"/>
      <c r="G4146" s="396"/>
      <c r="K4146" s="370"/>
      <c r="N4146" s="370"/>
    </row>
    <row r="4147" spans="1:14" s="347" customFormat="1" x14ac:dyDescent="0.25">
      <c r="A4147" s="369">
        <v>44410</v>
      </c>
      <c r="B4147" s="340">
        <f>+MONTH(A4147)</f>
        <v>8</v>
      </c>
      <c r="C4147" s="347">
        <v>110</v>
      </c>
      <c r="D4147" s="340" t="str">
        <f>VLOOKUP(C4147,Plan!A$1:B$65542,2,0)</f>
        <v>Disponible Administración</v>
      </c>
      <c r="E4147" s="341">
        <f>+F4147-G4147</f>
        <v>70000</v>
      </c>
      <c r="F4147" s="396">
        <v>70000</v>
      </c>
      <c r="G4147" s="396">
        <v>0</v>
      </c>
      <c r="H4147" t="s">
        <v>1906</v>
      </c>
      <c r="I4147" s="347" t="s">
        <v>1303</v>
      </c>
      <c r="K4147" s="370"/>
      <c r="N4147" s="370"/>
    </row>
    <row r="4148" spans="1:14" s="347" customFormat="1" x14ac:dyDescent="0.25">
      <c r="A4148" s="369">
        <f>+A4147</f>
        <v>44410</v>
      </c>
      <c r="B4148" s="347">
        <f>+B4147</f>
        <v>8</v>
      </c>
      <c r="C4148" s="347">
        <v>215</v>
      </c>
      <c r="D4148" s="340" t="str">
        <f>VLOOKUP(C4148,Plan!A$1:B$65542,2,0)</f>
        <v>Cuenta por Pagar a Cali</v>
      </c>
      <c r="E4148" s="341">
        <f>+F4148-G4148</f>
        <v>-70000</v>
      </c>
      <c r="F4148" s="396">
        <v>0</v>
      </c>
      <c r="G4148" s="396">
        <f>+F4147</f>
        <v>70000</v>
      </c>
      <c r="H4148" t="str">
        <f>+H4147</f>
        <v>María Asunción Lavín Infante/249</v>
      </c>
      <c r="I4148" s="347" t="s">
        <v>1303</v>
      </c>
      <c r="K4148" s="370"/>
      <c r="N4148" s="370"/>
    </row>
    <row r="4149" spans="1:14" s="347" customFormat="1" x14ac:dyDescent="0.25">
      <c r="A4149" s="369"/>
      <c r="E4149" s="396"/>
      <c r="F4149" s="396"/>
      <c r="G4149" s="396"/>
      <c r="K4149" s="370"/>
      <c r="N4149" s="370"/>
    </row>
    <row r="4150" spans="1:14" s="347" customFormat="1" x14ac:dyDescent="0.25">
      <c r="A4150" s="369">
        <v>44410</v>
      </c>
      <c r="B4150" s="340">
        <f>+MONTH(A4150)</f>
        <v>8</v>
      </c>
      <c r="C4150" s="347">
        <v>110</v>
      </c>
      <c r="D4150" s="340" t="str">
        <f>VLOOKUP(C4150,Plan!A$1:B$65542,2,0)</f>
        <v>Disponible Administración</v>
      </c>
      <c r="E4150" s="341">
        <f>+F4150-G4150</f>
        <v>8000</v>
      </c>
      <c r="F4150" s="396">
        <v>8000</v>
      </c>
      <c r="G4150" s="396">
        <v>0</v>
      </c>
      <c r="H4150" t="s">
        <v>971</v>
      </c>
      <c r="I4150" s="347" t="s">
        <v>1303</v>
      </c>
      <c r="K4150" s="370"/>
      <c r="N4150" s="370"/>
    </row>
    <row r="4151" spans="1:14" s="347" customFormat="1" x14ac:dyDescent="0.25">
      <c r="A4151" s="369">
        <f>+A4150</f>
        <v>44410</v>
      </c>
      <c r="B4151" s="347">
        <f>+B4150</f>
        <v>8</v>
      </c>
      <c r="C4151" s="347">
        <v>3110</v>
      </c>
      <c r="D4151" s="340" t="str">
        <f>VLOOKUP(C4151,Plan!A$1:B$65542,2,0)</f>
        <v>Colectas Normales</v>
      </c>
      <c r="E4151" s="341">
        <f>+F4151-G4151</f>
        <v>-8000</v>
      </c>
      <c r="F4151" s="396">
        <v>0</v>
      </c>
      <c r="G4151" s="396">
        <f>+F4150</f>
        <v>8000</v>
      </c>
      <c r="H4151" t="str">
        <f>+H4150</f>
        <v>Colecta Pablo Irarrazaval Mena</v>
      </c>
      <c r="I4151" s="347" t="s">
        <v>1303</v>
      </c>
      <c r="K4151" s="370"/>
      <c r="N4151" s="370"/>
    </row>
    <row r="4152" spans="1:14" s="347" customFormat="1" x14ac:dyDescent="0.25">
      <c r="A4152" s="369"/>
      <c r="E4152" s="396"/>
      <c r="F4152" s="396"/>
      <c r="G4152" s="396"/>
      <c r="K4152" s="370"/>
      <c r="N4152" s="370"/>
    </row>
    <row r="4153" spans="1:14" s="347" customFormat="1" x14ac:dyDescent="0.25">
      <c r="A4153" s="369">
        <v>44410</v>
      </c>
      <c r="B4153" s="340">
        <f>+MONTH(A4153)</f>
        <v>8</v>
      </c>
      <c r="C4153" s="347">
        <v>110</v>
      </c>
      <c r="D4153" s="340" t="str">
        <f>VLOOKUP(C4153,Plan!A$1:B$65542,2,0)</f>
        <v>Disponible Administración</v>
      </c>
      <c r="E4153" s="341">
        <f>+F4153-G4153</f>
        <v>3000</v>
      </c>
      <c r="F4153" s="396">
        <v>3000</v>
      </c>
      <c r="G4153" s="396">
        <v>0</v>
      </c>
      <c r="H4153" t="s">
        <v>915</v>
      </c>
      <c r="I4153" s="347" t="s">
        <v>1303</v>
      </c>
      <c r="K4153" s="370"/>
      <c r="N4153" s="370"/>
    </row>
    <row r="4154" spans="1:14" s="347" customFormat="1" x14ac:dyDescent="0.25">
      <c r="A4154" s="369">
        <f>+A4153</f>
        <v>44410</v>
      </c>
      <c r="B4154" s="347">
        <f>+B4153</f>
        <v>8</v>
      </c>
      <c r="C4154" s="347">
        <v>3110</v>
      </c>
      <c r="D4154" s="340" t="str">
        <f>VLOOKUP(C4154,Plan!A$1:B$65542,2,0)</f>
        <v>Colectas Normales</v>
      </c>
      <c r="E4154" s="341">
        <f>+F4154-G4154</f>
        <v>-3000</v>
      </c>
      <c r="F4154" s="396">
        <v>0</v>
      </c>
      <c r="G4154" s="396">
        <f>+F4153</f>
        <v>3000</v>
      </c>
      <c r="H4154" t="str">
        <f>+H4153</f>
        <v>Colecta Jose Perez de Castro</v>
      </c>
      <c r="I4154" s="347" t="s">
        <v>1303</v>
      </c>
      <c r="K4154" s="370"/>
      <c r="N4154" s="370"/>
    </row>
    <row r="4155" spans="1:14" s="347" customFormat="1" x14ac:dyDescent="0.25">
      <c r="A4155" s="369"/>
      <c r="E4155" s="396"/>
      <c r="F4155" s="396"/>
      <c r="G4155" s="396"/>
      <c r="K4155" s="370"/>
      <c r="N4155" s="370"/>
    </row>
    <row r="4156" spans="1:14" s="347" customFormat="1" x14ac:dyDescent="0.25">
      <c r="A4156" s="369">
        <v>44410</v>
      </c>
      <c r="B4156" s="340">
        <f>+MONTH(A4156)</f>
        <v>8</v>
      </c>
      <c r="C4156" s="347">
        <v>110</v>
      </c>
      <c r="D4156" s="340" t="str">
        <f>VLOOKUP(C4156,Plan!A$1:B$65542,2,0)</f>
        <v>Disponible Administración</v>
      </c>
      <c r="E4156" s="341">
        <f>+F4156-G4156</f>
        <v>10000</v>
      </c>
      <c r="F4156" s="396">
        <v>10000</v>
      </c>
      <c r="G4156" s="396">
        <v>0</v>
      </c>
      <c r="H4156" t="s">
        <v>880</v>
      </c>
      <c r="I4156" s="347" t="s">
        <v>1303</v>
      </c>
      <c r="K4156" s="370"/>
      <c r="N4156" s="370"/>
    </row>
    <row r="4157" spans="1:14" s="347" customFormat="1" x14ac:dyDescent="0.25">
      <c r="A4157" s="369">
        <f>+A4156</f>
        <v>44410</v>
      </c>
      <c r="B4157" s="347">
        <f>+B4156</f>
        <v>8</v>
      </c>
      <c r="C4157" s="347">
        <v>3110</v>
      </c>
      <c r="D4157" s="340" t="str">
        <f>VLOOKUP(C4157,Plan!A$1:B$65542,2,0)</f>
        <v>Colectas Normales</v>
      </c>
      <c r="E4157" s="341">
        <f>+F4157-G4157</f>
        <v>-10000</v>
      </c>
      <c r="F4157" s="396">
        <v>0</v>
      </c>
      <c r="G4157" s="396">
        <f>+F4156</f>
        <v>10000</v>
      </c>
      <c r="H4157" t="str">
        <f>+H4156</f>
        <v>Colecta Sebastian Rios</v>
      </c>
      <c r="I4157" s="347" t="s">
        <v>1303</v>
      </c>
      <c r="K4157" s="370"/>
      <c r="N4157" s="370"/>
    </row>
    <row r="4158" spans="1:14" s="347" customFormat="1" x14ac:dyDescent="0.25">
      <c r="A4158" s="369"/>
      <c r="E4158" s="396"/>
      <c r="F4158" s="396"/>
      <c r="G4158" s="396"/>
      <c r="K4158" s="370"/>
      <c r="N4158" s="370"/>
    </row>
    <row r="4159" spans="1:14" s="347" customFormat="1" x14ac:dyDescent="0.25">
      <c r="A4159" s="369">
        <v>44410</v>
      </c>
      <c r="B4159" s="340">
        <f>+MONTH(A4159)</f>
        <v>8</v>
      </c>
      <c r="C4159" s="347">
        <v>110</v>
      </c>
      <c r="D4159" s="340" t="str">
        <f>VLOOKUP(C4159,Plan!A$1:B$65542,2,0)</f>
        <v>Disponible Administración</v>
      </c>
      <c r="E4159" s="341">
        <f>+F4159-G4159</f>
        <v>250000</v>
      </c>
      <c r="F4159" s="396">
        <v>250000</v>
      </c>
      <c r="G4159" s="396">
        <v>0</v>
      </c>
      <c r="H4159" t="s">
        <v>1109</v>
      </c>
      <c r="I4159" s="347" t="s">
        <v>1303</v>
      </c>
      <c r="K4159" s="370"/>
      <c r="N4159" s="370"/>
    </row>
    <row r="4160" spans="1:14" s="347" customFormat="1" x14ac:dyDescent="0.25">
      <c r="A4160" s="369">
        <f>+A4159</f>
        <v>44410</v>
      </c>
      <c r="B4160" s="347">
        <f>+B4159</f>
        <v>8</v>
      </c>
      <c r="C4160" s="347">
        <v>3110</v>
      </c>
      <c r="D4160" s="340" t="str">
        <f>VLOOKUP(C4160,Plan!A$1:B$65542,2,0)</f>
        <v>Colectas Normales</v>
      </c>
      <c r="E4160" s="341">
        <f>+F4160-G4160</f>
        <v>-250000</v>
      </c>
      <c r="F4160" s="396">
        <v>0</v>
      </c>
      <c r="G4160" s="396">
        <f>+F4159</f>
        <v>250000</v>
      </c>
      <c r="H4160" t="str">
        <f>+H4159</f>
        <v>Colecta Felipe Valbuena Valdivielso</v>
      </c>
      <c r="I4160" s="347" t="s">
        <v>1303</v>
      </c>
      <c r="K4160" s="370"/>
      <c r="N4160" s="370"/>
    </row>
    <row r="4161" spans="1:14" s="347" customFormat="1" x14ac:dyDescent="0.25">
      <c r="A4161" s="369"/>
      <c r="E4161" s="396"/>
      <c r="F4161" s="396"/>
      <c r="G4161" s="396"/>
      <c r="K4161" s="370"/>
      <c r="N4161" s="370"/>
    </row>
    <row r="4162" spans="1:14" s="347" customFormat="1" x14ac:dyDescent="0.25">
      <c r="A4162" s="369">
        <v>44410</v>
      </c>
      <c r="B4162" s="340">
        <f>+MONTH(A4162)</f>
        <v>8</v>
      </c>
      <c r="C4162" s="347">
        <v>110</v>
      </c>
      <c r="D4162" s="340" t="str">
        <f>VLOOKUP(C4162,Plan!A$1:B$65542,2,0)</f>
        <v>Disponible Administración</v>
      </c>
      <c r="E4162" s="341">
        <f>+F4162-G4162</f>
        <v>30000</v>
      </c>
      <c r="F4162" s="396">
        <v>30000</v>
      </c>
      <c r="G4162" s="396">
        <v>0</v>
      </c>
      <c r="H4162" t="s">
        <v>1125</v>
      </c>
      <c r="I4162" s="347" t="s">
        <v>1303</v>
      </c>
      <c r="K4162" s="370"/>
      <c r="N4162" s="370"/>
    </row>
    <row r="4163" spans="1:14" s="347" customFormat="1" x14ac:dyDescent="0.25">
      <c r="A4163" s="369">
        <f>+A4162</f>
        <v>44410</v>
      </c>
      <c r="B4163" s="347">
        <f>+B4162</f>
        <v>8</v>
      </c>
      <c r="C4163" s="347">
        <v>3110</v>
      </c>
      <c r="D4163" s="340" t="str">
        <f>VLOOKUP(C4163,Plan!A$1:B$65542,2,0)</f>
        <v>Colectas Normales</v>
      </c>
      <c r="E4163" s="341">
        <f>+F4163-G4163</f>
        <v>-30000</v>
      </c>
      <c r="F4163" s="396">
        <v>0</v>
      </c>
      <c r="G4163" s="396">
        <f>+F4162</f>
        <v>30000</v>
      </c>
      <c r="H4163" t="str">
        <f>+H4162</f>
        <v>Colecta Sandra Rivadeneira</v>
      </c>
      <c r="I4163" s="347" t="s">
        <v>1303</v>
      </c>
      <c r="K4163" s="370"/>
      <c r="N4163" s="370"/>
    </row>
    <row r="4164" spans="1:14" s="347" customFormat="1" x14ac:dyDescent="0.25">
      <c r="A4164" s="369"/>
      <c r="E4164" s="396"/>
      <c r="F4164" s="396"/>
      <c r="G4164" s="396"/>
      <c r="K4164" s="370"/>
      <c r="N4164" s="370"/>
    </row>
    <row r="4165" spans="1:14" s="347" customFormat="1" x14ac:dyDescent="0.25">
      <c r="A4165" s="369">
        <v>44410</v>
      </c>
      <c r="B4165" s="340">
        <f>+MONTH(A4165)</f>
        <v>8</v>
      </c>
      <c r="C4165" s="347">
        <v>110</v>
      </c>
      <c r="D4165" s="340" t="str">
        <f>VLOOKUP(C4165,Plan!A$1:B$65542,2,0)</f>
        <v>Disponible Administración</v>
      </c>
      <c r="E4165" s="341">
        <f>+F4165-G4165</f>
        <v>20000</v>
      </c>
      <c r="F4165" s="396">
        <v>20000</v>
      </c>
      <c r="G4165" s="396">
        <v>0</v>
      </c>
      <c r="H4165" t="s">
        <v>1907</v>
      </c>
      <c r="I4165" s="347" t="s">
        <v>1303</v>
      </c>
      <c r="K4165" s="370"/>
      <c r="N4165" s="370"/>
    </row>
    <row r="4166" spans="1:14" s="347" customFormat="1" x14ac:dyDescent="0.25">
      <c r="A4166" s="369">
        <f>+A4165</f>
        <v>44410</v>
      </c>
      <c r="B4166" s="347">
        <f>+B4165</f>
        <v>8</v>
      </c>
      <c r="C4166" s="347">
        <v>3450</v>
      </c>
      <c r="D4166" s="340" t="str">
        <f>VLOOKUP(C4166,Plan!A$1:B$65542,2,0)</f>
        <v>Pastoral Social</v>
      </c>
      <c r="E4166" s="341">
        <f>+F4166-G4166</f>
        <v>-20000</v>
      </c>
      <c r="F4166" s="396">
        <v>0</v>
      </c>
      <c r="G4166" s="396">
        <f>+F4165</f>
        <v>20000</v>
      </c>
      <c r="H4166" t="str">
        <f>+H4165</f>
        <v>Canastas Sandra Rivadeneira</v>
      </c>
      <c r="I4166" s="347" t="s">
        <v>1303</v>
      </c>
      <c r="K4166" s="370"/>
      <c r="N4166" s="370"/>
    </row>
    <row r="4167" spans="1:14" s="347" customFormat="1" x14ac:dyDescent="0.25">
      <c r="A4167" s="369"/>
      <c r="E4167" s="396"/>
      <c r="F4167" s="396"/>
      <c r="G4167" s="396"/>
      <c r="K4167" s="370"/>
      <c r="N4167" s="370"/>
    </row>
    <row r="4168" spans="1:14" s="347" customFormat="1" x14ac:dyDescent="0.25">
      <c r="A4168" s="369">
        <v>44410</v>
      </c>
      <c r="B4168" s="340">
        <f>+MONTH(A4168)</f>
        <v>8</v>
      </c>
      <c r="C4168" s="347">
        <v>110</v>
      </c>
      <c r="D4168" s="340" t="str">
        <f>VLOOKUP(C4168,Plan!A$1:B$65542,2,0)</f>
        <v>Disponible Administración</v>
      </c>
      <c r="E4168" s="341">
        <f>+F4168-G4168</f>
        <v>20000</v>
      </c>
      <c r="F4168" s="396">
        <v>20000</v>
      </c>
      <c r="G4168" s="396">
        <v>0</v>
      </c>
      <c r="H4168" t="s">
        <v>1908</v>
      </c>
      <c r="I4168" s="347" t="s">
        <v>1303</v>
      </c>
      <c r="K4168" s="370"/>
      <c r="N4168" s="370"/>
    </row>
    <row r="4169" spans="1:14" s="347" customFormat="1" x14ac:dyDescent="0.25">
      <c r="A4169" s="369">
        <f>+A4168</f>
        <v>44410</v>
      </c>
      <c r="B4169" s="347">
        <f>+B4168</f>
        <v>8</v>
      </c>
      <c r="C4169" s="347">
        <v>3110</v>
      </c>
      <c r="D4169" s="340" t="str">
        <f>VLOOKUP(C4169,Plan!A$1:B$65542,2,0)</f>
        <v>Colectas Normales</v>
      </c>
      <c r="E4169" s="341">
        <f>+F4169-G4169</f>
        <v>-20000</v>
      </c>
      <c r="F4169" s="396">
        <v>0</v>
      </c>
      <c r="G4169" s="396">
        <f>+F4168</f>
        <v>20000</v>
      </c>
      <c r="H4169" t="str">
        <f>+H4168</f>
        <v>Colecta Andres Delpiano Barros</v>
      </c>
      <c r="I4169" s="347" t="s">
        <v>1303</v>
      </c>
      <c r="K4169" s="370"/>
      <c r="N4169" s="370"/>
    </row>
    <row r="4170" spans="1:14" s="347" customFormat="1" x14ac:dyDescent="0.25">
      <c r="A4170" s="369"/>
      <c r="C4170" s="347" t="s">
        <v>48</v>
      </c>
      <c r="E4170" s="396"/>
      <c r="F4170" s="396"/>
      <c r="G4170" s="396"/>
      <c r="K4170" s="370"/>
      <c r="N4170" s="370"/>
    </row>
    <row r="4171" spans="1:14" s="347" customFormat="1" x14ac:dyDescent="0.25">
      <c r="A4171" s="369">
        <v>44410</v>
      </c>
      <c r="B4171" s="340">
        <f>+MONTH(A4171)</f>
        <v>8</v>
      </c>
      <c r="C4171" s="347">
        <v>110</v>
      </c>
      <c r="D4171" s="340" t="str">
        <f>VLOOKUP(C4171,Plan!A$1:B$65542,2,0)</f>
        <v>Disponible Administración</v>
      </c>
      <c r="E4171" s="341">
        <f>+F4171-G4171</f>
        <v>20000</v>
      </c>
      <c r="F4171" s="396">
        <v>20000</v>
      </c>
      <c r="G4171" s="396">
        <v>0</v>
      </c>
      <c r="H4171" t="s">
        <v>1131</v>
      </c>
      <c r="I4171" s="347" t="s">
        <v>1303</v>
      </c>
      <c r="K4171" s="370"/>
      <c r="N4171" s="370"/>
    </row>
    <row r="4172" spans="1:14" s="347" customFormat="1" x14ac:dyDescent="0.25">
      <c r="A4172" s="369">
        <f>+A4171</f>
        <v>44410</v>
      </c>
      <c r="B4172" s="347">
        <f>+B4171</f>
        <v>8</v>
      </c>
      <c r="C4172" s="347">
        <v>3110</v>
      </c>
      <c r="D4172" s="340" t="str">
        <f>VLOOKUP(C4172,Plan!A$1:B$65542,2,0)</f>
        <v>Colectas Normales</v>
      </c>
      <c r="E4172" s="341">
        <f>+F4172-G4172</f>
        <v>-20000</v>
      </c>
      <c r="F4172" s="396">
        <v>0</v>
      </c>
      <c r="G4172" s="396">
        <f>+F4171</f>
        <v>20000</v>
      </c>
      <c r="H4172" t="str">
        <f>+H4171</f>
        <v>Colecta Sandra Socias R</v>
      </c>
      <c r="I4172" s="347" t="s">
        <v>1303</v>
      </c>
      <c r="K4172" s="370"/>
      <c r="N4172" s="370"/>
    </row>
    <row r="4173" spans="1:14" s="347" customFormat="1" x14ac:dyDescent="0.25">
      <c r="A4173" s="369"/>
      <c r="E4173" s="396"/>
      <c r="F4173" s="396"/>
      <c r="G4173" s="396"/>
      <c r="K4173" s="370"/>
      <c r="N4173" s="370"/>
    </row>
    <row r="4174" spans="1:14" s="347" customFormat="1" x14ac:dyDescent="0.25">
      <c r="A4174" s="369">
        <v>44410</v>
      </c>
      <c r="B4174" s="340">
        <f>+MONTH(A4174)</f>
        <v>8</v>
      </c>
      <c r="C4174" s="347">
        <v>110</v>
      </c>
      <c r="D4174" s="340" t="str">
        <f>VLOOKUP(C4174,Plan!A$1:B$65542,2,0)</f>
        <v>Disponible Administración</v>
      </c>
      <c r="E4174" s="341">
        <f>+F4174-G4174</f>
        <v>5000</v>
      </c>
      <c r="F4174" s="396">
        <v>5000</v>
      </c>
      <c r="G4174" s="396">
        <v>0</v>
      </c>
      <c r="H4174" t="s">
        <v>899</v>
      </c>
      <c r="I4174" s="347" t="s">
        <v>1303</v>
      </c>
      <c r="K4174" s="370"/>
      <c r="N4174" s="370"/>
    </row>
    <row r="4175" spans="1:14" s="347" customFormat="1" x14ac:dyDescent="0.25">
      <c r="A4175" s="369">
        <f>+A4174</f>
        <v>44410</v>
      </c>
      <c r="B4175" s="347">
        <f>+B4174</f>
        <v>8</v>
      </c>
      <c r="C4175" s="347">
        <v>3110</v>
      </c>
      <c r="D4175" s="340" t="str">
        <f>VLOOKUP(C4175,Plan!A$1:B$65542,2,0)</f>
        <v>Colectas Normales</v>
      </c>
      <c r="E4175" s="341">
        <f>+F4175-G4175</f>
        <v>-5000</v>
      </c>
      <c r="F4175" s="396">
        <v>0</v>
      </c>
      <c r="G4175" s="396">
        <f>+F4174</f>
        <v>5000</v>
      </c>
      <c r="H4175" t="str">
        <f>+H4174</f>
        <v>Colecta Carlos Anwandter</v>
      </c>
      <c r="I4175" s="347" t="s">
        <v>1303</v>
      </c>
      <c r="K4175" s="370"/>
      <c r="N4175" s="370"/>
    </row>
    <row r="4176" spans="1:14" s="347" customFormat="1" x14ac:dyDescent="0.25">
      <c r="A4176" s="369"/>
      <c r="E4176" s="396"/>
      <c r="F4176" s="396"/>
      <c r="G4176" s="396"/>
      <c r="K4176" s="370"/>
      <c r="N4176" s="370"/>
    </row>
    <row r="4177" spans="1:14" s="347" customFormat="1" x14ac:dyDescent="0.25">
      <c r="A4177" s="369">
        <v>44410</v>
      </c>
      <c r="B4177" s="340">
        <f>+MONTH(A4177)</f>
        <v>8</v>
      </c>
      <c r="C4177" s="347">
        <v>110</v>
      </c>
      <c r="D4177" s="340" t="str">
        <f>VLOOKUP(C4177,Plan!A$1:B$65542,2,0)</f>
        <v>Disponible Administración</v>
      </c>
      <c r="E4177" s="341">
        <f>+F4177-G4177</f>
        <v>2000</v>
      </c>
      <c r="F4177" s="396">
        <v>2000</v>
      </c>
      <c r="G4177" s="396">
        <v>0</v>
      </c>
      <c r="H4177" t="s">
        <v>1216</v>
      </c>
      <c r="I4177" s="347" t="s">
        <v>1303</v>
      </c>
      <c r="K4177" s="370"/>
      <c r="N4177" s="370"/>
    </row>
    <row r="4178" spans="1:14" s="347" customFormat="1" x14ac:dyDescent="0.25">
      <c r="A4178" s="369">
        <f>+A4177</f>
        <v>44410</v>
      </c>
      <c r="B4178" s="347">
        <f>+B4177</f>
        <v>8</v>
      </c>
      <c r="C4178" s="347">
        <v>3110</v>
      </c>
      <c r="D4178" s="340" t="str">
        <f>VLOOKUP(C4178,Plan!A$1:B$65542,2,0)</f>
        <v>Colectas Normales</v>
      </c>
      <c r="E4178" s="341">
        <f>+F4178-G4178</f>
        <v>-2000</v>
      </c>
      <c r="F4178" s="396">
        <v>0</v>
      </c>
      <c r="G4178" s="396">
        <f>+F4177</f>
        <v>2000</v>
      </c>
      <c r="H4178" t="str">
        <f>+H4177</f>
        <v>Colecta Trinidad Barriga Cruzat</v>
      </c>
      <c r="I4178" s="347" t="s">
        <v>1303</v>
      </c>
      <c r="K4178" s="370"/>
      <c r="N4178" s="370"/>
    </row>
    <row r="4179" spans="1:14" s="347" customFormat="1" x14ac:dyDescent="0.25">
      <c r="A4179" s="369"/>
      <c r="E4179" s="396"/>
      <c r="F4179" s="396"/>
      <c r="G4179" s="396"/>
      <c r="K4179" s="370"/>
      <c r="N4179" s="370"/>
    </row>
    <row r="4180" spans="1:14" s="347" customFormat="1" x14ac:dyDescent="0.25">
      <c r="A4180" s="369">
        <v>44410</v>
      </c>
      <c r="B4180" s="340">
        <f>+MONTH(A4180)</f>
        <v>8</v>
      </c>
      <c r="C4180" s="347">
        <v>110</v>
      </c>
      <c r="D4180" s="340" t="str">
        <f>VLOOKUP(C4180,Plan!A$1:B$65542,2,0)</f>
        <v>Disponible Administración</v>
      </c>
      <c r="E4180" s="341">
        <f>+F4180-G4180</f>
        <v>15000</v>
      </c>
      <c r="F4180" s="396">
        <v>15000</v>
      </c>
      <c r="G4180" s="396">
        <v>0</v>
      </c>
      <c r="H4180" t="s">
        <v>888</v>
      </c>
      <c r="I4180" s="347" t="s">
        <v>1303</v>
      </c>
      <c r="K4180" s="370"/>
      <c r="N4180" s="370"/>
    </row>
    <row r="4181" spans="1:14" s="347" customFormat="1" x14ac:dyDescent="0.25">
      <c r="A4181" s="369">
        <f>+A4180</f>
        <v>44410</v>
      </c>
      <c r="B4181" s="347">
        <f>+B4180</f>
        <v>8</v>
      </c>
      <c r="C4181" s="347">
        <v>3110</v>
      </c>
      <c r="D4181" s="340" t="str">
        <f>VLOOKUP(C4181,Plan!A$1:B$65542,2,0)</f>
        <v>Colectas Normales</v>
      </c>
      <c r="E4181" s="341">
        <f>+F4181-G4181</f>
        <v>-15000</v>
      </c>
      <c r="F4181" s="396">
        <v>0</v>
      </c>
      <c r="G4181" s="396">
        <f>+F4180</f>
        <v>15000</v>
      </c>
      <c r="H4181" t="str">
        <f>+H4180</f>
        <v>Colecta Gonzalo Contardo M</v>
      </c>
      <c r="I4181" s="347" t="s">
        <v>1303</v>
      </c>
      <c r="K4181" s="370"/>
      <c r="N4181" s="370"/>
    </row>
    <row r="4182" spans="1:14" s="347" customFormat="1" x14ac:dyDescent="0.25">
      <c r="A4182" s="369"/>
      <c r="E4182" s="396"/>
      <c r="F4182" s="396"/>
      <c r="G4182" s="396"/>
      <c r="K4182" s="370"/>
      <c r="N4182" s="370"/>
    </row>
    <row r="4183" spans="1:14" s="347" customFormat="1" x14ac:dyDescent="0.25">
      <c r="A4183" s="369">
        <v>44410</v>
      </c>
      <c r="B4183" s="340">
        <f>+MONTH(A4183)</f>
        <v>8</v>
      </c>
      <c r="C4183" s="347">
        <v>110</v>
      </c>
      <c r="D4183" s="340" t="str">
        <f>VLOOKUP(C4183,Plan!A$1:B$65542,2,0)</f>
        <v>Disponible Administración</v>
      </c>
      <c r="E4183" s="341">
        <f>+F4183-G4183</f>
        <v>30000</v>
      </c>
      <c r="F4183" s="396">
        <v>30000</v>
      </c>
      <c r="G4183" s="396">
        <v>0</v>
      </c>
      <c r="H4183" t="s">
        <v>919</v>
      </c>
      <c r="I4183" s="347" t="s">
        <v>1303</v>
      </c>
      <c r="K4183" s="370"/>
      <c r="N4183" s="370"/>
    </row>
    <row r="4184" spans="1:14" s="347" customFormat="1" x14ac:dyDescent="0.25">
      <c r="A4184" s="369">
        <f>+A4183</f>
        <v>44410</v>
      </c>
      <c r="B4184" s="347">
        <f>+B4183</f>
        <v>8</v>
      </c>
      <c r="C4184" s="347">
        <v>3110</v>
      </c>
      <c r="D4184" s="340" t="str">
        <f>VLOOKUP(C4184,Plan!A$1:B$65542,2,0)</f>
        <v>Colectas Normales</v>
      </c>
      <c r="E4184" s="341">
        <f>+F4184-G4184</f>
        <v>-30000</v>
      </c>
      <c r="F4184" s="396">
        <v>0</v>
      </c>
      <c r="G4184" s="396">
        <f>+F4183</f>
        <v>30000</v>
      </c>
      <c r="H4184" t="str">
        <f>+H4183</f>
        <v>Colecta Maria Josefina Jofre M</v>
      </c>
      <c r="I4184" s="347" t="s">
        <v>1303</v>
      </c>
      <c r="K4184" s="370"/>
      <c r="N4184" s="370"/>
    </row>
    <row r="4185" spans="1:14" s="347" customFormat="1" x14ac:dyDescent="0.25">
      <c r="A4185" s="369"/>
      <c r="E4185" s="396"/>
      <c r="F4185" s="396"/>
      <c r="G4185" s="396"/>
      <c r="K4185" s="370"/>
      <c r="N4185" s="370"/>
    </row>
    <row r="4186" spans="1:14" s="347" customFormat="1" x14ac:dyDescent="0.25">
      <c r="A4186" s="369">
        <v>44410</v>
      </c>
      <c r="B4186" s="340">
        <f>+MONTH(A4186)</f>
        <v>8</v>
      </c>
      <c r="C4186" s="347">
        <v>110</v>
      </c>
      <c r="D4186" s="340" t="str">
        <f>VLOOKUP(C4186,Plan!A$1:B$65542,2,0)</f>
        <v>Disponible Administración</v>
      </c>
      <c r="E4186" s="341">
        <f>+F4186-G4186</f>
        <v>200000</v>
      </c>
      <c r="F4186" s="396">
        <v>200000</v>
      </c>
      <c r="G4186" s="396">
        <v>0</v>
      </c>
      <c r="H4186" t="s">
        <v>1909</v>
      </c>
      <c r="I4186" s="347" t="s">
        <v>1303</v>
      </c>
      <c r="K4186" s="370"/>
      <c r="N4186" s="370"/>
    </row>
    <row r="4187" spans="1:14" s="347" customFormat="1" x14ac:dyDescent="0.25">
      <c r="A4187" s="369">
        <f>+A4186</f>
        <v>44410</v>
      </c>
      <c r="B4187" s="347">
        <f>+B4186</f>
        <v>8</v>
      </c>
      <c r="C4187" s="347">
        <v>3110</v>
      </c>
      <c r="D4187" s="340" t="str">
        <f>VLOOKUP(C4187,Plan!A$1:B$65542,2,0)</f>
        <v>Colectas Normales</v>
      </c>
      <c r="E4187" s="341">
        <f>+F4187-G4187</f>
        <v>-200000</v>
      </c>
      <c r="F4187" s="396">
        <v>0</v>
      </c>
      <c r="G4187" s="396">
        <f>+F4186</f>
        <v>200000</v>
      </c>
      <c r="H4187" t="str">
        <f>+H4186</f>
        <v>Misa Elena Calvo Alessandri</v>
      </c>
      <c r="I4187" s="347" t="s">
        <v>1303</v>
      </c>
      <c r="K4187" s="370"/>
      <c r="N4187" s="370"/>
    </row>
    <row r="4188" spans="1:14" s="347" customFormat="1" x14ac:dyDescent="0.25">
      <c r="A4188" s="369"/>
      <c r="E4188" s="396"/>
      <c r="F4188" s="396"/>
      <c r="G4188" s="396"/>
      <c r="K4188" s="370"/>
      <c r="N4188" s="370"/>
    </row>
    <row r="4189" spans="1:14" s="347" customFormat="1" x14ac:dyDescent="0.25">
      <c r="A4189" s="369">
        <v>44410</v>
      </c>
      <c r="B4189" s="340">
        <f>+MONTH(A4189)</f>
        <v>8</v>
      </c>
      <c r="C4189" s="347">
        <v>110</v>
      </c>
      <c r="D4189" s="340" t="str">
        <f>VLOOKUP(C4189,Plan!A$1:B$65542,2,0)</f>
        <v>Disponible Administración</v>
      </c>
      <c r="E4189" s="341">
        <f>+F4189-G4189</f>
        <v>10000</v>
      </c>
      <c r="F4189" s="396">
        <v>10000</v>
      </c>
      <c r="G4189" s="396">
        <v>0</v>
      </c>
      <c r="H4189" t="s">
        <v>1218</v>
      </c>
      <c r="I4189" s="347" t="s">
        <v>1303</v>
      </c>
      <c r="K4189" s="370"/>
      <c r="N4189" s="370"/>
    </row>
    <row r="4190" spans="1:14" s="347" customFormat="1" x14ac:dyDescent="0.25">
      <c r="A4190" s="369">
        <f>+A4189</f>
        <v>44410</v>
      </c>
      <c r="B4190" s="347">
        <f>+B4189</f>
        <v>8</v>
      </c>
      <c r="C4190" s="347">
        <v>3110</v>
      </c>
      <c r="D4190" s="340" t="str">
        <f>VLOOKUP(C4190,Plan!A$1:B$65542,2,0)</f>
        <v>Colectas Normales</v>
      </c>
      <c r="E4190" s="341">
        <f>+F4190-G4190</f>
        <v>-10000</v>
      </c>
      <c r="F4190" s="396">
        <v>0</v>
      </c>
      <c r="G4190" s="396">
        <f>+F4189</f>
        <v>10000</v>
      </c>
      <c r="H4190" t="str">
        <f>+H4189</f>
        <v>Colecta Mercedes Cisternas Perez</v>
      </c>
      <c r="I4190" s="347" t="s">
        <v>1303</v>
      </c>
      <c r="K4190" s="370"/>
      <c r="N4190" s="370"/>
    </row>
    <row r="4191" spans="1:14" s="347" customFormat="1" x14ac:dyDescent="0.25">
      <c r="A4191" s="369"/>
      <c r="E4191" s="396"/>
      <c r="F4191" s="396"/>
      <c r="G4191" s="396"/>
      <c r="K4191" s="370"/>
      <c r="N4191" s="370"/>
    </row>
    <row r="4192" spans="1:14" s="347" customFormat="1" x14ac:dyDescent="0.25">
      <c r="A4192" s="369">
        <v>44410</v>
      </c>
      <c r="B4192" s="340">
        <f>+MONTH(A4192)</f>
        <v>8</v>
      </c>
      <c r="C4192" s="347">
        <v>110</v>
      </c>
      <c r="D4192" s="340" t="str">
        <f>VLOOKUP(C4192,Plan!A$1:B$65542,2,0)</f>
        <v>Disponible Administración</v>
      </c>
      <c r="E4192" s="341">
        <f>+F4192-G4192</f>
        <v>5000</v>
      </c>
      <c r="F4192" s="396">
        <v>5000</v>
      </c>
      <c r="G4192" s="396">
        <v>0</v>
      </c>
      <c r="H4192" t="s">
        <v>1910</v>
      </c>
      <c r="I4192" s="347" t="s">
        <v>1303</v>
      </c>
      <c r="K4192" s="370"/>
      <c r="N4192" s="370"/>
    </row>
    <row r="4193" spans="1:14" s="347" customFormat="1" x14ac:dyDescent="0.25">
      <c r="A4193" s="369">
        <f>+A4192</f>
        <v>44410</v>
      </c>
      <c r="B4193" s="347">
        <f>+B4192</f>
        <v>8</v>
      </c>
      <c r="C4193" s="347">
        <v>3110</v>
      </c>
      <c r="D4193" s="340" t="str">
        <f>VLOOKUP(C4193,Plan!A$1:B$65542,2,0)</f>
        <v>Colectas Normales</v>
      </c>
      <c r="E4193" s="341">
        <f>+F4193-G4193</f>
        <v>-5000</v>
      </c>
      <c r="F4193" s="396">
        <v>0</v>
      </c>
      <c r="G4193" s="396">
        <f>+F4192</f>
        <v>5000</v>
      </c>
      <c r="H4193" t="str">
        <f>+H4192</f>
        <v>Dia del Niño Sofia Vives Ekdahl</v>
      </c>
      <c r="I4193" s="347" t="s">
        <v>1303</v>
      </c>
      <c r="K4193" s="370"/>
      <c r="N4193" s="370"/>
    </row>
    <row r="4194" spans="1:14" s="347" customFormat="1" x14ac:dyDescent="0.25">
      <c r="A4194" s="369"/>
      <c r="E4194" s="396"/>
      <c r="F4194" s="396"/>
      <c r="G4194" s="396"/>
      <c r="K4194" s="370"/>
      <c r="N4194" s="370"/>
    </row>
    <row r="4195" spans="1:14" s="347" customFormat="1" x14ac:dyDescent="0.25">
      <c r="A4195" s="369">
        <v>44410</v>
      </c>
      <c r="B4195" s="340">
        <f>+MONTH(A4195)</f>
        <v>8</v>
      </c>
      <c r="C4195" s="347">
        <v>110</v>
      </c>
      <c r="D4195" s="340" t="str">
        <f>VLOOKUP(C4195,Plan!A$1:B$65542,2,0)</f>
        <v>Disponible Administración</v>
      </c>
      <c r="E4195" s="341">
        <f>+F4195-G4195</f>
        <v>10000</v>
      </c>
      <c r="F4195" s="396">
        <v>10000</v>
      </c>
      <c r="G4195" s="396">
        <v>0</v>
      </c>
      <c r="H4195" t="s">
        <v>1911</v>
      </c>
      <c r="I4195" s="347" t="s">
        <v>1303</v>
      </c>
      <c r="K4195" s="370"/>
      <c r="N4195" s="370"/>
    </row>
    <row r="4196" spans="1:14" s="347" customFormat="1" x14ac:dyDescent="0.25">
      <c r="A4196" s="369">
        <f>+A4195</f>
        <v>44410</v>
      </c>
      <c r="B4196" s="347">
        <f>+B4195</f>
        <v>8</v>
      </c>
      <c r="C4196" s="347">
        <v>3340</v>
      </c>
      <c r="D4196" s="340" t="str">
        <f>VLOOKUP(C4196,Plan!A$1:B$65542,2,0)</f>
        <v>Misas</v>
      </c>
      <c r="E4196" s="341">
        <f>+F4196-G4196</f>
        <v>-10000</v>
      </c>
      <c r="F4196" s="396">
        <v>0</v>
      </c>
      <c r="G4196" s="396">
        <f>+F4195</f>
        <v>10000</v>
      </c>
      <c r="H4196" t="str">
        <f>+H4195</f>
        <v xml:space="preserve">Misa Rodrigo Carrasco </v>
      </c>
      <c r="I4196" s="347" t="s">
        <v>1303</v>
      </c>
      <c r="K4196" s="370"/>
      <c r="N4196" s="370"/>
    </row>
    <row r="4197" spans="1:14" s="347" customFormat="1" x14ac:dyDescent="0.25">
      <c r="A4197" s="369"/>
      <c r="E4197" s="396"/>
      <c r="F4197" s="396"/>
      <c r="G4197" s="396"/>
      <c r="K4197" s="370"/>
      <c r="N4197" s="370"/>
    </row>
    <row r="4198" spans="1:14" s="347" customFormat="1" x14ac:dyDescent="0.25">
      <c r="A4198" s="369">
        <v>44410</v>
      </c>
      <c r="B4198" s="340">
        <f>+MONTH(A4198)</f>
        <v>8</v>
      </c>
      <c r="C4198" s="347">
        <v>110</v>
      </c>
      <c r="D4198" s="340" t="str">
        <f>VLOOKUP(C4198,Plan!A$1:B$65542,2,0)</f>
        <v>Disponible Administración</v>
      </c>
      <c r="E4198" s="341">
        <f>+F4198-G4198</f>
        <v>515000</v>
      </c>
      <c r="F4198" s="396">
        <v>515000</v>
      </c>
      <c r="G4198" s="396">
        <v>0</v>
      </c>
      <c r="H4198" t="s">
        <v>1410</v>
      </c>
      <c r="I4198" s="347" t="s">
        <v>1303</v>
      </c>
      <c r="K4198" s="370"/>
      <c r="N4198" s="370"/>
    </row>
    <row r="4199" spans="1:14" s="347" customFormat="1" x14ac:dyDescent="0.25">
      <c r="A4199" s="369">
        <f>+A4198</f>
        <v>44410</v>
      </c>
      <c r="B4199" s="347">
        <f>+B4198</f>
        <v>8</v>
      </c>
      <c r="C4199" s="347">
        <v>3110</v>
      </c>
      <c r="D4199" s="340" t="str">
        <f>VLOOKUP(C4199,Plan!A$1:B$65542,2,0)</f>
        <v>Colectas Normales</v>
      </c>
      <c r="E4199" s="341">
        <f>+F4199-G4199</f>
        <v>-515000</v>
      </c>
      <c r="F4199" s="396">
        <v>0</v>
      </c>
      <c r="G4199" s="396">
        <f>+F4198</f>
        <v>515000</v>
      </c>
      <c r="H4199" t="str">
        <f>+H4198</f>
        <v>Colecta Col. Cordillera</v>
      </c>
      <c r="I4199" s="347" t="s">
        <v>1303</v>
      </c>
      <c r="K4199" s="370"/>
      <c r="N4199" s="370"/>
    </row>
    <row r="4200" spans="1:14" s="347" customFormat="1" x14ac:dyDescent="0.25">
      <c r="A4200" s="369"/>
      <c r="E4200" s="396"/>
      <c r="F4200" s="396"/>
      <c r="G4200" s="396"/>
      <c r="K4200" s="370"/>
      <c r="N4200" s="370"/>
    </row>
    <row r="4201" spans="1:14" s="347" customFormat="1" x14ac:dyDescent="0.25">
      <c r="A4201" s="369">
        <v>44410</v>
      </c>
      <c r="B4201" s="340">
        <f>+MONTH(A4201)</f>
        <v>8</v>
      </c>
      <c r="C4201" s="347">
        <v>110</v>
      </c>
      <c r="D4201" s="340" t="str">
        <f>VLOOKUP(C4201,Plan!A$1:B$65542,2,0)</f>
        <v>Disponible Administración</v>
      </c>
      <c r="E4201" s="341">
        <f>+F4201-G4201</f>
        <v>15000</v>
      </c>
      <c r="F4201" s="396">
        <v>15000</v>
      </c>
      <c r="G4201" s="396">
        <v>0</v>
      </c>
      <c r="H4201" t="s">
        <v>1912</v>
      </c>
      <c r="I4201" s="347" t="s">
        <v>1303</v>
      </c>
      <c r="K4201" s="370"/>
      <c r="N4201" s="370"/>
    </row>
    <row r="4202" spans="1:14" s="347" customFormat="1" x14ac:dyDescent="0.25">
      <c r="A4202" s="369">
        <f>+A4201</f>
        <v>44410</v>
      </c>
      <c r="B4202" s="347">
        <f>+B4201</f>
        <v>8</v>
      </c>
      <c r="C4202" s="347">
        <v>3350</v>
      </c>
      <c r="D4202" s="340" t="str">
        <f>VLOOKUP(C4202,Plan!A$1:B$65542,2,0)</f>
        <v>Bautizos</v>
      </c>
      <c r="E4202" s="341">
        <f>+F4202-G4202</f>
        <v>-15000</v>
      </c>
      <c r="F4202" s="396">
        <v>0</v>
      </c>
      <c r="G4202" s="396">
        <f>+F4201</f>
        <v>15000</v>
      </c>
      <c r="H4202" t="str">
        <f>+H4201</f>
        <v>Bautizo Anne Marie Duffeu</v>
      </c>
      <c r="I4202" s="347" t="s">
        <v>1303</v>
      </c>
      <c r="K4202" s="370"/>
      <c r="N4202" s="370"/>
    </row>
    <row r="4203" spans="1:14" s="347" customFormat="1" x14ac:dyDescent="0.25">
      <c r="A4203" s="369"/>
      <c r="E4203" s="396"/>
      <c r="F4203" s="396"/>
      <c r="G4203" s="396"/>
      <c r="K4203" s="370"/>
      <c r="N4203" s="370"/>
    </row>
    <row r="4204" spans="1:14" s="347" customFormat="1" x14ac:dyDescent="0.25">
      <c r="A4204" s="369">
        <v>44410</v>
      </c>
      <c r="B4204" s="340">
        <f>+MONTH(A4204)</f>
        <v>8</v>
      </c>
      <c r="C4204" s="347">
        <v>110</v>
      </c>
      <c r="D4204" s="340" t="str">
        <f>VLOOKUP(C4204,Plan!A$1:B$65542,2,0)</f>
        <v>Disponible Administración</v>
      </c>
      <c r="E4204" s="341">
        <f>+F4204-G4204</f>
        <v>20000</v>
      </c>
      <c r="F4204" s="396">
        <v>20000</v>
      </c>
      <c r="G4204" s="396">
        <v>0</v>
      </c>
      <c r="H4204" t="s">
        <v>1913</v>
      </c>
      <c r="I4204" s="347" t="s">
        <v>1303</v>
      </c>
      <c r="K4204" s="370"/>
      <c r="N4204" s="370"/>
    </row>
    <row r="4205" spans="1:14" s="347" customFormat="1" x14ac:dyDescent="0.25">
      <c r="A4205" s="369">
        <f>+A4204</f>
        <v>44410</v>
      </c>
      <c r="B4205" s="347">
        <f>+B4204</f>
        <v>8</v>
      </c>
      <c r="C4205" s="347">
        <v>3450</v>
      </c>
      <c r="D4205" s="340" t="str">
        <f>VLOOKUP(C4205,Plan!A$1:B$65542,2,0)</f>
        <v>Pastoral Social</v>
      </c>
      <c r="E4205" s="341">
        <f>+F4205-G4205</f>
        <v>-20000</v>
      </c>
      <c r="F4205" s="396">
        <v>0</v>
      </c>
      <c r="G4205" s="396">
        <f>+F4204</f>
        <v>20000</v>
      </c>
      <c r="H4205" t="str">
        <f>+H4204</f>
        <v>Dia del Niño NN</v>
      </c>
      <c r="I4205" s="347" t="s">
        <v>1303</v>
      </c>
      <c r="K4205" s="370"/>
      <c r="N4205" s="370"/>
    </row>
    <row r="4206" spans="1:14" s="347" customFormat="1" x14ac:dyDescent="0.25">
      <c r="A4206" s="369"/>
      <c r="E4206" s="396"/>
      <c r="F4206" s="396"/>
      <c r="G4206" s="396"/>
      <c r="K4206" s="370"/>
      <c r="N4206" s="370"/>
    </row>
    <row r="4207" spans="1:14" s="347" customFormat="1" x14ac:dyDescent="0.25">
      <c r="A4207" s="369">
        <v>44410</v>
      </c>
      <c r="B4207" s="340">
        <f>+MONTH(A4207)</f>
        <v>8</v>
      </c>
      <c r="C4207" s="347">
        <v>110</v>
      </c>
      <c r="D4207" s="340" t="str">
        <f>VLOOKUP(C4207,Plan!A$1:B$65542,2,0)</f>
        <v>Disponible Administración</v>
      </c>
      <c r="E4207" s="341">
        <f>+F4207-G4207</f>
        <v>27323</v>
      </c>
      <c r="F4207" s="396">
        <v>27323</v>
      </c>
      <c r="G4207" s="396">
        <v>0</v>
      </c>
      <c r="H4207" t="s">
        <v>1914</v>
      </c>
      <c r="I4207" s="347" t="s">
        <v>1303</v>
      </c>
      <c r="K4207" s="370"/>
      <c r="N4207" s="370"/>
    </row>
    <row r="4208" spans="1:14" s="347" customFormat="1" x14ac:dyDescent="0.25">
      <c r="A4208" s="369">
        <f>+A4207</f>
        <v>44410</v>
      </c>
      <c r="B4208" s="347">
        <f>+B4207</f>
        <v>8</v>
      </c>
      <c r="C4208" s="347">
        <v>3520</v>
      </c>
      <c r="D4208" s="340" t="str">
        <f>VLOOKUP(C4208,Plan!A$1:B$65542,2,0)</f>
        <v>Otros Ingreso</v>
      </c>
      <c r="E4208" s="341">
        <f>+F4208-G4208</f>
        <v>-27323</v>
      </c>
      <c r="F4208" s="396">
        <v>0</v>
      </c>
      <c r="G4208" s="396">
        <f>+F4207</f>
        <v>27323</v>
      </c>
      <c r="H4208" t="str">
        <f>+H4207</f>
        <v>Dev.Asignación Familiar</v>
      </c>
      <c r="I4208" s="347" t="s">
        <v>1303</v>
      </c>
      <c r="K4208" s="370"/>
      <c r="N4208" s="370"/>
    </row>
    <row r="4209" spans="1:14" s="347" customFormat="1" x14ac:dyDescent="0.25">
      <c r="A4209" s="369"/>
      <c r="E4209" s="396"/>
      <c r="F4209" s="396"/>
      <c r="G4209" s="396"/>
      <c r="K4209" s="370"/>
      <c r="N4209" s="370"/>
    </row>
    <row r="4210" spans="1:14" s="347" customFormat="1" x14ac:dyDescent="0.25">
      <c r="A4210" s="369">
        <v>44411</v>
      </c>
      <c r="B4210" s="340">
        <f>+MONTH(A4210)</f>
        <v>8</v>
      </c>
      <c r="C4210" s="347">
        <v>110</v>
      </c>
      <c r="D4210" s="340" t="str">
        <f>VLOOKUP(C4210,Plan!A$1:B$65542,2,0)</f>
        <v>Disponible Administración</v>
      </c>
      <c r="E4210" s="341">
        <f>+F4210-G4210</f>
        <v>120000</v>
      </c>
      <c r="F4210" s="396">
        <v>120000</v>
      </c>
      <c r="G4210" s="396">
        <v>0</v>
      </c>
      <c r="H4210" t="s">
        <v>1489</v>
      </c>
      <c r="I4210" s="347" t="s">
        <v>1303</v>
      </c>
      <c r="K4210" s="370"/>
      <c r="N4210" s="370"/>
    </row>
    <row r="4211" spans="1:14" s="347" customFormat="1" x14ac:dyDescent="0.25">
      <c r="A4211" s="369">
        <f>+A4210</f>
        <v>44411</v>
      </c>
      <c r="B4211" s="347">
        <f>+B4210</f>
        <v>8</v>
      </c>
      <c r="C4211" s="347">
        <v>3110</v>
      </c>
      <c r="D4211" s="340" t="str">
        <f>VLOOKUP(C4211,Plan!A$1:B$65542,2,0)</f>
        <v>Colectas Normales</v>
      </c>
      <c r="E4211" s="341">
        <f>+F4211-G4211</f>
        <v>-120000</v>
      </c>
      <c r="F4211" s="396">
        <v>0</v>
      </c>
      <c r="G4211" s="396">
        <f>+F4210</f>
        <v>120000</v>
      </c>
      <c r="H4211" t="str">
        <f>+H4210</f>
        <v>Colecta Ximena Suspichatti</v>
      </c>
      <c r="I4211" s="347" t="s">
        <v>1303</v>
      </c>
      <c r="K4211" s="370"/>
      <c r="N4211" s="370"/>
    </row>
    <row r="4212" spans="1:14" s="347" customFormat="1" x14ac:dyDescent="0.25">
      <c r="A4212" s="369"/>
      <c r="E4212" s="396"/>
      <c r="F4212" s="396"/>
      <c r="G4212" s="396"/>
      <c r="K4212" s="370"/>
      <c r="N4212" s="370"/>
    </row>
    <row r="4213" spans="1:14" s="347" customFormat="1" x14ac:dyDescent="0.25">
      <c r="A4213" s="369">
        <v>44411</v>
      </c>
      <c r="B4213" s="340">
        <f>+MONTH(A4213)</f>
        <v>8</v>
      </c>
      <c r="C4213" s="347">
        <v>110</v>
      </c>
      <c r="D4213" s="340" t="str">
        <f>VLOOKUP(C4213,Plan!A$1:B$65542,2,0)</f>
        <v>Disponible Administración</v>
      </c>
      <c r="E4213" s="341">
        <f>+F4213-G4213</f>
        <v>10000</v>
      </c>
      <c r="F4213" s="396">
        <v>10000</v>
      </c>
      <c r="G4213" s="396">
        <v>0</v>
      </c>
      <c r="H4213" t="s">
        <v>1915</v>
      </c>
      <c r="I4213" s="347" t="s">
        <v>1303</v>
      </c>
      <c r="K4213" s="370"/>
      <c r="N4213" s="370"/>
    </row>
    <row r="4214" spans="1:14" s="347" customFormat="1" x14ac:dyDescent="0.25">
      <c r="A4214" s="369">
        <f>+A4213</f>
        <v>44411</v>
      </c>
      <c r="B4214" s="347">
        <f>+B4213</f>
        <v>8</v>
      </c>
      <c r="C4214" s="347">
        <v>3450</v>
      </c>
      <c r="D4214" s="340" t="str">
        <f>VLOOKUP(C4214,Plan!A$1:B$65542,2,0)</f>
        <v>Pastoral Social</v>
      </c>
      <c r="E4214" s="341">
        <f>+F4214-G4214</f>
        <v>-10000</v>
      </c>
      <c r="F4214" s="396">
        <v>0</v>
      </c>
      <c r="G4214" s="396">
        <f>+F4213</f>
        <v>10000</v>
      </c>
      <c r="H4214" t="str">
        <f>+H4213</f>
        <v>Dia del Niño Maria Garcia</v>
      </c>
      <c r="I4214" s="347" t="s">
        <v>1303</v>
      </c>
      <c r="K4214" s="370"/>
      <c r="N4214" s="370"/>
    </row>
    <row r="4215" spans="1:14" s="347" customFormat="1" x14ac:dyDescent="0.25">
      <c r="A4215" s="369"/>
      <c r="E4215" s="396"/>
      <c r="F4215" s="396"/>
      <c r="G4215" s="396"/>
      <c r="K4215" s="370"/>
      <c r="N4215" s="370"/>
    </row>
    <row r="4216" spans="1:14" s="347" customFormat="1" x14ac:dyDescent="0.25">
      <c r="A4216" s="369">
        <v>44411</v>
      </c>
      <c r="B4216" s="340">
        <f>+MONTH(A4216)</f>
        <v>8</v>
      </c>
      <c r="C4216" s="347">
        <v>110</v>
      </c>
      <c r="D4216" s="340" t="str">
        <f>VLOOKUP(C4216,Plan!A$1:B$65542,2,0)</f>
        <v>Disponible Administración</v>
      </c>
      <c r="E4216" s="341">
        <f>+F4216-G4216</f>
        <v>15000</v>
      </c>
      <c r="F4216" s="396">
        <v>15000</v>
      </c>
      <c r="G4216" s="396">
        <v>0</v>
      </c>
      <c r="H4216" t="s">
        <v>1916</v>
      </c>
      <c r="I4216" s="347" t="s">
        <v>1303</v>
      </c>
      <c r="K4216" s="370"/>
      <c r="N4216" s="370"/>
    </row>
    <row r="4217" spans="1:14" s="347" customFormat="1" x14ac:dyDescent="0.25">
      <c r="A4217" s="369">
        <f>+A4216</f>
        <v>44411</v>
      </c>
      <c r="B4217" s="347">
        <f>+B4216</f>
        <v>8</v>
      </c>
      <c r="C4217" s="347">
        <v>3450</v>
      </c>
      <c r="D4217" s="340" t="str">
        <f>VLOOKUP(C4217,Plan!A$1:B$65542,2,0)</f>
        <v>Pastoral Social</v>
      </c>
      <c r="E4217" s="341">
        <f>+F4217-G4217</f>
        <v>-15000</v>
      </c>
      <c r="F4217" s="396">
        <v>0</v>
      </c>
      <c r="G4217" s="396">
        <f>+F4216</f>
        <v>15000</v>
      </c>
      <c r="H4217" t="str">
        <f>+H4216</f>
        <v>Dia del Niño Carmen Lecaros l.</v>
      </c>
      <c r="I4217" s="347" t="s">
        <v>1303</v>
      </c>
      <c r="K4217" s="370"/>
      <c r="N4217" s="370"/>
    </row>
    <row r="4218" spans="1:14" s="347" customFormat="1" x14ac:dyDescent="0.25">
      <c r="A4218" s="369"/>
      <c r="E4218" s="396"/>
      <c r="F4218" s="396"/>
      <c r="G4218" s="396"/>
      <c r="K4218" s="370"/>
      <c r="N4218" s="370"/>
    </row>
    <row r="4219" spans="1:14" s="347" customFormat="1" x14ac:dyDescent="0.25">
      <c r="A4219" s="369">
        <v>44411</v>
      </c>
      <c r="B4219" s="340">
        <f>+MONTH(A4219)</f>
        <v>8</v>
      </c>
      <c r="C4219" s="347">
        <v>110</v>
      </c>
      <c r="D4219" s="340" t="str">
        <f>VLOOKUP(C4219,Plan!A$1:B$65542,2,0)</f>
        <v>Disponible Administración</v>
      </c>
      <c r="E4219" s="341">
        <f>+F4219-G4219</f>
        <v>10000</v>
      </c>
      <c r="F4219" s="396">
        <v>10000</v>
      </c>
      <c r="G4219" s="396">
        <v>0</v>
      </c>
      <c r="H4219" t="s">
        <v>1917</v>
      </c>
      <c r="I4219" s="347" t="s">
        <v>1303</v>
      </c>
      <c r="K4219" s="370"/>
      <c r="N4219" s="370"/>
    </row>
    <row r="4220" spans="1:14" s="347" customFormat="1" x14ac:dyDescent="0.25">
      <c r="A4220" s="369">
        <f>+A4219</f>
        <v>44411</v>
      </c>
      <c r="B4220" s="347">
        <f>+B4219</f>
        <v>8</v>
      </c>
      <c r="C4220" s="347">
        <v>3110</v>
      </c>
      <c r="D4220" s="340" t="str">
        <f>VLOOKUP(C4220,Plan!A$1:B$65542,2,0)</f>
        <v>Colectas Normales</v>
      </c>
      <c r="E4220" s="341">
        <f>+F4220-G4220</f>
        <v>-10000</v>
      </c>
      <c r="F4220" s="396">
        <v>0</v>
      </c>
      <c r="G4220" s="396">
        <f>+F4219</f>
        <v>10000</v>
      </c>
      <c r="H4220" t="str">
        <f>+H4219</f>
        <v>Colecta Felipe Hargous</v>
      </c>
      <c r="I4220" s="347" t="s">
        <v>1303</v>
      </c>
      <c r="K4220" s="370"/>
      <c r="N4220" s="370"/>
    </row>
    <row r="4221" spans="1:14" s="347" customFormat="1" x14ac:dyDescent="0.25">
      <c r="A4221" s="369"/>
      <c r="E4221" s="396"/>
      <c r="F4221" s="396"/>
      <c r="G4221" s="396"/>
      <c r="K4221" s="370"/>
      <c r="N4221" s="370"/>
    </row>
    <row r="4222" spans="1:14" s="347" customFormat="1" x14ac:dyDescent="0.25">
      <c r="A4222" s="369">
        <v>44411</v>
      </c>
      <c r="B4222" s="340">
        <f>+MONTH(A4222)</f>
        <v>8</v>
      </c>
      <c r="C4222" s="347">
        <v>110</v>
      </c>
      <c r="D4222" s="340" t="str">
        <f>VLOOKUP(C4222,Plan!A$1:B$65542,2,0)</f>
        <v>Disponible Administración</v>
      </c>
      <c r="E4222" s="341">
        <f>+F4222-G4222</f>
        <v>20000</v>
      </c>
      <c r="F4222" s="396">
        <v>20000</v>
      </c>
      <c r="G4222" s="396">
        <v>0</v>
      </c>
      <c r="H4222" t="s">
        <v>878</v>
      </c>
      <c r="I4222" s="347" t="s">
        <v>1303</v>
      </c>
      <c r="K4222" s="370"/>
      <c r="N4222" s="370"/>
    </row>
    <row r="4223" spans="1:14" s="347" customFormat="1" x14ac:dyDescent="0.25">
      <c r="A4223" s="369">
        <f>+A4222</f>
        <v>44411</v>
      </c>
      <c r="B4223" s="347">
        <f>+B4222</f>
        <v>8</v>
      </c>
      <c r="C4223" s="347">
        <v>3110</v>
      </c>
      <c r="D4223" s="340" t="str">
        <f>VLOOKUP(C4223,Plan!A$1:B$65542,2,0)</f>
        <v>Colectas Normales</v>
      </c>
      <c r="E4223" s="341">
        <f>+F4223-G4223</f>
        <v>-20000</v>
      </c>
      <c r="F4223" s="396">
        <v>0</v>
      </c>
      <c r="G4223" s="396">
        <f>+F4222</f>
        <v>20000</v>
      </c>
      <c r="H4223" t="str">
        <f>+H4222</f>
        <v>Colecta Olga Salinas Burgos</v>
      </c>
      <c r="I4223" s="347" t="s">
        <v>1303</v>
      </c>
      <c r="K4223" s="370"/>
      <c r="N4223" s="370"/>
    </row>
    <row r="4224" spans="1:14" s="347" customFormat="1" x14ac:dyDescent="0.25">
      <c r="A4224" s="369"/>
      <c r="E4224" s="396"/>
      <c r="F4224" s="396"/>
      <c r="G4224" s="396"/>
      <c r="K4224" s="370"/>
      <c r="N4224" s="370"/>
    </row>
    <row r="4225" spans="1:14" s="347" customFormat="1" x14ac:dyDescent="0.25">
      <c r="A4225" s="369">
        <v>44411</v>
      </c>
      <c r="B4225" s="340">
        <f>+MONTH(A4225)</f>
        <v>8</v>
      </c>
      <c r="C4225" s="347">
        <v>110</v>
      </c>
      <c r="D4225" s="340" t="str">
        <f>VLOOKUP(C4225,Plan!A$1:B$65542,2,0)</f>
        <v>Disponible Administración</v>
      </c>
      <c r="E4225" s="341">
        <f>+F4225-G4225</f>
        <v>100000</v>
      </c>
      <c r="F4225" s="396">
        <v>100000</v>
      </c>
      <c r="G4225" s="396">
        <v>0</v>
      </c>
      <c r="H4225" t="s">
        <v>1321</v>
      </c>
      <c r="I4225" s="347" t="s">
        <v>1303</v>
      </c>
      <c r="K4225" s="370"/>
      <c r="N4225" s="370"/>
    </row>
    <row r="4226" spans="1:14" s="347" customFormat="1" x14ac:dyDescent="0.25">
      <c r="A4226" s="369">
        <f>+A4225</f>
        <v>44411</v>
      </c>
      <c r="B4226" s="347">
        <f>+B4225</f>
        <v>8</v>
      </c>
      <c r="C4226" s="347">
        <v>3450</v>
      </c>
      <c r="D4226" s="340" t="str">
        <f>VLOOKUP(C4226,Plan!A$1:B$65542,2,0)</f>
        <v>Pastoral Social</v>
      </c>
      <c r="E4226" s="341">
        <f>+F4226-G4226</f>
        <v>-100000</v>
      </c>
      <c r="F4226" s="396">
        <v>0</v>
      </c>
      <c r="G4226" s="396">
        <f>+F4225</f>
        <v>100000</v>
      </c>
      <c r="H4226" t="str">
        <f>+H4225</f>
        <v>Canastas SERVICIOS E INVERSIONES VARIOS SPA</v>
      </c>
      <c r="I4226" s="347" t="s">
        <v>1303</v>
      </c>
      <c r="K4226" s="370"/>
      <c r="N4226" s="370"/>
    </row>
    <row r="4227" spans="1:14" s="347" customFormat="1" x14ac:dyDescent="0.25">
      <c r="A4227" s="369"/>
      <c r="E4227" s="396"/>
      <c r="F4227" s="396"/>
      <c r="G4227" s="396"/>
      <c r="K4227" s="370"/>
      <c r="N4227" s="370"/>
    </row>
    <row r="4228" spans="1:14" s="347" customFormat="1" x14ac:dyDescent="0.25">
      <c r="A4228" s="369">
        <v>44411</v>
      </c>
      <c r="B4228" s="340">
        <f>+MONTH(A4228)</f>
        <v>8</v>
      </c>
      <c r="C4228" s="347">
        <v>110</v>
      </c>
      <c r="D4228" s="340" t="str">
        <f>VLOOKUP(C4228,Plan!A$1:B$65542,2,0)</f>
        <v>Disponible Administración</v>
      </c>
      <c r="E4228" s="341">
        <f>+F4228-G4228</f>
        <v>60000</v>
      </c>
      <c r="F4228" s="396">
        <v>60000</v>
      </c>
      <c r="G4228" s="396">
        <v>0</v>
      </c>
      <c r="H4228" t="s">
        <v>1918</v>
      </c>
      <c r="I4228" s="347" t="s">
        <v>1303</v>
      </c>
      <c r="K4228" s="370"/>
      <c r="N4228" s="370"/>
    </row>
    <row r="4229" spans="1:14" s="347" customFormat="1" x14ac:dyDescent="0.25">
      <c r="A4229" s="369">
        <f>+A4228</f>
        <v>44411</v>
      </c>
      <c r="B4229" s="347">
        <f>+B4228</f>
        <v>8</v>
      </c>
      <c r="C4229" s="347">
        <v>3110</v>
      </c>
      <c r="D4229" s="340" t="str">
        <f>VLOOKUP(C4229,Plan!A$1:B$65542,2,0)</f>
        <v>Colectas Normales</v>
      </c>
      <c r="E4229" s="341">
        <f>+F4229-G4229</f>
        <v>-60000</v>
      </c>
      <c r="F4229" s="396">
        <v>0</v>
      </c>
      <c r="G4229" s="396">
        <f>+F4228</f>
        <v>60000</v>
      </c>
      <c r="H4229" t="str">
        <f>+H4228</f>
        <v>Colectas SERVICIOS E INVERSIONES VARIOS SPA</v>
      </c>
      <c r="I4229" s="347" t="s">
        <v>1303</v>
      </c>
      <c r="K4229" s="370"/>
      <c r="N4229" s="370"/>
    </row>
    <row r="4230" spans="1:14" s="347" customFormat="1" x14ac:dyDescent="0.25">
      <c r="A4230" s="369"/>
      <c r="E4230" s="396"/>
      <c r="F4230" s="396"/>
      <c r="G4230" s="396"/>
      <c r="K4230" s="370"/>
      <c r="N4230" s="370"/>
    </row>
    <row r="4231" spans="1:14" s="347" customFormat="1" x14ac:dyDescent="0.25">
      <c r="A4231" s="369">
        <v>44411</v>
      </c>
      <c r="B4231" s="340">
        <f>+MONTH(A4231)</f>
        <v>8</v>
      </c>
      <c r="C4231" s="347">
        <v>110</v>
      </c>
      <c r="D4231" s="340" t="str">
        <f>VLOOKUP(C4231,Plan!A$1:B$65542,2,0)</f>
        <v>Disponible Administración</v>
      </c>
      <c r="E4231" s="341">
        <f>+F4231-G4231</f>
        <v>50000</v>
      </c>
      <c r="F4231" s="396">
        <v>50000</v>
      </c>
      <c r="G4231" s="396">
        <v>0</v>
      </c>
      <c r="H4231" t="s">
        <v>1919</v>
      </c>
      <c r="I4231" s="347" t="s">
        <v>1303</v>
      </c>
      <c r="K4231" s="370"/>
      <c r="N4231" s="370"/>
    </row>
    <row r="4232" spans="1:14" s="347" customFormat="1" x14ac:dyDescent="0.25">
      <c r="A4232" s="369">
        <f>+A4231</f>
        <v>44411</v>
      </c>
      <c r="B4232" s="347">
        <f>+B4231</f>
        <v>8</v>
      </c>
      <c r="C4232" s="347">
        <v>3450</v>
      </c>
      <c r="D4232" s="340" t="str">
        <f>VLOOKUP(C4232,Plan!A$1:B$65542,2,0)</f>
        <v>Pastoral Social</v>
      </c>
      <c r="E4232" s="341">
        <f>+F4232-G4232</f>
        <v>-50000</v>
      </c>
      <c r="F4232" s="396">
        <v>0</v>
      </c>
      <c r="G4232" s="396">
        <f>+F4231</f>
        <v>50000</v>
      </c>
      <c r="H4232" t="str">
        <f>+H4231</f>
        <v>Dia del Niño SERVICIOS E INVERSIONES VARIOS SPA</v>
      </c>
      <c r="I4232" s="347" t="s">
        <v>1303</v>
      </c>
      <c r="K4232" s="370"/>
      <c r="N4232" s="370"/>
    </row>
    <row r="4233" spans="1:14" s="347" customFormat="1" x14ac:dyDescent="0.25">
      <c r="A4233" s="369"/>
      <c r="E4233" s="396"/>
      <c r="F4233" s="396"/>
      <c r="G4233" s="396"/>
      <c r="K4233" s="370"/>
      <c r="N4233" s="370"/>
    </row>
    <row r="4234" spans="1:14" s="347" customFormat="1" x14ac:dyDescent="0.25">
      <c r="A4234" s="369">
        <v>44411</v>
      </c>
      <c r="B4234" s="340">
        <f>+MONTH(A4234)</f>
        <v>8</v>
      </c>
      <c r="C4234" s="347">
        <v>110</v>
      </c>
      <c r="D4234" s="340" t="str">
        <f>VLOOKUP(C4234,Plan!A$1:B$65542,2,0)</f>
        <v>Disponible Administración</v>
      </c>
      <c r="E4234" s="341">
        <f>+F4234-G4234</f>
        <v>50000</v>
      </c>
      <c r="F4234" s="396">
        <v>50000</v>
      </c>
      <c r="G4234" s="396">
        <v>0</v>
      </c>
      <c r="H4234" t="s">
        <v>1133</v>
      </c>
      <c r="I4234" s="347" t="s">
        <v>1303</v>
      </c>
      <c r="K4234" s="370"/>
      <c r="N4234" s="370"/>
    </row>
    <row r="4235" spans="1:14" s="347" customFormat="1" x14ac:dyDescent="0.25">
      <c r="A4235" s="369">
        <f>+A4234</f>
        <v>44411</v>
      </c>
      <c r="B4235" s="347">
        <f>+B4234</f>
        <v>8</v>
      </c>
      <c r="C4235" s="347">
        <v>3110</v>
      </c>
      <c r="D4235" s="340" t="str">
        <f>VLOOKUP(C4235,Plan!A$1:B$65542,2,0)</f>
        <v>Colectas Normales</v>
      </c>
      <c r="E4235" s="341">
        <f>+F4235-G4235</f>
        <v>-50000</v>
      </c>
      <c r="F4235" s="396">
        <v>0</v>
      </c>
      <c r="G4235" s="396">
        <f>+F4234</f>
        <v>50000</v>
      </c>
      <c r="H4235" t="str">
        <f>+H4234</f>
        <v>Colecta IGNACIO URETA LARENAS</v>
      </c>
      <c r="I4235" s="347" t="s">
        <v>1303</v>
      </c>
      <c r="K4235" s="370"/>
      <c r="N4235" s="370"/>
    </row>
    <row r="4236" spans="1:14" s="347" customFormat="1" x14ac:dyDescent="0.25">
      <c r="A4236" s="369"/>
      <c r="E4236" s="396"/>
      <c r="F4236" s="396"/>
      <c r="G4236" s="396"/>
      <c r="K4236" s="370"/>
      <c r="N4236" s="370"/>
    </row>
    <row r="4237" spans="1:14" s="347" customFormat="1" x14ac:dyDescent="0.25">
      <c r="A4237" s="369">
        <v>44411</v>
      </c>
      <c r="B4237" s="340">
        <f>+MONTH(A4237)</f>
        <v>8</v>
      </c>
      <c r="C4237" s="347">
        <v>110</v>
      </c>
      <c r="D4237" s="340" t="str">
        <f>VLOOKUP(C4237,Plan!A$1:B$65542,2,0)</f>
        <v>Disponible Administración</v>
      </c>
      <c r="E4237" s="341">
        <f>+F4237-G4237</f>
        <v>35000</v>
      </c>
      <c r="F4237" s="396">
        <v>35000</v>
      </c>
      <c r="G4237" s="396">
        <v>0</v>
      </c>
      <c r="H4237" t="s">
        <v>1133</v>
      </c>
      <c r="I4237" s="347" t="s">
        <v>1303</v>
      </c>
      <c r="K4237" s="370"/>
      <c r="N4237" s="370"/>
    </row>
    <row r="4238" spans="1:14" s="347" customFormat="1" x14ac:dyDescent="0.25">
      <c r="A4238" s="369">
        <f>+A4237</f>
        <v>44411</v>
      </c>
      <c r="B4238" s="347">
        <f>+B4237</f>
        <v>8</v>
      </c>
      <c r="C4238" s="347">
        <v>3110</v>
      </c>
      <c r="D4238" s="340" t="str">
        <f>VLOOKUP(C4238,Plan!A$1:B$65542,2,0)</f>
        <v>Colectas Normales</v>
      </c>
      <c r="E4238" s="341">
        <f>+F4238-G4238</f>
        <v>-35000</v>
      </c>
      <c r="F4238" s="396">
        <v>0</v>
      </c>
      <c r="G4238" s="396">
        <f>+F4237</f>
        <v>35000</v>
      </c>
      <c r="H4238" t="str">
        <f>+H4237</f>
        <v>Colecta IGNACIO URETA LARENAS</v>
      </c>
      <c r="I4238" s="347" t="s">
        <v>1303</v>
      </c>
      <c r="K4238" s="370"/>
      <c r="N4238" s="370"/>
    </row>
    <row r="4239" spans="1:14" s="347" customFormat="1" x14ac:dyDescent="0.25">
      <c r="A4239" s="369"/>
      <c r="E4239" s="396"/>
      <c r="F4239" s="396"/>
      <c r="G4239" s="396"/>
      <c r="K4239" s="370"/>
      <c r="N4239" s="370"/>
    </row>
    <row r="4240" spans="1:14" s="347" customFormat="1" x14ac:dyDescent="0.25">
      <c r="A4240" s="369">
        <v>44411</v>
      </c>
      <c r="B4240" s="340">
        <f>+MONTH(A4240)</f>
        <v>8</v>
      </c>
      <c r="C4240" s="347">
        <v>110</v>
      </c>
      <c r="D4240" s="340" t="str">
        <f>VLOOKUP(C4240,Plan!A$1:B$65542,2,0)</f>
        <v>Disponible Administración</v>
      </c>
      <c r="E4240" s="341">
        <f>+F4240-G4240</f>
        <v>30000</v>
      </c>
      <c r="F4240" s="396">
        <v>30000</v>
      </c>
      <c r="G4240" s="396">
        <v>0</v>
      </c>
      <c r="H4240" t="s">
        <v>1641</v>
      </c>
      <c r="I4240" s="347" t="s">
        <v>1303</v>
      </c>
      <c r="K4240" s="370"/>
      <c r="N4240" s="370"/>
    </row>
    <row r="4241" spans="1:14" s="347" customFormat="1" x14ac:dyDescent="0.25">
      <c r="A4241" s="369">
        <f>+A4240</f>
        <v>44411</v>
      </c>
      <c r="B4241" s="347">
        <f>+B4240</f>
        <v>8</v>
      </c>
      <c r="C4241" s="347">
        <v>215</v>
      </c>
      <c r="D4241" s="340" t="str">
        <f>VLOOKUP(C4241,Plan!A$1:B$65542,2,0)</f>
        <v>Cuenta por Pagar a Cali</v>
      </c>
      <c r="E4241" s="341">
        <f>+F4241-G4241</f>
        <v>-30000</v>
      </c>
      <c r="F4241" s="396">
        <v>0</v>
      </c>
      <c r="G4241" s="396">
        <f>+F4240</f>
        <v>30000</v>
      </c>
      <c r="H4241" t="str">
        <f>+H4240</f>
        <v>Ana María Allende Zañartu/ 248</v>
      </c>
      <c r="I4241" s="347" t="s">
        <v>1303</v>
      </c>
      <c r="K4241" s="370"/>
      <c r="N4241" s="370"/>
    </row>
    <row r="4242" spans="1:14" s="347" customFormat="1" x14ac:dyDescent="0.25">
      <c r="A4242" s="369"/>
      <c r="E4242" s="396"/>
      <c r="F4242" s="396"/>
      <c r="G4242" s="396"/>
      <c r="K4242" s="370"/>
      <c r="N4242" s="370"/>
    </row>
    <row r="4243" spans="1:14" s="347" customFormat="1" x14ac:dyDescent="0.25">
      <c r="A4243" s="369">
        <v>44411</v>
      </c>
      <c r="B4243" s="340">
        <f>+MONTH(A4243)</f>
        <v>8</v>
      </c>
      <c r="C4243" s="347">
        <v>110</v>
      </c>
      <c r="D4243" s="340" t="str">
        <f>VLOOKUP(C4243,Plan!A$1:B$65542,2,0)</f>
        <v>Disponible Administración</v>
      </c>
      <c r="E4243" s="341">
        <f>+F4243-G4243</f>
        <v>9881</v>
      </c>
      <c r="F4243" s="396">
        <v>9881</v>
      </c>
      <c r="G4243" s="396">
        <v>0</v>
      </c>
      <c r="H4243" t="s">
        <v>897</v>
      </c>
      <c r="I4243" s="347" t="s">
        <v>1303</v>
      </c>
      <c r="K4243" s="370"/>
      <c r="N4243" s="370"/>
    </row>
    <row r="4244" spans="1:14" s="347" customFormat="1" x14ac:dyDescent="0.25">
      <c r="A4244" s="369">
        <f>+A4243</f>
        <v>44411</v>
      </c>
      <c r="B4244" s="347">
        <f>+B4243</f>
        <v>8</v>
      </c>
      <c r="C4244" s="347">
        <v>3110</v>
      </c>
      <c r="D4244" s="340" t="str">
        <f>VLOOKUP(C4244,Plan!A$1:B$65542,2,0)</f>
        <v>Colectas Normales</v>
      </c>
      <c r="E4244" s="341">
        <f>+F4244-G4244</f>
        <v>-9881</v>
      </c>
      <c r="F4244" s="396">
        <v>0</v>
      </c>
      <c r="G4244" s="396">
        <f>+F4243</f>
        <v>9881</v>
      </c>
      <c r="H4244" t="str">
        <f>+H4243</f>
        <v>Colecta DCT</v>
      </c>
      <c r="I4244" s="347" t="s">
        <v>1303</v>
      </c>
      <c r="K4244" s="370"/>
      <c r="N4244" s="370"/>
    </row>
    <row r="4245" spans="1:14" s="347" customFormat="1" x14ac:dyDescent="0.25">
      <c r="A4245" s="369"/>
      <c r="E4245" s="396"/>
      <c r="F4245" s="396"/>
      <c r="G4245" s="396"/>
      <c r="K4245" s="370"/>
      <c r="N4245" s="370"/>
    </row>
    <row r="4246" spans="1:14" s="347" customFormat="1" x14ac:dyDescent="0.25">
      <c r="A4246" s="369">
        <v>44411</v>
      </c>
      <c r="B4246" s="340">
        <f>+MONTH(A4246)</f>
        <v>8</v>
      </c>
      <c r="C4246" s="347">
        <v>110</v>
      </c>
      <c r="D4246" s="340" t="str">
        <f>VLOOKUP(C4246,Plan!A$1:B$65542,2,0)</f>
        <v>Disponible Administración</v>
      </c>
      <c r="E4246" s="341">
        <f>+F4246-G4246</f>
        <v>30000</v>
      </c>
      <c r="F4246" s="396">
        <v>30000</v>
      </c>
      <c r="G4246" s="396">
        <v>0</v>
      </c>
      <c r="H4246" t="s">
        <v>1920</v>
      </c>
      <c r="I4246" s="347" t="s">
        <v>1303</v>
      </c>
      <c r="K4246" s="370"/>
      <c r="N4246" s="370"/>
    </row>
    <row r="4247" spans="1:14" s="347" customFormat="1" x14ac:dyDescent="0.25">
      <c r="A4247" s="369">
        <f>+A4246</f>
        <v>44411</v>
      </c>
      <c r="B4247" s="347">
        <f>+B4246</f>
        <v>8</v>
      </c>
      <c r="C4247" s="347">
        <v>3450</v>
      </c>
      <c r="D4247" s="340" t="str">
        <f>VLOOKUP(C4247,Plan!A$1:B$65542,2,0)</f>
        <v>Pastoral Social</v>
      </c>
      <c r="E4247" s="341">
        <f>+F4247-G4247</f>
        <v>-30000</v>
      </c>
      <c r="F4247" s="396">
        <v>0</v>
      </c>
      <c r="G4247" s="396">
        <f>+F4246</f>
        <v>30000</v>
      </c>
      <c r="H4247" t="str">
        <f>+H4246</f>
        <v>Dia del Niño Elena Calvo Alessandri</v>
      </c>
      <c r="I4247" s="347" t="s">
        <v>1303</v>
      </c>
      <c r="K4247" s="370"/>
      <c r="N4247" s="370"/>
    </row>
    <row r="4248" spans="1:14" s="347" customFormat="1" x14ac:dyDescent="0.25">
      <c r="A4248" s="369"/>
      <c r="E4248" s="396"/>
      <c r="F4248" s="396"/>
      <c r="G4248" s="396"/>
      <c r="K4248" s="370"/>
      <c r="N4248" s="370"/>
    </row>
    <row r="4249" spans="1:14" s="347" customFormat="1" x14ac:dyDescent="0.25">
      <c r="A4249" s="369">
        <v>44411</v>
      </c>
      <c r="B4249" s="340">
        <f>+MONTH(A4249)</f>
        <v>8</v>
      </c>
      <c r="C4249" s="347">
        <v>110</v>
      </c>
      <c r="D4249" s="340" t="str">
        <f>VLOOKUP(C4249,Plan!A$1:B$65542,2,0)</f>
        <v>Disponible Administración</v>
      </c>
      <c r="E4249" s="341">
        <f>+F4249-G4249</f>
        <v>20000</v>
      </c>
      <c r="F4249" s="396">
        <v>20000</v>
      </c>
      <c r="G4249" s="396">
        <v>0</v>
      </c>
      <c r="H4249" t="s">
        <v>1332</v>
      </c>
      <c r="I4249" s="347" t="s">
        <v>1303</v>
      </c>
      <c r="K4249" s="370"/>
      <c r="N4249" s="370"/>
    </row>
    <row r="4250" spans="1:14" s="347" customFormat="1" x14ac:dyDescent="0.25">
      <c r="A4250" s="369">
        <f>+A4249</f>
        <v>44411</v>
      </c>
      <c r="B4250" s="347">
        <f>+B4249</f>
        <v>8</v>
      </c>
      <c r="C4250" s="347">
        <v>3110</v>
      </c>
      <c r="D4250" s="340" t="str">
        <f>VLOOKUP(C4250,Plan!A$1:B$65542,2,0)</f>
        <v>Colectas Normales</v>
      </c>
      <c r="E4250" s="341">
        <f>+F4250-G4250</f>
        <v>-20000</v>
      </c>
      <c r="F4250" s="396">
        <v>0</v>
      </c>
      <c r="G4250" s="396">
        <f>+F4249</f>
        <v>20000</v>
      </c>
      <c r="H4250" t="str">
        <f>+H4249</f>
        <v>Colecta Maria Luz Parodi Gil</v>
      </c>
      <c r="I4250" s="347" t="s">
        <v>1303</v>
      </c>
      <c r="K4250" s="370"/>
      <c r="N4250" s="370"/>
    </row>
    <row r="4251" spans="1:14" s="347" customFormat="1" x14ac:dyDescent="0.25">
      <c r="A4251" s="369"/>
      <c r="E4251" s="396"/>
      <c r="F4251" s="396"/>
      <c r="G4251" s="396"/>
      <c r="K4251" s="370"/>
      <c r="N4251" s="370"/>
    </row>
    <row r="4252" spans="1:14" s="347" customFormat="1" x14ac:dyDescent="0.25">
      <c r="A4252" s="369">
        <v>44411</v>
      </c>
      <c r="B4252" s="340">
        <f>+MONTH(A4252)</f>
        <v>8</v>
      </c>
      <c r="C4252" s="347">
        <v>110</v>
      </c>
      <c r="D4252" s="340" t="str">
        <f>VLOOKUP(C4252,Plan!A$1:B$65542,2,0)</f>
        <v>Disponible Administración</v>
      </c>
      <c r="E4252" s="341">
        <f>+F4252-G4252</f>
        <v>20000</v>
      </c>
      <c r="F4252" s="396">
        <v>20000</v>
      </c>
      <c r="G4252" s="396">
        <v>0</v>
      </c>
      <c r="H4252" t="s">
        <v>1921</v>
      </c>
      <c r="I4252" s="347" t="s">
        <v>1303</v>
      </c>
      <c r="K4252" s="370"/>
      <c r="N4252" s="370"/>
    </row>
    <row r="4253" spans="1:14" s="347" customFormat="1" x14ac:dyDescent="0.25">
      <c r="A4253" s="369">
        <f>+A4252</f>
        <v>44411</v>
      </c>
      <c r="B4253" s="347">
        <f>+B4252</f>
        <v>8</v>
      </c>
      <c r="C4253" s="347">
        <v>3450</v>
      </c>
      <c r="D4253" s="340" t="str">
        <f>VLOOKUP(C4253,Plan!A$1:B$65542,2,0)</f>
        <v>Pastoral Social</v>
      </c>
      <c r="E4253" s="341">
        <f>+F4253-G4253</f>
        <v>-20000</v>
      </c>
      <c r="F4253" s="396">
        <v>0</v>
      </c>
      <c r="G4253" s="396">
        <f>+F4252</f>
        <v>20000</v>
      </c>
      <c r="H4253" t="str">
        <f>+H4252</f>
        <v>Dia del Niño Pablo Garcia</v>
      </c>
      <c r="I4253" s="347" t="s">
        <v>1303</v>
      </c>
      <c r="K4253" s="370"/>
      <c r="N4253" s="370"/>
    </row>
    <row r="4254" spans="1:14" s="347" customFormat="1" x14ac:dyDescent="0.25">
      <c r="A4254" s="369"/>
      <c r="E4254" s="396"/>
      <c r="F4254" s="396"/>
      <c r="G4254" s="396"/>
      <c r="K4254" s="370"/>
      <c r="N4254" s="370"/>
    </row>
    <row r="4255" spans="1:14" s="347" customFormat="1" x14ac:dyDescent="0.25">
      <c r="A4255" s="369">
        <v>44412</v>
      </c>
      <c r="B4255" s="340">
        <f>+MONTH(A4255)</f>
        <v>8</v>
      </c>
      <c r="C4255" s="347">
        <v>110</v>
      </c>
      <c r="D4255" s="340" t="str">
        <f>VLOOKUP(C4255,Plan!A$1:B$65542,2,0)</f>
        <v>Disponible Administración</v>
      </c>
      <c r="E4255" s="341">
        <f>+F4255-G4255</f>
        <v>10000</v>
      </c>
      <c r="F4255" s="396">
        <v>10000</v>
      </c>
      <c r="G4255" s="396">
        <v>0</v>
      </c>
      <c r="H4255" t="s">
        <v>1922</v>
      </c>
      <c r="I4255" s="347" t="s">
        <v>1303</v>
      </c>
      <c r="K4255" s="370"/>
      <c r="N4255" s="370"/>
    </row>
    <row r="4256" spans="1:14" s="347" customFormat="1" x14ac:dyDescent="0.25">
      <c r="A4256" s="369">
        <f>+A4255</f>
        <v>44412</v>
      </c>
      <c r="B4256" s="347">
        <f>+B4255</f>
        <v>8</v>
      </c>
      <c r="C4256" s="347">
        <v>3450</v>
      </c>
      <c r="D4256" s="340" t="str">
        <f>VLOOKUP(C4256,Plan!A$1:B$65542,2,0)</f>
        <v>Pastoral Social</v>
      </c>
      <c r="E4256" s="341">
        <f>+F4256-G4256</f>
        <v>-10000</v>
      </c>
      <c r="F4256" s="396">
        <v>0</v>
      </c>
      <c r="G4256" s="396">
        <f>+F4255</f>
        <v>10000</v>
      </c>
      <c r="H4256" t="str">
        <f>+H4255</f>
        <v>Dia del Niño Cristobal Nanning Buzeta</v>
      </c>
      <c r="I4256" s="347" t="s">
        <v>1303</v>
      </c>
      <c r="K4256" s="370"/>
      <c r="N4256" s="370"/>
    </row>
    <row r="4257" spans="1:14" s="347" customFormat="1" x14ac:dyDescent="0.25">
      <c r="A4257" s="369"/>
      <c r="E4257" s="396"/>
      <c r="F4257" s="396"/>
      <c r="G4257" s="396"/>
      <c r="K4257" s="370"/>
      <c r="N4257" s="370"/>
    </row>
    <row r="4258" spans="1:14" s="347" customFormat="1" x14ac:dyDescent="0.25">
      <c r="A4258" s="369">
        <v>44412</v>
      </c>
      <c r="B4258" s="340">
        <f>+MONTH(A4258)</f>
        <v>8</v>
      </c>
      <c r="C4258" s="347">
        <v>110</v>
      </c>
      <c r="D4258" s="340" t="str">
        <f>VLOOKUP(C4258,Plan!A$1:B$65542,2,0)</f>
        <v>Disponible Administración</v>
      </c>
      <c r="E4258" s="341">
        <f>+F4258-G4258</f>
        <v>35000</v>
      </c>
      <c r="F4258" s="396">
        <v>35000</v>
      </c>
      <c r="G4258" s="396">
        <v>0</v>
      </c>
      <c r="H4258" t="s">
        <v>1923</v>
      </c>
      <c r="I4258" s="347" t="s">
        <v>1303</v>
      </c>
      <c r="K4258" s="370"/>
      <c r="N4258" s="370"/>
    </row>
    <row r="4259" spans="1:14" s="347" customFormat="1" x14ac:dyDescent="0.25">
      <c r="A4259" s="369">
        <f>+A4258</f>
        <v>44412</v>
      </c>
      <c r="B4259" s="347">
        <f>+B4258</f>
        <v>8</v>
      </c>
      <c r="C4259" s="347">
        <v>215</v>
      </c>
      <c r="D4259" s="340" t="str">
        <f>VLOOKUP(C4259,Plan!A$1:B$65542,2,0)</f>
        <v>Cuenta por Pagar a Cali</v>
      </c>
      <c r="E4259" s="341">
        <f>+F4259-G4259</f>
        <v>-35000</v>
      </c>
      <c r="F4259" s="396">
        <v>0</v>
      </c>
      <c r="G4259" s="396">
        <f>+F4258</f>
        <v>35000</v>
      </c>
      <c r="H4259" t="str">
        <f>+H4258</f>
        <v>Paulina Inés Olea de la Cerda/248</v>
      </c>
      <c r="I4259" s="347" t="s">
        <v>1303</v>
      </c>
      <c r="K4259" s="370"/>
      <c r="N4259" s="370"/>
    </row>
    <row r="4260" spans="1:14" s="347" customFormat="1" x14ac:dyDescent="0.25">
      <c r="A4260" s="369"/>
      <c r="E4260" s="396"/>
      <c r="F4260" s="396"/>
      <c r="G4260" s="396"/>
      <c r="K4260" s="370"/>
      <c r="N4260" s="370"/>
    </row>
    <row r="4261" spans="1:14" s="347" customFormat="1" x14ac:dyDescent="0.25">
      <c r="A4261" s="369">
        <v>44412</v>
      </c>
      <c r="B4261" s="340">
        <f>+MONTH(A4261)</f>
        <v>8</v>
      </c>
      <c r="C4261" s="347">
        <v>110</v>
      </c>
      <c r="D4261" s="340" t="str">
        <f>VLOOKUP(C4261,Plan!A$1:B$65542,2,0)</f>
        <v>Disponible Administración</v>
      </c>
      <c r="E4261" s="341">
        <f>+F4261-G4261</f>
        <v>20000</v>
      </c>
      <c r="F4261" s="396">
        <v>20000</v>
      </c>
      <c r="G4261" s="396">
        <v>0</v>
      </c>
      <c r="H4261" t="s">
        <v>1924</v>
      </c>
      <c r="I4261" s="347" t="s">
        <v>1303</v>
      </c>
      <c r="K4261" s="370"/>
      <c r="N4261" s="370"/>
    </row>
    <row r="4262" spans="1:14" s="347" customFormat="1" x14ac:dyDescent="0.25">
      <c r="A4262" s="369">
        <f>+A4261</f>
        <v>44412</v>
      </c>
      <c r="B4262" s="347">
        <f>+B4261</f>
        <v>8</v>
      </c>
      <c r="C4262" s="347">
        <v>3450</v>
      </c>
      <c r="D4262" s="340" t="str">
        <f>VLOOKUP(C4262,Plan!A$1:B$65542,2,0)</f>
        <v>Pastoral Social</v>
      </c>
      <c r="E4262" s="341">
        <f>+F4262-G4262</f>
        <v>-20000</v>
      </c>
      <c r="F4262" s="396">
        <v>0</v>
      </c>
      <c r="G4262" s="396">
        <f>+F4261</f>
        <v>20000</v>
      </c>
      <c r="H4262" t="str">
        <f>+H4261</f>
        <v>Dia del Niño Eduardo Calvimontes</v>
      </c>
      <c r="I4262" s="347" t="s">
        <v>1303</v>
      </c>
      <c r="K4262" s="370"/>
      <c r="N4262" s="370"/>
    </row>
    <row r="4263" spans="1:14" s="347" customFormat="1" x14ac:dyDescent="0.25">
      <c r="A4263" s="369"/>
      <c r="E4263" s="396"/>
      <c r="F4263" s="396"/>
      <c r="G4263" s="396"/>
      <c r="K4263" s="370"/>
      <c r="N4263" s="370"/>
    </row>
    <row r="4264" spans="1:14" s="347" customFormat="1" x14ac:dyDescent="0.25">
      <c r="A4264" s="369">
        <v>44412</v>
      </c>
      <c r="B4264" s="340">
        <f>+MONTH(A4264)</f>
        <v>8</v>
      </c>
      <c r="C4264" s="347">
        <v>110</v>
      </c>
      <c r="D4264" s="340" t="str">
        <f>VLOOKUP(C4264,Plan!A$1:B$65542,2,0)</f>
        <v>Disponible Administración</v>
      </c>
      <c r="E4264" s="341">
        <f>+F4264-G4264</f>
        <v>15000</v>
      </c>
      <c r="F4264" s="396">
        <v>15000</v>
      </c>
      <c r="G4264" s="396">
        <v>0</v>
      </c>
      <c r="H4264" t="s">
        <v>1318</v>
      </c>
      <c r="I4264" s="347" t="s">
        <v>1303</v>
      </c>
      <c r="K4264" s="370"/>
      <c r="N4264" s="370"/>
    </row>
    <row r="4265" spans="1:14" s="347" customFormat="1" x14ac:dyDescent="0.25">
      <c r="A4265" s="369">
        <f>+A4264</f>
        <v>44412</v>
      </c>
      <c r="B4265" s="347">
        <f>+B4264</f>
        <v>8</v>
      </c>
      <c r="C4265" s="347">
        <v>3110</v>
      </c>
      <c r="D4265" s="340" t="str">
        <f>VLOOKUP(C4265,Plan!A$1:B$65542,2,0)</f>
        <v>Colectas Normales</v>
      </c>
      <c r="E4265" s="341">
        <f>+F4265-G4265</f>
        <v>-15000</v>
      </c>
      <c r="F4265" s="396">
        <v>0</v>
      </c>
      <c r="G4265" s="396">
        <f>+F4264</f>
        <v>15000</v>
      </c>
      <c r="H4265" t="str">
        <f>+H4264</f>
        <v>Colecta Jaime Andres Court Viviani</v>
      </c>
      <c r="I4265" s="347" t="s">
        <v>1303</v>
      </c>
      <c r="K4265" s="370"/>
      <c r="N4265" s="370"/>
    </row>
    <row r="4266" spans="1:14" s="347" customFormat="1" x14ac:dyDescent="0.25">
      <c r="A4266" s="369"/>
      <c r="E4266" s="396"/>
      <c r="F4266" s="396"/>
      <c r="G4266" s="396"/>
      <c r="K4266" s="370"/>
      <c r="N4266" s="370"/>
    </row>
    <row r="4267" spans="1:14" s="347" customFormat="1" x14ac:dyDescent="0.25">
      <c r="A4267" s="369">
        <v>44412</v>
      </c>
      <c r="B4267" s="340">
        <f>+MONTH(A4267)</f>
        <v>8</v>
      </c>
      <c r="C4267" s="347">
        <v>110</v>
      </c>
      <c r="D4267" s="340" t="str">
        <f>VLOOKUP(C4267,Plan!A$1:B$65542,2,0)</f>
        <v>Disponible Administración</v>
      </c>
      <c r="E4267" s="341">
        <f>+F4267-G4267</f>
        <v>30000</v>
      </c>
      <c r="F4267" s="396">
        <v>30000</v>
      </c>
      <c r="G4267" s="396">
        <v>0</v>
      </c>
      <c r="H4267" t="s">
        <v>737</v>
      </c>
      <c r="I4267" s="347" t="s">
        <v>1303</v>
      </c>
      <c r="K4267" s="370"/>
      <c r="N4267" s="370"/>
    </row>
    <row r="4268" spans="1:14" s="347" customFormat="1" x14ac:dyDescent="0.25">
      <c r="A4268" s="369">
        <f>+A4267</f>
        <v>44412</v>
      </c>
      <c r="B4268" s="347">
        <f>+B4267</f>
        <v>8</v>
      </c>
      <c r="C4268" s="347">
        <v>215</v>
      </c>
      <c r="D4268" s="340" t="str">
        <f>VLOOKUP(C4268,Plan!A$1:B$65542,2,0)</f>
        <v>Cuenta por Pagar a Cali</v>
      </c>
      <c r="E4268" s="341">
        <f>+F4268-G4268</f>
        <v>-30000</v>
      </c>
      <c r="F4268" s="396">
        <v>0</v>
      </c>
      <c r="G4268" s="396">
        <f>+F4267</f>
        <v>30000</v>
      </c>
      <c r="H4268" t="str">
        <f>+H4267</f>
        <v>Jaime Andrés Court Viviani/249</v>
      </c>
      <c r="I4268" s="347" t="s">
        <v>1303</v>
      </c>
      <c r="K4268" s="370"/>
      <c r="N4268" s="370"/>
    </row>
    <row r="4269" spans="1:14" s="347" customFormat="1" x14ac:dyDescent="0.25">
      <c r="A4269" s="369"/>
      <c r="E4269" s="396"/>
      <c r="F4269" s="396"/>
      <c r="G4269" s="396"/>
      <c r="K4269" s="370"/>
      <c r="N4269" s="370"/>
    </row>
    <row r="4270" spans="1:14" s="347" customFormat="1" x14ac:dyDescent="0.25">
      <c r="A4270" s="369">
        <v>44412</v>
      </c>
      <c r="B4270" s="340">
        <f>+MONTH(A4270)</f>
        <v>8</v>
      </c>
      <c r="C4270" s="347">
        <v>4322</v>
      </c>
      <c r="D4270" s="340" t="str">
        <f>VLOOKUP(C4270,Plan!A$1:B$65542,2,0)</f>
        <v>Agua</v>
      </c>
      <c r="E4270" s="341">
        <f>+F4270-G4270</f>
        <v>8553</v>
      </c>
      <c r="F4270" s="396">
        <v>8553</v>
      </c>
      <c r="G4270" s="396">
        <v>0</v>
      </c>
      <c r="H4270" t="s">
        <v>1456</v>
      </c>
      <c r="I4270" s="347" t="s">
        <v>1303</v>
      </c>
      <c r="K4270" s="370"/>
      <c r="N4270" s="370"/>
    </row>
    <row r="4271" spans="1:14" s="347" customFormat="1" x14ac:dyDescent="0.25">
      <c r="A4271" s="369">
        <f>+A4270</f>
        <v>44412</v>
      </c>
      <c r="B4271" s="347">
        <f>+B4270</f>
        <v>8</v>
      </c>
      <c r="C4271" s="347">
        <v>110</v>
      </c>
      <c r="D4271" s="340" t="str">
        <f>VLOOKUP(C4271,Plan!A$1:B$65542,2,0)</f>
        <v>Disponible Administración</v>
      </c>
      <c r="E4271" s="341">
        <f>+F4271-G4271</f>
        <v>-8553</v>
      </c>
      <c r="F4271" s="396">
        <v>0</v>
      </c>
      <c r="G4271" s="396">
        <f>+F4270</f>
        <v>8553</v>
      </c>
      <c r="H4271" t="str">
        <f>+H4270</f>
        <v>PAC Aguas Cordillera Oficina</v>
      </c>
      <c r="I4271" s="347" t="s">
        <v>1303</v>
      </c>
      <c r="K4271" s="370"/>
      <c r="N4271" s="370"/>
    </row>
    <row r="4272" spans="1:14" s="347" customFormat="1" x14ac:dyDescent="0.25">
      <c r="A4272" s="369"/>
      <c r="E4272" s="396"/>
      <c r="F4272" s="396"/>
      <c r="G4272" s="396"/>
      <c r="K4272" s="370"/>
      <c r="N4272" s="370"/>
    </row>
    <row r="4273" spans="1:14" s="347" customFormat="1" x14ac:dyDescent="0.25">
      <c r="A4273" s="369">
        <v>44412</v>
      </c>
      <c r="B4273" s="340">
        <f>+MONTH(A4273)</f>
        <v>8</v>
      </c>
      <c r="C4273" s="347">
        <v>110</v>
      </c>
      <c r="D4273" s="340" t="str">
        <f>VLOOKUP(C4273,Plan!A$1:B$65542,2,0)</f>
        <v>Disponible Administración</v>
      </c>
      <c r="E4273" s="341">
        <f>+F4273-G4273</f>
        <v>5000</v>
      </c>
      <c r="F4273" s="396">
        <v>5000</v>
      </c>
      <c r="G4273" s="396">
        <v>0</v>
      </c>
      <c r="H4273" t="s">
        <v>1925</v>
      </c>
      <c r="I4273" s="347" t="s">
        <v>1303</v>
      </c>
      <c r="K4273" s="370"/>
      <c r="N4273" s="370"/>
    </row>
    <row r="4274" spans="1:14" s="347" customFormat="1" x14ac:dyDescent="0.25">
      <c r="A4274" s="369">
        <f>+A4273</f>
        <v>44412</v>
      </c>
      <c r="B4274" s="347">
        <f>+B4273</f>
        <v>8</v>
      </c>
      <c r="C4274" s="347">
        <v>3110</v>
      </c>
      <c r="D4274" s="340" t="str">
        <f>VLOOKUP(C4274,Plan!A$1:B$65542,2,0)</f>
        <v>Colectas Normales</v>
      </c>
      <c r="E4274" s="341">
        <f>+F4274-G4274</f>
        <v>-5000</v>
      </c>
      <c r="F4274" s="396">
        <v>0</v>
      </c>
      <c r="G4274" s="396">
        <f>+F4273</f>
        <v>5000</v>
      </c>
      <c r="H4274" t="str">
        <f>+H4273</f>
        <v>Colecta Ingrid María Nielsen Galli</v>
      </c>
      <c r="I4274" s="347" t="s">
        <v>1303</v>
      </c>
      <c r="K4274" s="370"/>
      <c r="N4274" s="370"/>
    </row>
    <row r="4275" spans="1:14" s="347" customFormat="1" x14ac:dyDescent="0.25">
      <c r="A4275" s="369"/>
      <c r="E4275" s="396"/>
      <c r="F4275" s="396"/>
      <c r="G4275" s="396"/>
      <c r="K4275" s="370"/>
      <c r="N4275" s="370"/>
    </row>
    <row r="4276" spans="1:14" s="347" customFormat="1" x14ac:dyDescent="0.25">
      <c r="A4276" s="369">
        <v>44412</v>
      </c>
      <c r="B4276" s="340">
        <f>+MONTH(A4276)</f>
        <v>8</v>
      </c>
      <c r="C4276" s="347">
        <v>110</v>
      </c>
      <c r="D4276" s="340" t="str">
        <f>VLOOKUP(C4276,Plan!A$1:B$65542,2,0)</f>
        <v>Disponible Administración</v>
      </c>
      <c r="E4276" s="341">
        <f>+F4276-G4276</f>
        <v>12000</v>
      </c>
      <c r="F4276" s="396">
        <v>12000</v>
      </c>
      <c r="G4276" s="396">
        <v>0</v>
      </c>
      <c r="H4276" t="s">
        <v>1926</v>
      </c>
      <c r="I4276" s="347" t="s">
        <v>1303</v>
      </c>
      <c r="K4276" s="370"/>
      <c r="N4276" s="370"/>
    </row>
    <row r="4277" spans="1:14" s="347" customFormat="1" x14ac:dyDescent="0.25">
      <c r="A4277" s="369">
        <f>+A4276</f>
        <v>44412</v>
      </c>
      <c r="B4277" s="347">
        <f>+B4276</f>
        <v>8</v>
      </c>
      <c r="C4277" s="347">
        <v>3450</v>
      </c>
      <c r="D4277" s="340" t="str">
        <f>VLOOKUP(C4277,Plan!A$1:B$65542,2,0)</f>
        <v>Pastoral Social</v>
      </c>
      <c r="E4277" s="341">
        <f>+F4277-G4277</f>
        <v>-12000</v>
      </c>
      <c r="F4277" s="396">
        <v>0</v>
      </c>
      <c r="G4277" s="396">
        <f>+F4276</f>
        <v>12000</v>
      </c>
      <c r="H4277" t="str">
        <f>+H4276</f>
        <v>Canastas Ingrid María Nielsen Galli</v>
      </c>
      <c r="I4277" s="347" t="s">
        <v>1303</v>
      </c>
      <c r="K4277" s="370"/>
      <c r="N4277" s="370"/>
    </row>
    <row r="4278" spans="1:14" s="347" customFormat="1" x14ac:dyDescent="0.25">
      <c r="A4278" s="369"/>
      <c r="E4278" s="396"/>
      <c r="F4278" s="396"/>
      <c r="G4278" s="396"/>
      <c r="K4278" s="370"/>
      <c r="N4278" s="370"/>
    </row>
    <row r="4279" spans="1:14" s="347" customFormat="1" x14ac:dyDescent="0.25">
      <c r="A4279" s="369">
        <v>44412</v>
      </c>
      <c r="B4279" s="340">
        <f>+MONTH(A4279)</f>
        <v>8</v>
      </c>
      <c r="C4279" s="347">
        <v>110</v>
      </c>
      <c r="D4279" s="340" t="str">
        <f>VLOOKUP(C4279,Plan!A$1:B$65542,2,0)</f>
        <v>Disponible Administración</v>
      </c>
      <c r="E4279" s="341">
        <f>+F4279-G4279</f>
        <v>10000</v>
      </c>
      <c r="F4279" s="396">
        <v>10000</v>
      </c>
      <c r="G4279" s="396">
        <v>0</v>
      </c>
      <c r="H4279" t="s">
        <v>1927</v>
      </c>
      <c r="I4279" s="347" t="s">
        <v>1303</v>
      </c>
      <c r="K4279" s="370"/>
      <c r="N4279" s="370"/>
    </row>
    <row r="4280" spans="1:14" s="347" customFormat="1" x14ac:dyDescent="0.25">
      <c r="A4280" s="369">
        <f>+A4279</f>
        <v>44412</v>
      </c>
      <c r="B4280" s="347">
        <f>+B4279</f>
        <v>8</v>
      </c>
      <c r="C4280" s="347">
        <v>3450</v>
      </c>
      <c r="D4280" s="340" t="str">
        <f>VLOOKUP(C4280,Plan!A$1:B$65542,2,0)</f>
        <v>Pastoral Social</v>
      </c>
      <c r="E4280" s="341">
        <f>+F4280-G4280</f>
        <v>-10000</v>
      </c>
      <c r="F4280" s="396">
        <v>0</v>
      </c>
      <c r="G4280" s="396">
        <f>+F4279</f>
        <v>10000</v>
      </c>
      <c r="H4280" t="str">
        <f>+H4279</f>
        <v>Dia del Niño Carmen Barañao</v>
      </c>
      <c r="I4280" s="347" t="s">
        <v>1303</v>
      </c>
      <c r="K4280" s="370"/>
      <c r="N4280" s="370"/>
    </row>
    <row r="4281" spans="1:14" s="347" customFormat="1" x14ac:dyDescent="0.25">
      <c r="A4281" s="369"/>
      <c r="E4281" s="396"/>
      <c r="F4281" s="396"/>
      <c r="G4281" s="396"/>
      <c r="K4281" s="370"/>
      <c r="N4281" s="370"/>
    </row>
    <row r="4282" spans="1:14" s="347" customFormat="1" x14ac:dyDescent="0.25">
      <c r="A4282" s="369">
        <v>44412</v>
      </c>
      <c r="B4282" s="340">
        <f>+MONTH(A4282)</f>
        <v>8</v>
      </c>
      <c r="C4282" s="347">
        <v>110</v>
      </c>
      <c r="D4282" s="340" t="str">
        <f>VLOOKUP(C4282,Plan!A$1:B$65542,2,0)</f>
        <v>Disponible Administración</v>
      </c>
      <c r="E4282" s="341">
        <f>+F4282-G4282</f>
        <v>20000</v>
      </c>
      <c r="F4282" s="396">
        <v>20000</v>
      </c>
      <c r="G4282" s="396">
        <v>0</v>
      </c>
      <c r="H4282" t="s">
        <v>906</v>
      </c>
      <c r="I4282" s="347" t="s">
        <v>1303</v>
      </c>
      <c r="K4282" s="370"/>
      <c r="N4282" s="370"/>
    </row>
    <row r="4283" spans="1:14" s="347" customFormat="1" x14ac:dyDescent="0.25">
      <c r="A4283" s="369">
        <f>+A4282</f>
        <v>44412</v>
      </c>
      <c r="B4283" s="347">
        <f>+B4282</f>
        <v>8</v>
      </c>
      <c r="C4283" s="347">
        <v>3110</v>
      </c>
      <c r="D4283" s="340" t="str">
        <f>VLOOKUP(C4283,Plan!A$1:B$65542,2,0)</f>
        <v>Colectas Normales</v>
      </c>
      <c r="E4283" s="341">
        <f>+F4283-G4283</f>
        <v>-20000</v>
      </c>
      <c r="F4283" s="396">
        <v>0</v>
      </c>
      <c r="G4283" s="396">
        <f>+F4282</f>
        <v>20000</v>
      </c>
      <c r="H4283" t="str">
        <f>+H4282</f>
        <v>Colecta Carmen Barañao</v>
      </c>
      <c r="I4283" s="347" t="s">
        <v>1303</v>
      </c>
      <c r="K4283" s="370"/>
      <c r="N4283" s="370"/>
    </row>
    <row r="4284" spans="1:14" s="347" customFormat="1" x14ac:dyDescent="0.25">
      <c r="A4284" s="369"/>
      <c r="E4284" s="396"/>
      <c r="F4284" s="396"/>
      <c r="G4284" s="396"/>
      <c r="K4284" s="370"/>
      <c r="N4284" s="370"/>
    </row>
    <row r="4285" spans="1:14" s="347" customFormat="1" x14ac:dyDescent="0.25">
      <c r="A4285" s="369">
        <v>44413</v>
      </c>
      <c r="B4285" s="340">
        <f>+MONTH(A4285)</f>
        <v>8</v>
      </c>
      <c r="C4285" s="347">
        <v>110</v>
      </c>
      <c r="D4285" s="340" t="str">
        <f>VLOOKUP(C4285,Plan!A$1:B$65542,2,0)</f>
        <v>Disponible Administración</v>
      </c>
      <c r="E4285" s="341">
        <f>+F4285-G4285</f>
        <v>10000</v>
      </c>
      <c r="F4285" s="396">
        <v>10000</v>
      </c>
      <c r="G4285" s="396">
        <v>0</v>
      </c>
      <c r="H4285" t="s">
        <v>1398</v>
      </c>
      <c r="I4285" s="347" t="s">
        <v>1303</v>
      </c>
      <c r="K4285" s="370"/>
      <c r="N4285" s="370"/>
    </row>
    <row r="4286" spans="1:14" s="347" customFormat="1" x14ac:dyDescent="0.25">
      <c r="A4286" s="369">
        <f>+A4285</f>
        <v>44413</v>
      </c>
      <c r="B4286" s="347">
        <f>+B4285</f>
        <v>8</v>
      </c>
      <c r="C4286" s="347">
        <v>3110</v>
      </c>
      <c r="D4286" s="340" t="str">
        <f>VLOOKUP(C4286,Plan!A$1:B$65542,2,0)</f>
        <v>Colectas Normales</v>
      </c>
      <c r="E4286" s="341">
        <f>+F4286-G4286</f>
        <v>-10000</v>
      </c>
      <c r="F4286" s="396">
        <v>0</v>
      </c>
      <c r="G4286" s="396">
        <f>+F4285</f>
        <v>10000</v>
      </c>
      <c r="H4286" t="str">
        <f>+H4285</f>
        <v>Colecta Maria Fca. Llona</v>
      </c>
      <c r="I4286" s="347" t="s">
        <v>1303</v>
      </c>
      <c r="K4286" s="370"/>
      <c r="N4286" s="370"/>
    </row>
    <row r="4287" spans="1:14" s="347" customFormat="1" x14ac:dyDescent="0.25">
      <c r="A4287" s="369"/>
      <c r="E4287" s="396"/>
      <c r="F4287" s="396"/>
      <c r="G4287" s="396"/>
      <c r="K4287" s="370"/>
      <c r="N4287" s="370"/>
    </row>
    <row r="4288" spans="1:14" s="347" customFormat="1" x14ac:dyDescent="0.25">
      <c r="A4288" s="369">
        <v>44413</v>
      </c>
      <c r="B4288" s="340">
        <f>+MONTH(A4288)</f>
        <v>8</v>
      </c>
      <c r="C4288" s="347">
        <v>110</v>
      </c>
      <c r="D4288" s="340" t="str">
        <f>VLOOKUP(C4288,Plan!A$1:B$65542,2,0)</f>
        <v>Disponible Administración</v>
      </c>
      <c r="E4288" s="341">
        <f>+F4288-G4288</f>
        <v>5000</v>
      </c>
      <c r="F4288" s="396">
        <v>5000</v>
      </c>
      <c r="G4288" s="396">
        <v>0</v>
      </c>
      <c r="H4288" t="s">
        <v>1928</v>
      </c>
      <c r="I4288" s="347" t="s">
        <v>1303</v>
      </c>
      <c r="K4288" s="370"/>
      <c r="N4288" s="370"/>
    </row>
    <row r="4289" spans="1:14" s="347" customFormat="1" x14ac:dyDescent="0.25">
      <c r="A4289" s="369">
        <f>+A4288</f>
        <v>44413</v>
      </c>
      <c r="B4289" s="347">
        <f>+B4288</f>
        <v>8</v>
      </c>
      <c r="C4289" s="347">
        <v>3450</v>
      </c>
      <c r="D4289" s="340" t="str">
        <f>VLOOKUP(C4289,Plan!A$1:B$65542,2,0)</f>
        <v>Pastoral Social</v>
      </c>
      <c r="E4289" s="341">
        <f>+F4289-G4289</f>
        <v>-5000</v>
      </c>
      <c r="F4289" s="396">
        <v>0</v>
      </c>
      <c r="G4289" s="396">
        <f>+F4288</f>
        <v>5000</v>
      </c>
      <c r="H4289" t="str">
        <f>+H4288</f>
        <v>Dia del Niño Sonia Andrea Varas Mujica</v>
      </c>
      <c r="I4289" s="347" t="s">
        <v>1303</v>
      </c>
      <c r="K4289" s="370"/>
      <c r="N4289" s="370"/>
    </row>
    <row r="4290" spans="1:14" s="347" customFormat="1" x14ac:dyDescent="0.25">
      <c r="A4290" s="369"/>
      <c r="E4290" s="396"/>
      <c r="F4290" s="396"/>
      <c r="G4290" s="396"/>
      <c r="K4290" s="370"/>
      <c r="N4290" s="370"/>
    </row>
    <row r="4291" spans="1:14" s="347" customFormat="1" x14ac:dyDescent="0.25">
      <c r="A4291" s="369">
        <v>44413</v>
      </c>
      <c r="B4291" s="340">
        <f>+MONTH(A4291)</f>
        <v>8</v>
      </c>
      <c r="C4291" s="347">
        <v>4310</v>
      </c>
      <c r="D4291" s="340" t="str">
        <f>VLOOKUP(C4291,Plan!A$1:B$65542,2,0)</f>
        <v>Arriendos / Dividendos</v>
      </c>
      <c r="E4291" s="341">
        <f>+F4291-G4291</f>
        <v>810698</v>
      </c>
      <c r="F4291" s="396">
        <v>810698</v>
      </c>
      <c r="G4291" s="396">
        <v>0</v>
      </c>
      <c r="H4291" t="s">
        <v>1929</v>
      </c>
      <c r="I4291" s="347" t="s">
        <v>1303</v>
      </c>
      <c r="K4291" s="370"/>
      <c r="N4291" s="370"/>
    </row>
    <row r="4292" spans="1:14" s="347" customFormat="1" x14ac:dyDescent="0.25">
      <c r="A4292" s="369">
        <f>+A4291</f>
        <v>44413</v>
      </c>
      <c r="B4292" s="347">
        <f>+B4291</f>
        <v>8</v>
      </c>
      <c r="C4292" s="347">
        <v>110</v>
      </c>
      <c r="D4292" s="340" t="str">
        <f>VLOOKUP(C4292,Plan!A$1:B$65542,2,0)</f>
        <v>Disponible Administración</v>
      </c>
      <c r="E4292" s="341">
        <f>+F4292-G4292</f>
        <v>-810698</v>
      </c>
      <c r="F4292" s="396">
        <v>0</v>
      </c>
      <c r="G4292" s="396">
        <f>+F4291</f>
        <v>810698</v>
      </c>
      <c r="H4292" t="str">
        <f>+H4291</f>
        <v>Claudio Cortes Arriagada Arriendo Agosto 2021</v>
      </c>
      <c r="I4292" s="347" t="s">
        <v>1303</v>
      </c>
      <c r="K4292" s="370"/>
      <c r="N4292" s="370"/>
    </row>
    <row r="4293" spans="1:14" s="347" customFormat="1" x14ac:dyDescent="0.25">
      <c r="A4293" s="369"/>
      <c r="E4293" s="396"/>
      <c r="F4293" s="396"/>
      <c r="G4293" s="396"/>
      <c r="K4293" s="370"/>
      <c r="N4293" s="370"/>
    </row>
    <row r="4294" spans="1:14" s="347" customFormat="1" x14ac:dyDescent="0.25">
      <c r="A4294" s="369">
        <v>44413</v>
      </c>
      <c r="B4294" s="340">
        <f>+MONTH(A4294)</f>
        <v>8</v>
      </c>
      <c r="C4294" s="347">
        <v>223</v>
      </c>
      <c r="D4294" s="340" t="str">
        <f>VLOOKUP(C4294,Plan!A$1:B$65542,2,0)</f>
        <v>Ret. Hon.  e Impto. Unico Administración</v>
      </c>
      <c r="E4294" s="341">
        <f>+F4294-G4294</f>
        <v>162702</v>
      </c>
      <c r="F4294" s="396">
        <v>162702</v>
      </c>
      <c r="G4294" s="396">
        <v>0</v>
      </c>
      <c r="H4294" t="s">
        <v>1930</v>
      </c>
      <c r="I4294" s="347" t="s">
        <v>1303</v>
      </c>
      <c r="K4294" s="370"/>
      <c r="N4294" s="370"/>
    </row>
    <row r="4295" spans="1:14" s="347" customFormat="1" x14ac:dyDescent="0.25">
      <c r="A4295" s="369">
        <v>44413</v>
      </c>
      <c r="B4295" s="340">
        <f>+MONTH(A4295)</f>
        <v>8</v>
      </c>
      <c r="C4295" s="347">
        <v>215</v>
      </c>
      <c r="D4295" s="340" t="str">
        <f>VLOOKUP(C4295,Plan!A$1:B$65542,2,0)</f>
        <v>Cuenta por Pagar a Cali</v>
      </c>
      <c r="E4295" s="341">
        <f>+F4295-G4295</f>
        <v>46890</v>
      </c>
      <c r="F4295" s="396">
        <v>46890</v>
      </c>
      <c r="G4295" s="396">
        <v>0</v>
      </c>
      <c r="H4295" t="s">
        <v>1930</v>
      </c>
      <c r="I4295" s="347" t="s">
        <v>1303</v>
      </c>
      <c r="K4295" s="370"/>
      <c r="N4295" s="370"/>
    </row>
    <row r="4296" spans="1:14" s="347" customFormat="1" x14ac:dyDescent="0.25">
      <c r="A4296" s="369">
        <f>+A4295</f>
        <v>44413</v>
      </c>
      <c r="B4296" s="347">
        <f>+B4295</f>
        <v>8</v>
      </c>
      <c r="C4296" s="347">
        <v>110</v>
      </c>
      <c r="D4296" s="340" t="str">
        <f>VLOOKUP(C4296,Plan!A$1:B$65542,2,0)</f>
        <v>Disponible Administración</v>
      </c>
      <c r="E4296" s="341">
        <f>+F4296-G4296</f>
        <v>-209592</v>
      </c>
      <c r="F4296" s="396">
        <v>0</v>
      </c>
      <c r="G4296" s="396">
        <v>209592</v>
      </c>
      <c r="H4296" t="str">
        <f>+H4295</f>
        <v>Impto.Ret Adm. Julio/2021</v>
      </c>
      <c r="I4296" s="347" t="s">
        <v>1303</v>
      </c>
      <c r="K4296" s="370"/>
      <c r="N4296" s="370"/>
    </row>
    <row r="4297" spans="1:14" s="347" customFormat="1" x14ac:dyDescent="0.25">
      <c r="A4297" s="369"/>
      <c r="E4297" s="396"/>
      <c r="F4297" s="396"/>
      <c r="G4297" s="396"/>
      <c r="K4297" s="370"/>
      <c r="N4297" s="370"/>
    </row>
    <row r="4298" spans="1:14" s="347" customFormat="1" x14ac:dyDescent="0.25">
      <c r="A4298" s="369">
        <v>44413</v>
      </c>
      <c r="B4298" s="340">
        <f>+MONTH(A4298)</f>
        <v>8</v>
      </c>
      <c r="C4298" s="347">
        <v>224</v>
      </c>
      <c r="D4298" s="340" t="str">
        <f>VLOOKUP(C4298,Plan!A$1:B$65542,2,0)</f>
        <v>Cotizaciones por Pagar</v>
      </c>
      <c r="E4298" s="341">
        <f>+F4298-G4298</f>
        <v>411865</v>
      </c>
      <c r="F4298" s="396">
        <v>411865</v>
      </c>
      <c r="G4298" s="396">
        <v>0</v>
      </c>
      <c r="H4298" s="370" t="s">
        <v>1565</v>
      </c>
      <c r="I4298" s="347" t="s">
        <v>1303</v>
      </c>
      <c r="K4298" s="370"/>
      <c r="N4298" s="370"/>
    </row>
    <row r="4299" spans="1:14" s="347" customFormat="1" x14ac:dyDescent="0.25">
      <c r="A4299" s="369">
        <f>+A4298</f>
        <v>44413</v>
      </c>
      <c r="B4299" s="347">
        <f>+B4298</f>
        <v>8</v>
      </c>
      <c r="C4299" s="347">
        <v>110</v>
      </c>
      <c r="D4299" s="340" t="str">
        <f>VLOOKUP(C4299,Plan!A$1:B$65542,2,0)</f>
        <v>Disponible Administración</v>
      </c>
      <c r="E4299" s="341">
        <f>+F4299-G4299</f>
        <v>-411865</v>
      </c>
      <c r="F4299" s="396">
        <v>0</v>
      </c>
      <c r="G4299" s="396">
        <f>+F4298</f>
        <v>411865</v>
      </c>
      <c r="H4299" t="str">
        <f>+H4298</f>
        <v>Previsión EE.PSAH</v>
      </c>
      <c r="I4299" s="347" t="s">
        <v>1303</v>
      </c>
      <c r="K4299" s="370"/>
      <c r="N4299" s="370"/>
    </row>
    <row r="4300" spans="1:14" s="347" customFormat="1" x14ac:dyDescent="0.25">
      <c r="A4300" s="369"/>
      <c r="E4300" s="396"/>
      <c r="F4300" s="396"/>
      <c r="G4300" s="396"/>
      <c r="K4300" s="370"/>
      <c r="N4300" s="370"/>
    </row>
    <row r="4301" spans="1:14" s="347" customFormat="1" x14ac:dyDescent="0.25">
      <c r="A4301" s="369">
        <v>44413</v>
      </c>
      <c r="B4301" s="340">
        <f>+MONTH(A4301)</f>
        <v>8</v>
      </c>
      <c r="C4301" s="347">
        <v>224</v>
      </c>
      <c r="D4301" s="340" t="str">
        <f>VLOOKUP(C4301,Plan!A$1:B$65542,2,0)</f>
        <v>Cotizaciones por Pagar</v>
      </c>
      <c r="E4301" s="341">
        <f>+F4301-G4301</f>
        <v>175865</v>
      </c>
      <c r="F4301" s="396">
        <v>175865</v>
      </c>
      <c r="G4301" s="396">
        <v>0</v>
      </c>
      <c r="H4301" s="370" t="s">
        <v>1566</v>
      </c>
      <c r="I4301" s="347" t="s">
        <v>1303</v>
      </c>
      <c r="K4301" s="370"/>
      <c r="N4301" s="370"/>
    </row>
    <row r="4302" spans="1:14" s="347" customFormat="1" x14ac:dyDescent="0.25">
      <c r="A4302" s="369">
        <f>+A4301</f>
        <v>44413</v>
      </c>
      <c r="B4302" s="347">
        <f>+B4301</f>
        <v>8</v>
      </c>
      <c r="C4302" s="347">
        <v>110</v>
      </c>
      <c r="D4302" s="340" t="str">
        <f>VLOOKUP(C4302,Plan!A$1:B$65542,2,0)</f>
        <v>Disponible Administración</v>
      </c>
      <c r="E4302" s="341">
        <f>+F4302-G4302</f>
        <v>-175865</v>
      </c>
      <c r="F4302" s="396">
        <v>0</v>
      </c>
      <c r="G4302" s="396">
        <f>+F4301</f>
        <v>175865</v>
      </c>
      <c r="H4302" t="str">
        <f>+H4301</f>
        <v>Previsión P.Pedro</v>
      </c>
      <c r="I4302" s="347" t="s">
        <v>1303</v>
      </c>
      <c r="K4302" s="370"/>
      <c r="N4302" s="370"/>
    </row>
    <row r="4303" spans="1:14" s="347" customFormat="1" x14ac:dyDescent="0.25">
      <c r="A4303" s="369"/>
      <c r="E4303" s="396"/>
      <c r="F4303" s="396"/>
      <c r="G4303" s="396"/>
      <c r="K4303" s="370"/>
      <c r="N4303" s="370"/>
    </row>
    <row r="4304" spans="1:14" s="347" customFormat="1" x14ac:dyDescent="0.25">
      <c r="A4304" s="369">
        <v>44413</v>
      </c>
      <c r="B4304" s="340">
        <f>+MONTH(A4304)</f>
        <v>8</v>
      </c>
      <c r="C4304" s="347">
        <v>110</v>
      </c>
      <c r="D4304" s="340" t="str">
        <f>VLOOKUP(C4304,Plan!A$1:B$65542,2,0)</f>
        <v>Disponible Administración</v>
      </c>
      <c r="E4304" s="341">
        <f>+F4304-G4304</f>
        <v>20000</v>
      </c>
      <c r="F4304" s="396">
        <v>20000</v>
      </c>
      <c r="G4304" s="396">
        <v>0</v>
      </c>
      <c r="H4304" s="370" t="s">
        <v>1558</v>
      </c>
      <c r="I4304" s="347" t="s">
        <v>1303</v>
      </c>
      <c r="K4304" s="370"/>
      <c r="N4304" s="370"/>
    </row>
    <row r="4305" spans="1:14" s="347" customFormat="1" x14ac:dyDescent="0.25">
      <c r="A4305" s="369">
        <f>+A4304</f>
        <v>44413</v>
      </c>
      <c r="B4305" s="347">
        <f>+B4304</f>
        <v>8</v>
      </c>
      <c r="C4305" s="347">
        <v>3450</v>
      </c>
      <c r="D4305" s="340" t="str">
        <f>VLOOKUP(C4305,Plan!A$1:B$65542,2,0)</f>
        <v>Pastoral Social</v>
      </c>
      <c r="E4305" s="341">
        <f>+F4305-G4305</f>
        <v>-20000</v>
      </c>
      <c r="F4305" s="396">
        <v>0</v>
      </c>
      <c r="G4305" s="396">
        <f>+F4304</f>
        <v>20000</v>
      </c>
      <c r="H4305" t="str">
        <f>+H4304</f>
        <v>Canastas Francisca Orrego Benavente</v>
      </c>
      <c r="I4305" s="347" t="s">
        <v>1303</v>
      </c>
      <c r="K4305" s="370"/>
      <c r="N4305" s="370"/>
    </row>
    <row r="4306" spans="1:14" s="347" customFormat="1" x14ac:dyDescent="0.25">
      <c r="A4306" s="369"/>
      <c r="E4306" s="396"/>
      <c r="F4306" s="396"/>
      <c r="G4306" s="396"/>
      <c r="K4306" s="370"/>
      <c r="N4306" s="370"/>
    </row>
    <row r="4307" spans="1:14" s="347" customFormat="1" x14ac:dyDescent="0.25">
      <c r="A4307" s="369">
        <v>44413</v>
      </c>
      <c r="B4307" s="340">
        <f>+MONTH(A4307)</f>
        <v>8</v>
      </c>
      <c r="C4307" s="347">
        <v>110</v>
      </c>
      <c r="D4307" s="340" t="str">
        <f>VLOOKUP(C4307,Plan!A$1:B$65542,2,0)</f>
        <v>Disponible Administración</v>
      </c>
      <c r="E4307" s="341">
        <f>+F4307-G4307</f>
        <v>80000</v>
      </c>
      <c r="F4307" s="396">
        <v>80000</v>
      </c>
      <c r="G4307" s="396">
        <v>0</v>
      </c>
      <c r="H4307" s="370" t="s">
        <v>1931</v>
      </c>
      <c r="I4307" s="347" t="s">
        <v>1303</v>
      </c>
      <c r="K4307" s="370"/>
      <c r="N4307" s="370"/>
    </row>
    <row r="4308" spans="1:14" s="347" customFormat="1" x14ac:dyDescent="0.25">
      <c r="A4308" s="369">
        <f>+A4307</f>
        <v>44413</v>
      </c>
      <c r="B4308" s="347">
        <f>+B4307</f>
        <v>8</v>
      </c>
      <c r="C4308" s="347">
        <v>3520</v>
      </c>
      <c r="D4308" s="340" t="str">
        <f>VLOOKUP(C4308,Plan!A$1:B$65542,2,0)</f>
        <v>Otros Ingreso</v>
      </c>
      <c r="E4308" s="341">
        <f>+F4308-G4308</f>
        <v>-80000</v>
      </c>
      <c r="F4308" s="396">
        <v>0</v>
      </c>
      <c r="G4308" s="396">
        <f>+F4307</f>
        <v>80000</v>
      </c>
      <c r="H4308" t="str">
        <f>+H4307</f>
        <v>Becas Francisco Guimpert Corvalan</v>
      </c>
      <c r="I4308" s="347" t="s">
        <v>1303</v>
      </c>
      <c r="K4308" s="370"/>
      <c r="N4308" s="370"/>
    </row>
    <row r="4309" spans="1:14" s="347" customFormat="1" x14ac:dyDescent="0.25">
      <c r="A4309" s="369"/>
      <c r="E4309" s="396"/>
      <c r="F4309" s="396"/>
      <c r="G4309" s="396"/>
      <c r="K4309" s="370"/>
      <c r="N4309" s="370"/>
    </row>
    <row r="4310" spans="1:14" s="347" customFormat="1" x14ac:dyDescent="0.25">
      <c r="A4310" s="369">
        <v>44413</v>
      </c>
      <c r="B4310" s="340">
        <f>+MONTH(A4310)</f>
        <v>8</v>
      </c>
      <c r="C4310" s="347">
        <v>110</v>
      </c>
      <c r="D4310" s="340" t="str">
        <f>VLOOKUP(C4310,Plan!A$1:B$65542,2,0)</f>
        <v>Disponible Administración</v>
      </c>
      <c r="E4310" s="341">
        <f>+F4310-G4310</f>
        <v>50000</v>
      </c>
      <c r="F4310" s="396">
        <v>50000</v>
      </c>
      <c r="G4310" s="396">
        <v>0</v>
      </c>
      <c r="H4310" s="370" t="s">
        <v>1932</v>
      </c>
      <c r="I4310" s="347" t="s">
        <v>1303</v>
      </c>
      <c r="K4310" s="370"/>
      <c r="N4310" s="370"/>
    </row>
    <row r="4311" spans="1:14" s="347" customFormat="1" x14ac:dyDescent="0.25">
      <c r="A4311" s="369">
        <f>+A4310</f>
        <v>44413</v>
      </c>
      <c r="B4311" s="347">
        <f>+B4310</f>
        <v>8</v>
      </c>
      <c r="C4311" s="347">
        <v>3450</v>
      </c>
      <c r="D4311" s="340" t="str">
        <f>VLOOKUP(C4311,Plan!A$1:B$65542,2,0)</f>
        <v>Pastoral Social</v>
      </c>
      <c r="E4311" s="341">
        <f>+F4311-G4311</f>
        <v>-50000</v>
      </c>
      <c r="F4311" s="396">
        <v>0</v>
      </c>
      <c r="G4311" s="396">
        <f>+F4310</f>
        <v>50000</v>
      </c>
      <c r="H4311" t="str">
        <f>+H4310</f>
        <v>Dia del Niño Francisco Guimpert Corvalan</v>
      </c>
      <c r="I4311" s="347" t="s">
        <v>1303</v>
      </c>
      <c r="K4311" s="370"/>
      <c r="N4311" s="370"/>
    </row>
    <row r="4312" spans="1:14" s="347" customFormat="1" x14ac:dyDescent="0.25">
      <c r="A4312" s="369"/>
      <c r="E4312" s="396"/>
      <c r="F4312" s="396"/>
      <c r="G4312" s="396"/>
      <c r="K4312" s="370"/>
      <c r="N4312" s="370"/>
    </row>
    <row r="4313" spans="1:14" s="347" customFormat="1" x14ac:dyDescent="0.25">
      <c r="A4313" s="369">
        <v>44413</v>
      </c>
      <c r="B4313" s="340">
        <f>+MONTH(A4313)</f>
        <v>8</v>
      </c>
      <c r="C4313" s="347">
        <v>110</v>
      </c>
      <c r="D4313" s="340" t="str">
        <f>VLOOKUP(C4313,Plan!A$1:B$65542,2,0)</f>
        <v>Disponible Administración</v>
      </c>
      <c r="E4313" s="341">
        <f>+F4313-G4313</f>
        <v>50000</v>
      </c>
      <c r="F4313" s="396">
        <v>50000</v>
      </c>
      <c r="G4313" s="396">
        <v>0</v>
      </c>
      <c r="H4313" s="370" t="s">
        <v>1840</v>
      </c>
      <c r="I4313" s="347" t="s">
        <v>1303</v>
      </c>
      <c r="K4313" s="370"/>
      <c r="N4313" s="370"/>
    </row>
    <row r="4314" spans="1:14" s="347" customFormat="1" x14ac:dyDescent="0.25">
      <c r="A4314" s="369">
        <f>+A4313</f>
        <v>44413</v>
      </c>
      <c r="B4314" s="347">
        <f>+B4313</f>
        <v>8</v>
      </c>
      <c r="C4314" s="347">
        <v>3450</v>
      </c>
      <c r="D4314" s="340" t="str">
        <f>VLOOKUP(C4314,Plan!A$1:B$65542,2,0)</f>
        <v>Pastoral Social</v>
      </c>
      <c r="E4314" s="341">
        <f>+F4314-G4314</f>
        <v>-50000</v>
      </c>
      <c r="F4314" s="396">
        <v>0</v>
      </c>
      <c r="G4314" s="396">
        <f>+F4313</f>
        <v>50000</v>
      </c>
      <c r="H4314" t="str">
        <f>+H4313</f>
        <v>Dia del Niño Marcela Nuñez</v>
      </c>
      <c r="I4314" s="347" t="s">
        <v>1303</v>
      </c>
      <c r="K4314" s="370"/>
      <c r="N4314" s="370"/>
    </row>
    <row r="4315" spans="1:14" s="347" customFormat="1" x14ac:dyDescent="0.25">
      <c r="A4315" s="369"/>
      <c r="E4315" s="396"/>
      <c r="F4315" s="396"/>
      <c r="G4315" s="396"/>
      <c r="K4315" s="370"/>
      <c r="N4315" s="370"/>
    </row>
    <row r="4316" spans="1:14" s="347" customFormat="1" x14ac:dyDescent="0.25">
      <c r="A4316" s="369">
        <v>44413</v>
      </c>
      <c r="B4316" s="340">
        <f>+MONTH(A4316)</f>
        <v>8</v>
      </c>
      <c r="C4316" s="347">
        <v>110</v>
      </c>
      <c r="D4316" s="340" t="str">
        <f>VLOOKUP(C4316,Plan!A$1:B$65542,2,0)</f>
        <v>Disponible Administración</v>
      </c>
      <c r="E4316" s="341">
        <f>+F4316-G4316</f>
        <v>10000</v>
      </c>
      <c r="F4316" s="396">
        <v>10000</v>
      </c>
      <c r="G4316" s="396">
        <v>0</v>
      </c>
      <c r="H4316" s="370" t="s">
        <v>1933</v>
      </c>
      <c r="I4316" s="347" t="s">
        <v>1303</v>
      </c>
      <c r="K4316" s="370"/>
      <c r="N4316" s="370"/>
    </row>
    <row r="4317" spans="1:14" s="347" customFormat="1" x14ac:dyDescent="0.25">
      <c r="A4317" s="369">
        <f>+A4316</f>
        <v>44413</v>
      </c>
      <c r="B4317" s="347">
        <f>+B4316</f>
        <v>8</v>
      </c>
      <c r="C4317" s="347">
        <v>3450</v>
      </c>
      <c r="D4317" s="340" t="str">
        <f>VLOOKUP(C4317,Plan!A$1:B$65542,2,0)</f>
        <v>Pastoral Social</v>
      </c>
      <c r="E4317" s="341">
        <f>+F4317-G4317</f>
        <v>-10000</v>
      </c>
      <c r="F4317" s="396">
        <v>0</v>
      </c>
      <c r="G4317" s="396">
        <f>+F4316</f>
        <v>10000</v>
      </c>
      <c r="H4317" t="str">
        <f>+H4316</f>
        <v>Dia del Niño Oscar Guarda</v>
      </c>
      <c r="I4317" s="347" t="s">
        <v>1303</v>
      </c>
      <c r="K4317" s="370"/>
      <c r="N4317" s="370"/>
    </row>
    <row r="4318" spans="1:14" s="347" customFormat="1" x14ac:dyDescent="0.25">
      <c r="A4318" s="369"/>
      <c r="E4318" s="396"/>
      <c r="F4318" s="396"/>
      <c r="G4318" s="396"/>
      <c r="K4318" s="370"/>
      <c r="N4318" s="370"/>
    </row>
    <row r="4319" spans="1:14" s="347" customFormat="1" x14ac:dyDescent="0.25">
      <c r="A4319" s="369">
        <v>44413</v>
      </c>
      <c r="B4319" s="340">
        <f>+MONTH(A4319)</f>
        <v>8</v>
      </c>
      <c r="C4319" s="347">
        <v>110</v>
      </c>
      <c r="D4319" s="340" t="str">
        <f>VLOOKUP(C4319,Plan!A$1:B$65542,2,0)</f>
        <v>Disponible Administración</v>
      </c>
      <c r="E4319" s="341">
        <f>+F4319-G4319</f>
        <v>25000</v>
      </c>
      <c r="F4319" s="396">
        <v>25000</v>
      </c>
      <c r="G4319" s="396">
        <v>0</v>
      </c>
      <c r="H4319" s="370" t="s">
        <v>931</v>
      </c>
      <c r="I4319" s="347" t="s">
        <v>1303</v>
      </c>
      <c r="K4319" s="370"/>
      <c r="N4319" s="370"/>
    </row>
    <row r="4320" spans="1:14" s="347" customFormat="1" x14ac:dyDescent="0.25">
      <c r="A4320" s="369">
        <f>+A4319</f>
        <v>44413</v>
      </c>
      <c r="B4320" s="347">
        <f>+B4319</f>
        <v>8</v>
      </c>
      <c r="C4320" s="347">
        <v>3110</v>
      </c>
      <c r="D4320" s="340" t="str">
        <f>VLOOKUP(C4320,Plan!A$1:B$65542,2,0)</f>
        <v>Colectas Normales</v>
      </c>
      <c r="E4320" s="341">
        <f>+F4320-G4320</f>
        <v>-25000</v>
      </c>
      <c r="F4320" s="396">
        <v>0</v>
      </c>
      <c r="G4320" s="396">
        <f>+F4319</f>
        <v>25000</v>
      </c>
      <c r="H4320" t="str">
        <f>+H4319</f>
        <v>Colecta Eduardo Calvimontes Candia</v>
      </c>
      <c r="I4320" s="347" t="s">
        <v>1303</v>
      </c>
      <c r="K4320" s="370"/>
      <c r="N4320" s="370"/>
    </row>
    <row r="4321" spans="1:14" s="347" customFormat="1" x14ac:dyDescent="0.25">
      <c r="A4321" s="369"/>
      <c r="E4321" s="396"/>
      <c r="F4321" s="396"/>
      <c r="G4321" s="396"/>
      <c r="K4321" s="370"/>
      <c r="N4321" s="370"/>
    </row>
    <row r="4322" spans="1:14" s="347" customFormat="1" x14ac:dyDescent="0.25">
      <c r="A4322" s="369">
        <v>44413</v>
      </c>
      <c r="B4322" s="340">
        <f>+MONTH(A4322)</f>
        <v>8</v>
      </c>
      <c r="C4322" s="347">
        <v>110</v>
      </c>
      <c r="D4322" s="340" t="str">
        <f>VLOOKUP(C4322,Plan!A$1:B$65542,2,0)</f>
        <v>Disponible Administración</v>
      </c>
      <c r="E4322" s="341">
        <f>+F4322-G4322</f>
        <v>20000</v>
      </c>
      <c r="F4322" s="396">
        <v>20000</v>
      </c>
      <c r="G4322" s="396">
        <v>0</v>
      </c>
      <c r="H4322" s="370" t="s">
        <v>1457</v>
      </c>
      <c r="I4322" s="347" t="s">
        <v>1303</v>
      </c>
      <c r="K4322" s="370"/>
      <c r="N4322" s="370"/>
    </row>
    <row r="4323" spans="1:14" s="347" customFormat="1" x14ac:dyDescent="0.25">
      <c r="A4323" s="369">
        <f>+A4322</f>
        <v>44413</v>
      </c>
      <c r="B4323" s="347">
        <f>+B4322</f>
        <v>8</v>
      </c>
      <c r="C4323" s="347">
        <v>215</v>
      </c>
      <c r="D4323" s="340" t="str">
        <f>VLOOKUP(C4323,Plan!A$1:B$65542,2,0)</f>
        <v>Cuenta por Pagar a Cali</v>
      </c>
      <c r="E4323" s="341">
        <f>+F4323-G4323</f>
        <v>-20000</v>
      </c>
      <c r="F4323" s="396">
        <v>0</v>
      </c>
      <c r="G4323" s="396">
        <f>+F4322</f>
        <v>20000</v>
      </c>
      <c r="H4323" t="str">
        <f>+H4322</f>
        <v>Eduardo Calvimontes Candia/Azul</v>
      </c>
      <c r="I4323" s="347" t="s">
        <v>1303</v>
      </c>
      <c r="K4323" s="370"/>
      <c r="N4323" s="370"/>
    </row>
    <row r="4324" spans="1:14" s="347" customFormat="1" x14ac:dyDescent="0.25">
      <c r="A4324" s="369"/>
      <c r="E4324" s="396"/>
      <c r="F4324" s="396"/>
      <c r="G4324" s="396"/>
      <c r="K4324" s="370"/>
      <c r="N4324" s="370"/>
    </row>
    <row r="4325" spans="1:14" s="347" customFormat="1" x14ac:dyDescent="0.25">
      <c r="A4325" s="369">
        <v>44413</v>
      </c>
      <c r="B4325" s="340">
        <f>+MONTH(A4325)</f>
        <v>8</v>
      </c>
      <c r="C4325" s="347">
        <v>110</v>
      </c>
      <c r="D4325" s="340" t="str">
        <f>VLOOKUP(C4325,Plan!A$1:B$65542,2,0)</f>
        <v>Disponible Administración</v>
      </c>
      <c r="E4325" s="341">
        <f>+F4325-G4325</f>
        <v>7825</v>
      </c>
      <c r="F4325" s="396">
        <v>7825</v>
      </c>
      <c r="G4325" s="396">
        <v>0</v>
      </c>
      <c r="H4325" s="370" t="s">
        <v>1934</v>
      </c>
      <c r="I4325" s="347" t="s">
        <v>1303</v>
      </c>
      <c r="K4325" s="370"/>
      <c r="N4325" s="370"/>
    </row>
    <row r="4326" spans="1:14" s="347" customFormat="1" x14ac:dyDescent="0.25">
      <c r="A4326" s="369">
        <f>+A4325</f>
        <v>44413</v>
      </c>
      <c r="B4326" s="347">
        <f>+B4325</f>
        <v>8</v>
      </c>
      <c r="C4326" s="347">
        <v>3110</v>
      </c>
      <c r="D4326" s="340" t="str">
        <f>VLOOKUP(C4326,Plan!A$1:B$65542,2,0)</f>
        <v>Colectas Normales</v>
      </c>
      <c r="E4326" s="341">
        <f>+F4326-G4326</f>
        <v>-7825</v>
      </c>
      <c r="F4326" s="396">
        <v>0</v>
      </c>
      <c r="G4326" s="396">
        <f>+F4325</f>
        <v>7825</v>
      </c>
      <c r="H4326" t="str">
        <f>+H4325</f>
        <v>Colecta POS</v>
      </c>
      <c r="I4326" s="347" t="s">
        <v>1303</v>
      </c>
      <c r="K4326" s="370"/>
      <c r="N4326" s="370"/>
    </row>
    <row r="4327" spans="1:14" s="347" customFormat="1" x14ac:dyDescent="0.25">
      <c r="A4327" s="369"/>
      <c r="E4327" s="396"/>
      <c r="F4327" s="396"/>
      <c r="G4327" s="396"/>
      <c r="K4327" s="370"/>
      <c r="N4327" s="370"/>
    </row>
    <row r="4328" spans="1:14" s="347" customFormat="1" x14ac:dyDescent="0.25">
      <c r="A4328" s="369">
        <v>44413</v>
      </c>
      <c r="B4328" s="340">
        <f>+MONTH(A4328)</f>
        <v>8</v>
      </c>
      <c r="C4328" s="347">
        <v>110</v>
      </c>
      <c r="D4328" s="340" t="str">
        <f>VLOOKUP(C4328,Plan!A$1:B$65542,2,0)</f>
        <v>Disponible Administración</v>
      </c>
      <c r="E4328" s="341">
        <f>+F4328-G4328</f>
        <v>20000</v>
      </c>
      <c r="F4328" s="396">
        <v>20000</v>
      </c>
      <c r="G4328" s="396">
        <v>0</v>
      </c>
      <c r="H4328" s="370" t="s">
        <v>1697</v>
      </c>
      <c r="I4328" s="347" t="s">
        <v>1303</v>
      </c>
      <c r="K4328" s="370"/>
      <c r="N4328" s="370"/>
    </row>
    <row r="4329" spans="1:14" s="347" customFormat="1" x14ac:dyDescent="0.25">
      <c r="A4329" s="369">
        <f>+A4328</f>
        <v>44413</v>
      </c>
      <c r="B4329" s="347">
        <f>+B4328</f>
        <v>8</v>
      </c>
      <c r="C4329" s="347">
        <v>215</v>
      </c>
      <c r="D4329" s="340" t="str">
        <f>VLOOKUP(C4329,Plan!A$1:B$65542,2,0)</f>
        <v>Cuenta por Pagar a Cali</v>
      </c>
      <c r="E4329" s="341">
        <f>+F4329-G4329</f>
        <v>-20000</v>
      </c>
      <c r="F4329" s="396">
        <v>0</v>
      </c>
      <c r="G4329" s="396">
        <f>+F4328</f>
        <v>20000</v>
      </c>
      <c r="H4329" t="str">
        <f>+H4328</f>
        <v>Marcio Almeida Dos Santos / Azul</v>
      </c>
      <c r="I4329" s="347" t="s">
        <v>1303</v>
      </c>
      <c r="K4329" s="370"/>
      <c r="N4329" s="370"/>
    </row>
    <row r="4330" spans="1:14" s="347" customFormat="1" x14ac:dyDescent="0.25">
      <c r="A4330" s="369"/>
      <c r="E4330" s="396"/>
      <c r="F4330" s="396"/>
      <c r="G4330" s="396"/>
      <c r="K4330" s="370"/>
      <c r="N4330" s="370"/>
    </row>
    <row r="4331" spans="1:14" s="347" customFormat="1" x14ac:dyDescent="0.25">
      <c r="A4331" s="369">
        <v>44413</v>
      </c>
      <c r="B4331" s="340">
        <f>+MONTH(A4331)</f>
        <v>8</v>
      </c>
      <c r="C4331" s="347">
        <v>110</v>
      </c>
      <c r="D4331" s="340" t="str">
        <f>VLOOKUP(C4331,Plan!A$1:B$65542,2,0)</f>
        <v>Disponible Administración</v>
      </c>
      <c r="E4331" s="341">
        <f>+F4331-G4331</f>
        <v>30000</v>
      </c>
      <c r="F4331" s="396">
        <v>30000</v>
      </c>
      <c r="G4331" s="396">
        <v>0</v>
      </c>
      <c r="H4331" s="370" t="s">
        <v>1384</v>
      </c>
      <c r="I4331" s="347" t="s">
        <v>1303</v>
      </c>
      <c r="K4331" s="370"/>
      <c r="N4331" s="370"/>
    </row>
    <row r="4332" spans="1:14" s="347" customFormat="1" x14ac:dyDescent="0.25">
      <c r="A4332" s="369">
        <f>+A4331</f>
        <v>44413</v>
      </c>
      <c r="B4332" s="347">
        <f>+B4331</f>
        <v>8</v>
      </c>
      <c r="C4332" s="347">
        <v>3110</v>
      </c>
      <c r="D4332" s="340" t="str">
        <f>VLOOKUP(C4332,Plan!A$1:B$65542,2,0)</f>
        <v>Colectas Normales</v>
      </c>
      <c r="E4332" s="341">
        <f>+F4332-G4332</f>
        <v>-30000</v>
      </c>
      <c r="F4332" s="396">
        <v>0</v>
      </c>
      <c r="G4332" s="396">
        <f>+F4331</f>
        <v>30000</v>
      </c>
      <c r="H4332" t="str">
        <f>+H4331</f>
        <v>Colecta Marcio Almeida Dos Santos</v>
      </c>
      <c r="I4332" s="347" t="s">
        <v>1303</v>
      </c>
      <c r="K4332" s="370"/>
      <c r="N4332" s="370"/>
    </row>
    <row r="4333" spans="1:14" s="347" customFormat="1" x14ac:dyDescent="0.25">
      <c r="A4333" s="369"/>
      <c r="E4333" s="396"/>
      <c r="F4333" s="396"/>
      <c r="G4333" s="396"/>
      <c r="K4333" s="370"/>
      <c r="N4333" s="370"/>
    </row>
    <row r="4334" spans="1:14" s="347" customFormat="1" x14ac:dyDescent="0.25">
      <c r="A4334" s="369">
        <v>44413</v>
      </c>
      <c r="B4334" s="340">
        <f>+MONTH(A4334)</f>
        <v>8</v>
      </c>
      <c r="C4334" s="347">
        <v>110</v>
      </c>
      <c r="D4334" s="340" t="str">
        <f>VLOOKUP(C4334,Plan!A$1:B$65542,2,0)</f>
        <v>Disponible Administración</v>
      </c>
      <c r="E4334" s="341">
        <f>+F4334-G4334</f>
        <v>50000</v>
      </c>
      <c r="F4334" s="396">
        <v>50000</v>
      </c>
      <c r="G4334" s="396">
        <v>0</v>
      </c>
      <c r="H4334" s="370" t="s">
        <v>1935</v>
      </c>
      <c r="I4334" s="347" t="s">
        <v>1303</v>
      </c>
      <c r="K4334" s="370"/>
      <c r="N4334" s="370"/>
    </row>
    <row r="4335" spans="1:14" s="347" customFormat="1" x14ac:dyDescent="0.25">
      <c r="A4335" s="369">
        <f>+A4334</f>
        <v>44413</v>
      </c>
      <c r="B4335" s="347">
        <f>+B4334</f>
        <v>8</v>
      </c>
      <c r="C4335" s="347">
        <v>3350</v>
      </c>
      <c r="D4335" s="340" t="str">
        <f>VLOOKUP(C4335,Plan!A$1:B$65542,2,0)</f>
        <v>Bautizos</v>
      </c>
      <c r="E4335" s="341">
        <f>+F4335-G4335</f>
        <v>-50000</v>
      </c>
      <c r="F4335" s="396">
        <v>0</v>
      </c>
      <c r="G4335" s="396">
        <f>+F4334</f>
        <v>50000</v>
      </c>
      <c r="H4335" t="str">
        <f>+H4334</f>
        <v>Bautizo Andres Kanacri</v>
      </c>
      <c r="I4335" s="347" t="s">
        <v>1303</v>
      </c>
      <c r="K4335" s="370"/>
      <c r="N4335" s="370"/>
    </row>
    <row r="4336" spans="1:14" s="347" customFormat="1" x14ac:dyDescent="0.25">
      <c r="A4336" s="369"/>
      <c r="E4336" s="396"/>
      <c r="F4336" s="396"/>
      <c r="G4336" s="396"/>
      <c r="K4336" s="370"/>
      <c r="N4336" s="370"/>
    </row>
    <row r="4337" spans="1:14" s="347" customFormat="1" x14ac:dyDescent="0.25">
      <c r="A4337" s="369">
        <v>44413</v>
      </c>
      <c r="B4337" s="340">
        <f>+MONTH(A4337)</f>
        <v>8</v>
      </c>
      <c r="C4337" s="347">
        <v>110</v>
      </c>
      <c r="D4337" s="340" t="str">
        <f>VLOOKUP(C4337,Plan!A$1:B$65542,2,0)</f>
        <v>Disponible Administración</v>
      </c>
      <c r="E4337" s="341">
        <f>+F4337-G4337</f>
        <v>10000</v>
      </c>
      <c r="F4337" s="396">
        <v>10000</v>
      </c>
      <c r="G4337" s="396">
        <v>0</v>
      </c>
      <c r="H4337" t="s">
        <v>1936</v>
      </c>
      <c r="I4337" s="347" t="s">
        <v>1303</v>
      </c>
      <c r="K4337" s="370"/>
      <c r="N4337" s="370"/>
    </row>
    <row r="4338" spans="1:14" s="347" customFormat="1" x14ac:dyDescent="0.25">
      <c r="A4338" s="369">
        <f>+A4337</f>
        <v>44413</v>
      </c>
      <c r="B4338" s="347">
        <f>+B4337</f>
        <v>8</v>
      </c>
      <c r="C4338" s="347">
        <v>3110</v>
      </c>
      <c r="D4338" s="340" t="str">
        <f>VLOOKUP(C4338,Plan!A$1:B$65542,2,0)</f>
        <v>Colectas Normales</v>
      </c>
      <c r="E4338" s="341">
        <f>+F4338-G4338</f>
        <v>-10000</v>
      </c>
      <c r="F4338" s="396">
        <v>0</v>
      </c>
      <c r="G4338" s="396">
        <f>+F4337</f>
        <v>10000</v>
      </c>
      <c r="H4338" t="s">
        <v>1936</v>
      </c>
      <c r="I4338" s="347" t="s">
        <v>1303</v>
      </c>
      <c r="K4338" s="370"/>
      <c r="N4338" s="370"/>
    </row>
    <row r="4339" spans="1:14" s="347" customFormat="1" x14ac:dyDescent="0.25">
      <c r="A4339" s="369"/>
      <c r="E4339" s="396"/>
      <c r="F4339" s="396"/>
      <c r="G4339" s="396"/>
      <c r="K4339" s="370"/>
      <c r="N4339" s="370"/>
    </row>
    <row r="4340" spans="1:14" s="347" customFormat="1" x14ac:dyDescent="0.25">
      <c r="A4340" s="369">
        <v>44413</v>
      </c>
      <c r="B4340" s="340">
        <f>+MONTH(A4340)</f>
        <v>8</v>
      </c>
      <c r="C4340" s="347">
        <v>110</v>
      </c>
      <c r="D4340" s="340" t="str">
        <f>VLOOKUP(C4340,Plan!A$1:B$65542,2,0)</f>
        <v>Disponible Administración</v>
      </c>
      <c r="E4340" s="341">
        <f>+F4340-G4340</f>
        <v>50000</v>
      </c>
      <c r="F4340" s="396">
        <v>50000</v>
      </c>
      <c r="G4340" s="396">
        <v>0</v>
      </c>
      <c r="H4340" t="s">
        <v>1937</v>
      </c>
      <c r="I4340" s="347" t="s">
        <v>1303</v>
      </c>
      <c r="K4340" s="370"/>
      <c r="N4340" s="370"/>
    </row>
    <row r="4341" spans="1:14" s="347" customFormat="1" x14ac:dyDescent="0.25">
      <c r="A4341" s="369">
        <f>+A4340</f>
        <v>44413</v>
      </c>
      <c r="B4341" s="347">
        <f>+B4340</f>
        <v>8</v>
      </c>
      <c r="C4341" s="347">
        <v>3450</v>
      </c>
      <c r="D4341" s="340" t="str">
        <f>VLOOKUP(C4341,Plan!A$1:B$65542,2,0)</f>
        <v>Pastoral Social</v>
      </c>
      <c r="E4341" s="341">
        <f>+F4341-G4341</f>
        <v>-50000</v>
      </c>
      <c r="F4341" s="396">
        <v>0</v>
      </c>
      <c r="G4341" s="396">
        <f>+F4340</f>
        <v>50000</v>
      </c>
      <c r="H4341" t="str">
        <f>+H4340</f>
        <v>Dia del Niño Juan Muzio Muzio</v>
      </c>
      <c r="I4341" s="347" t="s">
        <v>1303</v>
      </c>
      <c r="K4341" s="370"/>
      <c r="N4341" s="370"/>
    </row>
    <row r="4342" spans="1:14" s="347" customFormat="1" x14ac:dyDescent="0.25">
      <c r="A4342" s="369"/>
      <c r="E4342" s="396"/>
      <c r="F4342" s="396"/>
      <c r="G4342" s="396"/>
      <c r="K4342" s="370"/>
      <c r="N4342" s="370"/>
    </row>
    <row r="4343" spans="1:14" s="347" customFormat="1" x14ac:dyDescent="0.25">
      <c r="A4343" s="369">
        <v>44414</v>
      </c>
      <c r="B4343" s="340">
        <f>+MONTH(A4343)</f>
        <v>8</v>
      </c>
      <c r="C4343" s="347">
        <v>110</v>
      </c>
      <c r="D4343" s="340" t="str">
        <f>VLOOKUP(C4343,Plan!A$1:B$65542,2,0)</f>
        <v>Disponible Administración</v>
      </c>
      <c r="E4343" s="341">
        <f>+F4343-G4343</f>
        <v>40000</v>
      </c>
      <c r="F4343" s="396">
        <v>40000</v>
      </c>
      <c r="G4343" s="396">
        <v>0</v>
      </c>
      <c r="H4343" t="s">
        <v>912</v>
      </c>
      <c r="I4343" s="347" t="s">
        <v>1303</v>
      </c>
      <c r="K4343" s="370"/>
      <c r="N4343" s="370"/>
    </row>
    <row r="4344" spans="1:14" s="347" customFormat="1" x14ac:dyDescent="0.25">
      <c r="A4344" s="369">
        <f>+A4343</f>
        <v>44414</v>
      </c>
      <c r="B4344" s="347">
        <f>+B4343</f>
        <v>8</v>
      </c>
      <c r="C4344" s="347">
        <v>3110</v>
      </c>
      <c r="D4344" s="340" t="str">
        <f>VLOOKUP(C4344,Plan!A$1:B$65542,2,0)</f>
        <v>Colectas Normales</v>
      </c>
      <c r="E4344" s="341">
        <f>+F4344-G4344</f>
        <v>-40000</v>
      </c>
      <c r="F4344" s="396">
        <v>0</v>
      </c>
      <c r="G4344" s="396">
        <f>+F4343</f>
        <v>40000</v>
      </c>
      <c r="H4344" t="str">
        <f>+H4343</f>
        <v>Colecta Patricia Andrea Lorca Koch</v>
      </c>
      <c r="I4344" s="347" t="s">
        <v>1303</v>
      </c>
      <c r="K4344" s="370"/>
      <c r="N4344" s="370"/>
    </row>
    <row r="4345" spans="1:14" s="347" customFormat="1" x14ac:dyDescent="0.25">
      <c r="A4345" s="369"/>
      <c r="E4345" s="396"/>
      <c r="F4345" s="396"/>
      <c r="G4345" s="396"/>
      <c r="K4345" s="370"/>
      <c r="N4345" s="370"/>
    </row>
    <row r="4346" spans="1:14" s="347" customFormat="1" x14ac:dyDescent="0.25">
      <c r="A4346" s="369">
        <v>44414</v>
      </c>
      <c r="B4346" s="340">
        <f>+MONTH(A4346)</f>
        <v>8</v>
      </c>
      <c r="C4346" s="347">
        <v>110</v>
      </c>
      <c r="D4346" s="340" t="str">
        <f>VLOOKUP(C4346,Plan!A$1:B$65542,2,0)</f>
        <v>Disponible Administración</v>
      </c>
      <c r="E4346" s="341">
        <f>+F4346-G4346</f>
        <v>21000</v>
      </c>
      <c r="F4346" s="396">
        <v>21000</v>
      </c>
      <c r="G4346" s="396">
        <v>0</v>
      </c>
      <c r="H4346" t="s">
        <v>1938</v>
      </c>
      <c r="I4346" s="347" t="s">
        <v>1303</v>
      </c>
      <c r="K4346" s="370"/>
      <c r="N4346" s="370"/>
    </row>
    <row r="4347" spans="1:14" s="347" customFormat="1" x14ac:dyDescent="0.25">
      <c r="A4347" s="369">
        <f>+A4346</f>
        <v>44414</v>
      </c>
      <c r="B4347" s="347">
        <f>+B4346</f>
        <v>8</v>
      </c>
      <c r="C4347" s="347">
        <v>215</v>
      </c>
      <c r="D4347" s="340" t="str">
        <f>VLOOKUP(C4347,Plan!A$1:B$65542,2,0)</f>
        <v>Cuenta por Pagar a Cali</v>
      </c>
      <c r="E4347" s="341">
        <f>+F4347-G4347</f>
        <v>-21000</v>
      </c>
      <c r="F4347" s="396">
        <v>0</v>
      </c>
      <c r="G4347" s="396">
        <f>+F4346</f>
        <v>21000</v>
      </c>
      <c r="H4347" t="str">
        <f>+H4346</f>
        <v>María Cristina Herrera Peralta/248</v>
      </c>
      <c r="I4347" s="347" t="s">
        <v>1303</v>
      </c>
      <c r="K4347" s="370"/>
      <c r="N4347" s="370"/>
    </row>
    <row r="4348" spans="1:14" s="347" customFormat="1" x14ac:dyDescent="0.25">
      <c r="A4348" s="369"/>
      <c r="E4348" s="396"/>
      <c r="F4348" s="396"/>
      <c r="G4348" s="396"/>
      <c r="K4348" s="370"/>
      <c r="N4348" s="370"/>
    </row>
    <row r="4349" spans="1:14" s="347" customFormat="1" x14ac:dyDescent="0.25">
      <c r="A4349" s="369">
        <v>44414</v>
      </c>
      <c r="B4349" s="340">
        <f>+MONTH(A4349)</f>
        <v>8</v>
      </c>
      <c r="C4349" s="347">
        <v>110</v>
      </c>
      <c r="D4349" s="340" t="str">
        <f>VLOOKUP(C4349,Plan!A$1:B$65542,2,0)</f>
        <v>Disponible Administración</v>
      </c>
      <c r="E4349" s="341">
        <f>+F4349-G4349</f>
        <v>4902</v>
      </c>
      <c r="F4349" s="396">
        <v>4902</v>
      </c>
      <c r="G4349" s="396">
        <v>0</v>
      </c>
      <c r="H4349" t="s">
        <v>1338</v>
      </c>
      <c r="I4349" s="347" t="s">
        <v>1303</v>
      </c>
      <c r="K4349" s="370"/>
      <c r="N4349" s="370"/>
    </row>
    <row r="4350" spans="1:14" s="347" customFormat="1" x14ac:dyDescent="0.25">
      <c r="A4350" s="369">
        <f>+A4349</f>
        <v>44414</v>
      </c>
      <c r="B4350" s="347">
        <f>+B4349</f>
        <v>8</v>
      </c>
      <c r="C4350" s="347">
        <v>3340</v>
      </c>
      <c r="D4350" s="340" t="str">
        <f>VLOOKUP(C4350,Plan!A$1:B$65542,2,0)</f>
        <v>Misas</v>
      </c>
      <c r="E4350" s="341">
        <f>+F4350-G4350</f>
        <v>-4902</v>
      </c>
      <c r="F4350" s="396">
        <v>0</v>
      </c>
      <c r="G4350" s="396">
        <f>+F4349</f>
        <v>4902</v>
      </c>
      <c r="H4350" t="str">
        <f>+H4349</f>
        <v>Misa DCT</v>
      </c>
      <c r="I4350" s="347" t="s">
        <v>1303</v>
      </c>
      <c r="K4350" s="370"/>
      <c r="N4350" s="370"/>
    </row>
    <row r="4351" spans="1:14" s="347" customFormat="1" x14ac:dyDescent="0.25">
      <c r="A4351" s="369"/>
      <c r="E4351" s="396"/>
      <c r="F4351" s="396"/>
      <c r="G4351" s="396"/>
      <c r="K4351" s="370"/>
      <c r="N4351" s="370"/>
    </row>
    <row r="4352" spans="1:14" s="347" customFormat="1" x14ac:dyDescent="0.25">
      <c r="A4352" s="369">
        <v>44414</v>
      </c>
      <c r="B4352" s="340">
        <f>+MONTH(A4352)</f>
        <v>8</v>
      </c>
      <c r="C4352" s="347">
        <v>4860</v>
      </c>
      <c r="D4352" s="340" t="str">
        <f>VLOOKUP(C4352,Plan!A$1:B$65542,2,0)</f>
        <v>Otros</v>
      </c>
      <c r="E4352" s="341">
        <f>+F4352-G4352</f>
        <v>1062</v>
      </c>
      <c r="F4352" s="396">
        <v>1062</v>
      </c>
      <c r="G4352" s="396">
        <v>0</v>
      </c>
      <c r="H4352" t="s">
        <v>1005</v>
      </c>
      <c r="I4352" s="347" t="s">
        <v>1303</v>
      </c>
      <c r="K4352" s="370"/>
      <c r="N4352" s="370"/>
    </row>
    <row r="4353" spans="1:14" s="347" customFormat="1" x14ac:dyDescent="0.25">
      <c r="A4353" s="369">
        <f>+A4352</f>
        <v>44414</v>
      </c>
      <c r="B4353" s="347">
        <f>+B4352</f>
        <v>8</v>
      </c>
      <c r="C4353" s="347">
        <v>110</v>
      </c>
      <c r="D4353" s="340" t="str">
        <f>VLOOKUP(C4353,Plan!A$1:B$65542,2,0)</f>
        <v>Disponible Administración</v>
      </c>
      <c r="E4353" s="341">
        <f>+F4353-G4353</f>
        <v>-1062</v>
      </c>
      <c r="F4353" s="396">
        <v>0</v>
      </c>
      <c r="G4353" s="396">
        <f>+F4352</f>
        <v>1062</v>
      </c>
      <c r="H4353" t="str">
        <f>+H4352</f>
        <v>Com.Bco.Chile</v>
      </c>
      <c r="I4353" s="347" t="s">
        <v>1303</v>
      </c>
      <c r="K4353" s="370"/>
      <c r="N4353" s="370"/>
    </row>
    <row r="4354" spans="1:14" s="347" customFormat="1" x14ac:dyDescent="0.25">
      <c r="A4354" s="369"/>
      <c r="E4354" s="396"/>
      <c r="F4354" s="396"/>
      <c r="G4354" s="396"/>
      <c r="K4354" s="370"/>
      <c r="N4354" s="370"/>
    </row>
    <row r="4355" spans="1:14" s="347" customFormat="1" x14ac:dyDescent="0.25">
      <c r="A4355" s="369">
        <v>44414</v>
      </c>
      <c r="B4355" s="340">
        <f>+MONTH(A4355)</f>
        <v>8</v>
      </c>
      <c r="C4355" s="347">
        <v>4860</v>
      </c>
      <c r="D4355" s="340" t="str">
        <f>VLOOKUP(C4355,Plan!A$1:B$65542,2,0)</f>
        <v>Otros</v>
      </c>
      <c r="E4355" s="341">
        <f>+F4355-G4355</f>
        <v>3895</v>
      </c>
      <c r="F4355" s="396">
        <v>3895</v>
      </c>
      <c r="G4355" s="396">
        <v>0</v>
      </c>
      <c r="H4355" t="s">
        <v>1005</v>
      </c>
      <c r="I4355" s="347" t="s">
        <v>1303</v>
      </c>
      <c r="K4355" s="370"/>
      <c r="N4355" s="370"/>
    </row>
    <row r="4356" spans="1:14" s="347" customFormat="1" x14ac:dyDescent="0.25">
      <c r="A4356" s="369">
        <f>+A4355</f>
        <v>44414</v>
      </c>
      <c r="B4356" s="347">
        <f>+B4355</f>
        <v>8</v>
      </c>
      <c r="C4356" s="347">
        <v>110</v>
      </c>
      <c r="D4356" s="340" t="str">
        <f>VLOOKUP(C4356,Plan!A$1:B$65542,2,0)</f>
        <v>Disponible Administración</v>
      </c>
      <c r="E4356" s="341">
        <f>+F4356-G4356</f>
        <v>-3895</v>
      </c>
      <c r="F4356" s="396">
        <v>0</v>
      </c>
      <c r="G4356" s="396">
        <f>+F4355</f>
        <v>3895</v>
      </c>
      <c r="H4356" t="str">
        <f>+H4355</f>
        <v>Com.Bco.Chile</v>
      </c>
      <c r="I4356" s="347" t="s">
        <v>1303</v>
      </c>
      <c r="K4356" s="370"/>
      <c r="N4356" s="370"/>
    </row>
    <row r="4357" spans="1:14" s="347" customFormat="1" x14ac:dyDescent="0.25">
      <c r="A4357" s="369"/>
      <c r="E4357" s="396"/>
      <c r="F4357" s="396"/>
      <c r="G4357" s="396"/>
      <c r="K4357" s="370"/>
      <c r="N4357" s="370"/>
    </row>
    <row r="4358" spans="1:14" s="347" customFormat="1" x14ac:dyDescent="0.25">
      <c r="A4358" s="369">
        <v>44417</v>
      </c>
      <c r="B4358" s="340">
        <f>+MONTH(A4358)</f>
        <v>8</v>
      </c>
      <c r="C4358" s="347">
        <v>110</v>
      </c>
      <c r="D4358" s="340" t="str">
        <f>VLOOKUP(C4358,Plan!A$1:B$65542,2,0)</f>
        <v>Disponible Administración</v>
      </c>
      <c r="E4358" s="341">
        <f>+F4358-G4358</f>
        <v>20000</v>
      </c>
      <c r="F4358" s="396">
        <v>20000</v>
      </c>
      <c r="G4358" s="396">
        <v>0</v>
      </c>
      <c r="H4358" t="s">
        <v>1939</v>
      </c>
      <c r="I4358" s="347" t="s">
        <v>1303</v>
      </c>
      <c r="K4358" s="370"/>
      <c r="N4358" s="370"/>
    </row>
    <row r="4359" spans="1:14" s="347" customFormat="1" x14ac:dyDescent="0.25">
      <c r="A4359" s="369">
        <f>+A4358</f>
        <v>44417</v>
      </c>
      <c r="B4359" s="347">
        <f>+B4358</f>
        <v>8</v>
      </c>
      <c r="C4359" s="347">
        <v>3450</v>
      </c>
      <c r="D4359" s="340" t="str">
        <f>VLOOKUP(C4359,Plan!A$1:B$65542,2,0)</f>
        <v>Pastoral Social</v>
      </c>
      <c r="E4359" s="341">
        <f>+F4359-G4359</f>
        <v>-20000</v>
      </c>
      <c r="F4359" s="396">
        <v>0</v>
      </c>
      <c r="G4359" s="396">
        <f>+F4358</f>
        <v>20000</v>
      </c>
      <c r="H4359" t="str">
        <f>+H4358</f>
        <v>Dia del Niño Maria Teresa Lily Santelices Puelma</v>
      </c>
      <c r="I4359" s="347" t="s">
        <v>1303</v>
      </c>
      <c r="K4359" s="370"/>
      <c r="N4359" s="370"/>
    </row>
    <row r="4360" spans="1:14" s="347" customFormat="1" x14ac:dyDescent="0.25">
      <c r="A4360" s="369"/>
      <c r="E4360" s="396"/>
      <c r="F4360" s="396"/>
      <c r="G4360" s="396"/>
      <c r="K4360" s="370"/>
      <c r="N4360" s="370"/>
    </row>
    <row r="4361" spans="1:14" s="347" customFormat="1" x14ac:dyDescent="0.25">
      <c r="A4361" s="369">
        <v>44417</v>
      </c>
      <c r="B4361" s="340">
        <f>+MONTH(A4361)</f>
        <v>8</v>
      </c>
      <c r="C4361" s="347">
        <v>110</v>
      </c>
      <c r="D4361" s="340" t="str">
        <f>VLOOKUP(C4361,Plan!A$1:B$65542,2,0)</f>
        <v>Disponible Administración</v>
      </c>
      <c r="E4361" s="341">
        <f>+F4361-G4361</f>
        <v>5000</v>
      </c>
      <c r="F4361" s="396">
        <v>5000</v>
      </c>
      <c r="G4361" s="396">
        <v>0</v>
      </c>
      <c r="H4361" t="s">
        <v>1818</v>
      </c>
      <c r="I4361" s="347" t="s">
        <v>1303</v>
      </c>
      <c r="K4361" s="370"/>
      <c r="N4361" s="370"/>
    </row>
    <row r="4362" spans="1:14" s="347" customFormat="1" x14ac:dyDescent="0.25">
      <c r="A4362" s="369">
        <f>+A4361</f>
        <v>44417</v>
      </c>
      <c r="B4362" s="347">
        <f>+B4361</f>
        <v>8</v>
      </c>
      <c r="C4362" s="347">
        <v>3340</v>
      </c>
      <c r="D4362" s="340" t="str">
        <f>VLOOKUP(C4362,Plan!A$1:B$65542,2,0)</f>
        <v>Misas</v>
      </c>
      <c r="E4362" s="341">
        <f>+F4362-G4362</f>
        <v>-5000</v>
      </c>
      <c r="F4362" s="396">
        <v>0</v>
      </c>
      <c r="G4362" s="396">
        <f>+F4361</f>
        <v>5000</v>
      </c>
      <c r="H4362" t="str">
        <f>+H4361</f>
        <v>Misa Katherine Nicolau</v>
      </c>
      <c r="I4362" s="347" t="s">
        <v>1303</v>
      </c>
      <c r="K4362" s="370"/>
      <c r="N4362" s="370"/>
    </row>
    <row r="4363" spans="1:14" s="347" customFormat="1" x14ac:dyDescent="0.25">
      <c r="A4363" s="369"/>
      <c r="E4363" s="396"/>
      <c r="F4363" s="396"/>
      <c r="G4363" s="396"/>
      <c r="K4363" s="370"/>
      <c r="N4363" s="370"/>
    </row>
    <row r="4364" spans="1:14" s="347" customFormat="1" x14ac:dyDescent="0.25">
      <c r="A4364" s="369">
        <v>44417</v>
      </c>
      <c r="B4364" s="340">
        <f>+MONTH(A4364)</f>
        <v>8</v>
      </c>
      <c r="C4364" s="347">
        <v>110</v>
      </c>
      <c r="D4364" s="340" t="str">
        <f>VLOOKUP(C4364,Plan!A$1:B$65542,2,0)</f>
        <v>Disponible Administración</v>
      </c>
      <c r="E4364" s="341">
        <f>+F4364-G4364</f>
        <v>5000</v>
      </c>
      <c r="F4364" s="396">
        <v>5000</v>
      </c>
      <c r="G4364" s="396">
        <v>0</v>
      </c>
      <c r="H4364" t="s">
        <v>1151</v>
      </c>
      <c r="I4364" s="347" t="s">
        <v>1303</v>
      </c>
      <c r="K4364" s="370"/>
      <c r="N4364" s="370"/>
    </row>
    <row r="4365" spans="1:14" s="347" customFormat="1" x14ac:dyDescent="0.25">
      <c r="A4365" s="369">
        <f>+A4364</f>
        <v>44417</v>
      </c>
      <c r="B4365" s="347">
        <f>+B4364</f>
        <v>8</v>
      </c>
      <c r="C4365" s="347">
        <v>3110</v>
      </c>
      <c r="D4365" s="340" t="str">
        <f>VLOOKUP(C4365,Plan!A$1:B$65542,2,0)</f>
        <v>Colectas Normales</v>
      </c>
      <c r="E4365" s="341">
        <f>+F4365-G4365</f>
        <v>-5000</v>
      </c>
      <c r="F4365" s="396">
        <v>0</v>
      </c>
      <c r="G4365" s="396">
        <f>+F4364</f>
        <v>5000</v>
      </c>
      <c r="H4365" t="str">
        <f>+H4364</f>
        <v>Colecta Eduardo Boys M</v>
      </c>
      <c r="I4365" s="347" t="s">
        <v>1303</v>
      </c>
      <c r="K4365" s="370"/>
      <c r="N4365" s="370"/>
    </row>
    <row r="4366" spans="1:14" s="347" customFormat="1" x14ac:dyDescent="0.25">
      <c r="A4366" s="369"/>
      <c r="E4366" s="396"/>
      <c r="F4366" s="396"/>
      <c r="G4366" s="396"/>
      <c r="K4366" s="370"/>
      <c r="N4366" s="370"/>
    </row>
    <row r="4367" spans="1:14" s="347" customFormat="1" x14ac:dyDescent="0.25">
      <c r="A4367" s="369">
        <v>44417</v>
      </c>
      <c r="B4367" s="340">
        <f>+MONTH(A4367)</f>
        <v>8</v>
      </c>
      <c r="C4367" s="347">
        <v>110</v>
      </c>
      <c r="D4367" s="340" t="str">
        <f>VLOOKUP(C4367,Plan!A$1:B$65542,2,0)</f>
        <v>Disponible Administración</v>
      </c>
      <c r="E4367" s="341">
        <f>+F4367-G4367</f>
        <v>500000</v>
      </c>
      <c r="F4367" s="396">
        <v>500000</v>
      </c>
      <c r="G4367" s="396">
        <v>0</v>
      </c>
      <c r="H4367" t="s">
        <v>1940</v>
      </c>
      <c r="I4367" s="347" t="s">
        <v>1303</v>
      </c>
      <c r="K4367" s="370"/>
      <c r="N4367" s="370"/>
    </row>
    <row r="4368" spans="1:14" s="347" customFormat="1" x14ac:dyDescent="0.25">
      <c r="A4368" s="369">
        <f>+A4367</f>
        <v>44417</v>
      </c>
      <c r="B4368" s="347">
        <f>+B4367</f>
        <v>8</v>
      </c>
      <c r="C4368" s="347">
        <v>215</v>
      </c>
      <c r="D4368" s="340" t="str">
        <f>VLOOKUP(C4368,Plan!A$1:B$65542,2,0)</f>
        <v>Cuenta por Pagar a Cali</v>
      </c>
      <c r="E4368" s="341">
        <f>+F4368-G4368</f>
        <v>-500000</v>
      </c>
      <c r="F4368" s="396">
        <v>0</v>
      </c>
      <c r="G4368" s="396">
        <f>+F4367</f>
        <v>500000</v>
      </c>
      <c r="H4368" t="str">
        <f>+H4367</f>
        <v>Eduardo Andrés León Rojas / Azul</v>
      </c>
      <c r="I4368" s="347" t="s">
        <v>1303</v>
      </c>
      <c r="K4368" s="370"/>
      <c r="N4368" s="370"/>
    </row>
    <row r="4369" spans="1:14" s="347" customFormat="1" x14ac:dyDescent="0.25">
      <c r="A4369" s="369"/>
      <c r="E4369" s="396"/>
      <c r="F4369" s="396"/>
      <c r="G4369" s="396"/>
      <c r="K4369" s="370"/>
      <c r="N4369" s="370"/>
    </row>
    <row r="4370" spans="1:14" s="347" customFormat="1" x14ac:dyDescent="0.25">
      <c r="A4370" s="369">
        <v>44417</v>
      </c>
      <c r="B4370" s="340">
        <f>+MONTH(A4370)</f>
        <v>8</v>
      </c>
      <c r="C4370" s="347">
        <v>110</v>
      </c>
      <c r="D4370" s="340" t="str">
        <f>VLOOKUP(C4370,Plan!A$1:B$65542,2,0)</f>
        <v>Disponible Administración</v>
      </c>
      <c r="E4370" s="341">
        <f>+F4370-G4370</f>
        <v>10000</v>
      </c>
      <c r="F4370" s="396">
        <v>10000</v>
      </c>
      <c r="G4370" s="396">
        <v>0</v>
      </c>
      <c r="H4370" t="s">
        <v>900</v>
      </c>
      <c r="I4370" s="347" t="s">
        <v>1303</v>
      </c>
      <c r="K4370" s="370"/>
      <c r="N4370" s="370"/>
    </row>
    <row r="4371" spans="1:14" s="347" customFormat="1" x14ac:dyDescent="0.25">
      <c r="A4371" s="369">
        <f>+A4370</f>
        <v>44417</v>
      </c>
      <c r="B4371" s="347">
        <f>+B4370</f>
        <v>8</v>
      </c>
      <c r="C4371" s="347">
        <v>3110</v>
      </c>
      <c r="D4371" s="340" t="str">
        <f>VLOOKUP(C4371,Plan!A$1:B$65542,2,0)</f>
        <v>Colectas Normales</v>
      </c>
      <c r="E4371" s="341">
        <f>+F4371-G4371</f>
        <v>-10000</v>
      </c>
      <c r="F4371" s="396">
        <v>0</v>
      </c>
      <c r="G4371" s="396">
        <f>+F4370</f>
        <v>10000</v>
      </c>
      <c r="H4371" t="str">
        <f>+H4370</f>
        <v>Colecta Paula Fernandez</v>
      </c>
      <c r="I4371" s="347" t="s">
        <v>1303</v>
      </c>
      <c r="K4371" s="370"/>
      <c r="N4371" s="370"/>
    </row>
    <row r="4372" spans="1:14" s="347" customFormat="1" x14ac:dyDescent="0.25">
      <c r="A4372" s="369"/>
      <c r="E4372" s="396"/>
      <c r="F4372" s="396"/>
      <c r="G4372" s="396"/>
      <c r="K4372" s="370"/>
      <c r="N4372" s="370"/>
    </row>
    <row r="4373" spans="1:14" s="347" customFormat="1" x14ac:dyDescent="0.25">
      <c r="A4373" s="369">
        <v>44417</v>
      </c>
      <c r="B4373" s="340">
        <f>+MONTH(A4373)</f>
        <v>8</v>
      </c>
      <c r="C4373" s="347">
        <v>110</v>
      </c>
      <c r="D4373" s="340" t="str">
        <f>VLOOKUP(C4373,Plan!A$1:B$65542,2,0)</f>
        <v>Disponible Administración</v>
      </c>
      <c r="E4373" s="341">
        <f>+F4373-G4373</f>
        <v>3000</v>
      </c>
      <c r="F4373" s="396">
        <v>3000</v>
      </c>
      <c r="G4373" s="396">
        <v>0</v>
      </c>
      <c r="H4373" t="s">
        <v>915</v>
      </c>
      <c r="I4373" s="347" t="s">
        <v>1303</v>
      </c>
      <c r="K4373" s="370"/>
      <c r="N4373" s="370"/>
    </row>
    <row r="4374" spans="1:14" s="347" customFormat="1" x14ac:dyDescent="0.25">
      <c r="A4374" s="369">
        <f>+A4373</f>
        <v>44417</v>
      </c>
      <c r="B4374" s="347">
        <f>+B4373</f>
        <v>8</v>
      </c>
      <c r="C4374" s="347">
        <v>3110</v>
      </c>
      <c r="D4374" s="340" t="str">
        <f>VLOOKUP(C4374,Plan!A$1:B$65542,2,0)</f>
        <v>Colectas Normales</v>
      </c>
      <c r="E4374" s="341">
        <f>+F4374-G4374</f>
        <v>-3000</v>
      </c>
      <c r="F4374" s="396">
        <v>0</v>
      </c>
      <c r="G4374" s="396">
        <f>+F4373</f>
        <v>3000</v>
      </c>
      <c r="H4374" t="str">
        <f>+H4373</f>
        <v>Colecta Jose Perez de Castro</v>
      </c>
      <c r="I4374" s="347" t="s">
        <v>1303</v>
      </c>
      <c r="K4374" s="370"/>
      <c r="N4374" s="370"/>
    </row>
    <row r="4375" spans="1:14" s="347" customFormat="1" x14ac:dyDescent="0.25">
      <c r="A4375" s="369"/>
      <c r="E4375" s="396"/>
      <c r="F4375" s="396"/>
      <c r="G4375" s="396"/>
      <c r="K4375" s="370"/>
      <c r="N4375" s="370"/>
    </row>
    <row r="4376" spans="1:14" s="347" customFormat="1" x14ac:dyDescent="0.25">
      <c r="A4376" s="369">
        <v>44417</v>
      </c>
      <c r="B4376" s="340">
        <f>+MONTH(A4376)</f>
        <v>8</v>
      </c>
      <c r="C4376" s="347">
        <v>110</v>
      </c>
      <c r="D4376" s="340" t="str">
        <f>VLOOKUP(C4376,Plan!A$1:B$65542,2,0)</f>
        <v>Disponible Administración</v>
      </c>
      <c r="E4376" s="341">
        <f>+F4376-G4376</f>
        <v>10000</v>
      </c>
      <c r="F4376" s="396">
        <v>10000</v>
      </c>
      <c r="G4376" s="396">
        <v>0</v>
      </c>
      <c r="H4376" t="s">
        <v>1205</v>
      </c>
      <c r="I4376" s="347" t="s">
        <v>1303</v>
      </c>
      <c r="K4376" s="370"/>
      <c r="N4376" s="370"/>
    </row>
    <row r="4377" spans="1:14" s="347" customFormat="1" x14ac:dyDescent="0.25">
      <c r="A4377" s="369">
        <f>+A4376</f>
        <v>44417</v>
      </c>
      <c r="B4377" s="347">
        <f>+B4376</f>
        <v>8</v>
      </c>
      <c r="C4377" s="347">
        <v>3110</v>
      </c>
      <c r="D4377" s="340" t="str">
        <f>VLOOKUP(C4377,Plan!A$1:B$65542,2,0)</f>
        <v>Colectas Normales</v>
      </c>
      <c r="E4377" s="341">
        <f>+F4377-G4377</f>
        <v>-10000</v>
      </c>
      <c r="F4377" s="396">
        <v>0</v>
      </c>
      <c r="G4377" s="396">
        <f>+F4376</f>
        <v>10000</v>
      </c>
      <c r="H4377" t="str">
        <f>+H4376</f>
        <v>Colecta Gonzalo Nieto Valdes</v>
      </c>
      <c r="I4377" s="347" t="s">
        <v>1303</v>
      </c>
      <c r="K4377" s="370"/>
      <c r="N4377" s="370"/>
    </row>
    <row r="4378" spans="1:14" s="347" customFormat="1" x14ac:dyDescent="0.25">
      <c r="A4378" s="369"/>
      <c r="E4378" s="396"/>
      <c r="F4378" s="396"/>
      <c r="G4378" s="396"/>
      <c r="K4378" s="370"/>
      <c r="N4378" s="370"/>
    </row>
    <row r="4379" spans="1:14" s="347" customFormat="1" x14ac:dyDescent="0.25">
      <c r="A4379" s="369">
        <v>44417</v>
      </c>
      <c r="B4379" s="340">
        <f>+MONTH(A4379)</f>
        <v>8</v>
      </c>
      <c r="C4379" s="347">
        <v>110</v>
      </c>
      <c r="D4379" s="340" t="str">
        <f>VLOOKUP(C4379,Plan!A$1:B$65542,2,0)</f>
        <v>Disponible Administración</v>
      </c>
      <c r="E4379" s="341">
        <f>+F4379-G4379</f>
        <v>10000</v>
      </c>
      <c r="F4379" s="396">
        <v>10000</v>
      </c>
      <c r="G4379" s="396">
        <v>0</v>
      </c>
      <c r="H4379" t="s">
        <v>881</v>
      </c>
      <c r="I4379" s="347" t="s">
        <v>1303</v>
      </c>
      <c r="K4379" s="370"/>
      <c r="N4379" s="370"/>
    </row>
    <row r="4380" spans="1:14" s="347" customFormat="1" x14ac:dyDescent="0.25">
      <c r="A4380" s="369">
        <f>+A4379</f>
        <v>44417</v>
      </c>
      <c r="B4380" s="347">
        <f>+B4379</f>
        <v>8</v>
      </c>
      <c r="C4380" s="347">
        <v>3110</v>
      </c>
      <c r="D4380" s="340" t="str">
        <f>VLOOKUP(C4380,Plan!A$1:B$65542,2,0)</f>
        <v>Colectas Normales</v>
      </c>
      <c r="E4380" s="341">
        <f>+F4380-G4380</f>
        <v>-10000</v>
      </c>
      <c r="F4380" s="396">
        <v>0</v>
      </c>
      <c r="G4380" s="396">
        <f>+F4379</f>
        <v>10000</v>
      </c>
      <c r="H4380" t="str">
        <f>+H4379</f>
        <v>Colecta Rafael Marin Jordan</v>
      </c>
      <c r="I4380" s="347" t="s">
        <v>1303</v>
      </c>
      <c r="K4380" s="370"/>
      <c r="N4380" s="370"/>
    </row>
    <row r="4381" spans="1:14" s="347" customFormat="1" x14ac:dyDescent="0.25">
      <c r="A4381" s="369"/>
      <c r="E4381" s="396"/>
      <c r="F4381" s="396"/>
      <c r="G4381" s="396"/>
      <c r="K4381" s="370"/>
      <c r="N4381" s="370"/>
    </row>
    <row r="4382" spans="1:14" s="347" customFormat="1" x14ac:dyDescent="0.25">
      <c r="A4382" s="369">
        <v>44417</v>
      </c>
      <c r="B4382" s="340">
        <f>+MONTH(A4382)</f>
        <v>8</v>
      </c>
      <c r="C4382" s="347">
        <v>110</v>
      </c>
      <c r="D4382" s="340" t="str">
        <f>VLOOKUP(C4382,Plan!A$1:B$65542,2,0)</f>
        <v>Disponible Administración</v>
      </c>
      <c r="E4382" s="341">
        <f>+F4382-G4382</f>
        <v>8000</v>
      </c>
      <c r="F4382" s="396">
        <v>8000</v>
      </c>
      <c r="G4382" s="396">
        <v>0</v>
      </c>
      <c r="H4382" t="s">
        <v>971</v>
      </c>
      <c r="I4382" s="347" t="s">
        <v>1303</v>
      </c>
      <c r="K4382" s="370"/>
      <c r="N4382" s="370"/>
    </row>
    <row r="4383" spans="1:14" s="347" customFormat="1" x14ac:dyDescent="0.25">
      <c r="A4383" s="369">
        <f>+A4382</f>
        <v>44417</v>
      </c>
      <c r="B4383" s="347">
        <f>+B4382</f>
        <v>8</v>
      </c>
      <c r="C4383" s="347">
        <v>3110</v>
      </c>
      <c r="D4383" s="340" t="str">
        <f>VLOOKUP(C4383,Plan!A$1:B$65542,2,0)</f>
        <v>Colectas Normales</v>
      </c>
      <c r="E4383" s="341">
        <f>+F4383-G4383</f>
        <v>-8000</v>
      </c>
      <c r="F4383" s="396">
        <v>0</v>
      </c>
      <c r="G4383" s="396">
        <f>+F4382</f>
        <v>8000</v>
      </c>
      <c r="H4383" t="str">
        <f>+H4382</f>
        <v>Colecta Pablo Irarrazaval Mena</v>
      </c>
      <c r="I4383" s="347" t="s">
        <v>1303</v>
      </c>
      <c r="K4383" s="370"/>
      <c r="N4383" s="370"/>
    </row>
    <row r="4384" spans="1:14" s="347" customFormat="1" x14ac:dyDescent="0.25">
      <c r="A4384" s="369"/>
      <c r="E4384" s="396"/>
      <c r="F4384" s="396"/>
      <c r="G4384" s="396"/>
      <c r="K4384" s="370"/>
      <c r="N4384" s="370"/>
    </row>
    <row r="4385" spans="1:14" s="347" customFormat="1" x14ac:dyDescent="0.25">
      <c r="A4385" s="369">
        <v>44417</v>
      </c>
      <c r="B4385" s="340">
        <f>+MONTH(A4385)</f>
        <v>8</v>
      </c>
      <c r="C4385" s="347">
        <v>110</v>
      </c>
      <c r="D4385" s="340" t="str">
        <f>VLOOKUP(C4385,Plan!A$1:B$65542,2,0)</f>
        <v>Disponible Administración</v>
      </c>
      <c r="E4385" s="341">
        <f>+F4385-G4385</f>
        <v>5000</v>
      </c>
      <c r="F4385" s="396">
        <v>5000</v>
      </c>
      <c r="G4385" s="396">
        <v>0</v>
      </c>
      <c r="H4385" t="s">
        <v>899</v>
      </c>
      <c r="I4385" s="347" t="s">
        <v>1303</v>
      </c>
      <c r="K4385" s="370"/>
      <c r="N4385" s="370"/>
    </row>
    <row r="4386" spans="1:14" s="347" customFormat="1" x14ac:dyDescent="0.25">
      <c r="A4386" s="369">
        <f>+A4385</f>
        <v>44417</v>
      </c>
      <c r="B4386" s="347">
        <f>+B4385</f>
        <v>8</v>
      </c>
      <c r="C4386" s="347">
        <v>3110</v>
      </c>
      <c r="D4386" s="340" t="str">
        <f>VLOOKUP(C4386,Plan!A$1:B$65542,2,0)</f>
        <v>Colectas Normales</v>
      </c>
      <c r="E4386" s="341">
        <f>+F4386-G4386</f>
        <v>-5000</v>
      </c>
      <c r="F4386" s="396">
        <v>0</v>
      </c>
      <c r="G4386" s="396">
        <f>+F4385</f>
        <v>5000</v>
      </c>
      <c r="H4386" t="str">
        <f>+H4385</f>
        <v>Colecta Carlos Anwandter</v>
      </c>
      <c r="I4386" s="347" t="s">
        <v>1303</v>
      </c>
      <c r="K4386" s="370"/>
      <c r="N4386" s="370"/>
    </row>
    <row r="4387" spans="1:14" s="347" customFormat="1" x14ac:dyDescent="0.25">
      <c r="A4387" s="369"/>
      <c r="E4387" s="396"/>
      <c r="F4387" s="396"/>
      <c r="G4387" s="396"/>
      <c r="K4387" s="370"/>
      <c r="N4387" s="370"/>
    </row>
    <row r="4388" spans="1:14" s="347" customFormat="1" x14ac:dyDescent="0.25">
      <c r="A4388" s="369">
        <v>44417</v>
      </c>
      <c r="B4388" s="340">
        <f>+MONTH(A4388)</f>
        <v>8</v>
      </c>
      <c r="C4388" s="347">
        <v>110</v>
      </c>
      <c r="D4388" s="340" t="str">
        <f>VLOOKUP(C4388,Plan!A$1:B$65542,2,0)</f>
        <v>Disponible Administración</v>
      </c>
      <c r="E4388" s="341">
        <f>+F4388-G4388</f>
        <v>10000</v>
      </c>
      <c r="F4388" s="396">
        <v>10000</v>
      </c>
      <c r="G4388" s="396">
        <v>0</v>
      </c>
      <c r="H4388" t="s">
        <v>1908</v>
      </c>
      <c r="I4388" s="347" t="s">
        <v>1303</v>
      </c>
      <c r="K4388" s="370"/>
      <c r="N4388" s="370"/>
    </row>
    <row r="4389" spans="1:14" s="347" customFormat="1" x14ac:dyDescent="0.25">
      <c r="A4389" s="369">
        <f>+A4388</f>
        <v>44417</v>
      </c>
      <c r="B4389" s="347">
        <f>+B4388</f>
        <v>8</v>
      </c>
      <c r="C4389" s="347">
        <v>3110</v>
      </c>
      <c r="D4389" s="340" t="str">
        <f>VLOOKUP(C4389,Plan!A$1:B$65542,2,0)</f>
        <v>Colectas Normales</v>
      </c>
      <c r="E4389" s="341">
        <f>+F4389-G4389</f>
        <v>-10000</v>
      </c>
      <c r="F4389" s="396">
        <v>0</v>
      </c>
      <c r="G4389" s="396">
        <f>+F4388</f>
        <v>10000</v>
      </c>
      <c r="H4389" t="str">
        <f>+H4388</f>
        <v>Colecta Andres Delpiano Barros</v>
      </c>
      <c r="I4389" s="347" t="s">
        <v>1303</v>
      </c>
      <c r="K4389" s="370"/>
      <c r="N4389" s="370"/>
    </row>
    <row r="4390" spans="1:14" s="347" customFormat="1" x14ac:dyDescent="0.25">
      <c r="A4390" s="369"/>
      <c r="E4390" s="396"/>
      <c r="F4390" s="396"/>
      <c r="G4390" s="396"/>
      <c r="K4390" s="370"/>
      <c r="N4390" s="370"/>
    </row>
    <row r="4391" spans="1:14" s="347" customFormat="1" x14ac:dyDescent="0.25">
      <c r="A4391" s="369">
        <v>44417</v>
      </c>
      <c r="B4391" s="340">
        <f>+MONTH(A4391)</f>
        <v>8</v>
      </c>
      <c r="C4391" s="347">
        <v>110</v>
      </c>
      <c r="D4391" s="340" t="str">
        <f>VLOOKUP(C4391,Plan!A$1:B$65542,2,0)</f>
        <v>Disponible Administración</v>
      </c>
      <c r="E4391" s="341">
        <f>+F4391-G4391</f>
        <v>15000</v>
      </c>
      <c r="F4391" s="396">
        <v>15000</v>
      </c>
      <c r="G4391" s="396">
        <v>0</v>
      </c>
      <c r="H4391" t="s">
        <v>1941</v>
      </c>
      <c r="I4391" s="347" t="s">
        <v>1303</v>
      </c>
      <c r="K4391" s="370"/>
      <c r="N4391" s="370"/>
    </row>
    <row r="4392" spans="1:14" s="347" customFormat="1" x14ac:dyDescent="0.25">
      <c r="A4392" s="369">
        <f>+A4391</f>
        <v>44417</v>
      </c>
      <c r="B4392" s="347">
        <f>+B4391</f>
        <v>8</v>
      </c>
      <c r="C4392" s="347">
        <v>3360</v>
      </c>
      <c r="D4392" s="340" t="str">
        <f>VLOOKUP(C4392,Plan!A$1:B$65542,2,0)</f>
        <v>Otros</v>
      </c>
      <c r="E4392" s="341">
        <f>+F4392-G4392</f>
        <v>-15000</v>
      </c>
      <c r="F4392" s="396">
        <v>0</v>
      </c>
      <c r="G4392" s="396">
        <f>+F4391</f>
        <v>15000</v>
      </c>
      <c r="H4392" t="str">
        <f>+H4391</f>
        <v>Curso Vivian Edith Araya Jofre</v>
      </c>
      <c r="I4392" s="347" t="s">
        <v>1303</v>
      </c>
      <c r="K4392" s="370"/>
      <c r="N4392" s="370"/>
    </row>
    <row r="4393" spans="1:14" s="347" customFormat="1" x14ac:dyDescent="0.25">
      <c r="A4393" s="369"/>
      <c r="E4393" s="396"/>
      <c r="F4393" s="396"/>
      <c r="G4393" s="396"/>
      <c r="K4393" s="370"/>
      <c r="N4393" s="370"/>
    </row>
    <row r="4394" spans="1:14" s="347" customFormat="1" x14ac:dyDescent="0.25">
      <c r="A4394" s="369">
        <v>44417</v>
      </c>
      <c r="B4394" s="340">
        <f>+MONTH(A4394)</f>
        <v>8</v>
      </c>
      <c r="C4394" s="347">
        <v>110</v>
      </c>
      <c r="D4394" s="340" t="str">
        <f>VLOOKUP(C4394,Plan!A$1:B$65542,2,0)</f>
        <v>Disponible Administración</v>
      </c>
      <c r="E4394" s="341">
        <f>+F4394-G4394</f>
        <v>2000</v>
      </c>
      <c r="F4394" s="396">
        <v>2000</v>
      </c>
      <c r="G4394" s="396">
        <v>0</v>
      </c>
      <c r="H4394" t="s">
        <v>1216</v>
      </c>
      <c r="I4394" s="347" t="s">
        <v>1303</v>
      </c>
      <c r="K4394" s="370"/>
      <c r="N4394" s="370"/>
    </row>
    <row r="4395" spans="1:14" s="347" customFormat="1" x14ac:dyDescent="0.25">
      <c r="A4395" s="369">
        <f>+A4394</f>
        <v>44417</v>
      </c>
      <c r="B4395" s="347">
        <f>+B4394</f>
        <v>8</v>
      </c>
      <c r="C4395" s="347">
        <v>3110</v>
      </c>
      <c r="D4395" s="340" t="str">
        <f>VLOOKUP(C4395,Plan!A$1:B$65542,2,0)</f>
        <v>Colectas Normales</v>
      </c>
      <c r="E4395" s="341">
        <f>+F4395-G4395</f>
        <v>-2000</v>
      </c>
      <c r="F4395" s="396">
        <v>0</v>
      </c>
      <c r="G4395" s="396">
        <f>+F4394</f>
        <v>2000</v>
      </c>
      <c r="H4395" t="str">
        <f>+H4394</f>
        <v>Colecta Trinidad Barriga Cruzat</v>
      </c>
      <c r="I4395" s="347" t="s">
        <v>1303</v>
      </c>
      <c r="K4395" s="370"/>
      <c r="N4395" s="370"/>
    </row>
    <row r="4396" spans="1:14" s="347" customFormat="1" x14ac:dyDescent="0.25">
      <c r="K4396" s="370"/>
      <c r="N4396" s="370"/>
    </row>
    <row r="4397" spans="1:14" s="347" customFormat="1" x14ac:dyDescent="0.25">
      <c r="A4397" s="369">
        <v>44417</v>
      </c>
      <c r="B4397" s="340">
        <f>+MONTH(A4397)</f>
        <v>8</v>
      </c>
      <c r="C4397" s="347">
        <v>110</v>
      </c>
      <c r="D4397" s="340" t="str">
        <f>VLOOKUP(C4397,Plan!A$1:B$65542,2,0)</f>
        <v>Disponible Administración</v>
      </c>
      <c r="E4397" s="341">
        <f>+F4397-G4397</f>
        <v>5000</v>
      </c>
      <c r="F4397" s="396">
        <v>5000</v>
      </c>
      <c r="G4397" s="396">
        <v>0</v>
      </c>
      <c r="H4397" t="s">
        <v>1942</v>
      </c>
      <c r="I4397" s="347" t="s">
        <v>1303</v>
      </c>
      <c r="K4397" s="370"/>
      <c r="N4397" s="370"/>
    </row>
    <row r="4398" spans="1:14" s="347" customFormat="1" x14ac:dyDescent="0.25">
      <c r="A4398" s="369">
        <f>+A4397</f>
        <v>44417</v>
      </c>
      <c r="B4398" s="347">
        <f>+B4397</f>
        <v>8</v>
      </c>
      <c r="C4398" s="347">
        <v>3110</v>
      </c>
      <c r="D4398" s="340" t="str">
        <f>VLOOKUP(C4398,Plan!A$1:B$65542,2,0)</f>
        <v>Colectas Normales</v>
      </c>
      <c r="E4398" s="341">
        <f>+F4398-G4398</f>
        <v>-5000</v>
      </c>
      <c r="F4398" s="396">
        <v>0</v>
      </c>
      <c r="G4398" s="396">
        <f>+F4397</f>
        <v>5000</v>
      </c>
      <c r="H4398" t="str">
        <f>+H4397</f>
        <v xml:space="preserve">Colecta Ana Gloria Awad Yazigi </v>
      </c>
      <c r="I4398" s="347" t="s">
        <v>1303</v>
      </c>
      <c r="K4398" s="370"/>
      <c r="N4398" s="370"/>
    </row>
    <row r="4399" spans="1:14" s="347" customFormat="1" x14ac:dyDescent="0.25">
      <c r="A4399" s="369"/>
      <c r="E4399" s="396"/>
      <c r="F4399" s="396"/>
      <c r="G4399" s="396"/>
      <c r="K4399" s="370"/>
      <c r="N4399" s="370"/>
    </row>
    <row r="4400" spans="1:14" s="347" customFormat="1" x14ac:dyDescent="0.25">
      <c r="A4400" s="369">
        <v>44417</v>
      </c>
      <c r="B4400" s="340">
        <f>+MONTH(A4400)</f>
        <v>8</v>
      </c>
      <c r="C4400" s="347">
        <v>110</v>
      </c>
      <c r="D4400" s="340" t="str">
        <f>VLOOKUP(C4400,Plan!A$1:B$65542,2,0)</f>
        <v>Disponible Administración</v>
      </c>
      <c r="E4400" s="341">
        <f>+F4400-G4400</f>
        <v>10000</v>
      </c>
      <c r="F4400" s="396">
        <v>10000</v>
      </c>
      <c r="G4400" s="396">
        <v>0</v>
      </c>
      <c r="H4400" t="s">
        <v>1429</v>
      </c>
      <c r="I4400" s="347" t="s">
        <v>1303</v>
      </c>
      <c r="K4400" s="370"/>
      <c r="N4400" s="370"/>
    </row>
    <row r="4401" spans="1:14" s="347" customFormat="1" x14ac:dyDescent="0.25">
      <c r="A4401" s="369">
        <f>+A4400</f>
        <v>44417</v>
      </c>
      <c r="B4401" s="347">
        <f>+B4400</f>
        <v>8</v>
      </c>
      <c r="C4401" s="347">
        <v>3340</v>
      </c>
      <c r="D4401" s="340" t="str">
        <f>VLOOKUP(C4401,Plan!A$1:B$65542,2,0)</f>
        <v>Misas</v>
      </c>
      <c r="E4401" s="341">
        <f>+F4401-G4401</f>
        <v>-10000</v>
      </c>
      <c r="F4401" s="396">
        <v>0</v>
      </c>
      <c r="G4401" s="396">
        <f>+F4400</f>
        <v>10000</v>
      </c>
      <c r="H4401" t="str">
        <f>+H4400</f>
        <v>Misa Carmen Gloria Rivas Varas</v>
      </c>
      <c r="I4401" s="347" t="s">
        <v>1303</v>
      </c>
      <c r="K4401" s="370"/>
      <c r="N4401" s="370"/>
    </row>
    <row r="4402" spans="1:14" s="347" customFormat="1" x14ac:dyDescent="0.25">
      <c r="A4402" s="369"/>
      <c r="E4402" s="396"/>
      <c r="F4402" s="396"/>
      <c r="G4402" s="396"/>
      <c r="K4402" s="370"/>
      <c r="N4402" s="370"/>
    </row>
    <row r="4403" spans="1:14" s="347" customFormat="1" x14ac:dyDescent="0.25">
      <c r="A4403" s="369">
        <v>44417</v>
      </c>
      <c r="B4403" s="340">
        <f>+MONTH(A4403)</f>
        <v>8</v>
      </c>
      <c r="C4403" s="347">
        <v>110</v>
      </c>
      <c r="D4403" s="340" t="str">
        <f>VLOOKUP(C4403,Plan!A$1:B$65542,2,0)</f>
        <v>Disponible Administración</v>
      </c>
      <c r="E4403" s="341">
        <f>+F4403-G4403</f>
        <v>10000</v>
      </c>
      <c r="F4403" s="396">
        <v>10000</v>
      </c>
      <c r="G4403" s="396">
        <v>0</v>
      </c>
      <c r="H4403" t="s">
        <v>1179</v>
      </c>
      <c r="I4403" s="347" t="s">
        <v>1303</v>
      </c>
      <c r="K4403" s="370"/>
      <c r="N4403" s="370"/>
    </row>
    <row r="4404" spans="1:14" s="347" customFormat="1" x14ac:dyDescent="0.25">
      <c r="A4404" s="369">
        <f>+A4403</f>
        <v>44417</v>
      </c>
      <c r="B4404" s="347">
        <f>+B4403</f>
        <v>8</v>
      </c>
      <c r="C4404" s="347">
        <v>3110</v>
      </c>
      <c r="D4404" s="340" t="str">
        <f>VLOOKUP(C4404,Plan!A$1:B$65542,2,0)</f>
        <v>Colectas Normales</v>
      </c>
      <c r="E4404" s="341">
        <f>+F4404-G4404</f>
        <v>-10000</v>
      </c>
      <c r="F4404" s="396">
        <v>0</v>
      </c>
      <c r="G4404" s="396">
        <f>+F4403</f>
        <v>10000</v>
      </c>
      <c r="H4404" t="str">
        <f>+H4403</f>
        <v>Colecta Carmen Gloria Rivas Varas</v>
      </c>
      <c r="I4404" s="347" t="s">
        <v>1303</v>
      </c>
      <c r="K4404" s="370"/>
      <c r="N4404" s="370"/>
    </row>
    <row r="4405" spans="1:14" s="347" customFormat="1" x14ac:dyDescent="0.25">
      <c r="A4405" s="369"/>
      <c r="E4405" s="396"/>
      <c r="F4405" s="396"/>
      <c r="G4405" s="396"/>
      <c r="K4405" s="370"/>
      <c r="N4405" s="370"/>
    </row>
    <row r="4406" spans="1:14" s="347" customFormat="1" x14ac:dyDescent="0.25">
      <c r="A4406" s="369">
        <v>44417</v>
      </c>
      <c r="B4406" s="340">
        <f>+MONTH(A4406)</f>
        <v>8</v>
      </c>
      <c r="C4406" s="347">
        <v>110</v>
      </c>
      <c r="D4406" s="340" t="str">
        <f>VLOOKUP(C4406,Plan!A$1:B$65542,2,0)</f>
        <v>Disponible Administración</v>
      </c>
      <c r="E4406" s="341">
        <f>+F4406-G4406</f>
        <v>75000</v>
      </c>
      <c r="F4406" s="396">
        <v>75000</v>
      </c>
      <c r="G4406" s="396">
        <v>0</v>
      </c>
      <c r="H4406" t="s">
        <v>1560</v>
      </c>
      <c r="I4406" s="347" t="s">
        <v>1303</v>
      </c>
      <c r="K4406" s="370"/>
      <c r="N4406" s="370"/>
    </row>
    <row r="4407" spans="1:14" s="347" customFormat="1" x14ac:dyDescent="0.25">
      <c r="A4407" s="369">
        <f>+A4406</f>
        <v>44417</v>
      </c>
      <c r="B4407" s="347">
        <f>+B4406</f>
        <v>8</v>
      </c>
      <c r="C4407" s="347">
        <v>3360</v>
      </c>
      <c r="D4407" s="340" t="str">
        <f>VLOOKUP(C4407,Plan!A$1:B$65542,2,0)</f>
        <v>Otros</v>
      </c>
      <c r="E4407" s="341">
        <f>+F4407-G4407</f>
        <v>-75000</v>
      </c>
      <c r="F4407" s="396">
        <v>0</v>
      </c>
      <c r="G4407" s="396">
        <f>+F4406</f>
        <v>75000</v>
      </c>
      <c r="H4407" t="str">
        <f>+H4406</f>
        <v>Curso Maria Luisa Toso Loyola</v>
      </c>
      <c r="I4407" s="347" t="s">
        <v>1303</v>
      </c>
      <c r="K4407" s="370"/>
      <c r="N4407" s="370"/>
    </row>
    <row r="4408" spans="1:14" s="347" customFormat="1" x14ac:dyDescent="0.25">
      <c r="A4408" s="369"/>
      <c r="E4408" s="396"/>
      <c r="F4408" s="396"/>
      <c r="G4408" s="396"/>
      <c r="K4408" s="370"/>
      <c r="N4408" s="370"/>
    </row>
    <row r="4409" spans="1:14" s="347" customFormat="1" x14ac:dyDescent="0.25">
      <c r="A4409" s="369">
        <v>44417</v>
      </c>
      <c r="B4409" s="340">
        <f>+MONTH(A4409)</f>
        <v>8</v>
      </c>
      <c r="C4409" s="347">
        <v>110</v>
      </c>
      <c r="D4409" s="340" t="str">
        <f>VLOOKUP(C4409,Plan!A$1:B$65542,2,0)</f>
        <v>Disponible Administración</v>
      </c>
      <c r="E4409" s="341">
        <f>+F4409-G4409</f>
        <v>10000</v>
      </c>
      <c r="F4409" s="396">
        <v>10000</v>
      </c>
      <c r="G4409" s="396">
        <v>0</v>
      </c>
      <c r="H4409" t="s">
        <v>1943</v>
      </c>
      <c r="I4409" s="347" t="s">
        <v>1303</v>
      </c>
      <c r="K4409" s="370"/>
      <c r="N4409" s="370"/>
    </row>
    <row r="4410" spans="1:14" s="347" customFormat="1" x14ac:dyDescent="0.25">
      <c r="A4410" s="369">
        <f>+A4409</f>
        <v>44417</v>
      </c>
      <c r="B4410" s="347">
        <f>+B4409</f>
        <v>8</v>
      </c>
      <c r="C4410" s="347">
        <v>3110</v>
      </c>
      <c r="D4410" s="340" t="str">
        <f>VLOOKUP(C4410,Plan!A$1:B$65542,2,0)</f>
        <v>Colectas Normales</v>
      </c>
      <c r="E4410" s="341">
        <f>+F4410-G4410</f>
        <v>-10000</v>
      </c>
      <c r="F4410" s="396">
        <v>0</v>
      </c>
      <c r="G4410" s="396">
        <f>+F4409</f>
        <v>10000</v>
      </c>
      <c r="H4410" t="str">
        <f>+H4409</f>
        <v>Colecta Veronica Villegas</v>
      </c>
      <c r="I4410" s="347" t="s">
        <v>1303</v>
      </c>
      <c r="K4410" s="370"/>
      <c r="N4410" s="370"/>
    </row>
    <row r="4411" spans="1:14" s="347" customFormat="1" x14ac:dyDescent="0.25">
      <c r="A4411" s="369"/>
      <c r="E4411" s="396"/>
      <c r="F4411" s="396"/>
      <c r="G4411" s="396"/>
      <c r="K4411" s="370"/>
      <c r="N4411" s="370"/>
    </row>
    <row r="4412" spans="1:14" s="347" customFormat="1" x14ac:dyDescent="0.25">
      <c r="A4412" s="369">
        <v>44417</v>
      </c>
      <c r="B4412" s="340">
        <f>+MONTH(A4412)</f>
        <v>8</v>
      </c>
      <c r="C4412" s="347">
        <v>110</v>
      </c>
      <c r="D4412" s="340" t="str">
        <f>VLOOKUP(C4412,Plan!A$1:B$65542,2,0)</f>
        <v>Disponible Administración</v>
      </c>
      <c r="E4412" s="341">
        <f>+F4412-G4412</f>
        <v>51000</v>
      </c>
      <c r="F4412" s="396">
        <v>51000</v>
      </c>
      <c r="G4412" s="396">
        <v>0</v>
      </c>
      <c r="H4412" t="s">
        <v>1944</v>
      </c>
      <c r="I4412" s="347" t="s">
        <v>1303</v>
      </c>
      <c r="K4412" s="370"/>
      <c r="N4412" s="370"/>
    </row>
    <row r="4413" spans="1:14" s="347" customFormat="1" x14ac:dyDescent="0.25">
      <c r="A4413" s="369">
        <f>+A4412</f>
        <v>44417</v>
      </c>
      <c r="B4413" s="347">
        <f>+B4412</f>
        <v>8</v>
      </c>
      <c r="C4413" s="347">
        <v>3450</v>
      </c>
      <c r="D4413" s="340" t="str">
        <f>VLOOKUP(C4413,Plan!A$1:B$65542,2,0)</f>
        <v>Pastoral Social</v>
      </c>
      <c r="E4413" s="341">
        <f>+F4413-G4413</f>
        <v>-51000</v>
      </c>
      <c r="F4413" s="396">
        <v>0</v>
      </c>
      <c r="G4413" s="396">
        <f>+F4412</f>
        <v>51000</v>
      </c>
      <c r="H4413" t="str">
        <f>+H4412</f>
        <v>Don.Efectivo Pastoral Social LIDER</v>
      </c>
      <c r="I4413" s="347" t="s">
        <v>1303</v>
      </c>
      <c r="K4413" s="370"/>
      <c r="N4413" s="370"/>
    </row>
    <row r="4414" spans="1:14" s="347" customFormat="1" x14ac:dyDescent="0.25">
      <c r="A4414" s="369"/>
      <c r="E4414" s="396"/>
      <c r="F4414" s="396"/>
      <c r="G4414" s="396"/>
      <c r="K4414" s="370"/>
      <c r="N4414" s="370"/>
    </row>
    <row r="4415" spans="1:14" s="347" customFormat="1" x14ac:dyDescent="0.25">
      <c r="A4415" s="369">
        <v>44417</v>
      </c>
      <c r="B4415" s="340">
        <f>+MONTH(A4415)</f>
        <v>8</v>
      </c>
      <c r="C4415" s="347">
        <v>110</v>
      </c>
      <c r="D4415" s="340" t="str">
        <f>VLOOKUP(C4415,Plan!A$1:B$65542,2,0)</f>
        <v>Disponible Administración</v>
      </c>
      <c r="E4415" s="341">
        <f>+F4415-G4415</f>
        <v>279420</v>
      </c>
      <c r="F4415" s="396">
        <v>279420</v>
      </c>
      <c r="G4415" s="396">
        <v>0</v>
      </c>
      <c r="H4415" t="s">
        <v>1936</v>
      </c>
      <c r="I4415" s="347" t="s">
        <v>1303</v>
      </c>
      <c r="K4415" s="370"/>
      <c r="N4415" s="370"/>
    </row>
    <row r="4416" spans="1:14" s="347" customFormat="1" x14ac:dyDescent="0.25">
      <c r="A4416" s="369">
        <f>+A4415</f>
        <v>44417</v>
      </c>
      <c r="B4416" s="347">
        <f>+B4415</f>
        <v>8</v>
      </c>
      <c r="C4416" s="347">
        <v>3110</v>
      </c>
      <c r="D4416" s="340" t="str">
        <f>VLOOKUP(C4416,Plan!A$1:B$65542,2,0)</f>
        <v>Colectas Normales</v>
      </c>
      <c r="E4416" s="341">
        <f>+F4416-G4416</f>
        <v>-279420</v>
      </c>
      <c r="F4416" s="396">
        <v>0</v>
      </c>
      <c r="G4416" s="396">
        <f>+F4415</f>
        <v>279420</v>
      </c>
      <c r="H4416" t="str">
        <f>+H4415</f>
        <v>Colecta Col.Cordillera</v>
      </c>
      <c r="I4416" s="347" t="s">
        <v>1303</v>
      </c>
      <c r="K4416" s="370"/>
      <c r="N4416" s="370"/>
    </row>
    <row r="4417" spans="1:14" s="347" customFormat="1" x14ac:dyDescent="0.25">
      <c r="A4417" s="369"/>
      <c r="E4417" s="396"/>
      <c r="F4417" s="396"/>
      <c r="G4417" s="396"/>
      <c r="K4417" s="370"/>
      <c r="N4417" s="370"/>
    </row>
    <row r="4418" spans="1:14" s="347" customFormat="1" x14ac:dyDescent="0.25">
      <c r="A4418" s="369">
        <v>44418</v>
      </c>
      <c r="B4418" s="340">
        <f>+MONTH(A4418)</f>
        <v>8</v>
      </c>
      <c r="C4418" s="347">
        <v>110</v>
      </c>
      <c r="D4418" s="340" t="str">
        <f>VLOOKUP(C4418,Plan!A$1:B$65542,2,0)</f>
        <v>Disponible Administración</v>
      </c>
      <c r="E4418" s="341">
        <f>+F4418-G4418</f>
        <v>60000</v>
      </c>
      <c r="F4418" s="396">
        <v>60000</v>
      </c>
      <c r="G4418" s="396">
        <v>0</v>
      </c>
      <c r="H4418" t="s">
        <v>1454</v>
      </c>
      <c r="I4418" s="347" t="s">
        <v>1303</v>
      </c>
      <c r="K4418" s="370"/>
      <c r="N4418" s="370"/>
    </row>
    <row r="4419" spans="1:14" s="347" customFormat="1" x14ac:dyDescent="0.25">
      <c r="A4419" s="369">
        <f>+A4418</f>
        <v>44418</v>
      </c>
      <c r="B4419" s="347">
        <f>+B4418</f>
        <v>8</v>
      </c>
      <c r="C4419" s="347">
        <v>3110</v>
      </c>
      <c r="D4419" s="340" t="str">
        <f>VLOOKUP(C4419,Plan!A$1:B$65542,2,0)</f>
        <v>Colectas Normales</v>
      </c>
      <c r="E4419" s="341">
        <f>+F4419-G4419</f>
        <v>-60000</v>
      </c>
      <c r="F4419" s="396">
        <v>0</v>
      </c>
      <c r="G4419" s="396">
        <f>+F4418</f>
        <v>60000</v>
      </c>
      <c r="H4419" t="str">
        <f>+H4418</f>
        <v>Colecta Maite Larrañaga</v>
      </c>
      <c r="I4419" s="347" t="s">
        <v>1303</v>
      </c>
      <c r="K4419" s="370"/>
      <c r="N4419" s="370"/>
    </row>
    <row r="4420" spans="1:14" s="347" customFormat="1" x14ac:dyDescent="0.25">
      <c r="A4420" s="369"/>
      <c r="E4420" s="396"/>
      <c r="F4420" s="396"/>
      <c r="G4420" s="396"/>
      <c r="K4420" s="370"/>
      <c r="N4420" s="370"/>
    </row>
    <row r="4421" spans="1:14" s="347" customFormat="1" x14ac:dyDescent="0.25">
      <c r="A4421" s="369">
        <v>44418</v>
      </c>
      <c r="B4421" s="340">
        <f>+MONTH(A4421)</f>
        <v>8</v>
      </c>
      <c r="C4421" s="347">
        <v>110</v>
      </c>
      <c r="D4421" s="340" t="str">
        <f>VLOOKUP(C4421,Plan!A$1:B$65542,2,0)</f>
        <v>Disponible Administración</v>
      </c>
      <c r="E4421" s="341">
        <f>+F4421-G4421</f>
        <v>20000</v>
      </c>
      <c r="F4421" s="396">
        <v>20000</v>
      </c>
      <c r="G4421" s="396">
        <v>0</v>
      </c>
      <c r="H4421" t="s">
        <v>1945</v>
      </c>
      <c r="I4421" s="347" t="s">
        <v>1303</v>
      </c>
      <c r="K4421" s="370"/>
      <c r="N4421" s="370"/>
    </row>
    <row r="4422" spans="1:14" s="347" customFormat="1" x14ac:dyDescent="0.25">
      <c r="A4422" s="369">
        <f>+A4421</f>
        <v>44418</v>
      </c>
      <c r="B4422" s="347">
        <f>+B4421</f>
        <v>8</v>
      </c>
      <c r="C4422" s="347">
        <v>3110</v>
      </c>
      <c r="D4422" s="340" t="str">
        <f>VLOOKUP(C4422,Plan!A$1:B$65542,2,0)</f>
        <v>Colectas Normales</v>
      </c>
      <c r="E4422" s="341">
        <f>+F4422-G4422</f>
        <v>-20000</v>
      </c>
      <c r="F4422" s="396">
        <v>0</v>
      </c>
      <c r="G4422" s="396">
        <f>+F4421</f>
        <v>20000</v>
      </c>
      <c r="H4422" t="str">
        <f>+H4421</f>
        <v>Dia del Niño Maite Larrañaga</v>
      </c>
      <c r="I4422" s="347" t="s">
        <v>1303</v>
      </c>
      <c r="K4422" s="370"/>
      <c r="N4422" s="370"/>
    </row>
    <row r="4423" spans="1:14" s="347" customFormat="1" x14ac:dyDescent="0.25">
      <c r="A4423" s="369"/>
      <c r="E4423" s="396"/>
      <c r="F4423" s="396"/>
      <c r="G4423" s="396"/>
      <c r="K4423" s="370"/>
      <c r="N4423" s="370"/>
    </row>
    <row r="4424" spans="1:14" s="347" customFormat="1" x14ac:dyDescent="0.25">
      <c r="A4424" s="369">
        <v>44418</v>
      </c>
      <c r="B4424" s="340">
        <f>+MONTH(A4424)</f>
        <v>8</v>
      </c>
      <c r="C4424" s="347">
        <v>110</v>
      </c>
      <c r="D4424" s="340" t="str">
        <f>VLOOKUP(C4424,Plan!A$1:B$65542,2,0)</f>
        <v>Disponible Administración</v>
      </c>
      <c r="E4424" s="341">
        <f>+F4424-G4424</f>
        <v>25000</v>
      </c>
      <c r="F4424" s="396">
        <v>25000</v>
      </c>
      <c r="G4424" s="396">
        <v>0</v>
      </c>
      <c r="H4424" t="s">
        <v>1449</v>
      </c>
      <c r="I4424" s="347" t="s">
        <v>1303</v>
      </c>
      <c r="K4424" s="370"/>
      <c r="N4424" s="370"/>
    </row>
    <row r="4425" spans="1:14" s="347" customFormat="1" x14ac:dyDescent="0.25">
      <c r="A4425" s="369">
        <f>+A4424</f>
        <v>44418</v>
      </c>
      <c r="B4425" s="347">
        <f>+B4424</f>
        <v>8</v>
      </c>
      <c r="C4425" s="347">
        <v>3360</v>
      </c>
      <c r="D4425" s="340" t="str">
        <f>VLOOKUP(C4425,Plan!A$1:B$65542,2,0)</f>
        <v>Otros</v>
      </c>
      <c r="E4425" s="341">
        <f>+F4425-G4425</f>
        <v>-25000</v>
      </c>
      <c r="F4425" s="396">
        <v>0</v>
      </c>
      <c r="G4425" s="396">
        <f>+F4424</f>
        <v>25000</v>
      </c>
      <c r="H4425" t="str">
        <f>+H4424</f>
        <v>Curso Sofia Vives Ekdahl</v>
      </c>
      <c r="I4425" s="347" t="s">
        <v>1303</v>
      </c>
      <c r="K4425" s="370"/>
      <c r="N4425" s="370"/>
    </row>
    <row r="4426" spans="1:14" s="347" customFormat="1" x14ac:dyDescent="0.25">
      <c r="A4426" s="369"/>
      <c r="E4426" s="396"/>
      <c r="F4426" s="396"/>
      <c r="G4426" s="396"/>
      <c r="K4426" s="370"/>
      <c r="N4426" s="370"/>
    </row>
    <row r="4427" spans="1:14" s="347" customFormat="1" x14ac:dyDescent="0.25">
      <c r="A4427" s="369">
        <v>44418</v>
      </c>
      <c r="B4427" s="340">
        <f>+MONTH(A4427)</f>
        <v>8</v>
      </c>
      <c r="C4427" s="347">
        <v>110</v>
      </c>
      <c r="D4427" s="340" t="str">
        <f>VLOOKUP(C4427,Plan!A$1:B$65542,2,0)</f>
        <v>Disponible Administración</v>
      </c>
      <c r="E4427" s="341">
        <f>+F4427-G4427</f>
        <v>20000</v>
      </c>
      <c r="F4427" s="396">
        <v>20000</v>
      </c>
      <c r="G4427" s="396">
        <v>0</v>
      </c>
      <c r="H4427" t="s">
        <v>951</v>
      </c>
      <c r="I4427" s="347" t="s">
        <v>1303</v>
      </c>
      <c r="K4427" s="370"/>
      <c r="N4427" s="370"/>
    </row>
    <row r="4428" spans="1:14" s="347" customFormat="1" x14ac:dyDescent="0.25">
      <c r="A4428" s="369">
        <f>+A4427</f>
        <v>44418</v>
      </c>
      <c r="B4428" s="347">
        <f>+B4427</f>
        <v>8</v>
      </c>
      <c r="C4428" s="347">
        <v>3110</v>
      </c>
      <c r="D4428" s="340" t="str">
        <f>VLOOKUP(C4428,Plan!A$1:B$65542,2,0)</f>
        <v>Colectas Normales</v>
      </c>
      <c r="E4428" s="341">
        <f>+F4428-G4428</f>
        <v>-20000</v>
      </c>
      <c r="F4428" s="396">
        <v>0</v>
      </c>
      <c r="G4428" s="396">
        <f>+F4427</f>
        <v>20000</v>
      </c>
      <c r="H4428" t="str">
        <f>+H4427</f>
        <v>Colecta Cyril Hodgson Larrain</v>
      </c>
      <c r="I4428" s="347" t="s">
        <v>1303</v>
      </c>
      <c r="K4428" s="370"/>
      <c r="N4428" s="370"/>
    </row>
    <row r="4429" spans="1:14" s="347" customFormat="1" x14ac:dyDescent="0.25">
      <c r="A4429" s="369"/>
      <c r="E4429" s="396"/>
      <c r="F4429" s="396"/>
      <c r="G4429" s="396"/>
      <c r="K4429" s="370"/>
      <c r="N4429" s="370"/>
    </row>
    <row r="4430" spans="1:14" s="347" customFormat="1" x14ac:dyDescent="0.25">
      <c r="A4430" s="369">
        <v>44418</v>
      </c>
      <c r="B4430" s="340">
        <f>+MONTH(A4430)</f>
        <v>8</v>
      </c>
      <c r="C4430" s="347">
        <v>110</v>
      </c>
      <c r="D4430" s="340" t="str">
        <f>VLOOKUP(C4430,Plan!A$1:B$65542,2,0)</f>
        <v>Disponible Administración</v>
      </c>
      <c r="E4430" s="341">
        <f>+F4430-G4430</f>
        <v>30000</v>
      </c>
      <c r="F4430" s="396">
        <v>30000</v>
      </c>
      <c r="G4430" s="396">
        <v>0</v>
      </c>
      <c r="H4430" t="s">
        <v>1946</v>
      </c>
      <c r="I4430" s="347" t="s">
        <v>1303</v>
      </c>
      <c r="K4430" s="370"/>
      <c r="N4430" s="370"/>
    </row>
    <row r="4431" spans="1:14" s="347" customFormat="1" x14ac:dyDescent="0.25">
      <c r="A4431" s="369">
        <f>+A4430</f>
        <v>44418</v>
      </c>
      <c r="B4431" s="347">
        <f>+B4430</f>
        <v>8</v>
      </c>
      <c r="C4431" s="347">
        <v>3450</v>
      </c>
      <c r="D4431" s="340" t="str">
        <f>VLOOKUP(C4431,Plan!A$1:B$65542,2,0)</f>
        <v>Pastoral Social</v>
      </c>
      <c r="E4431" s="341">
        <f>+F4431-G4431</f>
        <v>-30000</v>
      </c>
      <c r="F4431" s="396">
        <v>0</v>
      </c>
      <c r="G4431" s="396">
        <f>+F4430</f>
        <v>30000</v>
      </c>
      <c r="H4431" t="str">
        <f>+H4430</f>
        <v>Dia del Niño Cyril Hodgson Larrain</v>
      </c>
      <c r="I4431" s="347" t="s">
        <v>1303</v>
      </c>
      <c r="K4431" s="370"/>
      <c r="N4431" s="370"/>
    </row>
    <row r="4432" spans="1:14" s="347" customFormat="1" x14ac:dyDescent="0.25">
      <c r="A4432" s="369"/>
      <c r="E4432" s="396"/>
      <c r="F4432" s="396"/>
      <c r="G4432" s="396"/>
      <c r="K4432" s="370"/>
      <c r="N4432" s="370"/>
    </row>
    <row r="4433" spans="1:14" s="347" customFormat="1" x14ac:dyDescent="0.25">
      <c r="A4433" s="369">
        <v>44418</v>
      </c>
      <c r="B4433" s="340">
        <f>+MONTH(A4433)</f>
        <v>8</v>
      </c>
      <c r="C4433" s="347">
        <v>4324</v>
      </c>
      <c r="D4433" s="340" t="str">
        <f>VLOOKUP(C4433,Plan!A$1:B$65542,2,0)</f>
        <v>Gas</v>
      </c>
      <c r="E4433" s="341">
        <f>+F4433-G4433</f>
        <v>21582</v>
      </c>
      <c r="F4433" s="396">
        <v>21582</v>
      </c>
      <c r="G4433" s="396">
        <v>0</v>
      </c>
      <c r="H4433" t="s">
        <v>1654</v>
      </c>
      <c r="I4433" s="347" t="s">
        <v>1303</v>
      </c>
      <c r="K4433" s="370"/>
      <c r="N4433" s="370"/>
    </row>
    <row r="4434" spans="1:14" s="347" customFormat="1" x14ac:dyDescent="0.25">
      <c r="A4434" s="369">
        <f>+A4433</f>
        <v>44418</v>
      </c>
      <c r="B4434" s="347">
        <f>+B4433</f>
        <v>8</v>
      </c>
      <c r="C4434" s="347">
        <v>110</v>
      </c>
      <c r="D4434" s="340" t="str">
        <f>VLOOKUP(C4434,Plan!A$1:B$65542,2,0)</f>
        <v>Disponible Administración</v>
      </c>
      <c r="E4434" s="341">
        <f>+F4434-G4434</f>
        <v>-21582</v>
      </c>
      <c r="F4434" s="396">
        <v>0</v>
      </c>
      <c r="G4434" s="396">
        <f>+F4433</f>
        <v>21582</v>
      </c>
      <c r="H4434" t="str">
        <f>+H4433</f>
        <v>PAC GAS OFICINA</v>
      </c>
      <c r="I4434" s="347" t="s">
        <v>1303</v>
      </c>
      <c r="K4434" s="370"/>
      <c r="N4434" s="370"/>
    </row>
    <row r="4435" spans="1:14" s="347" customFormat="1" x14ac:dyDescent="0.25">
      <c r="A4435" s="369"/>
      <c r="E4435" s="396"/>
      <c r="F4435" s="396"/>
      <c r="G4435" s="396"/>
      <c r="K4435" s="370"/>
      <c r="N4435" s="370"/>
    </row>
    <row r="4436" spans="1:14" s="347" customFormat="1" x14ac:dyDescent="0.25">
      <c r="A4436" s="369">
        <v>44418</v>
      </c>
      <c r="B4436" s="340">
        <f>+MONTH(A4436)</f>
        <v>8</v>
      </c>
      <c r="C4436" s="347">
        <v>4323</v>
      </c>
      <c r="D4436" s="340" t="str">
        <f>VLOOKUP(C4436,Plan!A$1:B$65542,2,0)</f>
        <v>Telefonía, Internet (VTR, Entel)</v>
      </c>
      <c r="E4436" s="341">
        <f>+F4436-G4436</f>
        <v>35956</v>
      </c>
      <c r="F4436" s="396">
        <v>35956</v>
      </c>
      <c r="G4436" s="396">
        <v>0</v>
      </c>
      <c r="H4436" t="s">
        <v>1483</v>
      </c>
      <c r="I4436" s="347" t="s">
        <v>1303</v>
      </c>
      <c r="K4436" s="370"/>
      <c r="N4436" s="370"/>
    </row>
    <row r="4437" spans="1:14" s="347" customFormat="1" x14ac:dyDescent="0.25">
      <c r="A4437" s="369">
        <f>+A4436</f>
        <v>44418</v>
      </c>
      <c r="B4437" s="347">
        <f>+B4436</f>
        <v>8</v>
      </c>
      <c r="C4437" s="347">
        <v>110</v>
      </c>
      <c r="D4437" s="340" t="str">
        <f>VLOOKUP(C4437,Plan!A$1:B$65542,2,0)</f>
        <v>Disponible Administración</v>
      </c>
      <c r="E4437" s="341">
        <f>+F4437-G4437</f>
        <v>-35956</v>
      </c>
      <c r="F4437" s="396">
        <v>0</v>
      </c>
      <c r="G4437" s="396">
        <f>+F4436</f>
        <v>35956</v>
      </c>
      <c r="H4437" t="str">
        <f>+H4436</f>
        <v>PAC VTR</v>
      </c>
      <c r="I4437" s="347" t="s">
        <v>1303</v>
      </c>
      <c r="K4437" s="370"/>
      <c r="N4437" s="370"/>
    </row>
    <row r="4438" spans="1:14" s="347" customFormat="1" x14ac:dyDescent="0.25">
      <c r="A4438" s="369"/>
      <c r="E4438" s="396"/>
      <c r="F4438" s="396"/>
      <c r="G4438" s="396"/>
      <c r="K4438" s="370"/>
      <c r="N4438" s="370"/>
    </row>
    <row r="4439" spans="1:14" s="347" customFormat="1" x14ac:dyDescent="0.25">
      <c r="A4439" s="369">
        <v>44418</v>
      </c>
      <c r="B4439" s="340">
        <f>+MONTH(A4439)</f>
        <v>8</v>
      </c>
      <c r="C4439" s="347">
        <v>110</v>
      </c>
      <c r="D4439" s="340" t="str">
        <f>VLOOKUP(C4439,Plan!A$1:B$65542,2,0)</f>
        <v>Disponible Administración</v>
      </c>
      <c r="E4439" s="341">
        <f>+F4439-G4439</f>
        <v>100000</v>
      </c>
      <c r="F4439" s="396">
        <v>100000</v>
      </c>
      <c r="G4439" s="396">
        <v>0</v>
      </c>
      <c r="H4439" t="s">
        <v>743</v>
      </c>
      <c r="I4439" s="347" t="s">
        <v>1303</v>
      </c>
      <c r="K4439" s="370"/>
      <c r="N4439" s="370"/>
    </row>
    <row r="4440" spans="1:14" s="347" customFormat="1" x14ac:dyDescent="0.25">
      <c r="A4440" s="369">
        <f>+A4439</f>
        <v>44418</v>
      </c>
      <c r="B4440" s="347">
        <f>+B4439</f>
        <v>8</v>
      </c>
      <c r="C4440" s="347">
        <v>215</v>
      </c>
      <c r="D4440" s="340" t="str">
        <f>VLOOKUP(C4440,Plan!A$1:B$65542,2,0)</f>
        <v>Cuenta por Pagar a Cali</v>
      </c>
      <c r="E4440" s="341">
        <f>+F4440-G4440</f>
        <v>-100000</v>
      </c>
      <c r="F4440" s="396">
        <v>0</v>
      </c>
      <c r="G4440" s="396">
        <f>+F4439</f>
        <v>100000</v>
      </c>
      <c r="H4440" t="str">
        <f>+H4439</f>
        <v>Hugo Rosende Álvarez / 249</v>
      </c>
      <c r="I4440" s="347" t="s">
        <v>1303</v>
      </c>
      <c r="K4440" s="370"/>
      <c r="N4440" s="370"/>
    </row>
    <row r="4441" spans="1:14" s="347" customFormat="1" x14ac:dyDescent="0.25">
      <c r="A4441" s="369"/>
      <c r="E4441" s="396"/>
      <c r="F4441" s="396"/>
      <c r="G4441" s="396"/>
      <c r="K4441" s="370"/>
      <c r="N4441" s="370"/>
    </row>
    <row r="4442" spans="1:14" s="347" customFormat="1" x14ac:dyDescent="0.25">
      <c r="A4442" s="369">
        <v>44418</v>
      </c>
      <c r="B4442" s="340">
        <f>+MONTH(A4442)</f>
        <v>8</v>
      </c>
      <c r="C4442" s="347">
        <v>110</v>
      </c>
      <c r="D4442" s="340" t="str">
        <f>VLOOKUP(C4442,Plan!A$1:B$65542,2,0)</f>
        <v>Disponible Administración</v>
      </c>
      <c r="E4442" s="341">
        <f>+F4442-G4442</f>
        <v>10000</v>
      </c>
      <c r="F4442" s="396">
        <v>10000</v>
      </c>
      <c r="G4442" s="396">
        <v>0</v>
      </c>
      <c r="H4442" t="s">
        <v>1818</v>
      </c>
      <c r="I4442" s="347" t="s">
        <v>1303</v>
      </c>
      <c r="K4442" s="370"/>
      <c r="N4442" s="370"/>
    </row>
    <row r="4443" spans="1:14" s="347" customFormat="1" x14ac:dyDescent="0.25">
      <c r="A4443" s="369">
        <f>+A4442</f>
        <v>44418</v>
      </c>
      <c r="B4443" s="347">
        <f>+B4442</f>
        <v>8</v>
      </c>
      <c r="C4443" s="347">
        <v>3340</v>
      </c>
      <c r="D4443" s="340" t="str">
        <f>VLOOKUP(C4443,Plan!A$1:B$65542,2,0)</f>
        <v>Misas</v>
      </c>
      <c r="E4443" s="341">
        <f>+F4443-G4443</f>
        <v>-10000</v>
      </c>
      <c r="F4443" s="396">
        <v>0</v>
      </c>
      <c r="G4443" s="396">
        <f>+F4442</f>
        <v>10000</v>
      </c>
      <c r="H4443" t="str">
        <f>+H4442</f>
        <v>Misa Katherine Nicolau</v>
      </c>
      <c r="I4443" s="347" t="s">
        <v>1303</v>
      </c>
      <c r="K4443" s="370"/>
      <c r="N4443" s="370"/>
    </row>
    <row r="4444" spans="1:14" s="347" customFormat="1" x14ac:dyDescent="0.25">
      <c r="A4444" s="369"/>
      <c r="E4444" s="396"/>
      <c r="F4444" s="396"/>
      <c r="G4444" s="396"/>
      <c r="K4444" s="370"/>
      <c r="N4444" s="370"/>
    </row>
    <row r="4445" spans="1:14" s="347" customFormat="1" x14ac:dyDescent="0.25">
      <c r="A4445" s="369">
        <v>44419</v>
      </c>
      <c r="B4445" s="340">
        <f>+MONTH(A4445)</f>
        <v>8</v>
      </c>
      <c r="C4445" s="347">
        <v>110</v>
      </c>
      <c r="D4445" s="340" t="str">
        <f>VLOOKUP(C4445,Plan!A$1:B$65542,2,0)</f>
        <v>Disponible Administración</v>
      </c>
      <c r="E4445" s="341">
        <f>+F4445-G4445</f>
        <v>60000</v>
      </c>
      <c r="F4445" s="396">
        <v>60000</v>
      </c>
      <c r="G4445" s="396">
        <v>0</v>
      </c>
      <c r="H4445" t="s">
        <v>1582</v>
      </c>
      <c r="I4445" s="347" t="s">
        <v>1303</v>
      </c>
      <c r="K4445" s="370"/>
      <c r="N4445" s="370"/>
    </row>
    <row r="4446" spans="1:14" s="347" customFormat="1" x14ac:dyDescent="0.25">
      <c r="A4446" s="369">
        <f>+A4445</f>
        <v>44419</v>
      </c>
      <c r="B4446" s="347">
        <f>+B4445</f>
        <v>8</v>
      </c>
      <c r="C4446" s="347">
        <v>3450</v>
      </c>
      <c r="D4446" s="340" t="str">
        <f>VLOOKUP(C4446,Plan!A$1:B$65542,2,0)</f>
        <v>Pastoral Social</v>
      </c>
      <c r="E4446" s="341">
        <f>+F4446-G4446</f>
        <v>-60000</v>
      </c>
      <c r="F4446" s="396">
        <v>0</v>
      </c>
      <c r="G4446" s="396">
        <f>+F4445</f>
        <v>60000</v>
      </c>
      <c r="H4446" t="str">
        <f>+H4445</f>
        <v>Canastas Maria Luisa Rojas Cruz</v>
      </c>
      <c r="I4446" s="347" t="s">
        <v>1303</v>
      </c>
      <c r="K4446" s="370"/>
      <c r="N4446" s="370"/>
    </row>
    <row r="4447" spans="1:14" s="347" customFormat="1" x14ac:dyDescent="0.25">
      <c r="A4447" s="369"/>
      <c r="E4447" s="396"/>
      <c r="F4447" s="396"/>
      <c r="G4447" s="396"/>
      <c r="K4447" s="370"/>
      <c r="N4447" s="370"/>
    </row>
    <row r="4448" spans="1:14" s="347" customFormat="1" x14ac:dyDescent="0.25">
      <c r="A4448" s="369">
        <v>44419</v>
      </c>
      <c r="B4448" s="340">
        <f>+MONTH(A4448)</f>
        <v>8</v>
      </c>
      <c r="C4448" s="347">
        <v>110</v>
      </c>
      <c r="D4448" s="340" t="str">
        <f>VLOOKUP(C4448,Plan!A$1:B$65542,2,0)</f>
        <v>Disponible Administración</v>
      </c>
      <c r="E4448" s="341">
        <f>+F4448-G4448</f>
        <v>9881</v>
      </c>
      <c r="F4448" s="396">
        <v>9881</v>
      </c>
      <c r="G4448" s="396">
        <v>0</v>
      </c>
      <c r="H4448" t="s">
        <v>897</v>
      </c>
      <c r="I4448" s="347" t="s">
        <v>1303</v>
      </c>
      <c r="K4448" s="370"/>
      <c r="N4448" s="370"/>
    </row>
    <row r="4449" spans="1:14" s="347" customFormat="1" x14ac:dyDescent="0.25">
      <c r="A4449" s="369">
        <f>+A4448</f>
        <v>44419</v>
      </c>
      <c r="B4449" s="347">
        <f>+B4448</f>
        <v>8</v>
      </c>
      <c r="C4449" s="347">
        <v>3110</v>
      </c>
      <c r="D4449" s="340" t="str">
        <f>VLOOKUP(C4449,Plan!A$1:B$65542,2,0)</f>
        <v>Colectas Normales</v>
      </c>
      <c r="E4449" s="341">
        <f>+F4449-G4449</f>
        <v>-9881</v>
      </c>
      <c r="F4449" s="396">
        <v>0</v>
      </c>
      <c r="G4449" s="396">
        <f>+F4448</f>
        <v>9881</v>
      </c>
      <c r="H4449" t="str">
        <f>+H4448</f>
        <v>Colecta DCT</v>
      </c>
      <c r="I4449" s="347" t="s">
        <v>1303</v>
      </c>
      <c r="K4449" s="370"/>
      <c r="N4449" s="370"/>
    </row>
    <row r="4450" spans="1:14" s="347" customFormat="1" x14ac:dyDescent="0.25">
      <c r="K4450" s="370"/>
      <c r="N4450" s="370"/>
    </row>
    <row r="4451" spans="1:14" s="347" customFormat="1" x14ac:dyDescent="0.25">
      <c r="A4451" s="369">
        <v>44419</v>
      </c>
      <c r="B4451" s="340">
        <f>+MONTH(A4451)</f>
        <v>8</v>
      </c>
      <c r="C4451" s="347">
        <v>110</v>
      </c>
      <c r="D4451" s="340" t="str">
        <f>VLOOKUP(C4451,Plan!A$1:B$65542,2,0)</f>
        <v>Disponible Administración</v>
      </c>
      <c r="E4451" s="341">
        <f>+F4451-G4451</f>
        <v>5000</v>
      </c>
      <c r="F4451" s="396">
        <v>5000</v>
      </c>
      <c r="G4451" s="396">
        <v>0</v>
      </c>
      <c r="H4451" t="s">
        <v>1947</v>
      </c>
      <c r="I4451" s="347" t="s">
        <v>1303</v>
      </c>
      <c r="K4451" s="370"/>
      <c r="N4451" s="370"/>
    </row>
    <row r="4452" spans="1:14" s="347" customFormat="1" x14ac:dyDescent="0.25">
      <c r="A4452" s="369">
        <f>+A4451</f>
        <v>44419</v>
      </c>
      <c r="B4452" s="347">
        <f>+B4451</f>
        <v>8</v>
      </c>
      <c r="C4452" s="347">
        <v>3450</v>
      </c>
      <c r="D4452" s="340" t="str">
        <f>VLOOKUP(C4452,Plan!A$1:B$65542,2,0)</f>
        <v>Pastoral Social</v>
      </c>
      <c r="E4452" s="341">
        <f>+F4452-G4452</f>
        <v>-5000</v>
      </c>
      <c r="F4452" s="396">
        <v>0</v>
      </c>
      <c r="G4452" s="396">
        <f>+F4451</f>
        <v>5000</v>
      </c>
      <c r="H4452" t="str">
        <f>+H4451</f>
        <v>Dia del Niño Renato Flores</v>
      </c>
      <c r="I4452" s="347" t="s">
        <v>1303</v>
      </c>
      <c r="K4452" s="370"/>
      <c r="N4452" s="370"/>
    </row>
    <row r="4453" spans="1:14" s="347" customFormat="1" x14ac:dyDescent="0.25">
      <c r="A4453" s="369"/>
      <c r="E4453" s="396"/>
      <c r="F4453" s="396"/>
      <c r="G4453" s="396"/>
      <c r="K4453" s="370"/>
      <c r="N4453" s="370"/>
    </row>
    <row r="4454" spans="1:14" s="347" customFormat="1" x14ac:dyDescent="0.25">
      <c r="A4454" s="369">
        <v>44419</v>
      </c>
      <c r="B4454" s="340">
        <f>+MONTH(A4454)</f>
        <v>8</v>
      </c>
      <c r="C4454" s="347">
        <v>110</v>
      </c>
      <c r="D4454" s="340" t="str">
        <f>VLOOKUP(C4454,Plan!A$1:B$65542,2,0)</f>
        <v>Disponible Administración</v>
      </c>
      <c r="E4454" s="341">
        <f>+F4454-G4454</f>
        <v>25000</v>
      </c>
      <c r="F4454" s="396">
        <v>25000</v>
      </c>
      <c r="G4454" s="396">
        <v>0</v>
      </c>
      <c r="H4454" t="s">
        <v>1442</v>
      </c>
      <c r="I4454" s="347" t="s">
        <v>1303</v>
      </c>
      <c r="K4454" s="370"/>
      <c r="N4454" s="370"/>
    </row>
    <row r="4455" spans="1:14" s="347" customFormat="1" x14ac:dyDescent="0.25">
      <c r="A4455" s="369">
        <f>+A4454</f>
        <v>44419</v>
      </c>
      <c r="B4455" s="347">
        <f>+B4454</f>
        <v>8</v>
      </c>
      <c r="C4455" s="347">
        <v>3360</v>
      </c>
      <c r="D4455" s="340" t="str">
        <f>VLOOKUP(C4455,Plan!A$1:B$65542,2,0)</f>
        <v>Otros</v>
      </c>
      <c r="E4455" s="341">
        <f>+F4455-G4455</f>
        <v>-25000</v>
      </c>
      <c r="F4455" s="396">
        <v>0</v>
      </c>
      <c r="G4455" s="396">
        <f>+F4454</f>
        <v>25000</v>
      </c>
      <c r="H4455" t="str">
        <f>+H4454</f>
        <v>Curso Jorge Larrañaga</v>
      </c>
      <c r="I4455" s="347" t="s">
        <v>1303</v>
      </c>
      <c r="K4455" s="370"/>
      <c r="N4455" s="370"/>
    </row>
    <row r="4456" spans="1:14" s="347" customFormat="1" x14ac:dyDescent="0.25">
      <c r="A4456" s="369"/>
      <c r="E4456" s="396"/>
      <c r="F4456" s="396"/>
      <c r="G4456" s="396"/>
      <c r="K4456" s="370"/>
      <c r="N4456" s="370"/>
    </row>
    <row r="4457" spans="1:14" s="347" customFormat="1" x14ac:dyDescent="0.25">
      <c r="A4457" s="369">
        <v>44419</v>
      </c>
      <c r="B4457" s="340">
        <f>+MONTH(A4457)</f>
        <v>8</v>
      </c>
      <c r="C4457" s="347">
        <v>110</v>
      </c>
      <c r="D4457" s="340" t="str">
        <f>VLOOKUP(C4457,Plan!A$1:B$65542,2,0)</f>
        <v>Disponible Administración</v>
      </c>
      <c r="E4457" s="341">
        <f>+F4457-G4457</f>
        <v>20000</v>
      </c>
      <c r="F4457" s="396">
        <v>20000</v>
      </c>
      <c r="G4457" s="396">
        <v>0</v>
      </c>
      <c r="H4457" t="s">
        <v>1201</v>
      </c>
      <c r="I4457" s="347" t="s">
        <v>1303</v>
      </c>
      <c r="K4457" s="370"/>
      <c r="N4457" s="370"/>
    </row>
    <row r="4458" spans="1:14" s="347" customFormat="1" x14ac:dyDescent="0.25">
      <c r="A4458" s="369">
        <f>+A4457</f>
        <v>44419</v>
      </c>
      <c r="B4458" s="347">
        <f>+B4457</f>
        <v>8</v>
      </c>
      <c r="C4458" s="347">
        <v>3110</v>
      </c>
      <c r="D4458" s="340" t="str">
        <f>VLOOKUP(C4458,Plan!A$1:B$65542,2,0)</f>
        <v>Colectas Normales</v>
      </c>
      <c r="E4458" s="341">
        <f>+F4458-G4458</f>
        <v>-20000</v>
      </c>
      <c r="F4458" s="396">
        <v>0</v>
      </c>
      <c r="G4458" s="396">
        <f>+F4457</f>
        <v>20000</v>
      </c>
      <c r="H4458" t="str">
        <f>+H4457</f>
        <v>Colecta Jorge Larrañaga</v>
      </c>
      <c r="I4458" s="347" t="s">
        <v>1303</v>
      </c>
      <c r="K4458" s="370"/>
      <c r="N4458" s="370"/>
    </row>
    <row r="4459" spans="1:14" s="347" customFormat="1" x14ac:dyDescent="0.25">
      <c r="A4459" s="369"/>
      <c r="E4459" s="396"/>
      <c r="F4459" s="396"/>
      <c r="G4459" s="396"/>
      <c r="K4459" s="370"/>
      <c r="N4459" s="370"/>
    </row>
    <row r="4460" spans="1:14" s="347" customFormat="1" x14ac:dyDescent="0.25">
      <c r="A4460" s="369">
        <v>44419</v>
      </c>
      <c r="B4460" s="340">
        <f>+MONTH(A4460)</f>
        <v>8</v>
      </c>
      <c r="C4460" s="347">
        <v>110</v>
      </c>
      <c r="D4460" s="340" t="str">
        <f>VLOOKUP(C4460,Plan!A$1:B$65542,2,0)</f>
        <v>Disponible Administración</v>
      </c>
      <c r="E4460" s="341">
        <f>+F4460-G4460</f>
        <v>10000</v>
      </c>
      <c r="F4460" s="396">
        <v>10000</v>
      </c>
      <c r="G4460" s="396">
        <v>0</v>
      </c>
      <c r="H4460" t="s">
        <v>1948</v>
      </c>
      <c r="I4460" s="347" t="s">
        <v>1303</v>
      </c>
      <c r="K4460" s="370"/>
      <c r="N4460" s="370"/>
    </row>
    <row r="4461" spans="1:14" s="347" customFormat="1" x14ac:dyDescent="0.25">
      <c r="A4461" s="369">
        <f>+A4460</f>
        <v>44419</v>
      </c>
      <c r="B4461" s="347">
        <f>+B4460</f>
        <v>8</v>
      </c>
      <c r="C4461" s="347">
        <v>3340</v>
      </c>
      <c r="D4461" s="340" t="str">
        <f>VLOOKUP(C4461,Plan!A$1:B$65542,2,0)</f>
        <v>Misas</v>
      </c>
      <c r="E4461" s="341">
        <f>+F4461-G4461</f>
        <v>-10000</v>
      </c>
      <c r="F4461" s="396">
        <v>0</v>
      </c>
      <c r="G4461" s="396">
        <f>+F4460</f>
        <v>10000</v>
      </c>
      <c r="H4461" t="str">
        <f>+H4460</f>
        <v>Misa Clemencia Perez</v>
      </c>
      <c r="I4461" s="347" t="s">
        <v>1303</v>
      </c>
      <c r="K4461" s="370"/>
      <c r="N4461" s="370"/>
    </row>
    <row r="4462" spans="1:14" s="347" customFormat="1" x14ac:dyDescent="0.25">
      <c r="A4462" s="369"/>
      <c r="E4462" s="396"/>
      <c r="F4462" s="396"/>
      <c r="G4462" s="396"/>
      <c r="K4462" s="370"/>
      <c r="N4462" s="370"/>
    </row>
    <row r="4463" spans="1:14" s="347" customFormat="1" x14ac:dyDescent="0.25">
      <c r="A4463" s="369">
        <v>44419</v>
      </c>
      <c r="B4463" s="340">
        <f>+MONTH(A4463)</f>
        <v>8</v>
      </c>
      <c r="C4463" s="347">
        <v>110</v>
      </c>
      <c r="D4463" s="340" t="str">
        <f>VLOOKUP(C4463,Plan!A$1:B$65542,2,0)</f>
        <v>Disponible Administración</v>
      </c>
      <c r="E4463" s="341">
        <f>+F4463-G4463</f>
        <v>20000</v>
      </c>
      <c r="F4463" s="396">
        <v>20000</v>
      </c>
      <c r="G4463" s="396">
        <v>0</v>
      </c>
      <c r="H4463" t="s">
        <v>1944</v>
      </c>
      <c r="I4463" s="347" t="s">
        <v>1303</v>
      </c>
      <c r="K4463" s="370"/>
      <c r="N4463" s="370"/>
    </row>
    <row r="4464" spans="1:14" s="347" customFormat="1" x14ac:dyDescent="0.25">
      <c r="A4464" s="369">
        <f>+A4463</f>
        <v>44419</v>
      </c>
      <c r="B4464" s="347">
        <f>+B4463</f>
        <v>8</v>
      </c>
      <c r="C4464" s="347">
        <v>3450</v>
      </c>
      <c r="D4464" s="340" t="str">
        <f>VLOOKUP(C4464,Plan!A$1:B$65542,2,0)</f>
        <v>Pastoral Social</v>
      </c>
      <c r="E4464" s="341">
        <f>+F4464-G4464</f>
        <v>-20000</v>
      </c>
      <c r="F4464" s="396">
        <v>0</v>
      </c>
      <c r="G4464" s="396">
        <f>+F4463</f>
        <v>20000</v>
      </c>
      <c r="H4464" t="str">
        <f>+H4463</f>
        <v>Don.Efectivo Pastoral Social LIDER</v>
      </c>
      <c r="I4464" s="347" t="s">
        <v>1303</v>
      </c>
      <c r="K4464" s="370"/>
      <c r="N4464" s="370"/>
    </row>
    <row r="4465" spans="1:14" s="347" customFormat="1" x14ac:dyDescent="0.25">
      <c r="A4465" s="369"/>
      <c r="E4465" s="396"/>
      <c r="F4465" s="396"/>
      <c r="G4465" s="396"/>
      <c r="K4465" s="370"/>
      <c r="N4465" s="370"/>
    </row>
    <row r="4466" spans="1:14" s="347" customFormat="1" x14ac:dyDescent="0.25">
      <c r="A4466" s="369">
        <v>44424</v>
      </c>
      <c r="B4466" s="340">
        <f>+MONTH(A4466)</f>
        <v>8</v>
      </c>
      <c r="C4466" s="347">
        <v>4223</v>
      </c>
      <c r="D4466" s="340" t="str">
        <f>VLOOKUP(C4466,Plan!A$1:B$65542,2,0)</f>
        <v xml:space="preserve">         Comunicaciones</v>
      </c>
      <c r="E4466" s="341">
        <f>+F4466-G4466</f>
        <v>338983</v>
      </c>
      <c r="F4466" s="396">
        <f>+G4467+G4468</f>
        <v>338983</v>
      </c>
      <c r="G4466" s="396">
        <v>0</v>
      </c>
      <c r="H4466" t="s">
        <v>1949</v>
      </c>
      <c r="I4466" s="347" t="s">
        <v>1303</v>
      </c>
      <c r="K4466" s="370"/>
      <c r="N4466" s="370"/>
    </row>
    <row r="4467" spans="1:14" s="347" customFormat="1" x14ac:dyDescent="0.25">
      <c r="A4467" s="369">
        <f>+A4466</f>
        <v>44424</v>
      </c>
      <c r="B4467" s="347">
        <f>+B4466</f>
        <v>8</v>
      </c>
      <c r="C4467" s="347">
        <v>223</v>
      </c>
      <c r="D4467" s="340" t="str">
        <f>VLOOKUP(C4467,Plan!A$1:B$65542,2,0)</f>
        <v>Ret. Hon.  e Impto. Unico Administración</v>
      </c>
      <c r="E4467" s="341">
        <f>+F4467-G4467</f>
        <v>-38983</v>
      </c>
      <c r="F4467" s="347">
        <v>0</v>
      </c>
      <c r="G4467" s="396">
        <v>38983</v>
      </c>
      <c r="H4467" t="str">
        <f>+H4466</f>
        <v>BE-30 MARIA INES JARA LAMAS  </v>
      </c>
      <c r="I4467" s="347" t="s">
        <v>1303</v>
      </c>
      <c r="K4467" s="370"/>
      <c r="N4467" s="370"/>
    </row>
    <row r="4468" spans="1:14" s="347" customFormat="1" x14ac:dyDescent="0.25">
      <c r="A4468" s="369">
        <f>+A4467</f>
        <v>44424</v>
      </c>
      <c r="B4468" s="347">
        <f>+B4467</f>
        <v>8</v>
      </c>
      <c r="C4468" s="347">
        <v>110</v>
      </c>
      <c r="D4468" s="340" t="str">
        <f>VLOOKUP(C4468,Plan!A$1:B$65542,2,0)</f>
        <v>Disponible Administración</v>
      </c>
      <c r="E4468" s="341">
        <f>+F4468-G4468</f>
        <v>-300000</v>
      </c>
      <c r="F4468" s="396">
        <v>0</v>
      </c>
      <c r="G4468" s="396">
        <v>300000</v>
      </c>
      <c r="H4468" t="str">
        <f>+H4467</f>
        <v>BE-30 MARIA INES JARA LAMAS  </v>
      </c>
      <c r="I4468" s="347" t="s">
        <v>1303</v>
      </c>
      <c r="K4468" s="370"/>
      <c r="N4468" s="370"/>
    </row>
    <row r="4469" spans="1:14" s="347" customFormat="1" x14ac:dyDescent="0.25">
      <c r="A4469" s="369"/>
      <c r="E4469" s="396"/>
      <c r="F4469" s="396"/>
      <c r="G4469" s="396"/>
      <c r="K4469" s="370"/>
      <c r="N4469" s="370"/>
    </row>
    <row r="4470" spans="1:14" s="347" customFormat="1" x14ac:dyDescent="0.25">
      <c r="A4470" s="369">
        <v>44424</v>
      </c>
      <c r="B4470" s="340">
        <f>+MONTH(A4470)</f>
        <v>8</v>
      </c>
      <c r="C4470" s="347">
        <v>4224</v>
      </c>
      <c r="D4470" s="340" t="str">
        <f>VLOOKUP(C4470,Plan!A$1:B$65542,2,0)</f>
        <v xml:space="preserve">         Jardinero</v>
      </c>
      <c r="E4470" s="341">
        <f>+F4470-G4470</f>
        <v>60000</v>
      </c>
      <c r="F4470" s="396">
        <f>+G4471+G4472</f>
        <v>60000</v>
      </c>
      <c r="G4470" s="396">
        <v>0</v>
      </c>
      <c r="H4470" s="156" t="s">
        <v>1954</v>
      </c>
      <c r="I4470" s="347" t="s">
        <v>1303</v>
      </c>
      <c r="K4470" s="370"/>
      <c r="N4470" s="370"/>
    </row>
    <row r="4471" spans="1:14" s="347" customFormat="1" x14ac:dyDescent="0.25">
      <c r="A4471" s="369">
        <f>+A4470</f>
        <v>44424</v>
      </c>
      <c r="B4471" s="347">
        <f>+B4470</f>
        <v>8</v>
      </c>
      <c r="C4471" s="347">
        <v>223</v>
      </c>
      <c r="D4471" s="340" t="str">
        <f>VLOOKUP(C4471,Plan!A$1:B$65542,2,0)</f>
        <v>Ret. Hon.  e Impto. Unico Administración</v>
      </c>
      <c r="E4471" s="341">
        <f>+F4471-G4471</f>
        <v>-6900</v>
      </c>
      <c r="F4471" s="347">
        <v>0</v>
      </c>
      <c r="G4471" s="396">
        <v>6900</v>
      </c>
      <c r="H4471" t="str">
        <f>+H4470</f>
        <v>BTE-113 SERV SANITIZACION BAUTI</v>
      </c>
      <c r="I4471" s="347" t="s">
        <v>1303</v>
      </c>
      <c r="K4471" s="370"/>
      <c r="N4471" s="370"/>
    </row>
    <row r="4472" spans="1:14" s="347" customFormat="1" x14ac:dyDescent="0.25">
      <c r="A4472" s="369">
        <f>+A4471</f>
        <v>44424</v>
      </c>
      <c r="B4472" s="347">
        <f>+B4471</f>
        <v>8</v>
      </c>
      <c r="C4472" s="347">
        <v>110</v>
      </c>
      <c r="D4472" s="340" t="str">
        <f>VLOOKUP(C4472,Plan!A$1:B$65542,2,0)</f>
        <v>Disponible Administración</v>
      </c>
      <c r="E4472" s="341">
        <f>+F4472-G4472</f>
        <v>-53100</v>
      </c>
      <c r="F4472" s="396">
        <v>0</v>
      </c>
      <c r="G4472" s="396">
        <v>53100</v>
      </c>
      <c r="H4472" t="str">
        <f>+H4471</f>
        <v>BTE-113 SERV SANITIZACION BAUTI</v>
      </c>
      <c r="I4472" s="347" t="s">
        <v>1303</v>
      </c>
      <c r="K4472" s="370"/>
      <c r="N4472" s="370"/>
    </row>
    <row r="4473" spans="1:14" s="347" customFormat="1" x14ac:dyDescent="0.25">
      <c r="A4473" s="369"/>
      <c r="E4473" s="396"/>
      <c r="F4473" s="396"/>
      <c r="G4473" s="396"/>
      <c r="K4473" s="370"/>
      <c r="N4473" s="370"/>
    </row>
    <row r="4474" spans="1:14" s="347" customFormat="1" x14ac:dyDescent="0.25">
      <c r="A4474" s="369">
        <v>44424</v>
      </c>
      <c r="B4474" s="340">
        <f>+MONTH(A4474)</f>
        <v>8</v>
      </c>
      <c r="C4474" s="347">
        <v>4223</v>
      </c>
      <c r="D4474" s="340" t="str">
        <f>VLOOKUP(C4474,Plan!A$1:B$65542,2,0)</f>
        <v xml:space="preserve">         Comunicaciones</v>
      </c>
      <c r="E4474" s="341">
        <f>+F4474-G4474</f>
        <v>112994</v>
      </c>
      <c r="F4474" s="396">
        <f>+G4475+G4476</f>
        <v>112994</v>
      </c>
      <c r="G4474" s="396">
        <v>0</v>
      </c>
      <c r="H4474" s="156" t="s">
        <v>1955</v>
      </c>
      <c r="I4474" s="347" t="s">
        <v>1303</v>
      </c>
      <c r="K4474" s="370"/>
      <c r="N4474" s="370"/>
    </row>
    <row r="4475" spans="1:14" s="347" customFormat="1" x14ac:dyDescent="0.25">
      <c r="A4475" s="369">
        <f>+A4474</f>
        <v>44424</v>
      </c>
      <c r="B4475" s="347">
        <f>+B4474</f>
        <v>8</v>
      </c>
      <c r="C4475" s="347">
        <v>223</v>
      </c>
      <c r="D4475" s="340" t="str">
        <f>VLOOKUP(C4475,Plan!A$1:B$65542,2,0)</f>
        <v>Ret. Hon.  e Impto. Unico Administración</v>
      </c>
      <c r="E4475" s="341">
        <f>+F4475-G4475</f>
        <v>-12994</v>
      </c>
      <c r="F4475" s="347">
        <v>0</v>
      </c>
      <c r="G4475" s="396">
        <v>12994</v>
      </c>
      <c r="H4475" t="str">
        <f>+H4474</f>
        <v>BE-8 RAIMUNDO RODRIGUEZ POZO</v>
      </c>
      <c r="I4475" s="347" t="s">
        <v>1303</v>
      </c>
      <c r="K4475" s="370"/>
      <c r="N4475" s="370"/>
    </row>
    <row r="4476" spans="1:14" s="347" customFormat="1" x14ac:dyDescent="0.25">
      <c r="A4476" s="369">
        <f>+A4475</f>
        <v>44424</v>
      </c>
      <c r="B4476" s="347">
        <f>+B4475</f>
        <v>8</v>
      </c>
      <c r="C4476" s="347">
        <v>110</v>
      </c>
      <c r="D4476" s="340" t="str">
        <f>VLOOKUP(C4476,Plan!A$1:B$65542,2,0)</f>
        <v>Disponible Administración</v>
      </c>
      <c r="E4476" s="341">
        <f>+F4476-G4476</f>
        <v>-100000</v>
      </c>
      <c r="F4476" s="396">
        <v>0</v>
      </c>
      <c r="G4476" s="396">
        <v>100000</v>
      </c>
      <c r="H4476" t="str">
        <f>+H4475</f>
        <v>BE-8 RAIMUNDO RODRIGUEZ POZO</v>
      </c>
      <c r="I4476" s="347" t="s">
        <v>1303</v>
      </c>
      <c r="K4476" s="370"/>
      <c r="N4476" s="370"/>
    </row>
    <row r="4477" spans="1:14" s="347" customFormat="1" x14ac:dyDescent="0.25">
      <c r="A4477" s="369"/>
      <c r="E4477" s="396"/>
      <c r="F4477" s="396"/>
      <c r="G4477" s="396"/>
      <c r="K4477" s="370"/>
      <c r="N4477" s="370"/>
    </row>
    <row r="4478" spans="1:14" s="347" customFormat="1" x14ac:dyDescent="0.25">
      <c r="A4478" s="369">
        <v>44424</v>
      </c>
      <c r="B4478" s="340">
        <f>+MONTH(A4478)</f>
        <v>8</v>
      </c>
      <c r="C4478" s="347">
        <v>4861</v>
      </c>
      <c r="D4478" s="340" t="str">
        <f>VLOOKUP(C4478,Plan!A$1:B$65542,2,0)</f>
        <v>Curso Biblia</v>
      </c>
      <c r="E4478" s="341">
        <f>+F4478-G4478</f>
        <v>500000</v>
      </c>
      <c r="F4478" s="396">
        <f>+G4479+G4480</f>
        <v>500000</v>
      </c>
      <c r="G4478" s="396">
        <v>0</v>
      </c>
      <c r="H4478" s="156" t="s">
        <v>1956</v>
      </c>
      <c r="I4478" s="347" t="s">
        <v>1303</v>
      </c>
      <c r="K4478" s="370"/>
      <c r="N4478" s="370"/>
    </row>
    <row r="4479" spans="1:14" s="347" customFormat="1" x14ac:dyDescent="0.25">
      <c r="A4479" s="369">
        <f>+A4478</f>
        <v>44424</v>
      </c>
      <c r="B4479" s="347">
        <f>+B4478</f>
        <v>8</v>
      </c>
      <c r="C4479" s="347">
        <v>223</v>
      </c>
      <c r="D4479" s="340" t="str">
        <f>VLOOKUP(C4479,Plan!A$1:B$65542,2,0)</f>
        <v>Ret. Hon.  e Impto. Unico Administración</v>
      </c>
      <c r="E4479" s="341">
        <f>+F4479-G4479</f>
        <v>-57500</v>
      </c>
      <c r="F4479" s="347">
        <v>0</v>
      </c>
      <c r="G4479" s="396">
        <v>57500</v>
      </c>
      <c r="H4479" t="str">
        <f>+H4478</f>
        <v>BE-160 RODRIGO VIDAL PAIVA</v>
      </c>
      <c r="I4479" s="347" t="s">
        <v>1303</v>
      </c>
      <c r="K4479" s="370"/>
      <c r="N4479" s="370"/>
    </row>
    <row r="4480" spans="1:14" s="347" customFormat="1" x14ac:dyDescent="0.25">
      <c r="A4480" s="369">
        <f>+A4479</f>
        <v>44424</v>
      </c>
      <c r="B4480" s="347">
        <f>+B4479</f>
        <v>8</v>
      </c>
      <c r="C4480" s="347">
        <v>110</v>
      </c>
      <c r="D4480" s="340" t="str">
        <f>VLOOKUP(C4480,Plan!A$1:B$65542,2,0)</f>
        <v>Disponible Administración</v>
      </c>
      <c r="E4480" s="341">
        <f>+F4480-G4480</f>
        <v>-442500</v>
      </c>
      <c r="F4480" s="396">
        <v>0</v>
      </c>
      <c r="G4480" s="396">
        <v>442500</v>
      </c>
      <c r="H4480" t="str">
        <f>+H4479</f>
        <v>BE-160 RODRIGO VIDAL PAIVA</v>
      </c>
      <c r="I4480" s="347" t="s">
        <v>1303</v>
      </c>
      <c r="K4480" s="370"/>
      <c r="N4480" s="370"/>
    </row>
    <row r="4481" spans="1:14" s="347" customFormat="1" x14ac:dyDescent="0.25">
      <c r="A4481" s="369"/>
      <c r="E4481" s="396"/>
      <c r="F4481" s="396"/>
      <c r="G4481" s="396"/>
      <c r="K4481" s="370"/>
      <c r="N4481" s="370"/>
    </row>
    <row r="4482" spans="1:14" s="347" customFormat="1" x14ac:dyDescent="0.25">
      <c r="A4482" s="369">
        <v>44424</v>
      </c>
      <c r="B4482" s="340">
        <f>+MONTH(A4482)</f>
        <v>8</v>
      </c>
      <c r="C4482" s="347">
        <v>4430</v>
      </c>
      <c r="D4482" s="340" t="str">
        <f>VLOOKUP(C4482,Plan!A$1:B$65542,2,0)</f>
        <v>Varios</v>
      </c>
      <c r="E4482" s="341">
        <f>+F4482-G4482</f>
        <v>30290</v>
      </c>
      <c r="F4482" s="396">
        <v>30290</v>
      </c>
      <c r="G4482" s="396">
        <v>0</v>
      </c>
      <c r="H4482" t="s">
        <v>1957</v>
      </c>
      <c r="I4482" s="347" t="s">
        <v>1303</v>
      </c>
      <c r="K4482" s="370"/>
      <c r="N4482" s="370"/>
    </row>
    <row r="4483" spans="1:14" s="347" customFormat="1" x14ac:dyDescent="0.25">
      <c r="A4483" s="369">
        <f>+A4482</f>
        <v>44424</v>
      </c>
      <c r="B4483" s="347">
        <f>+B4482</f>
        <v>8</v>
      </c>
      <c r="C4483" s="347">
        <v>110</v>
      </c>
      <c r="D4483" s="340" t="str">
        <f>VLOOKUP(C4483,Plan!A$1:B$65542,2,0)</f>
        <v>Disponible Administración</v>
      </c>
      <c r="E4483" s="341">
        <f>+F4483-G4483</f>
        <v>-30290</v>
      </c>
      <c r="F4483" s="396">
        <v>0</v>
      </c>
      <c r="G4483" s="396">
        <f>+F4482</f>
        <v>30290</v>
      </c>
      <c r="H4483" t="str">
        <f>+H4482</f>
        <v>Rend. Compra webcam Veronica Arriagada Soto</v>
      </c>
      <c r="I4483" s="347" t="s">
        <v>1303</v>
      </c>
      <c r="K4483" s="370"/>
      <c r="N4483" s="370"/>
    </row>
    <row r="4484" spans="1:14" s="347" customFormat="1" x14ac:dyDescent="0.25">
      <c r="A4484" s="369"/>
      <c r="E4484" s="396"/>
      <c r="F4484" s="396"/>
      <c r="G4484" s="396"/>
      <c r="K4484" s="370"/>
      <c r="N4484" s="370"/>
    </row>
    <row r="4485" spans="1:14" s="347" customFormat="1" x14ac:dyDescent="0.25">
      <c r="A4485" s="369">
        <v>44424</v>
      </c>
      <c r="B4485" s="340">
        <f>+MONTH(A4485)</f>
        <v>8</v>
      </c>
      <c r="C4485" s="347">
        <v>4223</v>
      </c>
      <c r="D4485" s="340" t="str">
        <f>VLOOKUP(C4485,Plan!A$1:B$65542,2,0)</f>
        <v xml:space="preserve">         Comunicaciones</v>
      </c>
      <c r="E4485" s="341">
        <f>+F4485-G4485</f>
        <v>65450</v>
      </c>
      <c r="F4485" s="396">
        <v>65450</v>
      </c>
      <c r="G4485" s="396">
        <v>0</v>
      </c>
      <c r="H4485" t="s">
        <v>1958</v>
      </c>
      <c r="I4485" s="347" t="s">
        <v>1303</v>
      </c>
      <c r="K4485" s="370"/>
      <c r="N4485" s="370"/>
    </row>
    <row r="4486" spans="1:14" s="347" customFormat="1" x14ac:dyDescent="0.25">
      <c r="A4486" s="369">
        <f>+A4485</f>
        <v>44424</v>
      </c>
      <c r="B4486" s="347">
        <f>+B4485</f>
        <v>8</v>
      </c>
      <c r="C4486" s="347">
        <v>110</v>
      </c>
      <c r="D4486" s="340" t="str">
        <f>VLOOKUP(C4486,Plan!A$1:B$65542,2,0)</f>
        <v>Disponible Administración</v>
      </c>
      <c r="E4486" s="341">
        <f>+F4486-G4486</f>
        <v>-65450</v>
      </c>
      <c r="F4486" s="396">
        <v>0</v>
      </c>
      <c r="G4486" s="396">
        <f>+F4485</f>
        <v>65450</v>
      </c>
      <c r="H4486" t="str">
        <f>+H4485</f>
        <v>Rend. Caja Impr.Volantes Rafael Valdes Searle</v>
      </c>
      <c r="I4486" s="347" t="s">
        <v>1303</v>
      </c>
      <c r="K4486" s="370"/>
      <c r="N4486" s="370"/>
    </row>
    <row r="4487" spans="1:14" s="347" customFormat="1" x14ac:dyDescent="0.25">
      <c r="A4487" s="369"/>
      <c r="E4487" s="396"/>
      <c r="F4487" s="396"/>
      <c r="G4487" s="396"/>
      <c r="K4487" s="370"/>
      <c r="N4487" s="370"/>
    </row>
    <row r="4488" spans="1:14" s="347" customFormat="1" x14ac:dyDescent="0.25">
      <c r="A4488" s="369">
        <v>44424</v>
      </c>
      <c r="B4488" s="340">
        <f>+MONTH(A4488)</f>
        <v>8</v>
      </c>
      <c r="C4488" s="347">
        <v>4641</v>
      </c>
      <c r="D4488" s="340" t="str">
        <f>VLOOKUP(C4488,Plan!A$1:B$65542,2,0)</f>
        <v xml:space="preserve">             Capellanías </v>
      </c>
      <c r="E4488" s="341">
        <f>+F4488-G4488</f>
        <v>90000</v>
      </c>
      <c r="F4488" s="396">
        <v>90000</v>
      </c>
      <c r="G4488" s="396">
        <v>0</v>
      </c>
      <c r="H4488" t="s">
        <v>1959</v>
      </c>
      <c r="I4488" s="347" t="s">
        <v>1303</v>
      </c>
      <c r="K4488" s="370"/>
      <c r="N4488" s="370"/>
    </row>
    <row r="4489" spans="1:14" s="347" customFormat="1" x14ac:dyDescent="0.25">
      <c r="A4489" s="369">
        <f>+A4488</f>
        <v>44424</v>
      </c>
      <c r="B4489" s="347">
        <f>+B4488</f>
        <v>8</v>
      </c>
      <c r="C4489" s="347">
        <v>110</v>
      </c>
      <c r="D4489" s="340" t="str">
        <f>VLOOKUP(C4489,Plan!A$1:B$65542,2,0)</f>
        <v>Disponible Administración</v>
      </c>
      <c r="E4489" s="341">
        <f>+F4489-G4489</f>
        <v>-90000</v>
      </c>
      <c r="F4489" s="396">
        <v>0</v>
      </c>
      <c r="G4489" s="396">
        <f>+F4488</f>
        <v>90000</v>
      </c>
      <c r="H4489" t="str">
        <f>+H4488</f>
        <v>Capellania 6 Misas Ago/21 Sebastianus Go</v>
      </c>
      <c r="I4489" s="347" t="s">
        <v>1303</v>
      </c>
      <c r="K4489" s="370"/>
      <c r="N4489" s="370"/>
    </row>
    <row r="4490" spans="1:14" s="347" customFormat="1" x14ac:dyDescent="0.25">
      <c r="A4490" s="369"/>
      <c r="E4490" s="396"/>
      <c r="F4490" s="396"/>
      <c r="G4490" s="396"/>
      <c r="K4490" s="370"/>
      <c r="N4490" s="370"/>
    </row>
    <row r="4491" spans="1:14" s="347" customFormat="1" x14ac:dyDescent="0.25">
      <c r="A4491" s="369">
        <v>44424</v>
      </c>
      <c r="B4491" s="340">
        <f>+MONTH(A4491)</f>
        <v>8</v>
      </c>
      <c r="C4491" s="347">
        <v>4641</v>
      </c>
      <c r="D4491" s="340" t="str">
        <f>VLOOKUP(C4491,Plan!A$1:B$65542,2,0)</f>
        <v xml:space="preserve">             Capellanías </v>
      </c>
      <c r="E4491" s="341">
        <f>+F4491-G4491</f>
        <v>20000</v>
      </c>
      <c r="F4491" s="396">
        <v>20000</v>
      </c>
      <c r="G4491" s="396">
        <v>0</v>
      </c>
      <c r="H4491" t="s">
        <v>1960</v>
      </c>
      <c r="I4491" s="347" t="s">
        <v>1303</v>
      </c>
      <c r="K4491" s="370"/>
      <c r="N4491" s="370"/>
    </row>
    <row r="4492" spans="1:14" s="347" customFormat="1" x14ac:dyDescent="0.25">
      <c r="A4492" s="369">
        <f>+A4491</f>
        <v>44424</v>
      </c>
      <c r="B4492" s="347">
        <f>+B4491</f>
        <v>8</v>
      </c>
      <c r="C4492" s="347">
        <v>110</v>
      </c>
      <c r="D4492" s="340" t="str">
        <f>VLOOKUP(C4492,Plan!A$1:B$65542,2,0)</f>
        <v>Disponible Administración</v>
      </c>
      <c r="E4492" s="341">
        <f>+F4492-G4492</f>
        <v>-20000</v>
      </c>
      <c r="F4492" s="396">
        <v>0</v>
      </c>
      <c r="G4492" s="396">
        <f>+F4491</f>
        <v>20000</v>
      </c>
      <c r="H4492" t="str">
        <f>+H4491</f>
        <v>Capellania 1 Misa Ago/21 Congregacion Legionarios de Chile</v>
      </c>
      <c r="I4492" s="347" t="s">
        <v>1303</v>
      </c>
      <c r="K4492" s="370"/>
      <c r="N4492" s="370"/>
    </row>
    <row r="4493" spans="1:14" s="347" customFormat="1" x14ac:dyDescent="0.25">
      <c r="A4493" s="369"/>
      <c r="E4493" s="396"/>
      <c r="F4493" s="396"/>
      <c r="G4493" s="396"/>
      <c r="K4493" s="370"/>
      <c r="N4493" s="370"/>
    </row>
    <row r="4494" spans="1:14" s="347" customFormat="1" x14ac:dyDescent="0.25">
      <c r="A4494" s="369">
        <v>44424</v>
      </c>
      <c r="B4494" s="340">
        <f>+MONTH(A4494)</f>
        <v>8</v>
      </c>
      <c r="C4494" s="347">
        <v>4641</v>
      </c>
      <c r="D4494" s="340" t="str">
        <f>VLOOKUP(C4494,Plan!A$1:B$65542,2,0)</f>
        <v xml:space="preserve">             Capellanías </v>
      </c>
      <c r="E4494" s="341">
        <f>+F4494-G4494</f>
        <v>80000</v>
      </c>
      <c r="F4494" s="396">
        <v>80000</v>
      </c>
      <c r="G4494" s="396">
        <v>0</v>
      </c>
      <c r="H4494" t="s">
        <v>1961</v>
      </c>
      <c r="I4494" s="347" t="s">
        <v>1303</v>
      </c>
      <c r="K4494" s="370"/>
      <c r="N4494" s="370"/>
    </row>
    <row r="4495" spans="1:14" s="347" customFormat="1" x14ac:dyDescent="0.25">
      <c r="A4495" s="369">
        <f>+A4494</f>
        <v>44424</v>
      </c>
      <c r="B4495" s="347">
        <f>+B4494</f>
        <v>8</v>
      </c>
      <c r="C4495" s="347">
        <v>110</v>
      </c>
      <c r="D4495" s="340" t="str">
        <f>VLOOKUP(C4495,Plan!A$1:B$65542,2,0)</f>
        <v>Disponible Administración</v>
      </c>
      <c r="E4495" s="341">
        <f>+F4495-G4495</f>
        <v>-80000</v>
      </c>
      <c r="F4495" s="396">
        <v>0</v>
      </c>
      <c r="G4495" s="396">
        <f>+F4494</f>
        <v>80000</v>
      </c>
      <c r="H4495" t="str">
        <f>+H4494</f>
        <v>Capellania 4 Misas Ago/21 Cesar Augusto Fernandez</v>
      </c>
      <c r="I4495" s="347" t="s">
        <v>1303</v>
      </c>
      <c r="K4495" s="370"/>
      <c r="N4495" s="370"/>
    </row>
    <row r="4496" spans="1:14" s="347" customFormat="1" x14ac:dyDescent="0.25">
      <c r="A4496" s="369"/>
      <c r="E4496" s="396"/>
      <c r="F4496" s="396"/>
      <c r="G4496" s="396"/>
      <c r="K4496" s="370"/>
      <c r="N4496" s="370"/>
    </row>
    <row r="4497" spans="1:14" s="347" customFormat="1" x14ac:dyDescent="0.25">
      <c r="A4497" s="369">
        <v>44424</v>
      </c>
      <c r="B4497" s="340">
        <f>+MONTH(A4497)</f>
        <v>8</v>
      </c>
      <c r="C4497" s="347">
        <v>4641</v>
      </c>
      <c r="D4497" s="340" t="str">
        <f>VLOOKUP(C4497,Plan!A$1:B$65542,2,0)</f>
        <v xml:space="preserve">             Capellanías </v>
      </c>
      <c r="E4497" s="341">
        <f>+F4497-G4497</f>
        <v>20000</v>
      </c>
      <c r="F4497" s="396">
        <v>20000</v>
      </c>
      <c r="G4497" s="396">
        <v>0</v>
      </c>
      <c r="H4497" t="s">
        <v>1962</v>
      </c>
      <c r="I4497" s="347" t="s">
        <v>1303</v>
      </c>
      <c r="K4497" s="370"/>
      <c r="N4497" s="370"/>
    </row>
    <row r="4498" spans="1:14" s="347" customFormat="1" x14ac:dyDescent="0.25">
      <c r="A4498" s="369">
        <f>+A4497</f>
        <v>44424</v>
      </c>
      <c r="B4498" s="347">
        <f>+B4497</f>
        <v>8</v>
      </c>
      <c r="C4498" s="347">
        <v>110</v>
      </c>
      <c r="D4498" s="340" t="str">
        <f>VLOOKUP(C4498,Plan!A$1:B$65542,2,0)</f>
        <v>Disponible Administración</v>
      </c>
      <c r="E4498" s="341">
        <f>+F4498-G4498</f>
        <v>-20000</v>
      </c>
      <c r="F4498" s="396">
        <v>0</v>
      </c>
      <c r="G4498" s="396">
        <f>+F4497</f>
        <v>20000</v>
      </c>
      <c r="H4498" t="str">
        <f>+H4497</f>
        <v>Capellania 1 Misa Ago/21 Fernando Herrera Nava</v>
      </c>
      <c r="I4498" s="347" t="s">
        <v>1303</v>
      </c>
      <c r="K4498" s="370"/>
      <c r="N4498" s="370"/>
    </row>
    <row r="4499" spans="1:14" s="347" customFormat="1" x14ac:dyDescent="0.25">
      <c r="A4499" s="369"/>
      <c r="E4499" s="396"/>
      <c r="F4499" s="396"/>
      <c r="G4499" s="396"/>
      <c r="K4499" s="370"/>
      <c r="N4499" s="370"/>
    </row>
    <row r="4500" spans="1:14" s="347" customFormat="1" x14ac:dyDescent="0.25">
      <c r="A4500" s="369">
        <v>44424</v>
      </c>
      <c r="B4500" s="340">
        <f>+MONTH(A4500)</f>
        <v>8</v>
      </c>
      <c r="C4500" s="347">
        <v>4641</v>
      </c>
      <c r="D4500" s="340" t="str">
        <f>VLOOKUP(C4500,Plan!A$1:B$65542,2,0)</f>
        <v xml:space="preserve">             Capellanías </v>
      </c>
      <c r="E4500" s="341">
        <f>+F4500-G4500</f>
        <v>20000</v>
      </c>
      <c r="F4500" s="396">
        <v>20000</v>
      </c>
      <c r="G4500" s="396">
        <v>0</v>
      </c>
      <c r="H4500" t="s">
        <v>1963</v>
      </c>
      <c r="I4500" s="347" t="s">
        <v>1303</v>
      </c>
      <c r="K4500" s="370"/>
      <c r="N4500" s="370"/>
    </row>
    <row r="4501" spans="1:14" s="347" customFormat="1" x14ac:dyDescent="0.25">
      <c r="A4501" s="369">
        <f>+A4500</f>
        <v>44424</v>
      </c>
      <c r="B4501" s="347">
        <f>+B4500</f>
        <v>8</v>
      </c>
      <c r="C4501" s="347">
        <v>110</v>
      </c>
      <c r="D4501" s="340" t="str">
        <f>VLOOKUP(C4501,Plan!A$1:B$65542,2,0)</f>
        <v>Disponible Administración</v>
      </c>
      <c r="E4501" s="341">
        <f>+F4501-G4501</f>
        <v>-20000</v>
      </c>
      <c r="F4501" s="396">
        <v>0</v>
      </c>
      <c r="G4501" s="396">
        <f>+F4500</f>
        <v>20000</v>
      </c>
      <c r="H4501" t="str">
        <f>+H4500</f>
        <v>Capellania 1 Misa Ago/21 Felipe Izquierdo Ibañez</v>
      </c>
      <c r="I4501" s="347" t="s">
        <v>1303</v>
      </c>
      <c r="K4501" s="370"/>
      <c r="N4501" s="370"/>
    </row>
    <row r="4502" spans="1:14" s="347" customFormat="1" x14ac:dyDescent="0.25">
      <c r="A4502" s="369"/>
      <c r="E4502" s="396"/>
      <c r="F4502" s="396"/>
      <c r="G4502" s="396"/>
      <c r="K4502" s="370"/>
      <c r="N4502" s="370"/>
    </row>
    <row r="4503" spans="1:14" s="347" customFormat="1" x14ac:dyDescent="0.25">
      <c r="A4503" s="369">
        <v>44424</v>
      </c>
      <c r="B4503" s="340">
        <f>+MONTH(A4503)</f>
        <v>8</v>
      </c>
      <c r="C4503" s="347">
        <v>4641</v>
      </c>
      <c r="D4503" s="340" t="str">
        <f>VLOOKUP(C4503,Plan!A$1:B$65542,2,0)</f>
        <v xml:space="preserve">             Capellanías </v>
      </c>
      <c r="E4503" s="341">
        <f>+F4503-G4503</f>
        <v>50000</v>
      </c>
      <c r="F4503" s="396">
        <v>50000</v>
      </c>
      <c r="G4503" s="396">
        <v>0</v>
      </c>
      <c r="H4503" t="s">
        <v>1964</v>
      </c>
      <c r="I4503" s="347" t="s">
        <v>1303</v>
      </c>
      <c r="K4503" s="370"/>
      <c r="N4503" s="370"/>
    </row>
    <row r="4504" spans="1:14" s="347" customFormat="1" x14ac:dyDescent="0.25">
      <c r="A4504" s="369">
        <f>+A4503</f>
        <v>44424</v>
      </c>
      <c r="B4504" s="347">
        <f>+B4503</f>
        <v>8</v>
      </c>
      <c r="C4504" s="347">
        <v>110</v>
      </c>
      <c r="D4504" s="340" t="str">
        <f>VLOOKUP(C4504,Plan!A$1:B$65542,2,0)</f>
        <v>Disponible Administración</v>
      </c>
      <c r="E4504" s="341">
        <f>+F4504-G4504</f>
        <v>-50000</v>
      </c>
      <c r="F4504" s="396">
        <v>0</v>
      </c>
      <c r="G4504" s="396">
        <f>+F4503</f>
        <v>50000</v>
      </c>
      <c r="H4504" t="str">
        <f>+H4503</f>
        <v>Capellania 3 Misas Ago/21 Carlos Hernan Garces Voisenat</v>
      </c>
      <c r="I4504" s="347" t="s">
        <v>1303</v>
      </c>
      <c r="K4504" s="370"/>
      <c r="N4504" s="370"/>
    </row>
    <row r="4505" spans="1:14" s="347" customFormat="1" x14ac:dyDescent="0.25">
      <c r="A4505" s="369"/>
      <c r="E4505" s="396"/>
      <c r="F4505" s="396"/>
      <c r="G4505" s="396"/>
      <c r="K4505" s="370"/>
      <c r="N4505" s="370"/>
    </row>
    <row r="4506" spans="1:14" s="347" customFormat="1" x14ac:dyDescent="0.25">
      <c r="A4506" s="369">
        <v>44424</v>
      </c>
      <c r="B4506" s="340">
        <f>+MONTH(A4506)</f>
        <v>8</v>
      </c>
      <c r="C4506" s="347">
        <v>4641</v>
      </c>
      <c r="D4506" s="340" t="str">
        <f>VLOOKUP(C4506,Plan!A$1:B$65542,2,0)</f>
        <v xml:space="preserve">             Capellanías </v>
      </c>
      <c r="E4506" s="341">
        <f>+F4506-G4506</f>
        <v>20000</v>
      </c>
      <c r="F4506" s="396">
        <v>20000</v>
      </c>
      <c r="G4506" s="396">
        <v>0</v>
      </c>
      <c r="H4506" t="s">
        <v>1965</v>
      </c>
      <c r="I4506" s="347" t="s">
        <v>1303</v>
      </c>
      <c r="K4506" s="370"/>
      <c r="N4506" s="370"/>
    </row>
    <row r="4507" spans="1:14" s="347" customFormat="1" x14ac:dyDescent="0.25">
      <c r="A4507" s="369">
        <f>+A4506</f>
        <v>44424</v>
      </c>
      <c r="B4507" s="347">
        <f>+B4506</f>
        <v>8</v>
      </c>
      <c r="C4507" s="347">
        <v>110</v>
      </c>
      <c r="D4507" s="340" t="str">
        <f>VLOOKUP(C4507,Plan!A$1:B$65542,2,0)</f>
        <v>Disponible Administración</v>
      </c>
      <c r="E4507" s="341">
        <f>+F4507-G4507</f>
        <v>-20000</v>
      </c>
      <c r="F4507" s="396">
        <v>0</v>
      </c>
      <c r="G4507" s="396">
        <f>+F4506</f>
        <v>20000</v>
      </c>
      <c r="H4507" t="str">
        <f>+H4506</f>
        <v>Capellania 1 Misa Ago/21 Gabriel Barcena</v>
      </c>
      <c r="I4507" s="347" t="s">
        <v>1303</v>
      </c>
      <c r="K4507" s="370"/>
      <c r="N4507" s="370"/>
    </row>
    <row r="4508" spans="1:14" s="347" customFormat="1" x14ac:dyDescent="0.25">
      <c r="A4508" s="369"/>
      <c r="E4508" s="396"/>
      <c r="F4508" s="396"/>
      <c r="G4508" s="396"/>
      <c r="K4508" s="370"/>
      <c r="N4508" s="370"/>
    </row>
    <row r="4509" spans="1:14" s="347" customFormat="1" x14ac:dyDescent="0.25">
      <c r="A4509" s="369">
        <v>44424</v>
      </c>
      <c r="B4509" s="340">
        <f>+MONTH(A4509)</f>
        <v>8</v>
      </c>
      <c r="C4509" s="347">
        <v>110</v>
      </c>
      <c r="D4509" s="340" t="str">
        <f>VLOOKUP(C4509,Plan!A$1:B$65542,2,0)</f>
        <v>Disponible Administración</v>
      </c>
      <c r="E4509" s="341">
        <f>+F4509-G4509</f>
        <v>20000</v>
      </c>
      <c r="F4509" s="396">
        <v>20000</v>
      </c>
      <c r="G4509" s="396">
        <v>0</v>
      </c>
      <c r="H4509" t="s">
        <v>1399</v>
      </c>
      <c r="I4509" s="347" t="s">
        <v>1303</v>
      </c>
      <c r="K4509" s="370"/>
      <c r="N4509" s="370"/>
    </row>
    <row r="4510" spans="1:14" s="347" customFormat="1" x14ac:dyDescent="0.25">
      <c r="A4510" s="369">
        <f>+A4509</f>
        <v>44424</v>
      </c>
      <c r="B4510" s="347">
        <f>+B4509</f>
        <v>8</v>
      </c>
      <c r="C4510" s="347">
        <v>3110</v>
      </c>
      <c r="D4510" s="340" t="str">
        <f>VLOOKUP(C4510,Plan!A$1:B$65542,2,0)</f>
        <v>Colectas Normales</v>
      </c>
      <c r="E4510" s="341">
        <f>+F4510-G4510</f>
        <v>-20000</v>
      </c>
      <c r="F4510" s="396">
        <v>0</v>
      </c>
      <c r="G4510" s="396">
        <f>+F4509</f>
        <v>20000</v>
      </c>
      <c r="H4510" t="str">
        <f>+H4509</f>
        <v>Colecta Carmen Gloria Rios Rivas</v>
      </c>
      <c r="I4510" s="347" t="s">
        <v>1303</v>
      </c>
      <c r="K4510" s="370"/>
      <c r="N4510" s="370"/>
    </row>
    <row r="4511" spans="1:14" s="347" customFormat="1" x14ac:dyDescent="0.25">
      <c r="A4511" s="369"/>
      <c r="E4511" s="396"/>
      <c r="F4511" s="396"/>
      <c r="G4511" s="396"/>
      <c r="K4511" s="370"/>
      <c r="N4511" s="370"/>
    </row>
    <row r="4512" spans="1:14" s="347" customFormat="1" x14ac:dyDescent="0.25">
      <c r="A4512" s="369">
        <v>44424</v>
      </c>
      <c r="B4512" s="340">
        <f>+MONTH(A4512)</f>
        <v>8</v>
      </c>
      <c r="C4512" s="347">
        <v>4325</v>
      </c>
      <c r="D4512" s="340" t="str">
        <f>VLOOKUP(C4512,Plan!A$1:B$65542,2,0)</f>
        <v>Alarma (ADT)</v>
      </c>
      <c r="E4512" s="341">
        <f>+F4512-G4512</f>
        <v>43448</v>
      </c>
      <c r="F4512" s="396">
        <v>43448</v>
      </c>
      <c r="G4512" s="396">
        <v>0</v>
      </c>
      <c r="H4512" t="s">
        <v>750</v>
      </c>
      <c r="I4512" s="347" t="s">
        <v>1303</v>
      </c>
      <c r="K4512" s="370"/>
      <c r="N4512" s="370"/>
    </row>
    <row r="4513" spans="1:14" s="347" customFormat="1" x14ac:dyDescent="0.25">
      <c r="A4513" s="369">
        <f>+A4512</f>
        <v>44424</v>
      </c>
      <c r="B4513" s="347">
        <f>+B4512</f>
        <v>8</v>
      </c>
      <c r="C4513" s="347">
        <v>110</v>
      </c>
      <c r="D4513" s="340" t="str">
        <f>VLOOKUP(C4513,Plan!A$1:B$65542,2,0)</f>
        <v>Disponible Administración</v>
      </c>
      <c r="E4513" s="341">
        <f>+F4513-G4513</f>
        <v>-43448</v>
      </c>
      <c r="F4513" s="396">
        <v>0</v>
      </c>
      <c r="G4513" s="396">
        <f>+F4512</f>
        <v>43448</v>
      </c>
      <c r="H4513" t="str">
        <f>+H4512</f>
        <v>PAC ADT</v>
      </c>
      <c r="I4513" s="347" t="s">
        <v>1303</v>
      </c>
      <c r="K4513" s="370"/>
      <c r="N4513" s="370"/>
    </row>
    <row r="4514" spans="1:14" s="347" customFormat="1" x14ac:dyDescent="0.25">
      <c r="A4514" s="369"/>
      <c r="E4514" s="396"/>
      <c r="F4514" s="396"/>
      <c r="G4514" s="396"/>
      <c r="K4514" s="370"/>
      <c r="N4514" s="370"/>
    </row>
    <row r="4515" spans="1:14" s="347" customFormat="1" x14ac:dyDescent="0.25">
      <c r="A4515" s="369">
        <v>44424</v>
      </c>
      <c r="B4515" s="340">
        <f>+MONTH(A4515)</f>
        <v>8</v>
      </c>
      <c r="C4515" s="347">
        <v>4323</v>
      </c>
      <c r="D4515" s="340" t="str">
        <f>VLOOKUP(C4515,Plan!A$1:B$65542,2,0)</f>
        <v>Telefonía, Internet (VTR, Entel)</v>
      </c>
      <c r="E4515" s="341">
        <f>+F4515-G4515</f>
        <v>20990</v>
      </c>
      <c r="F4515" s="396">
        <v>20990</v>
      </c>
      <c r="G4515" s="396">
        <v>0</v>
      </c>
      <c r="H4515" t="s">
        <v>1359</v>
      </c>
      <c r="I4515" s="347" t="s">
        <v>1303</v>
      </c>
      <c r="K4515" s="370"/>
      <c r="N4515" s="370"/>
    </row>
    <row r="4516" spans="1:14" s="347" customFormat="1" x14ac:dyDescent="0.25">
      <c r="A4516" s="369">
        <f>+A4515</f>
        <v>44424</v>
      </c>
      <c r="B4516" s="347">
        <f>+B4515</f>
        <v>8</v>
      </c>
      <c r="C4516" s="347">
        <v>110</v>
      </c>
      <c r="D4516" s="340" t="str">
        <f>VLOOKUP(C4516,Plan!A$1:B$65542,2,0)</f>
        <v>Disponible Administración</v>
      </c>
      <c r="E4516" s="341">
        <f>+F4516-G4516</f>
        <v>-20990</v>
      </c>
      <c r="F4516" s="396">
        <v>0</v>
      </c>
      <c r="G4516" s="396">
        <f>+F4515</f>
        <v>20990</v>
      </c>
      <c r="H4516" t="str">
        <f>+H4515</f>
        <v>PAC ENTEL OFICINA</v>
      </c>
      <c r="I4516" s="347" t="s">
        <v>1303</v>
      </c>
      <c r="K4516" s="370"/>
      <c r="N4516" s="370"/>
    </row>
    <row r="4517" spans="1:14" s="347" customFormat="1" x14ac:dyDescent="0.25">
      <c r="A4517" s="369"/>
      <c r="E4517" s="396"/>
      <c r="F4517" s="396"/>
      <c r="G4517" s="396"/>
      <c r="K4517" s="370"/>
      <c r="N4517" s="370"/>
    </row>
    <row r="4518" spans="1:14" s="347" customFormat="1" x14ac:dyDescent="0.25">
      <c r="A4518" s="369">
        <v>44424</v>
      </c>
      <c r="B4518" s="340">
        <f>+MONTH(A4518)</f>
        <v>8</v>
      </c>
      <c r="C4518" s="347">
        <v>110</v>
      </c>
      <c r="D4518" s="340" t="str">
        <f>VLOOKUP(C4518,Plan!A$1:B$65542,2,0)</f>
        <v>Disponible Administración</v>
      </c>
      <c r="E4518" s="341">
        <f>+F4518-G4518</f>
        <v>240242</v>
      </c>
      <c r="F4518" s="396">
        <v>240242</v>
      </c>
      <c r="G4518" s="396">
        <v>0</v>
      </c>
      <c r="H4518" t="s">
        <v>1966</v>
      </c>
      <c r="I4518" s="347" t="s">
        <v>1303</v>
      </c>
      <c r="K4518" s="370"/>
      <c r="N4518" s="370"/>
    </row>
    <row r="4519" spans="1:14" s="347" customFormat="1" x14ac:dyDescent="0.25">
      <c r="A4519" s="369">
        <f>+A4518</f>
        <v>44424</v>
      </c>
      <c r="B4519" s="347">
        <f>+B4518</f>
        <v>8</v>
      </c>
      <c r="C4519" s="347">
        <v>3450</v>
      </c>
      <c r="D4519" s="340" t="str">
        <f>VLOOKUP(C4519,Plan!A$1:B$65542,2,0)</f>
        <v>Pastoral Social</v>
      </c>
      <c r="E4519" s="341">
        <f>+F4519-G4519</f>
        <v>-240242</v>
      </c>
      <c r="F4519" s="396">
        <v>0</v>
      </c>
      <c r="G4519" s="396">
        <f>+F4518</f>
        <v>240242</v>
      </c>
      <c r="H4519" t="str">
        <f>+H4518</f>
        <v>Dia del Niño Marcela Ferreiro C.</v>
      </c>
      <c r="I4519" s="347" t="s">
        <v>1303</v>
      </c>
      <c r="K4519" s="370"/>
      <c r="N4519" s="370"/>
    </row>
    <row r="4520" spans="1:14" s="347" customFormat="1" x14ac:dyDescent="0.25">
      <c r="A4520" s="369"/>
      <c r="E4520" s="396"/>
      <c r="F4520" s="396"/>
      <c r="G4520" s="396"/>
      <c r="K4520" s="370"/>
      <c r="N4520" s="370"/>
    </row>
    <row r="4521" spans="1:14" s="347" customFormat="1" x14ac:dyDescent="0.25">
      <c r="A4521" s="369">
        <v>44424</v>
      </c>
      <c r="B4521" s="340">
        <f>+MONTH(A4521)</f>
        <v>8</v>
      </c>
      <c r="C4521" s="347">
        <v>110</v>
      </c>
      <c r="D4521" s="340" t="str">
        <f>VLOOKUP(C4521,Plan!A$1:B$65542,2,0)</f>
        <v>Disponible Administración</v>
      </c>
      <c r="E4521" s="341">
        <f>+F4521-G4521</f>
        <v>10000</v>
      </c>
      <c r="F4521" s="396">
        <v>10000</v>
      </c>
      <c r="G4521" s="396">
        <v>0</v>
      </c>
      <c r="H4521" t="s">
        <v>881</v>
      </c>
      <c r="I4521" s="347" t="s">
        <v>1303</v>
      </c>
      <c r="K4521" s="370"/>
      <c r="N4521" s="370"/>
    </row>
    <row r="4522" spans="1:14" s="347" customFormat="1" x14ac:dyDescent="0.25">
      <c r="A4522" s="369">
        <f>+A4521</f>
        <v>44424</v>
      </c>
      <c r="B4522" s="347">
        <f>+B4521</f>
        <v>8</v>
      </c>
      <c r="C4522" s="347">
        <v>3110</v>
      </c>
      <c r="D4522" s="340" t="str">
        <f>VLOOKUP(C4522,Plan!A$1:B$65542,2,0)</f>
        <v>Colectas Normales</v>
      </c>
      <c r="E4522" s="341">
        <f>+F4522-G4522</f>
        <v>-10000</v>
      </c>
      <c r="F4522" s="396">
        <v>0</v>
      </c>
      <c r="G4522" s="396">
        <f>+F4521</f>
        <v>10000</v>
      </c>
      <c r="H4522" t="str">
        <f>+H4521</f>
        <v>Colecta Rafael Marin Jordan</v>
      </c>
      <c r="I4522" s="347" t="s">
        <v>1303</v>
      </c>
      <c r="K4522" s="370"/>
      <c r="N4522" s="370"/>
    </row>
    <row r="4523" spans="1:14" s="347" customFormat="1" x14ac:dyDescent="0.25">
      <c r="A4523" s="369"/>
      <c r="E4523" s="396"/>
      <c r="F4523" s="396"/>
      <c r="G4523" s="396"/>
      <c r="K4523" s="370"/>
      <c r="N4523" s="370"/>
    </row>
    <row r="4524" spans="1:14" s="347" customFormat="1" x14ac:dyDescent="0.25">
      <c r="A4524" s="369">
        <v>44424</v>
      </c>
      <c r="B4524" s="340">
        <f>+MONTH(A4524)</f>
        <v>8</v>
      </c>
      <c r="C4524" s="347">
        <v>110</v>
      </c>
      <c r="D4524" s="340" t="str">
        <f>VLOOKUP(C4524,Plan!A$1:B$65542,2,0)</f>
        <v>Disponible Administración</v>
      </c>
      <c r="E4524" s="341">
        <f>+F4524-G4524</f>
        <v>8000</v>
      </c>
      <c r="F4524" s="396">
        <v>8000</v>
      </c>
      <c r="G4524" s="396">
        <v>0</v>
      </c>
      <c r="H4524" t="s">
        <v>971</v>
      </c>
      <c r="I4524" s="347" t="s">
        <v>1303</v>
      </c>
      <c r="K4524" s="370"/>
      <c r="N4524" s="370"/>
    </row>
    <row r="4525" spans="1:14" s="347" customFormat="1" x14ac:dyDescent="0.25">
      <c r="A4525" s="369">
        <f>+A4524</f>
        <v>44424</v>
      </c>
      <c r="B4525" s="347">
        <f>+B4524</f>
        <v>8</v>
      </c>
      <c r="C4525" s="347">
        <v>3110</v>
      </c>
      <c r="D4525" s="340" t="str">
        <f>VLOOKUP(C4525,Plan!A$1:B$65542,2,0)</f>
        <v>Colectas Normales</v>
      </c>
      <c r="E4525" s="341">
        <f>+F4525-G4525</f>
        <v>-8000</v>
      </c>
      <c r="F4525" s="396">
        <v>0</v>
      </c>
      <c r="G4525" s="396">
        <f>+F4524</f>
        <v>8000</v>
      </c>
      <c r="H4525" t="str">
        <f>+H4524</f>
        <v>Colecta Pablo Irarrazaval Mena</v>
      </c>
      <c r="I4525" s="347" t="s">
        <v>1303</v>
      </c>
      <c r="K4525" s="370"/>
      <c r="N4525" s="370"/>
    </row>
    <row r="4526" spans="1:14" s="347" customFormat="1" x14ac:dyDescent="0.25">
      <c r="A4526" s="369"/>
      <c r="E4526" s="396"/>
      <c r="F4526" s="396"/>
      <c r="G4526" s="396"/>
      <c r="K4526" s="370"/>
      <c r="N4526" s="370"/>
    </row>
    <row r="4527" spans="1:14" s="347" customFormat="1" x14ac:dyDescent="0.25">
      <c r="A4527" s="369">
        <v>44424</v>
      </c>
      <c r="B4527" s="340">
        <f>+MONTH(A4527)</f>
        <v>8</v>
      </c>
      <c r="C4527" s="347">
        <v>110</v>
      </c>
      <c r="D4527" s="340" t="str">
        <f>VLOOKUP(C4527,Plan!A$1:B$65542,2,0)</f>
        <v>Disponible Administración</v>
      </c>
      <c r="E4527" s="341">
        <f>+F4527-G4527</f>
        <v>5000</v>
      </c>
      <c r="F4527" s="396">
        <v>5000</v>
      </c>
      <c r="G4527" s="396">
        <v>0</v>
      </c>
      <c r="H4527" t="s">
        <v>1967</v>
      </c>
      <c r="I4527" s="347" t="s">
        <v>1303</v>
      </c>
      <c r="K4527" s="370"/>
      <c r="N4527" s="370"/>
    </row>
    <row r="4528" spans="1:14" s="347" customFormat="1" x14ac:dyDescent="0.25">
      <c r="A4528" s="369">
        <f>+A4527</f>
        <v>44424</v>
      </c>
      <c r="B4528" s="347">
        <f>+B4527</f>
        <v>8</v>
      </c>
      <c r="C4528" s="347">
        <v>3110</v>
      </c>
      <c r="D4528" s="340" t="str">
        <f>VLOOKUP(C4528,Plan!A$1:B$65542,2,0)</f>
        <v>Colectas Normales</v>
      </c>
      <c r="E4528" s="341">
        <f>+F4528-G4528</f>
        <v>-5000</v>
      </c>
      <c r="F4528" s="396">
        <v>0</v>
      </c>
      <c r="G4528" s="396">
        <f>+F4527</f>
        <v>5000</v>
      </c>
      <c r="H4528" t="str">
        <f>+H4527</f>
        <v>Colecta Maria del Pilar Bustamante</v>
      </c>
      <c r="I4528" s="347" t="s">
        <v>1303</v>
      </c>
      <c r="K4528" s="370"/>
      <c r="N4528" s="370"/>
    </row>
    <row r="4529" spans="1:14" s="347" customFormat="1" x14ac:dyDescent="0.25">
      <c r="A4529" s="369"/>
      <c r="E4529" s="396"/>
      <c r="F4529" s="396"/>
      <c r="G4529" s="396"/>
      <c r="K4529" s="370"/>
      <c r="N4529" s="370"/>
    </row>
    <row r="4530" spans="1:14" s="347" customFormat="1" x14ac:dyDescent="0.25">
      <c r="A4530" s="369">
        <v>44424</v>
      </c>
      <c r="B4530" s="340">
        <f>+MONTH(A4530)</f>
        <v>8</v>
      </c>
      <c r="C4530" s="347">
        <v>110</v>
      </c>
      <c r="D4530" s="340" t="str">
        <f>VLOOKUP(C4530,Plan!A$1:B$65542,2,0)</f>
        <v>Disponible Administración</v>
      </c>
      <c r="E4530" s="341">
        <f>+F4530-G4530</f>
        <v>10000</v>
      </c>
      <c r="F4530" s="396">
        <v>10000</v>
      </c>
      <c r="G4530" s="396">
        <v>0</v>
      </c>
      <c r="H4530" t="s">
        <v>971</v>
      </c>
      <c r="I4530" s="347" t="s">
        <v>1303</v>
      </c>
      <c r="K4530" s="370"/>
      <c r="N4530" s="370"/>
    </row>
    <row r="4531" spans="1:14" s="347" customFormat="1" x14ac:dyDescent="0.25">
      <c r="A4531" s="369">
        <f>+A4530</f>
        <v>44424</v>
      </c>
      <c r="B4531" s="347">
        <f>+B4530</f>
        <v>8</v>
      </c>
      <c r="C4531" s="347">
        <v>3110</v>
      </c>
      <c r="D4531" s="340" t="str">
        <f>VLOOKUP(C4531,Plan!A$1:B$65542,2,0)</f>
        <v>Colectas Normales</v>
      </c>
      <c r="E4531" s="341">
        <f>+F4531-G4531</f>
        <v>-10000</v>
      </c>
      <c r="F4531" s="396">
        <v>0</v>
      </c>
      <c r="G4531" s="396">
        <f>+F4530</f>
        <v>10000</v>
      </c>
      <c r="H4531" t="str">
        <f>+H4530</f>
        <v>Colecta Pablo Irarrazaval Mena</v>
      </c>
      <c r="I4531" s="347" t="s">
        <v>1303</v>
      </c>
      <c r="K4531" s="370"/>
      <c r="N4531" s="370"/>
    </row>
    <row r="4532" spans="1:14" s="347" customFormat="1" x14ac:dyDescent="0.25">
      <c r="A4532" s="369"/>
      <c r="E4532" s="396"/>
      <c r="F4532" s="396"/>
      <c r="G4532" s="396"/>
      <c r="K4532" s="370"/>
      <c r="N4532" s="370"/>
    </row>
    <row r="4533" spans="1:14" s="347" customFormat="1" x14ac:dyDescent="0.25">
      <c r="A4533" s="369">
        <v>44424</v>
      </c>
      <c r="B4533" s="340">
        <f>+MONTH(A4533)</f>
        <v>8</v>
      </c>
      <c r="C4533" s="347">
        <v>110</v>
      </c>
      <c r="D4533" s="340" t="str">
        <f>VLOOKUP(C4533,Plan!A$1:B$65542,2,0)</f>
        <v>Disponible Administración</v>
      </c>
      <c r="E4533" s="341">
        <f>+F4533-G4533</f>
        <v>10000</v>
      </c>
      <c r="F4533" s="396">
        <v>10000</v>
      </c>
      <c r="G4533" s="396">
        <v>0</v>
      </c>
      <c r="H4533" t="s">
        <v>971</v>
      </c>
      <c r="I4533" s="347" t="s">
        <v>1303</v>
      </c>
      <c r="K4533" s="370"/>
      <c r="N4533" s="370"/>
    </row>
    <row r="4534" spans="1:14" s="347" customFormat="1" x14ac:dyDescent="0.25">
      <c r="A4534" s="369">
        <f>+A4533</f>
        <v>44424</v>
      </c>
      <c r="B4534" s="347">
        <f>+B4533</f>
        <v>8</v>
      </c>
      <c r="C4534" s="347">
        <v>3110</v>
      </c>
      <c r="D4534" s="340" t="str">
        <f>VLOOKUP(C4534,Plan!A$1:B$65542,2,0)</f>
        <v>Colectas Normales</v>
      </c>
      <c r="E4534" s="341">
        <f>+F4534-G4534</f>
        <v>-10000</v>
      </c>
      <c r="F4534" s="396">
        <v>0</v>
      </c>
      <c r="G4534" s="396">
        <f>+F4533</f>
        <v>10000</v>
      </c>
      <c r="H4534" t="str">
        <f>+H4533</f>
        <v>Colecta Pablo Irarrazaval Mena</v>
      </c>
      <c r="I4534" s="347" t="s">
        <v>1303</v>
      </c>
      <c r="K4534" s="370"/>
      <c r="N4534" s="370"/>
    </row>
    <row r="4535" spans="1:14" s="347" customFormat="1" x14ac:dyDescent="0.25">
      <c r="A4535" s="369"/>
      <c r="E4535" s="396"/>
      <c r="F4535" s="396"/>
      <c r="G4535" s="396"/>
      <c r="K4535" s="370"/>
      <c r="N4535" s="370"/>
    </row>
    <row r="4536" spans="1:14" s="347" customFormat="1" x14ac:dyDescent="0.25">
      <c r="A4536" s="369">
        <v>44424</v>
      </c>
      <c r="B4536" s="340">
        <f>+MONTH(A4536)</f>
        <v>8</v>
      </c>
      <c r="C4536" s="347">
        <v>110</v>
      </c>
      <c r="D4536" s="340" t="str">
        <f>VLOOKUP(C4536,Plan!A$1:B$65542,2,0)</f>
        <v>Disponible Administración</v>
      </c>
      <c r="E4536" s="341">
        <f>+F4536-G4536</f>
        <v>10000</v>
      </c>
      <c r="F4536" s="396">
        <v>10000</v>
      </c>
      <c r="G4536" s="396">
        <v>0</v>
      </c>
      <c r="H4536" t="s">
        <v>1908</v>
      </c>
      <c r="I4536" s="347" t="s">
        <v>1303</v>
      </c>
      <c r="K4536" s="370"/>
      <c r="N4536" s="370"/>
    </row>
    <row r="4537" spans="1:14" s="347" customFormat="1" x14ac:dyDescent="0.25">
      <c r="A4537" s="369">
        <f>+A4536</f>
        <v>44424</v>
      </c>
      <c r="B4537" s="347">
        <f>+B4536</f>
        <v>8</v>
      </c>
      <c r="C4537" s="347">
        <v>3110</v>
      </c>
      <c r="D4537" s="340" t="str">
        <f>VLOOKUP(C4537,Plan!A$1:B$65542,2,0)</f>
        <v>Colectas Normales</v>
      </c>
      <c r="E4537" s="341">
        <f>+F4537-G4537</f>
        <v>-10000</v>
      </c>
      <c r="F4537" s="396">
        <v>0</v>
      </c>
      <c r="G4537" s="396">
        <f>+F4536</f>
        <v>10000</v>
      </c>
      <c r="H4537" t="str">
        <f>+H4536</f>
        <v>Colecta Andres Delpiano Barros</v>
      </c>
      <c r="I4537" s="347" t="s">
        <v>1303</v>
      </c>
      <c r="K4537" s="370"/>
      <c r="N4537" s="370"/>
    </row>
    <row r="4538" spans="1:14" s="347" customFormat="1" x14ac:dyDescent="0.25">
      <c r="A4538" s="369"/>
      <c r="E4538" s="396"/>
      <c r="F4538" s="396"/>
      <c r="G4538" s="396"/>
      <c r="K4538" s="370"/>
      <c r="N4538" s="370"/>
    </row>
    <row r="4539" spans="1:14" s="347" customFormat="1" x14ac:dyDescent="0.25">
      <c r="A4539" s="369">
        <v>44424</v>
      </c>
      <c r="B4539" s="340">
        <f>+MONTH(A4539)</f>
        <v>8</v>
      </c>
      <c r="C4539" s="347">
        <v>110</v>
      </c>
      <c r="D4539" s="340" t="str">
        <f>VLOOKUP(C4539,Plan!A$1:B$65542,2,0)</f>
        <v>Disponible Administración</v>
      </c>
      <c r="E4539" s="341">
        <f>+F4539-G4539</f>
        <v>10000</v>
      </c>
      <c r="F4539" s="396">
        <v>10000</v>
      </c>
      <c r="G4539" s="396">
        <v>0</v>
      </c>
      <c r="H4539" t="s">
        <v>880</v>
      </c>
      <c r="I4539" s="347" t="s">
        <v>1303</v>
      </c>
      <c r="K4539" s="370"/>
      <c r="N4539" s="370"/>
    </row>
    <row r="4540" spans="1:14" s="347" customFormat="1" x14ac:dyDescent="0.25">
      <c r="A4540" s="369">
        <f>+A4539</f>
        <v>44424</v>
      </c>
      <c r="B4540" s="347">
        <f>+B4539</f>
        <v>8</v>
      </c>
      <c r="C4540" s="347">
        <v>3110</v>
      </c>
      <c r="D4540" s="340" t="str">
        <f>VLOOKUP(C4540,Plan!A$1:B$65542,2,0)</f>
        <v>Colectas Normales</v>
      </c>
      <c r="E4540" s="341">
        <f>+F4540-G4540</f>
        <v>-10000</v>
      </c>
      <c r="F4540" s="396">
        <v>0</v>
      </c>
      <c r="G4540" s="396">
        <f>+F4539</f>
        <v>10000</v>
      </c>
      <c r="H4540" t="str">
        <f>+H4539</f>
        <v>Colecta Sebastian Rios</v>
      </c>
      <c r="I4540" s="347" t="s">
        <v>1303</v>
      </c>
      <c r="K4540" s="370"/>
      <c r="N4540" s="370"/>
    </row>
    <row r="4541" spans="1:14" s="347" customFormat="1" x14ac:dyDescent="0.25">
      <c r="A4541" s="369"/>
      <c r="E4541" s="396"/>
      <c r="F4541" s="396"/>
      <c r="G4541" s="396"/>
      <c r="K4541" s="370"/>
      <c r="N4541" s="370"/>
    </row>
    <row r="4542" spans="1:14" s="347" customFormat="1" x14ac:dyDescent="0.25">
      <c r="A4542" s="369">
        <v>44424</v>
      </c>
      <c r="B4542" s="340">
        <f>+MONTH(A4542)</f>
        <v>8</v>
      </c>
      <c r="C4542" s="347">
        <v>110</v>
      </c>
      <c r="D4542" s="340" t="str">
        <f>VLOOKUP(C4542,Plan!A$1:B$65542,2,0)</f>
        <v>Disponible Administración</v>
      </c>
      <c r="E4542" s="341">
        <f>+F4542-G4542</f>
        <v>2000</v>
      </c>
      <c r="F4542" s="396">
        <v>2000</v>
      </c>
      <c r="G4542" s="396">
        <v>0</v>
      </c>
      <c r="H4542" t="s">
        <v>1216</v>
      </c>
      <c r="I4542" s="347" t="s">
        <v>1303</v>
      </c>
      <c r="K4542" s="370"/>
      <c r="N4542" s="370"/>
    </row>
    <row r="4543" spans="1:14" s="347" customFormat="1" x14ac:dyDescent="0.25">
      <c r="A4543" s="369">
        <f>+A4542</f>
        <v>44424</v>
      </c>
      <c r="B4543" s="347">
        <f>+B4542</f>
        <v>8</v>
      </c>
      <c r="C4543" s="347">
        <v>3110</v>
      </c>
      <c r="D4543" s="340" t="str">
        <f>VLOOKUP(C4543,Plan!A$1:B$65542,2,0)</f>
        <v>Colectas Normales</v>
      </c>
      <c r="E4543" s="341">
        <f>+F4543-G4543</f>
        <v>-2000</v>
      </c>
      <c r="F4543" s="396">
        <v>0</v>
      </c>
      <c r="G4543" s="396">
        <f>+F4542</f>
        <v>2000</v>
      </c>
      <c r="H4543" t="str">
        <f>+H4542</f>
        <v>Colecta Trinidad Barriga Cruzat</v>
      </c>
      <c r="I4543" s="347" t="s">
        <v>1303</v>
      </c>
      <c r="K4543" s="370"/>
      <c r="N4543" s="370"/>
    </row>
    <row r="4544" spans="1:14" s="347" customFormat="1" x14ac:dyDescent="0.25">
      <c r="A4544" s="369"/>
      <c r="E4544" s="396"/>
      <c r="F4544" s="396"/>
      <c r="G4544" s="396"/>
      <c r="K4544" s="370"/>
      <c r="N4544" s="370"/>
    </row>
    <row r="4545" spans="1:14" s="347" customFormat="1" x14ac:dyDescent="0.25">
      <c r="A4545" s="369">
        <v>44424</v>
      </c>
      <c r="B4545" s="340">
        <f>+MONTH(A4545)</f>
        <v>8</v>
      </c>
      <c r="C4545" s="347">
        <v>110</v>
      </c>
      <c r="D4545" s="340" t="str">
        <f>VLOOKUP(C4545,Plan!A$1:B$65542,2,0)</f>
        <v>Disponible Administración</v>
      </c>
      <c r="E4545" s="341">
        <f>+F4545-G4545</f>
        <v>98791</v>
      </c>
      <c r="F4545" s="396">
        <v>98791</v>
      </c>
      <c r="G4545" s="396">
        <v>0</v>
      </c>
      <c r="H4545" t="s">
        <v>1968</v>
      </c>
      <c r="I4545" s="347" t="s">
        <v>1303</v>
      </c>
      <c r="K4545" s="370"/>
      <c r="N4545" s="370"/>
    </row>
    <row r="4546" spans="1:14" s="347" customFormat="1" x14ac:dyDescent="0.25">
      <c r="A4546" s="369">
        <f>+A4545</f>
        <v>44424</v>
      </c>
      <c r="B4546" s="347">
        <f>+B4545</f>
        <v>8</v>
      </c>
      <c r="C4546" s="347">
        <v>3320</v>
      </c>
      <c r="D4546" s="340" t="str">
        <f>VLOOKUP(C4546,Plan!A$1:B$65542,2,0)</f>
        <v>Matrimonios</v>
      </c>
      <c r="E4546" s="341">
        <f>+F4546-G4546</f>
        <v>-98791</v>
      </c>
      <c r="F4546" s="396">
        <v>0</v>
      </c>
      <c r="G4546" s="396">
        <f>+F4545</f>
        <v>98791</v>
      </c>
      <c r="H4546" t="str">
        <f>+H4545</f>
        <v>Matrimonio POS</v>
      </c>
      <c r="I4546" s="347" t="s">
        <v>1303</v>
      </c>
      <c r="K4546" s="370"/>
      <c r="N4546" s="370"/>
    </row>
    <row r="4547" spans="1:14" s="347" customFormat="1" x14ac:dyDescent="0.25">
      <c r="A4547" s="369"/>
      <c r="E4547" s="396"/>
      <c r="F4547" s="396"/>
      <c r="G4547" s="396"/>
      <c r="K4547" s="370"/>
      <c r="N4547" s="370"/>
    </row>
    <row r="4548" spans="1:14" s="347" customFormat="1" x14ac:dyDescent="0.25">
      <c r="A4548" s="369">
        <v>44424</v>
      </c>
      <c r="B4548" s="340">
        <f>+MONTH(A4548)</f>
        <v>8</v>
      </c>
      <c r="C4548" s="347">
        <v>110</v>
      </c>
      <c r="D4548" s="340" t="str">
        <f>VLOOKUP(C4548,Plan!A$1:B$65542,2,0)</f>
        <v>Disponible Administración</v>
      </c>
      <c r="E4548" s="341">
        <f>+F4548-G4548</f>
        <v>30000</v>
      </c>
      <c r="F4548" s="396">
        <v>30000</v>
      </c>
      <c r="G4548" s="396">
        <v>0</v>
      </c>
      <c r="H4548" t="s">
        <v>747</v>
      </c>
      <c r="I4548" s="347" t="s">
        <v>1303</v>
      </c>
      <c r="K4548" s="370"/>
      <c r="N4548" s="370"/>
    </row>
    <row r="4549" spans="1:14" s="347" customFormat="1" x14ac:dyDescent="0.25">
      <c r="A4549" s="369">
        <f>+A4548</f>
        <v>44424</v>
      </c>
      <c r="B4549" s="347">
        <f>+B4548</f>
        <v>8</v>
      </c>
      <c r="C4549" s="347">
        <v>215</v>
      </c>
      <c r="D4549" s="340" t="str">
        <f>VLOOKUP(C4549,Plan!A$1:B$65542,2,0)</f>
        <v>Cuenta por Pagar a Cali</v>
      </c>
      <c r="E4549" s="341">
        <f>+F4549-G4549</f>
        <v>-30000</v>
      </c>
      <c r="F4549" s="396">
        <v>0</v>
      </c>
      <c r="G4549" s="396">
        <f>+F4548</f>
        <v>30000</v>
      </c>
      <c r="H4549" t="str">
        <f>+H4548</f>
        <v>Carlos Celis Celedón / Azul</v>
      </c>
      <c r="I4549" s="347" t="s">
        <v>1303</v>
      </c>
      <c r="K4549" s="370"/>
      <c r="N4549" s="370"/>
    </row>
    <row r="4550" spans="1:14" s="347" customFormat="1" x14ac:dyDescent="0.25">
      <c r="A4550" s="369"/>
      <c r="E4550" s="396"/>
      <c r="F4550" s="396"/>
      <c r="G4550" s="396"/>
      <c r="K4550" s="370"/>
      <c r="N4550" s="370"/>
    </row>
    <row r="4551" spans="1:14" s="347" customFormat="1" x14ac:dyDescent="0.25">
      <c r="A4551" s="369">
        <v>44424</v>
      </c>
      <c r="B4551" s="340">
        <f>+MONTH(A4551)</f>
        <v>8</v>
      </c>
      <c r="C4551" s="347">
        <v>110</v>
      </c>
      <c r="D4551" s="340" t="str">
        <f>VLOOKUP(C4551,Plan!A$1:B$65542,2,0)</f>
        <v>Disponible Administración</v>
      </c>
      <c r="E4551" s="341">
        <f>+F4551-G4551</f>
        <v>50000</v>
      </c>
      <c r="F4551" s="396">
        <v>50000</v>
      </c>
      <c r="G4551" s="396">
        <v>0</v>
      </c>
      <c r="H4551" t="s">
        <v>1631</v>
      </c>
      <c r="I4551" s="347" t="s">
        <v>1303</v>
      </c>
      <c r="K4551" s="370"/>
      <c r="N4551" s="370"/>
    </row>
    <row r="4552" spans="1:14" s="347" customFormat="1" x14ac:dyDescent="0.25">
      <c r="A4552" s="369">
        <f>+A4551</f>
        <v>44424</v>
      </c>
      <c r="B4552" s="347">
        <f>+B4551</f>
        <v>8</v>
      </c>
      <c r="C4552" s="347">
        <v>215</v>
      </c>
      <c r="D4552" s="340" t="str">
        <f>VLOOKUP(C4552,Plan!A$1:B$65542,2,0)</f>
        <v>Cuenta por Pagar a Cali</v>
      </c>
      <c r="E4552" s="341">
        <f>+F4552-G4552</f>
        <v>-50000</v>
      </c>
      <c r="F4552" s="396">
        <v>0</v>
      </c>
      <c r="G4552" s="396">
        <f>+F4551</f>
        <v>50000</v>
      </c>
      <c r="H4552" t="str">
        <f>+H4551</f>
        <v>Eduardo Castro de la Barra / 249</v>
      </c>
      <c r="I4552" s="347" t="s">
        <v>1303</v>
      </c>
      <c r="K4552" s="370"/>
      <c r="N4552" s="370"/>
    </row>
    <row r="4553" spans="1:14" s="347" customFormat="1" x14ac:dyDescent="0.25">
      <c r="A4553" s="369"/>
      <c r="E4553" s="396"/>
      <c r="F4553" s="396"/>
      <c r="G4553" s="396"/>
      <c r="K4553" s="370"/>
      <c r="N4553" s="370"/>
    </row>
    <row r="4554" spans="1:14" s="347" customFormat="1" x14ac:dyDescent="0.25">
      <c r="A4554" s="369">
        <v>44424</v>
      </c>
      <c r="B4554" s="340">
        <f>+MONTH(A4554)</f>
        <v>8</v>
      </c>
      <c r="C4554" s="347">
        <v>110</v>
      </c>
      <c r="D4554" s="340" t="str">
        <f>VLOOKUP(C4554,Plan!A$1:B$65542,2,0)</f>
        <v>Disponible Administración</v>
      </c>
      <c r="E4554" s="341">
        <f>+F4554-G4554</f>
        <v>425820</v>
      </c>
      <c r="F4554" s="396">
        <v>425820</v>
      </c>
      <c r="G4554" s="396">
        <v>0</v>
      </c>
      <c r="H4554" t="s">
        <v>1410</v>
      </c>
      <c r="I4554" s="347" t="s">
        <v>1303</v>
      </c>
      <c r="K4554" s="370"/>
      <c r="N4554" s="370"/>
    </row>
    <row r="4555" spans="1:14" s="347" customFormat="1" x14ac:dyDescent="0.25">
      <c r="A4555" s="369">
        <f>+A4554</f>
        <v>44424</v>
      </c>
      <c r="B4555" s="347">
        <f>+B4554</f>
        <v>8</v>
      </c>
      <c r="C4555" s="347">
        <v>3110</v>
      </c>
      <c r="D4555" s="340" t="str">
        <f>VLOOKUP(C4555,Plan!A$1:B$65542,2,0)</f>
        <v>Colectas Normales</v>
      </c>
      <c r="E4555" s="341">
        <f>+F4555-G4555</f>
        <v>-425820</v>
      </c>
      <c r="F4555" s="396">
        <v>0</v>
      </c>
      <c r="G4555" s="396">
        <f>+F4554</f>
        <v>425820</v>
      </c>
      <c r="H4555" t="str">
        <f>+H4554</f>
        <v>Colecta Col. Cordillera</v>
      </c>
      <c r="I4555" s="347" t="s">
        <v>1303</v>
      </c>
      <c r="K4555" s="370"/>
      <c r="N4555" s="370"/>
    </row>
    <row r="4556" spans="1:14" s="347" customFormat="1" x14ac:dyDescent="0.25">
      <c r="A4556" s="369"/>
      <c r="E4556" s="396"/>
      <c r="F4556" s="396"/>
      <c r="G4556" s="396"/>
      <c r="K4556" s="370"/>
      <c r="N4556" s="370"/>
    </row>
    <row r="4557" spans="1:14" s="347" customFormat="1" x14ac:dyDescent="0.25">
      <c r="A4557" s="369">
        <v>44425</v>
      </c>
      <c r="B4557" s="340">
        <f>+MONTH(A4557)</f>
        <v>8</v>
      </c>
      <c r="C4557" s="347">
        <v>110</v>
      </c>
      <c r="D4557" s="340" t="str">
        <f>VLOOKUP(C4557,Plan!A$1:B$65542,2,0)</f>
        <v>Disponible Administración</v>
      </c>
      <c r="E4557" s="341">
        <f>+F4557-G4557</f>
        <v>5000</v>
      </c>
      <c r="F4557" s="396">
        <v>5000</v>
      </c>
      <c r="G4557" s="396">
        <v>0</v>
      </c>
      <c r="H4557" t="s">
        <v>1108</v>
      </c>
      <c r="I4557" s="347" t="s">
        <v>1303</v>
      </c>
      <c r="K4557" s="370"/>
      <c r="N4557" s="370"/>
    </row>
    <row r="4558" spans="1:14" s="347" customFormat="1" x14ac:dyDescent="0.25">
      <c r="A4558" s="369">
        <f>+A4557</f>
        <v>44425</v>
      </c>
      <c r="B4558" s="347">
        <f>+B4557</f>
        <v>8</v>
      </c>
      <c r="C4558" s="347">
        <v>3110</v>
      </c>
      <c r="D4558" s="340" t="str">
        <f>VLOOKUP(C4558,Plan!A$1:B$65542,2,0)</f>
        <v>Colectas Normales</v>
      </c>
      <c r="E4558" s="341">
        <f>+F4558-G4558</f>
        <v>-5000</v>
      </c>
      <c r="F4558" s="396">
        <v>0</v>
      </c>
      <c r="G4558" s="396">
        <f>+F4557</f>
        <v>5000</v>
      </c>
      <c r="H4558" t="str">
        <f>+H4557</f>
        <v>Colecta Ricardo Fernandez</v>
      </c>
      <c r="I4558" s="347" t="s">
        <v>1303</v>
      </c>
      <c r="K4558" s="370"/>
      <c r="N4558" s="370"/>
    </row>
    <row r="4559" spans="1:14" s="347" customFormat="1" x14ac:dyDescent="0.25">
      <c r="A4559" s="369"/>
      <c r="E4559" s="396"/>
      <c r="F4559" s="396"/>
      <c r="G4559" s="396"/>
      <c r="K4559" s="370"/>
      <c r="N4559" s="370"/>
    </row>
    <row r="4560" spans="1:14" s="347" customFormat="1" x14ac:dyDescent="0.25">
      <c r="A4560" s="369">
        <v>44425</v>
      </c>
      <c r="B4560" s="340">
        <f>+MONTH(A4560)</f>
        <v>8</v>
      </c>
      <c r="C4560" s="347">
        <v>110</v>
      </c>
      <c r="D4560" s="340" t="str">
        <f>VLOOKUP(C4560,Plan!A$1:B$65542,2,0)</f>
        <v>Disponible Administración</v>
      </c>
      <c r="E4560" s="341">
        <f>+F4560-G4560</f>
        <v>20000</v>
      </c>
      <c r="F4560" s="396">
        <v>20000</v>
      </c>
      <c r="G4560" s="396">
        <v>0</v>
      </c>
      <c r="H4560" t="s">
        <v>913</v>
      </c>
      <c r="I4560" s="347" t="s">
        <v>1303</v>
      </c>
      <c r="K4560" s="370"/>
      <c r="N4560" s="370"/>
    </row>
    <row r="4561" spans="1:14" s="347" customFormat="1" x14ac:dyDescent="0.25">
      <c r="A4561" s="369">
        <f>+A4560</f>
        <v>44425</v>
      </c>
      <c r="B4561" s="347">
        <f>+B4560</f>
        <v>8</v>
      </c>
      <c r="C4561" s="347">
        <v>3110</v>
      </c>
      <c r="D4561" s="340" t="str">
        <f>VLOOKUP(C4561,Plan!A$1:B$65542,2,0)</f>
        <v>Colectas Normales</v>
      </c>
      <c r="E4561" s="341">
        <f>+F4561-G4561</f>
        <v>-20000</v>
      </c>
      <c r="F4561" s="396">
        <v>0</v>
      </c>
      <c r="G4561" s="396">
        <f>+F4560</f>
        <v>20000</v>
      </c>
      <c r="H4561" t="str">
        <f>+H4560</f>
        <v>Colecta Sofia Vives Ekdahl</v>
      </c>
      <c r="I4561" s="347" t="s">
        <v>1303</v>
      </c>
      <c r="K4561" s="370"/>
      <c r="N4561" s="370"/>
    </row>
    <row r="4562" spans="1:14" s="347" customFormat="1" x14ac:dyDescent="0.25">
      <c r="A4562" s="369"/>
      <c r="E4562" s="396"/>
      <c r="F4562" s="396"/>
      <c r="G4562" s="396"/>
      <c r="K4562" s="370"/>
      <c r="N4562" s="370"/>
    </row>
    <row r="4563" spans="1:14" s="347" customFormat="1" x14ac:dyDescent="0.25">
      <c r="A4563" s="369">
        <v>44425</v>
      </c>
      <c r="B4563" s="340">
        <f>+MONTH(A4563)</f>
        <v>8</v>
      </c>
      <c r="C4563" s="347">
        <v>110</v>
      </c>
      <c r="D4563" s="340" t="str">
        <f>VLOOKUP(C4563,Plan!A$1:B$65542,2,0)</f>
        <v>Disponible Administración</v>
      </c>
      <c r="E4563" s="341">
        <f>+F4563-G4563</f>
        <v>50000</v>
      </c>
      <c r="F4563" s="396">
        <v>50000</v>
      </c>
      <c r="G4563" s="396">
        <v>0</v>
      </c>
      <c r="H4563" t="s">
        <v>1459</v>
      </c>
      <c r="I4563" s="347" t="s">
        <v>1303</v>
      </c>
      <c r="K4563" s="370"/>
      <c r="N4563" s="370"/>
    </row>
    <row r="4564" spans="1:14" s="347" customFormat="1" x14ac:dyDescent="0.25">
      <c r="A4564" s="369">
        <f>+A4563</f>
        <v>44425</v>
      </c>
      <c r="B4564" s="347">
        <f>+B4563</f>
        <v>8</v>
      </c>
      <c r="C4564" s="347">
        <v>215</v>
      </c>
      <c r="D4564" s="340" t="str">
        <f>VLOOKUP(C4564,Plan!A$1:B$65542,2,0)</f>
        <v>Cuenta por Pagar a Cali</v>
      </c>
      <c r="E4564" s="341">
        <f>+F4564-G4564</f>
        <v>-50000</v>
      </c>
      <c r="F4564" s="396">
        <v>0</v>
      </c>
      <c r="G4564" s="396">
        <f>+F4563</f>
        <v>50000</v>
      </c>
      <c r="H4564" t="str">
        <f>+H4563</f>
        <v>María Teresa Gil Gómez / 249</v>
      </c>
      <c r="I4564" s="347" t="s">
        <v>1303</v>
      </c>
      <c r="K4564" s="370"/>
      <c r="N4564" s="370"/>
    </row>
    <row r="4565" spans="1:14" s="347" customFormat="1" x14ac:dyDescent="0.25">
      <c r="A4565" s="369"/>
      <c r="E4565" s="396"/>
      <c r="F4565" s="396"/>
      <c r="G4565" s="396"/>
      <c r="K4565" s="370"/>
      <c r="N4565" s="370"/>
    </row>
    <row r="4566" spans="1:14" s="347" customFormat="1" x14ac:dyDescent="0.25">
      <c r="A4566" s="369">
        <v>44425</v>
      </c>
      <c r="B4566" s="340">
        <f>+MONTH(A4566)</f>
        <v>8</v>
      </c>
      <c r="C4566" s="347">
        <v>110</v>
      </c>
      <c r="D4566" s="340" t="str">
        <f>VLOOKUP(C4566,Plan!A$1:B$65542,2,0)</f>
        <v>Disponible Administración</v>
      </c>
      <c r="E4566" s="341">
        <f>+F4566-G4566</f>
        <v>10000</v>
      </c>
      <c r="F4566" s="396">
        <v>10000</v>
      </c>
      <c r="G4566" s="396">
        <v>0</v>
      </c>
      <c r="H4566" t="s">
        <v>1151</v>
      </c>
      <c r="I4566" s="347" t="s">
        <v>1303</v>
      </c>
      <c r="K4566" s="370"/>
      <c r="N4566" s="370"/>
    </row>
    <row r="4567" spans="1:14" s="347" customFormat="1" x14ac:dyDescent="0.25">
      <c r="A4567" s="369">
        <f>+A4566</f>
        <v>44425</v>
      </c>
      <c r="B4567" s="347">
        <f>+B4566</f>
        <v>8</v>
      </c>
      <c r="C4567" s="347">
        <v>3110</v>
      </c>
      <c r="D4567" s="340" t="str">
        <f>VLOOKUP(C4567,Plan!A$1:B$65542,2,0)</f>
        <v>Colectas Normales</v>
      </c>
      <c r="E4567" s="341">
        <f>+F4567-G4567</f>
        <v>-10000</v>
      </c>
      <c r="F4567" s="396">
        <v>0</v>
      </c>
      <c r="G4567" s="396">
        <f>+F4566</f>
        <v>10000</v>
      </c>
      <c r="H4567" t="str">
        <f>+H4566</f>
        <v>Colecta Eduardo Boys M</v>
      </c>
      <c r="I4567" s="347" t="s">
        <v>1303</v>
      </c>
      <c r="K4567" s="370"/>
      <c r="N4567" s="370"/>
    </row>
    <row r="4568" spans="1:14" s="347" customFormat="1" x14ac:dyDescent="0.25">
      <c r="A4568" s="369"/>
      <c r="E4568" s="396"/>
      <c r="F4568" s="396"/>
      <c r="G4568" s="396"/>
      <c r="K4568" s="370"/>
      <c r="N4568" s="370"/>
    </row>
    <row r="4569" spans="1:14" s="347" customFormat="1" x14ac:dyDescent="0.25">
      <c r="A4569" s="369">
        <v>44425</v>
      </c>
      <c r="B4569" s="340">
        <f>+MONTH(A4569)</f>
        <v>8</v>
      </c>
      <c r="C4569" s="347">
        <v>110</v>
      </c>
      <c r="D4569" s="340" t="str">
        <f>VLOOKUP(C4569,Plan!A$1:B$65542,2,0)</f>
        <v>Disponible Administración</v>
      </c>
      <c r="E4569" s="341">
        <f>+F4569-G4569</f>
        <v>20000</v>
      </c>
      <c r="F4569" s="396">
        <v>20000</v>
      </c>
      <c r="G4569" s="396">
        <v>0</v>
      </c>
      <c r="H4569" t="s">
        <v>1969</v>
      </c>
      <c r="I4569" s="347" t="s">
        <v>1303</v>
      </c>
      <c r="K4569" s="370"/>
      <c r="N4569" s="370"/>
    </row>
    <row r="4570" spans="1:14" s="347" customFormat="1" x14ac:dyDescent="0.25">
      <c r="A4570" s="369">
        <f>+A4569</f>
        <v>44425</v>
      </c>
      <c r="B4570" s="347">
        <f>+B4569</f>
        <v>8</v>
      </c>
      <c r="C4570" s="347">
        <v>3350</v>
      </c>
      <c r="D4570" s="340" t="str">
        <f>VLOOKUP(C4570,Plan!A$1:B$65542,2,0)</f>
        <v>Bautizos</v>
      </c>
      <c r="E4570" s="341">
        <f>+F4570-G4570</f>
        <v>-20000</v>
      </c>
      <c r="F4570" s="396">
        <v>0</v>
      </c>
      <c r="G4570" s="396">
        <f>+F4569</f>
        <v>20000</v>
      </c>
      <c r="H4570" t="str">
        <f>+H4569</f>
        <v>Bautizo Isidora Harz</v>
      </c>
      <c r="I4570" s="347" t="s">
        <v>1303</v>
      </c>
      <c r="K4570" s="370"/>
      <c r="N4570" s="370"/>
    </row>
    <row r="4571" spans="1:14" s="347" customFormat="1" x14ac:dyDescent="0.25">
      <c r="A4571" s="369"/>
      <c r="E4571" s="396"/>
      <c r="F4571" s="396"/>
      <c r="G4571" s="396"/>
      <c r="K4571" s="370"/>
      <c r="N4571" s="370"/>
    </row>
    <row r="4572" spans="1:14" s="347" customFormat="1" x14ac:dyDescent="0.25">
      <c r="A4572" s="369">
        <v>44425</v>
      </c>
      <c r="B4572" s="340">
        <f>+MONTH(A4572)</f>
        <v>8</v>
      </c>
      <c r="C4572" s="347">
        <v>110</v>
      </c>
      <c r="D4572" s="340" t="str">
        <f>VLOOKUP(C4572,Plan!A$1:B$65542,2,0)</f>
        <v>Disponible Administración</v>
      </c>
      <c r="E4572" s="341">
        <f>+F4572-G4572</f>
        <v>25000</v>
      </c>
      <c r="F4572" s="396">
        <v>25000</v>
      </c>
      <c r="G4572" s="396">
        <v>0</v>
      </c>
      <c r="H4572" t="s">
        <v>1425</v>
      </c>
      <c r="I4572" s="347" t="s">
        <v>1303</v>
      </c>
      <c r="K4572" s="370"/>
      <c r="N4572" s="370"/>
    </row>
    <row r="4573" spans="1:14" s="347" customFormat="1" x14ac:dyDescent="0.25">
      <c r="A4573" s="369">
        <f>+A4572</f>
        <v>44425</v>
      </c>
      <c r="B4573" s="347">
        <f>+B4572</f>
        <v>8</v>
      </c>
      <c r="C4573" s="347">
        <v>3360</v>
      </c>
      <c r="D4573" s="340" t="str">
        <f>VLOOKUP(C4573,Plan!A$1:B$65542,2,0)</f>
        <v>Otros</v>
      </c>
      <c r="E4573" s="341">
        <f>+F4573-G4573</f>
        <v>-25000</v>
      </c>
      <c r="F4573" s="396">
        <v>0</v>
      </c>
      <c r="G4573" s="396">
        <f>+F4572</f>
        <v>25000</v>
      </c>
      <c r="H4573" t="str">
        <f>+H4572</f>
        <v>Curso Maria Soledad Toso Loyola</v>
      </c>
      <c r="I4573" s="347" t="s">
        <v>1303</v>
      </c>
      <c r="K4573" s="370"/>
      <c r="N4573" s="370"/>
    </row>
    <row r="4574" spans="1:14" s="347" customFormat="1" x14ac:dyDescent="0.25">
      <c r="A4574" s="369"/>
      <c r="E4574" s="396"/>
      <c r="F4574" s="396"/>
      <c r="G4574" s="396"/>
      <c r="K4574" s="370"/>
      <c r="N4574" s="370"/>
    </row>
    <row r="4575" spans="1:14" s="347" customFormat="1" x14ac:dyDescent="0.25">
      <c r="A4575" s="369">
        <v>44425</v>
      </c>
      <c r="B4575" s="340">
        <f>+MONTH(A4575)</f>
        <v>8</v>
      </c>
      <c r="C4575" s="347">
        <v>110</v>
      </c>
      <c r="D4575" s="340" t="str">
        <f>VLOOKUP(C4575,Plan!A$1:B$65542,2,0)</f>
        <v>Disponible Administración</v>
      </c>
      <c r="E4575" s="341">
        <f>+F4575-G4575</f>
        <v>9806</v>
      </c>
      <c r="F4575" s="396">
        <v>9806</v>
      </c>
      <c r="G4575" s="396">
        <v>0</v>
      </c>
      <c r="H4575" t="s">
        <v>897</v>
      </c>
      <c r="I4575" s="347" t="s">
        <v>1303</v>
      </c>
      <c r="K4575" s="370"/>
      <c r="N4575" s="370"/>
    </row>
    <row r="4576" spans="1:14" s="347" customFormat="1" x14ac:dyDescent="0.25">
      <c r="A4576" s="369">
        <f>+A4575</f>
        <v>44425</v>
      </c>
      <c r="B4576" s="347">
        <f>+B4575</f>
        <v>8</v>
      </c>
      <c r="C4576" s="347">
        <v>3110</v>
      </c>
      <c r="D4576" s="340" t="str">
        <f>VLOOKUP(C4576,Plan!A$1:B$65542,2,0)</f>
        <v>Colectas Normales</v>
      </c>
      <c r="E4576" s="341">
        <f>+F4576-G4576</f>
        <v>-9806</v>
      </c>
      <c r="F4576" s="396">
        <v>0</v>
      </c>
      <c r="G4576" s="396">
        <f>+F4575</f>
        <v>9806</v>
      </c>
      <c r="H4576" t="str">
        <f>+H4575</f>
        <v>Colecta DCT</v>
      </c>
      <c r="I4576" s="347" t="s">
        <v>1303</v>
      </c>
      <c r="K4576" s="370"/>
      <c r="N4576" s="370"/>
    </row>
    <row r="4577" spans="1:14" s="347" customFormat="1" x14ac:dyDescent="0.25">
      <c r="A4577" s="369"/>
      <c r="E4577" s="396"/>
      <c r="F4577" s="396"/>
      <c r="G4577" s="396"/>
      <c r="K4577" s="370"/>
      <c r="N4577" s="370"/>
    </row>
    <row r="4578" spans="1:14" s="347" customFormat="1" x14ac:dyDescent="0.25">
      <c r="A4578" s="369">
        <v>44426</v>
      </c>
      <c r="B4578" s="340">
        <f>+MONTH(A4578)</f>
        <v>8</v>
      </c>
      <c r="C4578" s="347">
        <v>110</v>
      </c>
      <c r="D4578" s="340" t="str">
        <f>VLOOKUP(C4578,Plan!A$1:B$65542,2,0)</f>
        <v>Disponible Administración</v>
      </c>
      <c r="E4578" s="341">
        <f>+F4578-G4578</f>
        <v>30000</v>
      </c>
      <c r="F4578" s="396">
        <v>30000</v>
      </c>
      <c r="G4578" s="396">
        <v>0</v>
      </c>
      <c r="H4578" t="s">
        <v>1599</v>
      </c>
      <c r="I4578" s="347" t="s">
        <v>1303</v>
      </c>
      <c r="K4578" s="370"/>
      <c r="N4578" s="370"/>
    </row>
    <row r="4579" spans="1:14" s="347" customFormat="1" x14ac:dyDescent="0.25">
      <c r="A4579" s="369">
        <f>+A4578</f>
        <v>44426</v>
      </c>
      <c r="B4579" s="347">
        <f>+B4578</f>
        <v>8</v>
      </c>
      <c r="C4579" s="347">
        <v>3110</v>
      </c>
      <c r="D4579" s="340" t="str">
        <f>VLOOKUP(C4579,Plan!A$1:B$65542,2,0)</f>
        <v>Colectas Normales</v>
      </c>
      <c r="E4579" s="341">
        <f>+F4579-G4579</f>
        <v>-30000</v>
      </c>
      <c r="F4579" s="396">
        <v>0</v>
      </c>
      <c r="G4579" s="396">
        <f>+F4578</f>
        <v>30000</v>
      </c>
      <c r="H4579" t="str">
        <f>+H4578</f>
        <v>Colecta Yolanda Haase Baeza</v>
      </c>
      <c r="I4579" s="347" t="s">
        <v>1303</v>
      </c>
      <c r="K4579" s="370"/>
      <c r="N4579" s="370"/>
    </row>
    <row r="4580" spans="1:14" s="347" customFormat="1" x14ac:dyDescent="0.25">
      <c r="A4580" s="369"/>
      <c r="E4580" s="396"/>
      <c r="F4580" s="396"/>
      <c r="G4580" s="396"/>
      <c r="K4580" s="370"/>
      <c r="N4580" s="370"/>
    </row>
    <row r="4581" spans="1:14" s="347" customFormat="1" x14ac:dyDescent="0.25">
      <c r="A4581" s="369">
        <v>44426</v>
      </c>
      <c r="B4581" s="340">
        <f>+MONTH(A4581)</f>
        <v>8</v>
      </c>
      <c r="C4581" s="347">
        <v>110</v>
      </c>
      <c r="D4581" s="340" t="str">
        <f>VLOOKUP(C4581,Plan!A$1:B$65542,2,0)</f>
        <v>Disponible Administración</v>
      </c>
      <c r="E4581" s="341">
        <f>+F4581-G4581</f>
        <v>30000</v>
      </c>
      <c r="F4581" s="396">
        <v>30000</v>
      </c>
      <c r="G4581" s="396">
        <v>0</v>
      </c>
      <c r="H4581" t="s">
        <v>1600</v>
      </c>
      <c r="I4581" s="347" t="s">
        <v>1303</v>
      </c>
      <c r="K4581" s="370"/>
      <c r="N4581" s="370"/>
    </row>
    <row r="4582" spans="1:14" s="347" customFormat="1" x14ac:dyDescent="0.25">
      <c r="A4582" s="369">
        <f>+A4581</f>
        <v>44426</v>
      </c>
      <c r="B4582" s="347">
        <f>+B4581</f>
        <v>8</v>
      </c>
      <c r="C4582" s="347">
        <v>3450</v>
      </c>
      <c r="D4582" s="340" t="str">
        <f>VLOOKUP(C4582,Plan!A$1:B$65542,2,0)</f>
        <v>Pastoral Social</v>
      </c>
      <c r="E4582" s="341">
        <f>+F4582-G4582</f>
        <v>-30000</v>
      </c>
      <c r="F4582" s="396">
        <v>0</v>
      </c>
      <c r="G4582" s="396">
        <f>+F4581</f>
        <v>30000</v>
      </c>
      <c r="H4582" t="str">
        <f>+H4581</f>
        <v>Canastas Yolanda Haase Baeza</v>
      </c>
      <c r="I4582" s="347" t="s">
        <v>1303</v>
      </c>
      <c r="K4582" s="370"/>
      <c r="N4582" s="370"/>
    </row>
    <row r="4583" spans="1:14" s="347" customFormat="1" x14ac:dyDescent="0.25">
      <c r="A4583" s="369"/>
      <c r="E4583" s="396"/>
      <c r="F4583" s="396"/>
      <c r="G4583" s="396"/>
      <c r="K4583" s="370"/>
      <c r="N4583" s="370"/>
    </row>
    <row r="4584" spans="1:14" s="347" customFormat="1" x14ac:dyDescent="0.25">
      <c r="A4584" s="369">
        <v>44426</v>
      </c>
      <c r="B4584" s="340">
        <f>+MONTH(A4584)</f>
        <v>8</v>
      </c>
      <c r="C4584" s="347">
        <v>110</v>
      </c>
      <c r="D4584" s="340" t="str">
        <f>VLOOKUP(C4584,Plan!A$1:B$65542,2,0)</f>
        <v>Disponible Administración</v>
      </c>
      <c r="E4584" s="341">
        <f>+F4584-G4584</f>
        <v>30000</v>
      </c>
      <c r="F4584" s="396">
        <v>30000</v>
      </c>
      <c r="G4584" s="396">
        <v>0</v>
      </c>
      <c r="H4584" t="s">
        <v>675</v>
      </c>
      <c r="I4584" s="347" t="s">
        <v>1303</v>
      </c>
      <c r="K4584" s="370"/>
      <c r="N4584" s="370"/>
    </row>
    <row r="4585" spans="1:14" s="347" customFormat="1" x14ac:dyDescent="0.25">
      <c r="A4585" s="369">
        <f>+A4584</f>
        <v>44426</v>
      </c>
      <c r="B4585" s="347">
        <f>+B4584</f>
        <v>8</v>
      </c>
      <c r="C4585" s="347">
        <v>215</v>
      </c>
      <c r="D4585" s="340" t="str">
        <f>VLOOKUP(C4585,Plan!A$1:B$65542,2,0)</f>
        <v>Cuenta por Pagar a Cali</v>
      </c>
      <c r="E4585" s="341">
        <f>+F4585-G4585</f>
        <v>-30000</v>
      </c>
      <c r="F4585" s="396">
        <v>0</v>
      </c>
      <c r="G4585" s="396">
        <f>+F4584</f>
        <v>30000</v>
      </c>
      <c r="H4585" t="str">
        <f>+H4584</f>
        <v>Yolanda Haase Baeza / 249</v>
      </c>
      <c r="I4585" s="347" t="s">
        <v>1303</v>
      </c>
      <c r="K4585" s="370"/>
      <c r="N4585" s="370"/>
    </row>
    <row r="4586" spans="1:14" s="347" customFormat="1" x14ac:dyDescent="0.25">
      <c r="A4586" s="369"/>
      <c r="E4586" s="396"/>
      <c r="F4586" s="396"/>
      <c r="G4586" s="396"/>
      <c r="K4586" s="370"/>
      <c r="N4586" s="370"/>
    </row>
    <row r="4587" spans="1:14" s="347" customFormat="1" x14ac:dyDescent="0.25">
      <c r="A4587" s="369">
        <v>44426</v>
      </c>
      <c r="B4587" s="340">
        <f>+MONTH(A4587)</f>
        <v>8</v>
      </c>
      <c r="C4587" s="347">
        <v>110</v>
      </c>
      <c r="D4587" s="340" t="str">
        <f>VLOOKUP(C4587,Plan!A$1:B$65542,2,0)</f>
        <v>Disponible Administración</v>
      </c>
      <c r="E4587" s="341">
        <f>+F4587-G4587</f>
        <v>9881</v>
      </c>
      <c r="F4587" s="396">
        <v>9881</v>
      </c>
      <c r="G4587" s="396">
        <v>0</v>
      </c>
      <c r="H4587" t="s">
        <v>897</v>
      </c>
      <c r="I4587" s="347" t="s">
        <v>1303</v>
      </c>
      <c r="K4587" s="370"/>
      <c r="N4587" s="370"/>
    </row>
    <row r="4588" spans="1:14" s="347" customFormat="1" x14ac:dyDescent="0.25">
      <c r="A4588" s="369">
        <f>+A4587</f>
        <v>44426</v>
      </c>
      <c r="B4588" s="347">
        <f>+B4587</f>
        <v>8</v>
      </c>
      <c r="C4588" s="347">
        <v>3110</v>
      </c>
      <c r="D4588" s="340" t="str">
        <f>VLOOKUP(C4588,Plan!A$1:B$65542,2,0)</f>
        <v>Colectas Normales</v>
      </c>
      <c r="E4588" s="341">
        <f>+F4588-G4588</f>
        <v>-9881</v>
      </c>
      <c r="F4588" s="396">
        <v>0</v>
      </c>
      <c r="G4588" s="396">
        <f>+F4587</f>
        <v>9881</v>
      </c>
      <c r="H4588" t="str">
        <f>+H4587</f>
        <v>Colecta DCT</v>
      </c>
      <c r="I4588" s="347" t="s">
        <v>1303</v>
      </c>
      <c r="K4588" s="370"/>
      <c r="N4588" s="370"/>
    </row>
    <row r="4589" spans="1:14" s="347" customFormat="1" x14ac:dyDescent="0.25">
      <c r="A4589" s="369"/>
      <c r="E4589" s="396"/>
      <c r="F4589" s="396"/>
      <c r="G4589" s="396"/>
      <c r="K4589" s="370"/>
      <c r="N4589" s="370"/>
    </row>
    <row r="4590" spans="1:14" s="347" customFormat="1" x14ac:dyDescent="0.25">
      <c r="A4590" s="369">
        <v>44427</v>
      </c>
      <c r="B4590" s="340">
        <f>+MONTH(A4590)</f>
        <v>8</v>
      </c>
      <c r="C4590" s="347">
        <v>110</v>
      </c>
      <c r="D4590" s="340" t="str">
        <f>VLOOKUP(C4590,Plan!A$1:B$65542,2,0)</f>
        <v>Disponible Administración</v>
      </c>
      <c r="E4590" s="341">
        <f>+F4590-G4590</f>
        <v>100000</v>
      </c>
      <c r="F4590" s="396">
        <v>100000</v>
      </c>
      <c r="G4590" s="396">
        <v>0</v>
      </c>
      <c r="H4590" t="s">
        <v>1107</v>
      </c>
      <c r="I4590" s="347" t="s">
        <v>1303</v>
      </c>
      <c r="K4590" s="370"/>
      <c r="N4590" s="370"/>
    </row>
    <row r="4591" spans="1:14" s="347" customFormat="1" x14ac:dyDescent="0.25">
      <c r="A4591" s="369">
        <f>+A4590</f>
        <v>44427</v>
      </c>
      <c r="B4591" s="347">
        <f>+B4590</f>
        <v>8</v>
      </c>
      <c r="C4591" s="347">
        <v>3110</v>
      </c>
      <c r="D4591" s="340" t="str">
        <f>VLOOKUP(C4591,Plan!A$1:B$65542,2,0)</f>
        <v>Colectas Normales</v>
      </c>
      <c r="E4591" s="341">
        <f>+F4591-G4591</f>
        <v>-100000</v>
      </c>
      <c r="F4591" s="396">
        <v>0</v>
      </c>
      <c r="G4591" s="396">
        <f>+F4590</f>
        <v>100000</v>
      </c>
      <c r="H4591" t="str">
        <f>+H4590</f>
        <v>Colecta Francisco Guillen</v>
      </c>
      <c r="I4591" s="347" t="s">
        <v>1303</v>
      </c>
      <c r="K4591" s="370"/>
      <c r="N4591" s="370"/>
    </row>
    <row r="4592" spans="1:14" s="347" customFormat="1" x14ac:dyDescent="0.25">
      <c r="A4592" s="369"/>
      <c r="E4592" s="396"/>
      <c r="F4592" s="396"/>
      <c r="G4592" s="396"/>
      <c r="K4592" s="370"/>
      <c r="N4592" s="370"/>
    </row>
    <row r="4593" spans="1:14" s="347" customFormat="1" x14ac:dyDescent="0.25">
      <c r="A4593" s="369">
        <v>44427</v>
      </c>
      <c r="B4593" s="340">
        <f>+MONTH(A4593)</f>
        <v>8</v>
      </c>
      <c r="C4593" s="347">
        <v>110</v>
      </c>
      <c r="D4593" s="340" t="str">
        <f>VLOOKUP(C4593,Plan!A$1:B$65542,2,0)</f>
        <v>Disponible Administración</v>
      </c>
      <c r="E4593" s="341">
        <f>+F4593-G4593</f>
        <v>20000</v>
      </c>
      <c r="F4593" s="396">
        <v>20000</v>
      </c>
      <c r="G4593" s="396">
        <v>0</v>
      </c>
      <c r="H4593" t="s">
        <v>1970</v>
      </c>
      <c r="I4593" s="347" t="s">
        <v>1303</v>
      </c>
      <c r="K4593" s="370"/>
      <c r="N4593" s="370"/>
    </row>
    <row r="4594" spans="1:14" s="347" customFormat="1" x14ac:dyDescent="0.25">
      <c r="A4594" s="369">
        <f>+A4593</f>
        <v>44427</v>
      </c>
      <c r="B4594" s="347">
        <f>+B4593</f>
        <v>8</v>
      </c>
      <c r="C4594" s="347">
        <v>3350</v>
      </c>
      <c r="D4594" s="340" t="str">
        <f>VLOOKUP(C4594,Plan!A$1:B$65542,2,0)</f>
        <v>Bautizos</v>
      </c>
      <c r="E4594" s="341">
        <f>+F4594-G4594</f>
        <v>-20000</v>
      </c>
      <c r="F4594" s="396">
        <v>0</v>
      </c>
      <c r="G4594" s="396">
        <f>+F4593</f>
        <v>20000</v>
      </c>
      <c r="H4594" t="str">
        <f>+H4593</f>
        <v>Bautizo Ignacio Concha Arrau</v>
      </c>
      <c r="I4594" s="347" t="s">
        <v>1303</v>
      </c>
      <c r="K4594" s="370"/>
      <c r="N4594" s="370"/>
    </row>
    <row r="4595" spans="1:14" s="347" customFormat="1" x14ac:dyDescent="0.25">
      <c r="A4595" s="369"/>
      <c r="E4595" s="396"/>
      <c r="F4595" s="396"/>
      <c r="G4595" s="396"/>
      <c r="K4595" s="370"/>
      <c r="N4595" s="370"/>
    </row>
    <row r="4596" spans="1:14" s="347" customFormat="1" x14ac:dyDescent="0.25">
      <c r="A4596" s="369">
        <v>44427</v>
      </c>
      <c r="B4596" s="340">
        <f>+MONTH(A4596)</f>
        <v>8</v>
      </c>
      <c r="C4596" s="347">
        <v>110</v>
      </c>
      <c r="D4596" s="340" t="str">
        <f>VLOOKUP(C4596,Plan!A$1:B$65542,2,0)</f>
        <v>Disponible Administración</v>
      </c>
      <c r="E4596" s="341">
        <f>+F4596-G4596</f>
        <v>4940</v>
      </c>
      <c r="F4596" s="396">
        <v>4940</v>
      </c>
      <c r="G4596" s="396">
        <v>0</v>
      </c>
      <c r="H4596" t="s">
        <v>1934</v>
      </c>
      <c r="I4596" s="347" t="s">
        <v>1303</v>
      </c>
      <c r="K4596" s="370"/>
      <c r="N4596" s="370"/>
    </row>
    <row r="4597" spans="1:14" s="347" customFormat="1" x14ac:dyDescent="0.25">
      <c r="A4597" s="369">
        <f>+A4596</f>
        <v>44427</v>
      </c>
      <c r="B4597" s="347">
        <f>+B4596</f>
        <v>8</v>
      </c>
      <c r="C4597" s="347">
        <v>3110</v>
      </c>
      <c r="D4597" s="340" t="str">
        <f>VLOOKUP(C4597,Plan!A$1:B$65542,2,0)</f>
        <v>Colectas Normales</v>
      </c>
      <c r="E4597" s="341">
        <f>+F4597-G4597</f>
        <v>-4940</v>
      </c>
      <c r="F4597" s="396">
        <v>0</v>
      </c>
      <c r="G4597" s="396">
        <f>+F4596</f>
        <v>4940</v>
      </c>
      <c r="H4597" t="str">
        <f>+H4596</f>
        <v>Colecta POS</v>
      </c>
      <c r="I4597" s="347" t="s">
        <v>1303</v>
      </c>
      <c r="K4597" s="370"/>
      <c r="N4597" s="370"/>
    </row>
    <row r="4598" spans="1:14" s="347" customFormat="1" x14ac:dyDescent="0.25">
      <c r="A4598" s="369"/>
      <c r="E4598" s="396"/>
      <c r="F4598" s="396"/>
      <c r="G4598" s="396"/>
      <c r="K4598" s="370"/>
      <c r="N4598" s="370"/>
    </row>
    <row r="4599" spans="1:14" s="347" customFormat="1" x14ac:dyDescent="0.25">
      <c r="A4599" s="369">
        <v>44427</v>
      </c>
      <c r="B4599" s="340">
        <f>+MONTH(A4599)</f>
        <v>8</v>
      </c>
      <c r="C4599" s="347">
        <v>110</v>
      </c>
      <c r="D4599" s="340" t="str">
        <f>VLOOKUP(C4599,Plan!A$1:B$65542,2,0)</f>
        <v>Disponible Administración</v>
      </c>
      <c r="E4599" s="341">
        <f>+F4599-G4599</f>
        <v>2899</v>
      </c>
      <c r="F4599" s="396">
        <v>2899</v>
      </c>
      <c r="G4599" s="396">
        <v>0</v>
      </c>
      <c r="H4599" t="s">
        <v>1338</v>
      </c>
      <c r="I4599" s="347" t="s">
        <v>1303</v>
      </c>
      <c r="K4599" s="370"/>
      <c r="N4599" s="370"/>
    </row>
    <row r="4600" spans="1:14" s="347" customFormat="1" x14ac:dyDescent="0.25">
      <c r="A4600" s="369">
        <f>+A4599</f>
        <v>44427</v>
      </c>
      <c r="B4600" s="347">
        <f>+B4599</f>
        <v>8</v>
      </c>
      <c r="C4600" s="347">
        <v>3340</v>
      </c>
      <c r="D4600" s="340" t="str">
        <f>VLOOKUP(C4600,Plan!A$1:B$65542,2,0)</f>
        <v>Misas</v>
      </c>
      <c r="E4600" s="341">
        <f>+F4600-G4600</f>
        <v>-2899</v>
      </c>
      <c r="F4600" s="396">
        <v>0</v>
      </c>
      <c r="G4600" s="396">
        <f>+F4599</f>
        <v>2899</v>
      </c>
      <c r="H4600" t="str">
        <f>+H4599</f>
        <v>Misa DCT</v>
      </c>
      <c r="I4600" s="347" t="s">
        <v>1303</v>
      </c>
      <c r="K4600" s="370"/>
      <c r="N4600" s="370"/>
    </row>
    <row r="4601" spans="1:14" s="347" customFormat="1" x14ac:dyDescent="0.25">
      <c r="A4601" s="369"/>
      <c r="E4601" s="396"/>
      <c r="F4601" s="396"/>
      <c r="G4601" s="396"/>
      <c r="K4601" s="370"/>
      <c r="N4601" s="370"/>
    </row>
    <row r="4602" spans="1:14" s="347" customFormat="1" x14ac:dyDescent="0.25">
      <c r="A4602" s="369">
        <v>44428</v>
      </c>
      <c r="B4602" s="340">
        <f>+MONTH(A4602)</f>
        <v>8</v>
      </c>
      <c r="C4602" s="347">
        <v>110</v>
      </c>
      <c r="D4602" s="340" t="str">
        <f>VLOOKUP(C4602,Plan!A$1:B$65542,2,0)</f>
        <v>Disponible Administración</v>
      </c>
      <c r="E4602" s="341">
        <f>+F4602-G4602</f>
        <v>30000</v>
      </c>
      <c r="F4602" s="396">
        <v>30000</v>
      </c>
      <c r="G4602" s="396">
        <v>0</v>
      </c>
      <c r="H4602" t="s">
        <v>1902</v>
      </c>
      <c r="I4602" s="347" t="s">
        <v>1303</v>
      </c>
      <c r="K4602" s="370"/>
      <c r="N4602" s="370"/>
    </row>
    <row r="4603" spans="1:14" s="347" customFormat="1" x14ac:dyDescent="0.25">
      <c r="A4603" s="369">
        <f>+A4602</f>
        <v>44428</v>
      </c>
      <c r="B4603" s="347">
        <f>+B4602</f>
        <v>8</v>
      </c>
      <c r="C4603" s="347">
        <v>215</v>
      </c>
      <c r="D4603" s="340" t="str">
        <f>VLOOKUP(C4603,Plan!A$1:B$65542,2,0)</f>
        <v>Cuenta por Pagar a Cali</v>
      </c>
      <c r="E4603" s="341">
        <f>+F4603-G4603</f>
        <v>-30000</v>
      </c>
      <c r="F4603" s="396">
        <v>0</v>
      </c>
      <c r="G4603" s="396">
        <f>+F4602</f>
        <v>30000</v>
      </c>
      <c r="H4603" t="str">
        <f>+H4602</f>
        <v>María de los Ángeles Herrera Soler/249</v>
      </c>
      <c r="I4603" s="347" t="s">
        <v>1303</v>
      </c>
      <c r="K4603" s="370"/>
      <c r="N4603" s="370"/>
    </row>
    <row r="4604" spans="1:14" s="347" customFormat="1" x14ac:dyDescent="0.25">
      <c r="K4604" s="370"/>
      <c r="N4604" s="370"/>
    </row>
    <row r="4605" spans="1:14" s="347" customFormat="1" x14ac:dyDescent="0.25">
      <c r="A4605" s="369">
        <v>44428</v>
      </c>
      <c r="B4605" s="340">
        <f>+MONTH(A4605)</f>
        <v>8</v>
      </c>
      <c r="C4605" s="347">
        <v>110</v>
      </c>
      <c r="D4605" s="340" t="str">
        <f>VLOOKUP(C4605,Plan!A$1:B$65542,2,0)</f>
        <v>Disponible Administración</v>
      </c>
      <c r="E4605" s="341">
        <f>+F4605-G4605</f>
        <v>15000</v>
      </c>
      <c r="F4605" s="396">
        <v>15000</v>
      </c>
      <c r="G4605" s="396">
        <v>0</v>
      </c>
      <c r="H4605" t="s">
        <v>943</v>
      </c>
      <c r="I4605" s="347" t="s">
        <v>1303</v>
      </c>
      <c r="K4605" s="370"/>
      <c r="N4605" s="370"/>
    </row>
    <row r="4606" spans="1:14" s="347" customFormat="1" x14ac:dyDescent="0.25">
      <c r="A4606" s="369">
        <f>+A4605</f>
        <v>44428</v>
      </c>
      <c r="B4606" s="347">
        <f>+B4605</f>
        <v>8</v>
      </c>
      <c r="C4606" s="347">
        <v>3110</v>
      </c>
      <c r="D4606" s="340" t="str">
        <f>VLOOKUP(C4606,Plan!A$1:B$65542,2,0)</f>
        <v>Colectas Normales</v>
      </c>
      <c r="E4606" s="341">
        <f>+F4606-G4606</f>
        <v>-15000</v>
      </c>
      <c r="F4606" s="396">
        <v>0</v>
      </c>
      <c r="G4606" s="396">
        <f>+F4605</f>
        <v>15000</v>
      </c>
      <c r="H4606" t="str">
        <f>+H4605</f>
        <v>Colecta Carolina Guridi G</v>
      </c>
      <c r="I4606" s="347" t="s">
        <v>1303</v>
      </c>
      <c r="K4606" s="370"/>
      <c r="N4606" s="370"/>
    </row>
    <row r="4607" spans="1:14" s="347" customFormat="1" x14ac:dyDescent="0.25">
      <c r="A4607" s="369"/>
      <c r="E4607" s="396"/>
      <c r="F4607" s="396"/>
      <c r="G4607" s="396"/>
      <c r="K4607" s="370"/>
      <c r="N4607" s="370"/>
    </row>
    <row r="4608" spans="1:14" s="347" customFormat="1" x14ac:dyDescent="0.25">
      <c r="A4608" s="369">
        <v>44428</v>
      </c>
      <c r="B4608" s="340">
        <f>+MONTH(A4608)</f>
        <v>8</v>
      </c>
      <c r="C4608" s="347">
        <v>4650</v>
      </c>
      <c r="D4608" s="340" t="str">
        <f>VLOOKUP(C4608,Plan!A$1:B$65542,2,0)</f>
        <v>Pastoral Social</v>
      </c>
      <c r="E4608" s="341">
        <f>+F4608-G4608</f>
        <v>765242</v>
      </c>
      <c r="F4608" s="396">
        <v>765242</v>
      </c>
      <c r="G4608" s="396">
        <v>0</v>
      </c>
      <c r="H4608" t="s">
        <v>1971</v>
      </c>
      <c r="I4608" s="347" t="s">
        <v>1303</v>
      </c>
      <c r="K4608" s="370"/>
      <c r="N4608" s="370"/>
    </row>
    <row r="4609" spans="1:14" s="347" customFormat="1" x14ac:dyDescent="0.25">
      <c r="A4609" s="369">
        <f>+A4608</f>
        <v>44428</v>
      </c>
      <c r="B4609" s="347">
        <f>+B4608</f>
        <v>8</v>
      </c>
      <c r="C4609" s="347">
        <v>110</v>
      </c>
      <c r="D4609" s="340" t="str">
        <f>VLOOKUP(C4609,Plan!A$1:B$65542,2,0)</f>
        <v>Disponible Administración</v>
      </c>
      <c r="E4609" s="341">
        <f>+F4609-G4609</f>
        <v>-765242</v>
      </c>
      <c r="F4609" s="396">
        <v>0</v>
      </c>
      <c r="G4609" s="396">
        <f>+F4608</f>
        <v>765242</v>
      </c>
      <c r="H4609" t="str">
        <f>+H4608</f>
        <v>Rend.Gastos Día del Niño Past. Social</v>
      </c>
      <c r="I4609" s="347" t="s">
        <v>1303</v>
      </c>
      <c r="K4609" s="370"/>
      <c r="N4609" s="370"/>
    </row>
    <row r="4610" spans="1:14" s="347" customFormat="1" x14ac:dyDescent="0.25">
      <c r="A4610" s="369"/>
      <c r="E4610" s="396"/>
      <c r="F4610" s="396"/>
      <c r="G4610" s="396"/>
      <c r="K4610" s="370"/>
      <c r="N4610" s="370"/>
    </row>
    <row r="4611" spans="1:14" s="347" customFormat="1" x14ac:dyDescent="0.25">
      <c r="A4611" s="369">
        <v>44428</v>
      </c>
      <c r="B4611" s="340">
        <f>+MONTH(A4611)</f>
        <v>8</v>
      </c>
      <c r="C4611" s="347">
        <v>3520</v>
      </c>
      <c r="D4611" s="340" t="str">
        <f>VLOOKUP(C4611,Plan!A$1:B$65542,2,0)</f>
        <v>Otros Ingreso</v>
      </c>
      <c r="E4611" s="341">
        <f>+F4611-G4611</f>
        <v>80000</v>
      </c>
      <c r="F4611" s="396">
        <v>80000</v>
      </c>
      <c r="G4611" s="396">
        <v>0</v>
      </c>
      <c r="H4611" t="s">
        <v>1972</v>
      </c>
      <c r="I4611" s="347" t="s">
        <v>1303</v>
      </c>
      <c r="K4611" s="370"/>
      <c r="N4611" s="370"/>
    </row>
    <row r="4612" spans="1:14" s="347" customFormat="1" x14ac:dyDescent="0.25">
      <c r="A4612" s="369">
        <f>+A4611</f>
        <v>44428</v>
      </c>
      <c r="B4612" s="347">
        <f>+B4611</f>
        <v>8</v>
      </c>
      <c r="C4612" s="347">
        <v>110</v>
      </c>
      <c r="D4612" s="340" t="str">
        <f>VLOOKUP(C4612,Plan!A$1:B$65542,2,0)</f>
        <v>Disponible Administración</v>
      </c>
      <c r="E4612" s="341">
        <f>+F4612-G4612</f>
        <v>-80000</v>
      </c>
      <c r="F4612" s="396">
        <v>0</v>
      </c>
      <c r="G4612" s="396">
        <f>+F4611</f>
        <v>80000</v>
      </c>
      <c r="H4612" t="str">
        <f>+H4611</f>
        <v>Dev.Beca pag.F.Guimpert el 05/08</v>
      </c>
      <c r="I4612" s="347" t="s">
        <v>1303</v>
      </c>
      <c r="K4612" s="370"/>
      <c r="N4612" s="370"/>
    </row>
    <row r="4613" spans="1:14" s="347" customFormat="1" x14ac:dyDescent="0.25">
      <c r="A4613" s="369"/>
      <c r="E4613" s="396"/>
      <c r="F4613" s="396"/>
      <c r="G4613" s="396"/>
      <c r="K4613" s="370"/>
      <c r="N4613" s="370"/>
    </row>
    <row r="4614" spans="1:14" s="347" customFormat="1" x14ac:dyDescent="0.25">
      <c r="A4614" s="369">
        <v>44431</v>
      </c>
      <c r="B4614" s="340">
        <f>+MONTH(A4614)</f>
        <v>8</v>
      </c>
      <c r="C4614" s="347">
        <v>110</v>
      </c>
      <c r="D4614" s="340" t="str">
        <f>VLOOKUP(C4614,Plan!A$1:B$65542,2,0)</f>
        <v>Disponible Administración</v>
      </c>
      <c r="E4614" s="341">
        <f>+F4614-G4614</f>
        <v>8000</v>
      </c>
      <c r="F4614" s="396">
        <v>8000</v>
      </c>
      <c r="G4614" s="396">
        <v>0</v>
      </c>
      <c r="H4614" t="s">
        <v>971</v>
      </c>
      <c r="I4614" s="347" t="s">
        <v>1303</v>
      </c>
      <c r="K4614" s="370"/>
      <c r="N4614" s="370"/>
    </row>
    <row r="4615" spans="1:14" s="347" customFormat="1" x14ac:dyDescent="0.25">
      <c r="A4615" s="369">
        <f>+A4614</f>
        <v>44431</v>
      </c>
      <c r="B4615" s="347">
        <f>+B4614</f>
        <v>8</v>
      </c>
      <c r="C4615" s="347">
        <v>3110</v>
      </c>
      <c r="D4615" s="340" t="str">
        <f>VLOOKUP(C4615,Plan!A$1:B$65542,2,0)</f>
        <v>Colectas Normales</v>
      </c>
      <c r="E4615" s="341">
        <f>+F4615-G4615</f>
        <v>-8000</v>
      </c>
      <c r="F4615" s="396">
        <v>0</v>
      </c>
      <c r="G4615" s="396">
        <f>+F4614</f>
        <v>8000</v>
      </c>
      <c r="H4615" t="str">
        <f>+H4614</f>
        <v>Colecta Pablo Irarrazaval Mena</v>
      </c>
      <c r="I4615" s="347" t="s">
        <v>1303</v>
      </c>
      <c r="K4615" s="370"/>
      <c r="N4615" s="370"/>
    </row>
    <row r="4616" spans="1:14" s="347" customFormat="1" x14ac:dyDescent="0.25">
      <c r="A4616" s="369"/>
      <c r="E4616" s="396"/>
      <c r="F4616" s="396"/>
      <c r="G4616" s="396"/>
      <c r="K4616" s="370"/>
      <c r="N4616" s="370"/>
    </row>
    <row r="4617" spans="1:14" s="347" customFormat="1" x14ac:dyDescent="0.25">
      <c r="A4617" s="369">
        <v>44431</v>
      </c>
      <c r="B4617" s="340">
        <f>+MONTH(A4617)</f>
        <v>8</v>
      </c>
      <c r="C4617" s="347">
        <v>110</v>
      </c>
      <c r="D4617" s="340" t="str">
        <f>VLOOKUP(C4617,Plan!A$1:B$65542,2,0)</f>
        <v>Disponible Administración</v>
      </c>
      <c r="E4617" s="341">
        <f>+F4617-G4617</f>
        <v>10000</v>
      </c>
      <c r="F4617" s="396">
        <v>10000</v>
      </c>
      <c r="G4617" s="396">
        <v>0</v>
      </c>
      <c r="H4617" t="s">
        <v>881</v>
      </c>
      <c r="I4617" s="347" t="s">
        <v>1303</v>
      </c>
      <c r="K4617" s="370"/>
      <c r="N4617" s="370"/>
    </row>
    <row r="4618" spans="1:14" s="347" customFormat="1" x14ac:dyDescent="0.25">
      <c r="A4618" s="369">
        <f>+A4617</f>
        <v>44431</v>
      </c>
      <c r="B4618" s="347">
        <f>+B4617</f>
        <v>8</v>
      </c>
      <c r="C4618" s="347">
        <v>3110</v>
      </c>
      <c r="D4618" s="340" t="str">
        <f>VLOOKUP(C4618,Plan!A$1:B$65542,2,0)</f>
        <v>Colectas Normales</v>
      </c>
      <c r="E4618" s="341">
        <f>+F4618-G4618</f>
        <v>-10000</v>
      </c>
      <c r="F4618" s="396">
        <v>0</v>
      </c>
      <c r="G4618" s="396">
        <f>+F4617</f>
        <v>10000</v>
      </c>
      <c r="H4618" t="str">
        <f>+H4617</f>
        <v>Colecta Rafael Marin Jordan</v>
      </c>
      <c r="I4618" s="347" t="s">
        <v>1303</v>
      </c>
      <c r="K4618" s="370"/>
      <c r="N4618" s="370"/>
    </row>
    <row r="4619" spans="1:14" s="347" customFormat="1" x14ac:dyDescent="0.25">
      <c r="A4619" s="369"/>
      <c r="E4619" s="396"/>
      <c r="F4619" s="396"/>
      <c r="G4619" s="396"/>
      <c r="K4619" s="370"/>
      <c r="N4619" s="370"/>
    </row>
    <row r="4620" spans="1:14" s="347" customFormat="1" x14ac:dyDescent="0.25">
      <c r="A4620" s="369">
        <v>44431</v>
      </c>
      <c r="B4620" s="340">
        <f>+MONTH(A4620)</f>
        <v>8</v>
      </c>
      <c r="C4620" s="347">
        <v>110</v>
      </c>
      <c r="D4620" s="340" t="str">
        <f>VLOOKUP(C4620,Plan!A$1:B$65542,2,0)</f>
        <v>Disponible Administración</v>
      </c>
      <c r="E4620" s="341">
        <f>+F4620-G4620</f>
        <v>3000</v>
      </c>
      <c r="F4620" s="396">
        <v>3000</v>
      </c>
      <c r="G4620" s="396">
        <v>0</v>
      </c>
      <c r="H4620" t="s">
        <v>915</v>
      </c>
      <c r="I4620" s="347" t="s">
        <v>1303</v>
      </c>
      <c r="K4620" s="370"/>
      <c r="N4620" s="370"/>
    </row>
    <row r="4621" spans="1:14" s="347" customFormat="1" x14ac:dyDescent="0.25">
      <c r="A4621" s="369">
        <f>+A4620</f>
        <v>44431</v>
      </c>
      <c r="B4621" s="347">
        <f>+B4620</f>
        <v>8</v>
      </c>
      <c r="C4621" s="347">
        <v>3110</v>
      </c>
      <c r="D4621" s="340" t="str">
        <f>VLOOKUP(C4621,Plan!A$1:B$65542,2,0)</f>
        <v>Colectas Normales</v>
      </c>
      <c r="E4621" s="341">
        <f>+F4621-G4621</f>
        <v>-3000</v>
      </c>
      <c r="F4621" s="396">
        <v>0</v>
      </c>
      <c r="G4621" s="396">
        <f>+F4620</f>
        <v>3000</v>
      </c>
      <c r="H4621" t="str">
        <f>+H4620</f>
        <v>Colecta Jose Perez de Castro</v>
      </c>
      <c r="I4621" s="347" t="s">
        <v>1303</v>
      </c>
      <c r="K4621" s="370"/>
      <c r="N4621" s="370"/>
    </row>
    <row r="4622" spans="1:14" s="347" customFormat="1" x14ac:dyDescent="0.25">
      <c r="A4622" s="369"/>
      <c r="E4622" s="396"/>
      <c r="F4622" s="396"/>
      <c r="G4622" s="396"/>
      <c r="K4622" s="370"/>
      <c r="N4622" s="370"/>
    </row>
    <row r="4623" spans="1:14" s="347" customFormat="1" x14ac:dyDescent="0.25">
      <c r="A4623" s="369">
        <v>44431</v>
      </c>
      <c r="B4623" s="340">
        <f>+MONTH(A4623)</f>
        <v>8</v>
      </c>
      <c r="C4623" s="347">
        <v>110</v>
      </c>
      <c r="D4623" s="340" t="str">
        <f>VLOOKUP(C4623,Plan!A$1:B$65542,2,0)</f>
        <v>Disponible Administración</v>
      </c>
      <c r="E4623" s="341">
        <f>+F4623-G4623</f>
        <v>2000</v>
      </c>
      <c r="F4623" s="396">
        <v>2000</v>
      </c>
      <c r="G4623" s="396">
        <v>0</v>
      </c>
      <c r="H4623" t="s">
        <v>1216</v>
      </c>
      <c r="I4623" s="347" t="s">
        <v>1303</v>
      </c>
      <c r="K4623" s="370"/>
      <c r="N4623" s="370"/>
    </row>
    <row r="4624" spans="1:14" s="347" customFormat="1" x14ac:dyDescent="0.25">
      <c r="A4624" s="369">
        <f>+A4623</f>
        <v>44431</v>
      </c>
      <c r="B4624" s="347">
        <f>+B4623</f>
        <v>8</v>
      </c>
      <c r="C4624" s="347">
        <v>3110</v>
      </c>
      <c r="D4624" s="340" t="str">
        <f>VLOOKUP(C4624,Plan!A$1:B$65542,2,0)</f>
        <v>Colectas Normales</v>
      </c>
      <c r="E4624" s="341">
        <f>+F4624-G4624</f>
        <v>-2000</v>
      </c>
      <c r="F4624" s="396">
        <v>0</v>
      </c>
      <c r="G4624" s="396">
        <f>+F4623</f>
        <v>2000</v>
      </c>
      <c r="H4624" t="str">
        <f>+H4623</f>
        <v>Colecta Trinidad Barriga Cruzat</v>
      </c>
      <c r="I4624" s="347" t="s">
        <v>1303</v>
      </c>
      <c r="K4624" s="370"/>
      <c r="N4624" s="370"/>
    </row>
    <row r="4625" spans="1:14" s="347" customFormat="1" x14ac:dyDescent="0.25">
      <c r="A4625" s="369"/>
      <c r="E4625" s="396"/>
      <c r="F4625" s="396"/>
      <c r="G4625" s="396"/>
      <c r="K4625" s="370"/>
      <c r="N4625" s="370"/>
    </row>
    <row r="4626" spans="1:14" s="347" customFormat="1" x14ac:dyDescent="0.25">
      <c r="A4626" s="369">
        <v>44431</v>
      </c>
      <c r="B4626" s="340">
        <f>+MONTH(A4626)</f>
        <v>8</v>
      </c>
      <c r="C4626" s="347">
        <v>110</v>
      </c>
      <c r="D4626" s="340" t="str">
        <f>VLOOKUP(C4626,Plan!A$1:B$65542,2,0)</f>
        <v>Disponible Administración</v>
      </c>
      <c r="E4626" s="341">
        <f>+F4626-G4626</f>
        <v>30000</v>
      </c>
      <c r="F4626" s="396">
        <v>30000</v>
      </c>
      <c r="G4626" s="396">
        <v>0</v>
      </c>
      <c r="H4626" t="s">
        <v>1410</v>
      </c>
      <c r="I4626" s="347" t="s">
        <v>1303</v>
      </c>
      <c r="K4626" s="370"/>
      <c r="N4626" s="370"/>
    </row>
    <row r="4627" spans="1:14" s="347" customFormat="1" x14ac:dyDescent="0.25">
      <c r="A4627" s="369">
        <f>+A4626</f>
        <v>44431</v>
      </c>
      <c r="B4627" s="347">
        <f>+B4626</f>
        <v>8</v>
      </c>
      <c r="C4627" s="347">
        <v>3110</v>
      </c>
      <c r="D4627" s="340" t="str">
        <f>VLOOKUP(C4627,Plan!A$1:B$65542,2,0)</f>
        <v>Colectas Normales</v>
      </c>
      <c r="E4627" s="341">
        <f>+F4627-G4627</f>
        <v>-30000</v>
      </c>
      <c r="F4627" s="396">
        <v>0</v>
      </c>
      <c r="G4627" s="396">
        <f>+F4626</f>
        <v>30000</v>
      </c>
      <c r="H4627" t="str">
        <f>+H4626</f>
        <v>Colecta Col. Cordillera</v>
      </c>
      <c r="I4627" s="347" t="s">
        <v>1303</v>
      </c>
      <c r="K4627" s="370"/>
      <c r="N4627" s="370"/>
    </row>
    <row r="4628" spans="1:14" s="347" customFormat="1" x14ac:dyDescent="0.25">
      <c r="A4628" s="369"/>
      <c r="E4628" s="396"/>
      <c r="F4628" s="396"/>
      <c r="G4628" s="396"/>
      <c r="K4628" s="370"/>
      <c r="N4628" s="370"/>
    </row>
    <row r="4629" spans="1:14" s="347" customFormat="1" x14ac:dyDescent="0.25">
      <c r="A4629" s="369">
        <v>44431</v>
      </c>
      <c r="B4629" s="340">
        <f>+MONTH(A4629)</f>
        <v>8</v>
      </c>
      <c r="C4629" s="347">
        <v>110</v>
      </c>
      <c r="D4629" s="340" t="str">
        <f>VLOOKUP(C4629,Plan!A$1:B$65542,2,0)</f>
        <v>Disponible Administración</v>
      </c>
      <c r="E4629" s="341">
        <f>+F4629-G4629</f>
        <v>392000</v>
      </c>
      <c r="F4629" s="396">
        <v>392000</v>
      </c>
      <c r="G4629" s="396">
        <v>0</v>
      </c>
      <c r="H4629" t="s">
        <v>1410</v>
      </c>
      <c r="I4629" s="347" t="s">
        <v>1303</v>
      </c>
      <c r="K4629" s="370"/>
      <c r="N4629" s="370"/>
    </row>
    <row r="4630" spans="1:14" s="347" customFormat="1" x14ac:dyDescent="0.25">
      <c r="A4630" s="369">
        <f>+A4629</f>
        <v>44431</v>
      </c>
      <c r="B4630" s="347">
        <f>+B4629</f>
        <v>8</v>
      </c>
      <c r="C4630" s="347">
        <v>3110</v>
      </c>
      <c r="D4630" s="340" t="str">
        <f>VLOOKUP(C4630,Plan!A$1:B$65542,2,0)</f>
        <v>Colectas Normales</v>
      </c>
      <c r="E4630" s="341">
        <f>+F4630-G4630</f>
        <v>-392000</v>
      </c>
      <c r="F4630" s="396">
        <v>0</v>
      </c>
      <c r="G4630" s="396">
        <f>+F4629</f>
        <v>392000</v>
      </c>
      <c r="H4630" t="str">
        <f>+H4629</f>
        <v>Colecta Col. Cordillera</v>
      </c>
      <c r="I4630" s="347" t="s">
        <v>1303</v>
      </c>
      <c r="K4630" s="370"/>
      <c r="N4630" s="370"/>
    </row>
    <row r="4631" spans="1:14" s="347" customFormat="1" x14ac:dyDescent="0.25">
      <c r="A4631" s="369"/>
      <c r="E4631" s="396"/>
      <c r="F4631" s="396"/>
      <c r="G4631" s="396"/>
      <c r="K4631" s="370"/>
      <c r="N4631" s="370"/>
    </row>
    <row r="4632" spans="1:14" s="347" customFormat="1" x14ac:dyDescent="0.25">
      <c r="A4632" s="369">
        <v>44431</v>
      </c>
      <c r="B4632" s="340">
        <f>+MONTH(A4632)</f>
        <v>8</v>
      </c>
      <c r="C4632" s="347">
        <v>110</v>
      </c>
      <c r="D4632" s="340" t="str">
        <f>VLOOKUP(C4632,Plan!A$1:B$65542,2,0)</f>
        <v>Disponible Administración</v>
      </c>
      <c r="E4632" s="341">
        <f>+F4632-G4632</f>
        <v>5000</v>
      </c>
      <c r="F4632" s="396">
        <v>5000</v>
      </c>
      <c r="G4632" s="396">
        <v>0</v>
      </c>
      <c r="H4632" t="s">
        <v>1973</v>
      </c>
      <c r="I4632" s="347" t="s">
        <v>1303</v>
      </c>
      <c r="K4632" s="370"/>
      <c r="N4632" s="370"/>
    </row>
    <row r="4633" spans="1:14" s="347" customFormat="1" x14ac:dyDescent="0.25">
      <c r="A4633" s="369">
        <f>+A4632</f>
        <v>44431</v>
      </c>
      <c r="B4633" s="347">
        <f>+B4632</f>
        <v>8</v>
      </c>
      <c r="C4633" s="347">
        <v>3350</v>
      </c>
      <c r="D4633" s="340" t="str">
        <f>VLOOKUP(C4633,Plan!A$1:B$65542,2,0)</f>
        <v>Bautizos</v>
      </c>
      <c r="E4633" s="341">
        <f>+F4633-G4633</f>
        <v>-5000</v>
      </c>
      <c r="F4633" s="396">
        <v>0</v>
      </c>
      <c r="G4633" s="396">
        <f>+F4632</f>
        <v>5000</v>
      </c>
      <c r="H4633" t="str">
        <f>+H4632</f>
        <v>Bautizo Nicolas Ortega</v>
      </c>
      <c r="I4633" s="347" t="s">
        <v>1303</v>
      </c>
      <c r="K4633" s="370"/>
      <c r="N4633" s="370"/>
    </row>
    <row r="4634" spans="1:14" s="347" customFormat="1" x14ac:dyDescent="0.25">
      <c r="A4634" s="369"/>
      <c r="E4634" s="396"/>
      <c r="F4634" s="396"/>
      <c r="G4634" s="396"/>
      <c r="K4634" s="370"/>
      <c r="N4634" s="370"/>
    </row>
    <row r="4635" spans="1:14" s="347" customFormat="1" x14ac:dyDescent="0.25">
      <c r="A4635" s="369">
        <v>44432</v>
      </c>
      <c r="B4635" s="340">
        <f>+MONTH(A4635)</f>
        <v>8</v>
      </c>
      <c r="C4635" s="347">
        <v>110</v>
      </c>
      <c r="D4635" s="340" t="str">
        <f>VLOOKUP(C4635,Plan!A$1:B$65542,2,0)</f>
        <v>Disponible Administración</v>
      </c>
      <c r="E4635" s="341">
        <f>+F4635-G4635</f>
        <v>29626</v>
      </c>
      <c r="F4635" s="396">
        <v>29626</v>
      </c>
      <c r="G4635" s="396">
        <v>0</v>
      </c>
      <c r="H4635" t="s">
        <v>1338</v>
      </c>
      <c r="I4635" s="347" t="s">
        <v>1303</v>
      </c>
      <c r="K4635" s="370"/>
      <c r="N4635" s="370"/>
    </row>
    <row r="4636" spans="1:14" s="347" customFormat="1" x14ac:dyDescent="0.25">
      <c r="A4636" s="369">
        <f>+A4635</f>
        <v>44432</v>
      </c>
      <c r="B4636" s="347">
        <f>+B4635</f>
        <v>8</v>
      </c>
      <c r="C4636" s="347">
        <v>3340</v>
      </c>
      <c r="D4636" s="340" t="str">
        <f>VLOOKUP(C4636,Plan!A$1:B$65542,2,0)</f>
        <v>Misas</v>
      </c>
      <c r="E4636" s="341">
        <f>+F4636-G4636</f>
        <v>-29626</v>
      </c>
      <c r="F4636" s="396">
        <v>0</v>
      </c>
      <c r="G4636" s="396">
        <f>+F4635</f>
        <v>29626</v>
      </c>
      <c r="H4636" t="str">
        <f>+H4635</f>
        <v>Misa DCT</v>
      </c>
      <c r="I4636" s="347" t="s">
        <v>1303</v>
      </c>
      <c r="K4636" s="370"/>
      <c r="N4636" s="370"/>
    </row>
    <row r="4637" spans="1:14" s="347" customFormat="1" x14ac:dyDescent="0.25">
      <c r="A4637" s="369"/>
      <c r="E4637" s="396"/>
      <c r="F4637" s="396"/>
      <c r="G4637" s="396"/>
      <c r="K4637" s="370"/>
      <c r="N4637" s="370"/>
    </row>
    <row r="4638" spans="1:14" s="347" customFormat="1" x14ac:dyDescent="0.25">
      <c r="A4638" s="369">
        <v>44432</v>
      </c>
      <c r="B4638" s="340">
        <f>+MONTH(A4638)</f>
        <v>8</v>
      </c>
      <c r="C4638" s="347">
        <v>110</v>
      </c>
      <c r="D4638" s="340" t="str">
        <f>VLOOKUP(C4638,Plan!A$1:B$65542,2,0)</f>
        <v>Disponible Administración</v>
      </c>
      <c r="E4638" s="341">
        <f>+F4638-G4638</f>
        <v>4940</v>
      </c>
      <c r="F4638" s="396">
        <v>4940</v>
      </c>
      <c r="G4638" s="396">
        <v>0</v>
      </c>
      <c r="H4638" t="s">
        <v>1974</v>
      </c>
      <c r="I4638" s="347" t="s">
        <v>1303</v>
      </c>
      <c r="K4638" s="370"/>
      <c r="N4638" s="370"/>
    </row>
    <row r="4639" spans="1:14" s="347" customFormat="1" x14ac:dyDescent="0.25">
      <c r="A4639" s="369">
        <f>+A4638</f>
        <v>44432</v>
      </c>
      <c r="B4639" s="347">
        <f>+B4638</f>
        <v>8</v>
      </c>
      <c r="C4639" s="347">
        <v>3350</v>
      </c>
      <c r="D4639" s="340" t="str">
        <f>VLOOKUP(C4639,Plan!A$1:B$65542,2,0)</f>
        <v>Bautizos</v>
      </c>
      <c r="E4639" s="341">
        <f>+F4639-G4639</f>
        <v>-4940</v>
      </c>
      <c r="F4639" s="396">
        <v>0</v>
      </c>
      <c r="G4639" s="396">
        <f>+F4638</f>
        <v>4940</v>
      </c>
      <c r="H4639" t="str">
        <f>+H4638</f>
        <v>Bautizo POS</v>
      </c>
      <c r="I4639" s="347" t="s">
        <v>1303</v>
      </c>
      <c r="K4639" s="370"/>
      <c r="N4639" s="370"/>
    </row>
    <row r="4640" spans="1:14" s="347" customFormat="1" x14ac:dyDescent="0.25">
      <c r="A4640" s="369"/>
      <c r="E4640" s="396"/>
      <c r="F4640" s="396"/>
      <c r="G4640" s="396"/>
      <c r="K4640" s="370"/>
      <c r="N4640" s="370"/>
    </row>
    <row r="4641" spans="1:14" s="347" customFormat="1" x14ac:dyDescent="0.25">
      <c r="A4641" s="369">
        <v>44433</v>
      </c>
      <c r="B4641" s="340">
        <f>+MONTH(A4641)</f>
        <v>8</v>
      </c>
      <c r="C4641" s="347">
        <v>4326</v>
      </c>
      <c r="D4641" s="340" t="str">
        <f>VLOOKUP(C4641,Plan!A$1:B$65542,2,0)</f>
        <v>Seguros</v>
      </c>
      <c r="E4641" s="341">
        <f>+F4641-G4641</f>
        <v>51323</v>
      </c>
      <c r="F4641" s="396">
        <v>51323</v>
      </c>
      <c r="G4641" s="396">
        <v>0</v>
      </c>
      <c r="H4641" t="s">
        <v>1198</v>
      </c>
      <c r="I4641" s="347" t="s">
        <v>1303</v>
      </c>
      <c r="K4641" s="370"/>
      <c r="N4641" s="370"/>
    </row>
    <row r="4642" spans="1:14" s="347" customFormat="1" x14ac:dyDescent="0.25">
      <c r="A4642" s="369">
        <f>+A4641</f>
        <v>44433</v>
      </c>
      <c r="B4642" s="347">
        <f>+B4641</f>
        <v>8</v>
      </c>
      <c r="C4642" s="347">
        <v>110</v>
      </c>
      <c r="D4642" s="340" t="str">
        <f>VLOOKUP(C4642,Plan!A$1:B$65542,2,0)</f>
        <v>Disponible Administración</v>
      </c>
      <c r="E4642" s="341">
        <f>+F4642-G4642</f>
        <v>-51323</v>
      </c>
      <c r="F4642" s="396">
        <v>0</v>
      </c>
      <c r="G4642" s="396">
        <f>+F4641</f>
        <v>51323</v>
      </c>
      <c r="H4642" t="str">
        <f>+H4641</f>
        <v>PAC PORVENIR</v>
      </c>
      <c r="I4642" s="347" t="s">
        <v>1303</v>
      </c>
      <c r="K4642" s="370"/>
      <c r="N4642" s="370"/>
    </row>
    <row r="4643" spans="1:14" s="347" customFormat="1" x14ac:dyDescent="0.25">
      <c r="A4643" s="369"/>
      <c r="E4643" s="396"/>
      <c r="F4643" s="396"/>
      <c r="G4643" s="396"/>
      <c r="K4643" s="370"/>
      <c r="N4643" s="370"/>
    </row>
    <row r="4644" spans="1:14" s="347" customFormat="1" x14ac:dyDescent="0.25">
      <c r="A4644" s="369">
        <v>44433</v>
      </c>
      <c r="B4644" s="340">
        <f>+MONTH(A4644)</f>
        <v>8</v>
      </c>
      <c r="C4644" s="347">
        <v>110</v>
      </c>
      <c r="D4644" s="340" t="str">
        <f>VLOOKUP(C4644,Plan!A$1:B$65542,2,0)</f>
        <v>Disponible Administración</v>
      </c>
      <c r="E4644" s="341">
        <f>+F4644-G4644</f>
        <v>20000</v>
      </c>
      <c r="F4644" s="396">
        <v>20000</v>
      </c>
      <c r="G4644" s="396">
        <v>0</v>
      </c>
      <c r="H4644" t="s">
        <v>1199</v>
      </c>
      <c r="I4644" s="347" t="s">
        <v>1303</v>
      </c>
      <c r="K4644" s="370"/>
      <c r="N4644" s="370"/>
    </row>
    <row r="4645" spans="1:14" s="347" customFormat="1" x14ac:dyDescent="0.25">
      <c r="A4645" s="369">
        <f>+A4644</f>
        <v>44433</v>
      </c>
      <c r="B4645" s="347">
        <f>+B4644</f>
        <v>8</v>
      </c>
      <c r="C4645" s="347">
        <v>3110</v>
      </c>
      <c r="D4645" s="340" t="str">
        <f>VLOOKUP(C4645,Plan!A$1:B$65542,2,0)</f>
        <v>Colectas Normales</v>
      </c>
      <c r="E4645" s="341">
        <f>+F4645-G4645</f>
        <v>-20000</v>
      </c>
      <c r="F4645" s="396">
        <v>0</v>
      </c>
      <c r="G4645" s="396">
        <f>+F4644</f>
        <v>20000</v>
      </c>
      <c r="H4645" t="str">
        <f>+H4644</f>
        <v>Colecta Maria Loreto Valenzuela Arata</v>
      </c>
      <c r="I4645" s="347" t="s">
        <v>1303</v>
      </c>
      <c r="K4645" s="370"/>
      <c r="N4645" s="370"/>
    </row>
    <row r="4646" spans="1:14" s="347" customFormat="1" x14ac:dyDescent="0.25">
      <c r="A4646" s="369"/>
      <c r="E4646" s="396"/>
      <c r="F4646" s="396"/>
      <c r="G4646" s="396"/>
      <c r="K4646" s="370"/>
      <c r="N4646" s="370"/>
    </row>
    <row r="4647" spans="1:14" s="347" customFormat="1" x14ac:dyDescent="0.25">
      <c r="A4647" s="369">
        <v>44433</v>
      </c>
      <c r="B4647" s="340">
        <f>+MONTH(A4647)</f>
        <v>8</v>
      </c>
      <c r="C4647" s="347">
        <v>110</v>
      </c>
      <c r="D4647" s="340" t="str">
        <f>VLOOKUP(C4647,Plan!A$1:B$65542,2,0)</f>
        <v>Disponible Administración</v>
      </c>
      <c r="E4647" s="341">
        <f>+F4647-G4647</f>
        <v>20000</v>
      </c>
      <c r="F4647" s="396">
        <v>20000</v>
      </c>
      <c r="G4647" s="396">
        <v>0</v>
      </c>
      <c r="H4647" t="s">
        <v>1975</v>
      </c>
      <c r="I4647" s="347" t="s">
        <v>1303</v>
      </c>
      <c r="K4647" s="370"/>
      <c r="N4647" s="370"/>
    </row>
    <row r="4648" spans="1:14" s="347" customFormat="1" x14ac:dyDescent="0.25">
      <c r="A4648" s="369">
        <f>+A4647</f>
        <v>44433</v>
      </c>
      <c r="B4648" s="347">
        <f>+B4647</f>
        <v>8</v>
      </c>
      <c r="C4648" s="347">
        <v>3350</v>
      </c>
      <c r="D4648" s="340" t="str">
        <f>VLOOKUP(C4648,Plan!A$1:B$65542,2,0)</f>
        <v>Bautizos</v>
      </c>
      <c r="E4648" s="341">
        <f>+F4648-G4648</f>
        <v>-20000</v>
      </c>
      <c r="F4648" s="396">
        <v>0</v>
      </c>
      <c r="G4648" s="396">
        <f>+F4647</f>
        <v>20000</v>
      </c>
      <c r="H4648" t="str">
        <f>+H4647</f>
        <v>Bautizo Jose Antonio Fighetti Beas</v>
      </c>
      <c r="I4648" s="347" t="s">
        <v>1303</v>
      </c>
      <c r="K4648" s="370"/>
      <c r="N4648" s="370"/>
    </row>
    <row r="4649" spans="1:14" s="347" customFormat="1" x14ac:dyDescent="0.25">
      <c r="A4649" s="369"/>
      <c r="E4649" s="396"/>
      <c r="F4649" s="396"/>
      <c r="G4649" s="396"/>
      <c r="K4649" s="370"/>
      <c r="N4649" s="370"/>
    </row>
    <row r="4650" spans="1:14" s="347" customFormat="1" x14ac:dyDescent="0.25">
      <c r="A4650" s="369">
        <v>44434</v>
      </c>
      <c r="B4650" s="340">
        <f>+MONTH(A4650)</f>
        <v>8</v>
      </c>
      <c r="C4650" s="347">
        <v>110</v>
      </c>
      <c r="D4650" s="340" t="str">
        <f>VLOOKUP(C4650,Plan!A$1:B$65542,2,0)</f>
        <v>Disponible Administración</v>
      </c>
      <c r="E4650" s="341">
        <f>+F4650-G4650</f>
        <v>20000</v>
      </c>
      <c r="F4650" s="396">
        <v>20000</v>
      </c>
      <c r="G4650" s="396">
        <v>0</v>
      </c>
      <c r="H4650" t="s">
        <v>1976</v>
      </c>
      <c r="I4650" s="347" t="s">
        <v>1303</v>
      </c>
      <c r="K4650" s="370"/>
      <c r="N4650" s="370"/>
    </row>
    <row r="4651" spans="1:14" s="347" customFormat="1" x14ac:dyDescent="0.25">
      <c r="A4651" s="369">
        <f>+A4650</f>
        <v>44434</v>
      </c>
      <c r="B4651" s="347">
        <f>+B4650</f>
        <v>8</v>
      </c>
      <c r="C4651" s="347">
        <v>3350</v>
      </c>
      <c r="D4651" s="340" t="str">
        <f>VLOOKUP(C4651,Plan!A$1:B$65542,2,0)</f>
        <v>Bautizos</v>
      </c>
      <c r="E4651" s="341">
        <f>+F4651-G4651</f>
        <v>-20000</v>
      </c>
      <c r="F4651" s="396">
        <v>0</v>
      </c>
      <c r="G4651" s="396">
        <f>+F4650</f>
        <v>20000</v>
      </c>
      <c r="H4651" t="str">
        <f>+H4650</f>
        <v>Bautizo Maria Francisca Concha Arrau</v>
      </c>
      <c r="I4651" s="347" t="s">
        <v>1303</v>
      </c>
      <c r="K4651" s="370"/>
      <c r="N4651" s="370"/>
    </row>
    <row r="4652" spans="1:14" s="347" customFormat="1" x14ac:dyDescent="0.25">
      <c r="A4652" s="369"/>
      <c r="E4652" s="396"/>
      <c r="F4652" s="396"/>
      <c r="G4652" s="396"/>
      <c r="K4652" s="370"/>
      <c r="N4652" s="370"/>
    </row>
    <row r="4653" spans="1:14" s="347" customFormat="1" x14ac:dyDescent="0.25">
      <c r="A4653" s="369">
        <v>44434</v>
      </c>
      <c r="B4653" s="340">
        <f>+MONTH(A4653)</f>
        <v>8</v>
      </c>
      <c r="C4653" s="347">
        <v>110</v>
      </c>
      <c r="D4653" s="340" t="str">
        <f>VLOOKUP(C4653,Plan!A$1:B$65542,2,0)</f>
        <v>Disponible Administración</v>
      </c>
      <c r="E4653" s="341">
        <f>+F4653-G4653</f>
        <v>16000</v>
      </c>
      <c r="F4653" s="396">
        <v>16000</v>
      </c>
      <c r="G4653" s="396">
        <v>0</v>
      </c>
      <c r="H4653" t="s">
        <v>1330</v>
      </c>
      <c r="I4653" s="347" t="s">
        <v>1303</v>
      </c>
      <c r="K4653" s="370"/>
      <c r="N4653" s="370"/>
    </row>
    <row r="4654" spans="1:14" s="347" customFormat="1" x14ac:dyDescent="0.25">
      <c r="A4654" s="369">
        <f>+A4653</f>
        <v>44434</v>
      </c>
      <c r="B4654" s="347">
        <f>+B4653</f>
        <v>8</v>
      </c>
      <c r="C4654" s="347">
        <v>3110</v>
      </c>
      <c r="D4654" s="340" t="str">
        <f>VLOOKUP(C4654,Plan!A$1:B$65542,2,0)</f>
        <v>Colectas Normales</v>
      </c>
      <c r="E4654" s="341">
        <f>+F4654-G4654</f>
        <v>-16000</v>
      </c>
      <c r="F4654" s="396">
        <v>0</v>
      </c>
      <c r="G4654" s="396">
        <f>+F4653</f>
        <v>16000</v>
      </c>
      <c r="H4654" t="str">
        <f>+H4653</f>
        <v>Colecta Leonardo Robles Copello</v>
      </c>
      <c r="I4654" s="347" t="s">
        <v>1303</v>
      </c>
      <c r="K4654" s="370"/>
      <c r="N4654" s="370"/>
    </row>
    <row r="4655" spans="1:14" s="347" customFormat="1" x14ac:dyDescent="0.25">
      <c r="A4655" s="369"/>
      <c r="E4655" s="396"/>
      <c r="F4655" s="396"/>
      <c r="G4655" s="396"/>
      <c r="K4655" s="370"/>
      <c r="N4655" s="370"/>
    </row>
    <row r="4656" spans="1:14" s="347" customFormat="1" x14ac:dyDescent="0.25">
      <c r="A4656" s="369">
        <v>44435</v>
      </c>
      <c r="B4656" s="340">
        <f>+MONTH(A4656)</f>
        <v>8</v>
      </c>
      <c r="C4656" s="347">
        <v>110</v>
      </c>
      <c r="D4656" s="340" t="str">
        <f>VLOOKUP(C4656,Plan!A$1:B$65542,2,0)</f>
        <v>Disponible Administración</v>
      </c>
      <c r="E4656" s="341">
        <f>+F4656-G4656</f>
        <v>40000</v>
      </c>
      <c r="F4656" s="396">
        <v>40000</v>
      </c>
      <c r="G4656" s="396">
        <v>0</v>
      </c>
      <c r="H4656" t="s">
        <v>1550</v>
      </c>
      <c r="I4656" s="347" t="s">
        <v>1303</v>
      </c>
      <c r="K4656" s="370"/>
      <c r="N4656" s="370"/>
    </row>
    <row r="4657" spans="1:14" s="347" customFormat="1" x14ac:dyDescent="0.25">
      <c r="A4657" s="369">
        <f>+A4656</f>
        <v>44435</v>
      </c>
      <c r="B4657" s="347">
        <f>+B4656</f>
        <v>8</v>
      </c>
      <c r="C4657" s="347">
        <v>3110</v>
      </c>
      <c r="D4657" s="340" t="str">
        <f>VLOOKUP(C4657,Plan!A$1:B$65542,2,0)</f>
        <v>Colectas Normales</v>
      </c>
      <c r="E4657" s="341">
        <f>+F4657-G4657</f>
        <v>-40000</v>
      </c>
      <c r="F4657" s="396">
        <v>0</v>
      </c>
      <c r="G4657" s="396">
        <f>+F4656</f>
        <v>40000</v>
      </c>
      <c r="H4657" t="str">
        <f>+H4656</f>
        <v>Colecta Luis Ignacio Marin Jordan</v>
      </c>
      <c r="I4657" s="347" t="s">
        <v>1303</v>
      </c>
      <c r="K4657" s="370"/>
      <c r="N4657" s="370"/>
    </row>
    <row r="4658" spans="1:14" s="347" customFormat="1" x14ac:dyDescent="0.25">
      <c r="A4658" s="369"/>
      <c r="E4658" s="396"/>
      <c r="F4658" s="396"/>
      <c r="G4658" s="396"/>
      <c r="K4658" s="370"/>
      <c r="N4658" s="370"/>
    </row>
    <row r="4659" spans="1:14" s="347" customFormat="1" x14ac:dyDescent="0.25">
      <c r="A4659" s="369">
        <v>44438</v>
      </c>
      <c r="B4659" s="340">
        <f>+MONTH(A4659)</f>
        <v>8</v>
      </c>
      <c r="C4659" s="347">
        <v>110</v>
      </c>
      <c r="D4659" s="340" t="str">
        <f>VLOOKUP(C4659,Plan!A$1:B$65542,2,0)</f>
        <v>Disponible Administración</v>
      </c>
      <c r="E4659" s="341">
        <f>+F4659-G4659</f>
        <v>3000000</v>
      </c>
      <c r="F4659" s="396">
        <v>3000000</v>
      </c>
      <c r="G4659" s="396">
        <v>0</v>
      </c>
      <c r="H4659" t="s">
        <v>1397</v>
      </c>
      <c r="I4659" s="347" t="s">
        <v>1303</v>
      </c>
      <c r="K4659" s="370"/>
      <c r="N4659" s="370"/>
    </row>
    <row r="4660" spans="1:14" s="347" customFormat="1" x14ac:dyDescent="0.25">
      <c r="A4660" s="369">
        <f>+A4659</f>
        <v>44438</v>
      </c>
      <c r="B4660" s="347">
        <f>+B4659</f>
        <v>8</v>
      </c>
      <c r="C4660" s="347">
        <v>215</v>
      </c>
      <c r="D4660" s="340" t="str">
        <f>VLOOKUP(C4660,Plan!A$1:B$65542,2,0)</f>
        <v>Cuenta por Pagar a Cali</v>
      </c>
      <c r="E4660" s="341">
        <f>+F4660-G4660</f>
        <v>-3000000</v>
      </c>
      <c r="F4660" s="396">
        <v>0</v>
      </c>
      <c r="G4660" s="396">
        <f>+F4659</f>
        <v>3000000</v>
      </c>
      <c r="H4660" t="str">
        <f>+H4659</f>
        <v>Traspaso Cta. CALI a Adm</v>
      </c>
      <c r="I4660" s="347" t="s">
        <v>1303</v>
      </c>
      <c r="K4660" s="370"/>
      <c r="N4660" s="370"/>
    </row>
    <row r="4661" spans="1:14" s="347" customFormat="1" x14ac:dyDescent="0.25">
      <c r="A4661" s="369"/>
      <c r="E4661" s="396"/>
      <c r="F4661" s="396"/>
      <c r="G4661" s="396"/>
      <c r="K4661" s="370"/>
      <c r="N4661" s="370"/>
    </row>
    <row r="4662" spans="1:14" s="347" customFormat="1" x14ac:dyDescent="0.25">
      <c r="A4662" s="369">
        <v>44438</v>
      </c>
      <c r="B4662" s="340">
        <f>+MONTH(A4662)</f>
        <v>8</v>
      </c>
      <c r="C4662" s="347">
        <v>110</v>
      </c>
      <c r="D4662" s="340" t="str">
        <f>VLOOKUP(C4662,Plan!A$1:B$65542,2,0)</f>
        <v>Disponible Administración</v>
      </c>
      <c r="E4662" s="341">
        <f>+F4662-G4662</f>
        <v>15000</v>
      </c>
      <c r="F4662" s="396">
        <v>15000</v>
      </c>
      <c r="G4662" s="396">
        <v>0</v>
      </c>
      <c r="H4662" t="s">
        <v>1120</v>
      </c>
      <c r="I4662" s="347" t="s">
        <v>1303</v>
      </c>
      <c r="K4662" s="370"/>
      <c r="N4662" s="370"/>
    </row>
    <row r="4663" spans="1:14" s="347" customFormat="1" x14ac:dyDescent="0.25">
      <c r="A4663" s="369">
        <f>+A4662</f>
        <v>44438</v>
      </c>
      <c r="B4663" s="347">
        <f>+B4662</f>
        <v>8</v>
      </c>
      <c r="C4663" s="347">
        <v>3110</v>
      </c>
      <c r="D4663" s="340" t="str">
        <f>VLOOKUP(C4663,Plan!A$1:B$65542,2,0)</f>
        <v>Colectas Normales</v>
      </c>
      <c r="E4663" s="341">
        <f>+F4663-G4663</f>
        <v>-15000</v>
      </c>
      <c r="F4663" s="396">
        <v>0</v>
      </c>
      <c r="G4663" s="396">
        <f>+F4662</f>
        <v>15000</v>
      </c>
      <c r="H4663" t="str">
        <f>+H4662</f>
        <v>Colecta Maria Car Rios R</v>
      </c>
      <c r="I4663" s="347" t="s">
        <v>1303</v>
      </c>
      <c r="K4663" s="370"/>
      <c r="N4663" s="370"/>
    </row>
    <row r="4664" spans="1:14" s="347" customFormat="1" x14ac:dyDescent="0.25">
      <c r="A4664" s="369"/>
      <c r="E4664" s="396"/>
      <c r="F4664" s="396"/>
      <c r="G4664" s="396"/>
      <c r="K4664" s="370"/>
      <c r="N4664" s="370"/>
    </row>
    <row r="4665" spans="1:14" s="347" customFormat="1" x14ac:dyDescent="0.25">
      <c r="A4665" s="369">
        <v>44438</v>
      </c>
      <c r="B4665" s="340">
        <f>+MONTH(A4665)</f>
        <v>8</v>
      </c>
      <c r="C4665" s="347">
        <v>4321</v>
      </c>
      <c r="D4665" s="340" t="str">
        <f>VLOOKUP(C4665,Plan!A$1:B$65542,2,0)</f>
        <v>Electricidad</v>
      </c>
      <c r="E4665" s="341">
        <f>+F4665-G4665</f>
        <v>8300</v>
      </c>
      <c r="F4665" s="396">
        <v>8300</v>
      </c>
      <c r="G4665" s="396">
        <v>0</v>
      </c>
      <c r="H4665" t="s">
        <v>1977</v>
      </c>
      <c r="I4665" s="347" t="s">
        <v>1303</v>
      </c>
      <c r="K4665" s="370"/>
      <c r="N4665" s="370"/>
    </row>
    <row r="4666" spans="1:14" s="347" customFormat="1" x14ac:dyDescent="0.25">
      <c r="A4666" s="369">
        <f>+A4665</f>
        <v>44438</v>
      </c>
      <c r="B4666" s="347">
        <f>+B4665</f>
        <v>8</v>
      </c>
      <c r="C4666" s="347">
        <v>110</v>
      </c>
      <c r="D4666" s="340" t="str">
        <f>VLOOKUP(C4666,Plan!A$1:B$65542,2,0)</f>
        <v>Disponible Administración</v>
      </c>
      <c r="E4666" s="341">
        <f>+F4666-G4666</f>
        <v>-8300</v>
      </c>
      <c r="F4666" s="396">
        <v>0</v>
      </c>
      <c r="G4666" s="396">
        <f>+F4665</f>
        <v>8300</v>
      </c>
      <c r="H4666" t="str">
        <f>+H4665</f>
        <v>PAC ENEL</v>
      </c>
      <c r="I4666" s="347" t="s">
        <v>1303</v>
      </c>
      <c r="K4666" s="370"/>
      <c r="N4666" s="370"/>
    </row>
    <row r="4667" spans="1:14" s="347" customFormat="1" x14ac:dyDescent="0.25">
      <c r="A4667" s="369"/>
      <c r="E4667" s="396"/>
      <c r="F4667" s="396"/>
      <c r="G4667" s="396"/>
      <c r="K4667" s="370"/>
      <c r="N4667" s="370"/>
    </row>
    <row r="4668" spans="1:14" s="347" customFormat="1" x14ac:dyDescent="0.25">
      <c r="A4668" s="369">
        <v>44438</v>
      </c>
      <c r="B4668" s="340">
        <f>+MONTH(A4668)</f>
        <v>8</v>
      </c>
      <c r="C4668" s="347">
        <v>110</v>
      </c>
      <c r="D4668" s="340" t="str">
        <f>VLOOKUP(C4668,Plan!A$1:B$65542,2,0)</f>
        <v>Disponible Administración</v>
      </c>
      <c r="E4668" s="341">
        <f>+F4668-G4668</f>
        <v>10000</v>
      </c>
      <c r="F4668" s="396">
        <v>10000</v>
      </c>
      <c r="G4668" s="396">
        <v>0</v>
      </c>
      <c r="H4668" t="s">
        <v>881</v>
      </c>
      <c r="I4668" s="347" t="s">
        <v>1303</v>
      </c>
      <c r="K4668" s="370"/>
      <c r="N4668" s="370"/>
    </row>
    <row r="4669" spans="1:14" s="347" customFormat="1" x14ac:dyDescent="0.25">
      <c r="A4669" s="369">
        <f>+A4668</f>
        <v>44438</v>
      </c>
      <c r="B4669" s="347">
        <f>+B4668</f>
        <v>8</v>
      </c>
      <c r="C4669" s="347">
        <v>3110</v>
      </c>
      <c r="D4669" s="340" t="str">
        <f>VLOOKUP(C4669,Plan!A$1:B$65542,2,0)</f>
        <v>Colectas Normales</v>
      </c>
      <c r="E4669" s="341">
        <f>+F4669-G4669</f>
        <v>-10000</v>
      </c>
      <c r="F4669" s="396">
        <v>0</v>
      </c>
      <c r="G4669" s="396">
        <f>+F4668</f>
        <v>10000</v>
      </c>
      <c r="H4669" t="str">
        <f>+H4668</f>
        <v>Colecta Rafael Marin Jordan</v>
      </c>
      <c r="I4669" s="347" t="s">
        <v>1303</v>
      </c>
      <c r="K4669" s="370"/>
      <c r="N4669" s="370"/>
    </row>
    <row r="4670" spans="1:14" s="347" customFormat="1" x14ac:dyDescent="0.25">
      <c r="A4670" s="369"/>
      <c r="E4670" s="396"/>
      <c r="F4670" s="396"/>
      <c r="G4670" s="396"/>
      <c r="K4670" s="370"/>
      <c r="N4670" s="370"/>
    </row>
    <row r="4671" spans="1:14" s="347" customFormat="1" x14ac:dyDescent="0.25">
      <c r="A4671" s="369">
        <v>44438</v>
      </c>
      <c r="B4671" s="340">
        <f>+MONTH(A4671)</f>
        <v>8</v>
      </c>
      <c r="C4671" s="347">
        <v>110</v>
      </c>
      <c r="D4671" s="340" t="str">
        <f>VLOOKUP(C4671,Plan!A$1:B$65542,2,0)</f>
        <v>Disponible Administración</v>
      </c>
      <c r="E4671" s="341">
        <f>+F4671-G4671</f>
        <v>10000</v>
      </c>
      <c r="F4671" s="396">
        <v>10000</v>
      </c>
      <c r="G4671" s="396">
        <v>0</v>
      </c>
      <c r="H4671" t="s">
        <v>971</v>
      </c>
      <c r="I4671" s="347" t="s">
        <v>1303</v>
      </c>
      <c r="K4671" s="370"/>
      <c r="N4671" s="370"/>
    </row>
    <row r="4672" spans="1:14" s="347" customFormat="1" x14ac:dyDescent="0.25">
      <c r="A4672" s="369">
        <f>+A4671</f>
        <v>44438</v>
      </c>
      <c r="B4672" s="347">
        <f>+B4671</f>
        <v>8</v>
      </c>
      <c r="C4672" s="347">
        <v>3110</v>
      </c>
      <c r="D4672" s="340" t="str">
        <f>VLOOKUP(C4672,Plan!A$1:B$65542,2,0)</f>
        <v>Colectas Normales</v>
      </c>
      <c r="E4672" s="341">
        <f>+F4672-G4672</f>
        <v>-10000</v>
      </c>
      <c r="F4672" s="396">
        <v>0</v>
      </c>
      <c r="G4672" s="396">
        <f>+F4671</f>
        <v>10000</v>
      </c>
      <c r="H4672" t="str">
        <f>+H4671</f>
        <v>Colecta Pablo Irarrazaval Mena</v>
      </c>
      <c r="I4672" s="347" t="s">
        <v>1303</v>
      </c>
      <c r="K4672" s="370"/>
      <c r="N4672" s="370"/>
    </row>
    <row r="4673" spans="1:14" s="347" customFormat="1" x14ac:dyDescent="0.25">
      <c r="A4673" s="369"/>
      <c r="E4673" s="396"/>
      <c r="F4673" s="396"/>
      <c r="G4673" s="396"/>
      <c r="K4673" s="370"/>
      <c r="N4673" s="370"/>
    </row>
    <row r="4674" spans="1:14" s="347" customFormat="1" x14ac:dyDescent="0.25">
      <c r="A4674" s="369">
        <v>44438</v>
      </c>
      <c r="B4674" s="340">
        <f>+MONTH(A4674)</f>
        <v>8</v>
      </c>
      <c r="C4674" s="347">
        <v>110</v>
      </c>
      <c r="D4674" s="340" t="str">
        <f>VLOOKUP(C4674,Plan!A$1:B$65542,2,0)</f>
        <v>Disponible Administración</v>
      </c>
      <c r="E4674" s="341">
        <f>+F4674-G4674</f>
        <v>10000</v>
      </c>
      <c r="F4674" s="396">
        <v>10000</v>
      </c>
      <c r="G4674" s="396">
        <v>0</v>
      </c>
      <c r="H4674" t="s">
        <v>1519</v>
      </c>
      <c r="I4674" s="347" t="s">
        <v>1303</v>
      </c>
      <c r="K4674" s="370"/>
      <c r="N4674" s="370"/>
    </row>
    <row r="4675" spans="1:14" s="347" customFormat="1" x14ac:dyDescent="0.25">
      <c r="A4675" s="369">
        <f>+A4674</f>
        <v>44438</v>
      </c>
      <c r="B4675" s="347">
        <f>+B4674</f>
        <v>8</v>
      </c>
      <c r="C4675" s="347">
        <v>3110</v>
      </c>
      <c r="D4675" s="340" t="str">
        <f>VLOOKUP(C4675,Plan!A$1:B$65542,2,0)</f>
        <v>Colectas Normales</v>
      </c>
      <c r="E4675" s="341">
        <f>+F4675-G4675</f>
        <v>-10000</v>
      </c>
      <c r="F4675" s="396">
        <v>0</v>
      </c>
      <c r="G4675" s="396">
        <f>+F4674</f>
        <v>10000</v>
      </c>
      <c r="H4675" t="str">
        <f>+H4674</f>
        <v>Colecta Juan Rafael Arnaiz</v>
      </c>
      <c r="I4675" s="347" t="s">
        <v>1303</v>
      </c>
      <c r="K4675" s="370"/>
      <c r="N4675" s="370"/>
    </row>
    <row r="4676" spans="1:14" s="347" customFormat="1" x14ac:dyDescent="0.25">
      <c r="A4676" s="369"/>
      <c r="E4676" s="396"/>
      <c r="F4676" s="396"/>
      <c r="G4676" s="396"/>
      <c r="K4676" s="370"/>
      <c r="N4676" s="370"/>
    </row>
    <row r="4677" spans="1:14" s="347" customFormat="1" x14ac:dyDescent="0.25">
      <c r="A4677" s="369">
        <v>44438</v>
      </c>
      <c r="B4677" s="340">
        <f>+MONTH(A4677)</f>
        <v>8</v>
      </c>
      <c r="C4677" s="347">
        <v>110</v>
      </c>
      <c r="D4677" s="340" t="str">
        <f>VLOOKUP(C4677,Plan!A$1:B$65542,2,0)</f>
        <v>Disponible Administración</v>
      </c>
      <c r="E4677" s="341">
        <f>+F4677-G4677</f>
        <v>15000</v>
      </c>
      <c r="F4677" s="396">
        <v>15000</v>
      </c>
      <c r="G4677" s="396">
        <v>0</v>
      </c>
      <c r="H4677" t="s">
        <v>1184</v>
      </c>
      <c r="I4677" s="347" t="s">
        <v>1303</v>
      </c>
      <c r="K4677" s="370"/>
      <c r="N4677" s="370"/>
    </row>
    <row r="4678" spans="1:14" s="347" customFormat="1" x14ac:dyDescent="0.25">
      <c r="A4678" s="369">
        <f>+A4677</f>
        <v>44438</v>
      </c>
      <c r="B4678" s="347">
        <f>+B4677</f>
        <v>8</v>
      </c>
      <c r="C4678" s="347">
        <v>3110</v>
      </c>
      <c r="D4678" s="340" t="str">
        <f>VLOOKUP(C4678,Plan!A$1:B$65542,2,0)</f>
        <v>Colectas Normales</v>
      </c>
      <c r="E4678" s="341">
        <f>+F4678-G4678</f>
        <v>-15000</v>
      </c>
      <c r="F4678" s="396">
        <v>0</v>
      </c>
      <c r="G4678" s="396">
        <f>+F4677</f>
        <v>15000</v>
      </c>
      <c r="H4678" t="str">
        <f>+H4677</f>
        <v>Colecta Maria Jose Urrutia Cruz</v>
      </c>
      <c r="I4678" s="347" t="s">
        <v>1303</v>
      </c>
      <c r="K4678" s="370"/>
      <c r="N4678" s="370"/>
    </row>
    <row r="4679" spans="1:14" s="347" customFormat="1" x14ac:dyDescent="0.25">
      <c r="A4679" s="369"/>
      <c r="E4679" s="396"/>
      <c r="F4679" s="396"/>
      <c r="G4679" s="396"/>
      <c r="K4679" s="370"/>
      <c r="N4679" s="370"/>
    </row>
    <row r="4680" spans="1:14" s="347" customFormat="1" x14ac:dyDescent="0.25">
      <c r="A4680" s="369">
        <v>44438</v>
      </c>
      <c r="B4680" s="340">
        <f>+MONTH(A4680)</f>
        <v>8</v>
      </c>
      <c r="C4680" s="347">
        <v>110</v>
      </c>
      <c r="D4680" s="340" t="str">
        <f>VLOOKUP(C4680,Plan!A$1:B$65542,2,0)</f>
        <v>Disponible Administración</v>
      </c>
      <c r="E4680" s="341">
        <f>+F4680-G4680</f>
        <v>50000</v>
      </c>
      <c r="F4680" s="396">
        <v>50000</v>
      </c>
      <c r="G4680" s="396">
        <v>0</v>
      </c>
      <c r="H4680" t="s">
        <v>960</v>
      </c>
      <c r="I4680" s="347" t="s">
        <v>1303</v>
      </c>
      <c r="K4680" s="370"/>
      <c r="N4680" s="370"/>
    </row>
    <row r="4681" spans="1:14" s="347" customFormat="1" x14ac:dyDescent="0.25">
      <c r="A4681" s="369">
        <f>+A4680</f>
        <v>44438</v>
      </c>
      <c r="B4681" s="347">
        <f>+B4680</f>
        <v>8</v>
      </c>
      <c r="C4681" s="347">
        <v>3110</v>
      </c>
      <c r="D4681" s="340" t="str">
        <f>VLOOKUP(C4681,Plan!A$1:B$65542,2,0)</f>
        <v>Colectas Normales</v>
      </c>
      <c r="E4681" s="341">
        <f>+F4681-G4681</f>
        <v>-50000</v>
      </c>
      <c r="F4681" s="396">
        <v>0</v>
      </c>
      <c r="G4681" s="396">
        <f>+F4680</f>
        <v>50000</v>
      </c>
      <c r="H4681" t="str">
        <f>+H4680</f>
        <v>Colecta Ximena Garcia</v>
      </c>
      <c r="I4681" s="347" t="s">
        <v>1303</v>
      </c>
      <c r="K4681" s="370"/>
      <c r="N4681" s="370"/>
    </row>
    <row r="4682" spans="1:14" s="347" customFormat="1" x14ac:dyDescent="0.25">
      <c r="A4682" s="369"/>
      <c r="E4682" s="396"/>
      <c r="F4682" s="396"/>
      <c r="G4682" s="396"/>
      <c r="K4682" s="370"/>
      <c r="N4682" s="370"/>
    </row>
    <row r="4683" spans="1:14" s="347" customFormat="1" x14ac:dyDescent="0.25">
      <c r="A4683" s="369">
        <v>44438</v>
      </c>
      <c r="B4683" s="340">
        <f>+MONTH(A4683)</f>
        <v>8</v>
      </c>
      <c r="C4683" s="347">
        <v>110</v>
      </c>
      <c r="D4683" s="340" t="str">
        <f>VLOOKUP(C4683,Plan!A$1:B$65542,2,0)</f>
        <v>Disponible Administración</v>
      </c>
      <c r="E4683" s="341">
        <f>+F4683-G4683</f>
        <v>2000</v>
      </c>
      <c r="F4683" s="396">
        <v>2000</v>
      </c>
      <c r="G4683" s="396">
        <v>0</v>
      </c>
      <c r="H4683" t="s">
        <v>1216</v>
      </c>
      <c r="I4683" s="347" t="s">
        <v>1303</v>
      </c>
      <c r="K4683" s="370"/>
      <c r="N4683" s="370"/>
    </row>
    <row r="4684" spans="1:14" s="347" customFormat="1" x14ac:dyDescent="0.25">
      <c r="A4684" s="369">
        <f>+A4683</f>
        <v>44438</v>
      </c>
      <c r="B4684" s="347">
        <f>+B4683</f>
        <v>8</v>
      </c>
      <c r="C4684" s="347">
        <v>3110</v>
      </c>
      <c r="D4684" s="340" t="str">
        <f>VLOOKUP(C4684,Plan!A$1:B$65542,2,0)</f>
        <v>Colectas Normales</v>
      </c>
      <c r="E4684" s="341">
        <f>+F4684-G4684</f>
        <v>-2000</v>
      </c>
      <c r="F4684" s="396">
        <v>0</v>
      </c>
      <c r="G4684" s="396">
        <f>+F4683</f>
        <v>2000</v>
      </c>
      <c r="H4684" t="str">
        <f>+H4683</f>
        <v>Colecta Trinidad Barriga Cruzat</v>
      </c>
      <c r="I4684" s="347" t="s">
        <v>1303</v>
      </c>
      <c r="K4684" s="370"/>
      <c r="N4684" s="370"/>
    </row>
    <row r="4685" spans="1:14" s="347" customFormat="1" x14ac:dyDescent="0.25">
      <c r="A4685" s="369"/>
      <c r="E4685" s="396"/>
      <c r="F4685" s="396"/>
      <c r="G4685" s="396"/>
      <c r="K4685" s="370"/>
      <c r="N4685" s="370"/>
    </row>
    <row r="4686" spans="1:14" s="347" customFormat="1" x14ac:dyDescent="0.25">
      <c r="A4686" s="369">
        <v>44438</v>
      </c>
      <c r="B4686" s="340">
        <f>+MONTH(A4686)</f>
        <v>8</v>
      </c>
      <c r="C4686" s="347">
        <v>110</v>
      </c>
      <c r="D4686" s="340" t="str">
        <f>VLOOKUP(C4686,Plan!A$1:B$65542,2,0)</f>
        <v>Disponible Administración</v>
      </c>
      <c r="E4686" s="341">
        <f>+F4686-G4686</f>
        <v>40000</v>
      </c>
      <c r="F4686" s="396">
        <v>40000</v>
      </c>
      <c r="G4686" s="396">
        <v>0</v>
      </c>
      <c r="H4686" t="s">
        <v>1631</v>
      </c>
      <c r="I4686" s="347" t="s">
        <v>1303</v>
      </c>
      <c r="K4686" s="370"/>
      <c r="N4686" s="370"/>
    </row>
    <row r="4687" spans="1:14" s="347" customFormat="1" x14ac:dyDescent="0.25">
      <c r="A4687" s="369">
        <f>+A4686</f>
        <v>44438</v>
      </c>
      <c r="B4687" s="347">
        <f>+B4686</f>
        <v>8</v>
      </c>
      <c r="C4687" s="347">
        <v>215</v>
      </c>
      <c r="D4687" s="340" t="str">
        <f>VLOOKUP(C4687,Plan!A$1:B$65542,2,0)</f>
        <v>Cuenta por Pagar a Cali</v>
      </c>
      <c r="E4687" s="341">
        <f>+F4687-G4687</f>
        <v>-40000</v>
      </c>
      <c r="F4687" s="396">
        <v>0</v>
      </c>
      <c r="G4687" s="396">
        <f>+F4686</f>
        <v>40000</v>
      </c>
      <c r="H4687" t="str">
        <f>+H4686</f>
        <v>Eduardo Castro de la Barra / 249</v>
      </c>
      <c r="I4687" s="347" t="s">
        <v>1303</v>
      </c>
      <c r="K4687" s="370"/>
      <c r="N4687" s="370"/>
    </row>
    <row r="4688" spans="1:14" s="347" customFormat="1" x14ac:dyDescent="0.25">
      <c r="A4688" s="369"/>
      <c r="E4688" s="396"/>
      <c r="F4688" s="396"/>
      <c r="G4688" s="396"/>
      <c r="K4688" s="370"/>
      <c r="N4688" s="370"/>
    </row>
    <row r="4689" spans="1:14" s="347" customFormat="1" x14ac:dyDescent="0.25">
      <c r="A4689" s="369">
        <v>44438</v>
      </c>
      <c r="B4689" s="340">
        <f>+MONTH(A4689)</f>
        <v>8</v>
      </c>
      <c r="C4689" s="347">
        <v>110</v>
      </c>
      <c r="D4689" s="340" t="str">
        <f>VLOOKUP(C4689,Plan!A$1:B$65542,2,0)</f>
        <v>Disponible Administración</v>
      </c>
      <c r="E4689" s="341">
        <f>+F4689-G4689</f>
        <v>20000</v>
      </c>
      <c r="F4689" s="396">
        <v>20000</v>
      </c>
      <c r="G4689" s="396">
        <v>0</v>
      </c>
      <c r="H4689" t="s">
        <v>962</v>
      </c>
      <c r="I4689" s="347" t="s">
        <v>1303</v>
      </c>
      <c r="K4689" s="370"/>
      <c r="N4689" s="370"/>
    </row>
    <row r="4690" spans="1:14" s="347" customFormat="1" x14ac:dyDescent="0.25">
      <c r="A4690" s="369">
        <f>+A4689</f>
        <v>44438</v>
      </c>
      <c r="B4690" s="347">
        <f>+B4689</f>
        <v>8</v>
      </c>
      <c r="C4690" s="347">
        <v>3110</v>
      </c>
      <c r="D4690" s="340" t="str">
        <f>VLOOKUP(C4690,Plan!A$1:B$65542,2,0)</f>
        <v>Colectas Normales</v>
      </c>
      <c r="E4690" s="341">
        <f>+F4690-G4690</f>
        <v>-20000</v>
      </c>
      <c r="F4690" s="396">
        <v>0</v>
      </c>
      <c r="G4690" s="396">
        <f>+F4689</f>
        <v>20000</v>
      </c>
      <c r="H4690" t="str">
        <f>+H4689</f>
        <v>Colecta Pablo Garcia</v>
      </c>
      <c r="I4690" s="347" t="s">
        <v>1303</v>
      </c>
      <c r="K4690" s="370"/>
      <c r="N4690" s="370"/>
    </row>
    <row r="4691" spans="1:14" s="347" customFormat="1" x14ac:dyDescent="0.25">
      <c r="A4691" s="369"/>
      <c r="E4691" s="396"/>
      <c r="F4691" s="396"/>
      <c r="G4691" s="396"/>
      <c r="K4691" s="370"/>
      <c r="N4691" s="370"/>
    </row>
    <row r="4692" spans="1:14" s="347" customFormat="1" x14ac:dyDescent="0.25">
      <c r="A4692" s="369">
        <v>44438</v>
      </c>
      <c r="B4692" s="340">
        <f>+MONTH(A4692)</f>
        <v>8</v>
      </c>
      <c r="C4692" s="347">
        <v>110</v>
      </c>
      <c r="D4692" s="340" t="str">
        <f>VLOOKUP(C4692,Plan!A$1:B$65542,2,0)</f>
        <v>Disponible Administración</v>
      </c>
      <c r="E4692" s="341">
        <f>+F4692-G4692</f>
        <v>3000</v>
      </c>
      <c r="F4692" s="396">
        <v>3000</v>
      </c>
      <c r="G4692" s="396">
        <v>0</v>
      </c>
      <c r="H4692" t="s">
        <v>1584</v>
      </c>
      <c r="I4692" s="347" t="s">
        <v>1303</v>
      </c>
      <c r="K4692" s="370"/>
      <c r="N4692" s="370"/>
    </row>
    <row r="4693" spans="1:14" s="347" customFormat="1" x14ac:dyDescent="0.25">
      <c r="A4693" s="369">
        <f>+A4692</f>
        <v>44438</v>
      </c>
      <c r="B4693" s="347">
        <f>+B4692</f>
        <v>8</v>
      </c>
      <c r="C4693" s="347">
        <v>3110</v>
      </c>
      <c r="D4693" s="340" t="str">
        <f>VLOOKUP(C4693,Plan!A$1:B$65542,2,0)</f>
        <v>Colectas Normales</v>
      </c>
      <c r="E4693" s="341">
        <f>+F4693-G4693</f>
        <v>-3000</v>
      </c>
      <c r="F4693" s="396">
        <v>0</v>
      </c>
      <c r="G4693" s="396">
        <f>+F4692</f>
        <v>3000</v>
      </c>
      <c r="H4693" t="str">
        <f>+H4692</f>
        <v>Colecta Jose Miguel Perez de Castro Z.</v>
      </c>
      <c r="I4693" s="347" t="s">
        <v>1303</v>
      </c>
      <c r="K4693" s="370"/>
      <c r="N4693" s="370"/>
    </row>
    <row r="4694" spans="1:14" s="347" customFormat="1" x14ac:dyDescent="0.25">
      <c r="A4694" s="369"/>
      <c r="E4694" s="396"/>
      <c r="F4694" s="396"/>
      <c r="G4694" s="396"/>
      <c r="K4694" s="370"/>
      <c r="N4694" s="370"/>
    </row>
    <row r="4695" spans="1:14" s="347" customFormat="1" x14ac:dyDescent="0.25">
      <c r="A4695" s="369">
        <v>44438</v>
      </c>
      <c r="B4695" s="340">
        <f>+MONTH(A4695)</f>
        <v>8</v>
      </c>
      <c r="C4695" s="347">
        <v>110</v>
      </c>
      <c r="D4695" s="340" t="str">
        <f>VLOOKUP(C4695,Plan!A$1:B$65542,2,0)</f>
        <v>Disponible Administración</v>
      </c>
      <c r="E4695" s="341">
        <f>+F4695-G4695</f>
        <v>319520</v>
      </c>
      <c r="F4695" s="396">
        <v>319520</v>
      </c>
      <c r="G4695" s="396">
        <v>0</v>
      </c>
      <c r="H4695" t="s">
        <v>1936</v>
      </c>
      <c r="I4695" s="347" t="s">
        <v>1303</v>
      </c>
      <c r="K4695" s="370"/>
      <c r="N4695" s="370"/>
    </row>
    <row r="4696" spans="1:14" s="347" customFormat="1" x14ac:dyDescent="0.25">
      <c r="A4696" s="369">
        <f>+A4695</f>
        <v>44438</v>
      </c>
      <c r="B4696" s="347">
        <f>+B4695</f>
        <v>8</v>
      </c>
      <c r="C4696" s="347">
        <v>3110</v>
      </c>
      <c r="D4696" s="340" t="str">
        <f>VLOOKUP(C4696,Plan!A$1:B$65542,2,0)</f>
        <v>Colectas Normales</v>
      </c>
      <c r="E4696" s="341">
        <f>+F4696-G4696</f>
        <v>-319520</v>
      </c>
      <c r="F4696" s="396">
        <v>0</v>
      </c>
      <c r="G4696" s="396">
        <f>+F4695</f>
        <v>319520</v>
      </c>
      <c r="H4696" t="str">
        <f>+H4695</f>
        <v>Colecta Col.Cordillera</v>
      </c>
      <c r="I4696" s="347" t="s">
        <v>1303</v>
      </c>
      <c r="K4696" s="370"/>
      <c r="N4696" s="370"/>
    </row>
    <row r="4697" spans="1:14" s="347" customFormat="1" x14ac:dyDescent="0.25">
      <c r="A4697" s="369"/>
      <c r="E4697" s="396"/>
      <c r="F4697" s="396"/>
      <c r="G4697" s="396"/>
      <c r="K4697" s="370"/>
      <c r="N4697" s="370"/>
    </row>
    <row r="4698" spans="1:14" s="347" customFormat="1" x14ac:dyDescent="0.25">
      <c r="A4698" s="369">
        <v>44438</v>
      </c>
      <c r="B4698" s="340">
        <f>+MONTH(A4698)</f>
        <v>8</v>
      </c>
      <c r="C4698" s="347">
        <v>4680</v>
      </c>
      <c r="D4698" s="340" t="str">
        <f>VLOOKUP(C4698,Plan!A$1:B$65542,2,0)</f>
        <v>Pastoral Comunicacional</v>
      </c>
      <c r="E4698" s="341">
        <f>+F4698-G4698</f>
        <v>424803</v>
      </c>
      <c r="F4698" s="396">
        <v>424803</v>
      </c>
      <c r="G4698" s="396">
        <v>0</v>
      </c>
      <c r="H4698" t="s">
        <v>1831</v>
      </c>
      <c r="I4698" s="347" t="s">
        <v>1303</v>
      </c>
      <c r="K4698" s="370"/>
      <c r="N4698" s="370"/>
    </row>
    <row r="4699" spans="1:14" s="347" customFormat="1" x14ac:dyDescent="0.25">
      <c r="A4699" s="369">
        <f>+A4698</f>
        <v>44438</v>
      </c>
      <c r="B4699" s="347">
        <f>+B4698</f>
        <v>8</v>
      </c>
      <c r="C4699" s="347">
        <v>110</v>
      </c>
      <c r="D4699" s="340" t="str">
        <f>VLOOKUP(C4699,Plan!A$1:B$65542,2,0)</f>
        <v>Disponible Administración</v>
      </c>
      <c r="E4699" s="341">
        <f>+F4699-G4699</f>
        <v>-424803</v>
      </c>
      <c r="F4699" s="396">
        <v>0</v>
      </c>
      <c r="G4699" s="396">
        <f>+F4698</f>
        <v>424803</v>
      </c>
      <c r="H4699" t="str">
        <f>+H4698</f>
        <v>F.799 Serv. Julio21</v>
      </c>
      <c r="I4699" s="347" t="s">
        <v>1303</v>
      </c>
      <c r="K4699" s="370"/>
      <c r="N4699" s="370"/>
    </row>
    <row r="4700" spans="1:14" s="347" customFormat="1" x14ac:dyDescent="0.25">
      <c r="A4700" s="369"/>
      <c r="E4700" s="396"/>
      <c r="F4700" s="396"/>
      <c r="G4700" s="396"/>
      <c r="K4700" s="370"/>
      <c r="N4700" s="370"/>
    </row>
    <row r="4701" spans="1:14" s="347" customFormat="1" x14ac:dyDescent="0.25">
      <c r="A4701" s="369">
        <v>44438</v>
      </c>
      <c r="B4701" s="340">
        <f>+MONTH(A4701)</f>
        <v>8</v>
      </c>
      <c r="C4701" s="347">
        <v>4650</v>
      </c>
      <c r="D4701" s="340" t="str">
        <f>VLOOKUP(C4701,Plan!A$1:B$65542,2,0)</f>
        <v>Pastoral Social</v>
      </c>
      <c r="E4701" s="341">
        <f>+F4701-G4701</f>
        <v>550000</v>
      </c>
      <c r="F4701" s="396">
        <v>550000</v>
      </c>
      <c r="G4701" s="396">
        <v>0</v>
      </c>
      <c r="H4701" t="s">
        <v>664</v>
      </c>
      <c r="I4701" s="347" t="s">
        <v>1303</v>
      </c>
      <c r="K4701" s="370"/>
      <c r="N4701" s="370"/>
    </row>
    <row r="4702" spans="1:14" s="347" customFormat="1" x14ac:dyDescent="0.25">
      <c r="A4702" s="369">
        <f>+A4701</f>
        <v>44438</v>
      </c>
      <c r="B4702" s="347">
        <f>+B4701</f>
        <v>8</v>
      </c>
      <c r="C4702" s="347">
        <v>110</v>
      </c>
      <c r="D4702" s="340" t="str">
        <f>VLOOKUP(C4702,Plan!A$1:B$65542,2,0)</f>
        <v>Disponible Administración</v>
      </c>
      <c r="E4702" s="341">
        <f>+F4702-G4702</f>
        <v>-550000</v>
      </c>
      <c r="F4702" s="396">
        <v>0</v>
      </c>
      <c r="G4702" s="396">
        <f>+F4701</f>
        <v>550000</v>
      </c>
      <c r="H4702" t="str">
        <f>+H4701</f>
        <v>Servicefood SpA</v>
      </c>
      <c r="I4702" s="347" t="s">
        <v>1303</v>
      </c>
      <c r="K4702" s="370"/>
      <c r="N4702" s="370"/>
    </row>
    <row r="4703" spans="1:14" s="347" customFormat="1" x14ac:dyDescent="0.25">
      <c r="A4703" s="369"/>
      <c r="E4703" s="396"/>
      <c r="F4703" s="396"/>
      <c r="G4703" s="396"/>
      <c r="K4703" s="370"/>
      <c r="N4703" s="370"/>
    </row>
    <row r="4704" spans="1:14" s="347" customFormat="1" x14ac:dyDescent="0.25">
      <c r="A4704" s="369">
        <v>44438</v>
      </c>
      <c r="B4704" s="340">
        <f>+MONTH(A4704)</f>
        <v>8</v>
      </c>
      <c r="C4704" s="347">
        <v>4641</v>
      </c>
      <c r="D4704" s="340" t="str">
        <f>VLOOKUP(C4704,Plan!A$1:B$65542,2,0)</f>
        <v xml:space="preserve">             Capellanías </v>
      </c>
      <c r="E4704" s="341">
        <f>+F4704-G4704</f>
        <v>145000</v>
      </c>
      <c r="F4704" s="396">
        <v>145000</v>
      </c>
      <c r="G4704" s="396">
        <v>0</v>
      </c>
      <c r="H4704" t="s">
        <v>1978</v>
      </c>
      <c r="I4704" s="347" t="s">
        <v>1303</v>
      </c>
      <c r="K4704" s="370"/>
      <c r="N4704" s="370"/>
    </row>
    <row r="4705" spans="1:14" s="347" customFormat="1" x14ac:dyDescent="0.25">
      <c r="A4705" s="369">
        <f>+A4704</f>
        <v>44438</v>
      </c>
      <c r="B4705" s="347">
        <f>+B4704</f>
        <v>8</v>
      </c>
      <c r="C4705" s="347">
        <v>110</v>
      </c>
      <c r="D4705" s="340" t="str">
        <f>VLOOKUP(C4705,Plan!A$1:B$65542,2,0)</f>
        <v>Disponible Administración</v>
      </c>
      <c r="E4705" s="341">
        <f>+F4705-G4705</f>
        <v>-145000</v>
      </c>
      <c r="F4705" s="396">
        <v>0</v>
      </c>
      <c r="G4705" s="396">
        <f>+F4704</f>
        <v>145000</v>
      </c>
      <c r="H4705" t="str">
        <f>+H4704</f>
        <v>Capellania 8 Misas Jul/21</v>
      </c>
      <c r="I4705" s="347" t="s">
        <v>1303</v>
      </c>
      <c r="K4705" s="370"/>
      <c r="N4705" s="370"/>
    </row>
    <row r="4706" spans="1:14" s="347" customFormat="1" x14ac:dyDescent="0.25">
      <c r="A4706" s="369"/>
      <c r="E4706" s="396"/>
      <c r="F4706" s="396"/>
      <c r="G4706" s="396"/>
      <c r="K4706" s="370"/>
      <c r="N4706" s="370"/>
    </row>
    <row r="4707" spans="1:14" s="347" customFormat="1" x14ac:dyDescent="0.25">
      <c r="A4707" s="369">
        <v>44438</v>
      </c>
      <c r="B4707" s="340">
        <f>+MONTH(A4707)</f>
        <v>8</v>
      </c>
      <c r="C4707" s="347">
        <v>4641</v>
      </c>
      <c r="D4707" s="340" t="str">
        <f>VLOOKUP(C4707,Plan!A$1:B$65542,2,0)</f>
        <v xml:space="preserve">             Capellanías </v>
      </c>
      <c r="E4707" s="341">
        <f>+F4707-G4707</f>
        <v>105000</v>
      </c>
      <c r="F4707" s="396">
        <v>105000</v>
      </c>
      <c r="G4707" s="396">
        <v>0</v>
      </c>
      <c r="H4707" t="s">
        <v>1979</v>
      </c>
      <c r="I4707" s="347" t="s">
        <v>1303</v>
      </c>
      <c r="K4707" s="370"/>
      <c r="N4707" s="370"/>
    </row>
    <row r="4708" spans="1:14" s="347" customFormat="1" x14ac:dyDescent="0.25">
      <c r="A4708" s="369">
        <f>+A4707</f>
        <v>44438</v>
      </c>
      <c r="B4708" s="347">
        <f>+B4707</f>
        <v>8</v>
      </c>
      <c r="C4708" s="347">
        <v>110</v>
      </c>
      <c r="D4708" s="340" t="str">
        <f>VLOOKUP(C4708,Plan!A$1:B$65542,2,0)</f>
        <v>Disponible Administración</v>
      </c>
      <c r="E4708" s="341">
        <f>+F4708-G4708</f>
        <v>-105000</v>
      </c>
      <c r="F4708" s="396">
        <v>0</v>
      </c>
      <c r="G4708" s="396">
        <f>+F4707</f>
        <v>105000</v>
      </c>
      <c r="H4708" t="str">
        <f>+H4707</f>
        <v>Capellania 6 Misas Ago/21</v>
      </c>
      <c r="I4708" s="347" t="s">
        <v>1303</v>
      </c>
      <c r="K4708" s="370"/>
      <c r="N4708" s="370"/>
    </row>
    <row r="4709" spans="1:14" s="347" customFormat="1" x14ac:dyDescent="0.25">
      <c r="A4709" s="369"/>
      <c r="E4709" s="396"/>
      <c r="F4709" s="396"/>
      <c r="G4709" s="396"/>
      <c r="K4709" s="370"/>
      <c r="N4709" s="370"/>
    </row>
    <row r="4710" spans="1:14" s="347" customFormat="1" x14ac:dyDescent="0.25">
      <c r="A4710" s="369">
        <v>44438</v>
      </c>
      <c r="B4710" s="340">
        <f>+MONTH(A4710)</f>
        <v>8</v>
      </c>
      <c r="C4710" s="347">
        <v>4641</v>
      </c>
      <c r="D4710" s="340" t="str">
        <f>VLOOKUP(C4710,Plan!A$1:B$65542,2,0)</f>
        <v xml:space="preserve">             Capellanías </v>
      </c>
      <c r="E4710" s="341">
        <f>+F4710-G4710</f>
        <v>20000</v>
      </c>
      <c r="F4710" s="396">
        <v>20000</v>
      </c>
      <c r="G4710" s="396">
        <v>0</v>
      </c>
      <c r="H4710" t="s">
        <v>1980</v>
      </c>
      <c r="I4710" s="347" t="s">
        <v>1303</v>
      </c>
      <c r="K4710" s="370"/>
      <c r="N4710" s="370"/>
    </row>
    <row r="4711" spans="1:14" s="347" customFormat="1" x14ac:dyDescent="0.25">
      <c r="A4711" s="369">
        <f>+A4710</f>
        <v>44438</v>
      </c>
      <c r="B4711" s="347">
        <f>+B4710</f>
        <v>8</v>
      </c>
      <c r="C4711" s="347">
        <v>110</v>
      </c>
      <c r="D4711" s="340" t="str">
        <f>VLOOKUP(C4711,Plan!A$1:B$65542,2,0)</f>
        <v>Disponible Administración</v>
      </c>
      <c r="E4711" s="341">
        <f>+F4711-G4711</f>
        <v>-20000</v>
      </c>
      <c r="F4711" s="396">
        <v>0</v>
      </c>
      <c r="G4711" s="396">
        <f>+F4710</f>
        <v>20000</v>
      </c>
      <c r="H4711" t="str">
        <f>+H4710</f>
        <v>Capellania 1 Misa Ago/21</v>
      </c>
      <c r="I4711" s="347" t="s">
        <v>1303</v>
      </c>
      <c r="K4711" s="370"/>
      <c r="N4711" s="370"/>
    </row>
    <row r="4712" spans="1:14" s="347" customFormat="1" x14ac:dyDescent="0.25">
      <c r="A4712" s="369"/>
      <c r="E4712" s="396"/>
      <c r="F4712" s="396"/>
      <c r="G4712" s="396"/>
      <c r="K4712" s="370"/>
      <c r="N4712" s="370"/>
    </row>
    <row r="4713" spans="1:14" s="347" customFormat="1" x14ac:dyDescent="0.25">
      <c r="A4713" s="369">
        <v>44438</v>
      </c>
      <c r="B4713" s="340">
        <f>+MONTH(A4713)</f>
        <v>8</v>
      </c>
      <c r="C4713" s="347">
        <v>4641</v>
      </c>
      <c r="D4713" s="340" t="str">
        <f>VLOOKUP(C4713,Plan!A$1:B$65542,2,0)</f>
        <v xml:space="preserve">             Capellanías </v>
      </c>
      <c r="E4713" s="341">
        <f>+F4713-G4713</f>
        <v>30000</v>
      </c>
      <c r="F4713" s="396">
        <v>30000</v>
      </c>
      <c r="G4713" s="396">
        <v>0</v>
      </c>
      <c r="H4713" t="s">
        <v>1981</v>
      </c>
      <c r="I4713" s="347" t="s">
        <v>1303</v>
      </c>
      <c r="K4713" s="370"/>
      <c r="N4713" s="370"/>
    </row>
    <row r="4714" spans="1:14" s="347" customFormat="1" x14ac:dyDescent="0.25">
      <c r="A4714" s="369">
        <f>+A4713</f>
        <v>44438</v>
      </c>
      <c r="B4714" s="347">
        <f>+B4713</f>
        <v>8</v>
      </c>
      <c r="C4714" s="347">
        <v>110</v>
      </c>
      <c r="D4714" s="340" t="str">
        <f>VLOOKUP(C4714,Plan!A$1:B$65542,2,0)</f>
        <v>Disponible Administración</v>
      </c>
      <c r="E4714" s="341">
        <f>+F4714-G4714</f>
        <v>-30000</v>
      </c>
      <c r="F4714" s="396">
        <v>0</v>
      </c>
      <c r="G4714" s="396">
        <f>+F4713</f>
        <v>30000</v>
      </c>
      <c r="H4714" t="str">
        <f>+H4713</f>
        <v>Capellania 3 Misas Ago/21</v>
      </c>
      <c r="I4714" s="347" t="s">
        <v>1303</v>
      </c>
      <c r="K4714" s="370"/>
      <c r="N4714" s="370"/>
    </row>
    <row r="4715" spans="1:14" s="347" customFormat="1" x14ac:dyDescent="0.25">
      <c r="A4715" s="369"/>
      <c r="E4715" s="396"/>
      <c r="F4715" s="396"/>
      <c r="G4715" s="396"/>
      <c r="K4715" s="370"/>
      <c r="N4715" s="370"/>
    </row>
    <row r="4716" spans="1:14" s="347" customFormat="1" x14ac:dyDescent="0.25">
      <c r="A4716" s="369">
        <v>44438</v>
      </c>
      <c r="B4716" s="340">
        <f>+MONTH(A4716)</f>
        <v>8</v>
      </c>
      <c r="C4716" s="347">
        <v>4641</v>
      </c>
      <c r="D4716" s="340" t="str">
        <f>VLOOKUP(C4716,Plan!A$1:B$65542,2,0)</f>
        <v xml:space="preserve">             Capellanías </v>
      </c>
      <c r="E4716" s="341">
        <f>+F4716-G4716</f>
        <v>35000</v>
      </c>
      <c r="F4716" s="396">
        <v>35000</v>
      </c>
      <c r="G4716" s="396">
        <v>0</v>
      </c>
      <c r="H4716" t="s">
        <v>1982</v>
      </c>
      <c r="I4716" s="347" t="s">
        <v>1303</v>
      </c>
      <c r="K4716" s="370"/>
      <c r="N4716" s="370"/>
    </row>
    <row r="4717" spans="1:14" s="347" customFormat="1" x14ac:dyDescent="0.25">
      <c r="A4717" s="369">
        <f>+A4716</f>
        <v>44438</v>
      </c>
      <c r="B4717" s="347">
        <f>+B4716</f>
        <v>8</v>
      </c>
      <c r="C4717" s="347">
        <v>110</v>
      </c>
      <c r="D4717" s="340" t="str">
        <f>VLOOKUP(C4717,Plan!A$1:B$65542,2,0)</f>
        <v>Disponible Administración</v>
      </c>
      <c r="E4717" s="341">
        <f>+F4717-G4717</f>
        <v>-35000</v>
      </c>
      <c r="F4717" s="396">
        <v>0</v>
      </c>
      <c r="G4717" s="396">
        <f>+F4716</f>
        <v>35000</v>
      </c>
      <c r="H4717" t="str">
        <f>+H4716</f>
        <v>Capellania 2 Misa Ago/21</v>
      </c>
      <c r="I4717" s="347" t="s">
        <v>1303</v>
      </c>
      <c r="K4717" s="370"/>
      <c r="N4717" s="370"/>
    </row>
    <row r="4718" spans="1:14" s="347" customFormat="1" x14ac:dyDescent="0.25">
      <c r="A4718" s="369"/>
      <c r="E4718" s="396"/>
      <c r="F4718" s="396"/>
      <c r="G4718" s="396"/>
      <c r="K4718" s="370"/>
      <c r="N4718" s="370"/>
    </row>
    <row r="4719" spans="1:14" s="347" customFormat="1" x14ac:dyDescent="0.25">
      <c r="A4719" s="369">
        <v>44438</v>
      </c>
      <c r="B4719" s="340">
        <f>+MONTH(A4719)</f>
        <v>8</v>
      </c>
      <c r="C4719" s="347">
        <v>4643</v>
      </c>
      <c r="D4719" s="340" t="str">
        <f>VLOOKUP(C4719,Plan!A$1:B$65542,2,0)</f>
        <v xml:space="preserve">             Otros</v>
      </c>
      <c r="E4719" s="341">
        <f>+F4719-G4719</f>
        <v>80000</v>
      </c>
      <c r="F4719" s="396">
        <f>+G4720+G4721</f>
        <v>80000</v>
      </c>
      <c r="G4719" s="396">
        <v>0</v>
      </c>
      <c r="H4719" t="s">
        <v>1983</v>
      </c>
      <c r="I4719" s="347" t="s">
        <v>1303</v>
      </c>
      <c r="K4719" s="370"/>
      <c r="N4719" s="370"/>
    </row>
    <row r="4720" spans="1:14" s="347" customFormat="1" x14ac:dyDescent="0.25">
      <c r="A4720" s="369">
        <v>44438</v>
      </c>
      <c r="B4720" s="340">
        <f>+MONTH(A4720)</f>
        <v>8</v>
      </c>
      <c r="C4720" s="347">
        <v>223</v>
      </c>
      <c r="D4720" s="340" t="str">
        <f>VLOOKUP(C4720,Plan!A$1:B$65542,2,0)</f>
        <v>Ret. Hon.  e Impto. Unico Administración</v>
      </c>
      <c r="E4720" s="341">
        <f>+F4720-G4720</f>
        <v>-9200</v>
      </c>
      <c r="F4720" s="396">
        <v>0</v>
      </c>
      <c r="G4720" s="396">
        <v>9200</v>
      </c>
      <c r="H4720" t="s">
        <v>1983</v>
      </c>
      <c r="I4720" s="347" t="s">
        <v>1303</v>
      </c>
      <c r="J4720" s="340"/>
      <c r="K4720" s="209"/>
      <c r="L4720" s="340"/>
      <c r="N4720" s="370"/>
    </row>
    <row r="4721" spans="1:14" s="347" customFormat="1" x14ac:dyDescent="0.25">
      <c r="A4721" s="369">
        <f>+A4719</f>
        <v>44438</v>
      </c>
      <c r="B4721" s="347">
        <f>+B4719</f>
        <v>8</v>
      </c>
      <c r="C4721" s="347">
        <v>110</v>
      </c>
      <c r="D4721" s="340" t="str">
        <f>VLOOKUP(C4721,Plan!A$1:B$65542,2,0)</f>
        <v>Disponible Administración</v>
      </c>
      <c r="E4721" s="341">
        <f>+F4721-G4721</f>
        <v>-70800</v>
      </c>
      <c r="F4721" s="396">
        <v>0</v>
      </c>
      <c r="G4721" s="396">
        <v>70800</v>
      </c>
      <c r="H4721" t="str">
        <f>+H4719</f>
        <v>BTE-114 DORLLY CLARET CARDENAS LINDARTE</v>
      </c>
      <c r="I4721" s="347" t="s">
        <v>1303</v>
      </c>
      <c r="K4721" s="370"/>
      <c r="N4721" s="370"/>
    </row>
    <row r="4722" spans="1:14" s="347" customFormat="1" x14ac:dyDescent="0.25">
      <c r="A4722" s="369"/>
      <c r="E4722" s="396"/>
      <c r="F4722" s="396"/>
      <c r="G4722" s="396"/>
      <c r="K4722" s="370"/>
      <c r="N4722" s="370"/>
    </row>
    <row r="4723" spans="1:14" s="347" customFormat="1" x14ac:dyDescent="0.25">
      <c r="A4723" s="339">
        <v>44439</v>
      </c>
      <c r="B4723" s="340">
        <f>+MONTH(A4723)</f>
        <v>8</v>
      </c>
      <c r="C4723" s="338">
        <v>4231</v>
      </c>
      <c r="D4723" s="347" t="str">
        <f>VLOOKUP(C4723,Plan!A$1:B$65542,2,0)</f>
        <v>Auxiliares, secretarias y administración</v>
      </c>
      <c r="E4723" s="341">
        <f t="shared" ref="E4723:E4729" si="37">+F4723-G4723</f>
        <v>3059525</v>
      </c>
      <c r="F4723" s="345">
        <v>3059525</v>
      </c>
      <c r="G4723" s="346">
        <v>0</v>
      </c>
      <c r="H4723" s="343" t="s">
        <v>410</v>
      </c>
      <c r="I4723" s="401" t="s">
        <v>296</v>
      </c>
      <c r="K4723" s="370"/>
      <c r="N4723" s="370"/>
    </row>
    <row r="4724" spans="1:14" s="347" customFormat="1" x14ac:dyDescent="0.25">
      <c r="A4724" s="339">
        <f t="shared" ref="A4724:B4729" si="38">+A4723</f>
        <v>44439</v>
      </c>
      <c r="B4724" s="340">
        <f t="shared" si="38"/>
        <v>8</v>
      </c>
      <c r="C4724" s="338">
        <v>9011</v>
      </c>
      <c r="D4724" s="347" t="str">
        <f>VLOOKUP(C4724,Plan!A$1:B$65542,2,0)</f>
        <v>Sueldo Sacerdotes</v>
      </c>
      <c r="E4724" s="341">
        <f t="shared" si="37"/>
        <v>911915</v>
      </c>
      <c r="F4724" s="345">
        <v>911915</v>
      </c>
      <c r="G4724" s="346">
        <v>0</v>
      </c>
      <c r="H4724" s="338" t="s">
        <v>410</v>
      </c>
      <c r="I4724" s="401" t="s">
        <v>296</v>
      </c>
      <c r="K4724" s="370"/>
      <c r="N4724" s="370"/>
    </row>
    <row r="4725" spans="1:14" s="347" customFormat="1" x14ac:dyDescent="0.25">
      <c r="A4725" s="339">
        <f t="shared" si="38"/>
        <v>44439</v>
      </c>
      <c r="B4725" s="340">
        <f t="shared" si="38"/>
        <v>8</v>
      </c>
      <c r="C4725" s="338">
        <v>4231</v>
      </c>
      <c r="D4725" s="347" t="str">
        <f>VLOOKUP(C4725,Plan!A$1:B$65542,2,0)</f>
        <v>Auxiliares, secretarias y administración</v>
      </c>
      <c r="E4725" s="341">
        <f t="shared" si="37"/>
        <v>51252</v>
      </c>
      <c r="F4725" s="345">
        <v>51252</v>
      </c>
      <c r="G4725" s="346">
        <v>0</v>
      </c>
      <c r="H4725" s="338" t="s">
        <v>410</v>
      </c>
      <c r="I4725" s="401" t="s">
        <v>296</v>
      </c>
      <c r="K4725" s="370"/>
      <c r="N4725" s="370"/>
    </row>
    <row r="4726" spans="1:14" s="347" customFormat="1" x14ac:dyDescent="0.25">
      <c r="A4726" s="339">
        <f t="shared" si="38"/>
        <v>44439</v>
      </c>
      <c r="B4726" s="340">
        <f t="shared" si="38"/>
        <v>8</v>
      </c>
      <c r="C4726" s="338">
        <v>225</v>
      </c>
      <c r="D4726" s="347" t="str">
        <f>VLOOKUP(C4726,Plan!A$1:B$65542,2,0)</f>
        <v>Sueldos por Pagar</v>
      </c>
      <c r="E4726" s="341">
        <f t="shared" si="37"/>
        <v>-3402791</v>
      </c>
      <c r="F4726" s="345">
        <v>0</v>
      </c>
      <c r="G4726" s="346">
        <v>3402791</v>
      </c>
      <c r="H4726" s="338" t="s">
        <v>410</v>
      </c>
      <c r="I4726" s="401" t="s">
        <v>296</v>
      </c>
      <c r="K4726" s="370"/>
      <c r="N4726" s="370"/>
    </row>
    <row r="4727" spans="1:14" s="347" customFormat="1" x14ac:dyDescent="0.25">
      <c r="A4727" s="339">
        <f t="shared" si="38"/>
        <v>44439</v>
      </c>
      <c r="B4727" s="340">
        <f t="shared" si="38"/>
        <v>8</v>
      </c>
      <c r="C4727" s="338">
        <v>224</v>
      </c>
      <c r="D4727" s="347" t="str">
        <f>VLOOKUP(C4727,Plan!A$1:B$65542,2,0)</f>
        <v>Cotizaciones por Pagar</v>
      </c>
      <c r="E4727" s="341">
        <f t="shared" si="37"/>
        <v>-427730</v>
      </c>
      <c r="F4727" s="345">
        <v>0</v>
      </c>
      <c r="G4727" s="346">
        <v>427730</v>
      </c>
      <c r="H4727" s="338" t="s">
        <v>410</v>
      </c>
      <c r="I4727" s="401" t="s">
        <v>296</v>
      </c>
      <c r="K4727" s="370"/>
      <c r="N4727" s="370"/>
    </row>
    <row r="4728" spans="1:14" s="347" customFormat="1" x14ac:dyDescent="0.25">
      <c r="A4728" s="339">
        <f t="shared" si="38"/>
        <v>44439</v>
      </c>
      <c r="B4728" s="340">
        <f t="shared" si="38"/>
        <v>8</v>
      </c>
      <c r="C4728" s="338">
        <v>224</v>
      </c>
      <c r="D4728" s="347" t="str">
        <f>VLOOKUP(C4728,Plan!A$1:B$65542,2,0)</f>
        <v>Cotizaciones por Pagar</v>
      </c>
      <c r="E4728" s="341">
        <f t="shared" si="37"/>
        <v>-176915</v>
      </c>
      <c r="F4728" s="345">
        <v>0</v>
      </c>
      <c r="G4728" s="362">
        <v>176915</v>
      </c>
      <c r="H4728" s="338" t="s">
        <v>410</v>
      </c>
      <c r="I4728" s="401" t="s">
        <v>296</v>
      </c>
      <c r="K4728" s="370"/>
      <c r="N4728" s="370"/>
    </row>
    <row r="4729" spans="1:14" s="347" customFormat="1" x14ac:dyDescent="0.25">
      <c r="A4729" s="339">
        <f t="shared" si="38"/>
        <v>44439</v>
      </c>
      <c r="B4729" s="340">
        <f t="shared" si="38"/>
        <v>8</v>
      </c>
      <c r="C4729" s="338">
        <v>223</v>
      </c>
      <c r="D4729" s="347" t="str">
        <f>VLOOKUP(C4729,Plan!A$1:B$65542,2,0)</f>
        <v>Ret. Hon.  e Impto. Unico Administración</v>
      </c>
      <c r="E4729" s="341">
        <f t="shared" si="37"/>
        <v>-15256</v>
      </c>
      <c r="F4729" s="345">
        <v>0</v>
      </c>
      <c r="G4729" s="346">
        <v>15256</v>
      </c>
      <c r="H4729" s="338" t="s">
        <v>410</v>
      </c>
      <c r="I4729" s="401" t="s">
        <v>296</v>
      </c>
      <c r="K4729" s="370"/>
      <c r="N4729" s="370"/>
    </row>
    <row r="4730" spans="1:14" s="347" customFormat="1" x14ac:dyDescent="0.25">
      <c r="A4730" s="369"/>
      <c r="E4730" s="396"/>
      <c r="F4730" s="396"/>
      <c r="G4730" s="396"/>
      <c r="K4730" s="370"/>
      <c r="N4730" s="370"/>
    </row>
    <row r="4731" spans="1:14" s="347" customFormat="1" x14ac:dyDescent="0.25">
      <c r="A4731" s="369">
        <v>44439</v>
      </c>
      <c r="B4731" s="340">
        <f>+MONTH(A4731)</f>
        <v>8</v>
      </c>
      <c r="C4731" s="347">
        <v>225</v>
      </c>
      <c r="D4731" s="340" t="str">
        <f>VLOOKUP(C4731,Plan!A$1:B$65542,2,0)</f>
        <v>Sueldos por Pagar</v>
      </c>
      <c r="E4731" s="341">
        <f>+F4731-G4731</f>
        <v>735000</v>
      </c>
      <c r="F4731" s="396">
        <v>735000</v>
      </c>
      <c r="G4731" s="396">
        <v>0</v>
      </c>
      <c r="H4731" t="s">
        <v>1984</v>
      </c>
      <c r="I4731" s="347" t="s">
        <v>1303</v>
      </c>
      <c r="K4731" s="370"/>
      <c r="N4731" s="370"/>
    </row>
    <row r="4732" spans="1:14" s="347" customFormat="1" x14ac:dyDescent="0.25">
      <c r="A4732" s="369">
        <f>+A4731</f>
        <v>44439</v>
      </c>
      <c r="B4732" s="347">
        <f>+B4731</f>
        <v>8</v>
      </c>
      <c r="C4732" s="347">
        <v>110</v>
      </c>
      <c r="D4732" s="340" t="str">
        <f>VLOOKUP(C4732,Plan!A$1:B$65542,2,0)</f>
        <v>Disponible Administración</v>
      </c>
      <c r="E4732" s="341">
        <f>+F4732-G4732</f>
        <v>-735000</v>
      </c>
      <c r="F4732" s="396">
        <v>0</v>
      </c>
      <c r="G4732" s="396">
        <f>+F4731</f>
        <v>735000</v>
      </c>
      <c r="H4732" t="str">
        <f>+H4731</f>
        <v>SUELDO Pedro Rios Dempster</v>
      </c>
      <c r="I4732" s="347" t="s">
        <v>1303</v>
      </c>
      <c r="K4732" s="370"/>
      <c r="N4732" s="370"/>
    </row>
    <row r="4733" spans="1:14" s="347" customFormat="1" x14ac:dyDescent="0.25">
      <c r="A4733" s="369"/>
      <c r="E4733" s="396"/>
      <c r="F4733" s="396"/>
      <c r="G4733" s="396"/>
      <c r="K4733" s="370"/>
      <c r="N4733" s="370"/>
    </row>
    <row r="4734" spans="1:14" s="347" customFormat="1" x14ac:dyDescent="0.25">
      <c r="A4734" s="369">
        <v>44439</v>
      </c>
      <c r="B4734" s="340">
        <f>+MONTH(A4734)</f>
        <v>8</v>
      </c>
      <c r="C4734" s="347">
        <v>225</v>
      </c>
      <c r="D4734" s="340" t="str">
        <f>VLOOKUP(C4734,Plan!A$1:B$65542,2,0)</f>
        <v>Sueldos por Pagar</v>
      </c>
      <c r="E4734" s="341">
        <f>+F4734-G4734</f>
        <v>779991</v>
      </c>
      <c r="F4734" s="396">
        <v>779991</v>
      </c>
      <c r="G4734" s="396">
        <v>0</v>
      </c>
      <c r="H4734" t="s">
        <v>1985</v>
      </c>
      <c r="I4734" s="347" t="s">
        <v>1303</v>
      </c>
      <c r="K4734" s="370"/>
      <c r="N4734" s="370"/>
    </row>
    <row r="4735" spans="1:14" s="347" customFormat="1" x14ac:dyDescent="0.25">
      <c r="A4735" s="369">
        <f>+A4734</f>
        <v>44439</v>
      </c>
      <c r="B4735" s="347">
        <f>+B4734</f>
        <v>8</v>
      </c>
      <c r="C4735" s="347">
        <v>110</v>
      </c>
      <c r="D4735" s="340" t="str">
        <f>VLOOKUP(C4735,Plan!A$1:B$65542,2,0)</f>
        <v>Disponible Administración</v>
      </c>
      <c r="E4735" s="341">
        <f>+F4735-G4735</f>
        <v>-779991</v>
      </c>
      <c r="F4735" s="396">
        <v>0</v>
      </c>
      <c r="G4735" s="396">
        <f>+F4734</f>
        <v>779991</v>
      </c>
      <c r="H4735" t="str">
        <f>+H4734</f>
        <v>SUELDO Veronica Arriagada Soto</v>
      </c>
      <c r="I4735" s="347" t="s">
        <v>1303</v>
      </c>
      <c r="K4735" s="370"/>
      <c r="N4735" s="370"/>
    </row>
    <row r="4736" spans="1:14" s="347" customFormat="1" x14ac:dyDescent="0.25">
      <c r="A4736" s="369"/>
      <c r="E4736" s="396"/>
      <c r="F4736" s="396"/>
      <c r="G4736" s="396"/>
      <c r="K4736" s="370"/>
      <c r="N4736" s="370"/>
    </row>
    <row r="4737" spans="1:14" s="347" customFormat="1" x14ac:dyDescent="0.25">
      <c r="A4737" s="369">
        <v>44439</v>
      </c>
      <c r="B4737" s="340">
        <f>+MONTH(A4737)</f>
        <v>8</v>
      </c>
      <c r="C4737" s="347">
        <v>225</v>
      </c>
      <c r="D4737" s="340" t="str">
        <f>VLOOKUP(C4737,Plan!A$1:B$65542,2,0)</f>
        <v>Sueldos por Pagar</v>
      </c>
      <c r="E4737" s="341">
        <f>+F4737-G4737</f>
        <v>515130</v>
      </c>
      <c r="F4737" s="396">
        <v>515130</v>
      </c>
      <c r="G4737" s="396">
        <v>0</v>
      </c>
      <c r="H4737" t="s">
        <v>1986</v>
      </c>
      <c r="I4737" s="347" t="s">
        <v>1303</v>
      </c>
      <c r="K4737" s="370"/>
      <c r="N4737" s="370"/>
    </row>
    <row r="4738" spans="1:14" s="347" customFormat="1" x14ac:dyDescent="0.25">
      <c r="A4738" s="369">
        <f>+A4737</f>
        <v>44439</v>
      </c>
      <c r="B4738" s="347">
        <f>+B4737</f>
        <v>8</v>
      </c>
      <c r="C4738" s="347">
        <v>110</v>
      </c>
      <c r="D4738" s="340" t="str">
        <f>VLOOKUP(C4738,Plan!A$1:B$65542,2,0)</f>
        <v>Disponible Administración</v>
      </c>
      <c r="E4738" s="341">
        <f>+F4738-G4738</f>
        <v>-515130</v>
      </c>
      <c r="F4738" s="396">
        <v>0</v>
      </c>
      <c r="G4738" s="396">
        <f>+F4737</f>
        <v>515130</v>
      </c>
      <c r="H4738" t="str">
        <f>+H4737</f>
        <v>SUELDO M. De los Angeles Renasco Mandiola</v>
      </c>
      <c r="I4738" s="347" t="s">
        <v>1303</v>
      </c>
      <c r="K4738" s="370"/>
      <c r="N4738" s="370"/>
    </row>
    <row r="4739" spans="1:14" s="347" customFormat="1" x14ac:dyDescent="0.25">
      <c r="A4739" s="369"/>
      <c r="E4739" s="396"/>
      <c r="F4739" s="396"/>
      <c r="G4739" s="396"/>
      <c r="K4739" s="370"/>
      <c r="N4739" s="370"/>
    </row>
    <row r="4740" spans="1:14" s="347" customFormat="1" x14ac:dyDescent="0.25">
      <c r="A4740" s="369">
        <v>44439</v>
      </c>
      <c r="B4740" s="340">
        <f>+MONTH(A4740)</f>
        <v>8</v>
      </c>
      <c r="C4740" s="347">
        <v>225</v>
      </c>
      <c r="D4740" s="340" t="str">
        <f>VLOOKUP(C4740,Plan!A$1:B$65542,2,0)</f>
        <v>Sueldos por Pagar</v>
      </c>
      <c r="E4740" s="341">
        <f>+F4740-G4740</f>
        <v>255470</v>
      </c>
      <c r="F4740" s="396">
        <v>255470</v>
      </c>
      <c r="G4740" s="396">
        <v>0</v>
      </c>
      <c r="H4740" t="s">
        <v>1987</v>
      </c>
      <c r="I4740" s="347" t="s">
        <v>1303</v>
      </c>
      <c r="K4740" s="370"/>
      <c r="N4740" s="370"/>
    </row>
    <row r="4741" spans="1:14" s="347" customFormat="1" x14ac:dyDescent="0.25">
      <c r="A4741" s="369">
        <f>+A4740</f>
        <v>44439</v>
      </c>
      <c r="B4741" s="347">
        <f>+B4740</f>
        <v>8</v>
      </c>
      <c r="C4741" s="347">
        <v>110</v>
      </c>
      <c r="D4741" s="340" t="str">
        <f>VLOOKUP(C4741,Plan!A$1:B$65542,2,0)</f>
        <v>Disponible Administración</v>
      </c>
      <c r="E4741" s="341">
        <f>+F4741-G4741</f>
        <v>-255470</v>
      </c>
      <c r="F4741" s="396">
        <v>0</v>
      </c>
      <c r="G4741" s="396">
        <f>+F4740</f>
        <v>255470</v>
      </c>
      <c r="H4741" t="str">
        <f>+H4740</f>
        <v>SUELDO KATHERINNE FARIAS CUEVAS</v>
      </c>
      <c r="I4741" s="347" t="s">
        <v>1303</v>
      </c>
      <c r="K4741" s="370"/>
      <c r="N4741" s="370"/>
    </row>
    <row r="4742" spans="1:14" s="347" customFormat="1" x14ac:dyDescent="0.25">
      <c r="A4742" s="369"/>
      <c r="E4742" s="396"/>
      <c r="F4742" s="396"/>
      <c r="G4742" s="396"/>
      <c r="K4742" s="370"/>
      <c r="N4742" s="370"/>
    </row>
    <row r="4743" spans="1:14" s="347" customFormat="1" x14ac:dyDescent="0.25">
      <c r="A4743" s="369">
        <v>44439</v>
      </c>
      <c r="B4743" s="340">
        <f>+MONTH(A4743)</f>
        <v>8</v>
      </c>
      <c r="C4743" s="347">
        <v>225</v>
      </c>
      <c r="D4743" s="340" t="str">
        <f>VLOOKUP(C4743,Plan!A$1:B$65542,2,0)</f>
        <v>Sueldos por Pagar</v>
      </c>
      <c r="E4743" s="341">
        <f>+F4743-G4743</f>
        <v>1117200</v>
      </c>
      <c r="F4743" s="396">
        <v>1117200</v>
      </c>
      <c r="G4743" s="396">
        <v>0</v>
      </c>
      <c r="H4743" t="s">
        <v>1987</v>
      </c>
      <c r="I4743" s="347" t="s">
        <v>1303</v>
      </c>
      <c r="K4743" s="370"/>
      <c r="N4743" s="370"/>
    </row>
    <row r="4744" spans="1:14" s="347" customFormat="1" x14ac:dyDescent="0.25">
      <c r="A4744" s="369">
        <f>+A4743</f>
        <v>44439</v>
      </c>
      <c r="B4744" s="347">
        <f>+B4743</f>
        <v>8</v>
      </c>
      <c r="C4744" s="347">
        <v>110</v>
      </c>
      <c r="D4744" s="340" t="str">
        <f>VLOOKUP(C4744,Plan!A$1:B$65542,2,0)</f>
        <v>Disponible Administración</v>
      </c>
      <c r="E4744" s="341">
        <f>+F4744-G4744</f>
        <v>-1117200</v>
      </c>
      <c r="F4744" s="396">
        <v>0</v>
      </c>
      <c r="G4744" s="396">
        <f>+F4743</f>
        <v>1117200</v>
      </c>
      <c r="H4744" t="str">
        <f>+H4743</f>
        <v>SUELDO KATHERINNE FARIAS CUEVAS</v>
      </c>
      <c r="I4744" s="347" t="s">
        <v>1303</v>
      </c>
      <c r="K4744" s="370"/>
      <c r="N4744" s="370"/>
    </row>
    <row r="4745" spans="1:14" s="347" customFormat="1" x14ac:dyDescent="0.25">
      <c r="A4745" s="369"/>
      <c r="E4745" s="396"/>
      <c r="F4745" s="396"/>
      <c r="G4745" s="396"/>
      <c r="K4745" s="370"/>
      <c r="N4745" s="370"/>
    </row>
    <row r="4746" spans="1:14" s="347" customFormat="1" x14ac:dyDescent="0.25">
      <c r="A4746" s="369">
        <v>44439</v>
      </c>
      <c r="B4746" s="340">
        <f>+MONTH(A4746)</f>
        <v>8</v>
      </c>
      <c r="C4746" s="347">
        <v>110</v>
      </c>
      <c r="D4746" s="340" t="str">
        <f>VLOOKUP(C4746,Plan!A$1:B$65542,2,0)</f>
        <v>Disponible Administración</v>
      </c>
      <c r="E4746" s="341">
        <f>+F4746-G4746</f>
        <v>20000</v>
      </c>
      <c r="F4746" s="396">
        <v>20000</v>
      </c>
      <c r="G4746" s="396">
        <v>0</v>
      </c>
      <c r="H4746" t="s">
        <v>961</v>
      </c>
      <c r="I4746" s="347" t="s">
        <v>1303</v>
      </c>
      <c r="K4746" s="370"/>
      <c r="N4746" s="370"/>
    </row>
    <row r="4747" spans="1:14" s="347" customFormat="1" x14ac:dyDescent="0.25">
      <c r="A4747" s="369">
        <f>+A4746</f>
        <v>44439</v>
      </c>
      <c r="B4747" s="347">
        <f>+B4746</f>
        <v>8</v>
      </c>
      <c r="C4747" s="347">
        <v>3110</v>
      </c>
      <c r="D4747" s="340" t="str">
        <f>VLOOKUP(C4747,Plan!A$1:B$65542,2,0)</f>
        <v>Colectas Normales</v>
      </c>
      <c r="E4747" s="341">
        <f>+F4747-G4747</f>
        <v>-20000</v>
      </c>
      <c r="F4747" s="396">
        <v>0</v>
      </c>
      <c r="G4747" s="396">
        <f>+F4746</f>
        <v>20000</v>
      </c>
      <c r="H4747" t="str">
        <f>+H4746</f>
        <v>Colecta Jose Luis Bustamante G</v>
      </c>
      <c r="I4747" s="347" t="s">
        <v>1303</v>
      </c>
      <c r="K4747" s="370"/>
      <c r="N4747" s="370"/>
    </row>
    <row r="4748" spans="1:14" s="347" customFormat="1" x14ac:dyDescent="0.25">
      <c r="A4748" s="369"/>
      <c r="E4748" s="396"/>
      <c r="F4748" s="396"/>
      <c r="G4748" s="396"/>
      <c r="K4748" s="370"/>
      <c r="N4748" s="370"/>
    </row>
    <row r="4749" spans="1:14" s="347" customFormat="1" x14ac:dyDescent="0.25">
      <c r="A4749" s="369">
        <v>44439</v>
      </c>
      <c r="B4749" s="340">
        <f>+MONTH(A4749)</f>
        <v>8</v>
      </c>
      <c r="C4749" s="347">
        <v>110</v>
      </c>
      <c r="D4749" s="340" t="str">
        <f>VLOOKUP(C4749,Plan!A$1:B$65542,2,0)</f>
        <v>Disponible Administración</v>
      </c>
      <c r="E4749" s="341">
        <f>+F4749-G4749</f>
        <v>1000000</v>
      </c>
      <c r="F4749" s="396">
        <v>1000000</v>
      </c>
      <c r="G4749" s="396">
        <v>0</v>
      </c>
      <c r="H4749" t="s">
        <v>1988</v>
      </c>
      <c r="I4749" s="347" t="s">
        <v>1303</v>
      </c>
      <c r="K4749" s="370"/>
      <c r="N4749" s="370"/>
    </row>
    <row r="4750" spans="1:14" s="347" customFormat="1" x14ac:dyDescent="0.25">
      <c r="A4750" s="369">
        <f>+A4749</f>
        <v>44439</v>
      </c>
      <c r="B4750" s="347">
        <f>+B4749</f>
        <v>8</v>
      </c>
      <c r="C4750" s="347">
        <v>215</v>
      </c>
      <c r="D4750" s="340" t="str">
        <f>VLOOKUP(C4750,Plan!A$1:B$65542,2,0)</f>
        <v>Cuenta por Pagar a Cali</v>
      </c>
      <c r="E4750" s="341">
        <f>+F4750-G4750</f>
        <v>-1000000</v>
      </c>
      <c r="F4750" s="396">
        <v>0</v>
      </c>
      <c r="G4750" s="396">
        <f>+F4749</f>
        <v>1000000</v>
      </c>
      <c r="H4750" t="str">
        <f>+H4749</f>
        <v>Ana María Alvarez Toro  / Azul</v>
      </c>
      <c r="I4750" s="347" t="s">
        <v>1303</v>
      </c>
      <c r="K4750" s="370"/>
      <c r="N4750" s="370"/>
    </row>
    <row r="4751" spans="1:14" s="347" customFormat="1" x14ac:dyDescent="0.25">
      <c r="A4751" s="369"/>
      <c r="E4751" s="396"/>
      <c r="F4751" s="396"/>
      <c r="G4751" s="396"/>
      <c r="K4751" s="370"/>
      <c r="N4751" s="370"/>
    </row>
    <row r="4752" spans="1:14" s="347" customFormat="1" x14ac:dyDescent="0.25">
      <c r="A4752" s="369">
        <v>44439</v>
      </c>
      <c r="B4752" s="340">
        <f>+MONTH(A4752)</f>
        <v>8</v>
      </c>
      <c r="C4752" s="347">
        <v>110</v>
      </c>
      <c r="D4752" s="340" t="str">
        <f>VLOOKUP(C4752,Plan!A$1:B$65542,2,0)</f>
        <v>Disponible Administración</v>
      </c>
      <c r="E4752" s="341">
        <f>+F4752-G4752</f>
        <v>54329</v>
      </c>
      <c r="F4752" s="396">
        <v>54329</v>
      </c>
      <c r="G4752" s="396">
        <v>0</v>
      </c>
      <c r="H4752" t="s">
        <v>1914</v>
      </c>
      <c r="I4752" s="347" t="s">
        <v>1303</v>
      </c>
      <c r="K4752" s="370"/>
      <c r="N4752" s="370"/>
    </row>
    <row r="4753" spans="1:14" s="347" customFormat="1" x14ac:dyDescent="0.25">
      <c r="A4753" s="369">
        <f>+A4752</f>
        <v>44439</v>
      </c>
      <c r="B4753" s="347">
        <f>+B4752</f>
        <v>8</v>
      </c>
      <c r="C4753" s="347">
        <v>3520</v>
      </c>
      <c r="D4753" s="340" t="str">
        <f>VLOOKUP(C4753,Plan!A$1:B$65542,2,0)</f>
        <v>Otros Ingreso</v>
      </c>
      <c r="E4753" s="341">
        <f>+F4753-G4753</f>
        <v>-54329</v>
      </c>
      <c r="F4753" s="396">
        <v>0</v>
      </c>
      <c r="G4753" s="396">
        <f>+F4752</f>
        <v>54329</v>
      </c>
      <c r="H4753" t="str">
        <f>+H4752</f>
        <v>Dev.Asignación Familiar</v>
      </c>
      <c r="I4753" s="347" t="s">
        <v>1303</v>
      </c>
      <c r="K4753" s="370"/>
      <c r="N4753" s="370"/>
    </row>
    <row r="4754" spans="1:14" s="347" customFormat="1" x14ac:dyDescent="0.25">
      <c r="A4754" s="369"/>
      <c r="E4754" s="396"/>
      <c r="F4754" s="396"/>
      <c r="G4754" s="396"/>
      <c r="K4754" s="370"/>
      <c r="N4754" s="370"/>
    </row>
    <row r="4755" spans="1:14" s="347" customFormat="1" x14ac:dyDescent="0.25">
      <c r="A4755" s="369"/>
      <c r="E4755" s="396"/>
      <c r="F4755" s="396"/>
      <c r="G4755" s="396"/>
      <c r="K4755" s="370"/>
      <c r="N4755" s="370"/>
    </row>
    <row r="4756" spans="1:14" s="347" customFormat="1" x14ac:dyDescent="0.25">
      <c r="A4756" s="369"/>
      <c r="E4756" s="396"/>
      <c r="F4756" s="396"/>
      <c r="G4756" s="396"/>
      <c r="K4756" s="370"/>
      <c r="N4756" s="370"/>
    </row>
    <row r="4757" spans="1:14" s="347" customFormat="1" x14ac:dyDescent="0.25">
      <c r="A4757" s="369">
        <v>44439</v>
      </c>
      <c r="B4757" s="340">
        <f>+MONTH(A4757)</f>
        <v>8</v>
      </c>
      <c r="C4757" s="347">
        <v>142</v>
      </c>
      <c r="D4757" s="340" t="str">
        <f>VLOOKUP(C4757,Plan!A$1:B$65542,2,0)</f>
        <v>Cuentas por Cobrar a CALI (Colectas)</v>
      </c>
      <c r="E4757" s="341">
        <f t="shared" ref="E4757:E4770" si="39">+F4757-G4757</f>
        <v>15000</v>
      </c>
      <c r="F4757" s="396">
        <v>15000</v>
      </c>
      <c r="G4757" s="396">
        <v>0</v>
      </c>
      <c r="H4757" t="s">
        <v>982</v>
      </c>
      <c r="I4757" s="347" t="s">
        <v>1303</v>
      </c>
      <c r="K4757" s="370"/>
      <c r="N4757" s="370"/>
    </row>
    <row r="4758" spans="1:14" s="347" customFormat="1" x14ac:dyDescent="0.25">
      <c r="A4758" s="369">
        <f>+A4757</f>
        <v>44439</v>
      </c>
      <c r="B4758" s="347">
        <f>+B4757</f>
        <v>8</v>
      </c>
      <c r="C4758" s="347">
        <v>142</v>
      </c>
      <c r="D4758" s="340" t="str">
        <f>VLOOKUP(C4758,Plan!A$1:B$65542,2,0)</f>
        <v>Cuentas por Cobrar a CALI (Colectas)</v>
      </c>
      <c r="E4758" s="341">
        <f t="shared" si="39"/>
        <v>20000</v>
      </c>
      <c r="F4758" s="396">
        <v>20000</v>
      </c>
      <c r="G4758" s="396">
        <v>0</v>
      </c>
      <c r="H4758" t="s">
        <v>1046</v>
      </c>
      <c r="I4758" s="347" t="s">
        <v>1303</v>
      </c>
      <c r="J4758"/>
      <c r="K4758" s="264"/>
      <c r="N4758" s="370"/>
    </row>
    <row r="4759" spans="1:14" s="347" customFormat="1" x14ac:dyDescent="0.25">
      <c r="A4759" s="369">
        <v>44439</v>
      </c>
      <c r="B4759" s="340">
        <f>+MONTH(A4759)</f>
        <v>8</v>
      </c>
      <c r="C4759" s="347">
        <v>142</v>
      </c>
      <c r="D4759" s="340" t="str">
        <f>VLOOKUP(C4759,Plan!A$1:B$65542,2,0)</f>
        <v>Cuentas por Cobrar a CALI (Colectas)</v>
      </c>
      <c r="E4759" s="341">
        <f t="shared" si="39"/>
        <v>5000</v>
      </c>
      <c r="F4759" s="396">
        <v>5000</v>
      </c>
      <c r="G4759" s="396">
        <v>0</v>
      </c>
      <c r="H4759" t="s">
        <v>1010</v>
      </c>
      <c r="I4759" s="347" t="s">
        <v>1303</v>
      </c>
      <c r="J4759"/>
      <c r="K4759" s="264"/>
      <c r="N4759" s="370"/>
    </row>
    <row r="4760" spans="1:14" s="347" customFormat="1" x14ac:dyDescent="0.25">
      <c r="A4760" s="369">
        <f>+A4759</f>
        <v>44439</v>
      </c>
      <c r="B4760" s="347">
        <f>+B4759</f>
        <v>8</v>
      </c>
      <c r="C4760" s="347">
        <v>142</v>
      </c>
      <c r="D4760" s="340" t="str">
        <f>VLOOKUP(C4760,Plan!A$1:B$65542,2,0)</f>
        <v>Cuentas por Cobrar a CALI (Colectas)</v>
      </c>
      <c r="E4760" s="341">
        <f t="shared" si="39"/>
        <v>5000</v>
      </c>
      <c r="F4760" s="396">
        <v>5000</v>
      </c>
      <c r="G4760" s="396">
        <v>0</v>
      </c>
      <c r="H4760" t="s">
        <v>1861</v>
      </c>
      <c r="I4760" s="347" t="s">
        <v>1303</v>
      </c>
      <c r="J4760"/>
      <c r="K4760" s="264"/>
      <c r="N4760" s="370"/>
    </row>
    <row r="4761" spans="1:14" s="347" customFormat="1" x14ac:dyDescent="0.25">
      <c r="A4761" s="369">
        <f>+A4760</f>
        <v>44439</v>
      </c>
      <c r="B4761" s="347">
        <f>+B4760</f>
        <v>8</v>
      </c>
      <c r="C4761" s="347">
        <v>142</v>
      </c>
      <c r="D4761" s="340" t="str">
        <f>VLOOKUP(C4761,Plan!A$1:B$65542,2,0)</f>
        <v>Cuentas por Cobrar a CALI (Colectas)</v>
      </c>
      <c r="E4761" s="341">
        <f t="shared" si="39"/>
        <v>100000</v>
      </c>
      <c r="F4761" s="396">
        <v>100000</v>
      </c>
      <c r="G4761" s="396">
        <v>0</v>
      </c>
      <c r="H4761" t="s">
        <v>1992</v>
      </c>
      <c r="I4761" s="347" t="s">
        <v>1303</v>
      </c>
      <c r="J4761" s="428"/>
      <c r="K4761" s="264"/>
      <c r="N4761" s="370"/>
    </row>
    <row r="4762" spans="1:14" s="347" customFormat="1" x14ac:dyDescent="0.25">
      <c r="A4762" s="369">
        <v>44439</v>
      </c>
      <c r="B4762" s="340">
        <f>+MONTH(A4762)</f>
        <v>8</v>
      </c>
      <c r="C4762" s="347">
        <v>142</v>
      </c>
      <c r="D4762" s="340" t="str">
        <f>VLOOKUP(C4762,Plan!A$1:B$65542,2,0)</f>
        <v>Cuentas por Cobrar a CALI (Colectas)</v>
      </c>
      <c r="E4762" s="341">
        <f t="shared" si="39"/>
        <v>30000</v>
      </c>
      <c r="F4762" s="396">
        <v>30000</v>
      </c>
      <c r="G4762" s="396">
        <v>0</v>
      </c>
      <c r="H4762" t="s">
        <v>1998</v>
      </c>
      <c r="I4762" s="347" t="s">
        <v>1303</v>
      </c>
      <c r="J4762"/>
      <c r="K4762" s="264"/>
      <c r="N4762" s="370"/>
    </row>
    <row r="4763" spans="1:14" s="347" customFormat="1" x14ac:dyDescent="0.25">
      <c r="A4763" s="369">
        <f>+A4762</f>
        <v>44439</v>
      </c>
      <c r="B4763" s="347">
        <f>+B4762</f>
        <v>8</v>
      </c>
      <c r="C4763" s="347">
        <v>142</v>
      </c>
      <c r="D4763" s="340" t="str">
        <f>VLOOKUP(C4763,Plan!A$1:B$65542,2,0)</f>
        <v>Cuentas por Cobrar a CALI (Colectas)</v>
      </c>
      <c r="E4763" s="341">
        <f t="shared" si="39"/>
        <v>5000</v>
      </c>
      <c r="F4763" s="396">
        <v>5000</v>
      </c>
      <c r="G4763" s="396">
        <v>0</v>
      </c>
      <c r="H4763" t="s">
        <v>2007</v>
      </c>
      <c r="I4763" s="347" t="s">
        <v>1303</v>
      </c>
      <c r="J4763"/>
      <c r="K4763" s="264"/>
      <c r="N4763" s="370"/>
    </row>
    <row r="4764" spans="1:14" s="347" customFormat="1" x14ac:dyDescent="0.25">
      <c r="A4764" s="369">
        <v>44439</v>
      </c>
      <c r="B4764" s="340">
        <f>+MONTH(A4764)</f>
        <v>8</v>
      </c>
      <c r="C4764" s="347">
        <v>3110</v>
      </c>
      <c r="D4764" s="340" t="str">
        <f>VLOOKUP(C4764,Plan!A$1:B$65542,2,0)</f>
        <v>Colectas Normales</v>
      </c>
      <c r="E4764" s="341">
        <f t="shared" si="39"/>
        <v>-15000</v>
      </c>
      <c r="F4764" s="396">
        <v>0</v>
      </c>
      <c r="G4764" s="396">
        <v>15000</v>
      </c>
      <c r="H4764" t="s">
        <v>982</v>
      </c>
      <c r="I4764" s="347" t="s">
        <v>1303</v>
      </c>
      <c r="J4764"/>
      <c r="K4764" s="264"/>
      <c r="N4764" s="370"/>
    </row>
    <row r="4765" spans="1:14" s="347" customFormat="1" x14ac:dyDescent="0.25">
      <c r="A4765" s="369">
        <f>+A4764</f>
        <v>44439</v>
      </c>
      <c r="B4765" s="347">
        <f>+B4764</f>
        <v>8</v>
      </c>
      <c r="C4765" s="347">
        <v>3110</v>
      </c>
      <c r="D4765" s="340" t="str">
        <f>VLOOKUP(C4765,Plan!A$1:B$65542,2,0)</f>
        <v>Colectas Normales</v>
      </c>
      <c r="E4765" s="341">
        <f t="shared" si="39"/>
        <v>-20000</v>
      </c>
      <c r="F4765" s="396">
        <v>0</v>
      </c>
      <c r="G4765" s="396">
        <v>20000</v>
      </c>
      <c r="H4765" t="s">
        <v>1046</v>
      </c>
      <c r="I4765" s="347" t="s">
        <v>1303</v>
      </c>
      <c r="K4765" s="370"/>
      <c r="N4765" s="370"/>
    </row>
    <row r="4766" spans="1:14" s="347" customFormat="1" x14ac:dyDescent="0.25">
      <c r="A4766" s="369">
        <v>44439</v>
      </c>
      <c r="B4766" s="340">
        <f>+MONTH(A4766)</f>
        <v>8</v>
      </c>
      <c r="C4766" s="347">
        <v>3110</v>
      </c>
      <c r="D4766" s="340" t="str">
        <f>VLOOKUP(C4766,Plan!A$1:B$65542,2,0)</f>
        <v>Colectas Normales</v>
      </c>
      <c r="E4766" s="341">
        <f t="shared" si="39"/>
        <v>-5000</v>
      </c>
      <c r="F4766" s="396">
        <v>0</v>
      </c>
      <c r="G4766" s="396">
        <v>5000</v>
      </c>
      <c r="H4766" t="s">
        <v>1010</v>
      </c>
      <c r="I4766" s="347" t="s">
        <v>1303</v>
      </c>
      <c r="K4766" s="370"/>
      <c r="N4766" s="370"/>
    </row>
    <row r="4767" spans="1:14" s="347" customFormat="1" x14ac:dyDescent="0.25">
      <c r="A4767" s="369">
        <f>+A4766</f>
        <v>44439</v>
      </c>
      <c r="B4767" s="347">
        <f>+B4766</f>
        <v>8</v>
      </c>
      <c r="C4767" s="347">
        <v>3110</v>
      </c>
      <c r="D4767" s="340" t="str">
        <f>VLOOKUP(C4767,Plan!A$1:B$65542,2,0)</f>
        <v>Colectas Normales</v>
      </c>
      <c r="E4767" s="341">
        <f t="shared" si="39"/>
        <v>-5000</v>
      </c>
      <c r="F4767" s="396">
        <v>0</v>
      </c>
      <c r="G4767" s="396">
        <v>5000</v>
      </c>
      <c r="H4767" t="s">
        <v>1861</v>
      </c>
      <c r="I4767" s="347" t="s">
        <v>1303</v>
      </c>
      <c r="K4767" s="370"/>
      <c r="N4767" s="370"/>
    </row>
    <row r="4768" spans="1:14" s="347" customFormat="1" x14ac:dyDescent="0.25">
      <c r="A4768" s="369">
        <f>+A4767</f>
        <v>44439</v>
      </c>
      <c r="B4768" s="347">
        <f>+B4767</f>
        <v>8</v>
      </c>
      <c r="C4768" s="347">
        <v>3110</v>
      </c>
      <c r="D4768" s="340" t="str">
        <f>VLOOKUP(C4768,Plan!A$1:B$65542,2,0)</f>
        <v>Colectas Normales</v>
      </c>
      <c r="E4768" s="341">
        <f t="shared" si="39"/>
        <v>-100000</v>
      </c>
      <c r="F4768" s="396">
        <v>0</v>
      </c>
      <c r="G4768" s="396">
        <v>100000</v>
      </c>
      <c r="H4768" t="s">
        <v>1992</v>
      </c>
      <c r="I4768" s="347" t="s">
        <v>1303</v>
      </c>
      <c r="K4768" s="370"/>
      <c r="N4768" s="370"/>
    </row>
    <row r="4769" spans="1:14" s="347" customFormat="1" x14ac:dyDescent="0.25">
      <c r="A4769" s="369">
        <v>44439</v>
      </c>
      <c r="B4769" s="340">
        <f>+MONTH(A4769)</f>
        <v>8</v>
      </c>
      <c r="C4769" s="347">
        <v>3110</v>
      </c>
      <c r="D4769" s="340" t="str">
        <f>VLOOKUP(C4769,Plan!A$1:B$65542,2,0)</f>
        <v>Colectas Normales</v>
      </c>
      <c r="E4769" s="341">
        <f t="shared" si="39"/>
        <v>-30000</v>
      </c>
      <c r="F4769" s="396">
        <v>0</v>
      </c>
      <c r="G4769" s="396">
        <v>30000</v>
      </c>
      <c r="H4769" t="s">
        <v>1998</v>
      </c>
      <c r="I4769" s="347" t="s">
        <v>1303</v>
      </c>
      <c r="K4769" s="370"/>
      <c r="N4769" s="370"/>
    </row>
    <row r="4770" spans="1:14" s="347" customFormat="1" x14ac:dyDescent="0.25">
      <c r="A4770" s="369">
        <f>+A4769</f>
        <v>44439</v>
      </c>
      <c r="B4770" s="347">
        <f>+B4769</f>
        <v>8</v>
      </c>
      <c r="C4770" s="347">
        <v>3110</v>
      </c>
      <c r="D4770" s="340" t="str">
        <f>VLOOKUP(C4770,Plan!A$1:B$65542,2,0)</f>
        <v>Colectas Normales</v>
      </c>
      <c r="E4770" s="341">
        <f t="shared" si="39"/>
        <v>-5000</v>
      </c>
      <c r="F4770" s="396">
        <v>0</v>
      </c>
      <c r="G4770" s="396">
        <v>5000</v>
      </c>
      <c r="H4770" t="s">
        <v>2007</v>
      </c>
      <c r="I4770" s="347" t="s">
        <v>1303</v>
      </c>
      <c r="K4770" s="370"/>
      <c r="N4770" s="370"/>
    </row>
    <row r="4771" spans="1:14" s="347" customFormat="1" x14ac:dyDescent="0.25">
      <c r="A4771" s="369"/>
      <c r="B4771" s="340"/>
      <c r="D4771" s="340"/>
      <c r="E4771" s="341"/>
      <c r="F4771" s="396"/>
      <c r="G4771" s="396"/>
      <c r="H4771"/>
      <c r="K4771" s="370"/>
      <c r="N4771" s="370"/>
    </row>
    <row r="4772" spans="1:14" s="347" customFormat="1" x14ac:dyDescent="0.25">
      <c r="A4772" s="369"/>
      <c r="E4772" s="396"/>
      <c r="F4772" s="396"/>
      <c r="G4772" s="396"/>
      <c r="K4772" s="370"/>
      <c r="N4772" s="370"/>
    </row>
    <row r="4773" spans="1:14" s="347" customFormat="1" x14ac:dyDescent="0.25">
      <c r="A4773" s="369">
        <v>44440</v>
      </c>
      <c r="B4773" s="340">
        <f>+MONTH(A4773)</f>
        <v>9</v>
      </c>
      <c r="C4773" s="347">
        <v>110</v>
      </c>
      <c r="D4773" s="340" t="str">
        <f>VLOOKUP(C4773,Plan!A$1:B$65542,2,0)</f>
        <v>Disponible Administración</v>
      </c>
      <c r="E4773" s="341">
        <f>+F4773-G4773</f>
        <v>10000</v>
      </c>
      <c r="F4773" s="396">
        <v>10000</v>
      </c>
      <c r="G4773" s="396">
        <v>0</v>
      </c>
      <c r="H4773" t="s">
        <v>880</v>
      </c>
      <c r="I4773" s="347" t="s">
        <v>1303</v>
      </c>
      <c r="K4773" s="370"/>
      <c r="N4773" s="370"/>
    </row>
    <row r="4774" spans="1:14" s="347" customFormat="1" x14ac:dyDescent="0.25">
      <c r="A4774" s="369">
        <f>+A4773</f>
        <v>44440</v>
      </c>
      <c r="B4774" s="347">
        <f>+B4773</f>
        <v>9</v>
      </c>
      <c r="C4774" s="347">
        <v>3110</v>
      </c>
      <c r="D4774" s="340" t="str">
        <f>VLOOKUP(C4774,Plan!A$1:B$65542,2,0)</f>
        <v>Colectas Normales</v>
      </c>
      <c r="E4774" s="341">
        <f>+F4774-G4774</f>
        <v>-10000</v>
      </c>
      <c r="F4774" s="396">
        <v>0</v>
      </c>
      <c r="G4774" s="396">
        <f>+F4773</f>
        <v>10000</v>
      </c>
      <c r="H4774" t="str">
        <f>+H4773</f>
        <v>Colecta Sebastian Rios</v>
      </c>
      <c r="I4774" s="347" t="s">
        <v>1303</v>
      </c>
      <c r="K4774" s="370"/>
      <c r="N4774" s="370"/>
    </row>
    <row r="4775" spans="1:14" s="347" customFormat="1" x14ac:dyDescent="0.25">
      <c r="K4775" s="370"/>
      <c r="N4775" s="370"/>
    </row>
    <row r="4776" spans="1:14" s="347" customFormat="1" x14ac:dyDescent="0.25">
      <c r="A4776" s="369">
        <v>44440</v>
      </c>
      <c r="B4776" s="340">
        <f>+MONTH(A4776)</f>
        <v>9</v>
      </c>
      <c r="C4776" s="347">
        <v>110</v>
      </c>
      <c r="D4776" s="340" t="str">
        <f>VLOOKUP(C4776,Plan!A$1:B$65542,2,0)</f>
        <v>Disponible Administración</v>
      </c>
      <c r="E4776" s="341">
        <f>+F4776-G4776</f>
        <v>50000</v>
      </c>
      <c r="F4776" s="396">
        <v>50000</v>
      </c>
      <c r="G4776" s="396">
        <v>0</v>
      </c>
      <c r="H4776" t="s">
        <v>1524</v>
      </c>
      <c r="I4776" s="347" t="s">
        <v>1303</v>
      </c>
      <c r="K4776" s="370"/>
      <c r="N4776" s="370"/>
    </row>
    <row r="4777" spans="1:14" s="347" customFormat="1" x14ac:dyDescent="0.25">
      <c r="A4777" s="369">
        <f>+A4776</f>
        <v>44440</v>
      </c>
      <c r="B4777" s="347">
        <f>+B4776</f>
        <v>9</v>
      </c>
      <c r="C4777" s="347">
        <v>3360</v>
      </c>
      <c r="D4777" s="340" t="str">
        <f>VLOOKUP(C4777,Plan!A$1:B$65542,2,0)</f>
        <v>Otros</v>
      </c>
      <c r="E4777" s="341">
        <f>+F4777-G4777</f>
        <v>-50000</v>
      </c>
      <c r="F4777" s="396">
        <v>0</v>
      </c>
      <c r="G4777" s="396">
        <f>+F4776</f>
        <v>50000</v>
      </c>
      <c r="H4777" t="str">
        <f>+H4776</f>
        <v>Curso Pedro Iriberry Mc.</v>
      </c>
      <c r="I4777" s="347" t="s">
        <v>1303</v>
      </c>
      <c r="K4777" s="370"/>
      <c r="N4777" s="370"/>
    </row>
    <row r="4778" spans="1:14" s="347" customFormat="1" x14ac:dyDescent="0.25">
      <c r="A4778" s="369"/>
      <c r="E4778" s="396"/>
      <c r="F4778" s="396"/>
      <c r="G4778" s="396"/>
      <c r="K4778" s="370"/>
      <c r="N4778" s="370"/>
    </row>
    <row r="4779" spans="1:14" s="347" customFormat="1" x14ac:dyDescent="0.25">
      <c r="A4779" s="369">
        <v>44440</v>
      </c>
      <c r="B4779" s="340">
        <f>+MONTH(A4779)</f>
        <v>9</v>
      </c>
      <c r="C4779" s="347">
        <v>110</v>
      </c>
      <c r="D4779" s="340" t="str">
        <f>VLOOKUP(C4779,Plan!A$1:B$65542,2,0)</f>
        <v>Disponible Administración</v>
      </c>
      <c r="E4779" s="341">
        <f>+F4779-G4779</f>
        <v>65000</v>
      </c>
      <c r="F4779" s="396">
        <v>65000</v>
      </c>
      <c r="G4779" s="396">
        <v>0</v>
      </c>
      <c r="H4779" t="s">
        <v>1321</v>
      </c>
      <c r="I4779" s="347" t="s">
        <v>1303</v>
      </c>
      <c r="K4779" s="370"/>
      <c r="N4779" s="370"/>
    </row>
    <row r="4780" spans="1:14" s="347" customFormat="1" x14ac:dyDescent="0.25">
      <c r="A4780" s="369">
        <f>+A4779</f>
        <v>44440</v>
      </c>
      <c r="B4780" s="347">
        <f>+B4779</f>
        <v>9</v>
      </c>
      <c r="C4780" s="347">
        <v>3450</v>
      </c>
      <c r="D4780" s="340" t="str">
        <f>VLOOKUP(C4780,Plan!A$1:B$65542,2,0)</f>
        <v>Pastoral Social</v>
      </c>
      <c r="E4780" s="341">
        <f>+F4780-G4780</f>
        <v>-65000</v>
      </c>
      <c r="F4780" s="396">
        <v>0</v>
      </c>
      <c r="G4780" s="396">
        <f>+F4779</f>
        <v>65000</v>
      </c>
      <c r="H4780" t="str">
        <f>+H4779</f>
        <v>Canastas SERVICIOS E INVERSIONES VARIOS SPA</v>
      </c>
      <c r="I4780" s="347" t="s">
        <v>1303</v>
      </c>
      <c r="K4780" s="370"/>
      <c r="N4780" s="370"/>
    </row>
    <row r="4781" spans="1:14" s="347" customFormat="1" x14ac:dyDescent="0.25">
      <c r="A4781" s="369"/>
      <c r="E4781" s="396"/>
      <c r="F4781" s="396"/>
      <c r="G4781" s="396"/>
      <c r="K4781" s="370"/>
      <c r="N4781" s="370"/>
    </row>
    <row r="4782" spans="1:14" s="347" customFormat="1" x14ac:dyDescent="0.25">
      <c r="A4782" s="369">
        <v>44440</v>
      </c>
      <c r="B4782" s="340">
        <f>+MONTH(A4782)</f>
        <v>9</v>
      </c>
      <c r="C4782" s="347">
        <v>110</v>
      </c>
      <c r="D4782" s="340" t="str">
        <f>VLOOKUP(C4782,Plan!A$1:B$65542,2,0)</f>
        <v>Disponible Administración</v>
      </c>
      <c r="E4782" s="341">
        <f>+F4782-G4782</f>
        <v>100000</v>
      </c>
      <c r="F4782" s="396">
        <v>100000</v>
      </c>
      <c r="G4782" s="396">
        <v>0</v>
      </c>
      <c r="H4782" t="s">
        <v>892</v>
      </c>
      <c r="I4782" s="347" t="s">
        <v>1303</v>
      </c>
      <c r="K4782" s="370"/>
      <c r="N4782" s="370"/>
    </row>
    <row r="4783" spans="1:14" s="347" customFormat="1" x14ac:dyDescent="0.25">
      <c r="A4783" s="369">
        <f>+A4782</f>
        <v>44440</v>
      </c>
      <c r="B4783" s="347">
        <f>+B4782</f>
        <v>9</v>
      </c>
      <c r="C4783" s="347">
        <v>3110</v>
      </c>
      <c r="D4783" s="340" t="str">
        <f>VLOOKUP(C4783,Plan!A$1:B$65542,2,0)</f>
        <v>Colectas Normales</v>
      </c>
      <c r="E4783" s="341">
        <f>+F4783-G4783</f>
        <v>-100000</v>
      </c>
      <c r="F4783" s="396">
        <v>0</v>
      </c>
      <c r="G4783" s="396">
        <f>+F4782</f>
        <v>100000</v>
      </c>
      <c r="H4783" t="str">
        <f>+H4782</f>
        <v>Colecta SERVICIOS E INVERSIONES VARIOS SPA</v>
      </c>
      <c r="I4783" s="347" t="s">
        <v>1303</v>
      </c>
      <c r="K4783" s="370"/>
      <c r="N4783" s="370"/>
    </row>
    <row r="4784" spans="1:14" s="347" customFormat="1" x14ac:dyDescent="0.25">
      <c r="A4784" s="369"/>
      <c r="E4784" s="396"/>
      <c r="F4784" s="396"/>
      <c r="G4784" s="396"/>
      <c r="K4784" s="370"/>
      <c r="N4784" s="370"/>
    </row>
    <row r="4785" spans="1:14" s="347" customFormat="1" x14ac:dyDescent="0.25">
      <c r="A4785" s="369">
        <v>44440</v>
      </c>
      <c r="B4785" s="340">
        <f>+MONTH(A4785)</f>
        <v>9</v>
      </c>
      <c r="C4785" s="347">
        <v>110</v>
      </c>
      <c r="D4785" s="340" t="str">
        <f>VLOOKUP(C4785,Plan!A$1:B$65542,2,0)</f>
        <v>Disponible Administración</v>
      </c>
      <c r="E4785" s="341">
        <f>+F4785-G4785</f>
        <v>100000</v>
      </c>
      <c r="F4785" s="396">
        <v>100000</v>
      </c>
      <c r="G4785" s="396">
        <v>0</v>
      </c>
      <c r="H4785" t="s">
        <v>887</v>
      </c>
      <c r="I4785" s="347" t="s">
        <v>1303</v>
      </c>
      <c r="K4785" s="370"/>
      <c r="N4785" s="370"/>
    </row>
    <row r="4786" spans="1:14" s="347" customFormat="1" x14ac:dyDescent="0.25">
      <c r="A4786" s="369">
        <f>+A4785</f>
        <v>44440</v>
      </c>
      <c r="B4786" s="347">
        <f>+B4785</f>
        <v>9</v>
      </c>
      <c r="C4786" s="347">
        <v>3110</v>
      </c>
      <c r="D4786" s="340" t="str">
        <f>VLOOKUP(C4786,Plan!A$1:B$65542,2,0)</f>
        <v>Colectas Normales</v>
      </c>
      <c r="E4786" s="341">
        <f>+F4786-G4786</f>
        <v>-100000</v>
      </c>
      <c r="F4786" s="396">
        <v>0</v>
      </c>
      <c r="G4786" s="396">
        <f>+F4785</f>
        <v>100000</v>
      </c>
      <c r="H4786" t="str">
        <f>+H4785</f>
        <v>Colecta Fernando Varela</v>
      </c>
      <c r="I4786" s="347" t="s">
        <v>1303</v>
      </c>
      <c r="K4786" s="370"/>
      <c r="N4786" s="370"/>
    </row>
    <row r="4787" spans="1:14" s="347" customFormat="1" x14ac:dyDescent="0.25">
      <c r="A4787" s="369"/>
      <c r="E4787" s="396"/>
      <c r="F4787" s="396"/>
      <c r="G4787" s="396"/>
      <c r="K4787" s="370"/>
      <c r="N4787" s="370"/>
    </row>
    <row r="4788" spans="1:14" s="347" customFormat="1" x14ac:dyDescent="0.25">
      <c r="A4788" s="369">
        <v>44440</v>
      </c>
      <c r="B4788" s="340">
        <f>+MONTH(A4788)</f>
        <v>9</v>
      </c>
      <c r="C4788" s="347">
        <v>110</v>
      </c>
      <c r="D4788" s="340" t="str">
        <f>VLOOKUP(C4788,Plan!A$1:B$65542,2,0)</f>
        <v>Disponible Administración</v>
      </c>
      <c r="E4788" s="341">
        <f>+F4788-G4788</f>
        <v>12000</v>
      </c>
      <c r="F4788" s="396">
        <v>12000</v>
      </c>
      <c r="G4788" s="396">
        <v>0</v>
      </c>
      <c r="H4788" t="s">
        <v>1163</v>
      </c>
      <c r="I4788" s="347" t="s">
        <v>1303</v>
      </c>
      <c r="K4788" s="370"/>
      <c r="N4788" s="370"/>
    </row>
    <row r="4789" spans="1:14" s="347" customFormat="1" x14ac:dyDescent="0.25">
      <c r="A4789" s="369">
        <f>+A4788</f>
        <v>44440</v>
      </c>
      <c r="B4789" s="347">
        <f>+B4788</f>
        <v>9</v>
      </c>
      <c r="C4789" s="347">
        <v>3110</v>
      </c>
      <c r="D4789" s="340" t="str">
        <f>VLOOKUP(C4789,Plan!A$1:B$65542,2,0)</f>
        <v>Colectas Normales</v>
      </c>
      <c r="E4789" s="341">
        <f>+F4789-G4789</f>
        <v>-12000</v>
      </c>
      <c r="F4789" s="396">
        <v>0</v>
      </c>
      <c r="G4789" s="396">
        <f>+F4788</f>
        <v>12000</v>
      </c>
      <c r="H4789" t="str">
        <f>+H4788</f>
        <v>Colecta Ricardo Cañas Cambiaso</v>
      </c>
      <c r="I4789" s="347" t="s">
        <v>1303</v>
      </c>
      <c r="K4789" s="370"/>
      <c r="N4789" s="370"/>
    </row>
    <row r="4790" spans="1:14" s="347" customFormat="1" x14ac:dyDescent="0.25">
      <c r="A4790" s="369"/>
      <c r="E4790" s="396"/>
      <c r="F4790" s="396"/>
      <c r="G4790" s="396"/>
      <c r="K4790" s="370"/>
      <c r="N4790" s="370"/>
    </row>
    <row r="4791" spans="1:14" s="347" customFormat="1" x14ac:dyDescent="0.25">
      <c r="A4791" s="369">
        <v>44440</v>
      </c>
      <c r="B4791" s="340">
        <f>+MONTH(A4791)</f>
        <v>9</v>
      </c>
      <c r="C4791" s="347">
        <v>110</v>
      </c>
      <c r="D4791" s="340" t="str">
        <f>VLOOKUP(C4791,Plan!A$1:B$65542,2,0)</f>
        <v>Disponible Administración</v>
      </c>
      <c r="E4791" s="341">
        <f>+F4791-G4791</f>
        <v>15000</v>
      </c>
      <c r="F4791" s="396">
        <v>15000</v>
      </c>
      <c r="G4791" s="396">
        <v>0</v>
      </c>
      <c r="H4791" t="s">
        <v>888</v>
      </c>
      <c r="I4791" s="347" t="s">
        <v>1303</v>
      </c>
      <c r="K4791" s="370"/>
      <c r="N4791" s="370"/>
    </row>
    <row r="4792" spans="1:14" s="347" customFormat="1" x14ac:dyDescent="0.25">
      <c r="A4792" s="369">
        <f>+A4791</f>
        <v>44440</v>
      </c>
      <c r="B4792" s="347">
        <f>+B4791</f>
        <v>9</v>
      </c>
      <c r="C4792" s="347">
        <v>3110</v>
      </c>
      <c r="D4792" s="340" t="str">
        <f>VLOOKUP(C4792,Plan!A$1:B$65542,2,0)</f>
        <v>Colectas Normales</v>
      </c>
      <c r="E4792" s="341">
        <f>+F4792-G4792</f>
        <v>-15000</v>
      </c>
      <c r="F4792" s="396">
        <v>0</v>
      </c>
      <c r="G4792" s="396">
        <f>+F4791</f>
        <v>15000</v>
      </c>
      <c r="H4792" t="str">
        <f>+H4791</f>
        <v>Colecta Gonzalo Contardo M</v>
      </c>
      <c r="I4792" s="347" t="s">
        <v>1303</v>
      </c>
      <c r="K4792" s="370"/>
      <c r="N4792" s="370"/>
    </row>
    <row r="4793" spans="1:14" s="347" customFormat="1" x14ac:dyDescent="0.25">
      <c r="A4793" s="369"/>
      <c r="E4793" s="396"/>
      <c r="F4793" s="396"/>
      <c r="G4793" s="396"/>
      <c r="K4793" s="370"/>
      <c r="N4793" s="370"/>
    </row>
    <row r="4794" spans="1:14" s="347" customFormat="1" x14ac:dyDescent="0.25">
      <c r="A4794" s="369">
        <v>44440</v>
      </c>
      <c r="B4794" s="340">
        <f>+MONTH(A4794)</f>
        <v>9</v>
      </c>
      <c r="C4794" s="347">
        <v>110</v>
      </c>
      <c r="D4794" s="340" t="str">
        <f>VLOOKUP(C4794,Plan!A$1:B$65542,2,0)</f>
        <v>Disponible Administración</v>
      </c>
      <c r="E4794" s="341">
        <f>+F4794-G4794</f>
        <v>5000</v>
      </c>
      <c r="F4794" s="396">
        <v>5000</v>
      </c>
      <c r="G4794" s="396">
        <v>0</v>
      </c>
      <c r="H4794" t="s">
        <v>2021</v>
      </c>
      <c r="I4794" s="347" t="s">
        <v>1303</v>
      </c>
      <c r="K4794" s="370"/>
      <c r="N4794" s="370"/>
    </row>
    <row r="4795" spans="1:14" s="347" customFormat="1" x14ac:dyDescent="0.25">
      <c r="A4795" s="369">
        <f>+A4794</f>
        <v>44440</v>
      </c>
      <c r="B4795" s="347">
        <f>+B4794</f>
        <v>9</v>
      </c>
      <c r="C4795" s="347">
        <v>3110</v>
      </c>
      <c r="D4795" s="340" t="str">
        <f>VLOOKUP(C4795,Plan!A$1:B$65542,2,0)</f>
        <v>Colectas Normales</v>
      </c>
      <c r="E4795" s="341">
        <f>+F4795-G4795</f>
        <v>-5000</v>
      </c>
      <c r="F4795" s="396">
        <v>0</v>
      </c>
      <c r="G4795" s="396">
        <f>+F4794</f>
        <v>5000</v>
      </c>
      <c r="H4795" t="str">
        <f>+H4794</f>
        <v>Colecta Carlos Contardo M</v>
      </c>
      <c r="I4795" s="347" t="s">
        <v>1303</v>
      </c>
      <c r="K4795" s="370"/>
      <c r="N4795" s="370"/>
    </row>
    <row r="4796" spans="1:14" s="347" customFormat="1" x14ac:dyDescent="0.25">
      <c r="A4796" s="369"/>
      <c r="E4796" s="396"/>
      <c r="F4796" s="396"/>
      <c r="G4796" s="396"/>
      <c r="K4796" s="370"/>
      <c r="N4796" s="370"/>
    </row>
    <row r="4797" spans="1:14" s="347" customFormat="1" x14ac:dyDescent="0.25">
      <c r="A4797" s="369">
        <v>44440</v>
      </c>
      <c r="B4797" s="340">
        <f>+MONTH(A4797)</f>
        <v>9</v>
      </c>
      <c r="C4797" s="347">
        <v>110</v>
      </c>
      <c r="D4797" s="340" t="str">
        <f>VLOOKUP(C4797,Plan!A$1:B$65542,2,0)</f>
        <v>Disponible Administración</v>
      </c>
      <c r="E4797" s="341">
        <f>+F4797-G4797</f>
        <v>5000</v>
      </c>
      <c r="F4797" s="396">
        <v>5000</v>
      </c>
      <c r="G4797" s="396">
        <v>0</v>
      </c>
      <c r="H4797" t="s">
        <v>1376</v>
      </c>
      <c r="I4797" s="347" t="s">
        <v>1303</v>
      </c>
      <c r="K4797" s="370"/>
      <c r="N4797" s="370"/>
    </row>
    <row r="4798" spans="1:14" s="347" customFormat="1" x14ac:dyDescent="0.25">
      <c r="A4798" s="369">
        <f>+A4797</f>
        <v>44440</v>
      </c>
      <c r="B4798" s="347">
        <f>+B4797</f>
        <v>9</v>
      </c>
      <c r="C4798" s="347">
        <v>3110</v>
      </c>
      <c r="D4798" s="340" t="str">
        <f>VLOOKUP(C4798,Plan!A$1:B$65542,2,0)</f>
        <v>Colectas Normales</v>
      </c>
      <c r="E4798" s="341">
        <f>+F4798-G4798</f>
        <v>-5000</v>
      </c>
      <c r="F4798" s="396">
        <v>0</v>
      </c>
      <c r="G4798" s="396">
        <f>+F4797</f>
        <v>5000</v>
      </c>
      <c r="H4798" t="str">
        <f>+H4797</f>
        <v>Colecta Ana Gloria Awad Yazigi</v>
      </c>
      <c r="I4798" s="347" t="s">
        <v>1303</v>
      </c>
      <c r="K4798" s="370"/>
      <c r="N4798" s="370"/>
    </row>
    <row r="4799" spans="1:14" s="347" customFormat="1" x14ac:dyDescent="0.25">
      <c r="A4799" s="369"/>
      <c r="E4799" s="396"/>
      <c r="F4799" s="396"/>
      <c r="G4799" s="396"/>
      <c r="K4799" s="370"/>
      <c r="N4799" s="370"/>
    </row>
    <row r="4800" spans="1:14" s="347" customFormat="1" x14ac:dyDescent="0.25">
      <c r="A4800" s="369">
        <v>44440</v>
      </c>
      <c r="B4800" s="340">
        <f>+MONTH(A4800)</f>
        <v>9</v>
      </c>
      <c r="C4800" s="347">
        <v>110</v>
      </c>
      <c r="D4800" s="340" t="str">
        <f>VLOOKUP(C4800,Plan!A$1:B$65542,2,0)</f>
        <v>Disponible Administración</v>
      </c>
      <c r="E4800" s="341">
        <f>+F4800-G4800</f>
        <v>50000</v>
      </c>
      <c r="F4800" s="396">
        <v>50000</v>
      </c>
      <c r="G4800" s="396">
        <v>0</v>
      </c>
      <c r="H4800" t="s">
        <v>1459</v>
      </c>
      <c r="I4800" s="347" t="s">
        <v>1303</v>
      </c>
      <c r="K4800" s="370"/>
      <c r="N4800" s="370"/>
    </row>
    <row r="4801" spans="1:14" s="347" customFormat="1" x14ac:dyDescent="0.25">
      <c r="A4801" s="369">
        <f>+A4800</f>
        <v>44440</v>
      </c>
      <c r="B4801" s="347">
        <f>+B4800</f>
        <v>9</v>
      </c>
      <c r="C4801" s="347">
        <v>215</v>
      </c>
      <c r="D4801" s="340" t="str">
        <f>VLOOKUP(C4801,Plan!A$1:B$65542,2,0)</f>
        <v>Cuenta por Pagar a Cali</v>
      </c>
      <c r="E4801" s="341">
        <f>+F4801-G4801</f>
        <v>-50000</v>
      </c>
      <c r="F4801" s="396">
        <v>0</v>
      </c>
      <c r="G4801" s="396">
        <f>+F4800</f>
        <v>50000</v>
      </c>
      <c r="H4801" t="str">
        <f>+H4800</f>
        <v>María Teresa Gil Gómez / 249</v>
      </c>
      <c r="I4801" s="347" t="s">
        <v>1303</v>
      </c>
      <c r="K4801" s="370"/>
      <c r="N4801" s="370"/>
    </row>
    <row r="4802" spans="1:14" s="347" customFormat="1" x14ac:dyDescent="0.25">
      <c r="A4802" s="369"/>
      <c r="E4802" s="396"/>
      <c r="F4802" s="396"/>
      <c r="G4802" s="396"/>
      <c r="K4802" s="370"/>
      <c r="N4802" s="370"/>
    </row>
    <row r="4803" spans="1:14" s="347" customFormat="1" x14ac:dyDescent="0.25">
      <c r="A4803" s="369">
        <v>44441</v>
      </c>
      <c r="B4803" s="340">
        <f>+MONTH(A4803)</f>
        <v>9</v>
      </c>
      <c r="C4803" s="347">
        <v>110</v>
      </c>
      <c r="D4803" s="340" t="str">
        <f>VLOOKUP(C4803,Plan!A$1:B$65542,2,0)</f>
        <v>Disponible Administración</v>
      </c>
      <c r="E4803" s="341">
        <f>+F4803-G4803</f>
        <v>10000</v>
      </c>
      <c r="F4803" s="396">
        <v>10000</v>
      </c>
      <c r="G4803" s="396">
        <v>0</v>
      </c>
      <c r="H4803" t="s">
        <v>1637</v>
      </c>
      <c r="I4803" s="347" t="s">
        <v>1303</v>
      </c>
      <c r="K4803" s="370"/>
      <c r="N4803" s="370"/>
    </row>
    <row r="4804" spans="1:14" s="347" customFormat="1" x14ac:dyDescent="0.25">
      <c r="A4804" s="369">
        <f>+A4803</f>
        <v>44441</v>
      </c>
      <c r="B4804" s="347">
        <f>+B4803</f>
        <v>9</v>
      </c>
      <c r="C4804" s="347">
        <v>3340</v>
      </c>
      <c r="D4804" s="340" t="str">
        <f>VLOOKUP(C4804,Plan!A$1:B$65542,2,0)</f>
        <v>Misas</v>
      </c>
      <c r="E4804" s="341">
        <f>+F4804-G4804</f>
        <v>-10000</v>
      </c>
      <c r="F4804" s="396">
        <v>0</v>
      </c>
      <c r="G4804" s="396">
        <f>+F4803</f>
        <v>10000</v>
      </c>
      <c r="H4804" t="str">
        <f>+H4803</f>
        <v>Misa Rodrigo Carrasco</v>
      </c>
      <c r="I4804" s="347" t="s">
        <v>1303</v>
      </c>
      <c r="K4804" s="370"/>
      <c r="N4804" s="370"/>
    </row>
    <row r="4805" spans="1:14" s="347" customFormat="1" x14ac:dyDescent="0.25">
      <c r="A4805" s="369"/>
      <c r="E4805" s="396"/>
      <c r="F4805" s="396"/>
      <c r="G4805" s="396"/>
      <c r="K4805" s="370"/>
      <c r="N4805" s="370"/>
    </row>
    <row r="4806" spans="1:14" s="347" customFormat="1" x14ac:dyDescent="0.25">
      <c r="A4806" s="369">
        <v>44441</v>
      </c>
      <c r="B4806" s="340">
        <f>+MONTH(A4806)</f>
        <v>9</v>
      </c>
      <c r="C4806" s="347">
        <v>110</v>
      </c>
      <c r="D4806" s="340" t="str">
        <f>VLOOKUP(C4806,Plan!A$1:B$65542,2,0)</f>
        <v>Disponible Administración</v>
      </c>
      <c r="E4806" s="341">
        <f>+F4806-G4806</f>
        <v>20000</v>
      </c>
      <c r="F4806" s="396">
        <v>20000</v>
      </c>
      <c r="G4806" s="396">
        <v>0</v>
      </c>
      <c r="H4806" t="s">
        <v>2022</v>
      </c>
      <c r="I4806" s="347" t="s">
        <v>1303</v>
      </c>
      <c r="K4806" s="370"/>
      <c r="N4806" s="370"/>
    </row>
    <row r="4807" spans="1:14" s="347" customFormat="1" x14ac:dyDescent="0.25">
      <c r="A4807" s="369">
        <f>+A4806</f>
        <v>44441</v>
      </c>
      <c r="B4807" s="347">
        <f>+B4806</f>
        <v>9</v>
      </c>
      <c r="C4807" s="347">
        <v>3110</v>
      </c>
      <c r="D4807" s="340" t="str">
        <f>VLOOKUP(C4807,Plan!A$1:B$65542,2,0)</f>
        <v>Colectas Normales</v>
      </c>
      <c r="E4807" s="341">
        <f>+F4807-G4807</f>
        <v>-20000</v>
      </c>
      <c r="F4807" s="396">
        <v>0</v>
      </c>
      <c r="G4807" s="396">
        <f>+F4806</f>
        <v>20000</v>
      </c>
      <c r="H4807" t="str">
        <f>+H4806</f>
        <v xml:space="preserve">Colecta Fca. Orrego </v>
      </c>
      <c r="I4807" s="347" t="s">
        <v>1303</v>
      </c>
      <c r="K4807" s="370"/>
      <c r="N4807" s="370"/>
    </row>
    <row r="4808" spans="1:14" s="347" customFormat="1" x14ac:dyDescent="0.25">
      <c r="A4808" s="369"/>
      <c r="E4808" s="396"/>
      <c r="F4808" s="396"/>
      <c r="G4808" s="396"/>
      <c r="K4808" s="370"/>
      <c r="N4808" s="370"/>
    </row>
    <row r="4809" spans="1:14" s="347" customFormat="1" x14ac:dyDescent="0.25">
      <c r="A4809" s="369">
        <v>44441</v>
      </c>
      <c r="B4809" s="340">
        <f>+MONTH(A4809)</f>
        <v>9</v>
      </c>
      <c r="C4809" s="347">
        <v>110</v>
      </c>
      <c r="D4809" s="340" t="str">
        <f>VLOOKUP(C4809,Plan!A$1:B$65542,2,0)</f>
        <v>Disponible Administración</v>
      </c>
      <c r="E4809" s="341">
        <f>+F4809-G4809</f>
        <v>10000</v>
      </c>
      <c r="F4809" s="396">
        <v>10000</v>
      </c>
      <c r="G4809" s="396">
        <v>0</v>
      </c>
      <c r="H4809" t="s">
        <v>1817</v>
      </c>
      <c r="I4809" s="347" t="s">
        <v>1303</v>
      </c>
      <c r="K4809" s="370"/>
      <c r="N4809" s="370"/>
    </row>
    <row r="4810" spans="1:14" s="347" customFormat="1" x14ac:dyDescent="0.25">
      <c r="A4810" s="369">
        <f>+A4809</f>
        <v>44441</v>
      </c>
      <c r="B4810" s="347">
        <f>+B4809</f>
        <v>9</v>
      </c>
      <c r="C4810" s="347">
        <v>3340</v>
      </c>
      <c r="D4810" s="340" t="str">
        <f>VLOOKUP(C4810,Plan!A$1:B$65542,2,0)</f>
        <v>Misas</v>
      </c>
      <c r="E4810" s="341">
        <f>+F4810-G4810</f>
        <v>-10000</v>
      </c>
      <c r="F4810" s="396">
        <v>0</v>
      </c>
      <c r="G4810" s="396">
        <f>+F4809</f>
        <v>10000</v>
      </c>
      <c r="H4810" t="str">
        <f>+H4809</f>
        <v>Misa Christel Felmer Valdivielso</v>
      </c>
      <c r="I4810" s="347" t="s">
        <v>1303</v>
      </c>
      <c r="K4810" s="370"/>
      <c r="N4810" s="370"/>
    </row>
    <row r="4811" spans="1:14" s="347" customFormat="1" x14ac:dyDescent="0.25">
      <c r="A4811" s="369"/>
      <c r="E4811" s="396"/>
      <c r="F4811" s="396"/>
      <c r="G4811" s="396"/>
      <c r="K4811" s="370"/>
      <c r="N4811" s="370"/>
    </row>
    <row r="4812" spans="1:14" s="347" customFormat="1" x14ac:dyDescent="0.25">
      <c r="A4812" s="369">
        <v>44441</v>
      </c>
      <c r="B4812" s="340">
        <f>+MONTH(A4812)</f>
        <v>9</v>
      </c>
      <c r="C4812" s="347">
        <v>110</v>
      </c>
      <c r="D4812" s="340" t="str">
        <f>VLOOKUP(C4812,Plan!A$1:B$65542,2,0)</f>
        <v>Disponible Administración</v>
      </c>
      <c r="E4812" s="341">
        <f>+F4812-G4812</f>
        <v>14691</v>
      </c>
      <c r="F4812" s="396">
        <v>14691</v>
      </c>
      <c r="G4812" s="396">
        <v>0</v>
      </c>
      <c r="H4812" t="s">
        <v>1974</v>
      </c>
      <c r="I4812" s="347" t="s">
        <v>1303</v>
      </c>
      <c r="K4812" s="370"/>
      <c r="N4812" s="370"/>
    </row>
    <row r="4813" spans="1:14" s="347" customFormat="1" x14ac:dyDescent="0.25">
      <c r="A4813" s="369">
        <f>+A4812</f>
        <v>44441</v>
      </c>
      <c r="B4813" s="347">
        <f>+B4812</f>
        <v>9</v>
      </c>
      <c r="C4813" s="347">
        <v>3350</v>
      </c>
      <c r="D4813" s="340" t="str">
        <f>VLOOKUP(C4813,Plan!A$1:B$65542,2,0)</f>
        <v>Bautizos</v>
      </c>
      <c r="E4813" s="341">
        <f>+F4813-G4813</f>
        <v>-14691</v>
      </c>
      <c r="F4813" s="396">
        <v>0</v>
      </c>
      <c r="G4813" s="396">
        <f>+F4812</f>
        <v>14691</v>
      </c>
      <c r="H4813" t="str">
        <f>+H4812</f>
        <v>Bautizo POS</v>
      </c>
      <c r="I4813" s="347" t="s">
        <v>1303</v>
      </c>
      <c r="K4813" s="370"/>
      <c r="N4813" s="370"/>
    </row>
    <row r="4814" spans="1:14" s="347" customFormat="1" x14ac:dyDescent="0.25">
      <c r="A4814" s="369"/>
      <c r="E4814" s="396"/>
      <c r="F4814" s="396"/>
      <c r="G4814" s="396"/>
      <c r="K4814" s="370"/>
      <c r="N4814" s="370"/>
    </row>
    <row r="4815" spans="1:14" s="347" customFormat="1" x14ac:dyDescent="0.25">
      <c r="A4815" s="369">
        <v>44441</v>
      </c>
      <c r="B4815" s="340">
        <f>+MONTH(A4815)</f>
        <v>9</v>
      </c>
      <c r="C4815" s="347">
        <v>110</v>
      </c>
      <c r="D4815" s="340" t="str">
        <f>VLOOKUP(C4815,Plan!A$1:B$65542,2,0)</f>
        <v>Disponible Administración</v>
      </c>
      <c r="E4815" s="341">
        <f>+F4815-G4815</f>
        <v>50000</v>
      </c>
      <c r="F4815" s="396">
        <v>50000</v>
      </c>
      <c r="G4815" s="396">
        <v>0</v>
      </c>
      <c r="H4815" t="s">
        <v>2023</v>
      </c>
      <c r="I4815" s="347" t="s">
        <v>1303</v>
      </c>
      <c r="K4815" s="370"/>
      <c r="N4815" s="370"/>
    </row>
    <row r="4816" spans="1:14" s="347" customFormat="1" x14ac:dyDescent="0.25">
      <c r="A4816" s="369">
        <f>+A4815</f>
        <v>44441</v>
      </c>
      <c r="B4816" s="347">
        <f>+B4815</f>
        <v>9</v>
      </c>
      <c r="C4816" s="347">
        <v>3110</v>
      </c>
      <c r="D4816" s="340" t="str">
        <f>VLOOKUP(C4816,Plan!A$1:B$65542,2,0)</f>
        <v>Colectas Normales</v>
      </c>
      <c r="E4816" s="341">
        <f>+F4816-G4816</f>
        <v>-50000</v>
      </c>
      <c r="F4816" s="396">
        <v>0</v>
      </c>
      <c r="G4816" s="396">
        <f>+F4815</f>
        <v>50000</v>
      </c>
      <c r="H4816" t="str">
        <f>+H4815</f>
        <v>Colecta Gastón Novoa Dapelo</v>
      </c>
      <c r="I4816" s="347" t="s">
        <v>1303</v>
      </c>
      <c r="K4816" s="370"/>
      <c r="N4816" s="370"/>
    </row>
    <row r="4817" spans="1:14" s="347" customFormat="1" x14ac:dyDescent="0.25">
      <c r="A4817" s="369"/>
      <c r="E4817" s="396"/>
      <c r="F4817" s="396"/>
      <c r="G4817" s="396"/>
      <c r="K4817" s="370"/>
      <c r="N4817" s="370"/>
    </row>
    <row r="4818" spans="1:14" s="347" customFormat="1" x14ac:dyDescent="0.25">
      <c r="A4818" s="369">
        <v>44442</v>
      </c>
      <c r="B4818" s="340">
        <f>+MONTH(A4818)</f>
        <v>9</v>
      </c>
      <c r="C4818" s="347">
        <v>110</v>
      </c>
      <c r="D4818" s="340" t="str">
        <f>VLOOKUP(C4818,Plan!A$1:B$65542,2,0)</f>
        <v>Disponible Administración</v>
      </c>
      <c r="E4818" s="341">
        <f>+F4818-G4818</f>
        <v>20000</v>
      </c>
      <c r="F4818" s="396">
        <v>20000</v>
      </c>
      <c r="G4818" s="396">
        <v>0</v>
      </c>
      <c r="H4818" t="s">
        <v>1657</v>
      </c>
      <c r="I4818" s="347" t="s">
        <v>1303</v>
      </c>
      <c r="K4818" s="370"/>
      <c r="N4818" s="370"/>
    </row>
    <row r="4819" spans="1:14" s="347" customFormat="1" x14ac:dyDescent="0.25">
      <c r="A4819" s="369">
        <f>+A4818</f>
        <v>44442</v>
      </c>
      <c r="B4819" s="347">
        <f>+B4818</f>
        <v>9</v>
      </c>
      <c r="C4819" s="347">
        <v>3110</v>
      </c>
      <c r="D4819" s="340" t="str">
        <f>VLOOKUP(C4819,Plan!A$1:B$65542,2,0)</f>
        <v>Colectas Normales</v>
      </c>
      <c r="E4819" s="341">
        <f>+F4819-G4819</f>
        <v>-20000</v>
      </c>
      <c r="F4819" s="396">
        <v>0</v>
      </c>
      <c r="G4819" s="396">
        <f>+F4818</f>
        <v>20000</v>
      </c>
      <c r="H4819" t="str">
        <f>+H4818</f>
        <v>Colecta Tomas Arsenio Alcalde Herrera</v>
      </c>
      <c r="I4819" s="347" t="s">
        <v>1303</v>
      </c>
      <c r="K4819" s="370"/>
      <c r="N4819" s="370"/>
    </row>
    <row r="4820" spans="1:14" s="347" customFormat="1" x14ac:dyDescent="0.25">
      <c r="A4820" s="369"/>
      <c r="E4820" s="396"/>
      <c r="F4820" s="396"/>
      <c r="G4820" s="396"/>
      <c r="K4820" s="370"/>
      <c r="N4820" s="370"/>
    </row>
    <row r="4821" spans="1:14" s="347" customFormat="1" x14ac:dyDescent="0.25">
      <c r="A4821" s="369">
        <v>44442</v>
      </c>
      <c r="B4821" s="340">
        <f>+MONTH(A4821)</f>
        <v>9</v>
      </c>
      <c r="C4821" s="347">
        <v>110</v>
      </c>
      <c r="D4821" s="340" t="str">
        <f>VLOOKUP(C4821,Plan!A$1:B$65542,2,0)</f>
        <v>Disponible Administración</v>
      </c>
      <c r="E4821" s="341">
        <f>+F4821-G4821</f>
        <v>50000</v>
      </c>
      <c r="F4821" s="396">
        <v>50000</v>
      </c>
      <c r="G4821" s="396">
        <v>0</v>
      </c>
      <c r="H4821" t="s">
        <v>2024</v>
      </c>
      <c r="I4821" s="347" t="s">
        <v>1303</v>
      </c>
      <c r="K4821" s="370"/>
      <c r="N4821" s="370"/>
    </row>
    <row r="4822" spans="1:14" s="347" customFormat="1" x14ac:dyDescent="0.25">
      <c r="A4822" s="369">
        <f>+A4821</f>
        <v>44442</v>
      </c>
      <c r="B4822" s="347">
        <f>+B4821</f>
        <v>9</v>
      </c>
      <c r="C4822" s="347">
        <v>3110</v>
      </c>
      <c r="D4822" s="340" t="str">
        <f>VLOOKUP(C4822,Plan!A$1:B$65542,2,0)</f>
        <v>Colectas Normales</v>
      </c>
      <c r="E4822" s="341">
        <f>+F4822-G4822</f>
        <v>-50000</v>
      </c>
      <c r="F4822" s="396">
        <v>0</v>
      </c>
      <c r="G4822" s="396">
        <f>+F4821</f>
        <v>50000</v>
      </c>
      <c r="H4822" t="str">
        <f>+H4821</f>
        <v>Colecta Alvaro Lavin Cruz</v>
      </c>
      <c r="I4822" s="347" t="s">
        <v>1303</v>
      </c>
      <c r="K4822" s="370"/>
      <c r="N4822" s="370"/>
    </row>
    <row r="4823" spans="1:14" s="347" customFormat="1" x14ac:dyDescent="0.25">
      <c r="A4823" s="369"/>
      <c r="E4823" s="396"/>
      <c r="F4823" s="396"/>
      <c r="G4823" s="396"/>
      <c r="K4823" s="370"/>
      <c r="N4823" s="370"/>
    </row>
    <row r="4824" spans="1:14" s="347" customFormat="1" x14ac:dyDescent="0.25">
      <c r="A4824" s="369">
        <v>44442</v>
      </c>
      <c r="B4824" s="340">
        <f>+MONTH(A4824)</f>
        <v>9</v>
      </c>
      <c r="C4824" s="347">
        <v>110</v>
      </c>
      <c r="D4824" s="340" t="str">
        <f>VLOOKUP(C4824,Plan!A$1:B$65542,2,0)</f>
        <v>Disponible Administración</v>
      </c>
      <c r="E4824" s="341">
        <f>+F4824-G4824</f>
        <v>10000</v>
      </c>
      <c r="F4824" s="396">
        <v>10000</v>
      </c>
      <c r="G4824" s="396">
        <v>0</v>
      </c>
      <c r="H4824" t="s">
        <v>1205</v>
      </c>
      <c r="I4824" s="347" t="s">
        <v>1303</v>
      </c>
      <c r="K4824" s="370"/>
      <c r="N4824" s="370"/>
    </row>
    <row r="4825" spans="1:14" s="347" customFormat="1" x14ac:dyDescent="0.25">
      <c r="A4825" s="369">
        <f>+A4824</f>
        <v>44442</v>
      </c>
      <c r="B4825" s="347">
        <f>+B4824</f>
        <v>9</v>
      </c>
      <c r="C4825" s="347">
        <v>3110</v>
      </c>
      <c r="D4825" s="340" t="str">
        <f>VLOOKUP(C4825,Plan!A$1:B$65542,2,0)</f>
        <v>Colectas Normales</v>
      </c>
      <c r="E4825" s="341">
        <f>+F4825-G4825</f>
        <v>-10000</v>
      </c>
      <c r="F4825" s="396">
        <v>0</v>
      </c>
      <c r="G4825" s="396">
        <f>+F4824</f>
        <v>10000</v>
      </c>
      <c r="H4825" t="str">
        <f>+H4824</f>
        <v>Colecta Gonzalo Nieto Valdes</v>
      </c>
      <c r="I4825" s="347" t="s">
        <v>1303</v>
      </c>
      <c r="K4825" s="370"/>
      <c r="N4825" s="370"/>
    </row>
    <row r="4826" spans="1:14" s="347" customFormat="1" x14ac:dyDescent="0.25">
      <c r="A4826" s="369"/>
      <c r="E4826" s="396"/>
      <c r="F4826" s="396"/>
      <c r="G4826" s="396"/>
      <c r="K4826" s="370"/>
      <c r="N4826" s="370"/>
    </row>
    <row r="4827" spans="1:14" s="347" customFormat="1" x14ac:dyDescent="0.25">
      <c r="A4827" s="369">
        <v>44442</v>
      </c>
      <c r="B4827" s="340">
        <f>+MONTH(A4827)</f>
        <v>9</v>
      </c>
      <c r="C4827" s="347">
        <v>4322</v>
      </c>
      <c r="D4827" s="340" t="str">
        <f>VLOOKUP(C4827,Plan!A$1:B$65542,2,0)</f>
        <v>Agua</v>
      </c>
      <c r="E4827" s="341">
        <f>+F4827-G4827</f>
        <v>16377</v>
      </c>
      <c r="F4827" s="396">
        <v>16377</v>
      </c>
      <c r="G4827" s="396">
        <v>0</v>
      </c>
      <c r="H4827" t="s">
        <v>2025</v>
      </c>
      <c r="I4827" s="347" t="s">
        <v>1303</v>
      </c>
      <c r="K4827" s="370"/>
      <c r="N4827" s="370"/>
    </row>
    <row r="4828" spans="1:14" s="347" customFormat="1" x14ac:dyDescent="0.25">
      <c r="A4828" s="369">
        <f>+A4827</f>
        <v>44442</v>
      </c>
      <c r="B4828" s="347">
        <f>+B4827</f>
        <v>9</v>
      </c>
      <c r="C4828" s="347">
        <v>110</v>
      </c>
      <c r="D4828" s="340" t="str">
        <f>VLOOKUP(C4828,Plan!A$1:B$65542,2,0)</f>
        <v>Disponible Administración</v>
      </c>
      <c r="E4828" s="341">
        <f>+F4828-G4828</f>
        <v>-16377</v>
      </c>
      <c r="F4828" s="396">
        <v>0</v>
      </c>
      <c r="G4828" s="396">
        <f>+F4827</f>
        <v>16377</v>
      </c>
      <c r="H4828" t="str">
        <f>+H4827</f>
        <v>PAC AGUAS ANDINAS</v>
      </c>
      <c r="I4828" s="347" t="s">
        <v>1303</v>
      </c>
      <c r="K4828" s="370"/>
      <c r="N4828" s="370"/>
    </row>
    <row r="4829" spans="1:14" s="347" customFormat="1" x14ac:dyDescent="0.25">
      <c r="A4829" s="369"/>
      <c r="E4829" s="396"/>
      <c r="F4829" s="396"/>
      <c r="G4829" s="396"/>
      <c r="K4829" s="370"/>
      <c r="N4829" s="370"/>
    </row>
    <row r="4830" spans="1:14" s="347" customFormat="1" x14ac:dyDescent="0.25">
      <c r="A4830" s="369">
        <v>44442</v>
      </c>
      <c r="B4830" s="340">
        <f>+MONTH(A4830)</f>
        <v>9</v>
      </c>
      <c r="C4830" s="347">
        <v>110</v>
      </c>
      <c r="D4830" s="340" t="str">
        <f>VLOOKUP(C4830,Plan!A$1:B$65542,2,0)</f>
        <v>Disponible Administración</v>
      </c>
      <c r="E4830" s="341">
        <f>+F4830-G4830</f>
        <v>30000</v>
      </c>
      <c r="F4830" s="396">
        <v>30000</v>
      </c>
      <c r="G4830" s="396">
        <v>0</v>
      </c>
      <c r="H4830" t="s">
        <v>1641</v>
      </c>
      <c r="I4830" s="347" t="s">
        <v>1303</v>
      </c>
      <c r="K4830" s="370"/>
      <c r="N4830" s="370"/>
    </row>
    <row r="4831" spans="1:14" s="347" customFormat="1" x14ac:dyDescent="0.25">
      <c r="A4831" s="369">
        <f>+A4830</f>
        <v>44442</v>
      </c>
      <c r="B4831" s="347">
        <f>+B4830</f>
        <v>9</v>
      </c>
      <c r="C4831" s="347">
        <v>215</v>
      </c>
      <c r="D4831" s="340" t="str">
        <f>VLOOKUP(C4831,Plan!A$1:B$65542,2,0)</f>
        <v>Cuenta por Pagar a Cali</v>
      </c>
      <c r="E4831" s="341">
        <f>+F4831-G4831</f>
        <v>-30000</v>
      </c>
      <c r="F4831" s="396">
        <v>0</v>
      </c>
      <c r="G4831" s="396">
        <f>+F4830</f>
        <v>30000</v>
      </c>
      <c r="H4831" t="str">
        <f>+H4830</f>
        <v>Ana María Allende Zañartu/ 248</v>
      </c>
      <c r="I4831" s="347" t="s">
        <v>1303</v>
      </c>
      <c r="K4831" s="370"/>
      <c r="N4831" s="370"/>
    </row>
    <row r="4832" spans="1:14" s="347" customFormat="1" x14ac:dyDescent="0.25">
      <c r="A4832" s="369"/>
      <c r="E4832" s="396"/>
      <c r="F4832" s="396"/>
      <c r="G4832" s="396"/>
      <c r="K4832" s="370"/>
      <c r="N4832" s="370"/>
    </row>
    <row r="4833" spans="1:14" s="347" customFormat="1" x14ac:dyDescent="0.25">
      <c r="A4833" s="369">
        <v>44442</v>
      </c>
      <c r="B4833" s="340">
        <f>+MONTH(A4833)</f>
        <v>9</v>
      </c>
      <c r="C4833" s="347">
        <v>110</v>
      </c>
      <c r="D4833" s="340" t="str">
        <f>VLOOKUP(C4833,Plan!A$1:B$65542,2,0)</f>
        <v>Disponible Administración</v>
      </c>
      <c r="E4833" s="341">
        <f>+F4833-G4833</f>
        <v>10000</v>
      </c>
      <c r="F4833" s="396">
        <v>10000</v>
      </c>
      <c r="G4833" s="396">
        <v>0</v>
      </c>
      <c r="H4833" t="s">
        <v>1429</v>
      </c>
      <c r="I4833" s="347" t="s">
        <v>1303</v>
      </c>
      <c r="K4833" s="370"/>
      <c r="N4833" s="370"/>
    </row>
    <row r="4834" spans="1:14" s="347" customFormat="1" x14ac:dyDescent="0.25">
      <c r="A4834" s="369">
        <f>+A4833</f>
        <v>44442</v>
      </c>
      <c r="B4834" s="347">
        <f>+B4833</f>
        <v>9</v>
      </c>
      <c r="C4834" s="347">
        <v>3340</v>
      </c>
      <c r="D4834" s="340" t="str">
        <f>VLOOKUP(C4834,Plan!A$1:B$65542,2,0)</f>
        <v>Misas</v>
      </c>
      <c r="E4834" s="341">
        <f>+F4834-G4834</f>
        <v>-10000</v>
      </c>
      <c r="F4834" s="396">
        <v>0</v>
      </c>
      <c r="G4834" s="396">
        <f>+F4833</f>
        <v>10000</v>
      </c>
      <c r="H4834" t="str">
        <f>+H4833</f>
        <v>Misa Carmen Gloria Rivas Varas</v>
      </c>
      <c r="I4834" s="347" t="s">
        <v>1303</v>
      </c>
      <c r="K4834" s="370"/>
      <c r="N4834" s="370"/>
    </row>
    <row r="4835" spans="1:14" s="347" customFormat="1" x14ac:dyDescent="0.25">
      <c r="A4835" s="369"/>
      <c r="E4835" s="396"/>
      <c r="F4835" s="396"/>
      <c r="G4835" s="396"/>
      <c r="K4835" s="370"/>
      <c r="N4835" s="370"/>
    </row>
    <row r="4836" spans="1:14" s="347" customFormat="1" x14ac:dyDescent="0.25">
      <c r="A4836" s="369">
        <v>44442</v>
      </c>
      <c r="B4836" s="340">
        <f>+MONTH(A4836)</f>
        <v>9</v>
      </c>
      <c r="C4836" s="347">
        <v>110</v>
      </c>
      <c r="D4836" s="340" t="str">
        <f>VLOOKUP(C4836,Plan!A$1:B$65542,2,0)</f>
        <v>Disponible Administración</v>
      </c>
      <c r="E4836" s="341">
        <f>+F4836-G4836</f>
        <v>4896</v>
      </c>
      <c r="F4836" s="396">
        <v>4896</v>
      </c>
      <c r="G4836" s="396">
        <v>0</v>
      </c>
      <c r="H4836" t="s">
        <v>897</v>
      </c>
      <c r="I4836" s="347" t="s">
        <v>1303</v>
      </c>
      <c r="K4836" s="370"/>
      <c r="N4836" s="370"/>
    </row>
    <row r="4837" spans="1:14" s="347" customFormat="1" x14ac:dyDescent="0.25">
      <c r="A4837" s="369">
        <f>+A4836</f>
        <v>44442</v>
      </c>
      <c r="B4837" s="347">
        <f>+B4836</f>
        <v>9</v>
      </c>
      <c r="C4837" s="347">
        <v>3110</v>
      </c>
      <c r="D4837" s="340" t="str">
        <f>VLOOKUP(C4837,Plan!A$1:B$65542,2,0)</f>
        <v>Colectas Normales</v>
      </c>
      <c r="E4837" s="341">
        <f>+F4837-G4837</f>
        <v>-4896</v>
      </c>
      <c r="F4837" s="396">
        <v>0</v>
      </c>
      <c r="G4837" s="396">
        <f>+F4836</f>
        <v>4896</v>
      </c>
      <c r="H4837" t="str">
        <f>+H4836</f>
        <v>Colecta DCT</v>
      </c>
      <c r="I4837" s="347" t="s">
        <v>1303</v>
      </c>
      <c r="K4837" s="370"/>
      <c r="N4837" s="370"/>
    </row>
    <row r="4838" spans="1:14" s="347" customFormat="1" x14ac:dyDescent="0.25">
      <c r="A4838" s="369"/>
      <c r="E4838" s="396"/>
      <c r="F4838" s="396"/>
      <c r="G4838" s="396"/>
      <c r="K4838" s="370"/>
      <c r="N4838" s="370"/>
    </row>
    <row r="4839" spans="1:14" s="347" customFormat="1" x14ac:dyDescent="0.25">
      <c r="A4839" s="369">
        <v>44442</v>
      </c>
      <c r="B4839" s="340">
        <f>+MONTH(A4839)</f>
        <v>9</v>
      </c>
      <c r="C4839" s="347">
        <v>110</v>
      </c>
      <c r="D4839" s="340" t="str">
        <f>VLOOKUP(C4839,Plan!A$1:B$65542,2,0)</f>
        <v>Disponible Administración</v>
      </c>
      <c r="E4839" s="341">
        <f>+F4839-G4839</f>
        <v>450000</v>
      </c>
      <c r="F4839" s="396">
        <v>450000</v>
      </c>
      <c r="G4839" s="396">
        <v>0</v>
      </c>
      <c r="H4839" t="s">
        <v>2026</v>
      </c>
      <c r="I4839" s="347" t="s">
        <v>1303</v>
      </c>
      <c r="K4839" s="370"/>
      <c r="N4839" s="370"/>
    </row>
    <row r="4840" spans="1:14" s="347" customFormat="1" x14ac:dyDescent="0.25">
      <c r="A4840" s="369">
        <f>+A4839</f>
        <v>44442</v>
      </c>
      <c r="B4840" s="347">
        <f>+B4839</f>
        <v>9</v>
      </c>
      <c r="C4840" s="347">
        <v>215</v>
      </c>
      <c r="D4840" s="340" t="str">
        <f>VLOOKUP(C4840,Plan!A$1:B$65542,2,0)</f>
        <v>Cuenta por Pagar a Cali</v>
      </c>
      <c r="E4840" s="341">
        <f>+F4840-G4840</f>
        <v>-450000</v>
      </c>
      <c r="F4840" s="396">
        <v>0</v>
      </c>
      <c r="G4840" s="396">
        <f>+F4839</f>
        <v>450000</v>
      </c>
      <c r="H4840" t="str">
        <f>+H4839</f>
        <v>Mario Melo / Azul</v>
      </c>
      <c r="I4840" s="347" t="s">
        <v>1303</v>
      </c>
      <c r="K4840" s="370"/>
      <c r="N4840" s="370"/>
    </row>
    <row r="4841" spans="1:14" s="347" customFormat="1" x14ac:dyDescent="0.25">
      <c r="A4841" s="369"/>
      <c r="E4841" s="396"/>
      <c r="F4841" s="396"/>
      <c r="G4841" s="396"/>
      <c r="K4841" s="370"/>
      <c r="N4841" s="370"/>
    </row>
    <row r="4842" spans="1:14" s="347" customFormat="1" x14ac:dyDescent="0.25">
      <c r="A4842" s="369">
        <v>44442</v>
      </c>
      <c r="B4842" s="340">
        <f>+MONTH(A4842)</f>
        <v>9</v>
      </c>
      <c r="C4842" s="347">
        <v>110</v>
      </c>
      <c r="D4842" s="340" t="str">
        <f>VLOOKUP(C4842,Plan!A$1:B$65542,2,0)</f>
        <v>Disponible Administración</v>
      </c>
      <c r="E4842" s="341">
        <f>+F4842-G4842</f>
        <v>50000</v>
      </c>
      <c r="F4842" s="396">
        <v>50000</v>
      </c>
      <c r="G4842" s="396">
        <v>0</v>
      </c>
      <c r="H4842" t="s">
        <v>1436</v>
      </c>
      <c r="I4842" s="347" t="s">
        <v>1303</v>
      </c>
      <c r="K4842" s="370"/>
      <c r="N4842" s="370"/>
    </row>
    <row r="4843" spans="1:14" s="347" customFormat="1" x14ac:dyDescent="0.25">
      <c r="A4843" s="369">
        <f>+A4842</f>
        <v>44442</v>
      </c>
      <c r="B4843" s="347">
        <f>+B4842</f>
        <v>9</v>
      </c>
      <c r="C4843" s="347">
        <v>3110</v>
      </c>
      <c r="D4843" s="340" t="str">
        <f>VLOOKUP(C4843,Plan!A$1:B$65542,2,0)</f>
        <v>Colectas Normales</v>
      </c>
      <c r="E4843" s="341">
        <f>+F4843-G4843</f>
        <v>-50000</v>
      </c>
      <c r="F4843" s="396">
        <v>0</v>
      </c>
      <c r="G4843" s="396">
        <f>+F4842</f>
        <v>50000</v>
      </c>
      <c r="H4843" t="str">
        <f>+H4842</f>
        <v>Colecta Ignacio Ureta Larenas</v>
      </c>
      <c r="I4843" s="347" t="s">
        <v>1303</v>
      </c>
      <c r="K4843" s="370"/>
      <c r="N4843" s="370"/>
    </row>
    <row r="4844" spans="1:14" s="347" customFormat="1" x14ac:dyDescent="0.25">
      <c r="A4844" s="369"/>
      <c r="E4844" s="396"/>
      <c r="F4844" s="396"/>
      <c r="G4844" s="396"/>
      <c r="K4844" s="370"/>
      <c r="N4844" s="370"/>
    </row>
    <row r="4845" spans="1:14" s="347" customFormat="1" x14ac:dyDescent="0.25">
      <c r="A4845" s="369">
        <v>44442</v>
      </c>
      <c r="B4845" s="340">
        <f>+MONTH(A4845)</f>
        <v>9</v>
      </c>
      <c r="C4845" s="347">
        <v>110</v>
      </c>
      <c r="D4845" s="340" t="str">
        <f>VLOOKUP(C4845,Plan!A$1:B$65542,2,0)</f>
        <v>Disponible Administración</v>
      </c>
      <c r="E4845" s="341">
        <f>+F4845-G4845</f>
        <v>35000</v>
      </c>
      <c r="F4845" s="396">
        <v>35000</v>
      </c>
      <c r="G4845" s="396">
        <v>0</v>
      </c>
      <c r="H4845" t="s">
        <v>1437</v>
      </c>
      <c r="I4845" s="347" t="s">
        <v>1303</v>
      </c>
      <c r="K4845" s="370"/>
      <c r="N4845" s="370"/>
    </row>
    <row r="4846" spans="1:14" s="347" customFormat="1" x14ac:dyDescent="0.25">
      <c r="A4846" s="369">
        <f>+A4845</f>
        <v>44442</v>
      </c>
      <c r="B4846" s="347">
        <f>+B4845</f>
        <v>9</v>
      </c>
      <c r="C4846" s="347">
        <v>3450</v>
      </c>
      <c r="D4846" s="340" t="str">
        <f>VLOOKUP(C4846,Plan!A$1:B$65542,2,0)</f>
        <v>Pastoral Social</v>
      </c>
      <c r="E4846" s="341">
        <f>+F4846-G4846</f>
        <v>-35000</v>
      </c>
      <c r="F4846" s="396">
        <v>0</v>
      </c>
      <c r="G4846" s="396">
        <f>+F4845</f>
        <v>35000</v>
      </c>
      <c r="H4846" t="str">
        <f>+H4845</f>
        <v>Canastas Ignacio Ureta Larenas</v>
      </c>
      <c r="I4846" s="347" t="s">
        <v>1303</v>
      </c>
      <c r="K4846" s="370"/>
      <c r="N4846" s="370"/>
    </row>
    <row r="4847" spans="1:14" s="347" customFormat="1" x14ac:dyDescent="0.25">
      <c r="A4847" s="369"/>
      <c r="E4847" s="396"/>
      <c r="F4847" s="396"/>
      <c r="G4847" s="396"/>
      <c r="K4847" s="370"/>
      <c r="N4847" s="370"/>
    </row>
    <row r="4848" spans="1:14" s="347" customFormat="1" x14ac:dyDescent="0.25">
      <c r="A4848" s="369">
        <v>44442</v>
      </c>
      <c r="B4848" s="340">
        <f>+MONTH(A4848)</f>
        <v>9</v>
      </c>
      <c r="C4848" s="347">
        <v>4860</v>
      </c>
      <c r="D4848" s="340" t="str">
        <f>VLOOKUP(C4848,Plan!A$1:B$65542,2,0)</f>
        <v>Otros</v>
      </c>
      <c r="E4848" s="341">
        <f>+F4848-G4848</f>
        <v>1069</v>
      </c>
      <c r="F4848" s="396">
        <v>1069</v>
      </c>
      <c r="G4848" s="396">
        <v>0</v>
      </c>
      <c r="H4848" t="s">
        <v>1005</v>
      </c>
      <c r="I4848" s="347" t="s">
        <v>1303</v>
      </c>
      <c r="K4848" s="370"/>
      <c r="N4848" s="370"/>
    </row>
    <row r="4849" spans="1:14" s="347" customFormat="1" x14ac:dyDescent="0.25">
      <c r="A4849" s="369">
        <f>+A4848</f>
        <v>44442</v>
      </c>
      <c r="B4849" s="347">
        <f>+B4848</f>
        <v>9</v>
      </c>
      <c r="C4849" s="347">
        <v>110</v>
      </c>
      <c r="D4849" s="340" t="str">
        <f>VLOOKUP(C4849,Plan!A$1:B$65542,2,0)</f>
        <v>Disponible Administración</v>
      </c>
      <c r="E4849" s="341">
        <f>+F4849-G4849</f>
        <v>-1069</v>
      </c>
      <c r="F4849" s="396">
        <v>0</v>
      </c>
      <c r="G4849" s="396">
        <f>+F4848</f>
        <v>1069</v>
      </c>
      <c r="H4849" t="str">
        <f>+H4848</f>
        <v>Com.Bco.Chile</v>
      </c>
      <c r="I4849" s="347" t="s">
        <v>1303</v>
      </c>
      <c r="K4849" s="370"/>
      <c r="N4849" s="370"/>
    </row>
    <row r="4850" spans="1:14" s="347" customFormat="1" x14ac:dyDescent="0.25">
      <c r="A4850" s="369"/>
      <c r="E4850" s="396"/>
      <c r="F4850" s="396"/>
      <c r="G4850" s="396"/>
      <c r="K4850" s="370"/>
      <c r="N4850" s="370"/>
    </row>
    <row r="4851" spans="1:14" s="347" customFormat="1" x14ac:dyDescent="0.25">
      <c r="A4851" s="369">
        <v>44442</v>
      </c>
      <c r="B4851" s="340">
        <f>+MONTH(A4851)</f>
        <v>9</v>
      </c>
      <c r="C4851" s="347">
        <v>4860</v>
      </c>
      <c r="D4851" s="340" t="str">
        <f>VLOOKUP(C4851,Plan!A$1:B$65542,2,0)</f>
        <v>Otros</v>
      </c>
      <c r="E4851" s="341">
        <f>+F4851-G4851</f>
        <v>5700</v>
      </c>
      <c r="F4851" s="396">
        <v>5700</v>
      </c>
      <c r="G4851" s="396">
        <v>0</v>
      </c>
      <c r="H4851" t="s">
        <v>1005</v>
      </c>
      <c r="I4851" s="347" t="s">
        <v>1303</v>
      </c>
      <c r="K4851" s="370"/>
      <c r="N4851" s="370"/>
    </row>
    <row r="4852" spans="1:14" s="347" customFormat="1" x14ac:dyDescent="0.25">
      <c r="A4852" s="369">
        <f>+A4851</f>
        <v>44442</v>
      </c>
      <c r="B4852" s="347">
        <f>+B4851</f>
        <v>9</v>
      </c>
      <c r="C4852" s="347">
        <v>110</v>
      </c>
      <c r="D4852" s="340" t="str">
        <f>VLOOKUP(C4852,Plan!A$1:B$65542,2,0)</f>
        <v>Disponible Administración</v>
      </c>
      <c r="E4852" s="341">
        <f>+F4852-G4852</f>
        <v>-5700</v>
      </c>
      <c r="F4852" s="396">
        <v>0</v>
      </c>
      <c r="G4852" s="396">
        <f>+F4851</f>
        <v>5700</v>
      </c>
      <c r="H4852" t="str">
        <f>+H4851</f>
        <v>Com.Bco.Chile</v>
      </c>
      <c r="I4852" s="347" t="s">
        <v>1303</v>
      </c>
      <c r="K4852" s="370"/>
      <c r="N4852" s="370"/>
    </row>
    <row r="4853" spans="1:14" s="347" customFormat="1" x14ac:dyDescent="0.25">
      <c r="A4853" s="369"/>
      <c r="E4853" s="396"/>
      <c r="F4853" s="396"/>
      <c r="G4853" s="396"/>
      <c r="K4853" s="370"/>
      <c r="N4853" s="370"/>
    </row>
    <row r="4854" spans="1:14" s="347" customFormat="1" x14ac:dyDescent="0.25">
      <c r="A4854" s="369">
        <v>44445</v>
      </c>
      <c r="B4854" s="340">
        <f>+MONTH(A4854)</f>
        <v>9</v>
      </c>
      <c r="C4854" s="347">
        <v>4310</v>
      </c>
      <c r="D4854" s="340" t="str">
        <f>VLOOKUP(C4854,Plan!A$1:B$65542,2,0)</f>
        <v>Arriendos / Dividendos</v>
      </c>
      <c r="E4854" s="341">
        <f>+F4854-G4854</f>
        <v>810698</v>
      </c>
      <c r="F4854" s="396">
        <v>810698</v>
      </c>
      <c r="G4854" s="396">
        <v>0</v>
      </c>
      <c r="H4854" t="s">
        <v>2027</v>
      </c>
      <c r="I4854" s="347" t="s">
        <v>1303</v>
      </c>
      <c r="K4854" s="370"/>
      <c r="N4854" s="370"/>
    </row>
    <row r="4855" spans="1:14" s="347" customFormat="1" x14ac:dyDescent="0.25">
      <c r="A4855" s="369">
        <f>+A4854</f>
        <v>44445</v>
      </c>
      <c r="B4855" s="347">
        <f>+B4854</f>
        <v>9</v>
      </c>
      <c r="C4855" s="347">
        <v>110</v>
      </c>
      <c r="D4855" s="340" t="str">
        <f>VLOOKUP(C4855,Plan!A$1:B$65542,2,0)</f>
        <v>Disponible Administración</v>
      </c>
      <c r="E4855" s="341">
        <f>+F4855-G4855</f>
        <v>-810698</v>
      </c>
      <c r="F4855" s="396">
        <v>0</v>
      </c>
      <c r="G4855" s="396">
        <f>+F4854</f>
        <v>810698</v>
      </c>
      <c r="H4855" t="str">
        <f>+H4854</f>
        <v>Arriendo Septiembre 2021 Claudio Cortes Arriagada</v>
      </c>
      <c r="I4855" s="347" t="s">
        <v>1303</v>
      </c>
      <c r="K4855" s="370"/>
      <c r="N4855" s="370"/>
    </row>
    <row r="4856" spans="1:14" s="347" customFormat="1" x14ac:dyDescent="0.25">
      <c r="A4856" s="369"/>
      <c r="E4856" s="396"/>
      <c r="F4856" s="396"/>
      <c r="G4856" s="396"/>
      <c r="K4856" s="370"/>
      <c r="N4856" s="370"/>
    </row>
    <row r="4857" spans="1:14" s="347" customFormat="1" x14ac:dyDescent="0.25">
      <c r="A4857" s="369">
        <v>44445</v>
      </c>
      <c r="B4857" s="340">
        <f>+MONTH(A4857)</f>
        <v>9</v>
      </c>
      <c r="C4857" s="347">
        <v>4340</v>
      </c>
      <c r="D4857" s="340" t="str">
        <f>VLOOKUP(C4857,Plan!A$1:B$65542,2,0)</f>
        <v>Caja Chica</v>
      </c>
      <c r="E4857" s="341">
        <f>+F4857-G4857</f>
        <v>234444</v>
      </c>
      <c r="F4857" s="396">
        <v>234444</v>
      </c>
      <c r="G4857" s="396">
        <v>0</v>
      </c>
      <c r="H4857" s="370" t="s">
        <v>2028</v>
      </c>
      <c r="I4857" s="347" t="s">
        <v>1303</v>
      </c>
      <c r="K4857" s="370"/>
      <c r="N4857" s="370"/>
    </row>
    <row r="4858" spans="1:14" s="347" customFormat="1" x14ac:dyDescent="0.25">
      <c r="A4858" s="369">
        <f>+A4857</f>
        <v>44445</v>
      </c>
      <c r="B4858" s="347">
        <f>+B4857</f>
        <v>9</v>
      </c>
      <c r="C4858" s="347">
        <v>110</v>
      </c>
      <c r="D4858" s="340" t="str">
        <f>VLOOKUP(C4858,Plan!A$1:B$65542,2,0)</f>
        <v>Disponible Administración</v>
      </c>
      <c r="E4858" s="341">
        <f>+F4858-G4858</f>
        <v>-234444</v>
      </c>
      <c r="F4858" s="396">
        <v>0</v>
      </c>
      <c r="G4858" s="396">
        <f>+F4857</f>
        <v>234444</v>
      </c>
      <c r="H4858" t="str">
        <f>+H4857</f>
        <v>Rend.Caja Chica Abr-Jul</v>
      </c>
      <c r="I4858" s="347" t="s">
        <v>1303</v>
      </c>
      <c r="K4858" s="370"/>
      <c r="N4858" s="370"/>
    </row>
    <row r="4859" spans="1:14" s="347" customFormat="1" x14ac:dyDescent="0.25">
      <c r="A4859" s="369"/>
      <c r="E4859" s="396"/>
      <c r="F4859" s="396"/>
      <c r="G4859" s="396"/>
      <c r="K4859" s="370"/>
      <c r="N4859" s="370"/>
    </row>
    <row r="4860" spans="1:14" s="347" customFormat="1" x14ac:dyDescent="0.25">
      <c r="A4860" s="369">
        <v>44445</v>
      </c>
      <c r="B4860" s="340">
        <f>+MONTH(A4860)</f>
        <v>9</v>
      </c>
      <c r="C4860" s="347">
        <v>4650</v>
      </c>
      <c r="D4860" s="340" t="str">
        <f>VLOOKUP(C4860,Plan!A$1:B$65542,2,0)</f>
        <v>Pastoral Social</v>
      </c>
      <c r="E4860" s="341">
        <f>+F4860-G4860</f>
        <v>56000</v>
      </c>
      <c r="F4860" s="396">
        <v>56000</v>
      </c>
      <c r="G4860" s="396">
        <v>0</v>
      </c>
      <c r="H4860" s="370" t="s">
        <v>2029</v>
      </c>
      <c r="I4860" s="347" t="s">
        <v>1303</v>
      </c>
      <c r="K4860" s="370"/>
      <c r="N4860" s="370"/>
    </row>
    <row r="4861" spans="1:14" s="347" customFormat="1" x14ac:dyDescent="0.25">
      <c r="A4861" s="369">
        <f>+A4860</f>
        <v>44445</v>
      </c>
      <c r="B4861" s="347">
        <f>+B4860</f>
        <v>9</v>
      </c>
      <c r="C4861" s="347">
        <v>110</v>
      </c>
      <c r="D4861" s="340" t="str">
        <f>VLOOKUP(C4861,Plan!A$1:B$65542,2,0)</f>
        <v>Disponible Administración</v>
      </c>
      <c r="E4861" s="341">
        <f>+F4861-G4861</f>
        <v>-56000</v>
      </c>
      <c r="F4861" s="396">
        <v>0</v>
      </c>
      <c r="G4861" s="396">
        <f>+F4860</f>
        <v>56000</v>
      </c>
      <c r="H4861" t="str">
        <f>+H4860</f>
        <v>Gastos Pastoral Social</v>
      </c>
      <c r="I4861" s="347" t="s">
        <v>1303</v>
      </c>
      <c r="K4861" s="370"/>
      <c r="N4861" s="370"/>
    </row>
    <row r="4862" spans="1:14" s="347" customFormat="1" x14ac:dyDescent="0.25">
      <c r="A4862" s="369"/>
      <c r="E4862" s="396"/>
      <c r="F4862" s="396"/>
      <c r="G4862" s="396"/>
      <c r="K4862" s="370"/>
      <c r="N4862" s="370"/>
    </row>
    <row r="4863" spans="1:14" s="347" customFormat="1" x14ac:dyDescent="0.25">
      <c r="A4863" s="369">
        <v>44445</v>
      </c>
      <c r="B4863" s="340">
        <f>+MONTH(A4863)</f>
        <v>9</v>
      </c>
      <c r="C4863" s="347">
        <v>4650</v>
      </c>
      <c r="D4863" s="340" t="str">
        <f>VLOOKUP(C4863,Plan!A$1:B$65542,2,0)</f>
        <v>Pastoral Social</v>
      </c>
      <c r="E4863" s="341">
        <f>+F4863-G4863</f>
        <v>34000</v>
      </c>
      <c r="F4863" s="396">
        <v>34000</v>
      </c>
      <c r="G4863" s="396">
        <v>0</v>
      </c>
      <c r="H4863" s="370" t="s">
        <v>2029</v>
      </c>
      <c r="I4863" s="347" t="s">
        <v>1303</v>
      </c>
      <c r="K4863" s="370"/>
      <c r="N4863" s="370"/>
    </row>
    <row r="4864" spans="1:14" s="347" customFormat="1" x14ac:dyDescent="0.25">
      <c r="A4864" s="369">
        <f>+A4863</f>
        <v>44445</v>
      </c>
      <c r="B4864" s="347">
        <f>+B4863</f>
        <v>9</v>
      </c>
      <c r="C4864" s="347">
        <v>110</v>
      </c>
      <c r="D4864" s="340" t="str">
        <f>VLOOKUP(C4864,Plan!A$1:B$65542,2,0)</f>
        <v>Disponible Administración</v>
      </c>
      <c r="E4864" s="341">
        <f>+F4864-G4864</f>
        <v>-34000</v>
      </c>
      <c r="F4864" s="396">
        <v>0</v>
      </c>
      <c r="G4864" s="396">
        <f>+F4863</f>
        <v>34000</v>
      </c>
      <c r="H4864" t="str">
        <f>+H4863</f>
        <v>Gastos Pastoral Social</v>
      </c>
      <c r="I4864" s="347" t="s">
        <v>1303</v>
      </c>
      <c r="K4864" s="370"/>
      <c r="N4864" s="370"/>
    </row>
    <row r="4865" spans="1:14" s="347" customFormat="1" x14ac:dyDescent="0.25">
      <c r="A4865" s="369"/>
      <c r="E4865" s="396"/>
      <c r="F4865" s="396"/>
      <c r="G4865" s="396"/>
      <c r="K4865" s="370"/>
      <c r="N4865" s="370"/>
    </row>
    <row r="4866" spans="1:14" s="347" customFormat="1" x14ac:dyDescent="0.25">
      <c r="A4866" s="369">
        <v>44445</v>
      </c>
      <c r="B4866" s="340">
        <f>+MONTH(A4866)</f>
        <v>9</v>
      </c>
      <c r="C4866" s="347">
        <v>223</v>
      </c>
      <c r="D4866" s="340" t="str">
        <f>VLOOKUP(C4866,Plan!A$1:B$65542,2,0)</f>
        <v>Ret. Hon.  e Impto. Unico Administración</v>
      </c>
      <c r="E4866" s="341">
        <f>+F4866-G4866</f>
        <v>125577</v>
      </c>
      <c r="F4866" s="396">
        <v>125577</v>
      </c>
      <c r="G4866" s="396">
        <v>0</v>
      </c>
      <c r="H4866" s="370" t="s">
        <v>1930</v>
      </c>
      <c r="I4866" s="347" t="s">
        <v>1303</v>
      </c>
      <c r="K4866" s="370"/>
      <c r="N4866" s="370"/>
    </row>
    <row r="4867" spans="1:14" s="347" customFormat="1" x14ac:dyDescent="0.25">
      <c r="A4867" s="369">
        <v>44445</v>
      </c>
      <c r="B4867" s="340">
        <f>+MONTH(A4867)</f>
        <v>9</v>
      </c>
      <c r="C4867" s="347">
        <v>215</v>
      </c>
      <c r="D4867" s="340" t="str">
        <f>VLOOKUP(C4867,Plan!A$1:B$65542,2,0)</f>
        <v>Cuenta por Pagar a Cali</v>
      </c>
      <c r="E4867" s="341">
        <f>+F4867-G4867</f>
        <v>48353</v>
      </c>
      <c r="F4867" s="396">
        <v>48353</v>
      </c>
      <c r="G4867" s="396">
        <v>0</v>
      </c>
      <c r="H4867" s="370" t="s">
        <v>1930</v>
      </c>
      <c r="I4867" s="347" t="s">
        <v>1303</v>
      </c>
      <c r="K4867" s="370"/>
      <c r="N4867" s="370"/>
    </row>
    <row r="4868" spans="1:14" s="347" customFormat="1" x14ac:dyDescent="0.25">
      <c r="A4868" s="369">
        <f>+A4866</f>
        <v>44445</v>
      </c>
      <c r="B4868" s="347">
        <f>+B4866</f>
        <v>9</v>
      </c>
      <c r="C4868" s="347">
        <v>110</v>
      </c>
      <c r="D4868" s="340" t="str">
        <f>VLOOKUP(C4868,Plan!A$1:B$65542,2,0)</f>
        <v>Disponible Administración</v>
      </c>
      <c r="E4868" s="341">
        <f>+F4868-G4868</f>
        <v>-189186</v>
      </c>
      <c r="F4868" s="396">
        <v>0</v>
      </c>
      <c r="G4868" s="396">
        <v>189186</v>
      </c>
      <c r="H4868" t="str">
        <f>+H4866</f>
        <v>Impto.Ret Adm. Julio/2021</v>
      </c>
      <c r="I4868" s="347" t="s">
        <v>1303</v>
      </c>
      <c r="K4868" s="370"/>
      <c r="N4868" s="370"/>
    </row>
    <row r="4869" spans="1:14" s="347" customFormat="1" x14ac:dyDescent="0.25">
      <c r="A4869" s="369">
        <v>44445</v>
      </c>
      <c r="B4869" s="340">
        <f>+MONTH(A4869)</f>
        <v>9</v>
      </c>
      <c r="C4869" s="347">
        <v>223</v>
      </c>
      <c r="D4869" s="340" t="str">
        <f>VLOOKUP(C4869,Plan!A$1:B$65542,2,0)</f>
        <v>Ret. Hon.  e Impto. Unico Administración</v>
      </c>
      <c r="E4869" s="341">
        <f>+F4869-G4869</f>
        <v>15256</v>
      </c>
      <c r="F4869" s="396">
        <v>15256</v>
      </c>
      <c r="G4869" s="396">
        <v>0</v>
      </c>
      <c r="H4869" s="370" t="s">
        <v>1930</v>
      </c>
      <c r="I4869" s="347" t="s">
        <v>1303</v>
      </c>
      <c r="K4869" s="370"/>
      <c r="N4869" s="370"/>
    </row>
    <row r="4870" spans="1:14" s="347" customFormat="1" x14ac:dyDescent="0.25">
      <c r="A4870" s="369"/>
      <c r="E4870" s="396"/>
      <c r="F4870" s="396"/>
      <c r="G4870" s="396"/>
      <c r="K4870" s="370"/>
      <c r="N4870" s="370"/>
    </row>
    <row r="4871" spans="1:14" s="347" customFormat="1" x14ac:dyDescent="0.25">
      <c r="A4871" s="369">
        <v>44445</v>
      </c>
      <c r="B4871" s="340">
        <f>+MONTH(A4871)</f>
        <v>9</v>
      </c>
      <c r="C4871" s="347">
        <v>224</v>
      </c>
      <c r="D4871" s="340" t="str">
        <f>VLOOKUP(C4871,Plan!A$1:B$65542,2,0)</f>
        <v>Cotizaciones por Pagar</v>
      </c>
      <c r="E4871" s="341">
        <f>+F4871-G4871</f>
        <v>413240</v>
      </c>
      <c r="F4871" s="396">
        <v>413240</v>
      </c>
      <c r="G4871" s="396">
        <v>0</v>
      </c>
      <c r="H4871" s="370" t="s">
        <v>1565</v>
      </c>
      <c r="I4871" s="347" t="s">
        <v>1303</v>
      </c>
      <c r="K4871" s="370"/>
      <c r="N4871" s="370"/>
    </row>
    <row r="4872" spans="1:14" s="347" customFormat="1" x14ac:dyDescent="0.25">
      <c r="A4872" s="369">
        <f>+A4871</f>
        <v>44445</v>
      </c>
      <c r="B4872" s="347">
        <f>+B4871</f>
        <v>9</v>
      </c>
      <c r="C4872" s="347">
        <v>110</v>
      </c>
      <c r="D4872" s="340" t="str">
        <f>VLOOKUP(C4872,Plan!A$1:B$65542,2,0)</f>
        <v>Disponible Administración</v>
      </c>
      <c r="E4872" s="341">
        <f>+F4872-G4872</f>
        <v>-413240</v>
      </c>
      <c r="F4872" s="396">
        <v>0</v>
      </c>
      <c r="G4872" s="396">
        <f>+F4871</f>
        <v>413240</v>
      </c>
      <c r="H4872" t="str">
        <f>+H4871</f>
        <v>Previsión EE.PSAH</v>
      </c>
      <c r="I4872" s="347" t="s">
        <v>1303</v>
      </c>
      <c r="K4872" s="370"/>
      <c r="N4872" s="370"/>
    </row>
    <row r="4873" spans="1:14" s="347" customFormat="1" x14ac:dyDescent="0.25">
      <c r="A4873" s="369"/>
      <c r="E4873" s="396"/>
      <c r="F4873" s="396"/>
      <c r="G4873" s="396"/>
      <c r="K4873" s="370"/>
      <c r="N4873" s="370"/>
    </row>
    <row r="4874" spans="1:14" s="347" customFormat="1" x14ac:dyDescent="0.25">
      <c r="A4874" s="369">
        <v>44445</v>
      </c>
      <c r="B4874" s="340">
        <f>+MONTH(A4874)</f>
        <v>9</v>
      </c>
      <c r="C4874" s="347">
        <v>224</v>
      </c>
      <c r="D4874" s="340" t="str">
        <f>VLOOKUP(C4874,Plan!A$1:B$65542,2,0)</f>
        <v>Cotizaciones por Pagar</v>
      </c>
      <c r="E4874" s="341">
        <f>+F4874-G4874</f>
        <v>176915</v>
      </c>
      <c r="F4874" s="396">
        <v>176915</v>
      </c>
      <c r="G4874" s="396">
        <v>0</v>
      </c>
      <c r="H4874" s="370" t="s">
        <v>1566</v>
      </c>
      <c r="I4874" s="347" t="s">
        <v>1303</v>
      </c>
      <c r="K4874" s="370"/>
      <c r="N4874" s="370"/>
    </row>
    <row r="4875" spans="1:14" s="347" customFormat="1" x14ac:dyDescent="0.25">
      <c r="A4875" s="369">
        <f>+A4874</f>
        <v>44445</v>
      </c>
      <c r="B4875" s="347">
        <f>+B4874</f>
        <v>9</v>
      </c>
      <c r="C4875" s="347">
        <v>110</v>
      </c>
      <c r="D4875" s="340" t="str">
        <f>VLOOKUP(C4875,Plan!A$1:B$65542,2,0)</f>
        <v>Disponible Administración</v>
      </c>
      <c r="E4875" s="341">
        <f>+F4875-G4875</f>
        <v>-176915</v>
      </c>
      <c r="F4875" s="396">
        <v>0</v>
      </c>
      <c r="G4875" s="396">
        <f>+F4874</f>
        <v>176915</v>
      </c>
      <c r="H4875" t="str">
        <f>+H4874</f>
        <v>Previsión P.Pedro</v>
      </c>
      <c r="I4875" s="347" t="s">
        <v>1303</v>
      </c>
      <c r="K4875" s="370"/>
      <c r="N4875" s="370"/>
    </row>
    <row r="4876" spans="1:14" s="347" customFormat="1" x14ac:dyDescent="0.25">
      <c r="A4876" s="369"/>
      <c r="E4876" s="396"/>
      <c r="F4876" s="396"/>
      <c r="G4876" s="396"/>
      <c r="K4876" s="370"/>
      <c r="N4876" s="370"/>
    </row>
    <row r="4877" spans="1:14" s="347" customFormat="1" x14ac:dyDescent="0.25">
      <c r="A4877" s="369">
        <v>44445</v>
      </c>
      <c r="B4877" s="340">
        <f>+MONTH(A4877)</f>
        <v>9</v>
      </c>
      <c r="C4877" s="347">
        <v>110</v>
      </c>
      <c r="D4877" s="340" t="str">
        <f>VLOOKUP(C4877,Plan!A$1:B$65542,2,0)</f>
        <v>Disponible Administración</v>
      </c>
      <c r="E4877" s="341">
        <f>+F4877-G4877</f>
        <v>100000</v>
      </c>
      <c r="F4877" s="396">
        <v>100000</v>
      </c>
      <c r="G4877" s="396">
        <v>0</v>
      </c>
      <c r="H4877" s="370" t="s">
        <v>1489</v>
      </c>
      <c r="I4877" s="347" t="s">
        <v>1303</v>
      </c>
      <c r="K4877" s="370"/>
      <c r="N4877" s="370"/>
    </row>
    <row r="4878" spans="1:14" s="347" customFormat="1" x14ac:dyDescent="0.25">
      <c r="A4878" s="369">
        <f>+A4877</f>
        <v>44445</v>
      </c>
      <c r="B4878" s="347">
        <f>+B4877</f>
        <v>9</v>
      </c>
      <c r="C4878" s="347">
        <v>3110</v>
      </c>
      <c r="D4878" s="340" t="str">
        <f>VLOOKUP(C4878,Plan!A$1:B$65542,2,0)</f>
        <v>Colectas Normales</v>
      </c>
      <c r="E4878" s="341">
        <f>+F4878-G4878</f>
        <v>-100000</v>
      </c>
      <c r="F4878" s="396">
        <v>0</v>
      </c>
      <c r="G4878" s="396">
        <f>+F4877</f>
        <v>100000</v>
      </c>
      <c r="H4878" t="str">
        <f>+H4877</f>
        <v>Colecta Ximena Suspichatti</v>
      </c>
      <c r="I4878" s="347" t="s">
        <v>1303</v>
      </c>
      <c r="K4878" s="370"/>
      <c r="N4878" s="370"/>
    </row>
    <row r="4879" spans="1:14" s="347" customFormat="1" x14ac:dyDescent="0.25">
      <c r="A4879" s="369"/>
      <c r="E4879" s="396"/>
      <c r="F4879" s="396"/>
      <c r="G4879" s="396"/>
      <c r="K4879" s="370"/>
      <c r="N4879" s="370"/>
    </row>
    <row r="4880" spans="1:14" s="347" customFormat="1" x14ac:dyDescent="0.25">
      <c r="A4880" s="369">
        <v>44445</v>
      </c>
      <c r="B4880" s="340">
        <f>+MONTH(A4880)</f>
        <v>9</v>
      </c>
      <c r="C4880" s="347">
        <v>110</v>
      </c>
      <c r="D4880" s="340" t="str">
        <f>VLOOKUP(C4880,Plan!A$1:B$65542,2,0)</f>
        <v>Disponible Administración</v>
      </c>
      <c r="E4880" s="341">
        <f>+F4880-G4880</f>
        <v>20000</v>
      </c>
      <c r="F4880" s="396">
        <v>20000</v>
      </c>
      <c r="G4880" s="396">
        <v>0</v>
      </c>
      <c r="H4880" s="370" t="s">
        <v>2030</v>
      </c>
      <c r="I4880" s="347" t="s">
        <v>1303</v>
      </c>
      <c r="K4880" s="370"/>
      <c r="N4880" s="370"/>
    </row>
    <row r="4881" spans="1:14" s="347" customFormat="1" x14ac:dyDescent="0.25">
      <c r="A4881" s="369">
        <f>+A4880</f>
        <v>44445</v>
      </c>
      <c r="B4881" s="347">
        <f>+B4880</f>
        <v>9</v>
      </c>
      <c r="C4881" s="347">
        <v>3350</v>
      </c>
      <c r="D4881" s="340" t="str">
        <f>VLOOKUP(C4881,Plan!A$1:B$65542,2,0)</f>
        <v>Bautizos</v>
      </c>
      <c r="E4881" s="341">
        <f>+F4881-G4881</f>
        <v>-20000</v>
      </c>
      <c r="F4881" s="396">
        <v>0</v>
      </c>
      <c r="G4881" s="396">
        <f>+F4880</f>
        <v>20000</v>
      </c>
      <c r="H4881" t="str">
        <f>+H4880</f>
        <v>Bautizo Juan Andres Baracatt Vicente</v>
      </c>
      <c r="I4881" s="347" t="s">
        <v>1303</v>
      </c>
      <c r="K4881" s="370"/>
      <c r="N4881" s="370"/>
    </row>
    <row r="4882" spans="1:14" s="347" customFormat="1" x14ac:dyDescent="0.25">
      <c r="A4882" s="369"/>
      <c r="E4882" s="396"/>
      <c r="F4882" s="396"/>
      <c r="G4882" s="396"/>
      <c r="K4882" s="370"/>
      <c r="N4882" s="370"/>
    </row>
    <row r="4883" spans="1:14" s="347" customFormat="1" x14ac:dyDescent="0.25">
      <c r="A4883" s="369">
        <v>44445</v>
      </c>
      <c r="B4883" s="340">
        <f>+MONTH(A4883)</f>
        <v>9</v>
      </c>
      <c r="C4883" s="347">
        <v>110</v>
      </c>
      <c r="D4883" s="340" t="str">
        <f>VLOOKUP(C4883,Plan!A$1:B$65542,2,0)</f>
        <v>Disponible Administración</v>
      </c>
      <c r="E4883" s="341">
        <f>+F4883-G4883</f>
        <v>40000</v>
      </c>
      <c r="F4883" s="396">
        <v>40000</v>
      </c>
      <c r="G4883" s="396">
        <v>0</v>
      </c>
      <c r="H4883" s="370" t="s">
        <v>2031</v>
      </c>
      <c r="I4883" s="347" t="s">
        <v>1303</v>
      </c>
      <c r="K4883" s="370"/>
      <c r="N4883" s="370"/>
    </row>
    <row r="4884" spans="1:14" s="347" customFormat="1" x14ac:dyDescent="0.25">
      <c r="A4884" s="369">
        <f>+A4883</f>
        <v>44445</v>
      </c>
      <c r="B4884" s="347">
        <f>+B4883</f>
        <v>9</v>
      </c>
      <c r="C4884" s="347">
        <v>3110</v>
      </c>
      <c r="D4884" s="340" t="str">
        <f>VLOOKUP(C4884,Plan!A$1:B$65542,2,0)</f>
        <v>Colectas Normales</v>
      </c>
      <c r="E4884" s="341">
        <f>+F4884-G4884</f>
        <v>-40000</v>
      </c>
      <c r="F4884" s="396">
        <v>0</v>
      </c>
      <c r="G4884" s="396">
        <f>+F4883</f>
        <v>40000</v>
      </c>
      <c r="H4884" t="str">
        <f>+H4883</f>
        <v>Colecta Alejandro Gutierrez</v>
      </c>
      <c r="I4884" s="347" t="s">
        <v>1303</v>
      </c>
      <c r="K4884" s="370"/>
      <c r="N4884" s="370"/>
    </row>
    <row r="4885" spans="1:14" s="347" customFormat="1" x14ac:dyDescent="0.25">
      <c r="A4885" s="369"/>
      <c r="E4885" s="396"/>
      <c r="F4885" s="396"/>
      <c r="G4885" s="396"/>
      <c r="K4885" s="370"/>
      <c r="N4885" s="370"/>
    </row>
    <row r="4886" spans="1:14" s="347" customFormat="1" x14ac:dyDescent="0.25">
      <c r="A4886" s="369">
        <v>44445</v>
      </c>
      <c r="B4886" s="340">
        <f>+MONTH(A4886)</f>
        <v>9</v>
      </c>
      <c r="C4886" s="347">
        <v>110</v>
      </c>
      <c r="D4886" s="340" t="str">
        <f>VLOOKUP(C4886,Plan!A$1:B$65542,2,0)</f>
        <v>Disponible Administración</v>
      </c>
      <c r="E4886" s="341">
        <f>+F4886-G4886</f>
        <v>10000</v>
      </c>
      <c r="F4886" s="396">
        <v>10000</v>
      </c>
      <c r="G4886" s="396">
        <v>0</v>
      </c>
      <c r="H4886" s="370" t="s">
        <v>971</v>
      </c>
      <c r="I4886" s="347" t="s">
        <v>1303</v>
      </c>
      <c r="K4886" s="370"/>
      <c r="N4886" s="370"/>
    </row>
    <row r="4887" spans="1:14" s="347" customFormat="1" x14ac:dyDescent="0.25">
      <c r="A4887" s="369">
        <f>+A4886</f>
        <v>44445</v>
      </c>
      <c r="B4887" s="347">
        <f>+B4886</f>
        <v>9</v>
      </c>
      <c r="C4887" s="347">
        <v>3110</v>
      </c>
      <c r="D4887" s="340" t="str">
        <f>VLOOKUP(C4887,Plan!A$1:B$65542,2,0)</f>
        <v>Colectas Normales</v>
      </c>
      <c r="E4887" s="341">
        <f>+F4887-G4887</f>
        <v>-10000</v>
      </c>
      <c r="F4887" s="396">
        <v>0</v>
      </c>
      <c r="G4887" s="396">
        <f>+F4886</f>
        <v>10000</v>
      </c>
      <c r="H4887" t="str">
        <f>+H4886</f>
        <v>Colecta Pablo Irarrazaval Mena</v>
      </c>
      <c r="I4887" s="347" t="s">
        <v>1303</v>
      </c>
      <c r="K4887" s="370"/>
      <c r="N4887" s="370"/>
    </row>
    <row r="4888" spans="1:14" s="347" customFormat="1" x14ac:dyDescent="0.25">
      <c r="A4888" s="369"/>
      <c r="E4888" s="396"/>
      <c r="F4888" s="396"/>
      <c r="G4888" s="396"/>
      <c r="K4888" s="370"/>
      <c r="N4888" s="370"/>
    </row>
    <row r="4889" spans="1:14" s="347" customFormat="1" x14ac:dyDescent="0.25">
      <c r="A4889" s="369">
        <v>44445</v>
      </c>
      <c r="B4889" s="340">
        <f>+MONTH(A4889)</f>
        <v>9</v>
      </c>
      <c r="C4889" s="347">
        <v>110</v>
      </c>
      <c r="D4889" s="340" t="str">
        <f>VLOOKUP(C4889,Plan!A$1:B$65542,2,0)</f>
        <v>Disponible Administración</v>
      </c>
      <c r="E4889" s="341">
        <f>+F4889-G4889</f>
        <v>450000</v>
      </c>
      <c r="F4889" s="396">
        <v>450000</v>
      </c>
      <c r="G4889" s="396">
        <v>0</v>
      </c>
      <c r="H4889" s="370" t="s">
        <v>2032</v>
      </c>
      <c r="I4889" s="347" t="s">
        <v>1303</v>
      </c>
      <c r="K4889" s="370"/>
      <c r="N4889" s="370"/>
    </row>
    <row r="4890" spans="1:14" s="347" customFormat="1" x14ac:dyDescent="0.25">
      <c r="A4890" s="369">
        <f>+A4889</f>
        <v>44445</v>
      </c>
      <c r="B4890" s="347">
        <f>+B4889</f>
        <v>9</v>
      </c>
      <c r="C4890" s="347">
        <v>215</v>
      </c>
      <c r="D4890" s="340" t="str">
        <f>VLOOKUP(C4890,Plan!A$1:B$65542,2,0)</f>
        <v>Cuenta por Pagar a Cali</v>
      </c>
      <c r="E4890" s="341">
        <f>+F4890-G4890</f>
        <v>-450000</v>
      </c>
      <c r="F4890" s="396">
        <v>0</v>
      </c>
      <c r="G4890" s="396">
        <f>+F4889</f>
        <v>450000</v>
      </c>
      <c r="H4890" t="str">
        <f>+H4889</f>
        <v>Mario Melo /Azul</v>
      </c>
      <c r="I4890" s="347" t="s">
        <v>1303</v>
      </c>
      <c r="K4890" s="370"/>
      <c r="N4890" s="370"/>
    </row>
    <row r="4891" spans="1:14" s="347" customFormat="1" x14ac:dyDescent="0.25">
      <c r="A4891" s="369"/>
      <c r="E4891" s="396"/>
      <c r="F4891" s="396"/>
      <c r="G4891" s="396"/>
      <c r="K4891" s="370"/>
      <c r="N4891" s="370"/>
    </row>
    <row r="4892" spans="1:14" s="347" customFormat="1" x14ac:dyDescent="0.25">
      <c r="A4892" s="369">
        <v>44445</v>
      </c>
      <c r="B4892" s="340">
        <f>+MONTH(A4892)</f>
        <v>9</v>
      </c>
      <c r="C4892" s="347">
        <v>110</v>
      </c>
      <c r="D4892" s="340" t="str">
        <f>VLOOKUP(C4892,Plan!A$1:B$65542,2,0)</f>
        <v>Disponible Administración</v>
      </c>
      <c r="E4892" s="341">
        <f>+F4892-G4892</f>
        <v>10000</v>
      </c>
      <c r="F4892" s="396">
        <v>10000</v>
      </c>
      <c r="G4892" s="396">
        <v>0</v>
      </c>
      <c r="H4892" s="370" t="s">
        <v>881</v>
      </c>
      <c r="I4892" s="347" t="s">
        <v>1303</v>
      </c>
      <c r="K4892" s="370"/>
      <c r="N4892" s="370"/>
    </row>
    <row r="4893" spans="1:14" s="347" customFormat="1" x14ac:dyDescent="0.25">
      <c r="A4893" s="369">
        <f>+A4892</f>
        <v>44445</v>
      </c>
      <c r="B4893" s="347">
        <f>+B4892</f>
        <v>9</v>
      </c>
      <c r="C4893" s="347">
        <v>3110</v>
      </c>
      <c r="D4893" s="340" t="str">
        <f>VLOOKUP(C4893,Plan!A$1:B$65542,2,0)</f>
        <v>Colectas Normales</v>
      </c>
      <c r="E4893" s="341">
        <f>+F4893-G4893</f>
        <v>-10000</v>
      </c>
      <c r="F4893" s="396">
        <v>0</v>
      </c>
      <c r="G4893" s="396">
        <f>+F4892</f>
        <v>10000</v>
      </c>
      <c r="H4893" t="str">
        <f>+H4892</f>
        <v>Colecta Rafael Marin Jordan</v>
      </c>
      <c r="I4893" s="347" t="s">
        <v>1303</v>
      </c>
      <c r="K4893" s="370"/>
      <c r="N4893" s="370"/>
    </row>
    <row r="4894" spans="1:14" s="347" customFormat="1" x14ac:dyDescent="0.25">
      <c r="A4894" s="369"/>
      <c r="E4894" s="396"/>
      <c r="F4894" s="396"/>
      <c r="G4894" s="396"/>
      <c r="K4894" s="370"/>
      <c r="N4894" s="370"/>
    </row>
    <row r="4895" spans="1:14" s="347" customFormat="1" x14ac:dyDescent="0.25">
      <c r="A4895" s="369">
        <v>44445</v>
      </c>
      <c r="B4895" s="340">
        <f>+MONTH(A4895)</f>
        <v>9</v>
      </c>
      <c r="C4895" s="347">
        <v>110</v>
      </c>
      <c r="D4895" s="340" t="str">
        <f>VLOOKUP(C4895,Plan!A$1:B$65542,2,0)</f>
        <v>Disponible Administración</v>
      </c>
      <c r="E4895" s="341">
        <f>+F4895-G4895</f>
        <v>20000</v>
      </c>
      <c r="F4895" s="396">
        <v>20000</v>
      </c>
      <c r="G4895" s="396">
        <v>0</v>
      </c>
      <c r="H4895" s="370" t="s">
        <v>2033</v>
      </c>
      <c r="I4895" s="347" t="s">
        <v>1303</v>
      </c>
      <c r="K4895" s="370"/>
      <c r="N4895" s="370"/>
    </row>
    <row r="4896" spans="1:14" s="347" customFormat="1" x14ac:dyDescent="0.25">
      <c r="A4896" s="369">
        <f>+A4895</f>
        <v>44445</v>
      </c>
      <c r="B4896" s="347">
        <f>+B4895</f>
        <v>9</v>
      </c>
      <c r="C4896" s="347">
        <v>3110</v>
      </c>
      <c r="D4896" s="340" t="str">
        <f>VLOOKUP(C4896,Plan!A$1:B$65542,2,0)</f>
        <v>Colectas Normales</v>
      </c>
      <c r="E4896" s="341">
        <f>+F4896-G4896</f>
        <v>-20000</v>
      </c>
      <c r="F4896" s="396">
        <v>0</v>
      </c>
      <c r="G4896" s="396">
        <f>+F4895</f>
        <v>20000</v>
      </c>
      <c r="H4896" t="str">
        <f>+H4895</f>
        <v>Colecta Nancy Valenzuela</v>
      </c>
      <c r="I4896" s="347" t="s">
        <v>1303</v>
      </c>
      <c r="K4896" s="370"/>
      <c r="N4896" s="370"/>
    </row>
    <row r="4897" spans="1:14" s="347" customFormat="1" x14ac:dyDescent="0.25">
      <c r="A4897" s="369"/>
      <c r="E4897" s="396"/>
      <c r="F4897" s="396"/>
      <c r="G4897" s="396"/>
      <c r="K4897" s="370"/>
      <c r="N4897" s="370"/>
    </row>
    <row r="4898" spans="1:14" s="347" customFormat="1" x14ac:dyDescent="0.25">
      <c r="A4898" s="369">
        <v>44445</v>
      </c>
      <c r="B4898" s="340">
        <f>+MONTH(A4898)</f>
        <v>9</v>
      </c>
      <c r="C4898" s="347">
        <v>110</v>
      </c>
      <c r="D4898" s="340" t="str">
        <f>VLOOKUP(C4898,Plan!A$1:B$65542,2,0)</f>
        <v>Disponible Administración</v>
      </c>
      <c r="E4898" s="341">
        <f>+F4898-G4898</f>
        <v>20000</v>
      </c>
      <c r="F4898" s="396">
        <v>20000</v>
      </c>
      <c r="G4898" s="396">
        <v>0</v>
      </c>
      <c r="H4898" s="370" t="s">
        <v>2034</v>
      </c>
      <c r="I4898" s="347" t="s">
        <v>1303</v>
      </c>
      <c r="K4898" s="370"/>
      <c r="N4898" s="370"/>
    </row>
    <row r="4899" spans="1:14" s="347" customFormat="1" x14ac:dyDescent="0.25">
      <c r="A4899" s="369">
        <f>+A4898</f>
        <v>44445</v>
      </c>
      <c r="B4899" s="347">
        <f>+B4898</f>
        <v>9</v>
      </c>
      <c r="C4899" s="347">
        <v>3110</v>
      </c>
      <c r="D4899" s="340" t="str">
        <f>VLOOKUP(C4899,Plan!A$1:B$65542,2,0)</f>
        <v>Colectas Normales</v>
      </c>
      <c r="E4899" s="341">
        <f>+F4899-G4899</f>
        <v>-20000</v>
      </c>
      <c r="F4899" s="396">
        <v>0</v>
      </c>
      <c r="G4899" s="396">
        <f>+F4898</f>
        <v>20000</v>
      </c>
      <c r="H4899" t="str">
        <f>+H4898</f>
        <v>Colecta Jaime Valdes D.</v>
      </c>
      <c r="I4899" s="347" t="s">
        <v>1303</v>
      </c>
      <c r="K4899" s="370"/>
      <c r="N4899" s="370"/>
    </row>
    <row r="4900" spans="1:14" s="347" customFormat="1" x14ac:dyDescent="0.25">
      <c r="A4900" s="369"/>
      <c r="E4900" s="396"/>
      <c r="F4900" s="396"/>
      <c r="G4900" s="396"/>
      <c r="K4900" s="370"/>
      <c r="N4900" s="370"/>
    </row>
    <row r="4901" spans="1:14" s="347" customFormat="1" x14ac:dyDescent="0.25">
      <c r="A4901" s="369">
        <v>44445</v>
      </c>
      <c r="B4901" s="340">
        <f>+MONTH(A4901)</f>
        <v>9</v>
      </c>
      <c r="C4901" s="347">
        <v>110</v>
      </c>
      <c r="D4901" s="340" t="str">
        <f>VLOOKUP(C4901,Plan!A$1:B$65542,2,0)</f>
        <v>Disponible Administración</v>
      </c>
      <c r="E4901" s="341">
        <f>+F4901-G4901</f>
        <v>40000</v>
      </c>
      <c r="F4901" s="396">
        <v>40000</v>
      </c>
      <c r="G4901" s="396">
        <v>0</v>
      </c>
      <c r="H4901" s="370" t="s">
        <v>2035</v>
      </c>
      <c r="I4901" s="347" t="s">
        <v>1303</v>
      </c>
      <c r="K4901" s="370"/>
      <c r="N4901" s="370"/>
    </row>
    <row r="4902" spans="1:14" s="347" customFormat="1" x14ac:dyDescent="0.25">
      <c r="A4902" s="369">
        <f>+A4901</f>
        <v>44445</v>
      </c>
      <c r="B4902" s="347">
        <f>+B4901</f>
        <v>9</v>
      </c>
      <c r="C4902" s="347">
        <v>3110</v>
      </c>
      <c r="D4902" s="340" t="str">
        <f>VLOOKUP(C4902,Plan!A$1:B$65542,2,0)</f>
        <v>Colectas Normales</v>
      </c>
      <c r="E4902" s="341">
        <f>+F4902-G4902</f>
        <v>-40000</v>
      </c>
      <c r="F4902" s="396">
        <v>0</v>
      </c>
      <c r="G4902" s="396">
        <f>+F4901</f>
        <v>40000</v>
      </c>
      <c r="H4902" t="str">
        <f>+H4901</f>
        <v>Colecta Patricia Andres Lorca Koch</v>
      </c>
      <c r="I4902" s="347" t="s">
        <v>1303</v>
      </c>
      <c r="K4902" s="370"/>
      <c r="N4902" s="370"/>
    </row>
    <row r="4903" spans="1:14" s="347" customFormat="1" x14ac:dyDescent="0.25">
      <c r="A4903" s="369"/>
      <c r="E4903" s="396"/>
      <c r="F4903" s="396"/>
      <c r="G4903" s="396"/>
      <c r="K4903" s="370"/>
      <c r="N4903" s="370"/>
    </row>
    <row r="4904" spans="1:14" s="347" customFormat="1" x14ac:dyDescent="0.25">
      <c r="A4904" s="369">
        <v>44445</v>
      </c>
      <c r="B4904" s="340">
        <f>+MONTH(A4904)</f>
        <v>9</v>
      </c>
      <c r="C4904" s="347">
        <v>110</v>
      </c>
      <c r="D4904" s="340" t="str">
        <f>VLOOKUP(C4904,Plan!A$1:B$65542,2,0)</f>
        <v>Disponible Administración</v>
      </c>
      <c r="E4904" s="341">
        <f>+F4904-G4904</f>
        <v>40000</v>
      </c>
      <c r="F4904" s="396">
        <v>40000</v>
      </c>
      <c r="G4904" s="396">
        <v>0</v>
      </c>
      <c r="H4904" s="370" t="s">
        <v>2074</v>
      </c>
      <c r="I4904" s="347" t="s">
        <v>1303</v>
      </c>
      <c r="K4904" s="370"/>
      <c r="N4904" s="370"/>
    </row>
    <row r="4905" spans="1:14" s="347" customFormat="1" x14ac:dyDescent="0.25">
      <c r="A4905" s="369">
        <f>+A4904</f>
        <v>44445</v>
      </c>
      <c r="B4905" s="347">
        <f>+B4904</f>
        <v>9</v>
      </c>
      <c r="C4905" s="347">
        <v>3110</v>
      </c>
      <c r="D4905" s="340" t="str">
        <f>VLOOKUP(C4905,Plan!A$1:B$65542,2,0)</f>
        <v>Colectas Normales</v>
      </c>
      <c r="E4905" s="341">
        <f>+F4905-G4905</f>
        <v>-40000</v>
      </c>
      <c r="F4905" s="396">
        <v>0</v>
      </c>
      <c r="G4905" s="396">
        <f>+F4904</f>
        <v>40000</v>
      </c>
      <c r="H4905" t="str">
        <f>+H4904</f>
        <v>Colecta Claudia Ximena Peredo</v>
      </c>
      <c r="I4905" s="347" t="s">
        <v>1303</v>
      </c>
      <c r="K4905" s="370"/>
      <c r="N4905" s="370"/>
    </row>
    <row r="4906" spans="1:14" s="347" customFormat="1" x14ac:dyDescent="0.25">
      <c r="A4906" s="369"/>
      <c r="E4906" s="396"/>
      <c r="F4906" s="396"/>
      <c r="G4906" s="396"/>
      <c r="K4906" s="370"/>
      <c r="N4906" s="370"/>
    </row>
    <row r="4907" spans="1:14" s="347" customFormat="1" x14ac:dyDescent="0.25">
      <c r="A4907" s="369">
        <v>44445</v>
      </c>
      <c r="B4907" s="340">
        <f>+MONTH(A4907)</f>
        <v>9</v>
      </c>
      <c r="C4907" s="347">
        <v>110</v>
      </c>
      <c r="D4907" s="340" t="str">
        <f>VLOOKUP(C4907,Plan!A$1:B$65542,2,0)</f>
        <v>Disponible Administración</v>
      </c>
      <c r="E4907" s="341">
        <f>+F4907-G4907</f>
        <v>15000</v>
      </c>
      <c r="F4907" s="396">
        <v>15000</v>
      </c>
      <c r="G4907" s="396">
        <v>0</v>
      </c>
      <c r="H4907" s="370" t="s">
        <v>1941</v>
      </c>
      <c r="I4907" s="347" t="s">
        <v>1303</v>
      </c>
      <c r="K4907" s="370"/>
      <c r="N4907" s="370"/>
    </row>
    <row r="4908" spans="1:14" s="347" customFormat="1" x14ac:dyDescent="0.25">
      <c r="A4908" s="369">
        <f>+A4907</f>
        <v>44445</v>
      </c>
      <c r="B4908" s="347">
        <f>+B4907</f>
        <v>9</v>
      </c>
      <c r="C4908" s="347">
        <v>3360</v>
      </c>
      <c r="D4908" s="340" t="str">
        <f>VLOOKUP(C4908,Plan!A$1:B$65542,2,0)</f>
        <v>Otros</v>
      </c>
      <c r="E4908" s="341">
        <f>+F4908-G4908</f>
        <v>-15000</v>
      </c>
      <c r="F4908" s="396">
        <v>0</v>
      </c>
      <c r="G4908" s="396">
        <f>+F4907</f>
        <v>15000</v>
      </c>
      <c r="H4908" t="str">
        <f>+H4907</f>
        <v>Curso Vivian Edith Araya Jofre</v>
      </c>
      <c r="I4908" s="347" t="s">
        <v>1303</v>
      </c>
      <c r="K4908" s="370"/>
      <c r="N4908" s="370"/>
    </row>
    <row r="4909" spans="1:14" s="347" customFormat="1" x14ac:dyDescent="0.25">
      <c r="A4909" s="369"/>
      <c r="E4909" s="396"/>
      <c r="F4909" s="396"/>
      <c r="G4909" s="396"/>
      <c r="K4909" s="370"/>
      <c r="N4909" s="370"/>
    </row>
    <row r="4910" spans="1:14" s="347" customFormat="1" x14ac:dyDescent="0.25">
      <c r="A4910" s="369">
        <v>44445</v>
      </c>
      <c r="B4910" s="340">
        <f>+MONTH(A4910)</f>
        <v>9</v>
      </c>
      <c r="C4910" s="347">
        <v>110</v>
      </c>
      <c r="D4910" s="340" t="str">
        <f>VLOOKUP(C4910,Plan!A$1:B$65542,2,0)</f>
        <v>Disponible Administración</v>
      </c>
      <c r="E4910" s="341">
        <f>+F4910-G4910</f>
        <v>25000</v>
      </c>
      <c r="F4910" s="396">
        <v>25000</v>
      </c>
      <c r="G4910" s="396">
        <v>0</v>
      </c>
      <c r="H4910" s="370" t="s">
        <v>2036</v>
      </c>
      <c r="I4910" s="347" t="s">
        <v>1303</v>
      </c>
      <c r="K4910" s="370"/>
      <c r="N4910" s="370"/>
    </row>
    <row r="4911" spans="1:14" s="347" customFormat="1" x14ac:dyDescent="0.25">
      <c r="A4911" s="369">
        <f>+A4910</f>
        <v>44445</v>
      </c>
      <c r="B4911" s="347">
        <f>+B4910</f>
        <v>9</v>
      </c>
      <c r="C4911" s="347">
        <v>3110</v>
      </c>
      <c r="D4911" s="340" t="str">
        <f>VLOOKUP(C4911,Plan!A$1:B$65542,2,0)</f>
        <v>Colectas Normales</v>
      </c>
      <c r="E4911" s="341">
        <f>+F4911-G4911</f>
        <v>-25000</v>
      </c>
      <c r="F4911" s="396">
        <v>0</v>
      </c>
      <c r="G4911" s="396">
        <f>+F4910</f>
        <v>25000</v>
      </c>
      <c r="H4911" t="str">
        <f>+H4910</f>
        <v>Colecta Eduardo Calvimontes</v>
      </c>
      <c r="I4911" s="347" t="s">
        <v>1303</v>
      </c>
      <c r="K4911" s="370"/>
      <c r="N4911" s="370"/>
    </row>
    <row r="4912" spans="1:14" s="347" customFormat="1" x14ac:dyDescent="0.25">
      <c r="A4912" s="369"/>
      <c r="E4912" s="396"/>
      <c r="F4912" s="396"/>
      <c r="G4912" s="396"/>
      <c r="K4912" s="370"/>
      <c r="N4912" s="370"/>
    </row>
    <row r="4913" spans="1:14" s="347" customFormat="1" x14ac:dyDescent="0.25">
      <c r="A4913" s="369">
        <v>44445</v>
      </c>
      <c r="B4913" s="340">
        <f>+MONTH(A4913)</f>
        <v>9</v>
      </c>
      <c r="C4913" s="347">
        <v>110</v>
      </c>
      <c r="D4913" s="340" t="str">
        <f>VLOOKUP(C4913,Plan!A$1:B$65542,2,0)</f>
        <v>Disponible Administración</v>
      </c>
      <c r="E4913" s="341">
        <f>+F4913-G4913</f>
        <v>20000</v>
      </c>
      <c r="F4913" s="396">
        <v>20000</v>
      </c>
      <c r="G4913" s="396">
        <v>0</v>
      </c>
      <c r="H4913" s="370" t="s">
        <v>1457</v>
      </c>
      <c r="I4913" s="347" t="s">
        <v>1303</v>
      </c>
      <c r="K4913" s="370"/>
      <c r="N4913" s="370"/>
    </row>
    <row r="4914" spans="1:14" s="347" customFormat="1" x14ac:dyDescent="0.25">
      <c r="A4914" s="369">
        <f>+A4913</f>
        <v>44445</v>
      </c>
      <c r="B4914" s="347">
        <f>+B4913</f>
        <v>9</v>
      </c>
      <c r="C4914" s="347">
        <v>215</v>
      </c>
      <c r="D4914" s="340" t="str">
        <f>VLOOKUP(C4914,Plan!A$1:B$65542,2,0)</f>
        <v>Cuenta por Pagar a Cali</v>
      </c>
      <c r="E4914" s="341">
        <f>+F4914-G4914</f>
        <v>-20000</v>
      </c>
      <c r="F4914" s="396">
        <v>0</v>
      </c>
      <c r="G4914" s="396">
        <f>+F4913</f>
        <v>20000</v>
      </c>
      <c r="H4914" t="str">
        <f>+H4913</f>
        <v>Eduardo Calvimontes Candia/Azul</v>
      </c>
      <c r="I4914" s="347" t="s">
        <v>1303</v>
      </c>
      <c r="K4914" s="370"/>
      <c r="N4914" s="370"/>
    </row>
    <row r="4915" spans="1:14" s="347" customFormat="1" x14ac:dyDescent="0.25">
      <c r="A4915" s="369"/>
      <c r="E4915" s="396"/>
      <c r="F4915" s="396"/>
      <c r="G4915" s="396"/>
      <c r="K4915" s="370"/>
      <c r="N4915" s="370"/>
    </row>
    <row r="4916" spans="1:14" s="347" customFormat="1" x14ac:dyDescent="0.25">
      <c r="A4916" s="369">
        <v>44445</v>
      </c>
      <c r="B4916" s="340">
        <f>+MONTH(A4916)</f>
        <v>9</v>
      </c>
      <c r="C4916" s="347">
        <v>110</v>
      </c>
      <c r="D4916" s="340" t="str">
        <f>VLOOKUP(C4916,Plan!A$1:B$65542,2,0)</f>
        <v>Disponible Administración</v>
      </c>
      <c r="E4916" s="341">
        <f>+F4916-G4916</f>
        <v>21000</v>
      </c>
      <c r="F4916" s="396">
        <v>21000</v>
      </c>
      <c r="G4916" s="396">
        <v>0</v>
      </c>
      <c r="H4916" s="370" t="s">
        <v>1938</v>
      </c>
      <c r="I4916" s="347" t="s">
        <v>1303</v>
      </c>
      <c r="K4916" s="370"/>
      <c r="N4916" s="370"/>
    </row>
    <row r="4917" spans="1:14" s="347" customFormat="1" x14ac:dyDescent="0.25">
      <c r="A4917" s="369">
        <f>+A4916</f>
        <v>44445</v>
      </c>
      <c r="B4917" s="347">
        <f>+B4916</f>
        <v>9</v>
      </c>
      <c r="C4917" s="347">
        <v>215</v>
      </c>
      <c r="D4917" s="340" t="str">
        <f>VLOOKUP(C4917,Plan!A$1:B$65542,2,0)</f>
        <v>Cuenta por Pagar a Cali</v>
      </c>
      <c r="E4917" s="341">
        <f>+F4917-G4917</f>
        <v>-21000</v>
      </c>
      <c r="F4917" s="396">
        <v>0</v>
      </c>
      <c r="G4917" s="396">
        <f>+F4916</f>
        <v>21000</v>
      </c>
      <c r="H4917" t="str">
        <f>+H4916</f>
        <v>María Cristina Herrera Peralta/248</v>
      </c>
      <c r="I4917" s="347" t="s">
        <v>1303</v>
      </c>
      <c r="K4917" s="370"/>
      <c r="N4917" s="370"/>
    </row>
    <row r="4918" spans="1:14" s="347" customFormat="1" x14ac:dyDescent="0.25">
      <c r="A4918" s="369"/>
      <c r="E4918" s="396"/>
      <c r="F4918" s="396"/>
      <c r="G4918" s="396"/>
      <c r="K4918" s="370"/>
      <c r="N4918" s="370"/>
    </row>
    <row r="4919" spans="1:14" s="347" customFormat="1" x14ac:dyDescent="0.25">
      <c r="A4919" s="369">
        <v>44445</v>
      </c>
      <c r="B4919" s="340">
        <f>+MONTH(A4919)</f>
        <v>9</v>
      </c>
      <c r="C4919" s="347">
        <v>110</v>
      </c>
      <c r="D4919" s="340" t="str">
        <f>VLOOKUP(C4919,Plan!A$1:B$65542,2,0)</f>
        <v>Disponible Administración</v>
      </c>
      <c r="E4919" s="341">
        <f>+F4919-G4919</f>
        <v>2000</v>
      </c>
      <c r="F4919" s="396">
        <v>2000</v>
      </c>
      <c r="G4919" s="396">
        <v>0</v>
      </c>
      <c r="H4919" s="370" t="s">
        <v>1216</v>
      </c>
      <c r="I4919" s="347" t="s">
        <v>1303</v>
      </c>
      <c r="K4919" s="370"/>
      <c r="N4919" s="370"/>
    </row>
    <row r="4920" spans="1:14" s="347" customFormat="1" x14ac:dyDescent="0.25">
      <c r="A4920" s="369">
        <f>+A4919</f>
        <v>44445</v>
      </c>
      <c r="B4920" s="347">
        <f>+B4919</f>
        <v>9</v>
      </c>
      <c r="C4920" s="347">
        <v>3110</v>
      </c>
      <c r="D4920" s="340" t="str">
        <f>VLOOKUP(C4920,Plan!A$1:B$65542,2,0)</f>
        <v>Colectas Normales</v>
      </c>
      <c r="E4920" s="341">
        <f>+F4920-G4920</f>
        <v>-2000</v>
      </c>
      <c r="F4920" s="396">
        <v>0</v>
      </c>
      <c r="G4920" s="396">
        <f>+F4919</f>
        <v>2000</v>
      </c>
      <c r="H4920" t="str">
        <f>+H4919</f>
        <v>Colecta Trinidad Barriga Cruzat</v>
      </c>
      <c r="I4920" s="347" t="s">
        <v>1303</v>
      </c>
      <c r="K4920" s="370"/>
      <c r="N4920" s="370"/>
    </row>
    <row r="4921" spans="1:14" s="347" customFormat="1" x14ac:dyDescent="0.25">
      <c r="A4921" s="369"/>
      <c r="E4921" s="396"/>
      <c r="F4921" s="396"/>
      <c r="G4921" s="396"/>
      <c r="K4921" s="370"/>
      <c r="N4921" s="370"/>
    </row>
    <row r="4922" spans="1:14" s="347" customFormat="1" x14ac:dyDescent="0.25">
      <c r="A4922" s="369">
        <v>44445</v>
      </c>
      <c r="B4922" s="340">
        <f>+MONTH(A4922)</f>
        <v>9</v>
      </c>
      <c r="C4922" s="347">
        <v>110</v>
      </c>
      <c r="D4922" s="340" t="str">
        <f>VLOOKUP(C4922,Plan!A$1:B$65542,2,0)</f>
        <v>Disponible Administración</v>
      </c>
      <c r="E4922" s="341">
        <f>+F4922-G4922</f>
        <v>3000</v>
      </c>
      <c r="F4922" s="396">
        <v>3000</v>
      </c>
      <c r="G4922" s="396">
        <v>0</v>
      </c>
      <c r="H4922" s="370" t="s">
        <v>1584</v>
      </c>
      <c r="I4922" s="347" t="s">
        <v>1303</v>
      </c>
      <c r="K4922" s="370"/>
      <c r="N4922" s="370"/>
    </row>
    <row r="4923" spans="1:14" s="347" customFormat="1" x14ac:dyDescent="0.25">
      <c r="A4923" s="369">
        <f>+A4922</f>
        <v>44445</v>
      </c>
      <c r="B4923" s="347">
        <f>+B4922</f>
        <v>9</v>
      </c>
      <c r="C4923" s="347">
        <v>3110</v>
      </c>
      <c r="D4923" s="340" t="str">
        <f>VLOOKUP(C4923,Plan!A$1:B$65542,2,0)</f>
        <v>Colectas Normales</v>
      </c>
      <c r="E4923" s="341">
        <f>+F4923-G4923</f>
        <v>-3000</v>
      </c>
      <c r="F4923" s="396">
        <v>0</v>
      </c>
      <c r="G4923" s="396">
        <f>+F4922</f>
        <v>3000</v>
      </c>
      <c r="H4923" t="str">
        <f>+H4922</f>
        <v>Colecta Jose Miguel Perez de Castro Z.</v>
      </c>
      <c r="I4923" s="347" t="s">
        <v>1303</v>
      </c>
      <c r="K4923" s="370"/>
      <c r="N4923" s="370"/>
    </row>
    <row r="4924" spans="1:14" s="347" customFormat="1" x14ac:dyDescent="0.25">
      <c r="A4924" s="369"/>
      <c r="E4924" s="396"/>
      <c r="F4924" s="396"/>
      <c r="G4924" s="396"/>
      <c r="K4924" s="370"/>
      <c r="N4924" s="370"/>
    </row>
    <row r="4925" spans="1:14" s="347" customFormat="1" x14ac:dyDescent="0.25">
      <c r="A4925" s="369">
        <v>44442</v>
      </c>
      <c r="B4925" s="340">
        <f>+MONTH(A4925)</f>
        <v>9</v>
      </c>
      <c r="C4925" s="347">
        <v>110</v>
      </c>
      <c r="D4925" s="340" t="str">
        <f>VLOOKUP(C4925,Plan!A$1:B$65542,2,0)</f>
        <v>Disponible Administración</v>
      </c>
      <c r="E4925" s="341">
        <f>+F4925-G4925</f>
        <v>59199</v>
      </c>
      <c r="F4925" s="396">
        <v>59199</v>
      </c>
      <c r="G4925" s="396">
        <v>0</v>
      </c>
      <c r="H4925" s="370" t="s">
        <v>897</v>
      </c>
      <c r="I4925" s="347" t="s">
        <v>1303</v>
      </c>
      <c r="K4925" s="370"/>
      <c r="N4925" s="370"/>
    </row>
    <row r="4926" spans="1:14" s="347" customFormat="1" x14ac:dyDescent="0.25">
      <c r="A4926" s="369">
        <f>+A4925</f>
        <v>44442</v>
      </c>
      <c r="B4926" s="347">
        <f>+B4925</f>
        <v>9</v>
      </c>
      <c r="C4926" s="347">
        <v>3110</v>
      </c>
      <c r="D4926" s="340" t="str">
        <f>VLOOKUP(C4926,Plan!A$1:B$65542,2,0)</f>
        <v>Colectas Normales</v>
      </c>
      <c r="E4926" s="341">
        <f>+F4926-G4926</f>
        <v>-59199</v>
      </c>
      <c r="F4926" s="396">
        <v>0</v>
      </c>
      <c r="G4926" s="396">
        <f>+F4925</f>
        <v>59199</v>
      </c>
      <c r="H4926" t="str">
        <f>+H4925</f>
        <v>Colecta DCT</v>
      </c>
      <c r="I4926" s="347" t="s">
        <v>1303</v>
      </c>
      <c r="K4926" s="370"/>
      <c r="N4926" s="370"/>
    </row>
    <row r="4927" spans="1:14" s="347" customFormat="1" x14ac:dyDescent="0.25">
      <c r="A4927" s="369"/>
      <c r="E4927" s="396"/>
      <c r="F4927" s="396"/>
      <c r="G4927" s="396"/>
      <c r="K4927" s="370"/>
      <c r="N4927" s="370"/>
    </row>
    <row r="4928" spans="1:14" s="347" customFormat="1" x14ac:dyDescent="0.25">
      <c r="A4928" s="369">
        <v>44445</v>
      </c>
      <c r="B4928" s="340">
        <f>+MONTH(A4928)</f>
        <v>9</v>
      </c>
      <c r="C4928" s="347">
        <v>4860</v>
      </c>
      <c r="D4928" s="340" t="str">
        <f>VLOOKUP(C4928,Plan!A$1:B$65542,2,0)</f>
        <v>Otros</v>
      </c>
      <c r="E4928" s="341">
        <f>+F4928-G4928</f>
        <v>21357</v>
      </c>
      <c r="F4928" s="396">
        <v>21357</v>
      </c>
      <c r="G4928" s="396">
        <v>0</v>
      </c>
      <c r="H4928" s="370" t="s">
        <v>2037</v>
      </c>
      <c r="I4928" s="347" t="s">
        <v>1303</v>
      </c>
      <c r="K4928" s="370"/>
      <c r="N4928" s="370"/>
    </row>
    <row r="4929" spans="1:14" s="347" customFormat="1" x14ac:dyDescent="0.25">
      <c r="A4929" s="369">
        <f>+A4928</f>
        <v>44445</v>
      </c>
      <c r="B4929" s="347">
        <f>+B4928</f>
        <v>9</v>
      </c>
      <c r="C4929" s="347">
        <v>110</v>
      </c>
      <c r="D4929" s="340" t="str">
        <f>VLOOKUP(C4929,Plan!A$1:B$65542,2,0)</f>
        <v>Disponible Administración</v>
      </c>
      <c r="E4929" s="341">
        <f>+F4929-G4929</f>
        <v>-21357</v>
      </c>
      <c r="F4929" s="396">
        <v>0</v>
      </c>
      <c r="G4929" s="396">
        <f>+F4928</f>
        <v>21357</v>
      </c>
      <c r="H4929" t="str">
        <f>+H4928</f>
        <v>CARGO POS</v>
      </c>
      <c r="I4929" s="347" t="s">
        <v>1303</v>
      </c>
      <c r="K4929" s="370"/>
      <c r="N4929" s="370"/>
    </row>
    <row r="4930" spans="1:14" s="347" customFormat="1" x14ac:dyDescent="0.25">
      <c r="A4930" s="369"/>
      <c r="E4930" s="396"/>
      <c r="F4930" s="396"/>
      <c r="G4930" s="396"/>
      <c r="K4930" s="370"/>
      <c r="N4930" s="370"/>
    </row>
    <row r="4931" spans="1:14" s="347" customFormat="1" x14ac:dyDescent="0.25">
      <c r="A4931" s="369">
        <v>44445</v>
      </c>
      <c r="B4931" s="340">
        <f>+MONTH(A4931)</f>
        <v>9</v>
      </c>
      <c r="C4931" s="347">
        <v>110</v>
      </c>
      <c r="D4931" s="340" t="str">
        <f>VLOOKUP(C4931,Plan!A$1:B$65542,2,0)</f>
        <v>Disponible Administración</v>
      </c>
      <c r="E4931" s="341">
        <f>+F4931-G4931</f>
        <v>8000</v>
      </c>
      <c r="F4931" s="396">
        <v>8000</v>
      </c>
      <c r="G4931" s="396">
        <v>0</v>
      </c>
      <c r="H4931" s="370" t="s">
        <v>1549</v>
      </c>
      <c r="I4931" s="347" t="s">
        <v>1303</v>
      </c>
      <c r="K4931" s="370"/>
      <c r="N4931" s="370"/>
    </row>
    <row r="4932" spans="1:14" s="347" customFormat="1" x14ac:dyDescent="0.25">
      <c r="A4932" s="369">
        <f>+A4931</f>
        <v>44445</v>
      </c>
      <c r="B4932" s="347">
        <f>+B4931</f>
        <v>9</v>
      </c>
      <c r="C4932" s="347">
        <v>3350</v>
      </c>
      <c r="D4932" s="340" t="str">
        <f>VLOOKUP(C4932,Plan!A$1:B$65542,2,0)</f>
        <v>Bautizos</v>
      </c>
      <c r="E4932" s="341">
        <f>+F4932-G4932</f>
        <v>-8000</v>
      </c>
      <c r="F4932" s="396">
        <v>0</v>
      </c>
      <c r="G4932" s="396">
        <f>+F4931</f>
        <v>8000</v>
      </c>
      <c r="H4932" t="str">
        <f>+H4931</f>
        <v>Bautizo</v>
      </c>
      <c r="I4932" s="347" t="s">
        <v>1303</v>
      </c>
      <c r="K4932" s="370"/>
      <c r="N4932" s="370"/>
    </row>
    <row r="4933" spans="1:14" s="347" customFormat="1" x14ac:dyDescent="0.25">
      <c r="A4933" s="369"/>
      <c r="E4933" s="396"/>
      <c r="F4933" s="396"/>
      <c r="G4933" s="396"/>
      <c r="K4933" s="370"/>
      <c r="N4933" s="370"/>
    </row>
    <row r="4934" spans="1:14" s="347" customFormat="1" x14ac:dyDescent="0.25">
      <c r="A4934" s="369">
        <v>44445</v>
      </c>
      <c r="B4934" s="340">
        <f>+MONTH(A4934)</f>
        <v>9</v>
      </c>
      <c r="C4934" s="347">
        <v>110</v>
      </c>
      <c r="D4934" s="340" t="str">
        <f>VLOOKUP(C4934,Plan!A$1:B$65542,2,0)</f>
        <v>Disponible Administración</v>
      </c>
      <c r="E4934" s="341">
        <f>+F4934-G4934</f>
        <v>10000</v>
      </c>
      <c r="F4934" s="396">
        <v>10000</v>
      </c>
      <c r="G4934" s="396">
        <v>0</v>
      </c>
      <c r="H4934" s="370" t="s">
        <v>1410</v>
      </c>
      <c r="I4934" s="347" t="s">
        <v>1303</v>
      </c>
      <c r="K4934" s="370"/>
      <c r="N4934" s="370"/>
    </row>
    <row r="4935" spans="1:14" s="347" customFormat="1" x14ac:dyDescent="0.25">
      <c r="A4935" s="369">
        <f>+A4934</f>
        <v>44445</v>
      </c>
      <c r="B4935" s="347">
        <f>+B4934</f>
        <v>9</v>
      </c>
      <c r="C4935" s="347">
        <v>3110</v>
      </c>
      <c r="D4935" s="340" t="str">
        <f>VLOOKUP(C4935,Plan!A$1:B$65542,2,0)</f>
        <v>Colectas Normales</v>
      </c>
      <c r="E4935" s="341">
        <f>+F4935-G4935</f>
        <v>-10000</v>
      </c>
      <c r="F4935" s="396">
        <v>0</v>
      </c>
      <c r="G4935" s="396">
        <f>+F4934</f>
        <v>10000</v>
      </c>
      <c r="H4935" t="str">
        <f>+H4934</f>
        <v>Colecta Col. Cordillera</v>
      </c>
      <c r="I4935" s="347" t="s">
        <v>1303</v>
      </c>
      <c r="K4935" s="370"/>
      <c r="N4935" s="370"/>
    </row>
    <row r="4936" spans="1:14" s="347" customFormat="1" x14ac:dyDescent="0.25">
      <c r="A4936" s="369"/>
      <c r="E4936" s="396"/>
      <c r="F4936" s="396"/>
      <c r="G4936" s="396"/>
      <c r="K4936" s="370"/>
      <c r="N4936" s="370"/>
    </row>
    <row r="4937" spans="1:14" s="347" customFormat="1" x14ac:dyDescent="0.25">
      <c r="A4937" s="369">
        <v>44445</v>
      </c>
      <c r="B4937" s="340">
        <f>+MONTH(A4937)</f>
        <v>9</v>
      </c>
      <c r="C4937" s="347">
        <v>110</v>
      </c>
      <c r="D4937" s="340" t="str">
        <f>VLOOKUP(C4937,Plan!A$1:B$65542,2,0)</f>
        <v>Disponible Administración</v>
      </c>
      <c r="E4937" s="341">
        <f>+F4937-G4937</f>
        <v>485930</v>
      </c>
      <c r="F4937" s="396">
        <v>485930</v>
      </c>
      <c r="G4937" s="396">
        <v>0</v>
      </c>
      <c r="H4937" s="370" t="s">
        <v>1410</v>
      </c>
      <c r="I4937" s="347" t="s">
        <v>1303</v>
      </c>
      <c r="K4937" s="370"/>
      <c r="N4937" s="370"/>
    </row>
    <row r="4938" spans="1:14" s="347" customFormat="1" x14ac:dyDescent="0.25">
      <c r="A4938" s="369">
        <f>+A4937</f>
        <v>44445</v>
      </c>
      <c r="B4938" s="347">
        <f>+B4937</f>
        <v>9</v>
      </c>
      <c r="C4938" s="347">
        <v>3110</v>
      </c>
      <c r="D4938" s="340" t="str">
        <f>VLOOKUP(C4938,Plan!A$1:B$65542,2,0)</f>
        <v>Colectas Normales</v>
      </c>
      <c r="E4938" s="341">
        <f>+F4938-G4938</f>
        <v>-485930</v>
      </c>
      <c r="F4938" s="396">
        <v>0</v>
      </c>
      <c r="G4938" s="396">
        <f>+F4937</f>
        <v>485930</v>
      </c>
      <c r="H4938" t="str">
        <f>+H4937</f>
        <v>Colecta Col. Cordillera</v>
      </c>
      <c r="I4938" s="347" t="s">
        <v>1303</v>
      </c>
      <c r="K4938" s="370"/>
      <c r="N4938" s="370"/>
    </row>
    <row r="4939" spans="1:14" s="347" customFormat="1" x14ac:dyDescent="0.25">
      <c r="A4939" s="369"/>
      <c r="E4939" s="396"/>
      <c r="F4939" s="396"/>
      <c r="G4939" s="396"/>
      <c r="K4939" s="370"/>
      <c r="N4939" s="370"/>
    </row>
    <row r="4940" spans="1:14" s="347" customFormat="1" x14ac:dyDescent="0.25">
      <c r="A4940" s="369">
        <v>44446</v>
      </c>
      <c r="B4940" s="340">
        <f>+MONTH(A4940)</f>
        <v>9</v>
      </c>
      <c r="C4940" s="347">
        <v>110</v>
      </c>
      <c r="D4940" s="340" t="str">
        <f>VLOOKUP(C4940,Plan!A$1:B$65542,2,0)</f>
        <v>Disponible Administración</v>
      </c>
      <c r="E4940" s="341">
        <f>+F4940-G4940</f>
        <v>15000</v>
      </c>
      <c r="F4940" s="396">
        <v>15000</v>
      </c>
      <c r="G4940" s="396">
        <v>0</v>
      </c>
      <c r="H4940" s="370" t="s">
        <v>688</v>
      </c>
      <c r="I4940" s="347" t="s">
        <v>1303</v>
      </c>
      <c r="K4940" s="370"/>
      <c r="N4940" s="370"/>
    </row>
    <row r="4941" spans="1:14" s="347" customFormat="1" x14ac:dyDescent="0.25">
      <c r="A4941" s="369">
        <f>+A4940</f>
        <v>44446</v>
      </c>
      <c r="B4941" s="347">
        <f>+B4940</f>
        <v>9</v>
      </c>
      <c r="C4941" s="347">
        <v>215</v>
      </c>
      <c r="D4941" s="340" t="str">
        <f>VLOOKUP(C4941,Plan!A$1:B$65542,2,0)</f>
        <v>Cuenta por Pagar a Cali</v>
      </c>
      <c r="E4941" s="341">
        <f>+F4941-G4941</f>
        <v>-15000</v>
      </c>
      <c r="F4941" s="396">
        <v>0</v>
      </c>
      <c r="G4941" s="396">
        <f>+F4940</f>
        <v>15000</v>
      </c>
      <c r="H4941" t="str">
        <f>+H4940</f>
        <v>María Elena de Castro Espinosa/249</v>
      </c>
      <c r="I4941" s="347" t="s">
        <v>1303</v>
      </c>
      <c r="K4941" s="370"/>
      <c r="N4941" s="370"/>
    </row>
    <row r="4942" spans="1:14" s="347" customFormat="1" x14ac:dyDescent="0.25">
      <c r="A4942" s="369"/>
      <c r="E4942" s="396"/>
      <c r="F4942" s="396"/>
      <c r="G4942" s="396"/>
      <c r="K4942" s="370"/>
      <c r="N4942" s="370"/>
    </row>
    <row r="4943" spans="1:14" s="347" customFormat="1" x14ac:dyDescent="0.25">
      <c r="A4943" s="369">
        <v>44446</v>
      </c>
      <c r="B4943" s="340">
        <f>+MONTH(A4943)</f>
        <v>9</v>
      </c>
      <c r="C4943" s="347">
        <v>110</v>
      </c>
      <c r="D4943" s="340" t="str">
        <f>VLOOKUP(C4943,Plan!A$1:B$65542,2,0)</f>
        <v>Disponible Administración</v>
      </c>
      <c r="E4943" s="341">
        <f>+F4943-G4943</f>
        <v>15000</v>
      </c>
      <c r="F4943" s="396">
        <v>15000</v>
      </c>
      <c r="G4943" s="396">
        <v>0</v>
      </c>
      <c r="H4943" s="370" t="s">
        <v>1318</v>
      </c>
      <c r="I4943" s="347" t="s">
        <v>1303</v>
      </c>
      <c r="K4943" s="370"/>
      <c r="N4943" s="370"/>
    </row>
    <row r="4944" spans="1:14" s="347" customFormat="1" x14ac:dyDescent="0.25">
      <c r="A4944" s="369">
        <f>+A4943</f>
        <v>44446</v>
      </c>
      <c r="B4944" s="347">
        <f>+B4943</f>
        <v>9</v>
      </c>
      <c r="C4944" s="347">
        <v>3110</v>
      </c>
      <c r="D4944" s="340" t="str">
        <f>VLOOKUP(C4944,Plan!A$1:B$65542,2,0)</f>
        <v>Colectas Normales</v>
      </c>
      <c r="E4944" s="341">
        <f>+F4944-G4944</f>
        <v>-15000</v>
      </c>
      <c r="F4944" s="396">
        <v>0</v>
      </c>
      <c r="G4944" s="396">
        <f>+F4943</f>
        <v>15000</v>
      </c>
      <c r="H4944" t="str">
        <f>+H4943</f>
        <v>Colecta Jaime Andres Court Viviani</v>
      </c>
      <c r="I4944" s="347" t="s">
        <v>1303</v>
      </c>
      <c r="K4944" s="370"/>
      <c r="N4944" s="370"/>
    </row>
    <row r="4945" spans="1:14" s="347" customFormat="1" x14ac:dyDescent="0.25">
      <c r="A4945" s="369"/>
      <c r="E4945" s="396"/>
      <c r="F4945" s="396"/>
      <c r="G4945" s="396"/>
      <c r="K4945" s="370"/>
      <c r="N4945" s="370"/>
    </row>
    <row r="4946" spans="1:14" s="347" customFormat="1" x14ac:dyDescent="0.25">
      <c r="A4946" s="369">
        <v>44446</v>
      </c>
      <c r="B4946" s="340">
        <f>+MONTH(A4946)</f>
        <v>9</v>
      </c>
      <c r="C4946" s="347">
        <v>110</v>
      </c>
      <c r="D4946" s="340" t="str">
        <f>VLOOKUP(C4946,Plan!A$1:B$65542,2,0)</f>
        <v>Disponible Administración</v>
      </c>
      <c r="E4946" s="341">
        <f>+F4946-G4946</f>
        <v>30000</v>
      </c>
      <c r="F4946" s="396">
        <v>30000</v>
      </c>
      <c r="G4946" s="396">
        <v>0</v>
      </c>
      <c r="H4946" s="370" t="s">
        <v>737</v>
      </c>
      <c r="I4946" s="347" t="s">
        <v>1303</v>
      </c>
      <c r="K4946" s="370"/>
      <c r="N4946" s="370"/>
    </row>
    <row r="4947" spans="1:14" s="347" customFormat="1" x14ac:dyDescent="0.25">
      <c r="A4947" s="369">
        <f>+A4946</f>
        <v>44446</v>
      </c>
      <c r="B4947" s="347">
        <f>+B4946</f>
        <v>9</v>
      </c>
      <c r="C4947" s="347">
        <v>215</v>
      </c>
      <c r="D4947" s="340" t="str">
        <f>VLOOKUP(C4947,Plan!A$1:B$65542,2,0)</f>
        <v>Cuenta por Pagar a Cali</v>
      </c>
      <c r="E4947" s="341">
        <f>+F4947-G4947</f>
        <v>-30000</v>
      </c>
      <c r="F4947" s="396">
        <v>0</v>
      </c>
      <c r="G4947" s="396">
        <f>+F4946</f>
        <v>30000</v>
      </c>
      <c r="H4947" t="str">
        <f>+H4946</f>
        <v>Jaime Andrés Court Viviani/249</v>
      </c>
      <c r="I4947" s="347" t="s">
        <v>1303</v>
      </c>
      <c r="K4947" s="370"/>
      <c r="N4947" s="370"/>
    </row>
    <row r="4948" spans="1:14" s="347" customFormat="1" x14ac:dyDescent="0.25">
      <c r="A4948" s="369"/>
      <c r="E4948" s="396"/>
      <c r="F4948" s="396"/>
      <c r="G4948" s="396"/>
      <c r="K4948" s="370"/>
      <c r="N4948" s="370"/>
    </row>
    <row r="4949" spans="1:14" s="347" customFormat="1" x14ac:dyDescent="0.25">
      <c r="A4949" s="369">
        <v>44446</v>
      </c>
      <c r="B4949" s="340">
        <f>+MONTH(A4949)</f>
        <v>9</v>
      </c>
      <c r="C4949" s="347">
        <v>110</v>
      </c>
      <c r="D4949" s="340" t="str">
        <f>VLOOKUP(C4949,Plan!A$1:B$65542,2,0)</f>
        <v>Disponible Administración</v>
      </c>
      <c r="E4949" s="341">
        <f>+F4949-G4949</f>
        <v>20000</v>
      </c>
      <c r="F4949" s="396">
        <v>20000</v>
      </c>
      <c r="G4949" s="396">
        <v>0</v>
      </c>
      <c r="H4949" s="370" t="s">
        <v>878</v>
      </c>
      <c r="I4949" s="347" t="s">
        <v>1303</v>
      </c>
      <c r="K4949" s="370"/>
      <c r="N4949" s="370"/>
    </row>
    <row r="4950" spans="1:14" s="347" customFormat="1" x14ac:dyDescent="0.25">
      <c r="A4950" s="369">
        <f>+A4949</f>
        <v>44446</v>
      </c>
      <c r="B4950" s="347">
        <f>+B4949</f>
        <v>9</v>
      </c>
      <c r="C4950" s="347">
        <v>3110</v>
      </c>
      <c r="D4950" s="340" t="str">
        <f>VLOOKUP(C4950,Plan!A$1:B$65542,2,0)</f>
        <v>Colectas Normales</v>
      </c>
      <c r="E4950" s="341">
        <f>+F4950-G4950</f>
        <v>-20000</v>
      </c>
      <c r="F4950" s="396">
        <v>0</v>
      </c>
      <c r="G4950" s="396">
        <f>+F4949</f>
        <v>20000</v>
      </c>
      <c r="H4950" t="str">
        <f>+H4949</f>
        <v>Colecta Olga Salinas Burgos</v>
      </c>
      <c r="I4950" s="347" t="s">
        <v>1303</v>
      </c>
      <c r="K4950" s="370"/>
      <c r="N4950" s="370"/>
    </row>
    <row r="4951" spans="1:14" s="347" customFormat="1" x14ac:dyDescent="0.25">
      <c r="A4951" s="369"/>
      <c r="E4951" s="396"/>
      <c r="F4951" s="396"/>
      <c r="G4951" s="396"/>
      <c r="K4951" s="370"/>
      <c r="N4951" s="370"/>
    </row>
    <row r="4952" spans="1:14" s="347" customFormat="1" x14ac:dyDescent="0.25">
      <c r="A4952" s="369">
        <v>44446</v>
      </c>
      <c r="B4952" s="340">
        <f>+MONTH(A4952)</f>
        <v>9</v>
      </c>
      <c r="C4952" s="347">
        <v>110</v>
      </c>
      <c r="D4952" s="340" t="str">
        <f>VLOOKUP(C4952,Plan!A$1:B$65542,2,0)</f>
        <v>Disponible Administración</v>
      </c>
      <c r="E4952" s="341">
        <f>+F4952-G4952</f>
        <v>10000</v>
      </c>
      <c r="F4952" s="396">
        <v>10000</v>
      </c>
      <c r="G4952" s="396">
        <v>0</v>
      </c>
      <c r="H4952" s="370" t="s">
        <v>1398</v>
      </c>
      <c r="I4952" s="347" t="s">
        <v>1303</v>
      </c>
      <c r="K4952" s="370"/>
      <c r="N4952" s="370"/>
    </row>
    <row r="4953" spans="1:14" s="347" customFormat="1" x14ac:dyDescent="0.25">
      <c r="A4953" s="369">
        <f>+A4952</f>
        <v>44446</v>
      </c>
      <c r="B4953" s="347">
        <f>+B4952</f>
        <v>9</v>
      </c>
      <c r="C4953" s="347">
        <v>3110</v>
      </c>
      <c r="D4953" s="340" t="str">
        <f>VLOOKUP(C4953,Plan!A$1:B$65542,2,0)</f>
        <v>Colectas Normales</v>
      </c>
      <c r="E4953" s="341">
        <f>+F4953-G4953</f>
        <v>-10000</v>
      </c>
      <c r="F4953" s="396">
        <v>0</v>
      </c>
      <c r="G4953" s="396">
        <f>+F4952</f>
        <v>10000</v>
      </c>
      <c r="H4953" t="str">
        <f>+H4952</f>
        <v>Colecta Maria Fca. Llona</v>
      </c>
      <c r="I4953" s="347" t="s">
        <v>1303</v>
      </c>
      <c r="K4953" s="370"/>
      <c r="N4953" s="370"/>
    </row>
    <row r="4954" spans="1:14" s="347" customFormat="1" x14ac:dyDescent="0.25">
      <c r="A4954" s="369"/>
      <c r="E4954" s="396"/>
      <c r="F4954" s="396"/>
      <c r="G4954" s="396"/>
      <c r="K4954" s="370"/>
      <c r="N4954" s="370"/>
    </row>
    <row r="4955" spans="1:14" s="347" customFormat="1" x14ac:dyDescent="0.25">
      <c r="A4955" s="369">
        <v>44446</v>
      </c>
      <c r="B4955" s="340">
        <f>+MONTH(A4955)</f>
        <v>9</v>
      </c>
      <c r="C4955" s="347">
        <v>110</v>
      </c>
      <c r="D4955" s="340" t="str">
        <f>VLOOKUP(C4955,Plan!A$1:B$65542,2,0)</f>
        <v>Disponible Administración</v>
      </c>
      <c r="E4955" s="341">
        <f>+F4955-G4955</f>
        <v>54301</v>
      </c>
      <c r="F4955" s="396">
        <v>54301</v>
      </c>
      <c r="G4955" s="396">
        <v>0</v>
      </c>
      <c r="H4955" s="370" t="s">
        <v>1338</v>
      </c>
      <c r="I4955" s="347" t="s">
        <v>1303</v>
      </c>
      <c r="K4955" s="370"/>
      <c r="N4955" s="370"/>
    </row>
    <row r="4956" spans="1:14" s="347" customFormat="1" x14ac:dyDescent="0.25">
      <c r="A4956" s="369">
        <f>+A4955</f>
        <v>44446</v>
      </c>
      <c r="B4956" s="347">
        <f>+B4955</f>
        <v>9</v>
      </c>
      <c r="C4956" s="347">
        <v>3340</v>
      </c>
      <c r="D4956" s="340" t="str">
        <f>VLOOKUP(C4956,Plan!A$1:B$65542,2,0)</f>
        <v>Misas</v>
      </c>
      <c r="E4956" s="341">
        <f>+F4956-G4956</f>
        <v>-54301</v>
      </c>
      <c r="F4956" s="396">
        <v>0</v>
      </c>
      <c r="G4956" s="396">
        <f>+F4955</f>
        <v>54301</v>
      </c>
      <c r="H4956" t="str">
        <f>+H4955</f>
        <v>Misa DCT</v>
      </c>
      <c r="I4956" s="347" t="s">
        <v>1303</v>
      </c>
      <c r="K4956" s="370"/>
      <c r="N4956" s="370"/>
    </row>
    <row r="4957" spans="1:14" s="347" customFormat="1" x14ac:dyDescent="0.25">
      <c r="A4957" s="369"/>
      <c r="E4957" s="396"/>
      <c r="F4957" s="396"/>
      <c r="G4957" s="396"/>
      <c r="K4957" s="370"/>
      <c r="N4957" s="370"/>
    </row>
    <row r="4958" spans="1:14" s="347" customFormat="1" x14ac:dyDescent="0.25">
      <c r="A4958" s="369">
        <v>44446</v>
      </c>
      <c r="B4958" s="340">
        <f>+MONTH(A4958)</f>
        <v>9</v>
      </c>
      <c r="C4958" s="347">
        <v>110</v>
      </c>
      <c r="D4958" s="340" t="str">
        <f>VLOOKUP(C4958,Plan!A$1:B$65542,2,0)</f>
        <v>Disponible Administración</v>
      </c>
      <c r="E4958" s="341">
        <f>+F4958-G4958</f>
        <v>9881</v>
      </c>
      <c r="F4958" s="396">
        <v>9881</v>
      </c>
      <c r="G4958" s="396">
        <v>0</v>
      </c>
      <c r="H4958" s="370" t="s">
        <v>897</v>
      </c>
      <c r="I4958" s="347" t="s">
        <v>1303</v>
      </c>
      <c r="K4958" s="370"/>
      <c r="N4958" s="370"/>
    </row>
    <row r="4959" spans="1:14" s="347" customFormat="1" x14ac:dyDescent="0.25">
      <c r="A4959" s="369">
        <f>+A4958</f>
        <v>44446</v>
      </c>
      <c r="B4959" s="347">
        <f>+B4958</f>
        <v>9</v>
      </c>
      <c r="C4959" s="347">
        <v>3110</v>
      </c>
      <c r="D4959" s="340" t="str">
        <f>VLOOKUP(C4959,Plan!A$1:B$65542,2,0)</f>
        <v>Colectas Normales</v>
      </c>
      <c r="E4959" s="341">
        <f>+F4959-G4959</f>
        <v>-9881</v>
      </c>
      <c r="F4959" s="396">
        <v>0</v>
      </c>
      <c r="G4959" s="396">
        <f>+F4958</f>
        <v>9881</v>
      </c>
      <c r="H4959" t="str">
        <f>+H4958</f>
        <v>Colecta DCT</v>
      </c>
      <c r="I4959" s="347" t="s">
        <v>1303</v>
      </c>
      <c r="K4959" s="370"/>
      <c r="N4959" s="370"/>
    </row>
    <row r="4960" spans="1:14" s="347" customFormat="1" x14ac:dyDescent="0.25">
      <c r="A4960" s="369"/>
      <c r="E4960" s="396"/>
      <c r="F4960" s="396"/>
      <c r="G4960" s="396"/>
      <c r="K4960" s="370"/>
      <c r="N4960" s="370"/>
    </row>
    <row r="4961" spans="1:14" s="347" customFormat="1" x14ac:dyDescent="0.25">
      <c r="A4961" s="369">
        <v>44446</v>
      </c>
      <c r="B4961" s="340">
        <f>+MONTH(A4961)</f>
        <v>9</v>
      </c>
      <c r="C4961" s="347">
        <v>110</v>
      </c>
      <c r="D4961" s="340" t="str">
        <f>VLOOKUP(C4961,Plan!A$1:B$65542,2,0)</f>
        <v>Disponible Administración</v>
      </c>
      <c r="E4961" s="341">
        <f>+F4961-G4961</f>
        <v>20000</v>
      </c>
      <c r="F4961" s="396">
        <v>20000</v>
      </c>
      <c r="G4961" s="396">
        <v>0</v>
      </c>
      <c r="H4961" s="370" t="s">
        <v>2038</v>
      </c>
      <c r="I4961" s="347" t="s">
        <v>1303</v>
      </c>
      <c r="K4961" s="370"/>
      <c r="N4961" s="370"/>
    </row>
    <row r="4962" spans="1:14" s="347" customFormat="1" x14ac:dyDescent="0.25">
      <c r="A4962" s="369">
        <f>+A4961</f>
        <v>44446</v>
      </c>
      <c r="B4962" s="347">
        <f>+B4961</f>
        <v>9</v>
      </c>
      <c r="C4962" s="347">
        <v>3350</v>
      </c>
      <c r="D4962" s="340" t="str">
        <f>VLOOKUP(C4962,Plan!A$1:B$65542,2,0)</f>
        <v>Bautizos</v>
      </c>
      <c r="E4962" s="341">
        <f>+F4962-G4962</f>
        <v>-20000</v>
      </c>
      <c r="F4962" s="396">
        <v>0</v>
      </c>
      <c r="G4962" s="396">
        <f>+F4961</f>
        <v>20000</v>
      </c>
      <c r="H4962" t="str">
        <f>+H4961</f>
        <v>Bautizo Catalina Loreto Gonzalez Perez</v>
      </c>
      <c r="I4962" s="347" t="s">
        <v>1303</v>
      </c>
      <c r="K4962" s="370"/>
      <c r="N4962" s="370"/>
    </row>
    <row r="4963" spans="1:14" s="347" customFormat="1" x14ac:dyDescent="0.25">
      <c r="A4963" s="369"/>
      <c r="E4963" s="396"/>
      <c r="F4963" s="396"/>
      <c r="G4963" s="396"/>
      <c r="K4963" s="370"/>
      <c r="N4963" s="370"/>
    </row>
    <row r="4964" spans="1:14" s="347" customFormat="1" x14ac:dyDescent="0.25">
      <c r="A4964" s="369">
        <v>44447</v>
      </c>
      <c r="B4964" s="340">
        <f>+MONTH(A4964)</f>
        <v>9</v>
      </c>
      <c r="C4964" s="347">
        <v>110</v>
      </c>
      <c r="D4964" s="340" t="str">
        <f>VLOOKUP(C4964,Plan!A$1:B$65542,2,0)</f>
        <v>Disponible Administración</v>
      </c>
      <c r="E4964" s="341">
        <f>+F4964-G4964</f>
        <v>20000</v>
      </c>
      <c r="F4964" s="396">
        <v>20000</v>
      </c>
      <c r="G4964" s="396">
        <v>0</v>
      </c>
      <c r="H4964" s="370" t="s">
        <v>1131</v>
      </c>
      <c r="I4964" s="347" t="s">
        <v>1303</v>
      </c>
      <c r="K4964" s="370"/>
      <c r="N4964" s="370"/>
    </row>
    <row r="4965" spans="1:14" s="347" customFormat="1" x14ac:dyDescent="0.25">
      <c r="A4965" s="369">
        <f>+A4964</f>
        <v>44447</v>
      </c>
      <c r="B4965" s="347">
        <f>+B4964</f>
        <v>9</v>
      </c>
      <c r="C4965" s="347">
        <v>3110</v>
      </c>
      <c r="D4965" s="340" t="str">
        <f>VLOOKUP(C4965,Plan!A$1:B$65542,2,0)</f>
        <v>Colectas Normales</v>
      </c>
      <c r="E4965" s="341">
        <f>+F4965-G4965</f>
        <v>-20000</v>
      </c>
      <c r="F4965" s="396">
        <v>0</v>
      </c>
      <c r="G4965" s="396">
        <f>+F4964</f>
        <v>20000</v>
      </c>
      <c r="H4965" t="str">
        <f>+H4964</f>
        <v>Colecta Sandra Socias R</v>
      </c>
      <c r="I4965" s="347" t="s">
        <v>1303</v>
      </c>
      <c r="K4965" s="370"/>
      <c r="N4965" s="370"/>
    </row>
    <row r="4966" spans="1:14" s="347" customFormat="1" x14ac:dyDescent="0.25">
      <c r="A4966" s="369"/>
      <c r="E4966" s="396"/>
      <c r="F4966" s="396"/>
      <c r="G4966" s="396"/>
      <c r="K4966" s="370"/>
      <c r="N4966" s="370"/>
    </row>
    <row r="4967" spans="1:14" s="347" customFormat="1" x14ac:dyDescent="0.25">
      <c r="A4967" s="369">
        <v>44447</v>
      </c>
      <c r="B4967" s="340">
        <f>+MONTH(A4967)</f>
        <v>9</v>
      </c>
      <c r="C4967" s="347">
        <v>4324</v>
      </c>
      <c r="D4967" s="340" t="str">
        <f>VLOOKUP(C4967,Plan!A$1:B$65542,2,0)</f>
        <v>Gas</v>
      </c>
      <c r="E4967" s="341">
        <f>+F4967-G4967</f>
        <v>10371</v>
      </c>
      <c r="F4967" s="396">
        <v>10371</v>
      </c>
      <c r="G4967" s="396">
        <v>0</v>
      </c>
      <c r="H4967" s="370" t="s">
        <v>741</v>
      </c>
      <c r="I4967" s="347" t="s">
        <v>1303</v>
      </c>
      <c r="K4967" s="370"/>
      <c r="N4967" s="370"/>
    </row>
    <row r="4968" spans="1:14" s="347" customFormat="1" x14ac:dyDescent="0.25">
      <c r="A4968" s="369">
        <f>+A4967</f>
        <v>44447</v>
      </c>
      <c r="B4968" s="347">
        <f>+B4967</f>
        <v>9</v>
      </c>
      <c r="C4968" s="347">
        <v>110</v>
      </c>
      <c r="D4968" s="340" t="str">
        <f>VLOOKUP(C4968,Plan!A$1:B$65542,2,0)</f>
        <v>Disponible Administración</v>
      </c>
      <c r="E4968" s="341">
        <f>+F4968-G4968</f>
        <v>-10371</v>
      </c>
      <c r="F4968" s="396">
        <v>0</v>
      </c>
      <c r="G4968" s="396">
        <f>+F4967</f>
        <v>10371</v>
      </c>
      <c r="H4968" t="str">
        <f>+H4967</f>
        <v>PAC Metrogas Oficina</v>
      </c>
      <c r="I4968" s="347" t="s">
        <v>1303</v>
      </c>
      <c r="K4968" s="370"/>
      <c r="N4968" s="370"/>
    </row>
    <row r="4969" spans="1:14" s="347" customFormat="1" x14ac:dyDescent="0.25">
      <c r="A4969" s="369"/>
      <c r="E4969" s="396"/>
      <c r="F4969" s="396"/>
      <c r="G4969" s="396"/>
      <c r="K4969" s="370"/>
      <c r="N4969" s="370"/>
    </row>
    <row r="4970" spans="1:14" s="347" customFormat="1" x14ac:dyDescent="0.25">
      <c r="A4970" s="369">
        <v>44447</v>
      </c>
      <c r="B4970" s="340">
        <f>+MONTH(A4970)</f>
        <v>9</v>
      </c>
      <c r="C4970" s="347">
        <v>110</v>
      </c>
      <c r="D4970" s="340" t="str">
        <f>VLOOKUP(C4970,Plan!A$1:B$65542,2,0)</f>
        <v>Disponible Administración</v>
      </c>
      <c r="E4970" s="341">
        <f>+F4970-G4970</f>
        <v>36600</v>
      </c>
      <c r="F4970" s="396">
        <v>36600</v>
      </c>
      <c r="G4970" s="396">
        <v>0</v>
      </c>
      <c r="H4970" s="370" t="s">
        <v>2039</v>
      </c>
      <c r="I4970" s="347" t="s">
        <v>1303</v>
      </c>
      <c r="K4970" s="370"/>
      <c r="N4970" s="370"/>
    </row>
    <row r="4971" spans="1:14" s="347" customFormat="1" x14ac:dyDescent="0.25">
      <c r="A4971" s="369">
        <f>+A4970</f>
        <v>44447</v>
      </c>
      <c r="B4971" s="347">
        <f>+B4970</f>
        <v>9</v>
      </c>
      <c r="C4971" s="347">
        <v>3110</v>
      </c>
      <c r="D4971" s="340" t="str">
        <f>VLOOKUP(C4971,Plan!A$1:B$65542,2,0)</f>
        <v>Colectas Normales</v>
      </c>
      <c r="E4971" s="341">
        <f>+F4971-G4971</f>
        <v>-36600</v>
      </c>
      <c r="F4971" s="396">
        <v>0</v>
      </c>
      <c r="G4971" s="396">
        <f>+F4970</f>
        <v>36600</v>
      </c>
      <c r="H4971" t="str">
        <f>+H4970</f>
        <v>Colecta Of. Y Rezagado UC</v>
      </c>
      <c r="I4971" s="347" t="s">
        <v>1303</v>
      </c>
      <c r="K4971" s="370"/>
      <c r="N4971" s="370"/>
    </row>
    <row r="4972" spans="1:14" s="347" customFormat="1" x14ac:dyDescent="0.25">
      <c r="A4972" s="369"/>
      <c r="E4972" s="396"/>
      <c r="F4972" s="396"/>
      <c r="G4972" s="396"/>
      <c r="K4972" s="370"/>
      <c r="N4972" s="370"/>
    </row>
    <row r="4973" spans="1:14" s="347" customFormat="1" x14ac:dyDescent="0.25">
      <c r="A4973" s="369">
        <v>44447</v>
      </c>
      <c r="B4973" s="340">
        <f>+MONTH(A4973)</f>
        <v>9</v>
      </c>
      <c r="C4973" s="347">
        <v>110</v>
      </c>
      <c r="D4973" s="340" t="str">
        <f>VLOOKUP(C4973,Plan!A$1:B$65542,2,0)</f>
        <v>Disponible Administración</v>
      </c>
      <c r="E4973" s="341">
        <f>+F4973-G4973</f>
        <v>35000</v>
      </c>
      <c r="F4973" s="396">
        <v>35000</v>
      </c>
      <c r="G4973" s="396">
        <v>0</v>
      </c>
      <c r="H4973" s="370" t="s">
        <v>1902</v>
      </c>
      <c r="I4973" s="347" t="s">
        <v>1303</v>
      </c>
      <c r="K4973" s="370"/>
      <c r="N4973" s="370"/>
    </row>
    <row r="4974" spans="1:14" s="347" customFormat="1" x14ac:dyDescent="0.25">
      <c r="A4974" s="369">
        <f>+A4973</f>
        <v>44447</v>
      </c>
      <c r="B4974" s="347">
        <f>+B4973</f>
        <v>9</v>
      </c>
      <c r="C4974" s="347">
        <v>215</v>
      </c>
      <c r="D4974" s="340" t="str">
        <f>VLOOKUP(C4974,Plan!A$1:B$65542,2,0)</f>
        <v>Cuenta por Pagar a Cali</v>
      </c>
      <c r="E4974" s="341">
        <f>+F4974-G4974</f>
        <v>-35000</v>
      </c>
      <c r="F4974" s="396">
        <v>0</v>
      </c>
      <c r="G4974" s="396">
        <f>+F4973</f>
        <v>35000</v>
      </c>
      <c r="H4974" t="str">
        <f>+H4973</f>
        <v>María de los Ángeles Herrera Soler/249</v>
      </c>
      <c r="I4974" s="347" t="s">
        <v>1303</v>
      </c>
      <c r="K4974" s="370"/>
      <c r="N4974" s="370"/>
    </row>
    <row r="4975" spans="1:14" s="347" customFormat="1" x14ac:dyDescent="0.25">
      <c r="A4975" s="369"/>
      <c r="E4975" s="396"/>
      <c r="F4975" s="396"/>
      <c r="G4975" s="396"/>
      <c r="K4975" s="370"/>
      <c r="N4975" s="370"/>
    </row>
    <row r="4976" spans="1:14" s="347" customFormat="1" x14ac:dyDescent="0.25">
      <c r="A4976" s="369">
        <v>44447</v>
      </c>
      <c r="B4976" s="340">
        <f>+MONTH(A4976)</f>
        <v>9</v>
      </c>
      <c r="C4976" s="347">
        <v>110</v>
      </c>
      <c r="D4976" s="340" t="str">
        <f>VLOOKUP(C4976,Plan!A$1:B$65542,2,0)</f>
        <v>Disponible Administración</v>
      </c>
      <c r="E4976" s="341">
        <f>+F4976-G4976</f>
        <v>307000</v>
      </c>
      <c r="F4976" s="396">
        <v>307000</v>
      </c>
      <c r="G4976" s="396">
        <v>0</v>
      </c>
      <c r="H4976" t="s">
        <v>2040</v>
      </c>
      <c r="I4976" s="347" t="s">
        <v>1303</v>
      </c>
      <c r="K4976" s="370"/>
      <c r="N4976" s="370"/>
    </row>
    <row r="4977" spans="1:14" s="347" customFormat="1" x14ac:dyDescent="0.25">
      <c r="A4977" s="369">
        <f>+A4976</f>
        <v>44447</v>
      </c>
      <c r="B4977" s="347">
        <f>+B4976</f>
        <v>9</v>
      </c>
      <c r="C4977" s="347">
        <v>3450</v>
      </c>
      <c r="D4977" s="340" t="str">
        <f>VLOOKUP(C4977,Plan!A$1:B$65542,2,0)</f>
        <v>Pastoral Social</v>
      </c>
      <c r="E4977" s="341">
        <f>+F4977-G4977</f>
        <v>-307000</v>
      </c>
      <c r="F4977" s="396">
        <v>0</v>
      </c>
      <c r="G4977" s="396">
        <f>+F4976</f>
        <v>307000</v>
      </c>
      <c r="H4977" t="str">
        <f>+H4976</f>
        <v>Chanchitos Mes de la Solidaridad</v>
      </c>
      <c r="I4977" s="347" t="s">
        <v>1303</v>
      </c>
      <c r="K4977" s="370"/>
      <c r="N4977" s="370"/>
    </row>
    <row r="4978" spans="1:14" s="347" customFormat="1" x14ac:dyDescent="0.25">
      <c r="K4978" s="370"/>
      <c r="N4978" s="370"/>
    </row>
    <row r="4979" spans="1:14" s="347" customFormat="1" x14ac:dyDescent="0.25">
      <c r="A4979" s="369">
        <v>44447</v>
      </c>
      <c r="B4979" s="340">
        <f>+MONTH(A4979)</f>
        <v>9</v>
      </c>
      <c r="C4979" s="347">
        <v>110</v>
      </c>
      <c r="D4979" s="340" t="str">
        <f>VLOOKUP(C4979,Plan!A$1:B$65542,2,0)</f>
        <v>Disponible Administración</v>
      </c>
      <c r="E4979" s="341">
        <f>+F4979-G4979</f>
        <v>31261</v>
      </c>
      <c r="F4979" s="396">
        <v>31261</v>
      </c>
      <c r="G4979" s="396">
        <v>0</v>
      </c>
      <c r="H4979" t="s">
        <v>2040</v>
      </c>
      <c r="I4979" s="347" t="s">
        <v>1303</v>
      </c>
      <c r="K4979" s="370"/>
      <c r="N4979" s="370"/>
    </row>
    <row r="4980" spans="1:14" s="347" customFormat="1" x14ac:dyDescent="0.25">
      <c r="A4980" s="369">
        <f>+A4979</f>
        <v>44447</v>
      </c>
      <c r="B4980" s="347">
        <f>+B4979</f>
        <v>9</v>
      </c>
      <c r="C4980" s="347">
        <v>3450</v>
      </c>
      <c r="D4980" s="340" t="str">
        <f>VLOOKUP(C4980,Plan!A$1:B$65542,2,0)</f>
        <v>Pastoral Social</v>
      </c>
      <c r="E4980" s="341">
        <f>+F4980-G4980</f>
        <v>-31261</v>
      </c>
      <c r="F4980" s="396">
        <v>0</v>
      </c>
      <c r="G4980" s="396">
        <f>+F4979</f>
        <v>31261</v>
      </c>
      <c r="H4980" t="str">
        <f>+H4979</f>
        <v>Chanchitos Mes de la Solidaridad</v>
      </c>
      <c r="I4980" s="347" t="s">
        <v>1303</v>
      </c>
      <c r="K4980" s="370"/>
      <c r="N4980" s="370"/>
    </row>
    <row r="4981" spans="1:14" s="347" customFormat="1" x14ac:dyDescent="0.25">
      <c r="A4981" s="369"/>
      <c r="E4981" s="396"/>
      <c r="F4981" s="396"/>
      <c r="G4981" s="396"/>
      <c r="K4981" s="370"/>
      <c r="N4981" s="370"/>
    </row>
    <row r="4982" spans="1:14" s="347" customFormat="1" x14ac:dyDescent="0.25">
      <c r="A4982" s="369">
        <v>44448</v>
      </c>
      <c r="B4982" s="340">
        <f>+MONTH(A4982)</f>
        <v>9</v>
      </c>
      <c r="C4982" s="347">
        <v>110</v>
      </c>
      <c r="D4982" s="340" t="str">
        <f>VLOOKUP(C4982,Plan!A$1:B$65542,2,0)</f>
        <v>Disponible Administración</v>
      </c>
      <c r="E4982" s="341">
        <f>+F4982-G4982</f>
        <v>25000</v>
      </c>
      <c r="F4982" s="396">
        <v>25000</v>
      </c>
      <c r="G4982" s="396">
        <v>0</v>
      </c>
      <c r="H4982" t="s">
        <v>1449</v>
      </c>
      <c r="I4982" s="347" t="s">
        <v>1303</v>
      </c>
      <c r="K4982" s="370"/>
      <c r="N4982" s="370"/>
    </row>
    <row r="4983" spans="1:14" s="347" customFormat="1" x14ac:dyDescent="0.25">
      <c r="A4983" s="369">
        <f>+A4982</f>
        <v>44448</v>
      </c>
      <c r="B4983" s="347">
        <f>+B4982</f>
        <v>9</v>
      </c>
      <c r="C4983" s="347">
        <v>3360</v>
      </c>
      <c r="D4983" s="340" t="str">
        <f>VLOOKUP(C4983,Plan!A$1:B$65542,2,0)</f>
        <v>Otros</v>
      </c>
      <c r="E4983" s="341">
        <f>+F4983-G4983</f>
        <v>-25000</v>
      </c>
      <c r="F4983" s="396">
        <v>0</v>
      </c>
      <c r="G4983" s="396">
        <f>+F4982</f>
        <v>25000</v>
      </c>
      <c r="H4983" t="str">
        <f>+H4982</f>
        <v>Curso Sofia Vives Ekdahl</v>
      </c>
      <c r="I4983" s="347" t="s">
        <v>1303</v>
      </c>
      <c r="K4983" s="370"/>
      <c r="N4983" s="370"/>
    </row>
    <row r="4984" spans="1:14" s="347" customFormat="1" x14ac:dyDescent="0.25">
      <c r="A4984" s="369"/>
      <c r="E4984" s="396"/>
      <c r="F4984" s="396"/>
      <c r="G4984" s="396"/>
      <c r="K4984" s="370"/>
      <c r="N4984" s="370"/>
    </row>
    <row r="4985" spans="1:14" s="347" customFormat="1" x14ac:dyDescent="0.25">
      <c r="A4985" s="369">
        <v>44448</v>
      </c>
      <c r="B4985" s="340">
        <f>+MONTH(A4985)</f>
        <v>9</v>
      </c>
      <c r="C4985" s="347">
        <v>110</v>
      </c>
      <c r="D4985" s="340" t="str">
        <f>VLOOKUP(C4985,Plan!A$1:B$65542,2,0)</f>
        <v>Disponible Administración</v>
      </c>
      <c r="E4985" s="341">
        <f>+F4985-G4985</f>
        <v>20000</v>
      </c>
      <c r="F4985" s="396">
        <v>20000</v>
      </c>
      <c r="G4985" s="396">
        <v>0</v>
      </c>
      <c r="H4985" t="s">
        <v>913</v>
      </c>
      <c r="I4985" s="347" t="s">
        <v>1303</v>
      </c>
      <c r="K4985" s="370"/>
      <c r="N4985" s="370"/>
    </row>
    <row r="4986" spans="1:14" s="347" customFormat="1" x14ac:dyDescent="0.25">
      <c r="A4986" s="369">
        <f>+A4985</f>
        <v>44448</v>
      </c>
      <c r="B4986" s="347">
        <f>+B4985</f>
        <v>9</v>
      </c>
      <c r="C4986" s="347">
        <v>3110</v>
      </c>
      <c r="D4986" s="340" t="str">
        <f>VLOOKUP(C4986,Plan!A$1:B$65542,2,0)</f>
        <v>Colectas Normales</v>
      </c>
      <c r="E4986" s="341">
        <f>+F4986-G4986</f>
        <v>-20000</v>
      </c>
      <c r="F4986" s="396">
        <v>0</v>
      </c>
      <c r="G4986" s="396">
        <f>+F4985</f>
        <v>20000</v>
      </c>
      <c r="H4986" t="str">
        <f>+H4985</f>
        <v>Colecta Sofia Vives Ekdahl</v>
      </c>
      <c r="I4986" s="347" t="s">
        <v>1303</v>
      </c>
      <c r="K4986" s="370"/>
      <c r="N4986" s="370"/>
    </row>
    <row r="4987" spans="1:14" s="347" customFormat="1" x14ac:dyDescent="0.25">
      <c r="A4987" s="369"/>
      <c r="E4987" s="396"/>
      <c r="F4987" s="396"/>
      <c r="G4987" s="396"/>
      <c r="K4987" s="370"/>
      <c r="N4987" s="370"/>
    </row>
    <row r="4988" spans="1:14" s="347" customFormat="1" x14ac:dyDescent="0.25">
      <c r="A4988" s="369">
        <v>44448</v>
      </c>
      <c r="B4988" s="340">
        <f>+MONTH(A4988)</f>
        <v>9</v>
      </c>
      <c r="C4988" s="347">
        <v>110</v>
      </c>
      <c r="D4988" s="340" t="str">
        <f>VLOOKUP(C4988,Plan!A$1:B$65542,2,0)</f>
        <v>Disponible Administración</v>
      </c>
      <c r="E4988" s="341">
        <f>+F4988-G4988</f>
        <v>20000</v>
      </c>
      <c r="F4988" s="396">
        <v>20000</v>
      </c>
      <c r="G4988" s="396">
        <v>0</v>
      </c>
      <c r="H4988" t="s">
        <v>1578</v>
      </c>
      <c r="I4988" s="347" t="s">
        <v>1303</v>
      </c>
      <c r="K4988" s="370"/>
      <c r="N4988" s="370"/>
    </row>
    <row r="4989" spans="1:14" s="347" customFormat="1" x14ac:dyDescent="0.25">
      <c r="A4989" s="369">
        <f>+A4988</f>
        <v>44448</v>
      </c>
      <c r="B4989" s="347">
        <f>+B4988</f>
        <v>9</v>
      </c>
      <c r="C4989" s="347">
        <v>3110</v>
      </c>
      <c r="D4989" s="340" t="str">
        <f>VLOOKUP(C4989,Plan!A$1:B$65542,2,0)</f>
        <v>Colectas Normales</v>
      </c>
      <c r="E4989" s="341">
        <f>+F4989-G4989</f>
        <v>-20000</v>
      </c>
      <c r="F4989" s="396">
        <v>0</v>
      </c>
      <c r="G4989" s="396">
        <f>+F4988</f>
        <v>20000</v>
      </c>
      <c r="H4989" t="str">
        <f>+H4988</f>
        <v>Colecta Sebastian Lagos V.</v>
      </c>
      <c r="I4989" s="347" t="s">
        <v>1303</v>
      </c>
      <c r="K4989" s="370"/>
      <c r="N4989" s="370"/>
    </row>
    <row r="4990" spans="1:14" s="347" customFormat="1" x14ac:dyDescent="0.25">
      <c r="A4990" s="369"/>
      <c r="E4990" s="396"/>
      <c r="F4990" s="396"/>
      <c r="G4990" s="396"/>
      <c r="K4990" s="370"/>
      <c r="N4990" s="370"/>
    </row>
    <row r="4991" spans="1:14" s="347" customFormat="1" x14ac:dyDescent="0.25">
      <c r="A4991" s="369">
        <v>44448</v>
      </c>
      <c r="B4991" s="340">
        <f>+MONTH(A4991)</f>
        <v>9</v>
      </c>
      <c r="C4991" s="347">
        <v>110</v>
      </c>
      <c r="D4991" s="340" t="str">
        <f>VLOOKUP(C4991,Plan!A$1:B$65542,2,0)</f>
        <v>Disponible Administración</v>
      </c>
      <c r="E4991" s="341">
        <f>+F4991-G4991</f>
        <v>25000</v>
      </c>
      <c r="F4991" s="396">
        <v>25000</v>
      </c>
      <c r="G4991" s="396">
        <v>0</v>
      </c>
      <c r="H4991" t="s">
        <v>1442</v>
      </c>
      <c r="I4991" s="347" t="s">
        <v>1303</v>
      </c>
      <c r="K4991" s="370"/>
      <c r="N4991" s="370"/>
    </row>
    <row r="4992" spans="1:14" s="347" customFormat="1" x14ac:dyDescent="0.25">
      <c r="A4992" s="369">
        <f>+A4991</f>
        <v>44448</v>
      </c>
      <c r="B4992" s="347">
        <f>+B4991</f>
        <v>9</v>
      </c>
      <c r="C4992" s="347">
        <v>3360</v>
      </c>
      <c r="D4992" s="340" t="str">
        <f>VLOOKUP(C4992,Plan!A$1:B$65542,2,0)</f>
        <v>Otros</v>
      </c>
      <c r="E4992" s="341">
        <f>+F4992-G4992</f>
        <v>-25000</v>
      </c>
      <c r="F4992" s="396">
        <v>0</v>
      </c>
      <c r="G4992" s="396">
        <f>+F4991</f>
        <v>25000</v>
      </c>
      <c r="H4992" t="str">
        <f>+H4991</f>
        <v>Curso Jorge Larrañaga</v>
      </c>
      <c r="I4992" s="347" t="s">
        <v>1303</v>
      </c>
      <c r="K4992" s="370"/>
      <c r="N4992" s="370"/>
    </row>
    <row r="4993" spans="1:14" s="347" customFormat="1" x14ac:dyDescent="0.25">
      <c r="A4993" s="369"/>
      <c r="E4993" s="396"/>
      <c r="F4993" s="396"/>
      <c r="G4993" s="396"/>
      <c r="K4993" s="370"/>
      <c r="N4993" s="370"/>
    </row>
    <row r="4994" spans="1:14" s="347" customFormat="1" x14ac:dyDescent="0.25">
      <c r="A4994" s="369">
        <v>44449</v>
      </c>
      <c r="B4994" s="340">
        <f>+MONTH(A4994)</f>
        <v>9</v>
      </c>
      <c r="C4994" s="347">
        <v>4323</v>
      </c>
      <c r="D4994" s="340" t="str">
        <f>VLOOKUP(C4994,Plan!A$1:B$65542,2,0)</f>
        <v>Telefonía, Internet (VTR, Entel)</v>
      </c>
      <c r="E4994" s="341">
        <f>+F4994-G4994</f>
        <v>35956</v>
      </c>
      <c r="F4994" s="396">
        <v>35956</v>
      </c>
      <c r="G4994" s="396">
        <v>0</v>
      </c>
      <c r="H4994" t="s">
        <v>1145</v>
      </c>
      <c r="I4994" s="347" t="s">
        <v>1303</v>
      </c>
      <c r="K4994" s="370"/>
      <c r="N4994" s="370"/>
    </row>
    <row r="4995" spans="1:14" s="347" customFormat="1" x14ac:dyDescent="0.25">
      <c r="A4995" s="369">
        <f>+A4994</f>
        <v>44449</v>
      </c>
      <c r="B4995" s="347">
        <f>+B4994</f>
        <v>9</v>
      </c>
      <c r="C4995" s="347">
        <v>110</v>
      </c>
      <c r="D4995" s="340" t="str">
        <f>VLOOKUP(C4995,Plan!A$1:B$65542,2,0)</f>
        <v>Disponible Administración</v>
      </c>
      <c r="E4995" s="341">
        <f>+F4995-G4995</f>
        <v>-35956</v>
      </c>
      <c r="F4995" s="396">
        <v>0</v>
      </c>
      <c r="G4995" s="396">
        <f>+F4994</f>
        <v>35956</v>
      </c>
      <c r="H4995" t="str">
        <f>+H4994</f>
        <v>PAC VTR OFICINA</v>
      </c>
      <c r="I4995" s="347" t="s">
        <v>1303</v>
      </c>
      <c r="K4995" s="370"/>
      <c r="N4995" s="370"/>
    </row>
    <row r="4996" spans="1:14" s="347" customFormat="1" x14ac:dyDescent="0.25">
      <c r="A4996" s="369"/>
      <c r="E4996" s="396"/>
      <c r="F4996" s="396"/>
      <c r="G4996" s="396"/>
      <c r="K4996" s="370"/>
      <c r="N4996" s="370"/>
    </row>
    <row r="4997" spans="1:14" s="347" customFormat="1" x14ac:dyDescent="0.25">
      <c r="A4997" s="369">
        <v>44449</v>
      </c>
      <c r="B4997" s="340">
        <f>+MONTH(A4997)</f>
        <v>9</v>
      </c>
      <c r="C4997" s="347">
        <v>110</v>
      </c>
      <c r="D4997" s="340" t="str">
        <f>VLOOKUP(C4997,Plan!A$1:B$65542,2,0)</f>
        <v>Disponible Administración</v>
      </c>
      <c r="E4997" s="341">
        <f>+F4997-G4997</f>
        <v>16000</v>
      </c>
      <c r="F4997" s="396">
        <v>16000</v>
      </c>
      <c r="G4997" s="396">
        <v>0</v>
      </c>
      <c r="H4997" t="s">
        <v>1330</v>
      </c>
      <c r="I4997" s="347" t="s">
        <v>1303</v>
      </c>
      <c r="K4997" s="370"/>
      <c r="N4997" s="370"/>
    </row>
    <row r="4998" spans="1:14" s="347" customFormat="1" x14ac:dyDescent="0.25">
      <c r="A4998" s="369">
        <f>+A4997</f>
        <v>44449</v>
      </c>
      <c r="B4998" s="347">
        <f>+B4997</f>
        <v>9</v>
      </c>
      <c r="C4998" s="347">
        <v>3110</v>
      </c>
      <c r="D4998" s="340" t="str">
        <f>VLOOKUP(C4998,Plan!A$1:B$65542,2,0)</f>
        <v>Colectas Normales</v>
      </c>
      <c r="E4998" s="341">
        <f>+F4998-G4998</f>
        <v>-16000</v>
      </c>
      <c r="F4998" s="396">
        <v>0</v>
      </c>
      <c r="G4998" s="396">
        <f>+F4997</f>
        <v>16000</v>
      </c>
      <c r="H4998" t="str">
        <f>+H4997</f>
        <v>Colecta Leonardo Robles Copello</v>
      </c>
      <c r="I4998" s="347" t="s">
        <v>1303</v>
      </c>
      <c r="K4998" s="370"/>
      <c r="N4998" s="370"/>
    </row>
    <row r="4999" spans="1:14" s="347" customFormat="1" x14ac:dyDescent="0.25">
      <c r="A4999" s="369"/>
      <c r="E4999" s="396"/>
      <c r="F4999" s="396"/>
      <c r="G4999" s="396"/>
      <c r="K4999" s="370"/>
      <c r="N4999" s="370"/>
    </row>
    <row r="5000" spans="1:14" s="347" customFormat="1" x14ac:dyDescent="0.25">
      <c r="A5000" s="369">
        <v>44452</v>
      </c>
      <c r="B5000" s="340">
        <f>+MONTH(A5000)</f>
        <v>9</v>
      </c>
      <c r="C5000" s="347">
        <v>110</v>
      </c>
      <c r="D5000" s="340" t="str">
        <f>VLOOKUP(C5000,Plan!A$1:B$65542,2,0)</f>
        <v>Disponible Administración</v>
      </c>
      <c r="E5000" s="341">
        <f>+F5000-G5000</f>
        <v>10000</v>
      </c>
      <c r="F5000" s="396">
        <v>10000</v>
      </c>
      <c r="G5000" s="396">
        <v>0</v>
      </c>
      <c r="H5000" t="s">
        <v>881</v>
      </c>
      <c r="I5000" s="347" t="s">
        <v>1303</v>
      </c>
      <c r="K5000" s="370"/>
      <c r="N5000" s="370"/>
    </row>
    <row r="5001" spans="1:14" s="347" customFormat="1" x14ac:dyDescent="0.25">
      <c r="A5001" s="369">
        <f>+A5000</f>
        <v>44452</v>
      </c>
      <c r="B5001" s="347">
        <f>+B5000</f>
        <v>9</v>
      </c>
      <c r="C5001" s="347">
        <v>3110</v>
      </c>
      <c r="D5001" s="340" t="str">
        <f>VLOOKUP(C5001,Plan!A$1:B$65542,2,0)</f>
        <v>Colectas Normales</v>
      </c>
      <c r="E5001" s="341">
        <f>+F5001-G5001</f>
        <v>-10000</v>
      </c>
      <c r="F5001" s="396">
        <v>0</v>
      </c>
      <c r="G5001" s="396">
        <f>+F5000</f>
        <v>10000</v>
      </c>
      <c r="H5001" t="str">
        <f>+H5000</f>
        <v>Colecta Rafael Marin Jordan</v>
      </c>
      <c r="I5001" s="347" t="s">
        <v>1303</v>
      </c>
      <c r="K5001" s="370"/>
      <c r="N5001" s="370"/>
    </row>
    <row r="5002" spans="1:14" s="347" customFormat="1" x14ac:dyDescent="0.25">
      <c r="A5002" s="369"/>
      <c r="E5002" s="396"/>
      <c r="F5002" s="396"/>
      <c r="G5002" s="396"/>
      <c r="K5002" s="370"/>
      <c r="N5002" s="370"/>
    </row>
    <row r="5003" spans="1:14" s="347" customFormat="1" x14ac:dyDescent="0.25">
      <c r="A5003" s="369">
        <v>44452</v>
      </c>
      <c r="B5003" s="340">
        <f>+MONTH(A5003)</f>
        <v>9</v>
      </c>
      <c r="C5003" s="347">
        <v>110</v>
      </c>
      <c r="D5003" s="340" t="str">
        <f>VLOOKUP(C5003,Plan!A$1:B$65542,2,0)</f>
        <v>Disponible Administración</v>
      </c>
      <c r="E5003" s="341">
        <f>+F5003-G5003</f>
        <v>10000</v>
      </c>
      <c r="F5003" s="396">
        <v>10000</v>
      </c>
      <c r="G5003" s="396">
        <v>0</v>
      </c>
      <c r="H5003" t="s">
        <v>971</v>
      </c>
      <c r="I5003" s="347" t="s">
        <v>1303</v>
      </c>
      <c r="K5003" s="370"/>
      <c r="N5003" s="370"/>
    </row>
    <row r="5004" spans="1:14" s="347" customFormat="1" x14ac:dyDescent="0.25">
      <c r="A5004" s="369">
        <f>+A5003</f>
        <v>44452</v>
      </c>
      <c r="B5004" s="347">
        <f>+B5003</f>
        <v>9</v>
      </c>
      <c r="C5004" s="347">
        <v>3110</v>
      </c>
      <c r="D5004" s="340" t="str">
        <f>VLOOKUP(C5004,Plan!A$1:B$65542,2,0)</f>
        <v>Colectas Normales</v>
      </c>
      <c r="E5004" s="341">
        <f>+F5004-G5004</f>
        <v>-10000</v>
      </c>
      <c r="F5004" s="396">
        <v>0</v>
      </c>
      <c r="G5004" s="396">
        <f>+F5003</f>
        <v>10000</v>
      </c>
      <c r="H5004" t="str">
        <f>+H5003</f>
        <v>Colecta Pablo Irarrazaval Mena</v>
      </c>
      <c r="I5004" s="347" t="s">
        <v>1303</v>
      </c>
      <c r="K5004" s="370"/>
      <c r="N5004" s="370"/>
    </row>
    <row r="5005" spans="1:14" s="347" customFormat="1" x14ac:dyDescent="0.25">
      <c r="A5005" s="369"/>
      <c r="E5005" s="396"/>
      <c r="F5005" s="396"/>
      <c r="G5005" s="396"/>
      <c r="K5005" s="370"/>
      <c r="N5005" s="370"/>
    </row>
    <row r="5006" spans="1:14" s="347" customFormat="1" x14ac:dyDescent="0.25">
      <c r="A5006" s="369">
        <v>44452</v>
      </c>
      <c r="B5006" s="340">
        <f>+MONTH(A5006)</f>
        <v>9</v>
      </c>
      <c r="C5006" s="347">
        <v>110</v>
      </c>
      <c r="D5006" s="340" t="str">
        <f>VLOOKUP(C5006,Plan!A$1:B$65542,2,0)</f>
        <v>Disponible Administración</v>
      </c>
      <c r="E5006" s="341">
        <f>+F5006-G5006</f>
        <v>15000</v>
      </c>
      <c r="F5006" s="396">
        <v>15000</v>
      </c>
      <c r="G5006" s="396">
        <v>0</v>
      </c>
      <c r="H5006" t="s">
        <v>889</v>
      </c>
      <c r="I5006" s="347" t="s">
        <v>1303</v>
      </c>
      <c r="K5006" s="370"/>
      <c r="N5006" s="370"/>
    </row>
    <row r="5007" spans="1:14" s="347" customFormat="1" x14ac:dyDescent="0.25">
      <c r="A5007" s="369">
        <f>+A5006</f>
        <v>44452</v>
      </c>
      <c r="B5007" s="347">
        <f>+B5006</f>
        <v>9</v>
      </c>
      <c r="C5007" s="347">
        <v>3110</v>
      </c>
      <c r="D5007" s="340" t="str">
        <f>VLOOKUP(C5007,Plan!A$1:B$65542,2,0)</f>
        <v>Colectas Normales</v>
      </c>
      <c r="E5007" s="341">
        <f>+F5007-G5007</f>
        <v>-15000</v>
      </c>
      <c r="F5007" s="396">
        <v>0</v>
      </c>
      <c r="G5007" s="396">
        <f>+F5006</f>
        <v>15000</v>
      </c>
      <c r="H5007" t="str">
        <f>+H5006</f>
        <v>Colecta Keryma Felmer Echeverria</v>
      </c>
      <c r="I5007" s="347" t="s">
        <v>1303</v>
      </c>
      <c r="K5007" s="370"/>
      <c r="N5007" s="370"/>
    </row>
    <row r="5008" spans="1:14" s="347" customFormat="1" x14ac:dyDescent="0.25">
      <c r="A5008" s="369"/>
      <c r="E5008" s="396"/>
      <c r="F5008" s="396"/>
      <c r="G5008" s="396"/>
      <c r="K5008" s="370"/>
      <c r="N5008" s="370"/>
    </row>
    <row r="5009" spans="1:14" s="347" customFormat="1" x14ac:dyDescent="0.25">
      <c r="A5009" s="369">
        <v>44452</v>
      </c>
      <c r="B5009" s="340">
        <f>+MONTH(A5009)</f>
        <v>9</v>
      </c>
      <c r="C5009" s="347">
        <v>110</v>
      </c>
      <c r="D5009" s="340" t="str">
        <f>VLOOKUP(C5009,Plan!A$1:B$65542,2,0)</f>
        <v>Disponible Administración</v>
      </c>
      <c r="E5009" s="341">
        <f>+F5009-G5009</f>
        <v>13000</v>
      </c>
      <c r="F5009" s="396">
        <v>13000</v>
      </c>
      <c r="G5009" s="396">
        <v>0</v>
      </c>
      <c r="H5009" t="s">
        <v>2041</v>
      </c>
      <c r="I5009" s="347" t="s">
        <v>1303</v>
      </c>
      <c r="K5009" s="370"/>
      <c r="N5009" s="370"/>
    </row>
    <row r="5010" spans="1:14" s="347" customFormat="1" x14ac:dyDescent="0.25">
      <c r="A5010" s="369">
        <f>+A5009</f>
        <v>44452</v>
      </c>
      <c r="B5010" s="347">
        <f>+B5009</f>
        <v>9</v>
      </c>
      <c r="C5010" s="347">
        <v>215</v>
      </c>
      <c r="D5010" s="340" t="str">
        <f>VLOOKUP(C5010,Plan!A$1:B$65542,2,0)</f>
        <v>Cuenta por Pagar a Cali</v>
      </c>
      <c r="E5010" s="341">
        <f>+F5010-G5010</f>
        <v>-13000</v>
      </c>
      <c r="F5010" s="396">
        <v>0</v>
      </c>
      <c r="G5010" s="396">
        <f>+F5009</f>
        <v>13000</v>
      </c>
      <c r="H5010" t="str">
        <f>+H5009</f>
        <v>Keryma Felmer Echeverria / 249(Jul)</v>
      </c>
      <c r="I5010" s="347" t="s">
        <v>1303</v>
      </c>
      <c r="K5010" s="370"/>
      <c r="N5010" s="370"/>
    </row>
    <row r="5011" spans="1:14" s="347" customFormat="1" x14ac:dyDescent="0.25">
      <c r="A5011" s="369"/>
      <c r="E5011" s="396"/>
      <c r="F5011" s="396"/>
      <c r="G5011" s="396"/>
      <c r="K5011" s="370"/>
      <c r="N5011" s="370"/>
    </row>
    <row r="5012" spans="1:14" s="347" customFormat="1" x14ac:dyDescent="0.25">
      <c r="A5012" s="369">
        <v>44452</v>
      </c>
      <c r="B5012" s="340">
        <f>+MONTH(A5012)</f>
        <v>9</v>
      </c>
      <c r="C5012" s="347">
        <v>110</v>
      </c>
      <c r="D5012" s="340" t="str">
        <f>VLOOKUP(C5012,Plan!A$1:B$65542,2,0)</f>
        <v>Disponible Administración</v>
      </c>
      <c r="E5012" s="341">
        <f>+F5012-G5012</f>
        <v>13000</v>
      </c>
      <c r="F5012" s="396">
        <v>13000</v>
      </c>
      <c r="G5012" s="396">
        <v>0</v>
      </c>
      <c r="H5012" t="s">
        <v>2042</v>
      </c>
      <c r="I5012" s="347" t="s">
        <v>1303</v>
      </c>
      <c r="K5012" s="370"/>
      <c r="N5012" s="370"/>
    </row>
    <row r="5013" spans="1:14" s="347" customFormat="1" x14ac:dyDescent="0.25">
      <c r="A5013" s="369">
        <f>+A5012</f>
        <v>44452</v>
      </c>
      <c r="B5013" s="347">
        <f>+B5012</f>
        <v>9</v>
      </c>
      <c r="C5013" s="347">
        <v>215</v>
      </c>
      <c r="D5013" s="340" t="str">
        <f>VLOOKUP(C5013,Plan!A$1:B$65542,2,0)</f>
        <v>Cuenta por Pagar a Cali</v>
      </c>
      <c r="E5013" s="341">
        <f>+F5013-G5013</f>
        <v>-13000</v>
      </c>
      <c r="F5013" s="396">
        <v>0</v>
      </c>
      <c r="G5013" s="396">
        <f>+F5012</f>
        <v>13000</v>
      </c>
      <c r="H5013" t="str">
        <f>+H5012</f>
        <v>Keryma Felmer Echeverria / 249(Ago)</v>
      </c>
      <c r="I5013" s="347" t="s">
        <v>1303</v>
      </c>
      <c r="K5013" s="370"/>
      <c r="N5013" s="370"/>
    </row>
    <row r="5014" spans="1:14" s="347" customFormat="1" x14ac:dyDescent="0.25">
      <c r="A5014" s="369"/>
      <c r="E5014" s="396"/>
      <c r="F5014" s="396"/>
      <c r="G5014" s="396"/>
      <c r="K5014" s="370"/>
      <c r="N5014" s="370"/>
    </row>
    <row r="5015" spans="1:14" s="347" customFormat="1" x14ac:dyDescent="0.25">
      <c r="A5015" s="369">
        <v>44452</v>
      </c>
      <c r="B5015" s="340">
        <f>+MONTH(A5015)</f>
        <v>9</v>
      </c>
      <c r="C5015" s="347">
        <v>110</v>
      </c>
      <c r="D5015" s="340" t="str">
        <f>VLOOKUP(C5015,Plan!A$1:B$65542,2,0)</f>
        <v>Disponible Administración</v>
      </c>
      <c r="E5015" s="341">
        <f>+F5015-G5015</f>
        <v>13000</v>
      </c>
      <c r="F5015" s="396">
        <v>13000</v>
      </c>
      <c r="G5015" s="396">
        <v>0</v>
      </c>
      <c r="H5015" t="s">
        <v>2043</v>
      </c>
      <c r="I5015" s="347" t="s">
        <v>1303</v>
      </c>
      <c r="K5015" s="370"/>
      <c r="N5015" s="370"/>
    </row>
    <row r="5016" spans="1:14" s="347" customFormat="1" x14ac:dyDescent="0.25">
      <c r="A5016" s="369">
        <f>+A5015</f>
        <v>44452</v>
      </c>
      <c r="B5016" s="347">
        <f>+B5015</f>
        <v>9</v>
      </c>
      <c r="C5016" s="347">
        <v>215</v>
      </c>
      <c r="D5016" s="340" t="str">
        <f>VLOOKUP(C5016,Plan!A$1:B$65542,2,0)</f>
        <v>Cuenta por Pagar a Cali</v>
      </c>
      <c r="E5016" s="341">
        <f>+F5016-G5016</f>
        <v>-13000</v>
      </c>
      <c r="F5016" s="396">
        <v>0</v>
      </c>
      <c r="G5016" s="396">
        <f>+F5015</f>
        <v>13000</v>
      </c>
      <c r="H5016" t="str">
        <f>+H5015</f>
        <v>Keryma Felmer Echeverria / 249(Set)</v>
      </c>
      <c r="I5016" s="347" t="s">
        <v>1303</v>
      </c>
      <c r="K5016" s="370"/>
      <c r="N5016" s="370"/>
    </row>
    <row r="5017" spans="1:14" s="347" customFormat="1" x14ac:dyDescent="0.25">
      <c r="A5017" s="369"/>
      <c r="E5017" s="396"/>
      <c r="F5017" s="396"/>
      <c r="G5017" s="396"/>
      <c r="K5017" s="370"/>
      <c r="N5017" s="370"/>
    </row>
    <row r="5018" spans="1:14" s="347" customFormat="1" x14ac:dyDescent="0.25">
      <c r="A5018" s="369">
        <v>44452</v>
      </c>
      <c r="B5018" s="340">
        <f>+MONTH(A5018)</f>
        <v>9</v>
      </c>
      <c r="C5018" s="347">
        <v>110</v>
      </c>
      <c r="D5018" s="340" t="str">
        <f>VLOOKUP(C5018,Plan!A$1:B$65542,2,0)</f>
        <v>Disponible Administración</v>
      </c>
      <c r="E5018" s="341">
        <f>+F5018-G5018</f>
        <v>20000</v>
      </c>
      <c r="F5018" s="396">
        <v>20000</v>
      </c>
      <c r="G5018" s="396">
        <v>0</v>
      </c>
      <c r="H5018" t="s">
        <v>1125</v>
      </c>
      <c r="I5018" s="347" t="s">
        <v>1303</v>
      </c>
      <c r="K5018" s="370"/>
      <c r="N5018" s="370"/>
    </row>
    <row r="5019" spans="1:14" s="347" customFormat="1" x14ac:dyDescent="0.25">
      <c r="A5019" s="369">
        <f>+A5018</f>
        <v>44452</v>
      </c>
      <c r="B5019" s="347">
        <f>+B5018</f>
        <v>9</v>
      </c>
      <c r="C5019" s="347">
        <v>3110</v>
      </c>
      <c r="D5019" s="340" t="str">
        <f>VLOOKUP(C5019,Plan!A$1:B$65542,2,0)</f>
        <v>Colectas Normales</v>
      </c>
      <c r="E5019" s="341">
        <f>+F5019-G5019</f>
        <v>-20000</v>
      </c>
      <c r="F5019" s="396">
        <v>0</v>
      </c>
      <c r="G5019" s="396">
        <f>+F5018</f>
        <v>20000</v>
      </c>
      <c r="H5019" t="str">
        <f>+H5018</f>
        <v>Colecta Sandra Rivadeneira</v>
      </c>
      <c r="I5019" s="347" t="s">
        <v>1303</v>
      </c>
      <c r="K5019" s="370"/>
      <c r="N5019" s="370"/>
    </row>
    <row r="5020" spans="1:14" s="347" customFormat="1" x14ac:dyDescent="0.25">
      <c r="A5020" s="369"/>
      <c r="E5020" s="396"/>
      <c r="F5020" s="396"/>
      <c r="G5020" s="396"/>
      <c r="K5020" s="370"/>
      <c r="N5020" s="370"/>
    </row>
    <row r="5021" spans="1:14" s="347" customFormat="1" x14ac:dyDescent="0.25">
      <c r="A5021" s="369">
        <v>44452</v>
      </c>
      <c r="B5021" s="340">
        <f>+MONTH(A5021)</f>
        <v>9</v>
      </c>
      <c r="C5021" s="347">
        <v>110</v>
      </c>
      <c r="D5021" s="340" t="str">
        <f>VLOOKUP(C5021,Plan!A$1:B$65542,2,0)</f>
        <v>Disponible Administración</v>
      </c>
      <c r="E5021" s="341">
        <f>+F5021-G5021</f>
        <v>3000</v>
      </c>
      <c r="F5021" s="396">
        <v>3000</v>
      </c>
      <c r="G5021" s="396">
        <v>0</v>
      </c>
      <c r="H5021" t="s">
        <v>1584</v>
      </c>
      <c r="I5021" s="347" t="s">
        <v>1303</v>
      </c>
      <c r="K5021" s="370"/>
      <c r="N5021" s="370"/>
    </row>
    <row r="5022" spans="1:14" s="347" customFormat="1" x14ac:dyDescent="0.25">
      <c r="A5022" s="369">
        <f>+A5021</f>
        <v>44452</v>
      </c>
      <c r="B5022" s="347">
        <f>+B5021</f>
        <v>9</v>
      </c>
      <c r="C5022" s="347">
        <v>3110</v>
      </c>
      <c r="D5022" s="340" t="str">
        <f>VLOOKUP(C5022,Plan!A$1:B$65542,2,0)</f>
        <v>Colectas Normales</v>
      </c>
      <c r="E5022" s="341">
        <f>+F5022-G5022</f>
        <v>-3000</v>
      </c>
      <c r="F5022" s="396">
        <v>0</v>
      </c>
      <c r="G5022" s="396">
        <f>+F5021</f>
        <v>3000</v>
      </c>
      <c r="H5022" t="str">
        <f>+H5021</f>
        <v>Colecta Jose Miguel Perez de Castro Z.</v>
      </c>
      <c r="I5022" s="347" t="s">
        <v>1303</v>
      </c>
      <c r="K5022" s="370"/>
      <c r="N5022" s="370"/>
    </row>
    <row r="5023" spans="1:14" s="347" customFormat="1" x14ac:dyDescent="0.25">
      <c r="A5023" s="369"/>
      <c r="E5023" s="396"/>
      <c r="F5023" s="396"/>
      <c r="G5023" s="396"/>
      <c r="K5023" s="370"/>
      <c r="N5023" s="370"/>
    </row>
    <row r="5024" spans="1:14" s="347" customFormat="1" x14ac:dyDescent="0.25">
      <c r="A5024" s="369">
        <v>44452</v>
      </c>
      <c r="B5024" s="340">
        <f>+MONTH(A5024)</f>
        <v>9</v>
      </c>
      <c r="C5024" s="347">
        <v>110</v>
      </c>
      <c r="D5024" s="340" t="str">
        <f>VLOOKUP(C5024,Plan!A$1:B$65542,2,0)</f>
        <v>Disponible Administración</v>
      </c>
      <c r="E5024" s="341">
        <f>+F5024-G5024</f>
        <v>20000</v>
      </c>
      <c r="F5024" s="396">
        <v>20000</v>
      </c>
      <c r="G5024" s="396">
        <v>0</v>
      </c>
      <c r="H5024" t="s">
        <v>2044</v>
      </c>
      <c r="I5024" s="347" t="s">
        <v>1303</v>
      </c>
      <c r="K5024" s="370"/>
      <c r="N5024" s="370"/>
    </row>
    <row r="5025" spans="1:14" s="347" customFormat="1" x14ac:dyDescent="0.25">
      <c r="A5025" s="369">
        <f>+A5024</f>
        <v>44452</v>
      </c>
      <c r="B5025" s="347">
        <f>+B5024</f>
        <v>9</v>
      </c>
      <c r="C5025" s="347">
        <v>3110</v>
      </c>
      <c r="D5025" s="340" t="str">
        <f>VLOOKUP(C5025,Plan!A$1:B$65542,2,0)</f>
        <v>Colectas Normales</v>
      </c>
      <c r="E5025" s="341">
        <f>+F5025-G5025</f>
        <v>-20000</v>
      </c>
      <c r="F5025" s="396">
        <v>0</v>
      </c>
      <c r="G5025" s="396">
        <f>+F5024</f>
        <v>20000</v>
      </c>
      <c r="H5025" t="str">
        <f>+H5024</f>
        <v>Colecta Cyril hodgson Larrain</v>
      </c>
      <c r="I5025" s="347" t="s">
        <v>1303</v>
      </c>
      <c r="K5025" s="370"/>
      <c r="N5025" s="370"/>
    </row>
    <row r="5026" spans="1:14" s="347" customFormat="1" x14ac:dyDescent="0.25">
      <c r="A5026" s="369"/>
      <c r="E5026" s="396"/>
      <c r="F5026" s="396"/>
      <c r="G5026" s="396"/>
      <c r="K5026" s="370"/>
      <c r="N5026" s="370"/>
    </row>
    <row r="5027" spans="1:14" s="347" customFormat="1" x14ac:dyDescent="0.25">
      <c r="A5027" s="369">
        <v>44452</v>
      </c>
      <c r="B5027" s="340">
        <f>+MONTH(A5027)</f>
        <v>9</v>
      </c>
      <c r="C5027" s="347">
        <v>110</v>
      </c>
      <c r="D5027" s="340" t="str">
        <f>VLOOKUP(C5027,Plan!A$1:B$65542,2,0)</f>
        <v>Disponible Administración</v>
      </c>
      <c r="E5027" s="341">
        <f>+F5027-G5027</f>
        <v>30000</v>
      </c>
      <c r="F5027" s="396">
        <v>30000</v>
      </c>
      <c r="G5027" s="396">
        <v>0</v>
      </c>
      <c r="H5027" t="s">
        <v>2045</v>
      </c>
      <c r="I5027" s="347" t="s">
        <v>1303</v>
      </c>
      <c r="K5027" s="370"/>
      <c r="N5027" s="370"/>
    </row>
    <row r="5028" spans="1:14" s="347" customFormat="1" x14ac:dyDescent="0.25">
      <c r="A5028" s="369">
        <f>+A5027</f>
        <v>44452</v>
      </c>
      <c r="B5028" s="347">
        <f>+B5027</f>
        <v>9</v>
      </c>
      <c r="C5028" s="347">
        <v>3450</v>
      </c>
      <c r="D5028" s="340" t="str">
        <f>VLOOKUP(C5028,Plan!A$1:B$65542,2,0)</f>
        <v>Pastoral Social</v>
      </c>
      <c r="E5028" s="341">
        <f>+F5028-G5028</f>
        <v>-30000</v>
      </c>
      <c r="F5028" s="396">
        <v>0</v>
      </c>
      <c r="G5028" s="396">
        <f>+F5027</f>
        <v>30000</v>
      </c>
      <c r="H5028" t="str">
        <f>+H5027</f>
        <v>Canastas Cyril hodgson Larrain</v>
      </c>
      <c r="I5028" s="347" t="s">
        <v>1303</v>
      </c>
      <c r="K5028" s="370"/>
      <c r="N5028" s="370"/>
    </row>
    <row r="5029" spans="1:14" s="347" customFormat="1" x14ac:dyDescent="0.25">
      <c r="A5029" s="369"/>
      <c r="E5029" s="396"/>
      <c r="F5029" s="396"/>
      <c r="G5029" s="396"/>
      <c r="K5029" s="370"/>
      <c r="N5029" s="370"/>
    </row>
    <row r="5030" spans="1:14" s="347" customFormat="1" x14ac:dyDescent="0.25">
      <c r="A5030" s="369">
        <v>44452</v>
      </c>
      <c r="B5030" s="340">
        <f>+MONTH(A5030)</f>
        <v>9</v>
      </c>
      <c r="C5030" s="347">
        <v>110</v>
      </c>
      <c r="D5030" s="340" t="str">
        <f>VLOOKUP(C5030,Plan!A$1:B$65542,2,0)</f>
        <v>Disponible Administración</v>
      </c>
      <c r="E5030" s="341">
        <f>+F5030-G5030</f>
        <v>2000</v>
      </c>
      <c r="F5030" s="396">
        <v>2000</v>
      </c>
      <c r="G5030" s="396">
        <v>0</v>
      </c>
      <c r="H5030" t="s">
        <v>1216</v>
      </c>
      <c r="I5030" s="347" t="s">
        <v>1303</v>
      </c>
      <c r="K5030" s="370"/>
      <c r="N5030" s="370"/>
    </row>
    <row r="5031" spans="1:14" s="347" customFormat="1" x14ac:dyDescent="0.25">
      <c r="A5031" s="369">
        <f>+A5030</f>
        <v>44452</v>
      </c>
      <c r="B5031" s="347">
        <f>+B5030</f>
        <v>9</v>
      </c>
      <c r="C5031" s="347">
        <v>3110</v>
      </c>
      <c r="D5031" s="340" t="str">
        <f>VLOOKUP(C5031,Plan!A$1:B$65542,2,0)</f>
        <v>Colectas Normales</v>
      </c>
      <c r="E5031" s="341">
        <f>+F5031-G5031</f>
        <v>-2000</v>
      </c>
      <c r="F5031" s="396">
        <v>0</v>
      </c>
      <c r="G5031" s="396">
        <f>+F5030</f>
        <v>2000</v>
      </c>
      <c r="H5031" t="str">
        <f>+H5030</f>
        <v>Colecta Trinidad Barriga Cruzat</v>
      </c>
      <c r="I5031" s="347" t="s">
        <v>1303</v>
      </c>
      <c r="K5031" s="370"/>
      <c r="N5031" s="370"/>
    </row>
    <row r="5032" spans="1:14" s="347" customFormat="1" x14ac:dyDescent="0.25">
      <c r="A5032" s="369"/>
      <c r="E5032" s="396"/>
      <c r="F5032" s="396"/>
      <c r="G5032" s="396"/>
      <c r="K5032" s="370"/>
      <c r="N5032" s="370"/>
    </row>
    <row r="5033" spans="1:14" s="347" customFormat="1" x14ac:dyDescent="0.25">
      <c r="A5033" s="369">
        <v>44452</v>
      </c>
      <c r="B5033" s="340">
        <f>+MONTH(A5033)</f>
        <v>9</v>
      </c>
      <c r="C5033" s="347">
        <v>110</v>
      </c>
      <c r="D5033" s="340" t="str">
        <f>VLOOKUP(C5033,Plan!A$1:B$65542,2,0)</f>
        <v>Disponible Administración</v>
      </c>
      <c r="E5033" s="341">
        <f>+F5033-G5033</f>
        <v>20000</v>
      </c>
      <c r="F5033" s="396">
        <v>20000</v>
      </c>
      <c r="G5033" s="396">
        <v>0</v>
      </c>
      <c r="H5033" t="s">
        <v>2047</v>
      </c>
      <c r="I5033" s="347" t="s">
        <v>1303</v>
      </c>
      <c r="K5033" s="370"/>
      <c r="N5033" s="370"/>
    </row>
    <row r="5034" spans="1:14" s="347" customFormat="1" x14ac:dyDescent="0.25">
      <c r="A5034" s="369">
        <f>+A5033</f>
        <v>44452</v>
      </c>
      <c r="B5034" s="347">
        <f>+B5033</f>
        <v>9</v>
      </c>
      <c r="C5034" s="347">
        <v>3350</v>
      </c>
      <c r="D5034" s="340" t="str">
        <f>VLOOKUP(C5034,Plan!A$1:B$65542,2,0)</f>
        <v>Bautizos</v>
      </c>
      <c r="E5034" s="341">
        <f>+F5034-G5034</f>
        <v>-20000</v>
      </c>
      <c r="F5034" s="396">
        <v>0</v>
      </c>
      <c r="G5034" s="396">
        <f>+F5033</f>
        <v>20000</v>
      </c>
      <c r="H5034" t="str">
        <f>+H5033</f>
        <v>Bautizo Rodrigo Barros</v>
      </c>
      <c r="I5034" s="347" t="s">
        <v>1303</v>
      </c>
      <c r="K5034" s="370"/>
      <c r="N5034" s="370"/>
    </row>
    <row r="5035" spans="1:14" s="347" customFormat="1" x14ac:dyDescent="0.25">
      <c r="A5035" s="369"/>
      <c r="E5035" s="396"/>
      <c r="F5035" s="396"/>
      <c r="G5035" s="396"/>
      <c r="K5035" s="370"/>
      <c r="N5035" s="370"/>
    </row>
    <row r="5036" spans="1:14" s="347" customFormat="1" x14ac:dyDescent="0.25">
      <c r="A5036" s="369">
        <v>44452</v>
      </c>
      <c r="B5036" s="340">
        <f>+MONTH(A5036)</f>
        <v>9</v>
      </c>
      <c r="C5036" s="347">
        <v>110</v>
      </c>
      <c r="D5036" s="340" t="str">
        <f>VLOOKUP(C5036,Plan!A$1:B$65542,2,0)</f>
        <v>Disponible Administración</v>
      </c>
      <c r="E5036" s="341">
        <f>+F5036-G5036</f>
        <v>3000</v>
      </c>
      <c r="F5036" s="396">
        <v>3000</v>
      </c>
      <c r="G5036" s="396">
        <v>0</v>
      </c>
      <c r="H5036" t="s">
        <v>2046</v>
      </c>
      <c r="I5036" s="347" t="s">
        <v>1303</v>
      </c>
      <c r="K5036" s="370"/>
      <c r="N5036" s="370"/>
    </row>
    <row r="5037" spans="1:14" s="347" customFormat="1" x14ac:dyDescent="0.25">
      <c r="A5037" s="369">
        <f>+A5036</f>
        <v>44452</v>
      </c>
      <c r="B5037" s="347">
        <f>+B5036</f>
        <v>9</v>
      </c>
      <c r="C5037" s="347">
        <v>3340</v>
      </c>
      <c r="D5037" s="340" t="str">
        <f>VLOOKUP(C5037,Plan!A$1:B$65542,2,0)</f>
        <v>Misas</v>
      </c>
      <c r="E5037" s="341">
        <f>+F5037-G5037</f>
        <v>-3000</v>
      </c>
      <c r="F5037" s="396">
        <v>0</v>
      </c>
      <c r="G5037" s="396">
        <f>+F5036</f>
        <v>3000</v>
      </c>
      <c r="H5037" t="str">
        <f>+H5036</f>
        <v>Misa Anita M. Alvarez</v>
      </c>
      <c r="I5037" s="347" t="s">
        <v>1303</v>
      </c>
      <c r="K5037" s="370"/>
      <c r="N5037" s="370"/>
    </row>
    <row r="5038" spans="1:14" s="347" customFormat="1" x14ac:dyDescent="0.25">
      <c r="A5038" s="369"/>
      <c r="E5038" s="396"/>
      <c r="F5038" s="396"/>
      <c r="G5038" s="396"/>
      <c r="K5038" s="370"/>
      <c r="N5038" s="370"/>
    </row>
    <row r="5039" spans="1:14" s="347" customFormat="1" x14ac:dyDescent="0.25">
      <c r="A5039" s="369">
        <v>44452</v>
      </c>
      <c r="B5039" s="340">
        <f>+MONTH(A5039)</f>
        <v>9</v>
      </c>
      <c r="C5039" s="347">
        <v>110</v>
      </c>
      <c r="D5039" s="340" t="str">
        <f>VLOOKUP(C5039,Plan!A$1:B$65542,2,0)</f>
        <v>Disponible Administración</v>
      </c>
      <c r="E5039" s="341">
        <f>+F5039-G5039</f>
        <v>351240</v>
      </c>
      <c r="F5039" s="396">
        <v>351240</v>
      </c>
      <c r="G5039" s="396">
        <v>0</v>
      </c>
      <c r="H5039" t="s">
        <v>1410</v>
      </c>
      <c r="I5039" s="347" t="s">
        <v>1303</v>
      </c>
      <c r="K5039" s="370"/>
      <c r="N5039" s="370"/>
    </row>
    <row r="5040" spans="1:14" s="347" customFormat="1" x14ac:dyDescent="0.25">
      <c r="A5040" s="369">
        <f>+A5039</f>
        <v>44452</v>
      </c>
      <c r="B5040" s="347">
        <f>+B5039</f>
        <v>9</v>
      </c>
      <c r="C5040" s="347">
        <v>3110</v>
      </c>
      <c r="D5040" s="340" t="str">
        <f>VLOOKUP(C5040,Plan!A$1:B$65542,2,0)</f>
        <v>Colectas Normales</v>
      </c>
      <c r="E5040" s="341">
        <f>+F5040-G5040</f>
        <v>-351240</v>
      </c>
      <c r="F5040" s="396">
        <v>0</v>
      </c>
      <c r="G5040" s="396">
        <f>+F5039</f>
        <v>351240</v>
      </c>
      <c r="H5040" t="str">
        <f>+H5039</f>
        <v>Colecta Col. Cordillera</v>
      </c>
      <c r="I5040" s="347" t="s">
        <v>1303</v>
      </c>
      <c r="K5040" s="370"/>
      <c r="N5040" s="370"/>
    </row>
    <row r="5041" spans="1:14" s="347" customFormat="1" x14ac:dyDescent="0.25">
      <c r="A5041" s="369"/>
      <c r="E5041" s="396"/>
      <c r="F5041" s="396"/>
      <c r="G5041" s="396"/>
      <c r="K5041" s="370"/>
      <c r="N5041" s="370"/>
    </row>
    <row r="5042" spans="1:14" s="347" customFormat="1" x14ac:dyDescent="0.25">
      <c r="A5042" s="369">
        <v>44453</v>
      </c>
      <c r="B5042" s="340">
        <f>+MONTH(A5042)</f>
        <v>9</v>
      </c>
      <c r="C5042" s="347">
        <v>110</v>
      </c>
      <c r="D5042" s="340" t="str">
        <f>VLOOKUP(C5042,Plan!A$1:B$65542,2,0)</f>
        <v>Disponible Administración</v>
      </c>
      <c r="E5042" s="341">
        <f>+F5042-G5042</f>
        <v>10000</v>
      </c>
      <c r="F5042" s="396">
        <v>10000</v>
      </c>
      <c r="G5042" s="396">
        <v>0</v>
      </c>
      <c r="H5042" t="s">
        <v>1218</v>
      </c>
      <c r="I5042" s="347" t="s">
        <v>1303</v>
      </c>
      <c r="K5042" s="370"/>
      <c r="N5042" s="370"/>
    </row>
    <row r="5043" spans="1:14" s="347" customFormat="1" x14ac:dyDescent="0.25">
      <c r="A5043" s="369">
        <f>+A5042</f>
        <v>44453</v>
      </c>
      <c r="B5043" s="347">
        <f>+B5042</f>
        <v>9</v>
      </c>
      <c r="C5043" s="347">
        <v>3110</v>
      </c>
      <c r="D5043" s="340" t="str">
        <f>VLOOKUP(C5043,Plan!A$1:B$65542,2,0)</f>
        <v>Colectas Normales</v>
      </c>
      <c r="E5043" s="341">
        <f>+F5043-G5043</f>
        <v>-10000</v>
      </c>
      <c r="F5043" s="396">
        <v>0</v>
      </c>
      <c r="G5043" s="396">
        <f>+F5042</f>
        <v>10000</v>
      </c>
      <c r="H5043" t="str">
        <f>+H5042</f>
        <v>Colecta Mercedes Cisternas Perez</v>
      </c>
      <c r="I5043" s="347" t="s">
        <v>1303</v>
      </c>
      <c r="K5043" s="370"/>
      <c r="N5043" s="370"/>
    </row>
    <row r="5044" spans="1:14" s="347" customFormat="1" x14ac:dyDescent="0.25">
      <c r="A5044" s="369"/>
      <c r="E5044" s="396"/>
      <c r="F5044" s="396"/>
      <c r="G5044" s="396"/>
      <c r="K5044" s="370"/>
      <c r="N5044" s="370"/>
    </row>
    <row r="5045" spans="1:14" s="347" customFormat="1" x14ac:dyDescent="0.25">
      <c r="A5045" s="369">
        <v>44453</v>
      </c>
      <c r="B5045" s="340">
        <f>+MONTH(A5045)</f>
        <v>9</v>
      </c>
      <c r="C5045" s="347">
        <v>110</v>
      </c>
      <c r="D5045" s="340" t="str">
        <f>VLOOKUP(C5045,Plan!A$1:B$65542,2,0)</f>
        <v>Disponible Administración</v>
      </c>
      <c r="E5045" s="341">
        <f>+F5045-G5045</f>
        <v>25000</v>
      </c>
      <c r="F5045" s="396">
        <v>25000</v>
      </c>
      <c r="G5045" s="396">
        <v>0</v>
      </c>
      <c r="H5045" t="s">
        <v>1425</v>
      </c>
      <c r="I5045" s="347" t="s">
        <v>1303</v>
      </c>
      <c r="K5045" s="370"/>
      <c r="N5045" s="370"/>
    </row>
    <row r="5046" spans="1:14" s="347" customFormat="1" x14ac:dyDescent="0.25">
      <c r="A5046" s="369">
        <f>+A5045</f>
        <v>44453</v>
      </c>
      <c r="B5046" s="347">
        <f>+B5045</f>
        <v>9</v>
      </c>
      <c r="C5046" s="347">
        <v>3360</v>
      </c>
      <c r="D5046" s="340" t="str">
        <f>VLOOKUP(C5046,Plan!A$1:B$65542,2,0)</f>
        <v>Otros</v>
      </c>
      <c r="E5046" s="341">
        <f>+F5046-G5046</f>
        <v>-25000</v>
      </c>
      <c r="F5046" s="396">
        <v>0</v>
      </c>
      <c r="G5046" s="396">
        <f>+F5045</f>
        <v>25000</v>
      </c>
      <c r="H5046" t="str">
        <f>+H5045</f>
        <v>Curso Maria Soledad Toso Loyola</v>
      </c>
      <c r="I5046" s="347" t="s">
        <v>1303</v>
      </c>
      <c r="K5046" s="370"/>
      <c r="N5046" s="370"/>
    </row>
    <row r="5047" spans="1:14" s="347" customFormat="1" x14ac:dyDescent="0.25">
      <c r="K5047" s="370"/>
      <c r="N5047" s="370"/>
    </row>
    <row r="5048" spans="1:14" s="347" customFormat="1" x14ac:dyDescent="0.25">
      <c r="A5048" s="369">
        <v>44454</v>
      </c>
      <c r="B5048" s="340">
        <f>+MONTH(A5048)</f>
        <v>9</v>
      </c>
      <c r="C5048" s="347">
        <v>110</v>
      </c>
      <c r="D5048" s="340" t="str">
        <f>VLOOKUP(C5048,Plan!A$1:B$65542,2,0)</f>
        <v>Disponible Administración</v>
      </c>
      <c r="E5048" s="341">
        <f>+F5048-G5048</f>
        <v>50000</v>
      </c>
      <c r="F5048" s="396">
        <v>50000</v>
      </c>
      <c r="G5048" s="396">
        <v>0</v>
      </c>
      <c r="H5048" t="s">
        <v>733</v>
      </c>
      <c r="I5048" s="347" t="s">
        <v>1303</v>
      </c>
      <c r="K5048" s="370"/>
      <c r="N5048" s="370"/>
    </row>
    <row r="5049" spans="1:14" s="347" customFormat="1" x14ac:dyDescent="0.25">
      <c r="A5049" s="369">
        <f>+A5048</f>
        <v>44454</v>
      </c>
      <c r="B5049" s="347">
        <f>+B5048</f>
        <v>9</v>
      </c>
      <c r="C5049" s="347">
        <v>215</v>
      </c>
      <c r="D5049" s="340" t="str">
        <f>VLOOKUP(C5049,Plan!A$1:B$65542,2,0)</f>
        <v>Cuenta por Pagar a Cali</v>
      </c>
      <c r="E5049" s="341">
        <f>+F5049-G5049</f>
        <v>-50000</v>
      </c>
      <c r="F5049" s="396">
        <v>0</v>
      </c>
      <c r="G5049" s="396">
        <f>+F5048</f>
        <v>50000</v>
      </c>
      <c r="H5049" t="str">
        <f>+H5048</f>
        <v>Hilda Dougnac Rodríguez / Azul</v>
      </c>
      <c r="I5049" s="347" t="s">
        <v>1303</v>
      </c>
      <c r="K5049" s="370"/>
      <c r="N5049" s="370"/>
    </row>
    <row r="5050" spans="1:14" s="347" customFormat="1" x14ac:dyDescent="0.25">
      <c r="A5050" s="369"/>
      <c r="E5050" s="396"/>
      <c r="F5050" s="396"/>
      <c r="G5050" s="396"/>
      <c r="K5050" s="370"/>
      <c r="N5050" s="370"/>
    </row>
    <row r="5051" spans="1:14" s="347" customFormat="1" x14ac:dyDescent="0.25">
      <c r="A5051" s="369">
        <v>44454</v>
      </c>
      <c r="B5051" s="340">
        <f>+MONTH(A5051)</f>
        <v>9</v>
      </c>
      <c r="C5051" s="347">
        <v>110</v>
      </c>
      <c r="D5051" s="340" t="str">
        <f>VLOOKUP(C5051,Plan!A$1:B$65542,2,0)</f>
        <v>Disponible Administración</v>
      </c>
      <c r="E5051" s="341">
        <f>+F5051-G5051</f>
        <v>20000</v>
      </c>
      <c r="F5051" s="396">
        <v>20000</v>
      </c>
      <c r="G5051" s="396">
        <v>0</v>
      </c>
      <c r="H5051" t="s">
        <v>1151</v>
      </c>
      <c r="I5051" s="347" t="s">
        <v>1303</v>
      </c>
      <c r="K5051" s="370"/>
      <c r="N5051" s="370"/>
    </row>
    <row r="5052" spans="1:14" s="347" customFormat="1" x14ac:dyDescent="0.25">
      <c r="A5052" s="369">
        <f>+A5051</f>
        <v>44454</v>
      </c>
      <c r="B5052" s="347">
        <f>+B5051</f>
        <v>9</v>
      </c>
      <c r="C5052" s="347">
        <v>3110</v>
      </c>
      <c r="D5052" s="340" t="str">
        <f>VLOOKUP(C5052,Plan!A$1:B$65542,2,0)</f>
        <v>Colectas Normales</v>
      </c>
      <c r="E5052" s="341">
        <f>+F5052-G5052</f>
        <v>-20000</v>
      </c>
      <c r="F5052" s="396">
        <v>0</v>
      </c>
      <c r="G5052" s="396">
        <f>+F5051</f>
        <v>20000</v>
      </c>
      <c r="H5052" t="str">
        <f>+H5051</f>
        <v>Colecta Eduardo Boys M</v>
      </c>
      <c r="I5052" s="347" t="s">
        <v>1303</v>
      </c>
      <c r="K5052" s="370"/>
      <c r="N5052" s="370"/>
    </row>
    <row r="5053" spans="1:14" s="347" customFormat="1" x14ac:dyDescent="0.25">
      <c r="A5053" s="369"/>
      <c r="E5053" s="396"/>
      <c r="F5053" s="396"/>
      <c r="G5053" s="396"/>
      <c r="K5053" s="370"/>
      <c r="N5053" s="370"/>
    </row>
    <row r="5054" spans="1:14" s="347" customFormat="1" x14ac:dyDescent="0.25">
      <c r="A5054" s="369">
        <v>44454</v>
      </c>
      <c r="B5054" s="340">
        <f>+MONTH(A5054)</f>
        <v>9</v>
      </c>
      <c r="C5054" s="347">
        <v>4325</v>
      </c>
      <c r="D5054" s="340" t="str">
        <f>VLOOKUP(C5054,Plan!A$1:B$65542,2,0)</f>
        <v>Alarma (ADT)</v>
      </c>
      <c r="E5054" s="341">
        <f>+F5054-G5054</f>
        <v>43716</v>
      </c>
      <c r="F5054" s="396">
        <v>43716</v>
      </c>
      <c r="G5054" s="396">
        <v>0</v>
      </c>
      <c r="H5054" t="s">
        <v>750</v>
      </c>
      <c r="I5054" s="347" t="s">
        <v>1303</v>
      </c>
      <c r="K5054" s="370"/>
      <c r="N5054" s="370"/>
    </row>
    <row r="5055" spans="1:14" s="347" customFormat="1" x14ac:dyDescent="0.25">
      <c r="A5055" s="369">
        <f>+A5054</f>
        <v>44454</v>
      </c>
      <c r="B5055" s="347">
        <f>+B5054</f>
        <v>9</v>
      </c>
      <c r="C5055" s="347">
        <v>110</v>
      </c>
      <c r="D5055" s="340" t="str">
        <f>VLOOKUP(C5055,Plan!A$1:B$65542,2,0)</f>
        <v>Disponible Administración</v>
      </c>
      <c r="E5055" s="341">
        <f>+F5055-G5055</f>
        <v>-43716</v>
      </c>
      <c r="F5055" s="396">
        <v>0</v>
      </c>
      <c r="G5055" s="396">
        <f>+F5054</f>
        <v>43716</v>
      </c>
      <c r="H5055" t="str">
        <f>+H5054</f>
        <v>PAC ADT</v>
      </c>
      <c r="I5055" s="347" t="s">
        <v>1303</v>
      </c>
      <c r="K5055" s="370"/>
      <c r="N5055" s="370"/>
    </row>
    <row r="5056" spans="1:14" s="347" customFormat="1" x14ac:dyDescent="0.25">
      <c r="A5056" s="369"/>
      <c r="E5056" s="396"/>
      <c r="F5056" s="396"/>
      <c r="G5056" s="396"/>
      <c r="K5056" s="370"/>
      <c r="N5056" s="370"/>
    </row>
    <row r="5057" spans="1:14" s="347" customFormat="1" x14ac:dyDescent="0.25">
      <c r="A5057" s="369">
        <v>44454</v>
      </c>
      <c r="B5057" s="340">
        <f>+MONTH(A5057)</f>
        <v>9</v>
      </c>
      <c r="C5057" s="347">
        <v>110</v>
      </c>
      <c r="D5057" s="340" t="str">
        <f>VLOOKUP(C5057,Plan!A$1:B$65542,2,0)</f>
        <v>Disponible Administración</v>
      </c>
      <c r="E5057" s="341">
        <f>+F5057-G5057</f>
        <v>108691</v>
      </c>
      <c r="F5057" s="396">
        <v>108691</v>
      </c>
      <c r="G5057" s="396">
        <v>0</v>
      </c>
      <c r="H5057" t="s">
        <v>897</v>
      </c>
      <c r="I5057" s="347" t="s">
        <v>1303</v>
      </c>
      <c r="K5057" s="370"/>
      <c r="N5057" s="370"/>
    </row>
    <row r="5058" spans="1:14" s="347" customFormat="1" x14ac:dyDescent="0.25">
      <c r="A5058" s="369">
        <f>+A5057</f>
        <v>44454</v>
      </c>
      <c r="B5058" s="347">
        <f>+B5057</f>
        <v>9</v>
      </c>
      <c r="C5058" s="347">
        <v>3110</v>
      </c>
      <c r="D5058" s="340" t="str">
        <f>VLOOKUP(C5058,Plan!A$1:B$65542,2,0)</f>
        <v>Colectas Normales</v>
      </c>
      <c r="E5058" s="341">
        <f>+F5058-G5058</f>
        <v>-108691</v>
      </c>
      <c r="F5058" s="396">
        <v>0</v>
      </c>
      <c r="G5058" s="396">
        <f>+F5057</f>
        <v>108691</v>
      </c>
      <c r="H5058" t="str">
        <f>+H5057</f>
        <v>Colecta DCT</v>
      </c>
      <c r="I5058" s="347" t="s">
        <v>1303</v>
      </c>
      <c r="K5058" s="370"/>
      <c r="N5058" s="370"/>
    </row>
    <row r="5059" spans="1:14" s="347" customFormat="1" x14ac:dyDescent="0.25">
      <c r="A5059" s="369"/>
      <c r="E5059" s="396"/>
      <c r="F5059" s="396"/>
      <c r="G5059" s="396"/>
      <c r="K5059" s="370"/>
      <c r="N5059" s="370"/>
    </row>
    <row r="5060" spans="1:14" s="347" customFormat="1" x14ac:dyDescent="0.25">
      <c r="A5060" s="369">
        <v>44454</v>
      </c>
      <c r="B5060" s="340">
        <f>+MONTH(A5060)</f>
        <v>9</v>
      </c>
      <c r="C5060" s="347">
        <v>110</v>
      </c>
      <c r="D5060" s="340" t="str">
        <f>VLOOKUP(C5060,Plan!A$1:B$65542,2,0)</f>
        <v>Disponible Administración</v>
      </c>
      <c r="E5060" s="341">
        <f>+F5060-G5060</f>
        <v>29382</v>
      </c>
      <c r="F5060" s="396">
        <v>29382</v>
      </c>
      <c r="G5060" s="396">
        <v>0</v>
      </c>
      <c r="H5060" t="s">
        <v>1934</v>
      </c>
      <c r="I5060" s="347" t="s">
        <v>1303</v>
      </c>
      <c r="K5060" s="370"/>
      <c r="N5060" s="370"/>
    </row>
    <row r="5061" spans="1:14" s="347" customFormat="1" x14ac:dyDescent="0.25">
      <c r="A5061" s="369">
        <f>+A5060</f>
        <v>44454</v>
      </c>
      <c r="B5061" s="347">
        <f>+B5060</f>
        <v>9</v>
      </c>
      <c r="C5061" s="347">
        <v>3110</v>
      </c>
      <c r="D5061" s="340" t="str">
        <f>VLOOKUP(C5061,Plan!A$1:B$65542,2,0)</f>
        <v>Colectas Normales</v>
      </c>
      <c r="E5061" s="341">
        <f>+F5061-G5061</f>
        <v>-29382</v>
      </c>
      <c r="F5061" s="396">
        <v>0</v>
      </c>
      <c r="G5061" s="396">
        <f>+F5060</f>
        <v>29382</v>
      </c>
      <c r="H5061" t="str">
        <f>+H5060</f>
        <v>Colecta POS</v>
      </c>
      <c r="I5061" s="347" t="s">
        <v>1303</v>
      </c>
      <c r="K5061" s="370"/>
      <c r="N5061" s="370"/>
    </row>
    <row r="5062" spans="1:14" s="347" customFormat="1" x14ac:dyDescent="0.25">
      <c r="K5062" s="370"/>
      <c r="N5062" s="370"/>
    </row>
    <row r="5063" spans="1:14" s="347" customFormat="1" x14ac:dyDescent="0.25">
      <c r="A5063" s="369">
        <v>44455</v>
      </c>
      <c r="B5063" s="340">
        <f>+MONTH(A5063)</f>
        <v>9</v>
      </c>
      <c r="C5063" s="347">
        <v>4223</v>
      </c>
      <c r="D5063" s="340" t="str">
        <f>VLOOKUP(C5063,Plan!A$1:B$65542,2,0)</f>
        <v xml:space="preserve">         Comunicaciones</v>
      </c>
      <c r="E5063" s="341">
        <f>+F5063-G5063</f>
        <v>338983</v>
      </c>
      <c r="F5063" s="396">
        <f>+G5064+G5065</f>
        <v>338983</v>
      </c>
      <c r="G5063" s="396">
        <v>0</v>
      </c>
      <c r="H5063" t="s">
        <v>2048</v>
      </c>
      <c r="I5063" s="347" t="s">
        <v>1303</v>
      </c>
      <c r="K5063" s="370"/>
      <c r="N5063" s="370"/>
    </row>
    <row r="5064" spans="1:14" s="347" customFormat="1" x14ac:dyDescent="0.25">
      <c r="A5064" s="369">
        <f>+A5063</f>
        <v>44455</v>
      </c>
      <c r="B5064" s="347">
        <f>+B5063</f>
        <v>9</v>
      </c>
      <c r="C5064" s="347">
        <v>110</v>
      </c>
      <c r="D5064" s="340" t="str">
        <f>VLOOKUP(C5064,Plan!A$1:B$65542,2,0)</f>
        <v>Disponible Administración</v>
      </c>
      <c r="E5064" s="341">
        <f>+F5064-G5064</f>
        <v>-300000</v>
      </c>
      <c r="F5064" s="396">
        <v>0</v>
      </c>
      <c r="G5064" s="396">
        <v>300000</v>
      </c>
      <c r="H5064" t="str">
        <f>+H5063</f>
        <v>BE-31 MARIA INES JARA LAMA</v>
      </c>
      <c r="I5064" s="347" t="s">
        <v>1303</v>
      </c>
      <c r="K5064" s="370"/>
      <c r="N5064" s="370"/>
    </row>
    <row r="5065" spans="1:14" s="347" customFormat="1" x14ac:dyDescent="0.25">
      <c r="A5065" s="369">
        <f>+A5064</f>
        <v>44455</v>
      </c>
      <c r="B5065" s="347">
        <f>+B5064</f>
        <v>9</v>
      </c>
      <c r="C5065" s="347">
        <v>223</v>
      </c>
      <c r="D5065" s="340" t="str">
        <f>VLOOKUP(C5065,Plan!A$1:B$65542,2,0)</f>
        <v>Ret. Hon.  e Impto. Unico Administración</v>
      </c>
      <c r="E5065" s="341">
        <f>+F5065-G5065</f>
        <v>-38983</v>
      </c>
      <c r="F5065" s="396"/>
      <c r="G5065" s="396">
        <v>38983</v>
      </c>
      <c r="H5065" s="347" t="str">
        <f>+H5064</f>
        <v>BE-31 MARIA INES JARA LAMA</v>
      </c>
      <c r="I5065" s="347" t="str">
        <f>+I5064</f>
        <v>Administracion</v>
      </c>
      <c r="K5065" s="370"/>
      <c r="N5065" s="370"/>
    </row>
    <row r="5066" spans="1:14" s="347" customFormat="1" x14ac:dyDescent="0.25">
      <c r="A5066" s="369"/>
      <c r="E5066" s="396"/>
      <c r="F5066" s="396"/>
      <c r="G5066" s="396"/>
      <c r="K5066" s="370"/>
      <c r="N5066" s="370"/>
    </row>
    <row r="5067" spans="1:14" s="347" customFormat="1" x14ac:dyDescent="0.25">
      <c r="A5067" s="369">
        <v>44455</v>
      </c>
      <c r="B5067" s="340">
        <f>+MONTH(A5067)</f>
        <v>9</v>
      </c>
      <c r="C5067" s="347">
        <v>4643</v>
      </c>
      <c r="D5067" s="340" t="str">
        <f>VLOOKUP(C5067,Plan!A$1:B$65542,2,0)</f>
        <v xml:space="preserve">             Otros</v>
      </c>
      <c r="E5067" s="341">
        <f>+F5067-G5067</f>
        <v>60000</v>
      </c>
      <c r="F5067" s="396">
        <f>+G5068+G5069</f>
        <v>60000</v>
      </c>
      <c r="G5067" s="396">
        <v>0</v>
      </c>
      <c r="H5067" t="s">
        <v>2049</v>
      </c>
      <c r="I5067" s="347" t="s">
        <v>1303</v>
      </c>
      <c r="K5067" s="370"/>
      <c r="N5067" s="370"/>
    </row>
    <row r="5068" spans="1:14" s="347" customFormat="1" x14ac:dyDescent="0.25">
      <c r="A5068" s="369">
        <f>+A5067</f>
        <v>44455</v>
      </c>
      <c r="B5068" s="347">
        <f>+B5067</f>
        <v>9</v>
      </c>
      <c r="C5068" s="347">
        <v>110</v>
      </c>
      <c r="D5068" s="340" t="str">
        <f>VLOOKUP(C5068,Plan!A$1:B$65542,2,0)</f>
        <v>Disponible Administración</v>
      </c>
      <c r="E5068" s="341">
        <f>+F5068-G5068</f>
        <v>-53100</v>
      </c>
      <c r="F5068" s="396">
        <v>0</v>
      </c>
      <c r="G5068" s="396">
        <v>53100</v>
      </c>
      <c r="H5068" t="str">
        <f>+H5067</f>
        <v>BTE-113 DORLLY CARDENAS LINDARTE</v>
      </c>
      <c r="I5068" s="347" t="s">
        <v>1303</v>
      </c>
      <c r="K5068" s="370"/>
      <c r="N5068" s="370"/>
    </row>
    <row r="5069" spans="1:14" s="347" customFormat="1" x14ac:dyDescent="0.25">
      <c r="A5069" s="369">
        <f>+A5068</f>
        <v>44455</v>
      </c>
      <c r="B5069" s="347">
        <f>+B5068</f>
        <v>9</v>
      </c>
      <c r="C5069" s="347">
        <v>223</v>
      </c>
      <c r="D5069" s="340" t="str">
        <f>VLOOKUP(C5069,Plan!A$1:B$65542,2,0)</f>
        <v>Ret. Hon.  e Impto. Unico Administración</v>
      </c>
      <c r="E5069" s="341">
        <f>+F5069-G5069</f>
        <v>-6900</v>
      </c>
      <c r="F5069" s="396"/>
      <c r="G5069" s="396">
        <v>6900</v>
      </c>
      <c r="H5069" s="347" t="str">
        <f>+H5068</f>
        <v>BTE-113 DORLLY CARDENAS LINDARTE</v>
      </c>
      <c r="I5069" s="347" t="str">
        <f>+I5068</f>
        <v>Administracion</v>
      </c>
      <c r="K5069" s="370"/>
      <c r="N5069" s="370"/>
    </row>
    <row r="5070" spans="1:14" s="347" customFormat="1" x14ac:dyDescent="0.25">
      <c r="A5070" s="369"/>
      <c r="E5070" s="396"/>
      <c r="F5070" s="396"/>
      <c r="G5070" s="396"/>
      <c r="K5070" s="370"/>
      <c r="N5070" s="370"/>
    </row>
    <row r="5071" spans="1:14" s="347" customFormat="1" x14ac:dyDescent="0.25">
      <c r="A5071" s="369">
        <v>44455</v>
      </c>
      <c r="B5071" s="340">
        <f>+MONTH(A5071)</f>
        <v>9</v>
      </c>
      <c r="C5071" s="347">
        <v>4223</v>
      </c>
      <c r="D5071" s="340" t="str">
        <f>VLOOKUP(C5071,Plan!A$1:B$65542,2,0)</f>
        <v xml:space="preserve">         Comunicaciones</v>
      </c>
      <c r="E5071" s="341">
        <f>+F5071-G5071</f>
        <v>112994</v>
      </c>
      <c r="F5071" s="396">
        <f>+G5072+G5073</f>
        <v>112994</v>
      </c>
      <c r="G5071" s="396">
        <v>0</v>
      </c>
      <c r="H5071" t="s">
        <v>2050</v>
      </c>
      <c r="I5071" s="347" t="s">
        <v>1303</v>
      </c>
      <c r="K5071" s="370"/>
      <c r="N5071" s="370"/>
    </row>
    <row r="5072" spans="1:14" s="347" customFormat="1" x14ac:dyDescent="0.25">
      <c r="A5072" s="369">
        <f>+A5071</f>
        <v>44455</v>
      </c>
      <c r="B5072" s="347">
        <f>+B5071</f>
        <v>9</v>
      </c>
      <c r="C5072" s="347">
        <v>110</v>
      </c>
      <c r="D5072" s="340" t="str">
        <f>VLOOKUP(C5072,Plan!A$1:B$65542,2,0)</f>
        <v>Disponible Administración</v>
      </c>
      <c r="E5072" s="341">
        <f>+F5072-G5072</f>
        <v>-100000</v>
      </c>
      <c r="F5072" s="396">
        <v>0</v>
      </c>
      <c r="G5072" s="396">
        <v>100000</v>
      </c>
      <c r="H5072" t="str">
        <f>+H5071</f>
        <v>BE-10 RAIMUNDO RODRIGUEZ POZO</v>
      </c>
      <c r="I5072" s="347" t="s">
        <v>1303</v>
      </c>
      <c r="K5072" s="370"/>
      <c r="N5072" s="370"/>
    </row>
    <row r="5073" spans="1:14" s="347" customFormat="1" x14ac:dyDescent="0.25">
      <c r="A5073" s="369">
        <f>+A5072</f>
        <v>44455</v>
      </c>
      <c r="B5073" s="347">
        <f>+B5072</f>
        <v>9</v>
      </c>
      <c r="C5073" s="347">
        <v>223</v>
      </c>
      <c r="D5073" s="340" t="str">
        <f>VLOOKUP(C5073,Plan!A$1:B$65542,2,0)</f>
        <v>Ret. Hon.  e Impto. Unico Administración</v>
      </c>
      <c r="E5073" s="341">
        <f>+F5073-G5073</f>
        <v>-12994</v>
      </c>
      <c r="F5073" s="396"/>
      <c r="G5073" s="396">
        <v>12994</v>
      </c>
      <c r="H5073" s="347" t="str">
        <f>+H5072</f>
        <v>BE-10 RAIMUNDO RODRIGUEZ POZO</v>
      </c>
      <c r="I5073" s="347" t="str">
        <f>+I5072</f>
        <v>Administracion</v>
      </c>
      <c r="K5073" s="370"/>
      <c r="N5073" s="370"/>
    </row>
    <row r="5074" spans="1:14" s="347" customFormat="1" x14ac:dyDescent="0.25">
      <c r="A5074" s="369"/>
      <c r="E5074" s="396"/>
      <c r="F5074" s="396"/>
      <c r="G5074" s="396"/>
      <c r="K5074" s="370"/>
      <c r="N5074" s="370"/>
    </row>
    <row r="5075" spans="1:14" s="347" customFormat="1" x14ac:dyDescent="0.25">
      <c r="A5075" s="369">
        <v>44455</v>
      </c>
      <c r="B5075" s="340">
        <f>+MONTH(A5075)</f>
        <v>9</v>
      </c>
      <c r="C5075" s="347">
        <v>4650</v>
      </c>
      <c r="D5075" s="340" t="str">
        <f>VLOOKUP(C5075,Plan!A$1:B$65542,2,0)</f>
        <v>Pastoral Social</v>
      </c>
      <c r="E5075" s="341">
        <f>+F5075-G5075</f>
        <v>105000</v>
      </c>
      <c r="F5075" s="396">
        <v>105000</v>
      </c>
      <c r="G5075" s="396">
        <v>0</v>
      </c>
      <c r="H5075" t="s">
        <v>2051</v>
      </c>
      <c r="I5075" s="347" t="s">
        <v>1303</v>
      </c>
      <c r="K5075" s="370"/>
      <c r="N5075" s="370"/>
    </row>
    <row r="5076" spans="1:14" s="347" customFormat="1" x14ac:dyDescent="0.25">
      <c r="A5076" s="369">
        <f>+A5075</f>
        <v>44455</v>
      </c>
      <c r="B5076" s="340">
        <f>+MONTH(A5076)</f>
        <v>9</v>
      </c>
      <c r="C5076" s="347">
        <v>110</v>
      </c>
      <c r="D5076" s="340" t="str">
        <f>VLOOKUP(C5076,Plan!A$1:B$65542,2,0)</f>
        <v>Disponible Administración</v>
      </c>
      <c r="E5076" s="341">
        <f>+F5076-G5076</f>
        <v>-105000</v>
      </c>
      <c r="F5076" s="396"/>
      <c r="G5076" s="396">
        <f>+F5075</f>
        <v>105000</v>
      </c>
      <c r="H5076" s="347" t="str">
        <f>+H5075</f>
        <v>Rend. Gtos.Aniversario Campamento</v>
      </c>
      <c r="I5076" s="347" t="str">
        <f>+I5075</f>
        <v>Administracion</v>
      </c>
      <c r="K5076" s="370"/>
      <c r="N5076" s="370"/>
    </row>
    <row r="5077" spans="1:14" s="347" customFormat="1" x14ac:dyDescent="0.25">
      <c r="A5077" s="369"/>
      <c r="E5077" s="396"/>
      <c r="F5077" s="396"/>
      <c r="G5077" s="396"/>
      <c r="K5077" s="370"/>
      <c r="N5077" s="370"/>
    </row>
    <row r="5078" spans="1:14" s="347" customFormat="1" x14ac:dyDescent="0.25">
      <c r="A5078" s="369">
        <v>44455</v>
      </c>
      <c r="B5078" s="340">
        <f>+MONTH(A5078)</f>
        <v>9</v>
      </c>
      <c r="C5078" s="347">
        <v>4641</v>
      </c>
      <c r="D5078" s="340" t="str">
        <f>VLOOKUP(C5078,Plan!A$1:B$65542,2,0)</f>
        <v xml:space="preserve">             Capellanías </v>
      </c>
      <c r="E5078" s="341">
        <f>+F5078-G5078</f>
        <v>35000</v>
      </c>
      <c r="F5078" s="396">
        <v>35000</v>
      </c>
      <c r="G5078" s="396">
        <v>0</v>
      </c>
      <c r="H5078" t="s">
        <v>2052</v>
      </c>
      <c r="I5078" s="347" t="s">
        <v>1303</v>
      </c>
      <c r="K5078" s="370"/>
      <c r="N5078" s="370"/>
    </row>
    <row r="5079" spans="1:14" s="347" customFormat="1" x14ac:dyDescent="0.25">
      <c r="A5079" s="369">
        <f>+A5078</f>
        <v>44455</v>
      </c>
      <c r="B5079" s="347">
        <f>+B5078</f>
        <v>9</v>
      </c>
      <c r="C5079" s="347">
        <v>110</v>
      </c>
      <c r="D5079" s="340" t="str">
        <f>VLOOKUP(C5079,Plan!A$1:B$65542,2,0)</f>
        <v>Disponible Administración</v>
      </c>
      <c r="E5079" s="341">
        <f>+F5079-G5079</f>
        <v>-35000</v>
      </c>
      <c r="F5079" s="396">
        <v>0</v>
      </c>
      <c r="G5079" s="396">
        <f>+F5078</f>
        <v>35000</v>
      </c>
      <c r="H5079" s="347" t="str">
        <f>+H5078</f>
        <v>Capellania 2 Misas Sebastianus GO</v>
      </c>
      <c r="I5079" s="347" t="str">
        <f>+I5078</f>
        <v>Administracion</v>
      </c>
      <c r="K5079" s="370"/>
      <c r="N5079" s="370"/>
    </row>
    <row r="5080" spans="1:14" s="347" customFormat="1" x14ac:dyDescent="0.25">
      <c r="A5080" s="369"/>
      <c r="E5080" s="396"/>
      <c r="F5080" s="396"/>
      <c r="G5080" s="396"/>
      <c r="K5080" s="370"/>
      <c r="N5080" s="370"/>
    </row>
    <row r="5081" spans="1:14" s="347" customFormat="1" x14ac:dyDescent="0.25">
      <c r="A5081" s="369">
        <v>44455</v>
      </c>
      <c r="B5081" s="340">
        <f>+MONTH(A5081)</f>
        <v>9</v>
      </c>
      <c r="C5081" s="347">
        <v>4641</v>
      </c>
      <c r="D5081" s="340" t="str">
        <f>VLOOKUP(C5081,Plan!A$1:B$65542,2,0)</f>
        <v xml:space="preserve">             Capellanías </v>
      </c>
      <c r="E5081" s="341">
        <f>+F5081-G5081</f>
        <v>35000</v>
      </c>
      <c r="F5081" s="396">
        <v>35000</v>
      </c>
      <c r="G5081" s="396">
        <v>0</v>
      </c>
      <c r="H5081" t="s">
        <v>2053</v>
      </c>
      <c r="I5081" s="347" t="s">
        <v>1303</v>
      </c>
      <c r="K5081" s="370"/>
      <c r="N5081" s="370"/>
    </row>
    <row r="5082" spans="1:14" s="347" customFormat="1" x14ac:dyDescent="0.25">
      <c r="A5082" s="369">
        <f>+A5081</f>
        <v>44455</v>
      </c>
      <c r="B5082" s="340">
        <f>+MONTH(A5082)</f>
        <v>9</v>
      </c>
      <c r="C5082" s="347">
        <v>110</v>
      </c>
      <c r="D5082" s="340" t="str">
        <f>VLOOKUP(C5082,Plan!A$1:B$65542,2,0)</f>
        <v>Disponible Administración</v>
      </c>
      <c r="E5082" s="341">
        <f>+F5082-G5082</f>
        <v>-35000</v>
      </c>
      <c r="F5082" s="396">
        <v>0</v>
      </c>
      <c r="G5082" s="396">
        <f>+F5081</f>
        <v>35000</v>
      </c>
      <c r="H5082" s="347" t="str">
        <f>+H5081</f>
        <v>Capellania 2 Misas Cesar Augusto Fernandez</v>
      </c>
      <c r="I5082" s="347" t="str">
        <f>+I5081</f>
        <v>Administracion</v>
      </c>
      <c r="K5082" s="370"/>
      <c r="N5082" s="370"/>
    </row>
    <row r="5083" spans="1:14" s="347" customFormat="1" x14ac:dyDescent="0.25">
      <c r="A5083" s="369"/>
      <c r="E5083" s="396"/>
      <c r="F5083" s="396"/>
      <c r="G5083" s="396"/>
      <c r="K5083" s="370"/>
      <c r="N5083" s="370"/>
    </row>
    <row r="5084" spans="1:14" s="347" customFormat="1" x14ac:dyDescent="0.25">
      <c r="A5084" s="369">
        <v>44455</v>
      </c>
      <c r="B5084" s="340">
        <f>+MONTH(A5084)</f>
        <v>9</v>
      </c>
      <c r="C5084" s="347">
        <v>4641</v>
      </c>
      <c r="D5084" s="340" t="str">
        <f>VLOOKUP(C5084,Plan!A$1:B$65542,2,0)</f>
        <v xml:space="preserve">             Capellanías </v>
      </c>
      <c r="E5084" s="341">
        <f>+F5084-G5084</f>
        <v>15000</v>
      </c>
      <c r="F5084" s="396">
        <v>15000</v>
      </c>
      <c r="G5084" s="396">
        <v>0</v>
      </c>
      <c r="H5084" t="s">
        <v>2054</v>
      </c>
      <c r="I5084" s="347" t="s">
        <v>1303</v>
      </c>
      <c r="K5084" s="370"/>
      <c r="N5084" s="370"/>
    </row>
    <row r="5085" spans="1:14" s="347" customFormat="1" x14ac:dyDescent="0.25">
      <c r="A5085" s="369">
        <f>+A5084</f>
        <v>44455</v>
      </c>
      <c r="B5085" s="340">
        <f>+MONTH(A5085)</f>
        <v>9</v>
      </c>
      <c r="C5085" s="347">
        <v>110</v>
      </c>
      <c r="D5085" s="340" t="str">
        <f>VLOOKUP(C5085,Plan!A$1:B$65542,2,0)</f>
        <v>Disponible Administración</v>
      </c>
      <c r="E5085" s="341">
        <f>+F5085-G5085</f>
        <v>-15000</v>
      </c>
      <c r="F5085" s="396">
        <v>0</v>
      </c>
      <c r="G5085" s="396">
        <f>+F5084</f>
        <v>15000</v>
      </c>
      <c r="H5085" s="347" t="str">
        <f>+H5084</f>
        <v>Capellania 1 Misas Carlos Hernan Garces Voisenat</v>
      </c>
      <c r="I5085" s="347" t="str">
        <f>+I5084</f>
        <v>Administracion</v>
      </c>
      <c r="K5085" s="370"/>
      <c r="N5085" s="370"/>
    </row>
    <row r="5086" spans="1:14" s="347" customFormat="1" x14ac:dyDescent="0.25">
      <c r="A5086" s="369"/>
      <c r="E5086" s="396"/>
      <c r="F5086" s="396"/>
      <c r="G5086" s="396"/>
      <c r="K5086" s="370"/>
      <c r="N5086" s="370"/>
    </row>
    <row r="5087" spans="1:14" s="347" customFormat="1" x14ac:dyDescent="0.25">
      <c r="A5087" s="369">
        <v>44455</v>
      </c>
      <c r="B5087" s="340">
        <f>+MONTH(A5087)</f>
        <v>9</v>
      </c>
      <c r="C5087" s="347">
        <v>4641</v>
      </c>
      <c r="D5087" s="340" t="str">
        <f>VLOOKUP(C5087,Plan!A$1:B$65542,2,0)</f>
        <v xml:space="preserve">             Capellanías </v>
      </c>
      <c r="E5087" s="341">
        <f>+F5087-G5087</f>
        <v>55000</v>
      </c>
      <c r="F5087" s="396">
        <v>55000</v>
      </c>
      <c r="G5087" s="396">
        <v>0</v>
      </c>
      <c r="H5087" t="s">
        <v>2055</v>
      </c>
      <c r="I5087" s="347" t="s">
        <v>1303</v>
      </c>
      <c r="K5087" s="370"/>
      <c r="N5087" s="370"/>
    </row>
    <row r="5088" spans="1:14" s="347" customFormat="1" x14ac:dyDescent="0.25">
      <c r="A5088" s="369">
        <f>+A5087</f>
        <v>44455</v>
      </c>
      <c r="B5088" s="340">
        <f>+MONTH(A5088)</f>
        <v>9</v>
      </c>
      <c r="C5088" s="347">
        <v>110</v>
      </c>
      <c r="D5088" s="340" t="str">
        <f>VLOOKUP(C5088,Plan!A$1:B$65542,2,0)</f>
        <v>Disponible Administración</v>
      </c>
      <c r="E5088" s="341">
        <f>+F5088-G5088</f>
        <v>-55000</v>
      </c>
      <c r="F5088" s="396">
        <v>0</v>
      </c>
      <c r="G5088" s="396">
        <f>+F5087</f>
        <v>55000</v>
      </c>
      <c r="H5088" s="347" t="str">
        <f>+H5087</f>
        <v>Capellania 3 Misas Gabriel Barcena</v>
      </c>
      <c r="I5088" s="347" t="str">
        <f>+I5087</f>
        <v>Administracion</v>
      </c>
      <c r="K5088" s="370"/>
      <c r="N5088" s="370"/>
    </row>
    <row r="5089" spans="1:14" s="347" customFormat="1" x14ac:dyDescent="0.25">
      <c r="A5089" s="369"/>
      <c r="E5089" s="396"/>
      <c r="F5089" s="396"/>
      <c r="G5089" s="396"/>
      <c r="K5089" s="370"/>
      <c r="N5089" s="370"/>
    </row>
    <row r="5090" spans="1:14" s="347" customFormat="1" x14ac:dyDescent="0.25">
      <c r="A5090" s="369">
        <v>44455</v>
      </c>
      <c r="B5090" s="340">
        <f>+MONTH(A5090)</f>
        <v>9</v>
      </c>
      <c r="C5090" s="347">
        <v>110</v>
      </c>
      <c r="D5090" s="340" t="str">
        <f>VLOOKUP(C5090,Plan!A$1:B$65542,2,0)</f>
        <v>Disponible Administración</v>
      </c>
      <c r="E5090" s="341">
        <f>+F5090-G5090</f>
        <v>5000</v>
      </c>
      <c r="F5090" s="396">
        <v>5000</v>
      </c>
      <c r="G5090" s="396">
        <v>0</v>
      </c>
      <c r="H5090" t="s">
        <v>2056</v>
      </c>
      <c r="I5090" s="347" t="s">
        <v>1303</v>
      </c>
      <c r="K5090" s="370"/>
      <c r="N5090" s="370"/>
    </row>
    <row r="5091" spans="1:14" s="347" customFormat="1" x14ac:dyDescent="0.25">
      <c r="A5091" s="369">
        <f>+A5090</f>
        <v>44455</v>
      </c>
      <c r="B5091" s="340">
        <f>+MONTH(A5091)</f>
        <v>9</v>
      </c>
      <c r="C5091" s="347">
        <v>3340</v>
      </c>
      <c r="D5091" s="340" t="str">
        <f>VLOOKUP(C5091,Plan!A$1:B$65542,2,0)</f>
        <v>Misas</v>
      </c>
      <c r="E5091" s="341">
        <f>+F5091-G5091</f>
        <v>-5000</v>
      </c>
      <c r="F5091" s="396">
        <v>0</v>
      </c>
      <c r="G5091" s="396">
        <f>+F5090</f>
        <v>5000</v>
      </c>
      <c r="H5091" s="347" t="str">
        <f>+H5090</f>
        <v>Misa M. de los Angeles Morrison</v>
      </c>
      <c r="I5091" s="347" t="str">
        <f>+I5090</f>
        <v>Administracion</v>
      </c>
      <c r="K5091" s="370"/>
      <c r="N5091" s="370"/>
    </row>
    <row r="5092" spans="1:14" s="347" customFormat="1" x14ac:dyDescent="0.25">
      <c r="A5092" s="369"/>
      <c r="E5092" s="396"/>
      <c r="F5092" s="396"/>
      <c r="G5092" s="396"/>
      <c r="K5092" s="370"/>
      <c r="N5092" s="370"/>
    </row>
    <row r="5093" spans="1:14" s="347" customFormat="1" x14ac:dyDescent="0.25">
      <c r="A5093" s="369">
        <v>44455</v>
      </c>
      <c r="B5093" s="340">
        <f>+MONTH(A5093)</f>
        <v>9</v>
      </c>
      <c r="C5093" s="347">
        <v>4323</v>
      </c>
      <c r="D5093" s="340" t="str">
        <f>VLOOKUP(C5093,Plan!A$1:B$65542,2,0)</f>
        <v>Telefonía, Internet (VTR, Entel)</v>
      </c>
      <c r="E5093" s="341">
        <f>+F5093-G5093</f>
        <v>20990</v>
      </c>
      <c r="F5093" s="396">
        <v>20990</v>
      </c>
      <c r="G5093" s="396">
        <v>0</v>
      </c>
      <c r="H5093" t="s">
        <v>1359</v>
      </c>
      <c r="I5093" s="347" t="s">
        <v>1303</v>
      </c>
      <c r="K5093" s="370"/>
      <c r="N5093" s="370"/>
    </row>
    <row r="5094" spans="1:14" s="347" customFormat="1" x14ac:dyDescent="0.25">
      <c r="A5094" s="369">
        <f>+A5093</f>
        <v>44455</v>
      </c>
      <c r="B5094" s="340">
        <f>+MONTH(A5094)</f>
        <v>9</v>
      </c>
      <c r="C5094" s="347">
        <v>110</v>
      </c>
      <c r="D5094" s="340" t="str">
        <f>VLOOKUP(C5094,Plan!A$1:B$65542,2,0)</f>
        <v>Disponible Administración</v>
      </c>
      <c r="E5094" s="341">
        <f>+F5094-G5094</f>
        <v>-20990</v>
      </c>
      <c r="F5094" s="396">
        <v>0</v>
      </c>
      <c r="G5094" s="396">
        <f>+F5093</f>
        <v>20990</v>
      </c>
      <c r="H5094" s="347" t="str">
        <f>+H5093</f>
        <v>PAC ENTEL OFICINA</v>
      </c>
      <c r="I5094" s="347" t="str">
        <f>+I5093</f>
        <v>Administracion</v>
      </c>
      <c r="K5094" s="370"/>
      <c r="N5094" s="370"/>
    </row>
    <row r="5095" spans="1:14" s="347" customFormat="1" x14ac:dyDescent="0.25">
      <c r="A5095" s="369"/>
      <c r="E5095" s="396"/>
      <c r="F5095" s="396"/>
      <c r="G5095" s="396"/>
      <c r="K5095" s="370"/>
      <c r="N5095" s="370"/>
    </row>
    <row r="5096" spans="1:14" s="347" customFormat="1" x14ac:dyDescent="0.25">
      <c r="A5096" s="369">
        <v>44455</v>
      </c>
      <c r="B5096" s="340">
        <f>+MONTH(A5096)</f>
        <v>9</v>
      </c>
      <c r="C5096" s="347">
        <v>110</v>
      </c>
      <c r="D5096" s="340" t="str">
        <f>VLOOKUP(C5096,Plan!A$1:B$65542,2,0)</f>
        <v>Disponible Administración</v>
      </c>
      <c r="E5096" s="341">
        <f>+F5096-G5096</f>
        <v>78353</v>
      </c>
      <c r="F5096" s="396">
        <v>78353</v>
      </c>
      <c r="G5096" s="396">
        <v>0</v>
      </c>
      <c r="H5096" t="s">
        <v>897</v>
      </c>
      <c r="I5096" s="347" t="s">
        <v>1303</v>
      </c>
      <c r="K5096" s="370"/>
      <c r="N5096" s="370"/>
    </row>
    <row r="5097" spans="1:14" s="347" customFormat="1" x14ac:dyDescent="0.25">
      <c r="A5097" s="369">
        <f>+A5096</f>
        <v>44455</v>
      </c>
      <c r="B5097" s="340">
        <f>+MONTH(A5097)</f>
        <v>9</v>
      </c>
      <c r="C5097" s="347">
        <v>3110</v>
      </c>
      <c r="D5097" s="340" t="str">
        <f>VLOOKUP(C5097,Plan!A$1:B$65542,2,0)</f>
        <v>Colectas Normales</v>
      </c>
      <c r="E5097" s="341">
        <f>+F5097-G5097</f>
        <v>-78353</v>
      </c>
      <c r="F5097" s="396">
        <v>0</v>
      </c>
      <c r="G5097" s="396">
        <f>+F5096</f>
        <v>78353</v>
      </c>
      <c r="H5097" s="347" t="str">
        <f>+H5096</f>
        <v>Colecta DCT</v>
      </c>
      <c r="I5097" s="347" t="str">
        <f>+I5096</f>
        <v>Administracion</v>
      </c>
      <c r="K5097" s="370"/>
      <c r="N5097" s="370"/>
    </row>
    <row r="5098" spans="1:14" s="347" customFormat="1" x14ac:dyDescent="0.25">
      <c r="A5098" s="369"/>
      <c r="E5098" s="396"/>
      <c r="F5098" s="396"/>
      <c r="G5098" s="396"/>
      <c r="K5098" s="370"/>
      <c r="N5098" s="370"/>
    </row>
    <row r="5099" spans="1:14" s="347" customFormat="1" x14ac:dyDescent="0.25">
      <c r="A5099" s="369">
        <v>44459</v>
      </c>
      <c r="B5099" s="340">
        <f>+MONTH(A5099)</f>
        <v>9</v>
      </c>
      <c r="C5099" s="347">
        <v>110</v>
      </c>
      <c r="D5099" s="340" t="str">
        <f>VLOOKUP(C5099,Plan!A$1:B$65542,2,0)</f>
        <v>Disponible Administración</v>
      </c>
      <c r="E5099" s="341">
        <f>+F5099-G5099</f>
        <v>10000</v>
      </c>
      <c r="F5099" s="396">
        <v>10000</v>
      </c>
      <c r="G5099" s="396">
        <v>0</v>
      </c>
      <c r="H5099" t="s">
        <v>881</v>
      </c>
      <c r="I5099" s="347" t="s">
        <v>1303</v>
      </c>
      <c r="K5099" s="370"/>
      <c r="N5099" s="370"/>
    </row>
    <row r="5100" spans="1:14" s="347" customFormat="1" x14ac:dyDescent="0.25">
      <c r="A5100" s="369">
        <f>+A5099</f>
        <v>44459</v>
      </c>
      <c r="B5100" s="340">
        <f>+MONTH(A5100)</f>
        <v>9</v>
      </c>
      <c r="C5100" s="347">
        <v>3110</v>
      </c>
      <c r="D5100" s="340" t="str">
        <f>VLOOKUP(C5100,Plan!A$1:B$65542,2,0)</f>
        <v>Colectas Normales</v>
      </c>
      <c r="E5100" s="341">
        <f>+F5100-G5100</f>
        <v>-10000</v>
      </c>
      <c r="F5100" s="396">
        <v>0</v>
      </c>
      <c r="G5100" s="396">
        <f>+F5099</f>
        <v>10000</v>
      </c>
      <c r="H5100" s="347" t="str">
        <f>+H5099</f>
        <v>Colecta Rafael Marin Jordan</v>
      </c>
      <c r="I5100" s="347" t="str">
        <f>+I5099</f>
        <v>Administracion</v>
      </c>
      <c r="K5100" s="370"/>
      <c r="N5100" s="370"/>
    </row>
    <row r="5101" spans="1:14" s="347" customFormat="1" x14ac:dyDescent="0.25">
      <c r="A5101" s="369"/>
      <c r="E5101" s="396"/>
      <c r="F5101" s="396"/>
      <c r="G5101" s="396"/>
      <c r="K5101" s="370"/>
      <c r="N5101" s="370"/>
    </row>
    <row r="5102" spans="1:14" s="347" customFormat="1" x14ac:dyDescent="0.25">
      <c r="A5102" s="369">
        <v>44459</v>
      </c>
      <c r="B5102" s="340">
        <f>+MONTH(A5102)</f>
        <v>9</v>
      </c>
      <c r="C5102" s="347">
        <v>110</v>
      </c>
      <c r="D5102" s="340" t="str">
        <f>VLOOKUP(C5102,Plan!A$1:B$65542,2,0)</f>
        <v>Disponible Administración</v>
      </c>
      <c r="E5102" s="341">
        <f>+F5102-G5102</f>
        <v>8000</v>
      </c>
      <c r="F5102" s="396">
        <v>8000</v>
      </c>
      <c r="G5102" s="396">
        <v>0</v>
      </c>
      <c r="H5102" t="s">
        <v>2057</v>
      </c>
      <c r="I5102" s="347" t="s">
        <v>1303</v>
      </c>
      <c r="K5102" s="370"/>
      <c r="N5102" s="370"/>
    </row>
    <row r="5103" spans="1:14" s="347" customFormat="1" x14ac:dyDescent="0.25">
      <c r="A5103" s="369">
        <f>+A5102</f>
        <v>44459</v>
      </c>
      <c r="B5103" s="340">
        <f>+MONTH(A5103)</f>
        <v>9</v>
      </c>
      <c r="C5103" s="347">
        <v>3110</v>
      </c>
      <c r="D5103" s="340" t="str">
        <f>VLOOKUP(C5103,Plan!A$1:B$65542,2,0)</f>
        <v>Colectas Normales</v>
      </c>
      <c r="E5103" s="341">
        <f>+F5103-G5103</f>
        <v>-8000</v>
      </c>
      <c r="F5103" s="396">
        <v>0</v>
      </c>
      <c r="G5103" s="396">
        <f>+F5102</f>
        <v>8000</v>
      </c>
      <c r="H5103" s="347" t="str">
        <f>+H5102</f>
        <v>Colecta Pablo Irarrazaval</v>
      </c>
      <c r="I5103" s="347" t="str">
        <f>+I5102</f>
        <v>Administracion</v>
      </c>
      <c r="K5103" s="370"/>
      <c r="N5103" s="370"/>
    </row>
    <row r="5104" spans="1:14" s="347" customFormat="1" x14ac:dyDescent="0.25">
      <c r="A5104" s="369"/>
      <c r="E5104" s="396"/>
      <c r="F5104" s="396"/>
      <c r="G5104" s="396"/>
      <c r="K5104" s="370"/>
      <c r="N5104" s="370"/>
    </row>
    <row r="5105" spans="1:14" s="347" customFormat="1" x14ac:dyDescent="0.25">
      <c r="A5105" s="369">
        <v>44459</v>
      </c>
      <c r="B5105" s="340">
        <f>+MONTH(A5105)</f>
        <v>9</v>
      </c>
      <c r="C5105" s="347">
        <v>110</v>
      </c>
      <c r="D5105" s="340" t="str">
        <f>VLOOKUP(C5105,Plan!A$1:B$65542,2,0)</f>
        <v>Disponible Administración</v>
      </c>
      <c r="E5105" s="341">
        <f>+F5105-G5105</f>
        <v>3000</v>
      </c>
      <c r="F5105" s="396">
        <v>3000</v>
      </c>
      <c r="G5105" s="396">
        <v>0</v>
      </c>
      <c r="H5105" t="s">
        <v>1584</v>
      </c>
      <c r="I5105" s="347" t="s">
        <v>1303</v>
      </c>
      <c r="K5105" s="370"/>
      <c r="N5105" s="370"/>
    </row>
    <row r="5106" spans="1:14" s="347" customFormat="1" x14ac:dyDescent="0.25">
      <c r="A5106" s="369">
        <f>+A5105</f>
        <v>44459</v>
      </c>
      <c r="B5106" s="340">
        <f>+MONTH(A5106)</f>
        <v>9</v>
      </c>
      <c r="C5106" s="347">
        <v>3110</v>
      </c>
      <c r="D5106" s="340" t="str">
        <f>VLOOKUP(C5106,Plan!A$1:B$65542,2,0)</f>
        <v>Colectas Normales</v>
      </c>
      <c r="E5106" s="341">
        <f>+F5106-G5106</f>
        <v>-3000</v>
      </c>
      <c r="F5106" s="396">
        <v>0</v>
      </c>
      <c r="G5106" s="396">
        <f>+F5105</f>
        <v>3000</v>
      </c>
      <c r="H5106" s="347" t="str">
        <f>+H5105</f>
        <v>Colecta Jose Miguel Perez de Castro Z.</v>
      </c>
      <c r="I5106" s="347" t="str">
        <f>+I5105</f>
        <v>Administracion</v>
      </c>
      <c r="K5106" s="370"/>
      <c r="N5106" s="370"/>
    </row>
    <row r="5107" spans="1:14" s="347" customFormat="1" x14ac:dyDescent="0.25">
      <c r="K5107" s="370"/>
      <c r="N5107" s="370"/>
    </row>
    <row r="5108" spans="1:14" s="347" customFormat="1" x14ac:dyDescent="0.25">
      <c r="A5108" s="369">
        <v>44459</v>
      </c>
      <c r="B5108" s="347">
        <f>+B5106</f>
        <v>9</v>
      </c>
      <c r="C5108" s="347">
        <v>110</v>
      </c>
      <c r="D5108" s="340" t="str">
        <f>VLOOKUP(C5108,Plan!A$1:B$65542,2,0)</f>
        <v>Disponible Administración</v>
      </c>
      <c r="E5108" s="341">
        <f>+F5108-G5108</f>
        <v>15000</v>
      </c>
      <c r="F5108" s="396">
        <v>15000</v>
      </c>
      <c r="G5108" s="396">
        <v>0</v>
      </c>
      <c r="H5108" t="s">
        <v>1184</v>
      </c>
      <c r="I5108" s="347" t="s">
        <v>1303</v>
      </c>
      <c r="K5108" s="370"/>
      <c r="N5108" s="370"/>
    </row>
    <row r="5109" spans="1:14" s="347" customFormat="1" x14ac:dyDescent="0.25">
      <c r="A5109" s="369">
        <f>+A5108</f>
        <v>44459</v>
      </c>
      <c r="B5109" s="347">
        <f>+B5108</f>
        <v>9</v>
      </c>
      <c r="C5109" s="347">
        <v>3110</v>
      </c>
      <c r="D5109" s="340" t="str">
        <f>VLOOKUP(C5109,Plan!A$1:B$65542,2,0)</f>
        <v>Colectas Normales</v>
      </c>
      <c r="E5109" s="341">
        <f>+F5109-G5109</f>
        <v>-15000</v>
      </c>
      <c r="F5109" s="396">
        <v>0</v>
      </c>
      <c r="G5109" s="396">
        <f>+F5108</f>
        <v>15000</v>
      </c>
      <c r="H5109" s="347" t="str">
        <f>+H5108</f>
        <v>Colecta Maria Jose Urrutia Cruz</v>
      </c>
      <c r="I5109" s="347" t="str">
        <f>+I5108</f>
        <v>Administracion</v>
      </c>
      <c r="K5109" s="370"/>
      <c r="N5109" s="370"/>
    </row>
    <row r="5110" spans="1:14" s="347" customFormat="1" x14ac:dyDescent="0.25">
      <c r="A5110" s="369"/>
      <c r="E5110" s="396"/>
      <c r="F5110" s="396"/>
      <c r="G5110" s="396"/>
      <c r="K5110" s="370"/>
      <c r="N5110" s="370"/>
    </row>
    <row r="5111" spans="1:14" s="347" customFormat="1" x14ac:dyDescent="0.25">
      <c r="A5111" s="369">
        <v>44459</v>
      </c>
      <c r="B5111" s="347">
        <f>+B5109</f>
        <v>9</v>
      </c>
      <c r="C5111" s="347">
        <v>110</v>
      </c>
      <c r="D5111" s="340" t="str">
        <f>VLOOKUP(C5111,Plan!A$1:B$65542,2,0)</f>
        <v>Disponible Administración</v>
      </c>
      <c r="E5111" s="341">
        <f>+F5111-G5111</f>
        <v>2000</v>
      </c>
      <c r="F5111" s="396">
        <v>2000</v>
      </c>
      <c r="G5111" s="396">
        <v>0</v>
      </c>
      <c r="H5111" t="s">
        <v>1216</v>
      </c>
      <c r="I5111" s="347" t="s">
        <v>1303</v>
      </c>
      <c r="K5111" s="370"/>
      <c r="N5111" s="370"/>
    </row>
    <row r="5112" spans="1:14" s="347" customFormat="1" x14ac:dyDescent="0.25">
      <c r="A5112" s="369">
        <f>+A5111</f>
        <v>44459</v>
      </c>
      <c r="B5112" s="347">
        <f>+B5111</f>
        <v>9</v>
      </c>
      <c r="C5112" s="347">
        <v>3110</v>
      </c>
      <c r="D5112" s="340" t="str">
        <f>VLOOKUP(C5112,Plan!A$1:B$65542,2,0)</f>
        <v>Colectas Normales</v>
      </c>
      <c r="E5112" s="341">
        <f>+F5112-G5112</f>
        <v>-2000</v>
      </c>
      <c r="F5112" s="396">
        <v>0</v>
      </c>
      <c r="G5112" s="396">
        <f>+F5111</f>
        <v>2000</v>
      </c>
      <c r="H5112" s="347" t="str">
        <f>+H5111</f>
        <v>Colecta Trinidad Barriga Cruzat</v>
      </c>
      <c r="I5112" s="347" t="str">
        <f>+I5111</f>
        <v>Administracion</v>
      </c>
      <c r="K5112" s="370"/>
      <c r="N5112" s="370"/>
    </row>
    <row r="5113" spans="1:14" s="347" customFormat="1" x14ac:dyDescent="0.25">
      <c r="A5113" s="369"/>
      <c r="E5113" s="396"/>
      <c r="F5113" s="396"/>
      <c r="G5113" s="396"/>
      <c r="K5113" s="370"/>
      <c r="N5113" s="370"/>
    </row>
    <row r="5114" spans="1:14" s="347" customFormat="1" x14ac:dyDescent="0.25">
      <c r="A5114" s="369">
        <v>44459</v>
      </c>
      <c r="B5114" s="347">
        <f>+B5112</f>
        <v>9</v>
      </c>
      <c r="C5114" s="347">
        <v>110</v>
      </c>
      <c r="D5114" s="340" t="str">
        <f>VLOOKUP(C5114,Plan!A$1:B$65542,2,0)</f>
        <v>Disponible Administración</v>
      </c>
      <c r="E5114" s="341">
        <f>+F5114-G5114</f>
        <v>15000</v>
      </c>
      <c r="F5114" s="396">
        <v>15000</v>
      </c>
      <c r="G5114" s="396">
        <v>0</v>
      </c>
      <c r="H5114" t="s">
        <v>943</v>
      </c>
      <c r="I5114" s="347" t="s">
        <v>1303</v>
      </c>
      <c r="K5114" s="370"/>
      <c r="N5114" s="370"/>
    </row>
    <row r="5115" spans="1:14" s="347" customFormat="1" x14ac:dyDescent="0.25">
      <c r="A5115" s="369">
        <f>+A5114</f>
        <v>44459</v>
      </c>
      <c r="B5115" s="347">
        <f>+B5114</f>
        <v>9</v>
      </c>
      <c r="C5115" s="347">
        <v>3110</v>
      </c>
      <c r="D5115" s="340" t="str">
        <f>VLOOKUP(C5115,Plan!A$1:B$65542,2,0)</f>
        <v>Colectas Normales</v>
      </c>
      <c r="E5115" s="341">
        <f>+F5115-G5115</f>
        <v>-15000</v>
      </c>
      <c r="F5115" s="396">
        <v>0</v>
      </c>
      <c r="G5115" s="396">
        <f>+F5114</f>
        <v>15000</v>
      </c>
      <c r="H5115" s="347" t="str">
        <f>+H5114</f>
        <v>Colecta Carolina Guridi G</v>
      </c>
      <c r="I5115" s="347" t="str">
        <f>+I5114</f>
        <v>Administracion</v>
      </c>
      <c r="K5115" s="370"/>
      <c r="N5115" s="370"/>
    </row>
    <row r="5116" spans="1:14" s="347" customFormat="1" x14ac:dyDescent="0.25">
      <c r="A5116" s="369"/>
      <c r="E5116" s="396"/>
      <c r="F5116" s="396"/>
      <c r="G5116" s="396"/>
      <c r="K5116" s="370"/>
      <c r="N5116" s="370"/>
    </row>
    <row r="5117" spans="1:14" s="347" customFormat="1" x14ac:dyDescent="0.25">
      <c r="A5117" s="369">
        <v>44459</v>
      </c>
      <c r="B5117" s="347">
        <f>+B5115</f>
        <v>9</v>
      </c>
      <c r="C5117" s="347">
        <v>110</v>
      </c>
      <c r="D5117" s="340" t="str">
        <f>VLOOKUP(C5117,Plan!A$1:B$65542,2,0)</f>
        <v>Disponible Administración</v>
      </c>
      <c r="E5117" s="341">
        <f>+F5117-G5117</f>
        <v>4940</v>
      </c>
      <c r="F5117" s="396">
        <v>4940</v>
      </c>
      <c r="G5117" s="396">
        <v>0</v>
      </c>
      <c r="H5117" t="s">
        <v>1934</v>
      </c>
      <c r="I5117" s="347" t="s">
        <v>1303</v>
      </c>
      <c r="K5117" s="370"/>
      <c r="N5117" s="370"/>
    </row>
    <row r="5118" spans="1:14" s="347" customFormat="1" x14ac:dyDescent="0.25">
      <c r="A5118" s="369">
        <f>+A5117</f>
        <v>44459</v>
      </c>
      <c r="B5118" s="347">
        <f>+B5117</f>
        <v>9</v>
      </c>
      <c r="C5118" s="347">
        <v>3110</v>
      </c>
      <c r="D5118" s="340" t="str">
        <f>VLOOKUP(C5118,Plan!A$1:B$65542,2,0)</f>
        <v>Colectas Normales</v>
      </c>
      <c r="E5118" s="341">
        <f>+F5118-G5118</f>
        <v>-4940</v>
      </c>
      <c r="F5118" s="396">
        <v>0</v>
      </c>
      <c r="G5118" s="396">
        <f>+F5117</f>
        <v>4940</v>
      </c>
      <c r="H5118" s="347" t="str">
        <f>+H5117</f>
        <v>Colecta POS</v>
      </c>
      <c r="I5118" s="347" t="str">
        <f>+I5117</f>
        <v>Administracion</v>
      </c>
      <c r="K5118" s="370"/>
      <c r="N5118" s="370"/>
    </row>
    <row r="5119" spans="1:14" s="347" customFormat="1" x14ac:dyDescent="0.25">
      <c r="A5119" s="369"/>
      <c r="E5119" s="396"/>
      <c r="F5119" s="396"/>
      <c r="G5119" s="396"/>
      <c r="K5119" s="370"/>
      <c r="N5119" s="370"/>
    </row>
    <row r="5120" spans="1:14" s="347" customFormat="1" x14ac:dyDescent="0.25">
      <c r="A5120" s="369">
        <v>44459</v>
      </c>
      <c r="B5120" s="347">
        <f>+B5118</f>
        <v>9</v>
      </c>
      <c r="C5120" s="347">
        <v>110</v>
      </c>
      <c r="D5120" s="340" t="str">
        <f>VLOOKUP(C5120,Plan!A$1:B$65542,2,0)</f>
        <v>Disponible Administración</v>
      </c>
      <c r="E5120" s="341">
        <f>+F5120-G5120</f>
        <v>9793</v>
      </c>
      <c r="F5120" s="396">
        <v>9793</v>
      </c>
      <c r="G5120" s="396">
        <v>0</v>
      </c>
      <c r="H5120" t="s">
        <v>1338</v>
      </c>
      <c r="I5120" s="347" t="s">
        <v>1303</v>
      </c>
      <c r="K5120" s="370"/>
      <c r="N5120" s="370"/>
    </row>
    <row r="5121" spans="1:14" s="347" customFormat="1" x14ac:dyDescent="0.25">
      <c r="A5121" s="369">
        <f>+A5120</f>
        <v>44459</v>
      </c>
      <c r="B5121" s="347">
        <f>+B5120</f>
        <v>9</v>
      </c>
      <c r="C5121" s="347">
        <v>3340</v>
      </c>
      <c r="D5121" s="340" t="str">
        <f>VLOOKUP(C5121,Plan!A$1:B$65542,2,0)</f>
        <v>Misas</v>
      </c>
      <c r="E5121" s="341">
        <f>+F5121-G5121</f>
        <v>-9793</v>
      </c>
      <c r="F5121" s="396">
        <v>0</v>
      </c>
      <c r="G5121" s="396">
        <f>+F5120</f>
        <v>9793</v>
      </c>
      <c r="H5121" s="347" t="str">
        <f>+H5120</f>
        <v>Misa DCT</v>
      </c>
      <c r="I5121" s="347" t="str">
        <f>+I5120</f>
        <v>Administracion</v>
      </c>
      <c r="K5121" s="370"/>
      <c r="N5121" s="370"/>
    </row>
    <row r="5122" spans="1:14" s="347" customFormat="1" x14ac:dyDescent="0.25">
      <c r="A5122" s="369"/>
      <c r="E5122" s="396"/>
      <c r="F5122" s="396"/>
      <c r="G5122" s="396"/>
      <c r="K5122" s="370"/>
      <c r="N5122" s="370"/>
    </row>
    <row r="5123" spans="1:14" s="347" customFormat="1" x14ac:dyDescent="0.25">
      <c r="A5123" s="369">
        <v>44459</v>
      </c>
      <c r="B5123" s="347">
        <f>+B5121</f>
        <v>9</v>
      </c>
      <c r="C5123" s="347">
        <v>110</v>
      </c>
      <c r="D5123" s="340" t="str">
        <f>VLOOKUP(C5123,Plan!A$1:B$65542,2,0)</f>
        <v>Disponible Administración</v>
      </c>
      <c r="E5123" s="341">
        <f>+F5123-G5123</f>
        <v>100000</v>
      </c>
      <c r="F5123" s="396">
        <v>100000</v>
      </c>
      <c r="G5123" s="396">
        <v>0</v>
      </c>
      <c r="H5123" t="s">
        <v>1107</v>
      </c>
      <c r="I5123" s="347" t="s">
        <v>1303</v>
      </c>
      <c r="K5123" s="370"/>
      <c r="N5123" s="370"/>
    </row>
    <row r="5124" spans="1:14" s="347" customFormat="1" x14ac:dyDescent="0.25">
      <c r="A5124" s="369">
        <f>+A5123</f>
        <v>44459</v>
      </c>
      <c r="B5124" s="347">
        <f>+B5123</f>
        <v>9</v>
      </c>
      <c r="C5124" s="347">
        <v>3110</v>
      </c>
      <c r="D5124" s="340" t="str">
        <f>VLOOKUP(C5124,Plan!A$1:B$65542,2,0)</f>
        <v>Colectas Normales</v>
      </c>
      <c r="E5124" s="341">
        <f>+F5124-G5124</f>
        <v>-100000</v>
      </c>
      <c r="F5124" s="396">
        <v>0</v>
      </c>
      <c r="G5124" s="396">
        <f>+F5123</f>
        <v>100000</v>
      </c>
      <c r="H5124" s="347" t="str">
        <f>+H5123</f>
        <v>Colecta Francisco Guillen</v>
      </c>
      <c r="I5124" s="347" t="str">
        <f>+I5123</f>
        <v>Administracion</v>
      </c>
      <c r="K5124" s="370"/>
      <c r="N5124" s="370"/>
    </row>
    <row r="5125" spans="1:14" s="347" customFormat="1" x14ac:dyDescent="0.25">
      <c r="A5125" s="369"/>
      <c r="E5125" s="396"/>
      <c r="F5125" s="396"/>
      <c r="G5125" s="396"/>
      <c r="K5125" s="370"/>
      <c r="N5125" s="370"/>
    </row>
    <row r="5126" spans="1:14" s="347" customFormat="1" x14ac:dyDescent="0.25">
      <c r="A5126" s="369">
        <v>44459</v>
      </c>
      <c r="B5126" s="347">
        <f>+B5124</f>
        <v>9</v>
      </c>
      <c r="C5126" s="347">
        <v>110</v>
      </c>
      <c r="D5126" s="340" t="str">
        <f>VLOOKUP(C5126,Plan!A$1:B$65542,2,0)</f>
        <v>Disponible Administración</v>
      </c>
      <c r="E5126" s="341">
        <f>+F5126-G5126</f>
        <v>20000</v>
      </c>
      <c r="F5126" s="396">
        <v>20000</v>
      </c>
      <c r="G5126" s="396">
        <v>0</v>
      </c>
      <c r="H5126" t="s">
        <v>2058</v>
      </c>
      <c r="I5126" s="347" t="s">
        <v>1303</v>
      </c>
      <c r="K5126" s="370"/>
      <c r="N5126" s="370"/>
    </row>
    <row r="5127" spans="1:14" s="347" customFormat="1" x14ac:dyDescent="0.25">
      <c r="A5127" s="369">
        <f>+A5126</f>
        <v>44459</v>
      </c>
      <c r="B5127" s="347">
        <f>+B5126</f>
        <v>9</v>
      </c>
      <c r="C5127" s="347">
        <v>3110</v>
      </c>
      <c r="D5127" s="340" t="str">
        <f>VLOOKUP(C5127,Plan!A$1:B$65542,2,0)</f>
        <v>Colectas Normales</v>
      </c>
      <c r="E5127" s="341">
        <f>+F5127-G5127</f>
        <v>-20000</v>
      </c>
      <c r="F5127" s="396">
        <v>0</v>
      </c>
      <c r="G5127" s="396">
        <f>+F5126</f>
        <v>20000</v>
      </c>
      <c r="H5127" s="347" t="str">
        <f>+H5126</f>
        <v>Colecta Andres de la Barra Correa</v>
      </c>
      <c r="I5127" s="347" t="str">
        <f>+I5126</f>
        <v>Administracion</v>
      </c>
      <c r="K5127" s="370"/>
      <c r="N5127" s="370"/>
    </row>
    <row r="5128" spans="1:14" s="347" customFormat="1" x14ac:dyDescent="0.25">
      <c r="A5128" s="369"/>
      <c r="E5128" s="396"/>
      <c r="F5128" s="396"/>
      <c r="G5128" s="396"/>
      <c r="K5128" s="370"/>
      <c r="N5128" s="370"/>
    </row>
    <row r="5129" spans="1:14" s="347" customFormat="1" x14ac:dyDescent="0.25">
      <c r="A5129" s="369">
        <v>44459</v>
      </c>
      <c r="B5129" s="347">
        <f>+B5127</f>
        <v>9</v>
      </c>
      <c r="C5129" s="347">
        <v>110</v>
      </c>
      <c r="D5129" s="340" t="str">
        <f>VLOOKUP(C5129,Plan!A$1:B$65542,2,0)</f>
        <v>Disponible Administración</v>
      </c>
      <c r="E5129" s="341">
        <f>+F5129-G5129</f>
        <v>5000</v>
      </c>
      <c r="F5129" s="396">
        <v>5000</v>
      </c>
      <c r="G5129" s="396">
        <v>0</v>
      </c>
      <c r="H5129" t="s">
        <v>2059</v>
      </c>
      <c r="I5129" s="347" t="s">
        <v>1303</v>
      </c>
      <c r="K5129" s="370"/>
      <c r="N5129" s="370"/>
    </row>
    <row r="5130" spans="1:14" s="347" customFormat="1" x14ac:dyDescent="0.25">
      <c r="A5130" s="369">
        <f>+A5129</f>
        <v>44459</v>
      </c>
      <c r="B5130" s="347">
        <f>+B5129</f>
        <v>9</v>
      </c>
      <c r="C5130" s="347">
        <v>3350</v>
      </c>
      <c r="D5130" s="340" t="str">
        <f>VLOOKUP(C5130,Plan!A$1:B$65542,2,0)</f>
        <v>Bautizos</v>
      </c>
      <c r="E5130" s="341">
        <f>+F5130-G5130</f>
        <v>-5000</v>
      </c>
      <c r="F5130" s="396">
        <v>0</v>
      </c>
      <c r="G5130" s="396">
        <f>+F5129</f>
        <v>5000</v>
      </c>
      <c r="H5130" s="347" t="str">
        <f>+H5129</f>
        <v>Bautizo Maria Sofia Grob</v>
      </c>
      <c r="I5130" s="347" t="str">
        <f>+I5129</f>
        <v>Administracion</v>
      </c>
      <c r="K5130" s="370"/>
      <c r="N5130" s="370"/>
    </row>
    <row r="5131" spans="1:14" s="347" customFormat="1" x14ac:dyDescent="0.25">
      <c r="A5131" s="369"/>
      <c r="E5131" s="396"/>
      <c r="F5131" s="396"/>
      <c r="G5131" s="396"/>
      <c r="K5131" s="370"/>
      <c r="N5131" s="370"/>
    </row>
    <row r="5132" spans="1:14" s="347" customFormat="1" x14ac:dyDescent="0.25">
      <c r="A5132" s="369">
        <v>44459</v>
      </c>
      <c r="B5132" s="347">
        <f>+B5130</f>
        <v>9</v>
      </c>
      <c r="C5132" s="347">
        <v>110</v>
      </c>
      <c r="D5132" s="340" t="str">
        <f>VLOOKUP(C5132,Plan!A$1:B$65542,2,0)</f>
        <v>Disponible Administración</v>
      </c>
      <c r="E5132" s="341">
        <f>+F5132-G5132</f>
        <v>607950</v>
      </c>
      <c r="F5132" s="396">
        <v>607950</v>
      </c>
      <c r="G5132" s="396">
        <v>0</v>
      </c>
      <c r="H5132" t="s">
        <v>1410</v>
      </c>
      <c r="I5132" s="347" t="s">
        <v>1303</v>
      </c>
      <c r="K5132" s="370"/>
      <c r="N5132" s="370"/>
    </row>
    <row r="5133" spans="1:14" s="347" customFormat="1" x14ac:dyDescent="0.25">
      <c r="A5133" s="369">
        <f>+A5132</f>
        <v>44459</v>
      </c>
      <c r="B5133" s="347">
        <f>+B5132</f>
        <v>9</v>
      </c>
      <c r="C5133" s="347">
        <v>3110</v>
      </c>
      <c r="D5133" s="340" t="str">
        <f>VLOOKUP(C5133,Plan!A$1:B$65542,2,0)</f>
        <v>Colectas Normales</v>
      </c>
      <c r="E5133" s="341">
        <f>+F5133-G5133</f>
        <v>-607950</v>
      </c>
      <c r="F5133" s="396">
        <v>0</v>
      </c>
      <c r="G5133" s="396">
        <f>+F5132</f>
        <v>607950</v>
      </c>
      <c r="H5133" s="347" t="str">
        <f>+H5132</f>
        <v>Colecta Col. Cordillera</v>
      </c>
      <c r="I5133" s="347" t="str">
        <f>+I5132</f>
        <v>Administracion</v>
      </c>
      <c r="K5133" s="370"/>
      <c r="N5133" s="370"/>
    </row>
    <row r="5134" spans="1:14" s="347" customFormat="1" x14ac:dyDescent="0.25">
      <c r="A5134" s="369"/>
      <c r="E5134" s="396"/>
      <c r="F5134" s="396"/>
      <c r="G5134" s="396"/>
      <c r="K5134" s="370"/>
      <c r="N5134" s="370"/>
    </row>
    <row r="5135" spans="1:14" s="347" customFormat="1" x14ac:dyDescent="0.25">
      <c r="A5135" s="369">
        <v>44459</v>
      </c>
      <c r="B5135" s="347">
        <f>+B5133</f>
        <v>9</v>
      </c>
      <c r="C5135" s="347">
        <v>110</v>
      </c>
      <c r="D5135" s="340" t="str">
        <f>VLOOKUP(C5135,Plan!A$1:B$65542,2,0)</f>
        <v>Disponible Administración</v>
      </c>
      <c r="E5135" s="341">
        <f>+F5135-G5135</f>
        <v>20000</v>
      </c>
      <c r="F5135" s="396">
        <v>20000</v>
      </c>
      <c r="G5135" s="396">
        <v>0</v>
      </c>
      <c r="H5135" t="s">
        <v>2060</v>
      </c>
      <c r="I5135" s="347" t="s">
        <v>1303</v>
      </c>
      <c r="K5135" s="370"/>
      <c r="N5135" s="370"/>
    </row>
    <row r="5136" spans="1:14" s="347" customFormat="1" x14ac:dyDescent="0.25">
      <c r="A5136" s="369">
        <f>+A5135</f>
        <v>44459</v>
      </c>
      <c r="B5136" s="347">
        <f>+B5135</f>
        <v>9</v>
      </c>
      <c r="C5136" s="347">
        <v>215</v>
      </c>
      <c r="D5136" s="340" t="str">
        <f>VLOOKUP(C5136,Plan!A$1:B$65542,2,0)</f>
        <v>Cuenta por Pagar a Cali</v>
      </c>
      <c r="E5136" s="341">
        <f>+F5136-G5136</f>
        <v>-20000</v>
      </c>
      <c r="F5136" s="396">
        <v>0</v>
      </c>
      <c r="G5136" s="396">
        <f>+F5135</f>
        <v>20000</v>
      </c>
      <c r="H5136" s="347" t="str">
        <f>+H5135</f>
        <v>Marina Espinosa Pérez / 249</v>
      </c>
      <c r="I5136" s="347" t="str">
        <f>+I5135</f>
        <v>Administracion</v>
      </c>
      <c r="K5136" s="370"/>
      <c r="N5136" s="370"/>
    </row>
    <row r="5137" spans="1:14" s="347" customFormat="1" x14ac:dyDescent="0.25">
      <c r="A5137" s="369"/>
      <c r="E5137" s="396"/>
      <c r="F5137" s="396"/>
      <c r="G5137" s="396"/>
      <c r="K5137" s="370"/>
      <c r="N5137" s="370"/>
    </row>
    <row r="5138" spans="1:14" s="347" customFormat="1" x14ac:dyDescent="0.25">
      <c r="A5138" s="369">
        <v>44459</v>
      </c>
      <c r="B5138" s="347">
        <f>+B5136</f>
        <v>9</v>
      </c>
      <c r="C5138" s="347">
        <v>110</v>
      </c>
      <c r="D5138" s="340" t="str">
        <f>VLOOKUP(C5138,Plan!A$1:B$65542,2,0)</f>
        <v>Disponible Administración</v>
      </c>
      <c r="E5138" s="341">
        <f>+F5138-G5138</f>
        <v>20000</v>
      </c>
      <c r="F5138" s="396">
        <v>20000</v>
      </c>
      <c r="G5138" s="396">
        <v>0</v>
      </c>
      <c r="H5138" t="s">
        <v>2061</v>
      </c>
      <c r="I5138" s="347" t="s">
        <v>1303</v>
      </c>
      <c r="K5138" s="370"/>
      <c r="N5138" s="370"/>
    </row>
    <row r="5139" spans="1:14" s="347" customFormat="1" x14ac:dyDescent="0.25">
      <c r="A5139" s="369">
        <f>+A5138</f>
        <v>44459</v>
      </c>
      <c r="B5139" s="347">
        <f>+B5138</f>
        <v>9</v>
      </c>
      <c r="C5139" s="347">
        <v>215</v>
      </c>
      <c r="D5139" s="340" t="str">
        <f>VLOOKUP(C5139,Plan!A$1:B$65542,2,0)</f>
        <v>Cuenta por Pagar a Cali</v>
      </c>
      <c r="E5139" s="341">
        <f>+F5139-G5139</f>
        <v>-20000</v>
      </c>
      <c r="F5139" s="396">
        <v>0</v>
      </c>
      <c r="G5139" s="396">
        <f>+F5138</f>
        <v>20000</v>
      </c>
      <c r="H5139" s="347" t="str">
        <f>+H5138</f>
        <v>Melania Espinosa Pérez / 249</v>
      </c>
      <c r="I5139" s="347" t="str">
        <f>+I5138</f>
        <v>Administracion</v>
      </c>
      <c r="K5139" s="370"/>
      <c r="N5139" s="370"/>
    </row>
    <row r="5140" spans="1:14" s="347" customFormat="1" x14ac:dyDescent="0.25">
      <c r="A5140" s="369"/>
      <c r="E5140" s="396"/>
      <c r="F5140" s="396"/>
      <c r="G5140" s="396"/>
      <c r="K5140" s="370"/>
      <c r="N5140" s="370"/>
    </row>
    <row r="5141" spans="1:14" s="347" customFormat="1" x14ac:dyDescent="0.25">
      <c r="A5141" s="369">
        <v>44459</v>
      </c>
      <c r="B5141" s="347">
        <f>+B5139</f>
        <v>9</v>
      </c>
      <c r="C5141" s="347">
        <v>110</v>
      </c>
      <c r="D5141" s="340" t="str">
        <f>VLOOKUP(C5141,Plan!A$1:B$65542,2,0)</f>
        <v>Disponible Administración</v>
      </c>
      <c r="E5141" s="341">
        <f>+F5141-G5141</f>
        <v>10000</v>
      </c>
      <c r="F5141" s="396">
        <v>10000</v>
      </c>
      <c r="G5141" s="396">
        <v>0</v>
      </c>
      <c r="H5141" t="s">
        <v>1996</v>
      </c>
      <c r="I5141" s="347" t="s">
        <v>1303</v>
      </c>
      <c r="K5141" s="370"/>
      <c r="N5141" s="370"/>
    </row>
    <row r="5142" spans="1:14" s="347" customFormat="1" x14ac:dyDescent="0.25">
      <c r="A5142" s="369">
        <f>+A5141</f>
        <v>44459</v>
      </c>
      <c r="B5142" s="347">
        <f>+B5141</f>
        <v>9</v>
      </c>
      <c r="C5142" s="347">
        <v>215</v>
      </c>
      <c r="D5142" s="340" t="str">
        <f>VLOOKUP(C5142,Plan!A$1:B$65542,2,0)</f>
        <v>Cuenta por Pagar a Cali</v>
      </c>
      <c r="E5142" s="341">
        <f>+F5142-G5142</f>
        <v>-10000</v>
      </c>
      <c r="F5142" s="396">
        <v>0</v>
      </c>
      <c r="G5142" s="396">
        <f>+F5141</f>
        <v>10000</v>
      </c>
      <c r="H5142" s="347" t="str">
        <f>+H5141</f>
        <v>Patricia Romero Espinosa / 249</v>
      </c>
      <c r="I5142" s="347" t="str">
        <f>+I5141</f>
        <v>Administracion</v>
      </c>
      <c r="K5142" s="370"/>
      <c r="N5142" s="370"/>
    </row>
    <row r="5143" spans="1:14" s="347" customFormat="1" x14ac:dyDescent="0.25">
      <c r="A5143" s="369"/>
      <c r="E5143" s="396"/>
      <c r="F5143" s="396"/>
      <c r="G5143" s="396"/>
      <c r="K5143" s="370"/>
      <c r="N5143" s="370"/>
    </row>
    <row r="5144" spans="1:14" s="347" customFormat="1" x14ac:dyDescent="0.25">
      <c r="A5144" s="369">
        <v>44460</v>
      </c>
      <c r="B5144" s="347">
        <f>+'Diario Adm'!B5142</f>
        <v>9</v>
      </c>
      <c r="C5144" s="347">
        <v>110</v>
      </c>
      <c r="D5144" s="340" t="str">
        <f>VLOOKUP(C5144,Plan!A$1:B$65542,2,0)</f>
        <v>Disponible Administración</v>
      </c>
      <c r="E5144" s="341">
        <f>+F5144-G5144</f>
        <v>20000</v>
      </c>
      <c r="F5144" s="396">
        <v>20000</v>
      </c>
      <c r="G5144" s="396">
        <v>0</v>
      </c>
      <c r="H5144" t="s">
        <v>906</v>
      </c>
      <c r="I5144" s="347" t="s">
        <v>1303</v>
      </c>
      <c r="K5144" s="370"/>
      <c r="N5144" s="370"/>
    </row>
    <row r="5145" spans="1:14" s="347" customFormat="1" x14ac:dyDescent="0.25">
      <c r="A5145" s="369">
        <f>+A5144</f>
        <v>44460</v>
      </c>
      <c r="B5145" s="347">
        <f>+B5144</f>
        <v>9</v>
      </c>
      <c r="C5145" s="347">
        <v>3110</v>
      </c>
      <c r="D5145" s="340" t="str">
        <f>VLOOKUP(C5145,Plan!A$1:B$65542,2,0)</f>
        <v>Colectas Normales</v>
      </c>
      <c r="E5145" s="341">
        <f>+F5145-G5145</f>
        <v>-20000</v>
      </c>
      <c r="F5145" s="396">
        <v>0</v>
      </c>
      <c r="G5145" s="396">
        <f>+F5144</f>
        <v>20000</v>
      </c>
      <c r="H5145" s="347" t="str">
        <f>+H5144</f>
        <v>Colecta Carmen Barañao</v>
      </c>
      <c r="I5145" s="347" t="str">
        <f>+I5144</f>
        <v>Administracion</v>
      </c>
      <c r="K5145" s="370"/>
      <c r="N5145" s="370"/>
    </row>
    <row r="5146" spans="1:14" s="347" customFormat="1" x14ac:dyDescent="0.25">
      <c r="A5146" s="369"/>
      <c r="E5146" s="396"/>
      <c r="F5146" s="396"/>
      <c r="G5146" s="396"/>
      <c r="K5146" s="370"/>
      <c r="N5146" s="370"/>
    </row>
    <row r="5147" spans="1:14" s="347" customFormat="1" x14ac:dyDescent="0.25">
      <c r="A5147" s="369">
        <v>44460</v>
      </c>
      <c r="B5147" s="347">
        <f>+B5145</f>
        <v>9</v>
      </c>
      <c r="C5147" s="347">
        <v>110</v>
      </c>
      <c r="D5147" s="340" t="str">
        <f>VLOOKUP(C5147,Plan!A$1:B$65542,2,0)</f>
        <v>Disponible Administración</v>
      </c>
      <c r="E5147" s="341">
        <f>+F5147-G5147</f>
        <v>20000</v>
      </c>
      <c r="F5147" s="396">
        <v>20000</v>
      </c>
      <c r="G5147" s="396">
        <v>0</v>
      </c>
      <c r="H5147" t="s">
        <v>2062</v>
      </c>
      <c r="I5147" s="347" t="s">
        <v>1303</v>
      </c>
      <c r="K5147" s="370"/>
      <c r="N5147" s="370"/>
    </row>
    <row r="5148" spans="1:14" s="347" customFormat="1" x14ac:dyDescent="0.25">
      <c r="A5148" s="369">
        <f>+A5147</f>
        <v>44460</v>
      </c>
      <c r="B5148" s="347">
        <f>+B5147</f>
        <v>9</v>
      </c>
      <c r="C5148" s="347">
        <v>3350</v>
      </c>
      <c r="D5148" s="340" t="str">
        <f>VLOOKUP(C5148,Plan!A$1:B$65542,2,0)</f>
        <v>Bautizos</v>
      </c>
      <c r="E5148" s="341">
        <f>+F5148-G5148</f>
        <v>-20000</v>
      </c>
      <c r="F5148" s="396">
        <v>0</v>
      </c>
      <c r="G5148" s="396">
        <f>+F5147</f>
        <v>20000</v>
      </c>
      <c r="H5148" s="347" t="str">
        <f>+H5147</f>
        <v>Bautizo Maria del Rosario Carafi</v>
      </c>
      <c r="I5148" s="347" t="str">
        <f>+I5147</f>
        <v>Administracion</v>
      </c>
      <c r="K5148" s="370"/>
      <c r="N5148" s="370"/>
    </row>
    <row r="5149" spans="1:14" s="347" customFormat="1" x14ac:dyDescent="0.25">
      <c r="A5149" s="369"/>
      <c r="E5149" s="396"/>
      <c r="F5149" s="396"/>
      <c r="G5149" s="396"/>
      <c r="K5149" s="370"/>
      <c r="N5149" s="370"/>
    </row>
    <row r="5150" spans="1:14" s="347" customFormat="1" x14ac:dyDescent="0.25">
      <c r="A5150" s="369">
        <v>44461</v>
      </c>
      <c r="B5150" s="347">
        <f>+B5148</f>
        <v>9</v>
      </c>
      <c r="C5150" s="347">
        <v>110</v>
      </c>
      <c r="D5150" s="340" t="str">
        <f>VLOOKUP(C5150,Plan!A$1:B$65542,2,0)</f>
        <v>Disponible Administración</v>
      </c>
      <c r="E5150" s="341">
        <f>+F5150-G5150</f>
        <v>4896</v>
      </c>
      <c r="F5150" s="396">
        <v>4896</v>
      </c>
      <c r="G5150" s="396">
        <v>0</v>
      </c>
      <c r="H5150" t="s">
        <v>1934</v>
      </c>
      <c r="I5150" s="347" t="s">
        <v>1303</v>
      </c>
      <c r="K5150" s="370"/>
      <c r="N5150" s="370"/>
    </row>
    <row r="5151" spans="1:14" s="347" customFormat="1" x14ac:dyDescent="0.25">
      <c r="A5151" s="369">
        <f>+A5150</f>
        <v>44461</v>
      </c>
      <c r="B5151" s="347">
        <f>+B5150</f>
        <v>9</v>
      </c>
      <c r="C5151" s="347">
        <v>3110</v>
      </c>
      <c r="D5151" s="340" t="str">
        <f>VLOOKUP(C5151,Plan!A$1:B$65542,2,0)</f>
        <v>Colectas Normales</v>
      </c>
      <c r="E5151" s="341">
        <f>+F5151-G5151</f>
        <v>-4896</v>
      </c>
      <c r="F5151" s="396">
        <v>0</v>
      </c>
      <c r="G5151" s="396">
        <f>+F5150</f>
        <v>4896</v>
      </c>
      <c r="H5151" s="347" t="str">
        <f>+H5150</f>
        <v>Colecta POS</v>
      </c>
      <c r="I5151" s="347" t="str">
        <f>+I5150</f>
        <v>Administracion</v>
      </c>
      <c r="K5151" s="370"/>
      <c r="N5151" s="370"/>
    </row>
    <row r="5152" spans="1:14" s="347" customFormat="1" x14ac:dyDescent="0.25">
      <c r="A5152" s="369"/>
      <c r="E5152" s="396"/>
      <c r="F5152" s="396"/>
      <c r="G5152" s="396"/>
      <c r="K5152" s="370"/>
      <c r="N5152" s="370"/>
    </row>
    <row r="5153" spans="1:14" s="347" customFormat="1" x14ac:dyDescent="0.25">
      <c r="A5153" s="369">
        <v>44463</v>
      </c>
      <c r="B5153" s="347">
        <f>+B5151</f>
        <v>9</v>
      </c>
      <c r="C5153" s="347">
        <v>110</v>
      </c>
      <c r="D5153" s="340" t="str">
        <f>VLOOKUP(C5153,Plan!A$1:B$65542,2,0)</f>
        <v>Disponible Administración</v>
      </c>
      <c r="E5153" s="341">
        <f>+F5153-G5153</f>
        <v>30000</v>
      </c>
      <c r="F5153" s="396">
        <v>30000</v>
      </c>
      <c r="G5153" s="396">
        <v>0</v>
      </c>
      <c r="H5153" t="s">
        <v>1599</v>
      </c>
      <c r="I5153" s="347" t="s">
        <v>1303</v>
      </c>
      <c r="K5153" s="370"/>
      <c r="N5153" s="370"/>
    </row>
    <row r="5154" spans="1:14" s="347" customFormat="1" x14ac:dyDescent="0.25">
      <c r="A5154" s="369">
        <f>+A5153</f>
        <v>44463</v>
      </c>
      <c r="B5154" s="347">
        <f>+B5153</f>
        <v>9</v>
      </c>
      <c r="C5154" s="347">
        <v>3110</v>
      </c>
      <c r="D5154" s="340" t="str">
        <f>VLOOKUP(C5154,Plan!A$1:B$65542,2,0)</f>
        <v>Colectas Normales</v>
      </c>
      <c r="E5154" s="341">
        <f>+F5154-G5154</f>
        <v>-30000</v>
      </c>
      <c r="F5154" s="396">
        <v>0</v>
      </c>
      <c r="G5154" s="396">
        <f>+F5153</f>
        <v>30000</v>
      </c>
      <c r="H5154" s="347" t="str">
        <f>+H5153</f>
        <v>Colecta Yolanda Haase Baeza</v>
      </c>
      <c r="I5154" s="347" t="str">
        <f>+I5153</f>
        <v>Administracion</v>
      </c>
      <c r="K5154" s="370"/>
      <c r="N5154" s="370"/>
    </row>
    <row r="5155" spans="1:14" s="347" customFormat="1" x14ac:dyDescent="0.25">
      <c r="A5155" s="369"/>
      <c r="E5155" s="396"/>
      <c r="F5155" s="396"/>
      <c r="G5155" s="396"/>
      <c r="K5155" s="370"/>
      <c r="N5155" s="370"/>
    </row>
    <row r="5156" spans="1:14" s="347" customFormat="1" x14ac:dyDescent="0.25">
      <c r="A5156" s="369">
        <v>44463</v>
      </c>
      <c r="B5156" s="347">
        <f>+B5154</f>
        <v>9</v>
      </c>
      <c r="C5156" s="347">
        <v>110</v>
      </c>
      <c r="D5156" s="340" t="str">
        <f>VLOOKUP(C5156,Plan!A$1:B$65542,2,0)</f>
        <v>Disponible Administración</v>
      </c>
      <c r="E5156" s="341">
        <f>+F5156-G5156</f>
        <v>30000</v>
      </c>
      <c r="F5156" s="396">
        <v>30000</v>
      </c>
      <c r="G5156" s="396">
        <v>0</v>
      </c>
      <c r="H5156" t="s">
        <v>1600</v>
      </c>
      <c r="I5156" s="347" t="s">
        <v>1303</v>
      </c>
      <c r="K5156" s="370"/>
      <c r="N5156" s="370"/>
    </row>
    <row r="5157" spans="1:14" s="347" customFormat="1" x14ac:dyDescent="0.25">
      <c r="A5157" s="369">
        <f>+A5156</f>
        <v>44463</v>
      </c>
      <c r="B5157" s="347">
        <f>+B5156</f>
        <v>9</v>
      </c>
      <c r="C5157" s="347">
        <v>3450</v>
      </c>
      <c r="D5157" s="340" t="str">
        <f>VLOOKUP(C5157,Plan!A$1:B$65542,2,0)</f>
        <v>Pastoral Social</v>
      </c>
      <c r="E5157" s="341">
        <f>+F5157-G5157</f>
        <v>-30000</v>
      </c>
      <c r="F5157" s="396">
        <v>0</v>
      </c>
      <c r="G5157" s="396">
        <f>+F5156</f>
        <v>30000</v>
      </c>
      <c r="H5157" s="347" t="str">
        <f>+H5156</f>
        <v>Canastas Yolanda Haase Baeza</v>
      </c>
      <c r="I5157" s="347" t="str">
        <f>+I5156</f>
        <v>Administracion</v>
      </c>
      <c r="K5157" s="370"/>
      <c r="N5157" s="370"/>
    </row>
    <row r="5158" spans="1:14" s="347" customFormat="1" x14ac:dyDescent="0.25">
      <c r="A5158" s="369"/>
      <c r="E5158" s="396"/>
      <c r="F5158" s="396"/>
      <c r="G5158" s="396"/>
      <c r="K5158" s="370"/>
      <c r="N5158" s="370"/>
    </row>
    <row r="5159" spans="1:14" s="347" customFormat="1" x14ac:dyDescent="0.25">
      <c r="A5159" s="369">
        <v>44463</v>
      </c>
      <c r="B5159" s="347">
        <f>+B5157</f>
        <v>9</v>
      </c>
      <c r="C5159" s="347">
        <v>110</v>
      </c>
      <c r="D5159" s="340" t="str">
        <f>VLOOKUP(C5159,Plan!A$1:B$65542,2,0)</f>
        <v>Disponible Administración</v>
      </c>
      <c r="E5159" s="341">
        <f>+F5159-G5159</f>
        <v>30000</v>
      </c>
      <c r="F5159" s="396">
        <v>30000</v>
      </c>
      <c r="G5159" s="396">
        <v>0</v>
      </c>
      <c r="H5159" t="s">
        <v>675</v>
      </c>
      <c r="I5159" s="347" t="s">
        <v>1303</v>
      </c>
      <c r="K5159" s="370"/>
      <c r="N5159" s="370"/>
    </row>
    <row r="5160" spans="1:14" s="347" customFormat="1" x14ac:dyDescent="0.25">
      <c r="A5160" s="369">
        <f>+A5159</f>
        <v>44463</v>
      </c>
      <c r="B5160" s="347">
        <f>+B5159</f>
        <v>9</v>
      </c>
      <c r="C5160" s="347">
        <v>215</v>
      </c>
      <c r="D5160" s="340" t="str">
        <f>VLOOKUP(C5160,Plan!A$1:B$65542,2,0)</f>
        <v>Cuenta por Pagar a Cali</v>
      </c>
      <c r="E5160" s="341">
        <f>+F5160-G5160</f>
        <v>-30000</v>
      </c>
      <c r="F5160" s="396">
        <v>0</v>
      </c>
      <c r="G5160" s="396">
        <f>+F5159</f>
        <v>30000</v>
      </c>
      <c r="H5160" s="347" t="str">
        <f>+H5159</f>
        <v>Yolanda Haase Baeza / 249</v>
      </c>
      <c r="I5160" s="347" t="str">
        <f>+I5159</f>
        <v>Administracion</v>
      </c>
      <c r="K5160" s="370"/>
      <c r="N5160" s="370"/>
    </row>
    <row r="5161" spans="1:14" s="347" customFormat="1" x14ac:dyDescent="0.25">
      <c r="A5161" s="369"/>
      <c r="E5161" s="396"/>
      <c r="F5161" s="396"/>
      <c r="G5161" s="396"/>
      <c r="K5161" s="370"/>
      <c r="N5161" s="370"/>
    </row>
    <row r="5162" spans="1:14" s="347" customFormat="1" x14ac:dyDescent="0.25">
      <c r="A5162" s="369">
        <v>44463</v>
      </c>
      <c r="B5162" s="347">
        <f>+B5160</f>
        <v>9</v>
      </c>
      <c r="C5162" s="347">
        <v>110</v>
      </c>
      <c r="D5162" s="340" t="str">
        <f>VLOOKUP(C5162,Plan!A$1:B$65542,2,0)</f>
        <v>Disponible Administración</v>
      </c>
      <c r="E5162" s="341">
        <f>+F5162-G5162</f>
        <v>10000</v>
      </c>
      <c r="F5162" s="396">
        <v>10000</v>
      </c>
      <c r="G5162" s="396">
        <v>0</v>
      </c>
      <c r="H5162" t="s">
        <v>2063</v>
      </c>
      <c r="I5162" s="347" t="s">
        <v>1303</v>
      </c>
      <c r="K5162" s="370"/>
      <c r="N5162" s="370"/>
    </row>
    <row r="5163" spans="1:14" s="347" customFormat="1" x14ac:dyDescent="0.25">
      <c r="A5163" s="369">
        <f>+A5162</f>
        <v>44463</v>
      </c>
      <c r="B5163" s="347">
        <f>+B5162</f>
        <v>9</v>
      </c>
      <c r="C5163" s="347">
        <v>3110</v>
      </c>
      <c r="D5163" s="340" t="str">
        <f>VLOOKUP(C5163,Plan!A$1:B$65542,2,0)</f>
        <v>Colectas Normales</v>
      </c>
      <c r="E5163" s="341">
        <f>+F5163-G5163</f>
        <v>-10000</v>
      </c>
      <c r="F5163" s="396">
        <v>0</v>
      </c>
      <c r="G5163" s="396">
        <f>+F5162</f>
        <v>10000</v>
      </c>
      <c r="H5163" s="347" t="str">
        <f>+H5162</f>
        <v xml:space="preserve">Colecta Paula Fernandez </v>
      </c>
      <c r="I5163" s="347" t="str">
        <f>+I5162</f>
        <v>Administracion</v>
      </c>
      <c r="K5163" s="370"/>
      <c r="N5163" s="370"/>
    </row>
    <row r="5164" spans="1:14" s="347" customFormat="1" x14ac:dyDescent="0.25">
      <c r="A5164" s="369"/>
      <c r="E5164" s="396"/>
      <c r="F5164" s="396"/>
      <c r="G5164" s="396"/>
      <c r="K5164" s="370"/>
      <c r="N5164" s="370"/>
    </row>
    <row r="5165" spans="1:14" s="347" customFormat="1" x14ac:dyDescent="0.25">
      <c r="A5165" s="369">
        <v>44463</v>
      </c>
      <c r="B5165" s="347">
        <f>+B5163</f>
        <v>9</v>
      </c>
      <c r="C5165" s="347">
        <v>110</v>
      </c>
      <c r="D5165" s="340" t="str">
        <f>VLOOKUP(C5165,Plan!A$1:B$65542,2,0)</f>
        <v>Disponible Administración</v>
      </c>
      <c r="E5165" s="341">
        <f>+F5165-G5165</f>
        <v>40000</v>
      </c>
      <c r="F5165" s="396">
        <v>40000</v>
      </c>
      <c r="G5165" s="396">
        <v>0</v>
      </c>
      <c r="H5165" t="s">
        <v>2064</v>
      </c>
      <c r="I5165" s="347" t="s">
        <v>1303</v>
      </c>
      <c r="K5165" s="370"/>
      <c r="N5165" s="370"/>
    </row>
    <row r="5166" spans="1:14" s="347" customFormat="1" x14ac:dyDescent="0.25">
      <c r="A5166" s="369">
        <f>+A5165</f>
        <v>44463</v>
      </c>
      <c r="B5166" s="347">
        <f>+B5165</f>
        <v>9</v>
      </c>
      <c r="C5166" s="347">
        <v>3350</v>
      </c>
      <c r="D5166" s="340" t="str">
        <f>VLOOKUP(C5166,Plan!A$1:B$65542,2,0)</f>
        <v>Bautizos</v>
      </c>
      <c r="E5166" s="341">
        <f>+F5166-G5166</f>
        <v>-40000</v>
      </c>
      <c r="F5166" s="396">
        <v>0</v>
      </c>
      <c r="G5166" s="396">
        <f>+F5165</f>
        <v>40000</v>
      </c>
      <c r="H5166" s="347" t="str">
        <f>+H5165</f>
        <v>Bautizo Jhonny Alexander Quintero Diaz</v>
      </c>
      <c r="I5166" s="347" t="str">
        <f>+I5165</f>
        <v>Administracion</v>
      </c>
      <c r="K5166" s="370"/>
      <c r="N5166" s="370"/>
    </row>
    <row r="5167" spans="1:14" s="347" customFormat="1" x14ac:dyDescent="0.25">
      <c r="A5167" s="369"/>
      <c r="E5167" s="396"/>
      <c r="F5167" s="396"/>
      <c r="G5167" s="396"/>
      <c r="K5167" s="370"/>
      <c r="N5167" s="370"/>
    </row>
    <row r="5168" spans="1:14" s="347" customFormat="1" x14ac:dyDescent="0.25">
      <c r="A5168" s="369">
        <v>44466</v>
      </c>
      <c r="B5168" s="347">
        <f>+B5166</f>
        <v>9</v>
      </c>
      <c r="C5168" s="347">
        <v>4326</v>
      </c>
      <c r="D5168" s="340" t="str">
        <f>VLOOKUP(C5168,Plan!A$1:B$65542,2,0)</f>
        <v>Seguros</v>
      </c>
      <c r="E5168" s="341">
        <f>+F5168-G5168</f>
        <v>51645</v>
      </c>
      <c r="F5168" s="396">
        <v>51645</v>
      </c>
      <c r="G5168" s="396">
        <v>0</v>
      </c>
      <c r="H5168" t="s">
        <v>1198</v>
      </c>
      <c r="I5168" s="347" t="s">
        <v>1303</v>
      </c>
      <c r="K5168" s="370"/>
      <c r="N5168" s="370"/>
    </row>
    <row r="5169" spans="1:14" s="347" customFormat="1" x14ac:dyDescent="0.25">
      <c r="A5169" s="369">
        <f>+A5168</f>
        <v>44466</v>
      </c>
      <c r="B5169" s="347">
        <f>+B5168</f>
        <v>9</v>
      </c>
      <c r="C5169" s="347">
        <v>110</v>
      </c>
      <c r="D5169" s="340" t="str">
        <f>VLOOKUP(C5169,Plan!A$1:B$65542,2,0)</f>
        <v>Disponible Administración</v>
      </c>
      <c r="E5169" s="341">
        <f>+F5169-G5169</f>
        <v>-51645</v>
      </c>
      <c r="F5169" s="396">
        <v>0</v>
      </c>
      <c r="G5169" s="396">
        <f>+F5168</f>
        <v>51645</v>
      </c>
      <c r="H5169" s="347" t="str">
        <f>+H5168</f>
        <v>PAC PORVENIR</v>
      </c>
      <c r="I5169" s="347" t="str">
        <f>+I5168</f>
        <v>Administracion</v>
      </c>
      <c r="K5169" s="370"/>
      <c r="N5169" s="370"/>
    </row>
    <row r="5170" spans="1:14" s="347" customFormat="1" x14ac:dyDescent="0.25">
      <c r="A5170" s="369"/>
      <c r="E5170" s="396"/>
      <c r="F5170" s="396"/>
      <c r="G5170" s="396"/>
      <c r="K5170" s="370"/>
      <c r="N5170" s="370"/>
    </row>
    <row r="5171" spans="1:14" s="347" customFormat="1" x14ac:dyDescent="0.25">
      <c r="A5171" s="369">
        <v>44466</v>
      </c>
      <c r="B5171" s="347">
        <f>+B5169</f>
        <v>9</v>
      </c>
      <c r="C5171" s="347">
        <v>110</v>
      </c>
      <c r="D5171" s="340" t="str">
        <f>VLOOKUP(C5171,Plan!A$1:B$65542,2,0)</f>
        <v>Disponible Administración</v>
      </c>
      <c r="E5171" s="341">
        <f>+F5171-G5171</f>
        <v>10000</v>
      </c>
      <c r="F5171" s="396">
        <v>10000</v>
      </c>
      <c r="G5171" s="396">
        <v>0</v>
      </c>
      <c r="H5171" t="s">
        <v>881</v>
      </c>
      <c r="I5171" s="347" t="s">
        <v>1303</v>
      </c>
      <c r="K5171" s="370"/>
      <c r="N5171" s="370"/>
    </row>
    <row r="5172" spans="1:14" s="347" customFormat="1" x14ac:dyDescent="0.25">
      <c r="A5172" s="369">
        <f>+A5171</f>
        <v>44466</v>
      </c>
      <c r="B5172" s="347">
        <f>+B5171</f>
        <v>9</v>
      </c>
      <c r="C5172" s="347">
        <v>3110</v>
      </c>
      <c r="D5172" s="340" t="str">
        <f>VLOOKUP(C5172,Plan!A$1:B$65542,2,0)</f>
        <v>Colectas Normales</v>
      </c>
      <c r="E5172" s="341">
        <f>+F5172-G5172</f>
        <v>-10000</v>
      </c>
      <c r="F5172" s="396">
        <v>0</v>
      </c>
      <c r="G5172" s="396">
        <f>+F5171</f>
        <v>10000</v>
      </c>
      <c r="H5172" s="347" t="str">
        <f>+H5171</f>
        <v>Colecta Rafael Marin Jordan</v>
      </c>
      <c r="I5172" s="347" t="str">
        <f>+I5171</f>
        <v>Administracion</v>
      </c>
      <c r="K5172" s="370"/>
      <c r="N5172" s="370"/>
    </row>
    <row r="5173" spans="1:14" s="347" customFormat="1" x14ac:dyDescent="0.25">
      <c r="A5173" s="369"/>
      <c r="E5173" s="396"/>
      <c r="F5173" s="396"/>
      <c r="G5173" s="396"/>
      <c r="K5173" s="370"/>
      <c r="N5173" s="370"/>
    </row>
    <row r="5174" spans="1:14" s="347" customFormat="1" x14ac:dyDescent="0.25">
      <c r="A5174" s="369">
        <v>44466</v>
      </c>
      <c r="B5174" s="347">
        <f>+B5172</f>
        <v>9</v>
      </c>
      <c r="C5174" s="347">
        <v>110</v>
      </c>
      <c r="D5174" s="340" t="str">
        <f>VLOOKUP(C5174,Plan!A$1:B$65542,2,0)</f>
        <v>Disponible Administración</v>
      </c>
      <c r="E5174" s="341">
        <f>+F5174-G5174</f>
        <v>10000</v>
      </c>
      <c r="F5174" s="396">
        <v>10000</v>
      </c>
      <c r="G5174" s="396">
        <v>0</v>
      </c>
      <c r="H5174" t="s">
        <v>971</v>
      </c>
      <c r="I5174" s="347" t="s">
        <v>1303</v>
      </c>
      <c r="K5174" s="370"/>
      <c r="N5174" s="370"/>
    </row>
    <row r="5175" spans="1:14" s="347" customFormat="1" x14ac:dyDescent="0.25">
      <c r="A5175" s="369">
        <f>+A5174</f>
        <v>44466</v>
      </c>
      <c r="B5175" s="347">
        <f>+B5174</f>
        <v>9</v>
      </c>
      <c r="C5175" s="347">
        <v>3110</v>
      </c>
      <c r="D5175" s="340" t="str">
        <f>VLOOKUP(C5175,Plan!A$1:B$65542,2,0)</f>
        <v>Colectas Normales</v>
      </c>
      <c r="E5175" s="341">
        <f>+F5175-G5175</f>
        <v>-10000</v>
      </c>
      <c r="F5175" s="396">
        <v>0</v>
      </c>
      <c r="G5175" s="396">
        <f>+F5174</f>
        <v>10000</v>
      </c>
      <c r="H5175" s="347" t="str">
        <f>+H5174</f>
        <v>Colecta Pablo Irarrazaval Mena</v>
      </c>
      <c r="I5175" s="347" t="str">
        <f>+I5174</f>
        <v>Administracion</v>
      </c>
      <c r="K5175" s="370"/>
      <c r="N5175" s="370"/>
    </row>
    <row r="5176" spans="1:14" s="347" customFormat="1" x14ac:dyDescent="0.25">
      <c r="A5176" s="369"/>
      <c r="E5176" s="396"/>
      <c r="F5176" s="396"/>
      <c r="G5176" s="396"/>
      <c r="K5176" s="370"/>
      <c r="N5176" s="370"/>
    </row>
    <row r="5177" spans="1:14" s="347" customFormat="1" x14ac:dyDescent="0.25">
      <c r="A5177" s="369">
        <v>44466</v>
      </c>
      <c r="B5177" s="347">
        <f>+B5175</f>
        <v>9</v>
      </c>
      <c r="C5177" s="347">
        <v>110</v>
      </c>
      <c r="D5177" s="340" t="str">
        <f>VLOOKUP(C5177,Plan!A$1:B$65542,2,0)</f>
        <v>Disponible Administración</v>
      </c>
      <c r="E5177" s="341">
        <f>+F5177-G5177</f>
        <v>5000</v>
      </c>
      <c r="F5177" s="396">
        <v>5000</v>
      </c>
      <c r="G5177" s="396">
        <v>0</v>
      </c>
      <c r="H5177" t="s">
        <v>1108</v>
      </c>
      <c r="I5177" s="347" t="s">
        <v>1303</v>
      </c>
      <c r="K5177" s="370"/>
      <c r="N5177" s="370"/>
    </row>
    <row r="5178" spans="1:14" s="347" customFormat="1" x14ac:dyDescent="0.25">
      <c r="A5178" s="369">
        <f>+A5177</f>
        <v>44466</v>
      </c>
      <c r="B5178" s="347">
        <f>+B5177</f>
        <v>9</v>
      </c>
      <c r="C5178" s="347">
        <v>3110</v>
      </c>
      <c r="D5178" s="340" t="str">
        <f>VLOOKUP(C5178,Plan!A$1:B$65542,2,0)</f>
        <v>Colectas Normales</v>
      </c>
      <c r="E5178" s="341">
        <f>+F5178-G5178</f>
        <v>-5000</v>
      </c>
      <c r="F5178" s="396">
        <v>0</v>
      </c>
      <c r="G5178" s="396">
        <f>+F5177</f>
        <v>5000</v>
      </c>
      <c r="H5178" s="347" t="str">
        <f>+H5177</f>
        <v>Colecta Ricardo Fernandez</v>
      </c>
      <c r="I5178" s="347" t="str">
        <f>+I5177</f>
        <v>Administracion</v>
      </c>
      <c r="K5178" s="370"/>
      <c r="N5178" s="370"/>
    </row>
    <row r="5179" spans="1:14" s="347" customFormat="1" x14ac:dyDescent="0.25">
      <c r="A5179" s="369"/>
      <c r="E5179" s="396"/>
      <c r="F5179" s="396"/>
      <c r="G5179" s="396"/>
      <c r="K5179" s="370"/>
      <c r="N5179" s="370"/>
    </row>
    <row r="5180" spans="1:14" s="347" customFormat="1" x14ac:dyDescent="0.25">
      <c r="A5180" s="369">
        <v>44466</v>
      </c>
      <c r="B5180" s="347">
        <f>+B5178</f>
        <v>9</v>
      </c>
      <c r="C5180" s="347">
        <v>110</v>
      </c>
      <c r="D5180" s="340" t="str">
        <f>VLOOKUP(C5180,Plan!A$1:B$65542,2,0)</f>
        <v>Disponible Administración</v>
      </c>
      <c r="E5180" s="341">
        <f>+F5180-G5180</f>
        <v>60000</v>
      </c>
      <c r="F5180" s="396">
        <v>60000</v>
      </c>
      <c r="G5180" s="396">
        <v>0</v>
      </c>
      <c r="H5180" t="s">
        <v>1454</v>
      </c>
      <c r="I5180" s="347" t="s">
        <v>1303</v>
      </c>
      <c r="K5180" s="370"/>
      <c r="N5180" s="370"/>
    </row>
    <row r="5181" spans="1:14" s="347" customFormat="1" x14ac:dyDescent="0.25">
      <c r="A5181" s="369">
        <f>+A5180</f>
        <v>44466</v>
      </c>
      <c r="B5181" s="347">
        <f>+B5180</f>
        <v>9</v>
      </c>
      <c r="C5181" s="347">
        <v>3110</v>
      </c>
      <c r="D5181" s="340" t="str">
        <f>VLOOKUP(C5181,Plan!A$1:B$65542,2,0)</f>
        <v>Colectas Normales</v>
      </c>
      <c r="E5181" s="341">
        <f>+F5181-G5181</f>
        <v>-60000</v>
      </c>
      <c r="F5181" s="396">
        <v>0</v>
      </c>
      <c r="G5181" s="396">
        <f>+F5180</f>
        <v>60000</v>
      </c>
      <c r="H5181" s="347" t="str">
        <f>+H5180</f>
        <v>Colecta Maite Larrañaga</v>
      </c>
      <c r="I5181" s="347" t="str">
        <f>+I5180</f>
        <v>Administracion</v>
      </c>
      <c r="K5181" s="370"/>
      <c r="N5181" s="370"/>
    </row>
    <row r="5182" spans="1:14" s="347" customFormat="1" x14ac:dyDescent="0.25">
      <c r="A5182" s="369"/>
      <c r="E5182" s="396"/>
      <c r="F5182" s="396"/>
      <c r="G5182" s="396"/>
      <c r="K5182" s="370"/>
      <c r="N5182" s="370"/>
    </row>
    <row r="5183" spans="1:14" s="347" customFormat="1" x14ac:dyDescent="0.25">
      <c r="A5183" s="369">
        <v>44466</v>
      </c>
      <c r="B5183" s="347">
        <f>+B5181</f>
        <v>9</v>
      </c>
      <c r="C5183" s="347">
        <v>110</v>
      </c>
      <c r="D5183" s="340" t="str">
        <f>VLOOKUP(C5183,Plan!A$1:B$65542,2,0)</f>
        <v>Disponible Administración</v>
      </c>
      <c r="E5183" s="341">
        <f>+F5183-G5183</f>
        <v>20000</v>
      </c>
      <c r="F5183" s="396">
        <v>20000</v>
      </c>
      <c r="G5183" s="396">
        <v>0</v>
      </c>
      <c r="H5183" t="s">
        <v>1199</v>
      </c>
      <c r="I5183" s="347" t="s">
        <v>1303</v>
      </c>
      <c r="K5183" s="370"/>
      <c r="N5183" s="370"/>
    </row>
    <row r="5184" spans="1:14" s="347" customFormat="1" x14ac:dyDescent="0.25">
      <c r="A5184" s="369">
        <f>+A5183</f>
        <v>44466</v>
      </c>
      <c r="B5184" s="347">
        <f>+B5183</f>
        <v>9</v>
      </c>
      <c r="C5184" s="347">
        <v>3110</v>
      </c>
      <c r="D5184" s="340" t="str">
        <f>VLOOKUP(C5184,Plan!A$1:B$65542,2,0)</f>
        <v>Colectas Normales</v>
      </c>
      <c r="E5184" s="341">
        <f>+F5184-G5184</f>
        <v>-20000</v>
      </c>
      <c r="F5184" s="396">
        <v>0</v>
      </c>
      <c r="G5184" s="396">
        <f>+F5183</f>
        <v>20000</v>
      </c>
      <c r="H5184" s="347" t="str">
        <f>+H5183</f>
        <v>Colecta Maria Loreto Valenzuela Arata</v>
      </c>
      <c r="I5184" s="347" t="str">
        <f>+I5183</f>
        <v>Administracion</v>
      </c>
      <c r="K5184" s="370"/>
      <c r="N5184" s="370"/>
    </row>
    <row r="5185" spans="1:14" s="347" customFormat="1" x14ac:dyDescent="0.25">
      <c r="A5185" s="369"/>
      <c r="E5185" s="396"/>
      <c r="F5185" s="396"/>
      <c r="G5185" s="396"/>
      <c r="K5185" s="370"/>
      <c r="N5185" s="370"/>
    </row>
    <row r="5186" spans="1:14" s="347" customFormat="1" x14ac:dyDescent="0.25">
      <c r="A5186" s="369">
        <v>44466</v>
      </c>
      <c r="B5186" s="347">
        <f>+B5184</f>
        <v>9</v>
      </c>
      <c r="C5186" s="347">
        <v>110</v>
      </c>
      <c r="D5186" s="340" t="str">
        <f>VLOOKUP(C5186,Plan!A$1:B$65542,2,0)</f>
        <v>Disponible Administración</v>
      </c>
      <c r="E5186" s="341">
        <f>+F5186-G5186</f>
        <v>2000</v>
      </c>
      <c r="F5186" s="396">
        <v>2000</v>
      </c>
      <c r="G5186" s="396">
        <v>0</v>
      </c>
      <c r="H5186" t="s">
        <v>1216</v>
      </c>
      <c r="I5186" s="347" t="s">
        <v>1303</v>
      </c>
      <c r="K5186" s="370"/>
      <c r="N5186" s="370"/>
    </row>
    <row r="5187" spans="1:14" s="347" customFormat="1" x14ac:dyDescent="0.25">
      <c r="A5187" s="369">
        <f>+A5186</f>
        <v>44466</v>
      </c>
      <c r="B5187" s="347">
        <f>+B5186</f>
        <v>9</v>
      </c>
      <c r="C5187" s="347">
        <v>3110</v>
      </c>
      <c r="D5187" s="340" t="str">
        <f>VLOOKUP(C5187,Plan!A$1:B$65542,2,0)</f>
        <v>Colectas Normales</v>
      </c>
      <c r="E5187" s="341">
        <f>+F5187-G5187</f>
        <v>-2000</v>
      </c>
      <c r="F5187" s="396">
        <v>0</v>
      </c>
      <c r="G5187" s="396">
        <f>+F5186</f>
        <v>2000</v>
      </c>
      <c r="H5187" s="347" t="str">
        <f>+H5186</f>
        <v>Colecta Trinidad Barriga Cruzat</v>
      </c>
      <c r="I5187" s="347" t="str">
        <f>+I5186</f>
        <v>Administracion</v>
      </c>
      <c r="K5187" s="370"/>
      <c r="N5187" s="370"/>
    </row>
    <row r="5188" spans="1:14" s="347" customFormat="1" x14ac:dyDescent="0.25">
      <c r="A5188" s="369"/>
      <c r="E5188" s="396"/>
      <c r="F5188" s="396"/>
      <c r="G5188" s="396"/>
      <c r="K5188" s="370"/>
      <c r="N5188" s="370"/>
    </row>
    <row r="5189" spans="1:14" s="347" customFormat="1" x14ac:dyDescent="0.25">
      <c r="A5189" s="369">
        <v>44466</v>
      </c>
      <c r="B5189" s="347">
        <f>+B5187</f>
        <v>9</v>
      </c>
      <c r="C5189" s="347">
        <v>110</v>
      </c>
      <c r="D5189" s="340" t="str">
        <f>VLOOKUP(C5189,Plan!A$1:B$65542,2,0)</f>
        <v>Disponible Administración</v>
      </c>
      <c r="E5189" s="341">
        <f>+F5189-G5189</f>
        <v>19327</v>
      </c>
      <c r="F5189" s="396">
        <v>19327</v>
      </c>
      <c r="G5189" s="396">
        <v>0</v>
      </c>
      <c r="H5189" t="s">
        <v>897</v>
      </c>
      <c r="I5189" s="347" t="s">
        <v>1303</v>
      </c>
      <c r="K5189" s="370"/>
      <c r="N5189" s="370"/>
    </row>
    <row r="5190" spans="1:14" s="347" customFormat="1" x14ac:dyDescent="0.25">
      <c r="A5190" s="369">
        <f>+A5189</f>
        <v>44466</v>
      </c>
      <c r="B5190" s="347">
        <f>+B5189</f>
        <v>9</v>
      </c>
      <c r="C5190" s="347">
        <v>3110</v>
      </c>
      <c r="D5190" s="340" t="str">
        <f>VLOOKUP(C5190,Plan!A$1:B$65542,2,0)</f>
        <v>Colectas Normales</v>
      </c>
      <c r="E5190" s="341">
        <f>+F5190-G5190</f>
        <v>-19327</v>
      </c>
      <c r="F5190" s="396">
        <v>0</v>
      </c>
      <c r="G5190" s="396">
        <f>+F5189</f>
        <v>19327</v>
      </c>
      <c r="H5190" s="347" t="str">
        <f>+H5189</f>
        <v>Colecta DCT</v>
      </c>
      <c r="I5190" s="347" t="str">
        <f>+I5189</f>
        <v>Administracion</v>
      </c>
      <c r="K5190" s="370"/>
      <c r="N5190" s="370"/>
    </row>
    <row r="5191" spans="1:14" s="347" customFormat="1" x14ac:dyDescent="0.25">
      <c r="A5191" s="369"/>
      <c r="E5191" s="396"/>
      <c r="F5191" s="396"/>
      <c r="G5191" s="396"/>
      <c r="K5191" s="370"/>
      <c r="N5191" s="370"/>
    </row>
    <row r="5192" spans="1:14" s="347" customFormat="1" x14ac:dyDescent="0.25">
      <c r="A5192" s="369">
        <v>44466</v>
      </c>
      <c r="B5192" s="347">
        <f>+B5190</f>
        <v>9</v>
      </c>
      <c r="C5192" s="347">
        <v>110</v>
      </c>
      <c r="D5192" s="340" t="str">
        <f>VLOOKUP(C5192,Plan!A$1:B$65542,2,0)</f>
        <v>Disponible Administración</v>
      </c>
      <c r="E5192" s="341">
        <f>+F5192-G5192</f>
        <v>641930</v>
      </c>
      <c r="F5192" s="396">
        <v>641930</v>
      </c>
      <c r="G5192" s="396">
        <v>0</v>
      </c>
      <c r="H5192" t="s">
        <v>1410</v>
      </c>
      <c r="I5192" s="347" t="s">
        <v>1303</v>
      </c>
      <c r="K5192" s="370"/>
      <c r="N5192" s="370"/>
    </row>
    <row r="5193" spans="1:14" s="347" customFormat="1" x14ac:dyDescent="0.25">
      <c r="A5193" s="369">
        <f>+A5192</f>
        <v>44466</v>
      </c>
      <c r="B5193" s="347">
        <f>+B5192</f>
        <v>9</v>
      </c>
      <c r="C5193" s="347">
        <v>3110</v>
      </c>
      <c r="D5193" s="340" t="str">
        <f>VLOOKUP(C5193,Plan!A$1:B$65542,2,0)</f>
        <v>Colectas Normales</v>
      </c>
      <c r="E5193" s="341">
        <f>+F5193-G5193</f>
        <v>-641930</v>
      </c>
      <c r="F5193" s="396">
        <v>0</v>
      </c>
      <c r="G5193" s="396">
        <f>+F5192</f>
        <v>641930</v>
      </c>
      <c r="H5193" s="347" t="str">
        <f>+H5192</f>
        <v>Colecta Col. Cordillera</v>
      </c>
      <c r="I5193" s="347" t="str">
        <f>+I5192</f>
        <v>Administracion</v>
      </c>
      <c r="K5193" s="370"/>
      <c r="N5193" s="370"/>
    </row>
    <row r="5194" spans="1:14" s="347" customFormat="1" x14ac:dyDescent="0.25">
      <c r="A5194" s="369"/>
      <c r="E5194" s="396"/>
      <c r="F5194" s="396"/>
      <c r="G5194" s="396"/>
      <c r="K5194" s="370"/>
      <c r="N5194" s="370"/>
    </row>
    <row r="5195" spans="1:14" s="347" customFormat="1" x14ac:dyDescent="0.25">
      <c r="A5195" s="369">
        <v>44466</v>
      </c>
      <c r="B5195" s="347">
        <f>+B5193</f>
        <v>9</v>
      </c>
      <c r="C5195" s="347">
        <v>110</v>
      </c>
      <c r="D5195" s="340" t="str">
        <f>VLOOKUP(C5195,Plan!A$1:B$65542,2,0)</f>
        <v>Disponible Administración</v>
      </c>
      <c r="E5195" s="341">
        <f>+F5195-G5195</f>
        <v>8000</v>
      </c>
      <c r="F5195" s="396">
        <v>8000</v>
      </c>
      <c r="G5195" s="396">
        <v>0</v>
      </c>
      <c r="H5195" t="s">
        <v>1203</v>
      </c>
      <c r="I5195" s="347" t="s">
        <v>1303</v>
      </c>
      <c r="K5195" s="370"/>
      <c r="N5195" s="370"/>
    </row>
    <row r="5196" spans="1:14" s="347" customFormat="1" x14ac:dyDescent="0.25">
      <c r="A5196" s="369">
        <f>+A5195</f>
        <v>44466</v>
      </c>
      <c r="B5196" s="347">
        <f>+B5195</f>
        <v>9</v>
      </c>
      <c r="C5196" s="347">
        <v>3110</v>
      </c>
      <c r="D5196" s="340" t="str">
        <f>VLOOKUP(C5196,Plan!A$1:B$65542,2,0)</f>
        <v>Colectas Normales</v>
      </c>
      <c r="E5196" s="341">
        <f>+F5196-G5196</f>
        <v>-8000</v>
      </c>
      <c r="F5196" s="396">
        <v>0</v>
      </c>
      <c r="G5196" s="396">
        <f>+F5195</f>
        <v>8000</v>
      </c>
      <c r="H5196" s="347" t="str">
        <f>+H5195</f>
        <v xml:space="preserve">Bautizo </v>
      </c>
      <c r="I5196" s="347" t="str">
        <f>+I5195</f>
        <v>Administracion</v>
      </c>
      <c r="K5196" s="370"/>
      <c r="N5196" s="370"/>
    </row>
    <row r="5197" spans="1:14" s="347" customFormat="1" x14ac:dyDescent="0.25">
      <c r="A5197" s="369"/>
      <c r="E5197" s="396"/>
      <c r="F5197" s="396"/>
      <c r="G5197" s="396"/>
      <c r="K5197" s="370"/>
      <c r="N5197" s="370"/>
    </row>
    <row r="5198" spans="1:14" s="347" customFormat="1" x14ac:dyDescent="0.25">
      <c r="A5198" s="369">
        <v>44466</v>
      </c>
      <c r="B5198" s="347">
        <f>+B5196</f>
        <v>9</v>
      </c>
      <c r="C5198" s="347">
        <v>110</v>
      </c>
      <c r="D5198" s="340" t="str">
        <f>VLOOKUP(C5198,Plan!A$1:B$65542,2,0)</f>
        <v>Disponible Administración</v>
      </c>
      <c r="E5198" s="341">
        <f>+F5198-G5198</f>
        <v>40000</v>
      </c>
      <c r="F5198" s="396">
        <v>40000</v>
      </c>
      <c r="G5198" s="396">
        <v>0</v>
      </c>
      <c r="H5198" t="s">
        <v>1550</v>
      </c>
      <c r="I5198" s="347" t="s">
        <v>1303</v>
      </c>
      <c r="K5198" s="370"/>
      <c r="N5198" s="370"/>
    </row>
    <row r="5199" spans="1:14" s="347" customFormat="1" x14ac:dyDescent="0.25">
      <c r="A5199" s="369">
        <f>+A5198</f>
        <v>44466</v>
      </c>
      <c r="B5199" s="347">
        <f>+B5198</f>
        <v>9</v>
      </c>
      <c r="C5199" s="347">
        <v>3110</v>
      </c>
      <c r="D5199" s="340" t="str">
        <f>VLOOKUP(C5199,Plan!A$1:B$65542,2,0)</f>
        <v>Colectas Normales</v>
      </c>
      <c r="E5199" s="341">
        <f>+F5199-G5199</f>
        <v>-40000</v>
      </c>
      <c r="F5199" s="396">
        <v>0</v>
      </c>
      <c r="G5199" s="396">
        <f>+F5198</f>
        <v>40000</v>
      </c>
      <c r="H5199" s="347" t="str">
        <f>+H5198</f>
        <v>Colecta Luis Ignacio Marin Jordan</v>
      </c>
      <c r="I5199" s="347" t="str">
        <f>+I5198</f>
        <v>Administracion</v>
      </c>
      <c r="K5199" s="370"/>
      <c r="N5199" s="370"/>
    </row>
    <row r="5200" spans="1:14" s="347" customFormat="1" x14ac:dyDescent="0.25">
      <c r="A5200" s="369"/>
      <c r="E5200" s="396"/>
      <c r="F5200" s="396"/>
      <c r="G5200" s="396"/>
      <c r="K5200" s="370"/>
      <c r="N5200" s="370"/>
    </row>
    <row r="5201" spans="1:14" s="347" customFormat="1" x14ac:dyDescent="0.25">
      <c r="A5201" s="369">
        <v>44469</v>
      </c>
      <c r="B5201" s="347">
        <f>+B5199</f>
        <v>9</v>
      </c>
      <c r="C5201" s="347">
        <v>4680</v>
      </c>
      <c r="D5201" s="340" t="str">
        <f>VLOOKUP(C5201,Plan!A$1:B$65542,2,0)</f>
        <v>Pastoral Comunicacional</v>
      </c>
      <c r="E5201" s="341">
        <f>+F5201-G5201</f>
        <v>423803</v>
      </c>
      <c r="F5201" s="396">
        <v>423803</v>
      </c>
      <c r="G5201" s="396">
        <v>0</v>
      </c>
      <c r="H5201" t="s">
        <v>2065</v>
      </c>
      <c r="I5201" s="347" t="s">
        <v>1303</v>
      </c>
      <c r="K5201" s="370"/>
      <c r="N5201" s="370"/>
    </row>
    <row r="5202" spans="1:14" s="347" customFormat="1" x14ac:dyDescent="0.25">
      <c r="A5202" s="369">
        <f>+A5201</f>
        <v>44469</v>
      </c>
      <c r="B5202" s="347">
        <f>+B5201</f>
        <v>9</v>
      </c>
      <c r="C5202" s="347">
        <v>110</v>
      </c>
      <c r="D5202" s="340" t="str">
        <f>VLOOKUP(C5202,Plan!A$1:B$65542,2,0)</f>
        <v>Disponible Administración</v>
      </c>
      <c r="E5202" s="341">
        <f>+F5202-G5202</f>
        <v>-423803</v>
      </c>
      <c r="F5202" s="396">
        <v>0</v>
      </c>
      <c r="G5202" s="359">
        <f>+F5201</f>
        <v>423803</v>
      </c>
      <c r="H5202" s="347" t="str">
        <f>+H5201</f>
        <v>F.825 Serv. Set.21 Areopago Comunicaciones</v>
      </c>
      <c r="I5202" s="347" t="str">
        <f>+I5201</f>
        <v>Administracion</v>
      </c>
      <c r="K5202" s="370"/>
      <c r="N5202" s="370"/>
    </row>
    <row r="5203" spans="1:14" s="347" customFormat="1" x14ac:dyDescent="0.25">
      <c r="A5203" s="369"/>
      <c r="E5203" s="396"/>
      <c r="F5203" s="396"/>
      <c r="G5203" s="396"/>
      <c r="K5203" s="370"/>
      <c r="N5203" s="370"/>
    </row>
    <row r="5204" spans="1:14" s="347" customFormat="1" x14ac:dyDescent="0.25">
      <c r="A5204" s="369">
        <v>44469</v>
      </c>
      <c r="B5204" s="347">
        <f>+B5202</f>
        <v>9</v>
      </c>
      <c r="C5204" s="347">
        <v>4420</v>
      </c>
      <c r="D5204" s="340" t="str">
        <f>VLOOKUP(C5204,Plan!A$1:B$65542,2,0)</f>
        <v>Aseo y Limpieza</v>
      </c>
      <c r="E5204" s="341">
        <f>+F5204-G5204</f>
        <v>20320</v>
      </c>
      <c r="F5204" s="396">
        <v>20320</v>
      </c>
      <c r="G5204" s="396">
        <v>0</v>
      </c>
      <c r="H5204" t="s">
        <v>2066</v>
      </c>
      <c r="I5204" s="347" t="s">
        <v>1303</v>
      </c>
      <c r="K5204" s="370"/>
      <c r="N5204" s="370"/>
    </row>
    <row r="5205" spans="1:14" s="347" customFormat="1" x14ac:dyDescent="0.25">
      <c r="A5205" s="369">
        <f>+A5204</f>
        <v>44469</v>
      </c>
      <c r="B5205" s="347">
        <f>+B5204</f>
        <v>9</v>
      </c>
      <c r="C5205" s="347">
        <v>110</v>
      </c>
      <c r="D5205" s="340" t="str">
        <f>VLOOKUP(C5205,Plan!A$1:B$65542,2,0)</f>
        <v>Disponible Administración</v>
      </c>
      <c r="E5205" s="341">
        <f>+F5205-G5205</f>
        <v>-20320</v>
      </c>
      <c r="F5205" s="396">
        <v>0</v>
      </c>
      <c r="G5205" s="359">
        <f>+F5204</f>
        <v>20320</v>
      </c>
      <c r="H5205" s="347" t="str">
        <f>+H5204</f>
        <v>Compra 96 Cajas Winkler Ltda.</v>
      </c>
      <c r="I5205" s="347" t="str">
        <f>+I5204</f>
        <v>Administracion</v>
      </c>
      <c r="K5205" s="370"/>
      <c r="N5205" s="370"/>
    </row>
    <row r="5206" spans="1:14" s="347" customFormat="1" x14ac:dyDescent="0.25">
      <c r="A5206" s="369"/>
      <c r="E5206" s="396"/>
      <c r="F5206" s="396"/>
      <c r="G5206" s="396"/>
      <c r="K5206" s="370"/>
      <c r="N5206" s="370"/>
    </row>
    <row r="5207" spans="1:14" s="347" customFormat="1" x14ac:dyDescent="0.25">
      <c r="A5207" s="369">
        <v>44469</v>
      </c>
      <c r="B5207" s="347">
        <f>+B5205</f>
        <v>9</v>
      </c>
      <c r="C5207" s="347">
        <v>4643</v>
      </c>
      <c r="D5207" s="340" t="str">
        <f>VLOOKUP(C5207,Plan!A$1:B$65542,2,0)</f>
        <v xml:space="preserve">             Otros</v>
      </c>
      <c r="E5207" s="341">
        <f>+F5207-G5207</f>
        <v>60000</v>
      </c>
      <c r="F5207" s="396">
        <f>+G5208+G5209</f>
        <v>60000</v>
      </c>
      <c r="G5207" s="396">
        <v>0</v>
      </c>
      <c r="H5207" t="s">
        <v>2067</v>
      </c>
      <c r="I5207" s="347" t="s">
        <v>1303</v>
      </c>
      <c r="K5207" s="370"/>
      <c r="N5207" s="370"/>
    </row>
    <row r="5208" spans="1:14" s="347" customFormat="1" x14ac:dyDescent="0.25">
      <c r="A5208" s="369">
        <f>+A5207</f>
        <v>44469</v>
      </c>
      <c r="B5208" s="347">
        <f>+B5207</f>
        <v>9</v>
      </c>
      <c r="C5208" s="347">
        <v>110</v>
      </c>
      <c r="D5208" s="340" t="str">
        <f>VLOOKUP(C5208,Plan!A$1:B$65542,2,0)</f>
        <v>Disponible Administración</v>
      </c>
      <c r="E5208" s="341">
        <f>+F5208-G5208</f>
        <v>-53100</v>
      </c>
      <c r="F5208" s="396">
        <v>0</v>
      </c>
      <c r="G5208" s="359">
        <v>53100</v>
      </c>
      <c r="H5208" s="347" t="str">
        <f>+H5207</f>
        <v>BTE-115 DORLLY CARDENAS LINDARTE</v>
      </c>
      <c r="I5208" s="347" t="str">
        <f>+I5207</f>
        <v>Administracion</v>
      </c>
      <c r="K5208" s="370"/>
      <c r="N5208" s="370"/>
    </row>
    <row r="5209" spans="1:14" s="347" customFormat="1" x14ac:dyDescent="0.25">
      <c r="A5209" s="369">
        <f>+A5208</f>
        <v>44469</v>
      </c>
      <c r="B5209" s="347">
        <f>+B5208</f>
        <v>9</v>
      </c>
      <c r="C5209" s="347">
        <v>223</v>
      </c>
      <c r="D5209" s="340" t="str">
        <f>VLOOKUP(C5209,Plan!A$1:B$65542,2,0)</f>
        <v>Ret. Hon.  e Impto. Unico Administración</v>
      </c>
      <c r="E5209" s="341">
        <f>+F5209-G5209</f>
        <v>-6900</v>
      </c>
      <c r="F5209" s="396">
        <v>0</v>
      </c>
      <c r="G5209" s="396">
        <v>6900</v>
      </c>
      <c r="H5209" s="347" t="str">
        <f>+H5208</f>
        <v>BTE-115 DORLLY CARDENAS LINDARTE</v>
      </c>
      <c r="I5209" s="347" t="str">
        <f>+I5208</f>
        <v>Administracion</v>
      </c>
      <c r="K5209" s="370"/>
      <c r="N5209" s="370"/>
    </row>
    <row r="5210" spans="1:14" s="347" customFormat="1" x14ac:dyDescent="0.25">
      <c r="A5210" s="369"/>
      <c r="E5210" s="396"/>
      <c r="F5210" s="396"/>
      <c r="G5210" s="396"/>
      <c r="K5210" s="370"/>
      <c r="N5210" s="370"/>
    </row>
    <row r="5211" spans="1:14" s="347" customFormat="1" x14ac:dyDescent="0.25">
      <c r="A5211" s="369">
        <v>44469</v>
      </c>
      <c r="B5211" s="347">
        <f>+B5209</f>
        <v>9</v>
      </c>
      <c r="C5211" s="347">
        <v>4224</v>
      </c>
      <c r="D5211" s="340" t="str">
        <f>VLOOKUP(C5211,Plan!A$1:B$65542,2,0)</f>
        <v xml:space="preserve">         Jardinero</v>
      </c>
      <c r="E5211" s="341">
        <f>+F5211-G5211</f>
        <v>33898</v>
      </c>
      <c r="F5211" s="396">
        <f>+G5212+G5213</f>
        <v>33898</v>
      </c>
      <c r="G5211" s="396">
        <v>0</v>
      </c>
      <c r="H5211" t="s">
        <v>2068</v>
      </c>
      <c r="I5211" s="347" t="s">
        <v>1303</v>
      </c>
      <c r="K5211" s="370"/>
      <c r="N5211" s="370"/>
    </row>
    <row r="5212" spans="1:14" s="347" customFormat="1" x14ac:dyDescent="0.25">
      <c r="A5212" s="369">
        <f>+A5211</f>
        <v>44469</v>
      </c>
      <c r="B5212" s="347">
        <f>+B5211</f>
        <v>9</v>
      </c>
      <c r="C5212" s="347">
        <v>110</v>
      </c>
      <c r="D5212" s="340" t="str">
        <f>VLOOKUP(C5212,Plan!A$1:B$65542,2,0)</f>
        <v>Disponible Administración</v>
      </c>
      <c r="E5212" s="341">
        <f>+F5212-G5212</f>
        <v>-30000</v>
      </c>
      <c r="F5212" s="396">
        <v>0</v>
      </c>
      <c r="G5212" s="359">
        <v>30000</v>
      </c>
      <c r="H5212" s="347" t="str">
        <f>+H5211</f>
        <v>BTE-117 EDUARDO PLAZA RIVERA</v>
      </c>
      <c r="I5212" s="347" t="str">
        <f>+I5211</f>
        <v>Administracion</v>
      </c>
      <c r="K5212" s="370"/>
      <c r="N5212" s="370"/>
    </row>
    <row r="5213" spans="1:14" s="347" customFormat="1" x14ac:dyDescent="0.25">
      <c r="A5213" s="369">
        <f>+A5212</f>
        <v>44469</v>
      </c>
      <c r="B5213" s="347">
        <f>+B5212</f>
        <v>9</v>
      </c>
      <c r="C5213" s="347">
        <v>223</v>
      </c>
      <c r="D5213" s="340" t="str">
        <f>VLOOKUP(C5213,Plan!A$1:B$65542,2,0)</f>
        <v>Ret. Hon.  e Impto. Unico Administración</v>
      </c>
      <c r="E5213" s="341">
        <f>+F5213-G5213</f>
        <v>-3898</v>
      </c>
      <c r="F5213" s="396">
        <v>0</v>
      </c>
      <c r="G5213" s="396">
        <v>3898</v>
      </c>
      <c r="H5213" s="347" t="str">
        <f>+H5212</f>
        <v>BTE-117 EDUARDO PLAZA RIVERA</v>
      </c>
      <c r="I5213" s="347" t="str">
        <f>+I5212</f>
        <v>Administracion</v>
      </c>
      <c r="K5213" s="370"/>
      <c r="N5213" s="370"/>
    </row>
    <row r="5214" spans="1:14" s="347" customFormat="1" x14ac:dyDescent="0.25">
      <c r="A5214" s="369"/>
      <c r="E5214" s="396"/>
      <c r="F5214" s="396"/>
      <c r="G5214" s="396"/>
      <c r="K5214" s="370"/>
      <c r="N5214" s="370"/>
    </row>
    <row r="5215" spans="1:14" s="347" customFormat="1" x14ac:dyDescent="0.25">
      <c r="A5215" s="339">
        <v>44469</v>
      </c>
      <c r="B5215" s="340">
        <f>+MONTH(A5215)</f>
        <v>9</v>
      </c>
      <c r="C5215" s="338">
        <v>4231</v>
      </c>
      <c r="D5215" s="347" t="str">
        <f>VLOOKUP(C5215,Plan!A$1:B$65542,2,0)</f>
        <v>Auxiliares, secretarias y administración</v>
      </c>
      <c r="E5215" s="341">
        <f t="shared" ref="E5215:E5221" si="40">+F5215-G5215</f>
        <v>3059525</v>
      </c>
      <c r="F5215" s="345">
        <v>3059525</v>
      </c>
      <c r="G5215" s="346">
        <v>0</v>
      </c>
      <c r="H5215" s="343" t="s">
        <v>410</v>
      </c>
      <c r="I5215" s="401" t="s">
        <v>296</v>
      </c>
      <c r="K5215" s="370"/>
      <c r="N5215" s="370"/>
    </row>
    <row r="5216" spans="1:14" s="347" customFormat="1" x14ac:dyDescent="0.25">
      <c r="A5216" s="339">
        <f t="shared" ref="A5216:B5221" si="41">+A5215</f>
        <v>44469</v>
      </c>
      <c r="B5216" s="340">
        <f t="shared" si="41"/>
        <v>9</v>
      </c>
      <c r="C5216" s="338">
        <v>9011</v>
      </c>
      <c r="D5216" s="347" t="str">
        <f>VLOOKUP(C5216,Plan!A$1:B$65542,2,0)</f>
        <v>Sueldo Sacerdotes</v>
      </c>
      <c r="E5216" s="341">
        <f t="shared" si="40"/>
        <v>912822</v>
      </c>
      <c r="F5216" s="345">
        <v>912822</v>
      </c>
      <c r="G5216" s="346">
        <v>0</v>
      </c>
      <c r="H5216" s="338" t="s">
        <v>410</v>
      </c>
      <c r="I5216" s="401" t="s">
        <v>296</v>
      </c>
      <c r="K5216" s="370"/>
      <c r="N5216" s="370"/>
    </row>
    <row r="5217" spans="1:14" s="347" customFormat="1" x14ac:dyDescent="0.25">
      <c r="A5217" s="339">
        <f t="shared" si="41"/>
        <v>44469</v>
      </c>
      <c r="B5217" s="340">
        <f t="shared" si="41"/>
        <v>9</v>
      </c>
      <c r="C5217" s="338">
        <v>4231</v>
      </c>
      <c r="D5217" s="347" t="str">
        <f>VLOOKUP(C5217,Plan!A$1:B$65542,2,0)</f>
        <v>Auxiliares, secretarias y administración</v>
      </c>
      <c r="E5217" s="341">
        <f t="shared" si="40"/>
        <v>51252</v>
      </c>
      <c r="F5217" s="345">
        <v>51252</v>
      </c>
      <c r="G5217" s="346">
        <v>0</v>
      </c>
      <c r="H5217" s="338" t="s">
        <v>410</v>
      </c>
      <c r="I5217" s="401" t="s">
        <v>296</v>
      </c>
      <c r="K5217" s="370"/>
      <c r="N5217" s="370"/>
    </row>
    <row r="5218" spans="1:14" s="347" customFormat="1" x14ac:dyDescent="0.25">
      <c r="A5218" s="339">
        <f t="shared" si="41"/>
        <v>44469</v>
      </c>
      <c r="B5218" s="340">
        <f t="shared" si="41"/>
        <v>9</v>
      </c>
      <c r="C5218" s="338">
        <v>225</v>
      </c>
      <c r="D5218" s="347" t="str">
        <f>VLOOKUP(C5218,Plan!A$1:B$65542,2,0)</f>
        <v>Sueldos por Pagar</v>
      </c>
      <c r="E5218" s="341">
        <f t="shared" si="40"/>
        <v>-3401866</v>
      </c>
      <c r="F5218" s="345">
        <v>0</v>
      </c>
      <c r="G5218" s="346">
        <v>3401866</v>
      </c>
      <c r="H5218" s="338" t="s">
        <v>410</v>
      </c>
      <c r="I5218" s="401" t="s">
        <v>296</v>
      </c>
      <c r="K5218" s="370"/>
      <c r="N5218" s="370"/>
    </row>
    <row r="5219" spans="1:14" s="347" customFormat="1" x14ac:dyDescent="0.25">
      <c r="A5219" s="339">
        <f t="shared" si="41"/>
        <v>44469</v>
      </c>
      <c r="B5219" s="340">
        <f t="shared" si="41"/>
        <v>9</v>
      </c>
      <c r="C5219" s="338">
        <v>224</v>
      </c>
      <c r="D5219" s="347" t="str">
        <f>VLOOKUP(C5219,Plan!A$1:B$65542,2,0)</f>
        <v>Cotizaciones por Pagar</v>
      </c>
      <c r="E5219" s="341">
        <f t="shared" si="40"/>
        <v>-428919</v>
      </c>
      <c r="F5219" s="345">
        <v>0</v>
      </c>
      <c r="G5219" s="346">
        <v>428919</v>
      </c>
      <c r="H5219" s="338" t="s">
        <v>410</v>
      </c>
      <c r="I5219" s="401" t="s">
        <v>296</v>
      </c>
      <c r="K5219" s="370"/>
      <c r="N5219" s="370"/>
    </row>
    <row r="5220" spans="1:14" s="347" customFormat="1" x14ac:dyDescent="0.25">
      <c r="A5220" s="339">
        <f t="shared" si="41"/>
        <v>44469</v>
      </c>
      <c r="B5220" s="340">
        <f t="shared" si="41"/>
        <v>9</v>
      </c>
      <c r="C5220" s="338">
        <v>224</v>
      </c>
      <c r="D5220" s="347" t="str">
        <f>VLOOKUP(C5220,Plan!A$1:B$65542,2,0)</f>
        <v>Cotizaciones por Pagar</v>
      </c>
      <c r="E5220" s="341">
        <f t="shared" si="40"/>
        <v>-177822</v>
      </c>
      <c r="F5220" s="345">
        <v>0</v>
      </c>
      <c r="G5220" s="362">
        <v>177822</v>
      </c>
      <c r="H5220" s="338" t="s">
        <v>410</v>
      </c>
      <c r="I5220" s="401" t="s">
        <v>296</v>
      </c>
      <c r="K5220" s="370"/>
      <c r="N5220" s="370"/>
    </row>
    <row r="5221" spans="1:14" s="347" customFormat="1" x14ac:dyDescent="0.25">
      <c r="A5221" s="339">
        <f t="shared" si="41"/>
        <v>44469</v>
      </c>
      <c r="B5221" s="340">
        <f t="shared" si="41"/>
        <v>9</v>
      </c>
      <c r="C5221" s="338">
        <v>223</v>
      </c>
      <c r="D5221" s="347" t="str">
        <f>VLOOKUP(C5221,Plan!A$1:B$65542,2,0)</f>
        <v>Ret. Hon.  e Impto. Unico Administración</v>
      </c>
      <c r="E5221" s="341">
        <f t="shared" si="40"/>
        <v>-14992</v>
      </c>
      <c r="F5221" s="345">
        <v>0</v>
      </c>
      <c r="G5221" s="346">
        <v>14992</v>
      </c>
      <c r="H5221" s="338" t="s">
        <v>410</v>
      </c>
      <c r="I5221" s="401" t="s">
        <v>296</v>
      </c>
      <c r="K5221" s="370"/>
      <c r="N5221" s="370"/>
    </row>
    <row r="5222" spans="1:14" s="347" customFormat="1" x14ac:dyDescent="0.25">
      <c r="A5222" s="369"/>
      <c r="E5222" s="396"/>
      <c r="F5222" s="396"/>
      <c r="G5222" s="396"/>
      <c r="K5222" s="370"/>
      <c r="N5222" s="370"/>
    </row>
    <row r="5223" spans="1:14" s="347" customFormat="1" x14ac:dyDescent="0.25">
      <c r="A5223" s="339">
        <v>44469</v>
      </c>
      <c r="B5223" s="340">
        <f>+MONTH(A5223)</f>
        <v>9</v>
      </c>
      <c r="C5223" s="338">
        <v>225</v>
      </c>
      <c r="D5223" s="347" t="str">
        <f>VLOOKUP(C5223,Plan!A$1:B$65542,2,0)</f>
        <v>Sueldos por Pagar</v>
      </c>
      <c r="E5223" s="341">
        <f>+F5223-G5223</f>
        <v>735000</v>
      </c>
      <c r="F5223" s="345">
        <v>735000</v>
      </c>
      <c r="G5223" s="362">
        <v>0</v>
      </c>
      <c r="H5223" s="338" t="s">
        <v>2071</v>
      </c>
      <c r="I5223" s="401" t="s">
        <v>296</v>
      </c>
      <c r="K5223" s="370"/>
      <c r="N5223" s="370"/>
    </row>
    <row r="5224" spans="1:14" s="347" customFormat="1" x14ac:dyDescent="0.25">
      <c r="A5224" s="339">
        <f>+A5223</f>
        <v>44469</v>
      </c>
      <c r="B5224" s="340">
        <f>+MONTH(A5224)</f>
        <v>9</v>
      </c>
      <c r="C5224" s="338">
        <v>110</v>
      </c>
      <c r="D5224" s="347" t="str">
        <f>VLOOKUP(C5224,Plan!A$1:B$65542,2,0)</f>
        <v>Disponible Administración</v>
      </c>
      <c r="E5224" s="341">
        <f>+F5224-G5224</f>
        <v>-735000</v>
      </c>
      <c r="F5224" s="345">
        <v>0</v>
      </c>
      <c r="G5224" s="346">
        <f>+F5223</f>
        <v>735000</v>
      </c>
      <c r="H5224" s="338" t="str">
        <f>+H5223</f>
        <v>Remuneraciones Pedro Rios Dempster</v>
      </c>
      <c r="I5224" s="401" t="s">
        <v>296</v>
      </c>
      <c r="K5224" s="370"/>
      <c r="N5224" s="370"/>
    </row>
    <row r="5225" spans="1:14" s="347" customFormat="1" x14ac:dyDescent="0.25">
      <c r="A5225" s="369"/>
      <c r="E5225" s="396"/>
      <c r="F5225" s="396"/>
      <c r="G5225" s="396"/>
      <c r="K5225" s="370"/>
      <c r="N5225" s="370"/>
    </row>
    <row r="5226" spans="1:14" s="347" customFormat="1" x14ac:dyDescent="0.25">
      <c r="A5226" s="339">
        <v>44469</v>
      </c>
      <c r="B5226" s="340">
        <f>+MONTH(A5226)</f>
        <v>9</v>
      </c>
      <c r="C5226" s="338">
        <v>225</v>
      </c>
      <c r="D5226" s="347" t="str">
        <f>VLOOKUP(C5226,Plan!A$1:B$65542,2,0)</f>
        <v>Sueldos por Pagar</v>
      </c>
      <c r="E5226" s="341">
        <f>+F5226-G5226</f>
        <v>779747</v>
      </c>
      <c r="F5226" s="345">
        <v>779747</v>
      </c>
      <c r="G5226" s="362">
        <v>0</v>
      </c>
      <c r="H5226" s="338" t="s">
        <v>2072</v>
      </c>
      <c r="I5226" s="401" t="s">
        <v>296</v>
      </c>
      <c r="K5226" s="370"/>
      <c r="N5226" s="370"/>
    </row>
    <row r="5227" spans="1:14" s="347" customFormat="1" x14ac:dyDescent="0.25">
      <c r="A5227" s="339">
        <f>+A5226</f>
        <v>44469</v>
      </c>
      <c r="B5227" s="340">
        <f>+MONTH(A5227)</f>
        <v>9</v>
      </c>
      <c r="C5227" s="338">
        <v>110</v>
      </c>
      <c r="D5227" s="347" t="str">
        <f>VLOOKUP(C5227,Plan!A$1:B$65542,2,0)</f>
        <v>Disponible Administración</v>
      </c>
      <c r="E5227" s="341">
        <f>+F5227-G5227</f>
        <v>-779747</v>
      </c>
      <c r="F5227" s="345">
        <v>0</v>
      </c>
      <c r="G5227" s="346">
        <f>+F5226</f>
        <v>779747</v>
      </c>
      <c r="H5227" s="338" t="str">
        <f>+H5226</f>
        <v>Remuneraciones Veronica Arriagada Soto</v>
      </c>
      <c r="I5227" s="401" t="s">
        <v>296</v>
      </c>
      <c r="K5227" s="370"/>
      <c r="N5227" s="370"/>
    </row>
    <row r="5228" spans="1:14" s="347" customFormat="1" x14ac:dyDescent="0.25">
      <c r="A5228" s="369"/>
      <c r="E5228" s="396"/>
      <c r="F5228" s="396"/>
      <c r="G5228" s="396"/>
      <c r="K5228" s="370"/>
      <c r="N5228" s="370"/>
    </row>
    <row r="5229" spans="1:14" s="347" customFormat="1" x14ac:dyDescent="0.25">
      <c r="A5229" s="339">
        <v>44469</v>
      </c>
      <c r="B5229" s="340">
        <f>+MONTH(A5229)</f>
        <v>9</v>
      </c>
      <c r="C5229" s="338">
        <v>225</v>
      </c>
      <c r="D5229" s="347" t="str">
        <f>VLOOKUP(C5229,Plan!A$1:B$65542,2,0)</f>
        <v>Sueldos por Pagar</v>
      </c>
      <c r="E5229" s="341">
        <f>+F5229-G5229</f>
        <v>514843</v>
      </c>
      <c r="F5229" s="345">
        <v>514843</v>
      </c>
      <c r="G5229" s="362">
        <v>0</v>
      </c>
      <c r="H5229" s="338" t="s">
        <v>2073</v>
      </c>
      <c r="I5229" s="401" t="s">
        <v>296</v>
      </c>
      <c r="K5229" s="370"/>
      <c r="N5229" s="370"/>
    </row>
    <row r="5230" spans="1:14" s="347" customFormat="1" x14ac:dyDescent="0.25">
      <c r="A5230" s="339">
        <f>+A5229</f>
        <v>44469</v>
      </c>
      <c r="B5230" s="340">
        <f>+MONTH(A5230)</f>
        <v>9</v>
      </c>
      <c r="C5230" s="338">
        <v>110</v>
      </c>
      <c r="D5230" s="347" t="str">
        <f>VLOOKUP(C5230,Plan!A$1:B$65542,2,0)</f>
        <v>Disponible Administración</v>
      </c>
      <c r="E5230" s="341">
        <f>+F5230-G5230</f>
        <v>-514843</v>
      </c>
      <c r="F5230" s="345">
        <v>0</v>
      </c>
      <c r="G5230" s="346">
        <f>+F5229</f>
        <v>514843</v>
      </c>
      <c r="H5230" s="338" t="str">
        <f>+H5229</f>
        <v>Remuneraciones M.de los Angeles Renasco Mandiola</v>
      </c>
      <c r="I5230" s="401" t="s">
        <v>296</v>
      </c>
      <c r="K5230" s="370"/>
      <c r="N5230" s="370"/>
    </row>
    <row r="5231" spans="1:14" s="347" customFormat="1" x14ac:dyDescent="0.25">
      <c r="A5231" s="369"/>
      <c r="E5231" s="396"/>
      <c r="F5231" s="396"/>
      <c r="G5231" s="396"/>
      <c r="K5231" s="370"/>
      <c r="N5231" s="370"/>
    </row>
    <row r="5232" spans="1:14" s="347" customFormat="1" x14ac:dyDescent="0.25">
      <c r="A5232" s="339">
        <v>44469</v>
      </c>
      <c r="B5232" s="340">
        <f>+MONTH(A5232)</f>
        <v>9</v>
      </c>
      <c r="C5232" s="338">
        <v>225</v>
      </c>
      <c r="D5232" s="347" t="str">
        <f>VLOOKUP(C5232,Plan!A$1:B$65542,2,0)</f>
        <v>Sueldos por Pagar</v>
      </c>
      <c r="E5232" s="341">
        <f>+F5232-G5232</f>
        <v>255470</v>
      </c>
      <c r="F5232" s="345">
        <v>255470</v>
      </c>
      <c r="G5232" s="362">
        <v>0</v>
      </c>
      <c r="H5232" s="338" t="s">
        <v>2070</v>
      </c>
      <c r="I5232" s="401" t="s">
        <v>296</v>
      </c>
      <c r="K5232" s="370"/>
      <c r="N5232" s="370"/>
    </row>
    <row r="5233" spans="1:14" s="347" customFormat="1" x14ac:dyDescent="0.25">
      <c r="A5233" s="339">
        <f>+A5232</f>
        <v>44469</v>
      </c>
      <c r="B5233" s="340">
        <f>+MONTH(A5233)</f>
        <v>9</v>
      </c>
      <c r="C5233" s="338">
        <v>110</v>
      </c>
      <c r="D5233" s="347" t="str">
        <f>VLOOKUP(C5233,Plan!A$1:B$65542,2,0)</f>
        <v>Disponible Administración</v>
      </c>
      <c r="E5233" s="341">
        <f>+F5233-G5233</f>
        <v>-255470</v>
      </c>
      <c r="F5233" s="345">
        <v>0</v>
      </c>
      <c r="G5233" s="346">
        <f>+F5232</f>
        <v>255470</v>
      </c>
      <c r="H5233" s="338" t="str">
        <f>+H5232</f>
        <v>Remuneraciones Katherinne Farias Cuevas</v>
      </c>
      <c r="I5233" s="401" t="s">
        <v>296</v>
      </c>
      <c r="K5233" s="370"/>
      <c r="N5233" s="370"/>
    </row>
    <row r="5234" spans="1:14" s="347" customFormat="1" x14ac:dyDescent="0.25">
      <c r="A5234" s="369"/>
      <c r="E5234" s="396"/>
      <c r="F5234" s="396"/>
      <c r="G5234" s="396"/>
      <c r="K5234" s="370"/>
      <c r="N5234" s="370"/>
    </row>
    <row r="5235" spans="1:14" s="347" customFormat="1" x14ac:dyDescent="0.25">
      <c r="A5235" s="339">
        <v>44469</v>
      </c>
      <c r="B5235" s="340">
        <f>+MONTH(A5235)</f>
        <v>9</v>
      </c>
      <c r="C5235" s="338">
        <v>225</v>
      </c>
      <c r="D5235" s="347" t="str">
        <f>VLOOKUP(C5235,Plan!A$1:B$65542,2,0)</f>
        <v>Sueldos por Pagar</v>
      </c>
      <c r="E5235" s="341">
        <f>+F5235-G5235</f>
        <v>1116806</v>
      </c>
      <c r="F5235" s="345">
        <v>1116806</v>
      </c>
      <c r="G5235" s="362">
        <v>0</v>
      </c>
      <c r="H5235" s="338" t="s">
        <v>2069</v>
      </c>
      <c r="I5235" s="401" t="s">
        <v>296</v>
      </c>
      <c r="K5235" s="370"/>
      <c r="N5235" s="370"/>
    </row>
    <row r="5236" spans="1:14" s="347" customFormat="1" x14ac:dyDescent="0.25">
      <c r="A5236" s="339">
        <f>+A5235</f>
        <v>44469</v>
      </c>
      <c r="B5236" s="340">
        <f>+MONTH(A5236)</f>
        <v>9</v>
      </c>
      <c r="C5236" s="338">
        <v>110</v>
      </c>
      <c r="D5236" s="347" t="str">
        <f>VLOOKUP(C5236,Plan!A$1:B$65542,2,0)</f>
        <v>Disponible Administración</v>
      </c>
      <c r="E5236" s="341">
        <f>+F5236-G5236</f>
        <v>-1116806</v>
      </c>
      <c r="F5236" s="345">
        <v>0</v>
      </c>
      <c r="G5236" s="346">
        <f>+F5235</f>
        <v>1116806</v>
      </c>
      <c r="H5236" s="338" t="str">
        <f>+H5235</f>
        <v>Remuneraciones Rafael Valdes Searle</v>
      </c>
      <c r="I5236" s="401" t="s">
        <v>296</v>
      </c>
      <c r="K5236" s="370"/>
      <c r="N5236" s="370"/>
    </row>
    <row r="5237" spans="1:14" s="347" customFormat="1" x14ac:dyDescent="0.25">
      <c r="A5237" s="369"/>
      <c r="E5237" s="396"/>
      <c r="F5237" s="396"/>
      <c r="G5237" s="396"/>
      <c r="J5237" s="338"/>
      <c r="K5237"/>
      <c r="L5237" s="264"/>
      <c r="N5237" s="370"/>
    </row>
    <row r="5238" spans="1:14" s="347" customFormat="1" x14ac:dyDescent="0.25">
      <c r="A5238" s="339">
        <v>44469</v>
      </c>
      <c r="B5238" s="340">
        <f t="shared" ref="B5238:B5249" si="42">+MONTH(A5238)</f>
        <v>9</v>
      </c>
      <c r="C5238" s="338">
        <v>142</v>
      </c>
      <c r="D5238" s="347" t="str">
        <f>VLOOKUP(C5238,Plan!A$1:B$65542,2,0)</f>
        <v>Cuentas por Cobrar a CALI (Colectas)</v>
      </c>
      <c r="E5238" s="341">
        <f t="shared" ref="E5238:E5249" si="43">+F5238-G5238</f>
        <v>15000</v>
      </c>
      <c r="F5238" s="396">
        <v>15000</v>
      </c>
      <c r="G5238" s="362">
        <v>0</v>
      </c>
      <c r="H5238" t="s">
        <v>982</v>
      </c>
      <c r="I5238" s="401" t="s">
        <v>296</v>
      </c>
      <c r="J5238" s="338"/>
      <c r="K5238"/>
      <c r="L5238" s="264"/>
      <c r="N5238" s="370"/>
    </row>
    <row r="5239" spans="1:14" s="347" customFormat="1" x14ac:dyDescent="0.25">
      <c r="A5239" s="339">
        <f>+A5238</f>
        <v>44469</v>
      </c>
      <c r="B5239" s="340">
        <f t="shared" si="42"/>
        <v>9</v>
      </c>
      <c r="C5239" s="338">
        <v>142</v>
      </c>
      <c r="D5239" s="347" t="str">
        <f>VLOOKUP(C5239,Plan!A$1:B$65542,2,0)</f>
        <v>Cuentas por Cobrar a CALI (Colectas)</v>
      </c>
      <c r="E5239" s="341">
        <f t="shared" si="43"/>
        <v>5500</v>
      </c>
      <c r="F5239" s="396">
        <v>5500</v>
      </c>
      <c r="G5239" s="346">
        <v>0</v>
      </c>
      <c r="H5239" t="s">
        <v>1010</v>
      </c>
      <c r="I5239" s="401" t="s">
        <v>296</v>
      </c>
      <c r="J5239" s="338"/>
      <c r="K5239"/>
      <c r="L5239" s="264"/>
      <c r="N5239" s="370"/>
    </row>
    <row r="5240" spans="1:14" s="347" customFormat="1" x14ac:dyDescent="0.25">
      <c r="A5240" s="339">
        <v>44469</v>
      </c>
      <c r="B5240" s="340">
        <f t="shared" si="42"/>
        <v>9</v>
      </c>
      <c r="C5240" s="338">
        <v>142</v>
      </c>
      <c r="D5240" s="347" t="str">
        <f>VLOOKUP(C5240,Plan!A$1:B$65542,2,0)</f>
        <v>Cuentas por Cobrar a CALI (Colectas)</v>
      </c>
      <c r="E5240" s="341">
        <f t="shared" si="43"/>
        <v>5000</v>
      </c>
      <c r="F5240" s="396">
        <v>5000</v>
      </c>
      <c r="G5240" s="362">
        <v>0</v>
      </c>
      <c r="H5240" t="s">
        <v>1861</v>
      </c>
      <c r="I5240" s="401" t="s">
        <v>296</v>
      </c>
      <c r="J5240" s="338"/>
      <c r="K5240"/>
      <c r="L5240" s="264"/>
      <c r="N5240" s="370"/>
    </row>
    <row r="5241" spans="1:14" s="347" customFormat="1" x14ac:dyDescent="0.25">
      <c r="A5241" s="339">
        <f>+A5240</f>
        <v>44469</v>
      </c>
      <c r="B5241" s="340">
        <f t="shared" si="42"/>
        <v>9</v>
      </c>
      <c r="C5241" s="338">
        <v>142</v>
      </c>
      <c r="D5241" s="347" t="str">
        <f>VLOOKUP(C5241,Plan!A$1:B$65542,2,0)</f>
        <v>Cuentas por Cobrar a CALI (Colectas)</v>
      </c>
      <c r="E5241" s="341">
        <f t="shared" si="43"/>
        <v>80000</v>
      </c>
      <c r="F5241" s="396">
        <v>80000</v>
      </c>
      <c r="G5241" s="346">
        <v>0</v>
      </c>
      <c r="H5241" t="s">
        <v>1992</v>
      </c>
      <c r="I5241" s="401" t="s">
        <v>296</v>
      </c>
      <c r="J5241" s="338"/>
      <c r="K5241"/>
      <c r="L5241" s="264"/>
      <c r="N5241" s="370"/>
    </row>
    <row r="5242" spans="1:14" s="347" customFormat="1" x14ac:dyDescent="0.25">
      <c r="A5242" s="339">
        <v>44469</v>
      </c>
      <c r="B5242" s="340">
        <f t="shared" si="42"/>
        <v>9</v>
      </c>
      <c r="C5242" s="338">
        <v>142</v>
      </c>
      <c r="D5242" s="347" t="str">
        <f>VLOOKUP(C5242,Plan!A$1:B$65542,2,0)</f>
        <v>Cuentas por Cobrar a CALI (Colectas)</v>
      </c>
      <c r="E5242" s="341">
        <f t="shared" si="43"/>
        <v>60000</v>
      </c>
      <c r="F5242" s="396">
        <v>60000</v>
      </c>
      <c r="G5242" s="362">
        <v>0</v>
      </c>
      <c r="H5242" t="s">
        <v>1998</v>
      </c>
      <c r="I5242" s="401" t="s">
        <v>296</v>
      </c>
      <c r="J5242" s="338"/>
      <c r="K5242"/>
      <c r="L5242" s="264"/>
      <c r="N5242" s="370"/>
    </row>
    <row r="5243" spans="1:14" s="347" customFormat="1" x14ac:dyDescent="0.25">
      <c r="A5243" s="339">
        <f>+A5242</f>
        <v>44469</v>
      </c>
      <c r="B5243" s="340">
        <f t="shared" si="42"/>
        <v>9</v>
      </c>
      <c r="C5243" s="338">
        <v>142</v>
      </c>
      <c r="D5243" s="347" t="str">
        <f>VLOOKUP(C5243,Plan!A$1:B$65542,2,0)</f>
        <v>Cuentas por Cobrar a CALI (Colectas)</v>
      </c>
      <c r="E5243" s="341">
        <f t="shared" si="43"/>
        <v>5000</v>
      </c>
      <c r="F5243" s="396">
        <v>5000</v>
      </c>
      <c r="G5243" s="346">
        <v>0</v>
      </c>
      <c r="H5243" t="s">
        <v>2087</v>
      </c>
      <c r="I5243" s="401" t="s">
        <v>296</v>
      </c>
      <c r="J5243" s="338"/>
      <c r="K5243"/>
      <c r="N5243" s="370"/>
    </row>
    <row r="5244" spans="1:14" s="347" customFormat="1" x14ac:dyDescent="0.25">
      <c r="A5244" s="339">
        <v>44469</v>
      </c>
      <c r="B5244" s="340">
        <f t="shared" si="42"/>
        <v>9</v>
      </c>
      <c r="C5244" s="338">
        <v>3110</v>
      </c>
      <c r="D5244" s="347" t="str">
        <f>VLOOKUP(C5244,Plan!A$1:B$65542,2,0)</f>
        <v>Colectas Normales</v>
      </c>
      <c r="E5244" s="341">
        <f t="shared" si="43"/>
        <v>-15000</v>
      </c>
      <c r="F5244" s="345">
        <v>0</v>
      </c>
      <c r="G5244" s="396">
        <v>15000</v>
      </c>
      <c r="H5244" t="s">
        <v>982</v>
      </c>
      <c r="I5244" s="401" t="s">
        <v>296</v>
      </c>
      <c r="K5244" s="370"/>
      <c r="N5244" s="370"/>
    </row>
    <row r="5245" spans="1:14" s="347" customFormat="1" x14ac:dyDescent="0.25">
      <c r="A5245" s="339">
        <f>+A5244</f>
        <v>44469</v>
      </c>
      <c r="B5245" s="340">
        <f t="shared" si="42"/>
        <v>9</v>
      </c>
      <c r="C5245" s="338">
        <v>3110</v>
      </c>
      <c r="D5245" s="347" t="str">
        <f>VLOOKUP(C5245,Plan!A$1:B$65542,2,0)</f>
        <v>Colectas Normales</v>
      </c>
      <c r="E5245" s="341">
        <f t="shared" si="43"/>
        <v>-5500</v>
      </c>
      <c r="F5245" s="345">
        <v>0</v>
      </c>
      <c r="G5245" s="396">
        <v>5500</v>
      </c>
      <c r="H5245" t="s">
        <v>1010</v>
      </c>
      <c r="I5245" s="401" t="s">
        <v>296</v>
      </c>
      <c r="K5245" s="370"/>
      <c r="N5245" s="370"/>
    </row>
    <row r="5246" spans="1:14" s="347" customFormat="1" x14ac:dyDescent="0.25">
      <c r="A5246" s="339">
        <v>44469</v>
      </c>
      <c r="B5246" s="340">
        <f t="shared" si="42"/>
        <v>9</v>
      </c>
      <c r="C5246" s="338">
        <v>3110</v>
      </c>
      <c r="D5246" s="347" t="str">
        <f>VLOOKUP(C5246,Plan!A$1:B$65542,2,0)</f>
        <v>Colectas Normales</v>
      </c>
      <c r="E5246" s="341">
        <f t="shared" si="43"/>
        <v>-5000</v>
      </c>
      <c r="F5246" s="345">
        <v>0</v>
      </c>
      <c r="G5246" s="396">
        <v>5000</v>
      </c>
      <c r="H5246" t="s">
        <v>1861</v>
      </c>
      <c r="I5246" s="401" t="s">
        <v>296</v>
      </c>
      <c r="K5246" s="370"/>
      <c r="N5246" s="370"/>
    </row>
    <row r="5247" spans="1:14" s="347" customFormat="1" x14ac:dyDescent="0.25">
      <c r="A5247" s="339">
        <f>+A5246</f>
        <v>44469</v>
      </c>
      <c r="B5247" s="340">
        <f t="shared" si="42"/>
        <v>9</v>
      </c>
      <c r="C5247" s="338">
        <v>3110</v>
      </c>
      <c r="D5247" s="347" t="str">
        <f>VLOOKUP(C5247,Plan!A$1:B$65542,2,0)</f>
        <v>Colectas Normales</v>
      </c>
      <c r="E5247" s="341">
        <f t="shared" si="43"/>
        <v>-80000</v>
      </c>
      <c r="F5247" s="345">
        <v>0</v>
      </c>
      <c r="G5247" s="396">
        <v>80000</v>
      </c>
      <c r="H5247" t="s">
        <v>1992</v>
      </c>
      <c r="I5247" s="401" t="s">
        <v>296</v>
      </c>
      <c r="K5247" s="370"/>
      <c r="N5247" s="370"/>
    </row>
    <row r="5248" spans="1:14" s="347" customFormat="1" x14ac:dyDescent="0.25">
      <c r="A5248" s="339">
        <v>44469</v>
      </c>
      <c r="B5248" s="340">
        <f t="shared" si="42"/>
        <v>9</v>
      </c>
      <c r="C5248" s="338">
        <v>3110</v>
      </c>
      <c r="D5248" s="347" t="str">
        <f>VLOOKUP(C5248,Plan!A$1:B$65542,2,0)</f>
        <v>Colectas Normales</v>
      </c>
      <c r="E5248" s="341">
        <f t="shared" si="43"/>
        <v>-60000</v>
      </c>
      <c r="F5248" s="345">
        <v>0</v>
      </c>
      <c r="G5248" s="396">
        <v>60000</v>
      </c>
      <c r="H5248" t="s">
        <v>1998</v>
      </c>
      <c r="I5248" s="401" t="s">
        <v>296</v>
      </c>
      <c r="K5248" s="370"/>
      <c r="N5248" s="370"/>
    </row>
    <row r="5249" spans="1:14" s="347" customFormat="1" x14ac:dyDescent="0.25">
      <c r="A5249" s="339">
        <f>+A5248</f>
        <v>44469</v>
      </c>
      <c r="B5249" s="340">
        <f t="shared" si="42"/>
        <v>9</v>
      </c>
      <c r="C5249" s="338">
        <v>3110</v>
      </c>
      <c r="D5249" s="347" t="str">
        <f>VLOOKUP(C5249,Plan!A$1:B$65542,2,0)</f>
        <v>Colectas Normales</v>
      </c>
      <c r="E5249" s="341">
        <f t="shared" si="43"/>
        <v>-5000</v>
      </c>
      <c r="F5249" s="345">
        <v>0</v>
      </c>
      <c r="G5249" s="396">
        <v>5000</v>
      </c>
      <c r="H5249" t="s">
        <v>2087</v>
      </c>
      <c r="I5249" s="401" t="s">
        <v>296</v>
      </c>
      <c r="K5249" s="370"/>
      <c r="N5249" s="370"/>
    </row>
    <row r="5250" spans="1:14" s="347" customFormat="1" x14ac:dyDescent="0.25">
      <c r="A5250" s="369"/>
      <c r="E5250" s="396"/>
      <c r="F5250" s="396"/>
      <c r="G5250" s="396"/>
      <c r="K5250" s="370"/>
      <c r="N5250" s="370"/>
    </row>
    <row r="5251" spans="1:14" s="347" customFormat="1" x14ac:dyDescent="0.25">
      <c r="A5251" s="339">
        <v>44469</v>
      </c>
      <c r="B5251" s="340">
        <f>+MONTH(A5251)</f>
        <v>9</v>
      </c>
      <c r="C5251" s="338">
        <v>110</v>
      </c>
      <c r="D5251" s="347" t="str">
        <f>VLOOKUP(C5251,Plan!A$1:B$65542,2,0)</f>
        <v>Disponible Administración</v>
      </c>
      <c r="E5251" s="341">
        <f>+F5251-G5251</f>
        <v>1000000</v>
      </c>
      <c r="F5251" s="345">
        <v>1000000</v>
      </c>
      <c r="G5251" s="396">
        <v>0</v>
      </c>
      <c r="H5251" t="s">
        <v>2113</v>
      </c>
      <c r="I5251" s="401" t="s">
        <v>296</v>
      </c>
      <c r="K5251" s="370"/>
      <c r="N5251" s="370"/>
    </row>
    <row r="5252" spans="1:14" s="347" customFormat="1" x14ac:dyDescent="0.25">
      <c r="A5252" s="339">
        <f>+A5251</f>
        <v>44469</v>
      </c>
      <c r="B5252" s="340">
        <f>+MONTH(A5252)</f>
        <v>9</v>
      </c>
      <c r="C5252" s="338">
        <v>215</v>
      </c>
      <c r="D5252" s="347" t="str">
        <f>VLOOKUP(C5252,Plan!A$1:B$65542,2,0)</f>
        <v>Cuenta por Pagar a Cali</v>
      </c>
      <c r="E5252" s="341">
        <f>+F5252-G5252</f>
        <v>-1000000</v>
      </c>
      <c r="F5252" s="345">
        <v>0</v>
      </c>
      <c r="G5252" s="396">
        <f>+F5251</f>
        <v>1000000</v>
      </c>
      <c r="H5252" t="str">
        <f>+H5251</f>
        <v>Nicolás Gajardo Retamal  / Azul</v>
      </c>
      <c r="I5252" s="401" t="s">
        <v>296</v>
      </c>
      <c r="K5252" s="370"/>
      <c r="N5252" s="370"/>
    </row>
    <row r="5253" spans="1:14" s="347" customFormat="1" x14ac:dyDescent="0.25">
      <c r="A5253" s="369"/>
      <c r="E5253" s="396"/>
      <c r="F5253" s="396"/>
      <c r="G5253" s="396"/>
      <c r="K5253" s="370"/>
      <c r="N5253" s="370"/>
    </row>
    <row r="5254" spans="1:14" s="347" customFormat="1" x14ac:dyDescent="0.25">
      <c r="A5254" s="339">
        <v>44469</v>
      </c>
      <c r="B5254" s="340">
        <f>+MONTH(A5254)</f>
        <v>9</v>
      </c>
      <c r="C5254" s="338">
        <v>110</v>
      </c>
      <c r="D5254" s="347" t="str">
        <f>VLOOKUP(C5254,Plan!A$1:B$65542,2,0)</f>
        <v>Disponible Administración</v>
      </c>
      <c r="E5254" s="341">
        <f>+F5254-G5254</f>
        <v>20000</v>
      </c>
      <c r="F5254" s="345">
        <v>20000</v>
      </c>
      <c r="G5254" s="396">
        <v>0</v>
      </c>
      <c r="H5254" t="s">
        <v>2114</v>
      </c>
      <c r="I5254" s="401" t="s">
        <v>296</v>
      </c>
      <c r="K5254" s="370"/>
      <c r="N5254" s="370"/>
    </row>
    <row r="5255" spans="1:14" s="347" customFormat="1" x14ac:dyDescent="0.25">
      <c r="A5255" s="339">
        <f>+A5254</f>
        <v>44469</v>
      </c>
      <c r="B5255" s="340">
        <f>+MONTH(A5255)</f>
        <v>9</v>
      </c>
      <c r="C5255" s="338">
        <v>3350</v>
      </c>
      <c r="D5255" s="347" t="str">
        <f>VLOOKUP(C5255,Plan!A$1:B$65542,2,0)</f>
        <v>Bautizos</v>
      </c>
      <c r="E5255" s="341">
        <f>+F5255-G5255</f>
        <v>-20000</v>
      </c>
      <c r="F5255" s="345">
        <v>0</v>
      </c>
      <c r="G5255" s="396">
        <f>+F5254</f>
        <v>20000</v>
      </c>
      <c r="H5255" t="str">
        <f>+H5254</f>
        <v>Bautizo Magdalena Toro Carafí</v>
      </c>
      <c r="I5255" s="401" t="s">
        <v>296</v>
      </c>
      <c r="K5255" s="370"/>
      <c r="N5255" s="370"/>
    </row>
    <row r="5256" spans="1:14" s="347" customFormat="1" x14ac:dyDescent="0.25">
      <c r="A5256" s="369"/>
      <c r="E5256" s="396"/>
      <c r="F5256" s="396"/>
      <c r="G5256" s="396"/>
      <c r="K5256" s="370"/>
      <c r="N5256" s="370"/>
    </row>
    <row r="5257" spans="1:14" s="347" customFormat="1" x14ac:dyDescent="0.25">
      <c r="A5257" s="339">
        <v>44469</v>
      </c>
      <c r="B5257" s="340">
        <f>+MONTH(A5257)</f>
        <v>9</v>
      </c>
      <c r="C5257" s="338">
        <v>110</v>
      </c>
      <c r="D5257" s="347" t="str">
        <f>VLOOKUP(C5257,Plan!A$1:B$65542,2,0)</f>
        <v>Disponible Administración</v>
      </c>
      <c r="E5257" s="341">
        <f>+F5257-G5257</f>
        <v>20000</v>
      </c>
      <c r="F5257" s="345">
        <v>20000</v>
      </c>
      <c r="G5257" s="396">
        <v>0</v>
      </c>
      <c r="H5257" t="s">
        <v>2115</v>
      </c>
      <c r="I5257" s="401" t="s">
        <v>296</v>
      </c>
      <c r="K5257" s="370"/>
      <c r="N5257" s="370"/>
    </row>
    <row r="5258" spans="1:14" s="347" customFormat="1" x14ac:dyDescent="0.25">
      <c r="A5258" s="339">
        <f>+A5257</f>
        <v>44469</v>
      </c>
      <c r="B5258" s="340">
        <f>+MONTH(A5258)</f>
        <v>9</v>
      </c>
      <c r="C5258" s="338">
        <v>3110</v>
      </c>
      <c r="D5258" s="347" t="str">
        <f>VLOOKUP(C5258,Plan!A$1:B$65542,2,0)</f>
        <v>Colectas Normales</v>
      </c>
      <c r="E5258" s="341">
        <f>+F5258-G5258</f>
        <v>-20000</v>
      </c>
      <c r="F5258" s="345">
        <v>0</v>
      </c>
      <c r="G5258" s="396">
        <f>+F5257</f>
        <v>20000</v>
      </c>
      <c r="H5258" t="str">
        <f>+H5257</f>
        <v>Colecta Jorge Claude Bourdel</v>
      </c>
      <c r="I5258" s="401" t="s">
        <v>296</v>
      </c>
      <c r="K5258" s="370"/>
      <c r="N5258" s="370"/>
    </row>
    <row r="5259" spans="1:14" s="347" customFormat="1" x14ac:dyDescent="0.25">
      <c r="A5259" s="369"/>
      <c r="E5259" s="396"/>
      <c r="F5259" s="396"/>
      <c r="G5259" s="396"/>
      <c r="K5259" s="370"/>
      <c r="N5259" s="370"/>
    </row>
    <row r="5260" spans="1:14" s="347" customFormat="1" x14ac:dyDescent="0.25">
      <c r="A5260" s="339">
        <v>44469</v>
      </c>
      <c r="B5260" s="340">
        <f>+MONTH(A5260)</f>
        <v>9</v>
      </c>
      <c r="C5260" s="338">
        <v>110</v>
      </c>
      <c r="D5260" s="347" t="str">
        <f>VLOOKUP(C5260,Plan!A$1:B$65542,2,0)</f>
        <v>Disponible Administración</v>
      </c>
      <c r="E5260" s="341">
        <f>+F5260-G5260</f>
        <v>9792</v>
      </c>
      <c r="F5260" s="345">
        <v>9792</v>
      </c>
      <c r="G5260" s="396">
        <v>0</v>
      </c>
      <c r="H5260" t="s">
        <v>1338</v>
      </c>
      <c r="I5260" s="401" t="s">
        <v>296</v>
      </c>
      <c r="K5260" s="370"/>
      <c r="N5260" s="370"/>
    </row>
    <row r="5261" spans="1:14" s="347" customFormat="1" x14ac:dyDescent="0.25">
      <c r="A5261" s="339">
        <f>+A5260</f>
        <v>44469</v>
      </c>
      <c r="B5261" s="340">
        <f>+MONTH(A5261)</f>
        <v>9</v>
      </c>
      <c r="C5261" s="338">
        <v>3340</v>
      </c>
      <c r="D5261" s="347" t="str">
        <f>VLOOKUP(C5261,Plan!A$1:B$65542,2,0)</f>
        <v>Misas</v>
      </c>
      <c r="E5261" s="341">
        <f>+F5261-G5261</f>
        <v>-9792</v>
      </c>
      <c r="F5261" s="345">
        <v>0</v>
      </c>
      <c r="G5261" s="396">
        <f>+F5260</f>
        <v>9792</v>
      </c>
      <c r="H5261" t="str">
        <f>+H5260</f>
        <v>Misa DCT</v>
      </c>
      <c r="I5261" s="401" t="s">
        <v>296</v>
      </c>
      <c r="K5261" s="370"/>
      <c r="N5261" s="370"/>
    </row>
    <row r="5262" spans="1:14" s="347" customFormat="1" x14ac:dyDescent="0.25">
      <c r="A5262" s="369"/>
      <c r="E5262" s="396"/>
      <c r="F5262" s="396"/>
      <c r="G5262" s="396"/>
      <c r="K5262" s="370"/>
      <c r="N5262" s="370"/>
    </row>
    <row r="5263" spans="1:14" s="347" customFormat="1" x14ac:dyDescent="0.25">
      <c r="A5263" s="339">
        <v>44469</v>
      </c>
      <c r="B5263" s="340">
        <f>+MONTH(A5263)</f>
        <v>9</v>
      </c>
      <c r="C5263" s="338">
        <v>110</v>
      </c>
      <c r="D5263" s="347" t="str">
        <f>VLOOKUP(C5263,Plan!A$1:B$65542,2,0)</f>
        <v>Disponible Administración</v>
      </c>
      <c r="E5263" s="341">
        <f>+F5263-G5263</f>
        <v>10000</v>
      </c>
      <c r="F5263" s="345">
        <v>10000</v>
      </c>
      <c r="G5263" s="396">
        <v>0</v>
      </c>
      <c r="H5263" t="s">
        <v>1310</v>
      </c>
      <c r="I5263" s="401" t="s">
        <v>296</v>
      </c>
      <c r="K5263" s="370"/>
      <c r="N5263" s="370"/>
    </row>
    <row r="5264" spans="1:14" s="347" customFormat="1" x14ac:dyDescent="0.25">
      <c r="A5264" s="339">
        <f>+A5263</f>
        <v>44469</v>
      </c>
      <c r="B5264" s="340">
        <f>+MONTH(A5264)</f>
        <v>9</v>
      </c>
      <c r="C5264" s="338">
        <v>3340</v>
      </c>
      <c r="D5264" s="347" t="str">
        <f>VLOOKUP(C5264,Plan!A$1:B$65542,2,0)</f>
        <v>Misas</v>
      </c>
      <c r="E5264" s="341">
        <f>+F5264-G5264</f>
        <v>-10000</v>
      </c>
      <c r="F5264" s="345">
        <v>0</v>
      </c>
      <c r="G5264" s="396">
        <f>+F5263</f>
        <v>10000</v>
      </c>
      <c r="H5264" t="str">
        <f>+H5263</f>
        <v>Misa Veronica Rojas</v>
      </c>
      <c r="I5264" s="401" t="s">
        <v>296</v>
      </c>
      <c r="K5264" s="370"/>
      <c r="N5264" s="370"/>
    </row>
    <row r="5265" spans="1:14" s="347" customFormat="1" x14ac:dyDescent="0.25">
      <c r="A5265" s="369"/>
      <c r="E5265" s="396"/>
      <c r="F5265" s="396"/>
      <c r="G5265" s="396"/>
      <c r="K5265" s="370"/>
      <c r="N5265" s="370"/>
    </row>
    <row r="5266" spans="1:14" s="347" customFormat="1" x14ac:dyDescent="0.25">
      <c r="A5266" s="339">
        <v>44469</v>
      </c>
      <c r="B5266" s="340">
        <f>+MONTH(A5266)</f>
        <v>9</v>
      </c>
      <c r="C5266" s="338">
        <v>110</v>
      </c>
      <c r="D5266" s="347" t="str">
        <f>VLOOKUP(C5266,Plan!A$1:B$65542,2,0)</f>
        <v>Disponible Administración</v>
      </c>
      <c r="E5266" s="341">
        <f>+F5266-G5266</f>
        <v>4896</v>
      </c>
      <c r="F5266" s="345">
        <v>4896</v>
      </c>
      <c r="G5266" s="396">
        <v>0</v>
      </c>
      <c r="H5266" t="s">
        <v>2116</v>
      </c>
      <c r="I5266" s="401" t="s">
        <v>296</v>
      </c>
      <c r="K5266" s="370"/>
      <c r="N5266" s="370"/>
    </row>
    <row r="5267" spans="1:14" s="347" customFormat="1" x14ac:dyDescent="0.25">
      <c r="A5267" s="339">
        <f>+A5266</f>
        <v>44469</v>
      </c>
      <c r="B5267" s="340">
        <f>+MONTH(A5267)</f>
        <v>9</v>
      </c>
      <c r="C5267" s="338">
        <v>3110</v>
      </c>
      <c r="D5267" s="347" t="str">
        <f>VLOOKUP(C5267,Plan!A$1:B$65542,2,0)</f>
        <v>Colectas Normales</v>
      </c>
      <c r="E5267" s="341">
        <f>+F5267-G5267</f>
        <v>-4896</v>
      </c>
      <c r="F5267" s="345">
        <v>0</v>
      </c>
      <c r="G5267" s="396">
        <f>+F5266</f>
        <v>4896</v>
      </c>
      <c r="H5267" t="str">
        <f>+H5266</f>
        <v>POS</v>
      </c>
      <c r="I5267" s="401" t="s">
        <v>296</v>
      </c>
      <c r="K5267" s="370"/>
      <c r="N5267" s="370"/>
    </row>
    <row r="5268" spans="1:14" s="347" customFormat="1" x14ac:dyDescent="0.25">
      <c r="A5268" s="369"/>
      <c r="E5268" s="396"/>
      <c r="F5268" s="396"/>
      <c r="G5268" s="396"/>
      <c r="K5268" s="370"/>
      <c r="N5268" s="370"/>
    </row>
    <row r="5269" spans="1:14" s="347" customFormat="1" x14ac:dyDescent="0.25">
      <c r="A5269" s="339">
        <v>44469</v>
      </c>
      <c r="B5269" s="340">
        <f>+MONTH(A5269)</f>
        <v>9</v>
      </c>
      <c r="C5269" s="338">
        <v>110</v>
      </c>
      <c r="D5269" s="347" t="str">
        <f>VLOOKUP(C5269,Plan!A$1:B$65542,2,0)</f>
        <v>Disponible Administración</v>
      </c>
      <c r="E5269" s="341">
        <f>+F5269-G5269</f>
        <v>4832</v>
      </c>
      <c r="F5269" s="345">
        <v>4832</v>
      </c>
      <c r="G5269" s="396">
        <v>0</v>
      </c>
      <c r="H5269" t="s">
        <v>1338</v>
      </c>
      <c r="I5269" s="401" t="s">
        <v>296</v>
      </c>
      <c r="K5269" s="370"/>
      <c r="N5269" s="370"/>
    </row>
    <row r="5270" spans="1:14" s="347" customFormat="1" x14ac:dyDescent="0.25">
      <c r="A5270" s="339">
        <f>+A5269</f>
        <v>44469</v>
      </c>
      <c r="B5270" s="340">
        <f>+MONTH(A5270)</f>
        <v>9</v>
      </c>
      <c r="C5270" s="338">
        <v>3340</v>
      </c>
      <c r="D5270" s="347" t="str">
        <f>VLOOKUP(C5270,Plan!A$1:B$65542,2,0)</f>
        <v>Misas</v>
      </c>
      <c r="E5270" s="341">
        <f>+F5270-G5270</f>
        <v>-4832</v>
      </c>
      <c r="F5270" s="345">
        <v>0</v>
      </c>
      <c r="G5270" s="396">
        <f>+F5269</f>
        <v>4832</v>
      </c>
      <c r="H5270" t="str">
        <f>+H5269</f>
        <v>Misa DCT</v>
      </c>
      <c r="I5270" s="401" t="s">
        <v>296</v>
      </c>
      <c r="K5270" s="370"/>
      <c r="N5270" s="370"/>
    </row>
    <row r="5271" spans="1:14" s="347" customFormat="1" x14ac:dyDescent="0.25">
      <c r="A5271" s="369"/>
      <c r="E5271" s="396"/>
      <c r="F5271" s="396"/>
      <c r="G5271" s="396"/>
      <c r="K5271" s="370"/>
      <c r="N5271" s="370"/>
    </row>
    <row r="5272" spans="1:14" s="347" customFormat="1" x14ac:dyDescent="0.25">
      <c r="A5272" s="339">
        <v>44469</v>
      </c>
      <c r="B5272" s="340">
        <f>+MONTH(A5272)</f>
        <v>9</v>
      </c>
      <c r="C5272" s="338">
        <v>110</v>
      </c>
      <c r="D5272" s="347" t="str">
        <f>VLOOKUP(C5272,Plan!A$1:B$65542,2,0)</f>
        <v>Disponible Administración</v>
      </c>
      <c r="E5272" s="341">
        <f>+F5272-G5272</f>
        <v>5000</v>
      </c>
      <c r="F5272" s="345">
        <v>5000</v>
      </c>
      <c r="G5272" s="396">
        <v>0</v>
      </c>
      <c r="H5272" t="s">
        <v>1381</v>
      </c>
      <c r="I5272" s="401" t="s">
        <v>296</v>
      </c>
      <c r="K5272" s="370"/>
      <c r="N5272" s="370"/>
    </row>
    <row r="5273" spans="1:14" s="347" customFormat="1" x14ac:dyDescent="0.25">
      <c r="A5273" s="339">
        <f>+A5272</f>
        <v>44469</v>
      </c>
      <c r="B5273" s="340">
        <f>+MONTH(A5273)</f>
        <v>9</v>
      </c>
      <c r="C5273" s="338">
        <v>3110</v>
      </c>
      <c r="D5273" s="347" t="str">
        <f>VLOOKUP(C5273,Plan!A$1:B$65542,2,0)</f>
        <v>Colectas Normales</v>
      </c>
      <c r="E5273" s="341">
        <f>+F5273-G5273</f>
        <v>-5000</v>
      </c>
      <c r="F5273" s="345">
        <v>0</v>
      </c>
      <c r="G5273" s="396">
        <f>+F5272</f>
        <v>5000</v>
      </c>
      <c r="H5273" t="str">
        <f>+H5272</f>
        <v>Colecta Ingrid Maria Nielsen Galli</v>
      </c>
      <c r="I5273" s="401" t="s">
        <v>296</v>
      </c>
      <c r="K5273" s="370"/>
      <c r="N5273" s="370"/>
    </row>
    <row r="5274" spans="1:14" s="347" customFormat="1" x14ac:dyDescent="0.25">
      <c r="A5274" s="369"/>
      <c r="E5274" s="396"/>
      <c r="F5274" s="396"/>
      <c r="G5274" s="396"/>
      <c r="K5274" s="370"/>
      <c r="N5274" s="370"/>
    </row>
    <row r="5275" spans="1:14" s="347" customFormat="1" x14ac:dyDescent="0.25">
      <c r="A5275" s="339">
        <v>44469</v>
      </c>
      <c r="B5275" s="340">
        <f>+MONTH(A5275)</f>
        <v>9</v>
      </c>
      <c r="C5275" s="338">
        <v>110</v>
      </c>
      <c r="D5275" s="347" t="str">
        <f>VLOOKUP(C5275,Plan!A$1:B$65542,2,0)</f>
        <v>Disponible Administración</v>
      </c>
      <c r="E5275" s="341">
        <f>+F5275-G5275</f>
        <v>20000</v>
      </c>
      <c r="F5275" s="345">
        <v>20000</v>
      </c>
      <c r="G5275" s="396">
        <v>0</v>
      </c>
      <c r="H5275" t="s">
        <v>962</v>
      </c>
      <c r="I5275" s="401" t="s">
        <v>296</v>
      </c>
      <c r="K5275" s="370"/>
      <c r="N5275" s="370"/>
    </row>
    <row r="5276" spans="1:14" s="347" customFormat="1" x14ac:dyDescent="0.25">
      <c r="A5276" s="339">
        <f>+A5275</f>
        <v>44469</v>
      </c>
      <c r="B5276" s="340">
        <f>+MONTH(A5276)</f>
        <v>9</v>
      </c>
      <c r="C5276" s="338">
        <v>3110</v>
      </c>
      <c r="D5276" s="347" t="str">
        <f>VLOOKUP(C5276,Plan!A$1:B$65542,2,0)</f>
        <v>Colectas Normales</v>
      </c>
      <c r="E5276" s="341">
        <f>+F5276-G5276</f>
        <v>-20000</v>
      </c>
      <c r="F5276" s="345">
        <v>0</v>
      </c>
      <c r="G5276" s="396">
        <f>+F5275</f>
        <v>20000</v>
      </c>
      <c r="H5276" t="str">
        <f>+H5275</f>
        <v>Colecta Pablo Garcia</v>
      </c>
      <c r="I5276" s="401" t="s">
        <v>296</v>
      </c>
      <c r="K5276" s="370"/>
      <c r="N5276" s="370"/>
    </row>
    <row r="5277" spans="1:14" s="347" customFormat="1" x14ac:dyDescent="0.25">
      <c r="A5277" s="369"/>
      <c r="E5277" s="396"/>
      <c r="F5277" s="396"/>
      <c r="G5277" s="396"/>
      <c r="K5277" s="370"/>
      <c r="N5277" s="370"/>
    </row>
    <row r="5278" spans="1:14" s="347" customFormat="1" x14ac:dyDescent="0.25">
      <c r="A5278" s="339">
        <v>44469</v>
      </c>
      <c r="B5278" s="340">
        <f>+MONTH(A5278)</f>
        <v>9</v>
      </c>
      <c r="C5278" s="338">
        <v>110</v>
      </c>
      <c r="D5278" s="347" t="str">
        <f>VLOOKUP(C5278,Plan!A$1:B$65542,2,0)</f>
        <v>Disponible Administración</v>
      </c>
      <c r="E5278" s="341">
        <f>+F5278-G5278</f>
        <v>15000</v>
      </c>
      <c r="F5278" s="345">
        <v>15000</v>
      </c>
      <c r="G5278" s="396">
        <v>0</v>
      </c>
      <c r="H5278" t="s">
        <v>2117</v>
      </c>
      <c r="I5278" s="401" t="s">
        <v>296</v>
      </c>
      <c r="K5278" s="370"/>
      <c r="N5278" s="370"/>
    </row>
    <row r="5279" spans="1:14" s="347" customFormat="1" x14ac:dyDescent="0.25">
      <c r="A5279" s="339">
        <f>+A5278</f>
        <v>44469</v>
      </c>
      <c r="B5279" s="340">
        <f>+MONTH(A5279)</f>
        <v>9</v>
      </c>
      <c r="C5279" s="338">
        <v>3110</v>
      </c>
      <c r="D5279" s="347" t="str">
        <f>VLOOKUP(C5279,Plan!A$1:B$65542,2,0)</f>
        <v>Colectas Normales</v>
      </c>
      <c r="E5279" s="341">
        <f>+F5279-G5279</f>
        <v>-15000</v>
      </c>
      <c r="F5279" s="345">
        <v>0</v>
      </c>
      <c r="G5279" s="396">
        <f>+F5278</f>
        <v>15000</v>
      </c>
      <c r="H5279" t="str">
        <f>+H5278</f>
        <v>Colecta Maria Car Rios Ramirez</v>
      </c>
      <c r="I5279" s="401" t="s">
        <v>296</v>
      </c>
      <c r="K5279" s="370"/>
      <c r="N5279" s="370"/>
    </row>
    <row r="5280" spans="1:14" s="347" customFormat="1" x14ac:dyDescent="0.25">
      <c r="A5280" s="369"/>
      <c r="E5280" s="396"/>
      <c r="F5280" s="396"/>
      <c r="G5280" s="396"/>
      <c r="K5280" s="370"/>
      <c r="N5280" s="370"/>
    </row>
    <row r="5281" spans="1:14" s="347" customFormat="1" x14ac:dyDescent="0.25">
      <c r="A5281" s="339">
        <v>44469</v>
      </c>
      <c r="B5281" s="340">
        <f>+MONTH(A5281)</f>
        <v>9</v>
      </c>
      <c r="C5281" s="338">
        <v>110</v>
      </c>
      <c r="D5281" s="347" t="str">
        <f>VLOOKUP(C5281,Plan!A$1:B$65542,2,0)</f>
        <v>Disponible Administración</v>
      </c>
      <c r="E5281" s="341">
        <f>+F5281-G5281</f>
        <v>75000</v>
      </c>
      <c r="F5281" s="345">
        <v>75000</v>
      </c>
      <c r="G5281" s="396">
        <v>0</v>
      </c>
      <c r="H5281" t="s">
        <v>1401</v>
      </c>
      <c r="I5281" s="401" t="s">
        <v>296</v>
      </c>
      <c r="K5281" s="370"/>
      <c r="N5281" s="370"/>
    </row>
    <row r="5282" spans="1:14" s="347" customFormat="1" x14ac:dyDescent="0.25">
      <c r="A5282" s="339">
        <f>+A5281</f>
        <v>44469</v>
      </c>
      <c r="B5282" s="340">
        <f>+MONTH(A5282)</f>
        <v>9</v>
      </c>
      <c r="C5282" s="338">
        <v>3360</v>
      </c>
      <c r="D5282" s="347" t="str">
        <f>VLOOKUP(C5282,Plan!A$1:B$65542,2,0)</f>
        <v>Otros</v>
      </c>
      <c r="E5282" s="341">
        <f>+F5282-G5282</f>
        <v>-75000</v>
      </c>
      <c r="F5282" s="345">
        <v>0</v>
      </c>
      <c r="G5282" s="396">
        <f>+F5281</f>
        <v>75000</v>
      </c>
      <c r="H5282" t="str">
        <f>+H5281</f>
        <v>Curso Biblia Maria Luisa Toso Loyola</v>
      </c>
      <c r="I5282" s="401" t="s">
        <v>296</v>
      </c>
      <c r="K5282" s="370"/>
      <c r="N5282" s="370"/>
    </row>
    <row r="5283" spans="1:14" s="347" customFormat="1" x14ac:dyDescent="0.25">
      <c r="A5283" s="369"/>
      <c r="E5283" s="396"/>
      <c r="F5283" s="396"/>
      <c r="G5283" s="396"/>
      <c r="K5283" s="370"/>
      <c r="N5283" s="370"/>
    </row>
    <row r="5284" spans="1:14" s="347" customFormat="1" x14ac:dyDescent="0.25">
      <c r="A5284" s="339">
        <v>44469</v>
      </c>
      <c r="B5284" s="340">
        <f>+MONTH(A5284)</f>
        <v>9</v>
      </c>
      <c r="C5284" s="338">
        <v>110</v>
      </c>
      <c r="D5284" s="347" t="str">
        <f>VLOOKUP(C5284,Plan!A$1:B$65542,2,0)</f>
        <v>Disponible Administración</v>
      </c>
      <c r="E5284" s="341">
        <f>+F5284-G5284</f>
        <v>50000</v>
      </c>
      <c r="F5284" s="345">
        <v>50000</v>
      </c>
      <c r="G5284" s="396">
        <v>0</v>
      </c>
      <c r="H5284" t="s">
        <v>960</v>
      </c>
      <c r="I5284" s="401" t="s">
        <v>296</v>
      </c>
      <c r="K5284" s="370"/>
      <c r="N5284" s="370"/>
    </row>
    <row r="5285" spans="1:14" s="347" customFormat="1" x14ac:dyDescent="0.25">
      <c r="A5285" s="339">
        <f>+A5284</f>
        <v>44469</v>
      </c>
      <c r="B5285" s="340">
        <f>+MONTH(A5285)</f>
        <v>9</v>
      </c>
      <c r="C5285" s="338">
        <v>3110</v>
      </c>
      <c r="D5285" s="347" t="str">
        <f>VLOOKUP(C5285,Plan!A$1:B$65542,2,0)</f>
        <v>Colectas Normales</v>
      </c>
      <c r="E5285" s="341">
        <f>+F5285-G5285</f>
        <v>-50000</v>
      </c>
      <c r="F5285" s="345">
        <v>0</v>
      </c>
      <c r="G5285" s="396">
        <f>+F5284</f>
        <v>50000</v>
      </c>
      <c r="H5285" t="str">
        <f>+H5284</f>
        <v>Colecta Ximena Garcia</v>
      </c>
      <c r="I5285" s="401" t="s">
        <v>296</v>
      </c>
      <c r="K5285" s="370"/>
      <c r="N5285" s="370"/>
    </row>
    <row r="5286" spans="1:14" s="347" customFormat="1" x14ac:dyDescent="0.25">
      <c r="A5286" s="369"/>
      <c r="E5286" s="396"/>
      <c r="F5286" s="396"/>
      <c r="G5286" s="396"/>
      <c r="K5286" s="370"/>
      <c r="N5286" s="370"/>
    </row>
    <row r="5287" spans="1:14" s="347" customFormat="1" x14ac:dyDescent="0.25">
      <c r="A5287" s="339">
        <v>44469</v>
      </c>
      <c r="B5287" s="340">
        <f>+MONTH(A5287)</f>
        <v>9</v>
      </c>
      <c r="C5287" s="338">
        <v>110</v>
      </c>
      <c r="D5287" s="347" t="str">
        <f>VLOOKUP(C5287,Plan!A$1:B$65542,2,0)</f>
        <v>Disponible Administración</v>
      </c>
      <c r="E5287" s="341">
        <f>+F5287-G5287</f>
        <v>40000</v>
      </c>
      <c r="F5287" s="345">
        <v>40000</v>
      </c>
      <c r="G5287" s="396">
        <v>0</v>
      </c>
      <c r="H5287" t="s">
        <v>1631</v>
      </c>
      <c r="I5287" s="401" t="s">
        <v>296</v>
      </c>
      <c r="K5287" s="370"/>
      <c r="N5287" s="370"/>
    </row>
    <row r="5288" spans="1:14" s="347" customFormat="1" x14ac:dyDescent="0.25">
      <c r="A5288" s="339">
        <f>+A5287</f>
        <v>44469</v>
      </c>
      <c r="B5288" s="340">
        <f>+MONTH(A5288)</f>
        <v>9</v>
      </c>
      <c r="C5288" s="338">
        <v>215</v>
      </c>
      <c r="D5288" s="347" t="str">
        <f>VLOOKUP(C5288,Plan!A$1:B$65542,2,0)</f>
        <v>Cuenta por Pagar a Cali</v>
      </c>
      <c r="E5288" s="341">
        <f>+F5288-G5288</f>
        <v>-40000</v>
      </c>
      <c r="F5288" s="345">
        <v>0</v>
      </c>
      <c r="G5288" s="396">
        <f>+F5287</f>
        <v>40000</v>
      </c>
      <c r="H5288" t="str">
        <f>+H5287</f>
        <v>Eduardo Castro de la Barra / 249</v>
      </c>
      <c r="I5288" s="401" t="s">
        <v>296</v>
      </c>
      <c r="K5288" s="370"/>
      <c r="N5288" s="370"/>
    </row>
    <row r="5289" spans="1:14" s="347" customFormat="1" x14ac:dyDescent="0.25">
      <c r="A5289" s="369"/>
      <c r="E5289" s="396"/>
      <c r="F5289" s="396"/>
      <c r="G5289" s="396"/>
      <c r="K5289" s="370"/>
      <c r="N5289" s="370"/>
    </row>
    <row r="5290" spans="1:14" s="347" customFormat="1" x14ac:dyDescent="0.25">
      <c r="A5290" s="339">
        <v>44469</v>
      </c>
      <c r="B5290" s="340">
        <f>+MONTH(A5290)</f>
        <v>9</v>
      </c>
      <c r="C5290" s="338">
        <v>110</v>
      </c>
      <c r="D5290" s="347" t="str">
        <f>VLOOKUP(C5290,Plan!A$1:B$65542,2,0)</f>
        <v>Disponible Administración</v>
      </c>
      <c r="E5290" s="341">
        <f>+F5290-G5290</f>
        <v>20000</v>
      </c>
      <c r="F5290" s="345">
        <v>20000</v>
      </c>
      <c r="G5290" s="396">
        <v>0</v>
      </c>
      <c r="H5290" t="s">
        <v>961</v>
      </c>
      <c r="I5290" s="401" t="s">
        <v>296</v>
      </c>
      <c r="K5290" s="370"/>
      <c r="N5290" s="370"/>
    </row>
    <row r="5291" spans="1:14" s="347" customFormat="1" x14ac:dyDescent="0.25">
      <c r="A5291" s="339">
        <f>+A5290</f>
        <v>44469</v>
      </c>
      <c r="B5291" s="340">
        <f>+MONTH(A5291)</f>
        <v>9</v>
      </c>
      <c r="C5291" s="338">
        <v>3110</v>
      </c>
      <c r="D5291" s="347" t="str">
        <f>VLOOKUP(C5291,Plan!A$1:B$65542,2,0)</f>
        <v>Colectas Normales</v>
      </c>
      <c r="E5291" s="341">
        <f>+F5291-G5291</f>
        <v>-20000</v>
      </c>
      <c r="F5291" s="345">
        <v>0</v>
      </c>
      <c r="G5291" s="396">
        <f>+F5290</f>
        <v>20000</v>
      </c>
      <c r="H5291" t="str">
        <f>+H5290</f>
        <v>Colecta Jose Luis Bustamante G</v>
      </c>
      <c r="I5291" s="401" t="s">
        <v>296</v>
      </c>
      <c r="K5291" s="370"/>
      <c r="N5291" s="370"/>
    </row>
    <row r="5292" spans="1:14" s="347" customFormat="1" x14ac:dyDescent="0.25">
      <c r="A5292" s="369"/>
      <c r="E5292" s="396"/>
      <c r="F5292" s="396"/>
      <c r="G5292" s="396"/>
      <c r="K5292" s="370"/>
      <c r="N5292" s="370"/>
    </row>
    <row r="5293" spans="1:14" s="347" customFormat="1" x14ac:dyDescent="0.25">
      <c r="A5293" s="339">
        <v>44469</v>
      </c>
      <c r="B5293" s="340">
        <f>+MONTH(A5293)</f>
        <v>9</v>
      </c>
      <c r="C5293" s="338">
        <v>110</v>
      </c>
      <c r="D5293" s="347" t="str">
        <f>VLOOKUP(C5293,Plan!A$1:B$65542,2,0)</f>
        <v>Disponible Administración</v>
      </c>
      <c r="E5293" s="341">
        <f>+F5293-G5293</f>
        <v>50000</v>
      </c>
      <c r="F5293" s="345">
        <v>50000</v>
      </c>
      <c r="G5293" s="396">
        <v>0</v>
      </c>
      <c r="H5293" t="s">
        <v>733</v>
      </c>
      <c r="I5293" s="401" t="s">
        <v>296</v>
      </c>
      <c r="K5293" s="370"/>
      <c r="N5293" s="370"/>
    </row>
    <row r="5294" spans="1:14" s="347" customFormat="1" x14ac:dyDescent="0.25">
      <c r="A5294" s="339">
        <f>+A5293</f>
        <v>44469</v>
      </c>
      <c r="B5294" s="340">
        <f>+MONTH(A5294)</f>
        <v>9</v>
      </c>
      <c r="C5294" s="338">
        <v>215</v>
      </c>
      <c r="D5294" s="347" t="str">
        <f>VLOOKUP(C5294,Plan!A$1:B$65542,2,0)</f>
        <v>Cuenta por Pagar a Cali</v>
      </c>
      <c r="E5294" s="341">
        <f>+F5294-G5294</f>
        <v>-50000</v>
      </c>
      <c r="F5294" s="345">
        <v>0</v>
      </c>
      <c r="G5294" s="396">
        <f>+F5293</f>
        <v>50000</v>
      </c>
      <c r="H5294" t="str">
        <f>+H5293</f>
        <v>Hilda Dougnac Rodríguez / Azul</v>
      </c>
      <c r="I5294" s="401" t="s">
        <v>296</v>
      </c>
      <c r="K5294" s="370"/>
      <c r="N5294" s="370"/>
    </row>
    <row r="5295" spans="1:14" s="347" customFormat="1" x14ac:dyDescent="0.25">
      <c r="A5295" s="369"/>
      <c r="E5295" s="396"/>
      <c r="F5295" s="396"/>
      <c r="G5295" s="396"/>
      <c r="K5295" s="370"/>
      <c r="N5295" s="370"/>
    </row>
    <row r="5296" spans="1:14" s="347" customFormat="1" x14ac:dyDescent="0.25">
      <c r="A5296" s="339">
        <v>44469</v>
      </c>
      <c r="B5296" s="340">
        <f>+MONTH(A5296)</f>
        <v>9</v>
      </c>
      <c r="C5296" s="338">
        <v>110</v>
      </c>
      <c r="D5296" s="347" t="str">
        <f>VLOOKUP(C5296,Plan!A$1:B$65542,2,0)</f>
        <v>Disponible Administración</v>
      </c>
      <c r="E5296" s="341">
        <f>+F5296-G5296</f>
        <v>40000</v>
      </c>
      <c r="F5296" s="345">
        <v>40000</v>
      </c>
      <c r="G5296" s="396">
        <v>0</v>
      </c>
      <c r="H5296" t="s">
        <v>2118</v>
      </c>
      <c r="I5296" s="401" t="s">
        <v>296</v>
      </c>
      <c r="K5296" s="370"/>
      <c r="N5296" s="370"/>
    </row>
    <row r="5297" spans="1:14" s="347" customFormat="1" x14ac:dyDescent="0.25">
      <c r="A5297" s="339">
        <f>+A5296</f>
        <v>44469</v>
      </c>
      <c r="B5297" s="340">
        <f>+MONTH(A5297)</f>
        <v>9</v>
      </c>
      <c r="C5297" s="338">
        <v>3110</v>
      </c>
      <c r="D5297" s="347" t="str">
        <f>VLOOKUP(C5297,Plan!A$1:B$65542,2,0)</f>
        <v>Colectas Normales</v>
      </c>
      <c r="E5297" s="341">
        <f>+F5297-G5297</f>
        <v>-40000</v>
      </c>
      <c r="F5297" s="345">
        <v>0</v>
      </c>
      <c r="G5297" s="396">
        <f>+F5296</f>
        <v>40000</v>
      </c>
      <c r="H5297" t="str">
        <f>+H5296</f>
        <v>Colecta Raul Lagomarsino</v>
      </c>
      <c r="I5297" s="401" t="s">
        <v>296</v>
      </c>
      <c r="K5297" s="370"/>
      <c r="N5297" s="370"/>
    </row>
    <row r="5298" spans="1:14" s="347" customFormat="1" x14ac:dyDescent="0.25">
      <c r="A5298" s="339"/>
      <c r="B5298" s="340"/>
      <c r="C5298" s="338"/>
      <c r="D5298" s="340"/>
      <c r="E5298" s="341"/>
      <c r="F5298" s="345"/>
      <c r="G5298" s="396"/>
      <c r="H5298" s="338"/>
      <c r="I5298" s="401"/>
      <c r="J5298" s="340"/>
      <c r="K5298" s="209"/>
      <c r="L5298" s="340"/>
      <c r="N5298" s="370"/>
    </row>
    <row r="5299" spans="1:14" s="347" customFormat="1" x14ac:dyDescent="0.25">
      <c r="A5299" s="339">
        <v>44469</v>
      </c>
      <c r="B5299" s="340">
        <f>+MONTH(A5299)</f>
        <v>9</v>
      </c>
      <c r="C5299" s="338">
        <v>4861</v>
      </c>
      <c r="D5299" s="347" t="str">
        <f>VLOOKUP(C5299,Plan!A$1:B$65542,2,0)</f>
        <v>Curso Biblia</v>
      </c>
      <c r="E5299" s="341">
        <f>+F5299-G5299</f>
        <v>430000</v>
      </c>
      <c r="F5299" s="345">
        <f>+G5300+G5301</f>
        <v>430000</v>
      </c>
      <c r="G5299" s="396">
        <v>0</v>
      </c>
      <c r="H5299" s="156" t="s">
        <v>2131</v>
      </c>
      <c r="I5299" s="401" t="s">
        <v>296</v>
      </c>
      <c r="J5299" s="340"/>
      <c r="K5299" s="209"/>
      <c r="L5299" s="340"/>
      <c r="N5299" s="370"/>
    </row>
    <row r="5300" spans="1:14" s="347" customFormat="1" x14ac:dyDescent="0.25">
      <c r="A5300" s="339">
        <f>+A5299</f>
        <v>44469</v>
      </c>
      <c r="B5300" s="340">
        <f>+MONTH(A5300)</f>
        <v>9</v>
      </c>
      <c r="C5300" s="338">
        <v>223</v>
      </c>
      <c r="D5300" s="347" t="str">
        <f>VLOOKUP(C5300,Plan!A$1:B$65542,2,0)</f>
        <v>Ret. Hon.  e Impto. Unico Administración</v>
      </c>
      <c r="E5300" s="341">
        <f>+F5300-G5300</f>
        <v>-49450</v>
      </c>
      <c r="F5300" s="345">
        <v>0</v>
      </c>
      <c r="G5300" s="396">
        <v>49450</v>
      </c>
      <c r="H5300" t="str">
        <f>+H5299</f>
        <v>BE-161 Curso Biblia Rodrigo Vidal</v>
      </c>
      <c r="I5300" s="401" t="s">
        <v>296</v>
      </c>
      <c r="J5300" s="340"/>
      <c r="K5300" s="209"/>
      <c r="L5300" s="340"/>
      <c r="N5300" s="370"/>
    </row>
    <row r="5301" spans="1:14" s="347" customFormat="1" x14ac:dyDescent="0.25">
      <c r="A5301" s="339">
        <f>+A5300</f>
        <v>44469</v>
      </c>
      <c r="B5301" s="340">
        <f>+MONTH(A5301)</f>
        <v>9</v>
      </c>
      <c r="C5301" s="338">
        <v>226</v>
      </c>
      <c r="D5301" s="347" t="str">
        <f>VLOOKUP(C5301,Plan!A$1:B$65542,2,0)</f>
        <v>Provisión Honorarios Administración</v>
      </c>
      <c r="E5301" s="341">
        <f>+F5301-G5301</f>
        <v>-380550</v>
      </c>
      <c r="F5301" s="345">
        <v>0</v>
      </c>
      <c r="G5301" s="396">
        <v>380550</v>
      </c>
      <c r="H5301" s="156" t="str">
        <f>+H5300</f>
        <v>BE-161 Curso Biblia Rodrigo Vidal</v>
      </c>
      <c r="I5301" s="401" t="s">
        <v>296</v>
      </c>
      <c r="J5301" s="340"/>
      <c r="K5301" s="209"/>
      <c r="L5301" s="340"/>
      <c r="N5301" s="370"/>
    </row>
    <row r="5302" spans="1:14" s="347" customFormat="1" x14ac:dyDescent="0.25">
      <c r="A5302" s="369"/>
      <c r="E5302" s="396"/>
      <c r="F5302" s="396"/>
      <c r="G5302" s="396"/>
      <c r="K5302" s="370"/>
      <c r="N5302" s="370"/>
    </row>
    <row r="5303" spans="1:14" s="347" customFormat="1" x14ac:dyDescent="0.25">
      <c r="A5303" s="339">
        <v>44470</v>
      </c>
      <c r="B5303" s="340">
        <f>+MONTH(A5303)</f>
        <v>10</v>
      </c>
      <c r="C5303" s="338">
        <v>110</v>
      </c>
      <c r="D5303" s="347" t="str">
        <f>VLOOKUP(C5303,Plan!A$1:B$65542,2,0)</f>
        <v>Disponible Administración</v>
      </c>
      <c r="E5303" s="341">
        <f>+F5303-G5303</f>
        <v>10000</v>
      </c>
      <c r="F5303" s="345">
        <v>10000</v>
      </c>
      <c r="G5303" s="396">
        <v>0</v>
      </c>
      <c r="H5303" t="s">
        <v>1310</v>
      </c>
      <c r="I5303" s="401" t="s">
        <v>296</v>
      </c>
      <c r="K5303" s="370"/>
      <c r="N5303" s="370"/>
    </row>
    <row r="5304" spans="1:14" s="347" customFormat="1" x14ac:dyDescent="0.25">
      <c r="A5304" s="339">
        <f>+A5303</f>
        <v>44470</v>
      </c>
      <c r="B5304" s="340">
        <f>+MONTH(A5304)</f>
        <v>10</v>
      </c>
      <c r="C5304" s="338">
        <v>3340</v>
      </c>
      <c r="D5304" s="347" t="str">
        <f>VLOOKUP(C5304,Plan!A$1:B$65542,2,0)</f>
        <v>Misas</v>
      </c>
      <c r="E5304" s="341">
        <f>+F5304-G5304</f>
        <v>-10000</v>
      </c>
      <c r="F5304" s="345">
        <v>0</v>
      </c>
      <c r="G5304" s="396">
        <f>+F5303</f>
        <v>10000</v>
      </c>
      <c r="H5304" t="str">
        <f>+H5303</f>
        <v>Misa Veronica Rojas</v>
      </c>
      <c r="I5304" s="401" t="s">
        <v>296</v>
      </c>
      <c r="K5304" s="370"/>
      <c r="N5304" s="370"/>
    </row>
    <row r="5305" spans="1:14" s="347" customFormat="1" x14ac:dyDescent="0.25">
      <c r="A5305" s="369"/>
      <c r="E5305" s="396"/>
      <c r="F5305" s="396"/>
      <c r="G5305" s="396"/>
      <c r="K5305" s="370"/>
      <c r="N5305" s="370"/>
    </row>
    <row r="5306" spans="1:14" s="347" customFormat="1" x14ac:dyDescent="0.25">
      <c r="A5306" s="339">
        <v>44470</v>
      </c>
      <c r="B5306" s="340">
        <f>+MONTH(A5306)</f>
        <v>10</v>
      </c>
      <c r="C5306" s="338">
        <v>110</v>
      </c>
      <c r="D5306" s="347" t="str">
        <f>VLOOKUP(C5306,Plan!A$1:B$65542,2,0)</f>
        <v>Disponible Administración</v>
      </c>
      <c r="E5306" s="341">
        <f>+F5306-G5306</f>
        <v>100000</v>
      </c>
      <c r="F5306" s="345">
        <v>100000</v>
      </c>
      <c r="G5306" s="396">
        <v>0</v>
      </c>
      <c r="H5306" t="s">
        <v>887</v>
      </c>
      <c r="I5306" s="401" t="s">
        <v>296</v>
      </c>
      <c r="K5306" s="370"/>
      <c r="N5306" s="370"/>
    </row>
    <row r="5307" spans="1:14" s="347" customFormat="1" x14ac:dyDescent="0.25">
      <c r="A5307" s="339">
        <f>+A5306</f>
        <v>44470</v>
      </c>
      <c r="B5307" s="340">
        <f>+MONTH(A5307)</f>
        <v>10</v>
      </c>
      <c r="C5307" s="338">
        <v>3110</v>
      </c>
      <c r="D5307" s="347" t="str">
        <f>VLOOKUP(C5307,Plan!A$1:B$65542,2,0)</f>
        <v>Colectas Normales</v>
      </c>
      <c r="E5307" s="341">
        <f>+F5307-G5307</f>
        <v>-100000</v>
      </c>
      <c r="F5307" s="345">
        <v>0</v>
      </c>
      <c r="G5307" s="396">
        <f>+F5306</f>
        <v>100000</v>
      </c>
      <c r="H5307" t="str">
        <f>+H5306</f>
        <v>Colecta Fernando Varela</v>
      </c>
      <c r="I5307" s="401" t="s">
        <v>296</v>
      </c>
      <c r="K5307" s="370"/>
      <c r="N5307" s="370"/>
    </row>
    <row r="5308" spans="1:14" s="347" customFormat="1" x14ac:dyDescent="0.25">
      <c r="A5308" s="369"/>
      <c r="E5308" s="396"/>
      <c r="F5308" s="396"/>
      <c r="G5308" s="396"/>
      <c r="K5308" s="370"/>
      <c r="N5308" s="370"/>
    </row>
    <row r="5309" spans="1:14" s="347" customFormat="1" x14ac:dyDescent="0.25">
      <c r="A5309" s="339">
        <v>44470</v>
      </c>
      <c r="B5309" s="340">
        <f>+MONTH(A5309)</f>
        <v>10</v>
      </c>
      <c r="C5309" s="338">
        <v>110</v>
      </c>
      <c r="D5309" s="347" t="str">
        <f>VLOOKUP(C5309,Plan!A$1:B$65542,2,0)</f>
        <v>Disponible Administración</v>
      </c>
      <c r="E5309" s="341">
        <f>+F5309-G5309</f>
        <v>12000</v>
      </c>
      <c r="F5309" s="345">
        <v>12000</v>
      </c>
      <c r="G5309" s="396">
        <v>0</v>
      </c>
      <c r="H5309" t="s">
        <v>1163</v>
      </c>
      <c r="I5309" s="401" t="s">
        <v>296</v>
      </c>
      <c r="K5309" s="370"/>
      <c r="N5309" s="370"/>
    </row>
    <row r="5310" spans="1:14" s="347" customFormat="1" x14ac:dyDescent="0.25">
      <c r="A5310" s="339">
        <f>+A5309</f>
        <v>44470</v>
      </c>
      <c r="B5310" s="340">
        <f>+MONTH(A5310)</f>
        <v>10</v>
      </c>
      <c r="C5310" s="338">
        <v>3110</v>
      </c>
      <c r="D5310" s="347" t="str">
        <f>VLOOKUP(C5310,Plan!A$1:B$65542,2,0)</f>
        <v>Colectas Normales</v>
      </c>
      <c r="E5310" s="341">
        <f>+F5310-G5310</f>
        <v>-12000</v>
      </c>
      <c r="F5310" s="345">
        <v>0</v>
      </c>
      <c r="G5310" s="396">
        <f>+F5309</f>
        <v>12000</v>
      </c>
      <c r="H5310" t="str">
        <f>+H5309</f>
        <v>Colecta Ricardo Cañas Cambiaso</v>
      </c>
      <c r="I5310" s="401" t="s">
        <v>296</v>
      </c>
      <c r="K5310" s="370"/>
      <c r="N5310" s="370"/>
    </row>
    <row r="5311" spans="1:14" s="347" customFormat="1" x14ac:dyDescent="0.25">
      <c r="A5311" s="369"/>
      <c r="E5311" s="396"/>
      <c r="F5311" s="396"/>
      <c r="G5311" s="396"/>
      <c r="K5311" s="370"/>
      <c r="N5311" s="370"/>
    </row>
    <row r="5312" spans="1:14" s="347" customFormat="1" x14ac:dyDescent="0.25">
      <c r="A5312" s="339">
        <v>44470</v>
      </c>
      <c r="B5312" s="340">
        <f>+MONTH(A5312)</f>
        <v>10</v>
      </c>
      <c r="C5312" s="338">
        <v>110</v>
      </c>
      <c r="D5312" s="347" t="str">
        <f>VLOOKUP(C5312,Plan!A$1:B$65542,2,0)</f>
        <v>Disponible Administración</v>
      </c>
      <c r="E5312" s="341">
        <f>+F5312-G5312</f>
        <v>14562</v>
      </c>
      <c r="F5312" s="345">
        <v>14562</v>
      </c>
      <c r="G5312" s="396">
        <v>0</v>
      </c>
      <c r="H5312" t="s">
        <v>1338</v>
      </c>
      <c r="I5312" s="401" t="s">
        <v>296</v>
      </c>
      <c r="K5312" s="370"/>
      <c r="N5312" s="370"/>
    </row>
    <row r="5313" spans="1:14" s="347" customFormat="1" x14ac:dyDescent="0.25">
      <c r="A5313" s="339">
        <f>+A5312</f>
        <v>44470</v>
      </c>
      <c r="B5313" s="340">
        <f>+MONTH(A5313)</f>
        <v>10</v>
      </c>
      <c r="C5313" s="338">
        <v>3340</v>
      </c>
      <c r="D5313" s="347" t="str">
        <f>VLOOKUP(C5313,Plan!A$1:B$65542,2,0)</f>
        <v>Misas</v>
      </c>
      <c r="E5313" s="341">
        <f>+F5313-G5313</f>
        <v>-14562</v>
      </c>
      <c r="F5313" s="345">
        <v>0</v>
      </c>
      <c r="G5313" s="396">
        <f>+F5312</f>
        <v>14562</v>
      </c>
      <c r="H5313" t="str">
        <f>+H5312</f>
        <v>Misa DCT</v>
      </c>
      <c r="I5313" s="401" t="s">
        <v>296</v>
      </c>
      <c r="K5313" s="370"/>
      <c r="N5313" s="370"/>
    </row>
    <row r="5314" spans="1:14" s="347" customFormat="1" x14ac:dyDescent="0.25">
      <c r="A5314" s="369"/>
      <c r="E5314" s="396"/>
      <c r="F5314" s="396"/>
      <c r="G5314" s="396"/>
      <c r="K5314" s="370"/>
      <c r="N5314" s="370"/>
    </row>
    <row r="5315" spans="1:14" s="347" customFormat="1" x14ac:dyDescent="0.25">
      <c r="A5315" s="339">
        <v>44470</v>
      </c>
      <c r="B5315" s="340">
        <f>+MONTH(A5315)</f>
        <v>10</v>
      </c>
      <c r="C5315" s="338">
        <v>110</v>
      </c>
      <c r="D5315" s="347" t="str">
        <f>VLOOKUP(C5315,Plan!A$1:B$65542,2,0)</f>
        <v>Disponible Administración</v>
      </c>
      <c r="E5315" s="341">
        <f>+F5315-G5315</f>
        <v>15000</v>
      </c>
      <c r="F5315" s="345">
        <v>15000</v>
      </c>
      <c r="G5315" s="396">
        <v>0</v>
      </c>
      <c r="H5315" t="s">
        <v>888</v>
      </c>
      <c r="I5315" s="401" t="s">
        <v>296</v>
      </c>
      <c r="K5315" s="370"/>
      <c r="N5315" s="370"/>
    </row>
    <row r="5316" spans="1:14" s="347" customFormat="1" x14ac:dyDescent="0.25">
      <c r="A5316" s="339">
        <f>+A5315</f>
        <v>44470</v>
      </c>
      <c r="B5316" s="340">
        <f>+MONTH(A5316)</f>
        <v>10</v>
      </c>
      <c r="C5316" s="338">
        <v>3110</v>
      </c>
      <c r="D5316" s="347" t="str">
        <f>VLOOKUP(C5316,Plan!A$1:B$65542,2,0)</f>
        <v>Colectas Normales</v>
      </c>
      <c r="E5316" s="341">
        <f>+F5316-G5316</f>
        <v>-15000</v>
      </c>
      <c r="F5316" s="345">
        <v>0</v>
      </c>
      <c r="G5316" s="396">
        <f>+F5315</f>
        <v>15000</v>
      </c>
      <c r="H5316" t="str">
        <f>+H5315</f>
        <v>Colecta Gonzalo Contardo M</v>
      </c>
      <c r="I5316" s="401" t="s">
        <v>296</v>
      </c>
      <c r="K5316" s="370"/>
      <c r="N5316" s="370"/>
    </row>
    <row r="5317" spans="1:14" s="347" customFormat="1" x14ac:dyDescent="0.25">
      <c r="A5317" s="369"/>
      <c r="E5317" s="396"/>
      <c r="F5317" s="396"/>
      <c r="G5317" s="396"/>
      <c r="K5317" s="370"/>
      <c r="N5317" s="370"/>
    </row>
    <row r="5318" spans="1:14" s="347" customFormat="1" x14ac:dyDescent="0.25">
      <c r="A5318" s="339">
        <v>44470</v>
      </c>
      <c r="B5318" s="340">
        <f>+MONTH(A5318)</f>
        <v>10</v>
      </c>
      <c r="C5318" s="338">
        <v>110</v>
      </c>
      <c r="D5318" s="347" t="str">
        <f>VLOOKUP(C5318,Plan!A$1:B$65542,2,0)</f>
        <v>Disponible Administración</v>
      </c>
      <c r="E5318" s="341">
        <f>+F5318-G5318</f>
        <v>10000</v>
      </c>
      <c r="F5318" s="345">
        <v>10000</v>
      </c>
      <c r="G5318" s="396">
        <v>0</v>
      </c>
      <c r="H5318" t="s">
        <v>1637</v>
      </c>
      <c r="I5318" s="401" t="s">
        <v>296</v>
      </c>
      <c r="K5318" s="370"/>
      <c r="N5318" s="370"/>
    </row>
    <row r="5319" spans="1:14" s="347" customFormat="1" x14ac:dyDescent="0.25">
      <c r="A5319" s="339">
        <f>+A5318</f>
        <v>44470</v>
      </c>
      <c r="B5319" s="340">
        <f>+MONTH(A5319)</f>
        <v>10</v>
      </c>
      <c r="C5319" s="338">
        <v>3340</v>
      </c>
      <c r="D5319" s="347" t="str">
        <f>VLOOKUP(C5319,Plan!A$1:B$65542,2,0)</f>
        <v>Misas</v>
      </c>
      <c r="E5319" s="341">
        <f>+F5319-G5319</f>
        <v>-10000</v>
      </c>
      <c r="F5319" s="345">
        <v>0</v>
      </c>
      <c r="G5319" s="396">
        <f>+F5318</f>
        <v>10000</v>
      </c>
      <c r="H5319" t="str">
        <f>+H5318</f>
        <v>Misa Rodrigo Carrasco</v>
      </c>
      <c r="I5319" s="401" t="s">
        <v>296</v>
      </c>
      <c r="K5319" s="370"/>
      <c r="N5319" s="370"/>
    </row>
    <row r="5320" spans="1:14" s="347" customFormat="1" x14ac:dyDescent="0.25">
      <c r="A5320" s="369"/>
      <c r="E5320" s="396"/>
      <c r="F5320" s="396"/>
      <c r="G5320" s="396"/>
      <c r="K5320" s="370"/>
      <c r="N5320" s="370"/>
    </row>
    <row r="5321" spans="1:14" s="347" customFormat="1" x14ac:dyDescent="0.25">
      <c r="A5321" s="339">
        <v>44473</v>
      </c>
      <c r="B5321" s="340">
        <f>+MONTH(A5321)</f>
        <v>10</v>
      </c>
      <c r="C5321" s="338">
        <v>110</v>
      </c>
      <c r="D5321" s="347" t="str">
        <f>VLOOKUP(C5321,Plan!A$1:B$65542,2,0)</f>
        <v>Disponible Administración</v>
      </c>
      <c r="E5321" s="341">
        <f>+F5321-G5321</f>
        <v>10000</v>
      </c>
      <c r="F5321" s="345">
        <v>10000</v>
      </c>
      <c r="G5321" s="396">
        <v>0</v>
      </c>
      <c r="H5321" t="s">
        <v>1218</v>
      </c>
      <c r="I5321" s="401" t="s">
        <v>296</v>
      </c>
      <c r="K5321" s="370"/>
      <c r="N5321" s="370"/>
    </row>
    <row r="5322" spans="1:14" s="347" customFormat="1" x14ac:dyDescent="0.25">
      <c r="A5322" s="339">
        <f>+A5321</f>
        <v>44473</v>
      </c>
      <c r="B5322" s="340">
        <f>+MONTH(A5322)</f>
        <v>10</v>
      </c>
      <c r="C5322" s="338">
        <v>3110</v>
      </c>
      <c r="D5322" s="347" t="str">
        <f>VLOOKUP(C5322,Plan!A$1:B$65542,2,0)</f>
        <v>Colectas Normales</v>
      </c>
      <c r="E5322" s="341">
        <f>+F5322-G5322</f>
        <v>-10000</v>
      </c>
      <c r="F5322" s="345">
        <v>0</v>
      </c>
      <c r="G5322" s="396">
        <f>+F5321</f>
        <v>10000</v>
      </c>
      <c r="H5322" t="str">
        <f>+H5321</f>
        <v>Colecta Mercedes Cisternas Perez</v>
      </c>
      <c r="I5322" s="401" t="s">
        <v>296</v>
      </c>
      <c r="K5322" s="370"/>
      <c r="N5322" s="370"/>
    </row>
    <row r="5323" spans="1:14" s="347" customFormat="1" x14ac:dyDescent="0.25">
      <c r="A5323" s="369"/>
      <c r="E5323" s="396"/>
      <c r="F5323" s="396"/>
      <c r="G5323" s="396"/>
      <c r="K5323" s="370"/>
      <c r="N5323" s="370"/>
    </row>
    <row r="5324" spans="1:14" s="347" customFormat="1" x14ac:dyDescent="0.25">
      <c r="A5324" s="339">
        <v>44473</v>
      </c>
      <c r="B5324" s="340">
        <f>+MONTH(A5324)</f>
        <v>10</v>
      </c>
      <c r="C5324" s="338">
        <v>110</v>
      </c>
      <c r="D5324" s="347" t="str">
        <f>VLOOKUP(C5324,Plan!A$1:B$65542,2,0)</f>
        <v>Disponible Administración</v>
      </c>
      <c r="E5324" s="341">
        <f>+F5324-G5324</f>
        <v>50000</v>
      </c>
      <c r="F5324" s="345">
        <v>50000</v>
      </c>
      <c r="G5324" s="396">
        <v>0</v>
      </c>
      <c r="H5324" t="s">
        <v>1436</v>
      </c>
      <c r="I5324" s="401" t="s">
        <v>296</v>
      </c>
      <c r="K5324" s="370"/>
      <c r="N5324" s="370"/>
    </row>
    <row r="5325" spans="1:14" s="347" customFormat="1" x14ac:dyDescent="0.25">
      <c r="A5325" s="339">
        <f>+A5324</f>
        <v>44473</v>
      </c>
      <c r="B5325" s="340">
        <f>+MONTH(A5325)</f>
        <v>10</v>
      </c>
      <c r="C5325" s="338">
        <v>3110</v>
      </c>
      <c r="D5325" s="347" t="str">
        <f>VLOOKUP(C5325,Plan!A$1:B$65542,2,0)</f>
        <v>Colectas Normales</v>
      </c>
      <c r="E5325" s="341">
        <f>+F5325-G5325</f>
        <v>-50000</v>
      </c>
      <c r="F5325" s="345">
        <v>0</v>
      </c>
      <c r="G5325" s="396">
        <f>+F5324</f>
        <v>50000</v>
      </c>
      <c r="H5325" t="str">
        <f>+H5324</f>
        <v>Colecta Ignacio Ureta Larenas</v>
      </c>
      <c r="I5325" s="401" t="s">
        <v>296</v>
      </c>
      <c r="K5325" s="370"/>
      <c r="N5325" s="370"/>
    </row>
    <row r="5326" spans="1:14" s="347" customFormat="1" x14ac:dyDescent="0.25">
      <c r="A5326" s="369"/>
      <c r="E5326" s="396"/>
      <c r="F5326" s="396"/>
      <c r="G5326" s="396"/>
      <c r="K5326" s="370"/>
      <c r="N5326" s="370"/>
    </row>
    <row r="5327" spans="1:14" s="347" customFormat="1" x14ac:dyDescent="0.25">
      <c r="A5327" s="339">
        <v>44473</v>
      </c>
      <c r="B5327" s="340">
        <f>+MONTH(A5327)</f>
        <v>10</v>
      </c>
      <c r="C5327" s="338">
        <v>110</v>
      </c>
      <c r="D5327" s="347" t="str">
        <f>VLOOKUP(C5327,Plan!A$1:B$65542,2,0)</f>
        <v>Disponible Administración</v>
      </c>
      <c r="E5327" s="341">
        <f>+F5327-G5327</f>
        <v>35000</v>
      </c>
      <c r="F5327" s="345">
        <v>35000</v>
      </c>
      <c r="G5327" s="396">
        <v>0</v>
      </c>
      <c r="H5327" t="s">
        <v>1390</v>
      </c>
      <c r="I5327" s="401" t="s">
        <v>296</v>
      </c>
      <c r="K5327" s="370"/>
      <c r="N5327" s="370"/>
    </row>
    <row r="5328" spans="1:14" s="347" customFormat="1" x14ac:dyDescent="0.25">
      <c r="A5328" s="339">
        <f>+A5327</f>
        <v>44473</v>
      </c>
      <c r="B5328" s="340">
        <f>+MONTH(A5328)</f>
        <v>10</v>
      </c>
      <c r="C5328" s="338">
        <v>3450</v>
      </c>
      <c r="D5328" s="347" t="str">
        <f>VLOOKUP(C5328,Plan!A$1:B$65542,2,0)</f>
        <v>Pastoral Social</v>
      </c>
      <c r="E5328" s="341">
        <f>+F5328-G5328</f>
        <v>-35000</v>
      </c>
      <c r="F5328" s="345">
        <v>0</v>
      </c>
      <c r="G5328" s="396">
        <f>+F5327</f>
        <v>35000</v>
      </c>
      <c r="H5328" t="str">
        <f>+H5327</f>
        <v>Canasta Ignacio Ureta Larenas</v>
      </c>
      <c r="I5328" s="401" t="s">
        <v>296</v>
      </c>
      <c r="K5328" s="370"/>
      <c r="N5328" s="370"/>
    </row>
    <row r="5329" spans="1:14" s="347" customFormat="1" x14ac:dyDescent="0.25">
      <c r="A5329" s="369"/>
      <c r="E5329" s="396"/>
      <c r="F5329" s="396"/>
      <c r="G5329" s="396"/>
      <c r="K5329" s="370"/>
      <c r="N5329" s="370"/>
    </row>
    <row r="5330" spans="1:14" s="347" customFormat="1" x14ac:dyDescent="0.25">
      <c r="A5330" s="339">
        <v>44473</v>
      </c>
      <c r="B5330" s="340">
        <f>+MONTH(A5330)</f>
        <v>10</v>
      </c>
      <c r="C5330" s="338">
        <v>110</v>
      </c>
      <c r="D5330" s="347" t="str">
        <f>VLOOKUP(C5330,Plan!A$1:B$65542,2,0)</f>
        <v>Disponible Administración</v>
      </c>
      <c r="E5330" s="341">
        <f>+F5330-G5330</f>
        <v>70000</v>
      </c>
      <c r="F5330" s="345">
        <v>70000</v>
      </c>
      <c r="G5330" s="396">
        <v>0</v>
      </c>
      <c r="H5330" t="s">
        <v>1424</v>
      </c>
      <c r="I5330" s="401" t="s">
        <v>296</v>
      </c>
      <c r="K5330" s="370"/>
      <c r="N5330" s="370"/>
    </row>
    <row r="5331" spans="1:14" s="347" customFormat="1" x14ac:dyDescent="0.25">
      <c r="A5331" s="339">
        <f>+A5330</f>
        <v>44473</v>
      </c>
      <c r="B5331" s="340">
        <f>+MONTH(A5331)</f>
        <v>10</v>
      </c>
      <c r="C5331" s="338">
        <v>3450</v>
      </c>
      <c r="D5331" s="347" t="str">
        <f>VLOOKUP(C5331,Plan!A$1:B$65542,2,0)</f>
        <v>Pastoral Social</v>
      </c>
      <c r="E5331" s="341">
        <f>+F5331-G5331</f>
        <v>-70000</v>
      </c>
      <c r="F5331" s="345">
        <v>0</v>
      </c>
      <c r="G5331" s="396">
        <f>+F5330</f>
        <v>70000</v>
      </c>
      <c r="H5331" t="str">
        <f>+H5330</f>
        <v>Canasta SERVICIOS E INVERSIONES VARIOS SPA</v>
      </c>
      <c r="I5331" s="401" t="s">
        <v>296</v>
      </c>
      <c r="K5331" s="370"/>
      <c r="N5331" s="370"/>
    </row>
    <row r="5332" spans="1:14" s="347" customFormat="1" x14ac:dyDescent="0.25">
      <c r="A5332" s="369"/>
      <c r="E5332" s="396"/>
      <c r="F5332" s="396"/>
      <c r="G5332" s="396"/>
      <c r="K5332" s="370"/>
      <c r="N5332" s="370"/>
    </row>
    <row r="5333" spans="1:14" s="347" customFormat="1" x14ac:dyDescent="0.25">
      <c r="A5333" s="339">
        <v>44473</v>
      </c>
      <c r="B5333" s="340">
        <f>+MONTH(A5333)</f>
        <v>10</v>
      </c>
      <c r="C5333" s="338">
        <v>110</v>
      </c>
      <c r="D5333" s="347" t="str">
        <f>VLOOKUP(C5333,Plan!A$1:B$65542,2,0)</f>
        <v>Disponible Administración</v>
      </c>
      <c r="E5333" s="341">
        <f>+F5333-G5333</f>
        <v>100000</v>
      </c>
      <c r="F5333" s="345">
        <v>100000</v>
      </c>
      <c r="G5333" s="396">
        <v>0</v>
      </c>
      <c r="H5333" t="s">
        <v>892</v>
      </c>
      <c r="I5333" s="401" t="s">
        <v>296</v>
      </c>
      <c r="K5333" s="370"/>
      <c r="N5333" s="370"/>
    </row>
    <row r="5334" spans="1:14" s="347" customFormat="1" x14ac:dyDescent="0.25">
      <c r="A5334" s="339">
        <f>+A5333</f>
        <v>44473</v>
      </c>
      <c r="B5334" s="340">
        <f>+MONTH(A5334)</f>
        <v>10</v>
      </c>
      <c r="C5334" s="338">
        <v>3110</v>
      </c>
      <c r="D5334" s="347" t="str">
        <f>VLOOKUP(C5334,Plan!A$1:B$65542,2,0)</f>
        <v>Colectas Normales</v>
      </c>
      <c r="E5334" s="341">
        <f>+F5334-G5334</f>
        <v>-100000</v>
      </c>
      <c r="F5334" s="345">
        <v>0</v>
      </c>
      <c r="G5334" s="396">
        <f>+F5333</f>
        <v>100000</v>
      </c>
      <c r="H5334" t="str">
        <f>+H5333</f>
        <v>Colecta SERVICIOS E INVERSIONES VARIOS SPA</v>
      </c>
      <c r="I5334" s="401" t="s">
        <v>296</v>
      </c>
      <c r="K5334" s="370"/>
      <c r="N5334" s="370"/>
    </row>
    <row r="5335" spans="1:14" s="347" customFormat="1" x14ac:dyDescent="0.25">
      <c r="A5335" s="369"/>
      <c r="E5335" s="396"/>
      <c r="F5335" s="396"/>
      <c r="G5335" s="396"/>
      <c r="K5335" s="370"/>
      <c r="N5335" s="370"/>
    </row>
    <row r="5336" spans="1:14" s="347" customFormat="1" x14ac:dyDescent="0.25">
      <c r="A5336" s="339">
        <v>44473</v>
      </c>
      <c r="B5336" s="340">
        <f>+MONTH(A5336)</f>
        <v>10</v>
      </c>
      <c r="C5336" s="338">
        <v>110</v>
      </c>
      <c r="D5336" s="347" t="str">
        <f>VLOOKUP(C5336,Plan!A$1:B$65542,2,0)</f>
        <v>Disponible Administración</v>
      </c>
      <c r="E5336" s="341">
        <f>+F5336-G5336</f>
        <v>15000</v>
      </c>
      <c r="F5336" s="345">
        <v>15000</v>
      </c>
      <c r="G5336" s="396">
        <v>0</v>
      </c>
      <c r="H5336" t="s">
        <v>688</v>
      </c>
      <c r="I5336" s="401" t="s">
        <v>296</v>
      </c>
      <c r="K5336" s="370"/>
      <c r="N5336" s="370"/>
    </row>
    <row r="5337" spans="1:14" s="347" customFormat="1" x14ac:dyDescent="0.25">
      <c r="A5337" s="339">
        <f>+A5336</f>
        <v>44473</v>
      </c>
      <c r="B5337" s="340">
        <f>+MONTH(A5337)</f>
        <v>10</v>
      </c>
      <c r="C5337" s="338">
        <v>215</v>
      </c>
      <c r="D5337" s="347" t="str">
        <f>VLOOKUP(C5337,Plan!A$1:B$65542,2,0)</f>
        <v>Cuenta por Pagar a Cali</v>
      </c>
      <c r="E5337" s="341">
        <f>+F5337-G5337</f>
        <v>-15000</v>
      </c>
      <c r="F5337" s="345">
        <v>0</v>
      </c>
      <c r="G5337" s="396">
        <f>+F5336</f>
        <v>15000</v>
      </c>
      <c r="H5337" t="str">
        <f>+H5336</f>
        <v>María Elena de Castro Espinosa/249</v>
      </c>
      <c r="I5337" s="401" t="s">
        <v>296</v>
      </c>
      <c r="K5337" s="370"/>
      <c r="N5337" s="370"/>
    </row>
    <row r="5338" spans="1:14" s="347" customFormat="1" x14ac:dyDescent="0.25">
      <c r="A5338" s="369"/>
      <c r="E5338" s="396"/>
      <c r="F5338" s="396"/>
      <c r="G5338" s="396"/>
      <c r="K5338" s="370"/>
      <c r="N5338" s="370"/>
    </row>
    <row r="5339" spans="1:14" s="347" customFormat="1" x14ac:dyDescent="0.25">
      <c r="A5339" s="339">
        <v>44473</v>
      </c>
      <c r="B5339" s="340">
        <f>+MONTH(A5339)</f>
        <v>10</v>
      </c>
      <c r="C5339" s="338">
        <v>110</v>
      </c>
      <c r="D5339" s="347" t="str">
        <f>VLOOKUP(C5339,Plan!A$1:B$65542,2,0)</f>
        <v>Disponible Administración</v>
      </c>
      <c r="E5339" s="341">
        <f>+F5339-G5339</f>
        <v>15000</v>
      </c>
      <c r="F5339" s="345">
        <v>15000</v>
      </c>
      <c r="G5339" s="396">
        <v>0</v>
      </c>
      <c r="H5339" t="s">
        <v>889</v>
      </c>
      <c r="I5339" s="401" t="s">
        <v>296</v>
      </c>
      <c r="K5339" s="370"/>
      <c r="N5339" s="370"/>
    </row>
    <row r="5340" spans="1:14" s="347" customFormat="1" x14ac:dyDescent="0.25">
      <c r="A5340" s="339">
        <f>+A5339</f>
        <v>44473</v>
      </c>
      <c r="B5340" s="340">
        <f>+MONTH(A5340)</f>
        <v>10</v>
      </c>
      <c r="C5340" s="338">
        <v>3110</v>
      </c>
      <c r="D5340" s="347" t="str">
        <f>VLOOKUP(C5340,Plan!A$1:B$65542,2,0)</f>
        <v>Colectas Normales</v>
      </c>
      <c r="E5340" s="341">
        <f>+F5340-G5340</f>
        <v>-15000</v>
      </c>
      <c r="F5340" s="345">
        <v>0</v>
      </c>
      <c r="G5340" s="396">
        <f>+F5339</f>
        <v>15000</v>
      </c>
      <c r="H5340" t="str">
        <f>+H5339</f>
        <v>Colecta Keryma Felmer Echeverria</v>
      </c>
      <c r="I5340" s="401" t="s">
        <v>296</v>
      </c>
      <c r="K5340" s="370"/>
      <c r="N5340" s="370"/>
    </row>
    <row r="5341" spans="1:14" s="347" customFormat="1" x14ac:dyDescent="0.25">
      <c r="A5341" s="369"/>
      <c r="E5341" s="396"/>
      <c r="F5341" s="396"/>
      <c r="G5341" s="396"/>
      <c r="K5341" s="370"/>
      <c r="N5341" s="370"/>
    </row>
    <row r="5342" spans="1:14" s="347" customFormat="1" x14ac:dyDescent="0.25">
      <c r="A5342" s="339">
        <v>44473</v>
      </c>
      <c r="B5342" s="340">
        <f>+MONTH(A5342)</f>
        <v>10</v>
      </c>
      <c r="C5342" s="338">
        <v>110</v>
      </c>
      <c r="D5342" s="347" t="str">
        <f>VLOOKUP(C5342,Plan!A$1:B$65542,2,0)</f>
        <v>Disponible Administración</v>
      </c>
      <c r="E5342" s="341">
        <f>+F5342-G5342</f>
        <v>8500</v>
      </c>
      <c r="F5342" s="345">
        <v>8500</v>
      </c>
      <c r="G5342" s="396">
        <v>0</v>
      </c>
      <c r="H5342" t="s">
        <v>2123</v>
      </c>
      <c r="I5342" s="401" t="s">
        <v>296</v>
      </c>
      <c r="K5342" s="370"/>
      <c r="N5342" s="370"/>
    </row>
    <row r="5343" spans="1:14" s="347" customFormat="1" x14ac:dyDescent="0.25">
      <c r="A5343" s="339">
        <f>+A5342</f>
        <v>44473</v>
      </c>
      <c r="B5343" s="340">
        <f>+MONTH(A5343)</f>
        <v>10</v>
      </c>
      <c r="C5343" s="338">
        <v>215</v>
      </c>
      <c r="D5343" s="347" t="str">
        <f>VLOOKUP(C5343,Plan!A$1:B$65542,2,0)</f>
        <v>Cuenta por Pagar a Cali</v>
      </c>
      <c r="E5343" s="341">
        <f>+F5343-G5343</f>
        <v>-8500</v>
      </c>
      <c r="F5343" s="345">
        <v>0</v>
      </c>
      <c r="G5343" s="396">
        <f>+F5342</f>
        <v>8500</v>
      </c>
      <c r="H5343" t="str">
        <f>+H5342</f>
        <v>Keryma Felmer Echeverria / 249</v>
      </c>
      <c r="I5343" s="401" t="s">
        <v>296</v>
      </c>
      <c r="K5343" s="370"/>
      <c r="N5343" s="370"/>
    </row>
    <row r="5344" spans="1:14" s="347" customFormat="1" x14ac:dyDescent="0.25">
      <c r="A5344" s="369"/>
      <c r="E5344" s="396"/>
      <c r="F5344" s="396"/>
      <c r="G5344" s="396"/>
      <c r="K5344" s="370"/>
      <c r="N5344" s="370"/>
    </row>
    <row r="5345" spans="1:14" s="347" customFormat="1" x14ac:dyDescent="0.25">
      <c r="A5345" s="339">
        <v>44473</v>
      </c>
      <c r="B5345" s="340">
        <f>+MONTH(A5345)</f>
        <v>10</v>
      </c>
      <c r="C5345" s="338">
        <v>110</v>
      </c>
      <c r="D5345" s="347" t="str">
        <f>VLOOKUP(C5345,Plan!A$1:B$65542,2,0)</f>
        <v>Disponible Administración</v>
      </c>
      <c r="E5345" s="341">
        <f>+F5345-G5345</f>
        <v>30000</v>
      </c>
      <c r="F5345" s="345">
        <v>30000</v>
      </c>
      <c r="G5345" s="396">
        <v>0</v>
      </c>
      <c r="H5345" t="s">
        <v>1641</v>
      </c>
      <c r="I5345" s="401" t="s">
        <v>296</v>
      </c>
      <c r="K5345" s="370"/>
      <c r="N5345" s="370"/>
    </row>
    <row r="5346" spans="1:14" s="347" customFormat="1" x14ac:dyDescent="0.25">
      <c r="A5346" s="339">
        <f>+A5345</f>
        <v>44473</v>
      </c>
      <c r="B5346" s="340">
        <f>+MONTH(A5346)</f>
        <v>10</v>
      </c>
      <c r="C5346" s="338">
        <v>215</v>
      </c>
      <c r="D5346" s="347" t="str">
        <f>VLOOKUP(C5346,Plan!A$1:B$65542,2,0)</f>
        <v>Cuenta por Pagar a Cali</v>
      </c>
      <c r="E5346" s="341">
        <f>+F5346-G5346</f>
        <v>-30000</v>
      </c>
      <c r="F5346" s="345">
        <v>0</v>
      </c>
      <c r="G5346" s="396">
        <f>+F5345</f>
        <v>30000</v>
      </c>
      <c r="H5346" t="str">
        <f>+H5345</f>
        <v>Ana María Allende Zañartu/ 248</v>
      </c>
      <c r="I5346" s="401" t="s">
        <v>296</v>
      </c>
      <c r="K5346" s="370"/>
      <c r="N5346" s="370"/>
    </row>
    <row r="5347" spans="1:14" s="347" customFormat="1" x14ac:dyDescent="0.25">
      <c r="A5347" s="369"/>
      <c r="E5347" s="396"/>
      <c r="F5347" s="396"/>
      <c r="G5347" s="396"/>
      <c r="K5347" s="370"/>
      <c r="N5347" s="370"/>
    </row>
    <row r="5348" spans="1:14" s="347" customFormat="1" x14ac:dyDescent="0.25">
      <c r="A5348" s="339">
        <v>44473</v>
      </c>
      <c r="B5348" s="340">
        <f>+MONTH(A5348)</f>
        <v>10</v>
      </c>
      <c r="C5348" s="338">
        <v>110</v>
      </c>
      <c r="D5348" s="347" t="str">
        <f>VLOOKUP(C5348,Plan!A$1:B$65542,2,0)</f>
        <v>Disponible Administración</v>
      </c>
      <c r="E5348" s="341">
        <f>+F5348-G5348</f>
        <v>10000</v>
      </c>
      <c r="F5348" s="345">
        <v>10000</v>
      </c>
      <c r="G5348" s="396">
        <v>0</v>
      </c>
      <c r="H5348" s="156" t="s">
        <v>881</v>
      </c>
      <c r="I5348" s="401" t="s">
        <v>296</v>
      </c>
      <c r="K5348" s="370"/>
      <c r="N5348" s="370"/>
    </row>
    <row r="5349" spans="1:14" s="347" customFormat="1" x14ac:dyDescent="0.25">
      <c r="A5349" s="339">
        <f>+A5348</f>
        <v>44473</v>
      </c>
      <c r="B5349" s="340">
        <f>+MONTH(A5349)</f>
        <v>10</v>
      </c>
      <c r="C5349" s="338">
        <v>3110</v>
      </c>
      <c r="D5349" s="347" t="str">
        <f>VLOOKUP(C5349,Plan!A$1:B$65542,2,0)</f>
        <v>Colectas Normales</v>
      </c>
      <c r="E5349" s="341">
        <f>+F5349-G5349</f>
        <v>-10000</v>
      </c>
      <c r="F5349" s="345">
        <v>0</v>
      </c>
      <c r="G5349" s="396">
        <f>+F5348</f>
        <v>10000</v>
      </c>
      <c r="H5349" t="str">
        <f>+H5348</f>
        <v>Colecta Rafael Marin Jordan</v>
      </c>
      <c r="I5349" s="401" t="s">
        <v>296</v>
      </c>
      <c r="K5349" s="370"/>
      <c r="N5349" s="370"/>
    </row>
    <row r="5350" spans="1:14" s="347" customFormat="1" x14ac:dyDescent="0.25">
      <c r="A5350" s="369"/>
      <c r="E5350" s="396"/>
      <c r="F5350" s="396"/>
      <c r="G5350" s="396"/>
      <c r="K5350" s="370"/>
      <c r="N5350" s="370"/>
    </row>
    <row r="5351" spans="1:14" s="347" customFormat="1" x14ac:dyDescent="0.25">
      <c r="A5351" s="339">
        <v>44473</v>
      </c>
      <c r="B5351" s="340">
        <f>+MONTH(A5351)</f>
        <v>10</v>
      </c>
      <c r="C5351" s="338">
        <v>110</v>
      </c>
      <c r="D5351" s="347" t="str">
        <f>VLOOKUP(C5351,Plan!A$1:B$65542,2,0)</f>
        <v>Disponible Administración</v>
      </c>
      <c r="E5351" s="341">
        <f>+F5351-G5351</f>
        <v>25000</v>
      </c>
      <c r="F5351" s="345">
        <v>25000</v>
      </c>
      <c r="G5351" s="396">
        <v>0</v>
      </c>
      <c r="H5351" s="156" t="s">
        <v>1941</v>
      </c>
      <c r="I5351" s="401" t="s">
        <v>296</v>
      </c>
      <c r="K5351" s="370"/>
      <c r="N5351" s="370"/>
    </row>
    <row r="5352" spans="1:14" s="347" customFormat="1" x14ac:dyDescent="0.25">
      <c r="A5352" s="339">
        <f>+A5351</f>
        <v>44473</v>
      </c>
      <c r="B5352" s="340">
        <f>+MONTH(A5352)</f>
        <v>10</v>
      </c>
      <c r="C5352" s="338">
        <v>3360</v>
      </c>
      <c r="D5352" s="347" t="str">
        <f>VLOOKUP(C5352,Plan!A$1:B$65542,2,0)</f>
        <v>Otros</v>
      </c>
      <c r="E5352" s="341">
        <f>+F5352-G5352</f>
        <v>-25000</v>
      </c>
      <c r="F5352" s="345">
        <v>0</v>
      </c>
      <c r="G5352" s="396">
        <f>+F5351</f>
        <v>25000</v>
      </c>
      <c r="H5352" t="str">
        <f>+H5351</f>
        <v>Curso Vivian Edith Araya Jofre</v>
      </c>
      <c r="I5352" s="401" t="s">
        <v>296</v>
      </c>
      <c r="K5352" s="370"/>
      <c r="N5352" s="370"/>
    </row>
    <row r="5353" spans="1:14" s="347" customFormat="1" x14ac:dyDescent="0.25">
      <c r="A5353" s="369"/>
      <c r="E5353" s="396"/>
      <c r="F5353" s="396"/>
      <c r="G5353" s="396"/>
      <c r="K5353" s="370"/>
      <c r="N5353" s="370"/>
    </row>
    <row r="5354" spans="1:14" s="347" customFormat="1" x14ac:dyDescent="0.25">
      <c r="A5354" s="339">
        <v>44473</v>
      </c>
      <c r="B5354" s="340">
        <f>+MONTH(A5354)</f>
        <v>10</v>
      </c>
      <c r="C5354" s="338">
        <v>110</v>
      </c>
      <c r="D5354" s="347" t="str">
        <f>VLOOKUP(C5354,Plan!A$1:B$65542,2,0)</f>
        <v>Disponible Administración</v>
      </c>
      <c r="E5354" s="341">
        <f>+F5354-G5354</f>
        <v>95000</v>
      </c>
      <c r="F5354" s="345">
        <v>95000</v>
      </c>
      <c r="G5354" s="396">
        <v>0</v>
      </c>
      <c r="H5354" s="156" t="s">
        <v>1459</v>
      </c>
      <c r="I5354" s="401" t="s">
        <v>296</v>
      </c>
      <c r="K5354" s="370"/>
      <c r="N5354" s="370"/>
    </row>
    <row r="5355" spans="1:14" s="347" customFormat="1" x14ac:dyDescent="0.25">
      <c r="A5355" s="339">
        <f>+A5354</f>
        <v>44473</v>
      </c>
      <c r="B5355" s="340">
        <f>+MONTH(A5355)</f>
        <v>10</v>
      </c>
      <c r="C5355" s="338">
        <v>215</v>
      </c>
      <c r="D5355" s="347" t="str">
        <f>VLOOKUP(C5355,Plan!A$1:B$65542,2,0)</f>
        <v>Cuenta por Pagar a Cali</v>
      </c>
      <c r="E5355" s="341">
        <f>+F5355-G5355</f>
        <v>-95000</v>
      </c>
      <c r="F5355" s="345">
        <v>0</v>
      </c>
      <c r="G5355" s="396">
        <f>+F5354</f>
        <v>95000</v>
      </c>
      <c r="H5355" t="str">
        <f>+H5354</f>
        <v>María Teresa Gil Gómez / 249</v>
      </c>
      <c r="I5355" s="401" t="s">
        <v>296</v>
      </c>
      <c r="K5355" s="370"/>
      <c r="N5355" s="370"/>
    </row>
    <row r="5356" spans="1:14" s="347" customFormat="1" x14ac:dyDescent="0.25">
      <c r="A5356" s="369"/>
      <c r="E5356" s="396"/>
      <c r="F5356" s="396"/>
      <c r="G5356" s="396"/>
      <c r="K5356" s="370"/>
      <c r="N5356" s="370"/>
    </row>
    <row r="5357" spans="1:14" s="347" customFormat="1" x14ac:dyDescent="0.25">
      <c r="A5357" s="339">
        <v>44473</v>
      </c>
      <c r="B5357" s="340">
        <f>+MONTH(A5357)</f>
        <v>10</v>
      </c>
      <c r="C5357" s="338">
        <v>110</v>
      </c>
      <c r="D5357" s="347" t="str">
        <f>VLOOKUP(C5357,Plan!A$1:B$65542,2,0)</f>
        <v>Disponible Administración</v>
      </c>
      <c r="E5357" s="341">
        <f>+F5357-G5357</f>
        <v>10000</v>
      </c>
      <c r="F5357" s="345">
        <v>10000</v>
      </c>
      <c r="G5357" s="396">
        <v>0</v>
      </c>
      <c r="H5357" s="156" t="s">
        <v>2124</v>
      </c>
      <c r="I5357" s="401" t="s">
        <v>296</v>
      </c>
      <c r="K5357" s="370"/>
      <c r="N5357" s="370"/>
    </row>
    <row r="5358" spans="1:14" s="347" customFormat="1" x14ac:dyDescent="0.25">
      <c r="A5358" s="339">
        <f>+A5357</f>
        <v>44473</v>
      </c>
      <c r="B5358" s="340">
        <f>+MONTH(A5358)</f>
        <v>10</v>
      </c>
      <c r="C5358" s="338">
        <v>3110</v>
      </c>
      <c r="D5358" s="347" t="str">
        <f>VLOOKUP(C5358,Plan!A$1:B$65542,2,0)</f>
        <v>Colectas Normales</v>
      </c>
      <c r="E5358" s="341">
        <f>+F5358-G5358</f>
        <v>-10000</v>
      </c>
      <c r="F5358" s="345">
        <v>0</v>
      </c>
      <c r="G5358" s="396">
        <f>+F5357</f>
        <v>10000</v>
      </c>
      <c r="H5358" t="str">
        <f>+H5357</f>
        <v>Colecta Pablo Irarrázaval Mena</v>
      </c>
      <c r="I5358" s="401" t="s">
        <v>296</v>
      </c>
      <c r="K5358" s="370"/>
      <c r="N5358" s="370"/>
    </row>
    <row r="5359" spans="1:14" s="347" customFormat="1" x14ac:dyDescent="0.25">
      <c r="A5359" s="369"/>
      <c r="E5359" s="396"/>
      <c r="F5359" s="396"/>
      <c r="G5359" s="396"/>
      <c r="K5359" s="370"/>
      <c r="N5359" s="370"/>
    </row>
    <row r="5360" spans="1:14" s="347" customFormat="1" x14ac:dyDescent="0.25">
      <c r="A5360" s="339">
        <v>44473</v>
      </c>
      <c r="B5360" s="340">
        <f>+MONTH(A5360)</f>
        <v>10</v>
      </c>
      <c r="C5360" s="338">
        <v>110</v>
      </c>
      <c r="D5360" s="347" t="str">
        <f>VLOOKUP(C5360,Plan!A$1:B$65542,2,0)</f>
        <v>Disponible Administración</v>
      </c>
      <c r="E5360" s="341">
        <f>+F5360-G5360</f>
        <v>20000</v>
      </c>
      <c r="F5360" s="345">
        <v>20000</v>
      </c>
      <c r="G5360" s="396">
        <v>0</v>
      </c>
      <c r="H5360" s="156" t="s">
        <v>2125</v>
      </c>
      <c r="I5360" s="401" t="s">
        <v>296</v>
      </c>
      <c r="K5360" s="370"/>
      <c r="N5360" s="370"/>
    </row>
    <row r="5361" spans="1:14" s="347" customFormat="1" x14ac:dyDescent="0.25">
      <c r="A5361" s="339">
        <f>+A5360</f>
        <v>44473</v>
      </c>
      <c r="B5361" s="340">
        <f>+MONTH(A5361)</f>
        <v>10</v>
      </c>
      <c r="C5361" s="338">
        <v>3110</v>
      </c>
      <c r="D5361" s="347" t="str">
        <f>VLOOKUP(C5361,Plan!A$1:B$65542,2,0)</f>
        <v>Colectas Normales</v>
      </c>
      <c r="E5361" s="341">
        <f>+F5361-G5361</f>
        <v>-20000</v>
      </c>
      <c r="F5361" s="345">
        <v>0</v>
      </c>
      <c r="G5361" s="396">
        <f>+F5360</f>
        <v>20000</v>
      </c>
      <c r="H5361" t="str">
        <f>+H5360</f>
        <v>Colecta Francisca Orrego Benavente</v>
      </c>
      <c r="I5361" s="401" t="s">
        <v>296</v>
      </c>
      <c r="K5361" s="370"/>
      <c r="N5361" s="370"/>
    </row>
    <row r="5362" spans="1:14" s="347" customFormat="1" x14ac:dyDescent="0.25">
      <c r="A5362" s="369"/>
      <c r="E5362" s="396"/>
      <c r="F5362" s="396"/>
      <c r="G5362" s="396"/>
      <c r="K5362" s="370"/>
      <c r="N5362" s="370"/>
    </row>
    <row r="5363" spans="1:14" s="347" customFormat="1" x14ac:dyDescent="0.25">
      <c r="A5363" s="339">
        <v>44473</v>
      </c>
      <c r="B5363" s="340">
        <f>+MONTH(A5363)</f>
        <v>10</v>
      </c>
      <c r="C5363" s="338">
        <v>110</v>
      </c>
      <c r="D5363" s="347" t="str">
        <f>VLOOKUP(C5363,Plan!A$1:B$65542,2,0)</f>
        <v>Disponible Administración</v>
      </c>
      <c r="E5363" s="341">
        <f>+F5363-G5363</f>
        <v>2000</v>
      </c>
      <c r="F5363" s="345">
        <v>2000</v>
      </c>
      <c r="G5363" s="396">
        <v>0</v>
      </c>
      <c r="H5363" s="156" t="s">
        <v>1216</v>
      </c>
      <c r="I5363" s="401" t="s">
        <v>296</v>
      </c>
      <c r="K5363" s="370"/>
      <c r="N5363" s="370"/>
    </row>
    <row r="5364" spans="1:14" s="347" customFormat="1" x14ac:dyDescent="0.25">
      <c r="A5364" s="339">
        <f>+A5363</f>
        <v>44473</v>
      </c>
      <c r="B5364" s="340">
        <f>+MONTH(A5364)</f>
        <v>10</v>
      </c>
      <c r="C5364" s="338">
        <v>3110</v>
      </c>
      <c r="D5364" s="347" t="str">
        <f>VLOOKUP(C5364,Plan!A$1:B$65542,2,0)</f>
        <v>Colectas Normales</v>
      </c>
      <c r="E5364" s="341">
        <f>+F5364-G5364</f>
        <v>-2000</v>
      </c>
      <c r="F5364" s="345">
        <v>0</v>
      </c>
      <c r="G5364" s="396">
        <f>+F5363</f>
        <v>2000</v>
      </c>
      <c r="H5364" t="str">
        <f>+H5363</f>
        <v>Colecta Trinidad Barriga Cruzat</v>
      </c>
      <c r="I5364" s="401" t="s">
        <v>296</v>
      </c>
      <c r="K5364" s="370"/>
      <c r="N5364" s="370"/>
    </row>
    <row r="5365" spans="1:14" s="347" customFormat="1" x14ac:dyDescent="0.25">
      <c r="A5365" s="369"/>
      <c r="E5365" s="396"/>
      <c r="F5365" s="396"/>
      <c r="G5365" s="396"/>
      <c r="K5365" s="370"/>
      <c r="N5365" s="370"/>
    </row>
    <row r="5366" spans="1:14" s="347" customFormat="1" x14ac:dyDescent="0.25">
      <c r="A5366" s="339">
        <v>44473</v>
      </c>
      <c r="B5366" s="340">
        <f>+MONTH(A5366)</f>
        <v>10</v>
      </c>
      <c r="C5366" s="338">
        <v>110</v>
      </c>
      <c r="D5366" s="347" t="str">
        <f>VLOOKUP(C5366,Plan!A$1:B$65542,2,0)</f>
        <v>Disponible Administración</v>
      </c>
      <c r="E5366" s="341">
        <f>+F5366-G5366</f>
        <v>15000</v>
      </c>
      <c r="F5366" s="345">
        <v>15000</v>
      </c>
      <c r="G5366" s="396">
        <v>0</v>
      </c>
      <c r="H5366" s="156" t="s">
        <v>2126</v>
      </c>
      <c r="I5366" s="401" t="s">
        <v>296</v>
      </c>
      <c r="K5366" s="370"/>
      <c r="N5366" s="370"/>
    </row>
    <row r="5367" spans="1:14" s="347" customFormat="1" x14ac:dyDescent="0.25">
      <c r="A5367" s="339">
        <f>+A5366</f>
        <v>44473</v>
      </c>
      <c r="B5367" s="340">
        <f>+MONTH(A5367)</f>
        <v>10</v>
      </c>
      <c r="C5367" s="338">
        <v>3320</v>
      </c>
      <c r="D5367" s="347" t="str">
        <f>VLOOKUP(C5367,Plan!A$1:B$65542,2,0)</f>
        <v>Matrimonios</v>
      </c>
      <c r="E5367" s="341">
        <f>+F5367-G5367</f>
        <v>-15000</v>
      </c>
      <c r="F5367" s="345">
        <v>0</v>
      </c>
      <c r="G5367" s="396">
        <f>+F5366</f>
        <v>15000</v>
      </c>
      <c r="H5367" t="str">
        <f>+H5366</f>
        <v>Matrimonio</v>
      </c>
      <c r="I5367" s="401" t="s">
        <v>296</v>
      </c>
      <c r="K5367" s="370"/>
      <c r="N5367" s="370"/>
    </row>
    <row r="5368" spans="1:14" s="347" customFormat="1" x14ac:dyDescent="0.25">
      <c r="A5368" s="369"/>
      <c r="E5368" s="396"/>
      <c r="F5368" s="396"/>
      <c r="G5368" s="396"/>
      <c r="K5368" s="370"/>
      <c r="N5368" s="370"/>
    </row>
    <row r="5369" spans="1:14" s="347" customFormat="1" x14ac:dyDescent="0.25">
      <c r="A5369" s="339">
        <v>44473</v>
      </c>
      <c r="B5369" s="340">
        <f>+MONTH(A5369)</f>
        <v>10</v>
      </c>
      <c r="C5369" s="338">
        <v>110</v>
      </c>
      <c r="D5369" s="347" t="str">
        <f>VLOOKUP(C5369,Plan!A$1:B$65542,2,0)</f>
        <v>Disponible Administración</v>
      </c>
      <c r="E5369" s="341">
        <f>+F5369-G5369</f>
        <v>817500</v>
      </c>
      <c r="F5369" s="345">
        <v>817500</v>
      </c>
      <c r="G5369" s="396">
        <v>0</v>
      </c>
      <c r="H5369" t="s">
        <v>2127</v>
      </c>
      <c r="I5369" s="401" t="s">
        <v>296</v>
      </c>
      <c r="K5369" s="370"/>
      <c r="N5369" s="370"/>
    </row>
    <row r="5370" spans="1:14" s="347" customFormat="1" x14ac:dyDescent="0.25">
      <c r="A5370" s="339">
        <f>+A5369</f>
        <v>44473</v>
      </c>
      <c r="B5370" s="340">
        <f>+MONTH(A5370)</f>
        <v>10</v>
      </c>
      <c r="C5370" s="338">
        <v>3110</v>
      </c>
      <c r="D5370" s="347" t="str">
        <f>VLOOKUP(C5370,Plan!A$1:B$65542,2,0)</f>
        <v>Colectas Normales</v>
      </c>
      <c r="E5370" s="341">
        <f>+F5370-G5370</f>
        <v>-817500</v>
      </c>
      <c r="F5370" s="345">
        <v>0</v>
      </c>
      <c r="G5370" s="396">
        <f>+F5369</f>
        <v>817500</v>
      </c>
      <c r="H5370" t="str">
        <f>+H5369</f>
        <v>Colecta Col.Cordillera y Cumbres</v>
      </c>
      <c r="I5370" s="401" t="s">
        <v>296</v>
      </c>
      <c r="K5370" s="370"/>
      <c r="N5370" s="370"/>
    </row>
    <row r="5371" spans="1:14" s="347" customFormat="1" x14ac:dyDescent="0.25">
      <c r="A5371" s="369"/>
      <c r="E5371" s="396"/>
      <c r="F5371" s="396"/>
      <c r="G5371" s="396"/>
      <c r="K5371" s="370"/>
      <c r="N5371" s="370"/>
    </row>
    <row r="5372" spans="1:14" s="347" customFormat="1" x14ac:dyDescent="0.25">
      <c r="A5372" s="339">
        <v>44474</v>
      </c>
      <c r="B5372" s="340">
        <f>+MONTH(A5372)</f>
        <v>10</v>
      </c>
      <c r="C5372" s="338">
        <v>110</v>
      </c>
      <c r="D5372" s="347" t="str">
        <f>VLOOKUP(C5372,Plan!A$1:B$65542,2,0)</f>
        <v>Disponible Administración</v>
      </c>
      <c r="E5372" s="341">
        <f>+F5372-G5372</f>
        <v>20000</v>
      </c>
      <c r="F5372" s="345">
        <v>20000</v>
      </c>
      <c r="G5372" s="396">
        <v>0</v>
      </c>
      <c r="H5372" s="156" t="s">
        <v>1332</v>
      </c>
      <c r="I5372" s="401" t="s">
        <v>296</v>
      </c>
      <c r="K5372" s="370"/>
      <c r="N5372" s="370"/>
    </row>
    <row r="5373" spans="1:14" s="347" customFormat="1" x14ac:dyDescent="0.25">
      <c r="A5373" s="339">
        <f>+A5372</f>
        <v>44474</v>
      </c>
      <c r="B5373" s="340">
        <f>+MONTH(A5373)</f>
        <v>10</v>
      </c>
      <c r="C5373" s="338">
        <v>3110</v>
      </c>
      <c r="D5373" s="347" t="str">
        <f>VLOOKUP(C5373,Plan!A$1:B$65542,2,0)</f>
        <v>Colectas Normales</v>
      </c>
      <c r="E5373" s="341">
        <f>+F5373-G5373</f>
        <v>-20000</v>
      </c>
      <c r="F5373" s="345">
        <v>0</v>
      </c>
      <c r="G5373" s="396">
        <f>+F5372</f>
        <v>20000</v>
      </c>
      <c r="H5373" t="str">
        <f>+H5372</f>
        <v>Colecta Maria Luz Parodi Gil</v>
      </c>
      <c r="I5373" s="401" t="s">
        <v>296</v>
      </c>
      <c r="K5373" s="370"/>
      <c r="N5373" s="370"/>
    </row>
    <row r="5374" spans="1:14" s="347" customFormat="1" x14ac:dyDescent="0.25">
      <c r="A5374" s="369"/>
      <c r="E5374" s="396"/>
      <c r="F5374" s="396"/>
      <c r="G5374" s="396"/>
      <c r="K5374" s="370"/>
      <c r="N5374" s="370"/>
    </row>
    <row r="5375" spans="1:14" s="347" customFormat="1" x14ac:dyDescent="0.25">
      <c r="A5375" s="339">
        <v>44474</v>
      </c>
      <c r="B5375" s="340">
        <f>+MONTH(A5375)</f>
        <v>10</v>
      </c>
      <c r="C5375" s="338">
        <v>110</v>
      </c>
      <c r="D5375" s="347" t="str">
        <f>VLOOKUP(C5375,Plan!A$1:B$65542,2,0)</f>
        <v>Disponible Administración</v>
      </c>
      <c r="E5375" s="341">
        <f>+F5375-G5375</f>
        <v>25000</v>
      </c>
      <c r="F5375" s="345">
        <v>25000</v>
      </c>
      <c r="G5375" s="396">
        <v>0</v>
      </c>
      <c r="H5375" s="156" t="s">
        <v>2036</v>
      </c>
      <c r="I5375" s="401" t="s">
        <v>296</v>
      </c>
      <c r="K5375" s="370"/>
      <c r="N5375" s="370"/>
    </row>
    <row r="5376" spans="1:14" s="347" customFormat="1" x14ac:dyDescent="0.25">
      <c r="A5376" s="339">
        <f>+A5375</f>
        <v>44474</v>
      </c>
      <c r="B5376" s="340">
        <f>+MONTH(A5376)</f>
        <v>10</v>
      </c>
      <c r="C5376" s="338">
        <v>3110</v>
      </c>
      <c r="D5376" s="347" t="str">
        <f>VLOOKUP(C5376,Plan!A$1:B$65542,2,0)</f>
        <v>Colectas Normales</v>
      </c>
      <c r="E5376" s="341">
        <f>+F5376-G5376</f>
        <v>-25000</v>
      </c>
      <c r="F5376" s="345">
        <v>0</v>
      </c>
      <c r="G5376" s="396">
        <f>+F5375</f>
        <v>25000</v>
      </c>
      <c r="H5376" t="str">
        <f>+H5375</f>
        <v>Colecta Eduardo Calvimontes</v>
      </c>
      <c r="I5376" s="401" t="s">
        <v>296</v>
      </c>
      <c r="K5376" s="370"/>
      <c r="N5376" s="370"/>
    </row>
    <row r="5377" spans="1:14" s="347" customFormat="1" x14ac:dyDescent="0.25">
      <c r="A5377" s="369"/>
      <c r="E5377" s="396"/>
      <c r="F5377" s="396"/>
      <c r="G5377" s="396"/>
      <c r="K5377" s="370"/>
      <c r="N5377" s="370"/>
    </row>
    <row r="5378" spans="1:14" s="347" customFormat="1" x14ac:dyDescent="0.25">
      <c r="A5378" s="339">
        <v>44474</v>
      </c>
      <c r="B5378" s="340">
        <f>+MONTH(A5378)</f>
        <v>10</v>
      </c>
      <c r="C5378" s="338">
        <v>110</v>
      </c>
      <c r="D5378" s="347" t="str">
        <f>VLOOKUP(C5378,Plan!A$1:B$65542,2,0)</f>
        <v>Disponible Administración</v>
      </c>
      <c r="E5378" s="341">
        <f>+F5378-G5378</f>
        <v>20000</v>
      </c>
      <c r="F5378" s="345">
        <v>20000</v>
      </c>
      <c r="G5378" s="396">
        <v>0</v>
      </c>
      <c r="H5378" s="156" t="s">
        <v>1457</v>
      </c>
      <c r="I5378" s="401" t="s">
        <v>296</v>
      </c>
      <c r="K5378" s="370"/>
      <c r="N5378" s="370"/>
    </row>
    <row r="5379" spans="1:14" s="347" customFormat="1" x14ac:dyDescent="0.25">
      <c r="A5379" s="339">
        <f>+A5378</f>
        <v>44474</v>
      </c>
      <c r="B5379" s="340">
        <f>+MONTH(A5379)</f>
        <v>10</v>
      </c>
      <c r="C5379" s="338">
        <v>215</v>
      </c>
      <c r="D5379" s="347" t="str">
        <f>VLOOKUP(C5379,Plan!A$1:B$65542,2,0)</f>
        <v>Cuenta por Pagar a Cali</v>
      </c>
      <c r="E5379" s="341">
        <f>+F5379-G5379</f>
        <v>-20000</v>
      </c>
      <c r="F5379" s="345">
        <v>0</v>
      </c>
      <c r="G5379" s="396">
        <f>+F5378</f>
        <v>20000</v>
      </c>
      <c r="H5379" t="str">
        <f>+H5378</f>
        <v>Eduardo Calvimontes Candia/Azul</v>
      </c>
      <c r="I5379" s="401" t="s">
        <v>296</v>
      </c>
      <c r="K5379" s="370"/>
      <c r="N5379" s="370"/>
    </row>
    <row r="5380" spans="1:14" s="347" customFormat="1" x14ac:dyDescent="0.25">
      <c r="A5380" s="369"/>
      <c r="E5380" s="396"/>
      <c r="F5380" s="396"/>
      <c r="G5380" s="396"/>
      <c r="K5380" s="370"/>
      <c r="N5380" s="370"/>
    </row>
    <row r="5381" spans="1:14" s="347" customFormat="1" x14ac:dyDescent="0.25">
      <c r="A5381" s="339">
        <v>44474</v>
      </c>
      <c r="B5381" s="340">
        <f>+MONTH(A5381)</f>
        <v>10</v>
      </c>
      <c r="C5381" s="338">
        <v>4322</v>
      </c>
      <c r="D5381" s="347" t="str">
        <f>VLOOKUP(C5381,Plan!A$1:B$65542,2,0)</f>
        <v>Agua</v>
      </c>
      <c r="E5381" s="341">
        <f>+F5381-G5381</f>
        <v>12499</v>
      </c>
      <c r="F5381" s="345">
        <v>12499</v>
      </c>
      <c r="G5381" s="396">
        <v>0</v>
      </c>
      <c r="H5381" s="156" t="s">
        <v>1456</v>
      </c>
      <c r="I5381" s="401" t="s">
        <v>296</v>
      </c>
      <c r="K5381" s="370"/>
      <c r="N5381" s="370"/>
    </row>
    <row r="5382" spans="1:14" s="347" customFormat="1" x14ac:dyDescent="0.25">
      <c r="A5382" s="339">
        <f>+A5381</f>
        <v>44474</v>
      </c>
      <c r="B5382" s="340">
        <f>+MONTH(A5382)</f>
        <v>10</v>
      </c>
      <c r="C5382" s="338">
        <v>110</v>
      </c>
      <c r="D5382" s="347" t="str">
        <f>VLOOKUP(C5382,Plan!A$1:B$65542,2,0)</f>
        <v>Disponible Administración</v>
      </c>
      <c r="E5382" s="341">
        <f>+F5382-G5382</f>
        <v>-12499</v>
      </c>
      <c r="F5382" s="345">
        <v>0</v>
      </c>
      <c r="G5382" s="396">
        <f>+F5381</f>
        <v>12499</v>
      </c>
      <c r="H5382" t="str">
        <f>+H5381</f>
        <v>PAC Aguas Cordillera Oficina</v>
      </c>
      <c r="I5382" s="401" t="s">
        <v>296</v>
      </c>
      <c r="K5382" s="370"/>
      <c r="N5382" s="370"/>
    </row>
    <row r="5383" spans="1:14" s="347" customFormat="1" x14ac:dyDescent="0.25">
      <c r="A5383" s="369"/>
      <c r="E5383" s="396"/>
      <c r="F5383" s="396"/>
      <c r="G5383" s="396"/>
      <c r="K5383" s="370"/>
      <c r="N5383" s="370"/>
    </row>
    <row r="5384" spans="1:14" s="347" customFormat="1" x14ac:dyDescent="0.25">
      <c r="A5384" s="339">
        <v>44474</v>
      </c>
      <c r="B5384" s="340">
        <f>+MONTH(A5384)</f>
        <v>10</v>
      </c>
      <c r="C5384" s="338">
        <v>4310</v>
      </c>
      <c r="D5384" s="347" t="str">
        <f>VLOOKUP(C5384,Plan!A$1:B$65542,2,0)</f>
        <v>Arriendos / Dividendos</v>
      </c>
      <c r="E5384" s="341">
        <f>+F5384-G5384</f>
        <v>821027</v>
      </c>
      <c r="F5384" s="345">
        <v>821027</v>
      </c>
      <c r="G5384" s="396">
        <v>0</v>
      </c>
      <c r="H5384" s="156" t="s">
        <v>2128</v>
      </c>
      <c r="I5384" s="401" t="s">
        <v>296</v>
      </c>
      <c r="K5384" s="370"/>
      <c r="N5384" s="370"/>
    </row>
    <row r="5385" spans="1:14" s="347" customFormat="1" x14ac:dyDescent="0.25">
      <c r="A5385" s="339">
        <f>+A5384</f>
        <v>44474</v>
      </c>
      <c r="B5385" s="340">
        <f>+MONTH(A5385)</f>
        <v>10</v>
      </c>
      <c r="C5385" s="338">
        <v>110</v>
      </c>
      <c r="D5385" s="347" t="str">
        <f>VLOOKUP(C5385,Plan!A$1:B$65542,2,0)</f>
        <v>Disponible Administración</v>
      </c>
      <c r="E5385" s="341">
        <f>+F5385-G5385</f>
        <v>-821027</v>
      </c>
      <c r="F5385" s="345">
        <v>0</v>
      </c>
      <c r="G5385" s="396">
        <f>+F5384</f>
        <v>821027</v>
      </c>
      <c r="H5385" t="str">
        <f>+H5384</f>
        <v>Arriendo Octubre 2021 Claudio Cortes Arriagada</v>
      </c>
      <c r="I5385" s="401" t="s">
        <v>296</v>
      </c>
      <c r="K5385" s="370"/>
      <c r="N5385" s="370"/>
    </row>
    <row r="5386" spans="1:14" s="347" customFormat="1" x14ac:dyDescent="0.25">
      <c r="A5386" s="369"/>
      <c r="E5386" s="396"/>
      <c r="F5386" s="396"/>
      <c r="G5386" s="396"/>
      <c r="K5386" s="370"/>
      <c r="N5386" s="370"/>
    </row>
    <row r="5387" spans="1:14" s="347" customFormat="1" x14ac:dyDescent="0.25">
      <c r="A5387" s="339">
        <v>44474</v>
      </c>
      <c r="B5387" s="340">
        <f>+MONTH(A5387)</f>
        <v>10</v>
      </c>
      <c r="C5387" s="338">
        <v>4810</v>
      </c>
      <c r="D5387" s="347" t="str">
        <f>VLOOKUP(C5387,Plan!A$1:B$65542,2,0)</f>
        <v>Encuentros y convivencias</v>
      </c>
      <c r="E5387" s="341">
        <f>+F5387-G5387</f>
        <v>30900</v>
      </c>
      <c r="F5387" s="345">
        <v>30900</v>
      </c>
      <c r="G5387" s="396">
        <v>0</v>
      </c>
      <c r="H5387" s="156" t="s">
        <v>2129</v>
      </c>
      <c r="I5387" s="401" t="s">
        <v>296</v>
      </c>
      <c r="K5387" s="370"/>
      <c r="N5387" s="370"/>
    </row>
    <row r="5388" spans="1:14" s="347" customFormat="1" x14ac:dyDescent="0.25">
      <c r="A5388" s="339">
        <f>+A5387</f>
        <v>44474</v>
      </c>
      <c r="B5388" s="340">
        <f>+MONTH(A5388)</f>
        <v>10</v>
      </c>
      <c r="C5388" s="338">
        <v>110</v>
      </c>
      <c r="D5388" s="347" t="str">
        <f>VLOOKUP(C5388,Plan!A$1:B$65542,2,0)</f>
        <v>Disponible Administración</v>
      </c>
      <c r="E5388" s="341">
        <f>+F5388-G5388</f>
        <v>-30900</v>
      </c>
      <c r="F5388" s="345">
        <v>0</v>
      </c>
      <c r="G5388" s="396">
        <f>+F5387</f>
        <v>30900</v>
      </c>
      <c r="H5388" t="str">
        <f>+H5387</f>
        <v>Gastos Celebraciones Andrea Varas Mujica</v>
      </c>
      <c r="I5388" s="401" t="s">
        <v>296</v>
      </c>
      <c r="K5388" s="370"/>
      <c r="N5388" s="370"/>
    </row>
    <row r="5389" spans="1:14" s="347" customFormat="1" x14ac:dyDescent="0.25">
      <c r="A5389" s="369"/>
      <c r="E5389" s="396"/>
      <c r="F5389" s="396"/>
      <c r="G5389" s="396"/>
      <c r="K5389" s="370"/>
      <c r="N5389" s="370"/>
    </row>
    <row r="5390" spans="1:14" s="347" customFormat="1" x14ac:dyDescent="0.25">
      <c r="A5390" s="339">
        <v>44474</v>
      </c>
      <c r="B5390" s="340">
        <f>+MONTH(A5390)</f>
        <v>10</v>
      </c>
      <c r="C5390" s="338">
        <v>4642</v>
      </c>
      <c r="D5390" s="347" t="str">
        <f>VLOOKUP(C5390,Plan!A$1:B$65542,2,0)</f>
        <v xml:space="preserve">             Misas (Hojas, vino, hostias, coro)</v>
      </c>
      <c r="E5390" s="341">
        <f>+F5390-G5390</f>
        <v>35000</v>
      </c>
      <c r="F5390" s="345">
        <v>35000</v>
      </c>
      <c r="G5390" s="396">
        <v>0</v>
      </c>
      <c r="H5390" s="156" t="s">
        <v>2130</v>
      </c>
      <c r="I5390" s="401" t="s">
        <v>296</v>
      </c>
      <c r="K5390" s="370"/>
      <c r="N5390" s="370"/>
    </row>
    <row r="5391" spans="1:14" s="347" customFormat="1" x14ac:dyDescent="0.25">
      <c r="A5391" s="339">
        <f>+A5390</f>
        <v>44474</v>
      </c>
      <c r="B5391" s="340">
        <f>+MONTH(A5391)</f>
        <v>10</v>
      </c>
      <c r="C5391" s="338">
        <v>110</v>
      </c>
      <c r="D5391" s="347" t="str">
        <f>VLOOKUP(C5391,Plan!A$1:B$65542,2,0)</f>
        <v>Disponible Administración</v>
      </c>
      <c r="E5391" s="341">
        <f>+F5391-G5391</f>
        <v>-35000</v>
      </c>
      <c r="F5391" s="345">
        <v>0</v>
      </c>
      <c r="G5391" s="396">
        <f>+F5390</f>
        <v>35000</v>
      </c>
      <c r="H5391" t="str">
        <f>+H5390</f>
        <v>Hostias OC 041021</v>
      </c>
      <c r="I5391" s="401" t="s">
        <v>296</v>
      </c>
      <c r="K5391" s="370"/>
      <c r="N5391" s="370"/>
    </row>
    <row r="5392" spans="1:14" s="347" customFormat="1" x14ac:dyDescent="0.25">
      <c r="A5392" s="369"/>
      <c r="E5392" s="396"/>
      <c r="F5392" s="396"/>
      <c r="G5392" s="396"/>
      <c r="K5392" s="370"/>
      <c r="N5392" s="370"/>
    </row>
    <row r="5393" spans="1:14" s="347" customFormat="1" x14ac:dyDescent="0.25">
      <c r="A5393" s="339">
        <v>44474</v>
      </c>
      <c r="B5393" s="340">
        <f>+MONTH(A5393)</f>
        <v>10</v>
      </c>
      <c r="C5393" s="338">
        <v>226</v>
      </c>
      <c r="D5393" s="347" t="str">
        <f>VLOOKUP(C5393,Plan!A$1:B$65542,2,0)</f>
        <v>Provisión Honorarios Administración</v>
      </c>
      <c r="E5393" s="341">
        <f>+F5393-G5393</f>
        <v>380550</v>
      </c>
      <c r="F5393" s="345">
        <f>+G5394</f>
        <v>380550</v>
      </c>
      <c r="G5393" s="396">
        <v>0</v>
      </c>
      <c r="H5393" s="156" t="s">
        <v>2131</v>
      </c>
      <c r="I5393" s="401" t="s">
        <v>296</v>
      </c>
      <c r="K5393" s="370"/>
      <c r="N5393" s="370"/>
    </row>
    <row r="5394" spans="1:14" s="347" customFormat="1" x14ac:dyDescent="0.25">
      <c r="A5394" s="339">
        <f>+A5393</f>
        <v>44474</v>
      </c>
      <c r="B5394" s="340">
        <f>+MONTH(A5394)</f>
        <v>10</v>
      </c>
      <c r="C5394" s="338">
        <v>110</v>
      </c>
      <c r="D5394" s="347" t="str">
        <f>VLOOKUP(C5394,Plan!A$1:B$65542,2,0)</f>
        <v>Disponible Administración</v>
      </c>
      <c r="E5394" s="341">
        <f>+F5394-G5394</f>
        <v>-380550</v>
      </c>
      <c r="F5394" s="345">
        <v>0</v>
      </c>
      <c r="G5394" s="396">
        <v>380550</v>
      </c>
      <c r="H5394" t="str">
        <f>+H5393</f>
        <v>BE-161 Curso Biblia Rodrigo Vidal</v>
      </c>
      <c r="I5394" s="401" t="s">
        <v>296</v>
      </c>
      <c r="K5394" s="370"/>
      <c r="N5394" s="370"/>
    </row>
    <row r="5395" spans="1:14" s="347" customFormat="1" x14ac:dyDescent="0.25">
      <c r="A5395" s="369"/>
      <c r="E5395" s="396"/>
      <c r="F5395" s="396"/>
      <c r="G5395" s="396"/>
      <c r="K5395" s="370"/>
      <c r="N5395" s="370"/>
    </row>
    <row r="5396" spans="1:14" s="347" customFormat="1" x14ac:dyDescent="0.25">
      <c r="A5396" s="339">
        <v>44474</v>
      </c>
      <c r="B5396" s="340">
        <f>+MONTH(A5396)</f>
        <v>10</v>
      </c>
      <c r="C5396" s="338">
        <v>223</v>
      </c>
      <c r="D5396" s="347" t="str">
        <f>VLOOKUP(C5396,Plan!A$1:B$65542,2,0)</f>
        <v>Ret. Hon.  e Impto. Unico Administración</v>
      </c>
      <c r="E5396" s="341">
        <f>+F5396-G5396</f>
        <v>134117</v>
      </c>
      <c r="F5396" s="345">
        <v>134117</v>
      </c>
      <c r="G5396" s="396">
        <v>0</v>
      </c>
      <c r="H5396" s="156" t="s">
        <v>2134</v>
      </c>
      <c r="I5396" s="401" t="s">
        <v>296</v>
      </c>
      <c r="K5396" s="370"/>
      <c r="N5396" s="370"/>
    </row>
    <row r="5397" spans="1:14" s="347" customFormat="1" x14ac:dyDescent="0.25">
      <c r="A5397" s="339">
        <f>+A5396</f>
        <v>44474</v>
      </c>
      <c r="B5397" s="340">
        <f>+MONTH(A5397)</f>
        <v>10</v>
      </c>
      <c r="C5397" s="338">
        <v>110</v>
      </c>
      <c r="D5397" s="347" t="str">
        <f>VLOOKUP(C5397,Plan!A$1:B$65542,2,0)</f>
        <v>Disponible Administración</v>
      </c>
      <c r="E5397" s="341">
        <f>+F5397-G5397</f>
        <v>-181408</v>
      </c>
      <c r="F5397" s="345">
        <v>0</v>
      </c>
      <c r="G5397" s="396">
        <v>181408</v>
      </c>
      <c r="H5397" t="str">
        <f>+H5396</f>
        <v>Impto.Ret Adm. Septiembre/2021</v>
      </c>
      <c r="I5397" s="401" t="s">
        <v>296</v>
      </c>
      <c r="K5397" s="370"/>
      <c r="N5397" s="370"/>
    </row>
    <row r="5398" spans="1:14" s="347" customFormat="1" x14ac:dyDescent="0.25">
      <c r="A5398" s="339">
        <v>44474</v>
      </c>
      <c r="B5398" s="340">
        <f>+MONTH(A5398)</f>
        <v>10</v>
      </c>
      <c r="C5398" s="338">
        <v>215</v>
      </c>
      <c r="D5398" s="347" t="str">
        <f>VLOOKUP(C5398,Plan!A$1:B$65542,2,0)</f>
        <v>Cuenta por Pagar a Cali</v>
      </c>
      <c r="E5398" s="341">
        <f>+F5398-G5398</f>
        <v>47291</v>
      </c>
      <c r="F5398" s="345">
        <v>47291</v>
      </c>
      <c r="G5398" s="396">
        <v>0</v>
      </c>
      <c r="H5398" s="156" t="str">
        <f>+H5397</f>
        <v>Impto.Ret Adm. Septiembre/2021</v>
      </c>
      <c r="I5398" s="401" t="s">
        <v>296</v>
      </c>
      <c r="K5398" s="370"/>
      <c r="N5398" s="370"/>
    </row>
    <row r="5399" spans="1:14" s="347" customFormat="1" x14ac:dyDescent="0.25">
      <c r="A5399" s="369"/>
      <c r="E5399" s="396"/>
      <c r="F5399" s="396"/>
      <c r="G5399" s="396"/>
      <c r="K5399" s="370"/>
      <c r="N5399" s="370"/>
    </row>
    <row r="5400" spans="1:14" s="347" customFormat="1" x14ac:dyDescent="0.25">
      <c r="A5400" s="339">
        <v>44474</v>
      </c>
      <c r="B5400" s="340">
        <f>+MONTH(A5400)</f>
        <v>10</v>
      </c>
      <c r="C5400" s="338">
        <v>224</v>
      </c>
      <c r="D5400" s="347" t="str">
        <f>VLOOKUP(C5400,Plan!A$1:B$65542,2,0)</f>
        <v>Cotizaciones por Pagar</v>
      </c>
      <c r="E5400" s="341">
        <f>+F5400-G5400</f>
        <v>414429</v>
      </c>
      <c r="F5400" s="345">
        <v>414429</v>
      </c>
      <c r="G5400" s="396">
        <v>0</v>
      </c>
      <c r="H5400" s="156" t="s">
        <v>1565</v>
      </c>
      <c r="I5400" s="401" t="s">
        <v>296</v>
      </c>
      <c r="K5400" s="370"/>
      <c r="N5400" s="370"/>
    </row>
    <row r="5401" spans="1:14" s="347" customFormat="1" x14ac:dyDescent="0.25">
      <c r="A5401" s="339">
        <f>+A5400</f>
        <v>44474</v>
      </c>
      <c r="B5401" s="340">
        <f>+MONTH(A5401)</f>
        <v>10</v>
      </c>
      <c r="C5401" s="338">
        <v>110</v>
      </c>
      <c r="D5401" s="347" t="str">
        <f>VLOOKUP(C5401,Plan!A$1:B$65542,2,0)</f>
        <v>Disponible Administración</v>
      </c>
      <c r="E5401" s="341">
        <f>+F5401-G5401</f>
        <v>-414429</v>
      </c>
      <c r="F5401" s="345">
        <v>0</v>
      </c>
      <c r="G5401" s="396">
        <f>+F5400</f>
        <v>414429</v>
      </c>
      <c r="H5401" t="str">
        <f>+H5400</f>
        <v>Previsión EE.PSAH</v>
      </c>
      <c r="I5401" s="401" t="s">
        <v>296</v>
      </c>
      <c r="K5401" s="370"/>
      <c r="N5401" s="370"/>
    </row>
    <row r="5402" spans="1:14" s="347" customFormat="1" x14ac:dyDescent="0.25">
      <c r="A5402" s="369"/>
      <c r="E5402" s="396"/>
      <c r="F5402" s="396"/>
      <c r="G5402" s="396"/>
      <c r="K5402" s="370"/>
      <c r="N5402" s="370"/>
    </row>
    <row r="5403" spans="1:14" s="347" customFormat="1" x14ac:dyDescent="0.25">
      <c r="A5403" s="339">
        <v>44474</v>
      </c>
      <c r="B5403" s="340">
        <f>+MONTH(A5403)</f>
        <v>10</v>
      </c>
      <c r="C5403" s="338">
        <v>224</v>
      </c>
      <c r="D5403" s="347" t="str">
        <f>VLOOKUP(C5403,Plan!A$1:B$65542,2,0)</f>
        <v>Cotizaciones por Pagar</v>
      </c>
      <c r="E5403" s="341">
        <f>+F5403-G5403</f>
        <v>177822</v>
      </c>
      <c r="F5403" s="345">
        <v>177822</v>
      </c>
      <c r="G5403" s="396">
        <v>0</v>
      </c>
      <c r="H5403" s="156" t="s">
        <v>1566</v>
      </c>
      <c r="I5403" s="401" t="s">
        <v>296</v>
      </c>
      <c r="K5403" s="370"/>
      <c r="N5403" s="370"/>
    </row>
    <row r="5404" spans="1:14" s="347" customFormat="1" x14ac:dyDescent="0.25">
      <c r="A5404" s="339">
        <f>+A5403</f>
        <v>44474</v>
      </c>
      <c r="B5404" s="340">
        <f>+MONTH(A5404)</f>
        <v>10</v>
      </c>
      <c r="C5404" s="338">
        <v>110</v>
      </c>
      <c r="D5404" s="347" t="str">
        <f>VLOOKUP(C5404,Plan!A$1:B$65542,2,0)</f>
        <v>Disponible Administración</v>
      </c>
      <c r="E5404" s="341">
        <f>+F5404-G5404</f>
        <v>-177822</v>
      </c>
      <c r="F5404" s="345">
        <v>0</v>
      </c>
      <c r="G5404" s="396">
        <f>+F5403</f>
        <v>177822</v>
      </c>
      <c r="H5404" t="str">
        <f>+H5403</f>
        <v>Previsión P.Pedro</v>
      </c>
      <c r="I5404" s="401" t="s">
        <v>296</v>
      </c>
      <c r="K5404" s="370"/>
      <c r="N5404" s="370"/>
    </row>
    <row r="5405" spans="1:14" s="347" customFormat="1" x14ac:dyDescent="0.25">
      <c r="A5405" s="369"/>
      <c r="E5405" s="396"/>
      <c r="F5405" s="396"/>
      <c r="G5405" s="396"/>
      <c r="K5405" s="370"/>
      <c r="N5405" s="370"/>
    </row>
    <row r="5406" spans="1:14" s="347" customFormat="1" x14ac:dyDescent="0.25">
      <c r="A5406" s="339">
        <v>44475</v>
      </c>
      <c r="B5406" s="340">
        <f>+MONTH(A5406)</f>
        <v>10</v>
      </c>
      <c r="C5406" s="338">
        <v>110</v>
      </c>
      <c r="D5406" s="347" t="str">
        <f>VLOOKUP(C5406,Plan!A$1:B$65542,2,0)</f>
        <v>Disponible Administración</v>
      </c>
      <c r="E5406" s="341">
        <f>+F5406-G5406</f>
        <v>25000</v>
      </c>
      <c r="F5406" s="345">
        <v>25000</v>
      </c>
      <c r="G5406" s="396">
        <v>0</v>
      </c>
      <c r="H5406" s="156" t="s">
        <v>1449</v>
      </c>
      <c r="I5406" s="401" t="s">
        <v>296</v>
      </c>
      <c r="K5406" s="370"/>
      <c r="N5406" s="370"/>
    </row>
    <row r="5407" spans="1:14" s="347" customFormat="1" x14ac:dyDescent="0.25">
      <c r="A5407" s="339">
        <f>+A5406</f>
        <v>44475</v>
      </c>
      <c r="B5407" s="340">
        <f>+MONTH(A5407)</f>
        <v>10</v>
      </c>
      <c r="C5407" s="338">
        <v>3360</v>
      </c>
      <c r="D5407" s="347" t="str">
        <f>VLOOKUP(C5407,Plan!A$1:B$65542,2,0)</f>
        <v>Otros</v>
      </c>
      <c r="E5407" s="341">
        <f>+F5407-G5407</f>
        <v>-25000</v>
      </c>
      <c r="F5407" s="345">
        <v>0</v>
      </c>
      <c r="G5407" s="396">
        <f>+F5406</f>
        <v>25000</v>
      </c>
      <c r="H5407" t="str">
        <f>+H5406</f>
        <v>Curso Sofia Vives Ekdahl</v>
      </c>
      <c r="I5407" s="401" t="s">
        <v>296</v>
      </c>
      <c r="K5407" s="370"/>
      <c r="N5407" s="370"/>
    </row>
    <row r="5408" spans="1:14" s="347" customFormat="1" x14ac:dyDescent="0.25">
      <c r="A5408" s="369"/>
      <c r="E5408" s="396"/>
      <c r="F5408" s="396"/>
      <c r="G5408" s="396"/>
      <c r="K5408" s="370"/>
      <c r="N5408" s="370"/>
    </row>
    <row r="5409" spans="1:14" s="347" customFormat="1" x14ac:dyDescent="0.25">
      <c r="A5409" s="339">
        <v>44475</v>
      </c>
      <c r="B5409" s="340">
        <f>+MONTH(A5409)</f>
        <v>10</v>
      </c>
      <c r="C5409" s="338">
        <v>110</v>
      </c>
      <c r="D5409" s="347" t="str">
        <f>VLOOKUP(C5409,Plan!A$1:B$65542,2,0)</f>
        <v>Disponible Administración</v>
      </c>
      <c r="E5409" s="341">
        <f>+F5409-G5409</f>
        <v>20000</v>
      </c>
      <c r="F5409" s="345">
        <v>20000</v>
      </c>
      <c r="G5409" s="396">
        <v>0</v>
      </c>
      <c r="H5409" s="156" t="s">
        <v>913</v>
      </c>
      <c r="I5409" s="401" t="s">
        <v>296</v>
      </c>
      <c r="K5409" s="370"/>
      <c r="N5409" s="370"/>
    </row>
    <row r="5410" spans="1:14" s="347" customFormat="1" x14ac:dyDescent="0.25">
      <c r="A5410" s="339">
        <f>+A5409</f>
        <v>44475</v>
      </c>
      <c r="B5410" s="340">
        <f>+MONTH(A5410)</f>
        <v>10</v>
      </c>
      <c r="C5410" s="338">
        <v>3110</v>
      </c>
      <c r="D5410" s="347" t="str">
        <f>VLOOKUP(C5410,Plan!A$1:B$65542,2,0)</f>
        <v>Colectas Normales</v>
      </c>
      <c r="E5410" s="341">
        <f>+F5410-G5410</f>
        <v>-20000</v>
      </c>
      <c r="F5410" s="345">
        <v>0</v>
      </c>
      <c r="G5410" s="396">
        <f>+F5409</f>
        <v>20000</v>
      </c>
      <c r="H5410" t="str">
        <f>+H5409</f>
        <v>Colecta Sofia Vives Ekdahl</v>
      </c>
      <c r="I5410" s="401" t="s">
        <v>296</v>
      </c>
      <c r="K5410" s="370"/>
      <c r="N5410" s="370"/>
    </row>
    <row r="5411" spans="1:14" s="347" customFormat="1" x14ac:dyDescent="0.25">
      <c r="A5411" s="369"/>
      <c r="E5411" s="396"/>
      <c r="F5411" s="396"/>
      <c r="G5411" s="396"/>
      <c r="K5411" s="370"/>
      <c r="N5411" s="370"/>
    </row>
    <row r="5412" spans="1:14" s="347" customFormat="1" x14ac:dyDescent="0.25">
      <c r="A5412" s="339">
        <v>44475</v>
      </c>
      <c r="B5412" s="340">
        <f>+MONTH(A5412)</f>
        <v>10</v>
      </c>
      <c r="C5412" s="338">
        <v>110</v>
      </c>
      <c r="D5412" s="347" t="str">
        <f>VLOOKUP(C5412,Plan!A$1:B$65542,2,0)</f>
        <v>Disponible Administración</v>
      </c>
      <c r="E5412" s="341">
        <f>+F5412-G5412</f>
        <v>10000</v>
      </c>
      <c r="F5412" s="345">
        <v>10000</v>
      </c>
      <c r="G5412" s="396">
        <v>0</v>
      </c>
      <c r="H5412" s="156" t="s">
        <v>1205</v>
      </c>
      <c r="I5412" s="401" t="s">
        <v>296</v>
      </c>
      <c r="K5412" s="370"/>
      <c r="N5412" s="370"/>
    </row>
    <row r="5413" spans="1:14" s="347" customFormat="1" x14ac:dyDescent="0.25">
      <c r="A5413" s="339">
        <f>+A5412</f>
        <v>44475</v>
      </c>
      <c r="B5413" s="340">
        <f>+MONTH(A5413)</f>
        <v>10</v>
      </c>
      <c r="C5413" s="338">
        <v>3110</v>
      </c>
      <c r="D5413" s="347" t="str">
        <f>VLOOKUP(C5413,Plan!A$1:B$65542,2,0)</f>
        <v>Colectas Normales</v>
      </c>
      <c r="E5413" s="341">
        <f>+F5413-G5413</f>
        <v>-10000</v>
      </c>
      <c r="F5413" s="345">
        <v>0</v>
      </c>
      <c r="G5413" s="396">
        <f>+F5412</f>
        <v>10000</v>
      </c>
      <c r="H5413" t="str">
        <f>+H5412</f>
        <v>Colecta Gonzalo Nieto Valdes</v>
      </c>
      <c r="I5413" s="401" t="s">
        <v>296</v>
      </c>
      <c r="K5413" s="370"/>
      <c r="N5413" s="370"/>
    </row>
    <row r="5414" spans="1:14" s="347" customFormat="1" x14ac:dyDescent="0.25">
      <c r="A5414" s="369"/>
      <c r="E5414" s="396"/>
      <c r="F5414" s="396"/>
      <c r="G5414" s="396"/>
      <c r="K5414" s="370"/>
      <c r="N5414" s="370"/>
    </row>
    <row r="5415" spans="1:14" s="347" customFormat="1" x14ac:dyDescent="0.25">
      <c r="A5415" s="339">
        <v>44475</v>
      </c>
      <c r="B5415" s="340">
        <f>+MONTH(A5415)</f>
        <v>10</v>
      </c>
      <c r="C5415" s="338">
        <v>110</v>
      </c>
      <c r="D5415" s="347" t="str">
        <f>VLOOKUP(C5415,Plan!A$1:B$65542,2,0)</f>
        <v>Disponible Administración</v>
      </c>
      <c r="E5415" s="341">
        <f>+F5415-G5415</f>
        <v>21000</v>
      </c>
      <c r="F5415" s="345">
        <v>21000</v>
      </c>
      <c r="G5415" s="396">
        <v>0</v>
      </c>
      <c r="H5415" s="156" t="s">
        <v>1938</v>
      </c>
      <c r="I5415" s="401" t="s">
        <v>296</v>
      </c>
      <c r="K5415" s="370"/>
      <c r="N5415" s="370"/>
    </row>
    <row r="5416" spans="1:14" s="347" customFormat="1" x14ac:dyDescent="0.25">
      <c r="A5416" s="339">
        <f>+A5415</f>
        <v>44475</v>
      </c>
      <c r="B5416" s="340">
        <f>+MONTH(A5416)</f>
        <v>10</v>
      </c>
      <c r="C5416" s="338">
        <v>215</v>
      </c>
      <c r="D5416" s="347" t="str">
        <f>VLOOKUP(C5416,Plan!A$1:B$65542,2,0)</f>
        <v>Cuenta por Pagar a Cali</v>
      </c>
      <c r="E5416" s="341">
        <f>+F5416-G5416</f>
        <v>-21000</v>
      </c>
      <c r="F5416" s="345">
        <v>0</v>
      </c>
      <c r="G5416" s="396">
        <f>+F5415</f>
        <v>21000</v>
      </c>
      <c r="H5416" t="str">
        <f>+H5415</f>
        <v>María Cristina Herrera Peralta/248</v>
      </c>
      <c r="I5416" s="401" t="s">
        <v>296</v>
      </c>
      <c r="K5416" s="370"/>
      <c r="N5416" s="370"/>
    </row>
    <row r="5417" spans="1:14" s="347" customFormat="1" x14ac:dyDescent="0.25">
      <c r="A5417" s="369"/>
      <c r="E5417" s="396"/>
      <c r="F5417" s="396"/>
      <c r="G5417" s="396"/>
      <c r="K5417" s="370"/>
      <c r="N5417" s="370"/>
    </row>
    <row r="5418" spans="1:14" s="347" customFormat="1" x14ac:dyDescent="0.25">
      <c r="A5418" s="339">
        <v>44475</v>
      </c>
      <c r="B5418" s="340">
        <f>+MONTH(A5418)</f>
        <v>10</v>
      </c>
      <c r="C5418" s="338">
        <v>110</v>
      </c>
      <c r="D5418" s="347" t="str">
        <f>VLOOKUP(C5418,Plan!A$1:B$65542,2,0)</f>
        <v>Disponible Administración</v>
      </c>
      <c r="E5418" s="341">
        <f>+F5418-G5418</f>
        <v>20000</v>
      </c>
      <c r="F5418" s="345">
        <v>20000</v>
      </c>
      <c r="G5418" s="396">
        <v>0</v>
      </c>
      <c r="H5418" s="156" t="s">
        <v>2135</v>
      </c>
      <c r="I5418" s="401" t="s">
        <v>296</v>
      </c>
      <c r="K5418" s="370"/>
      <c r="N5418" s="370"/>
    </row>
    <row r="5419" spans="1:14" s="347" customFormat="1" x14ac:dyDescent="0.25">
      <c r="A5419" s="339">
        <f>+A5418</f>
        <v>44475</v>
      </c>
      <c r="B5419" s="340">
        <f>+MONTH(A5419)</f>
        <v>10</v>
      </c>
      <c r="C5419" s="338">
        <v>3350</v>
      </c>
      <c r="D5419" s="347" t="str">
        <f>VLOOKUP(C5419,Plan!A$1:B$65542,2,0)</f>
        <v>Bautizos</v>
      </c>
      <c r="E5419" s="341">
        <f>+F5419-G5419</f>
        <v>-20000</v>
      </c>
      <c r="F5419" s="345">
        <v>0</v>
      </c>
      <c r="G5419" s="396">
        <f>+F5418</f>
        <v>20000</v>
      </c>
      <c r="H5419" t="str">
        <f>+H5418</f>
        <v>Bautizo Camila Del Pilar Ramirez Gundelach</v>
      </c>
      <c r="I5419" s="401" t="s">
        <v>296</v>
      </c>
      <c r="K5419" s="370"/>
      <c r="N5419" s="370"/>
    </row>
    <row r="5420" spans="1:14" s="347" customFormat="1" x14ac:dyDescent="0.25">
      <c r="A5420" s="369"/>
      <c r="E5420" s="396"/>
      <c r="F5420" s="396"/>
      <c r="G5420" s="396"/>
      <c r="K5420" s="370"/>
      <c r="N5420" s="370"/>
    </row>
    <row r="5421" spans="1:14" s="347" customFormat="1" x14ac:dyDescent="0.25">
      <c r="A5421" s="339">
        <v>44475</v>
      </c>
      <c r="B5421" s="340">
        <f>+MONTH(A5421)</f>
        <v>10</v>
      </c>
      <c r="C5421" s="338">
        <v>110</v>
      </c>
      <c r="D5421" s="347" t="str">
        <f>VLOOKUP(C5421,Plan!A$1:B$65542,2,0)</f>
        <v>Disponible Administración</v>
      </c>
      <c r="E5421" s="341">
        <f>+F5421-G5421</f>
        <v>10000</v>
      </c>
      <c r="F5421" s="345">
        <v>10000</v>
      </c>
      <c r="G5421" s="396">
        <v>0</v>
      </c>
      <c r="H5421" s="156" t="s">
        <v>1211</v>
      </c>
      <c r="I5421" s="401" t="s">
        <v>296</v>
      </c>
      <c r="K5421" s="370"/>
      <c r="N5421" s="370"/>
    </row>
    <row r="5422" spans="1:14" s="347" customFormat="1" x14ac:dyDescent="0.25">
      <c r="A5422" s="339">
        <f>+A5421</f>
        <v>44475</v>
      </c>
      <c r="B5422" s="340">
        <f>+MONTH(A5422)</f>
        <v>10</v>
      </c>
      <c r="C5422" s="338">
        <v>3110</v>
      </c>
      <c r="D5422" s="347" t="str">
        <f>VLOOKUP(C5422,Plan!A$1:B$65542,2,0)</f>
        <v>Colectas Normales</v>
      </c>
      <c r="E5422" s="341">
        <f>+F5422-G5422</f>
        <v>-10000</v>
      </c>
      <c r="F5422" s="345">
        <v>0</v>
      </c>
      <c r="G5422" s="396">
        <f>+F5421</f>
        <v>10000</v>
      </c>
      <c r="H5422" t="str">
        <f>+H5421</f>
        <v>Colecta Jaime Lubascher</v>
      </c>
      <c r="I5422" s="401" t="s">
        <v>296</v>
      </c>
      <c r="K5422" s="370"/>
      <c r="N5422" s="370"/>
    </row>
    <row r="5423" spans="1:14" s="347" customFormat="1" x14ac:dyDescent="0.25">
      <c r="A5423" s="369"/>
      <c r="E5423" s="396"/>
      <c r="F5423" s="396"/>
      <c r="G5423" s="396"/>
      <c r="K5423" s="370"/>
      <c r="N5423" s="370"/>
    </row>
    <row r="5424" spans="1:14" s="347" customFormat="1" x14ac:dyDescent="0.25">
      <c r="A5424" s="339">
        <v>44476</v>
      </c>
      <c r="B5424" s="340">
        <f>+MONTH(A5424)</f>
        <v>10</v>
      </c>
      <c r="C5424" s="338">
        <v>110</v>
      </c>
      <c r="D5424" s="347" t="str">
        <f>VLOOKUP(C5424,Plan!A$1:B$65542,2,0)</f>
        <v>Disponible Administración</v>
      </c>
      <c r="E5424" s="341">
        <f>+F5424-G5424</f>
        <v>120000</v>
      </c>
      <c r="F5424" s="345">
        <v>120000</v>
      </c>
      <c r="G5424" s="396">
        <v>0</v>
      </c>
      <c r="H5424" s="156" t="s">
        <v>1489</v>
      </c>
      <c r="I5424" s="401" t="s">
        <v>296</v>
      </c>
      <c r="K5424" s="370"/>
      <c r="N5424" s="370"/>
    </row>
    <row r="5425" spans="1:14" s="347" customFormat="1" x14ac:dyDescent="0.25">
      <c r="A5425" s="339">
        <f>+A5424</f>
        <v>44476</v>
      </c>
      <c r="B5425" s="340">
        <f>+MONTH(A5425)</f>
        <v>10</v>
      </c>
      <c r="C5425" s="338">
        <v>3110</v>
      </c>
      <c r="D5425" s="347" t="str">
        <f>VLOOKUP(C5425,Plan!A$1:B$65542,2,0)</f>
        <v>Colectas Normales</v>
      </c>
      <c r="E5425" s="341">
        <f>+F5425-G5425</f>
        <v>-120000</v>
      </c>
      <c r="F5425" s="345">
        <v>0</v>
      </c>
      <c r="G5425" s="396">
        <f>+F5424</f>
        <v>120000</v>
      </c>
      <c r="H5425" t="str">
        <f>+H5424</f>
        <v>Colecta Ximena Suspichatti</v>
      </c>
      <c r="I5425" s="401" t="s">
        <v>296</v>
      </c>
      <c r="K5425" s="370"/>
      <c r="N5425" s="370"/>
    </row>
    <row r="5426" spans="1:14" s="347" customFormat="1" x14ac:dyDescent="0.25">
      <c r="A5426" s="369"/>
      <c r="E5426" s="396"/>
      <c r="F5426" s="396"/>
      <c r="G5426" s="396"/>
      <c r="K5426" s="370"/>
      <c r="N5426" s="370"/>
    </row>
    <row r="5427" spans="1:14" s="347" customFormat="1" x14ac:dyDescent="0.25">
      <c r="A5427" s="339">
        <v>44476</v>
      </c>
      <c r="B5427" s="340">
        <f>+MONTH(A5427)</f>
        <v>10</v>
      </c>
      <c r="C5427" s="338">
        <v>110</v>
      </c>
      <c r="D5427" s="347" t="str">
        <f>VLOOKUP(C5427,Plan!A$1:B$65542,2,0)</f>
        <v>Disponible Administración</v>
      </c>
      <c r="E5427" s="341">
        <f>+F5427-G5427</f>
        <v>20000</v>
      </c>
      <c r="F5427" s="345">
        <v>20000</v>
      </c>
      <c r="G5427" s="396">
        <v>0</v>
      </c>
      <c r="H5427" s="156" t="s">
        <v>906</v>
      </c>
      <c r="I5427" s="401" t="s">
        <v>296</v>
      </c>
      <c r="K5427" s="370"/>
      <c r="N5427" s="370"/>
    </row>
    <row r="5428" spans="1:14" s="347" customFormat="1" x14ac:dyDescent="0.25">
      <c r="A5428" s="339">
        <f>+A5427</f>
        <v>44476</v>
      </c>
      <c r="B5428" s="340">
        <f>+MONTH(A5428)</f>
        <v>10</v>
      </c>
      <c r="C5428" s="338">
        <v>3110</v>
      </c>
      <c r="D5428" s="347" t="str">
        <f>VLOOKUP(C5428,Plan!A$1:B$65542,2,0)</f>
        <v>Colectas Normales</v>
      </c>
      <c r="E5428" s="341">
        <f>+F5428-G5428</f>
        <v>-20000</v>
      </c>
      <c r="F5428" s="345">
        <v>0</v>
      </c>
      <c r="G5428" s="396">
        <f>+F5427</f>
        <v>20000</v>
      </c>
      <c r="H5428" t="str">
        <f>+H5427</f>
        <v>Colecta Carmen Barañao</v>
      </c>
      <c r="I5428" s="401" t="s">
        <v>296</v>
      </c>
      <c r="K5428" s="370"/>
      <c r="N5428" s="370"/>
    </row>
    <row r="5429" spans="1:14" s="347" customFormat="1" x14ac:dyDescent="0.25">
      <c r="A5429" s="369"/>
      <c r="E5429" s="396"/>
      <c r="F5429" s="396"/>
      <c r="G5429" s="396"/>
      <c r="K5429" s="370"/>
      <c r="N5429" s="370"/>
    </row>
    <row r="5430" spans="1:14" s="347" customFormat="1" x14ac:dyDescent="0.25">
      <c r="A5430" s="339">
        <v>44476</v>
      </c>
      <c r="B5430" s="340">
        <f>+MONTH(A5430)</f>
        <v>10</v>
      </c>
      <c r="C5430" s="338">
        <v>110</v>
      </c>
      <c r="D5430" s="347" t="str">
        <f>VLOOKUP(C5430,Plan!A$1:B$65542,2,0)</f>
        <v>Disponible Administración</v>
      </c>
      <c r="E5430" s="341">
        <f>+F5430-G5430</f>
        <v>10000</v>
      </c>
      <c r="F5430" s="345">
        <v>10000</v>
      </c>
      <c r="G5430" s="396">
        <v>0</v>
      </c>
      <c r="H5430" s="156" t="s">
        <v>1657</v>
      </c>
      <c r="I5430" s="401" t="s">
        <v>296</v>
      </c>
      <c r="K5430" s="370"/>
      <c r="N5430" s="370"/>
    </row>
    <row r="5431" spans="1:14" s="347" customFormat="1" x14ac:dyDescent="0.25">
      <c r="A5431" s="339">
        <f>+A5430</f>
        <v>44476</v>
      </c>
      <c r="B5431" s="340">
        <f>+MONTH(A5431)</f>
        <v>10</v>
      </c>
      <c r="C5431" s="338">
        <v>3110</v>
      </c>
      <c r="D5431" s="347" t="str">
        <f>VLOOKUP(C5431,Plan!A$1:B$65542,2,0)</f>
        <v>Colectas Normales</v>
      </c>
      <c r="E5431" s="341">
        <f>+F5431-G5431</f>
        <v>-10000</v>
      </c>
      <c r="F5431" s="345">
        <v>0</v>
      </c>
      <c r="G5431" s="396">
        <f>+F5430</f>
        <v>10000</v>
      </c>
      <c r="H5431" t="str">
        <f>+H5430</f>
        <v>Colecta Tomas Arsenio Alcalde Herrera</v>
      </c>
      <c r="I5431" s="401" t="s">
        <v>296</v>
      </c>
      <c r="K5431" s="370"/>
      <c r="N5431" s="370"/>
    </row>
    <row r="5432" spans="1:14" s="347" customFormat="1" x14ac:dyDescent="0.25">
      <c r="A5432" s="369"/>
      <c r="E5432" s="396"/>
      <c r="F5432" s="396"/>
      <c r="G5432" s="396"/>
      <c r="K5432" s="370"/>
      <c r="N5432" s="370"/>
    </row>
    <row r="5433" spans="1:14" s="347" customFormat="1" x14ac:dyDescent="0.25">
      <c r="A5433" s="339">
        <v>44476</v>
      </c>
      <c r="B5433" s="340">
        <f>+MONTH(A5433)</f>
        <v>10</v>
      </c>
      <c r="C5433" s="338">
        <v>110</v>
      </c>
      <c r="D5433" s="347" t="str">
        <f>VLOOKUP(C5433,Plan!A$1:B$65542,2,0)</f>
        <v>Disponible Administración</v>
      </c>
      <c r="E5433" s="341">
        <f>+F5433-G5433</f>
        <v>5000</v>
      </c>
      <c r="F5433" s="345">
        <v>5000</v>
      </c>
      <c r="G5433" s="396">
        <v>0</v>
      </c>
      <c r="H5433" s="156" t="s">
        <v>1376</v>
      </c>
      <c r="I5433" s="401" t="s">
        <v>296</v>
      </c>
      <c r="K5433" s="370"/>
      <c r="N5433" s="370"/>
    </row>
    <row r="5434" spans="1:14" s="347" customFormat="1" x14ac:dyDescent="0.25">
      <c r="A5434" s="339">
        <f>+A5433</f>
        <v>44476</v>
      </c>
      <c r="B5434" s="340">
        <f>+MONTH(A5434)</f>
        <v>10</v>
      </c>
      <c r="C5434" s="338">
        <v>3110</v>
      </c>
      <c r="D5434" s="347" t="str">
        <f>VLOOKUP(C5434,Plan!A$1:B$65542,2,0)</f>
        <v>Colectas Normales</v>
      </c>
      <c r="E5434" s="341">
        <f>+F5434-G5434</f>
        <v>-5000</v>
      </c>
      <c r="F5434" s="345">
        <v>0</v>
      </c>
      <c r="G5434" s="396">
        <f>+F5433</f>
        <v>5000</v>
      </c>
      <c r="H5434" t="str">
        <f>+H5433</f>
        <v>Colecta Ana Gloria Awad Yazigi</v>
      </c>
      <c r="I5434" s="401" t="s">
        <v>296</v>
      </c>
      <c r="K5434" s="370"/>
      <c r="N5434" s="370"/>
    </row>
    <row r="5435" spans="1:14" s="347" customFormat="1" x14ac:dyDescent="0.25">
      <c r="A5435" s="369"/>
      <c r="E5435" s="396"/>
      <c r="F5435" s="396"/>
      <c r="G5435" s="396"/>
      <c r="K5435" s="370"/>
      <c r="N5435" s="370"/>
    </row>
    <row r="5436" spans="1:14" s="347" customFormat="1" x14ac:dyDescent="0.25">
      <c r="A5436" s="339">
        <v>44476</v>
      </c>
      <c r="B5436" s="340">
        <f>+MONTH(A5436)</f>
        <v>10</v>
      </c>
      <c r="C5436" s="338">
        <v>110</v>
      </c>
      <c r="D5436" s="347" t="str">
        <f>VLOOKUP(C5436,Plan!A$1:B$65542,2,0)</f>
        <v>Disponible Administración</v>
      </c>
      <c r="E5436" s="341">
        <f>+F5436-G5436</f>
        <v>40000</v>
      </c>
      <c r="F5436" s="345">
        <v>40000</v>
      </c>
      <c r="G5436" s="396">
        <v>0</v>
      </c>
      <c r="H5436" s="156" t="s">
        <v>2035</v>
      </c>
      <c r="I5436" s="401" t="s">
        <v>296</v>
      </c>
      <c r="K5436" s="370"/>
      <c r="N5436" s="370"/>
    </row>
    <row r="5437" spans="1:14" s="347" customFormat="1" x14ac:dyDescent="0.25">
      <c r="A5437" s="339">
        <f>+A5436</f>
        <v>44476</v>
      </c>
      <c r="B5437" s="340">
        <f>+MONTH(A5437)</f>
        <v>10</v>
      </c>
      <c r="C5437" s="338">
        <v>3110</v>
      </c>
      <c r="D5437" s="347" t="str">
        <f>VLOOKUP(C5437,Plan!A$1:B$65542,2,0)</f>
        <v>Colectas Normales</v>
      </c>
      <c r="E5437" s="341">
        <f>+F5437-G5437</f>
        <v>-40000</v>
      </c>
      <c r="F5437" s="345">
        <v>0</v>
      </c>
      <c r="G5437" s="396">
        <f>+F5436</f>
        <v>40000</v>
      </c>
      <c r="H5437" t="str">
        <f>+H5436</f>
        <v>Colecta Patricia Andres Lorca Koch</v>
      </c>
      <c r="I5437" s="401" t="s">
        <v>296</v>
      </c>
      <c r="K5437" s="370"/>
      <c r="N5437" s="370"/>
    </row>
    <row r="5438" spans="1:14" s="347" customFormat="1" x14ac:dyDescent="0.25">
      <c r="A5438" s="369"/>
      <c r="E5438" s="396"/>
      <c r="F5438" s="396"/>
      <c r="G5438" s="396"/>
      <c r="K5438" s="370"/>
      <c r="N5438" s="370"/>
    </row>
    <row r="5439" spans="1:14" s="347" customFormat="1" x14ac:dyDescent="0.25">
      <c r="A5439" s="339">
        <v>44476</v>
      </c>
      <c r="B5439" s="340">
        <f>+MONTH(A5439)</f>
        <v>10</v>
      </c>
      <c r="C5439" s="338">
        <v>110</v>
      </c>
      <c r="D5439" s="347" t="str">
        <f>VLOOKUP(C5439,Plan!A$1:B$65542,2,0)</f>
        <v>Disponible Administración</v>
      </c>
      <c r="E5439" s="341">
        <f>+F5439-G5439</f>
        <v>25000</v>
      </c>
      <c r="F5439" s="345">
        <v>25000</v>
      </c>
      <c r="G5439" s="396">
        <v>0</v>
      </c>
      <c r="H5439" s="156" t="s">
        <v>1442</v>
      </c>
      <c r="I5439" s="401" t="s">
        <v>296</v>
      </c>
      <c r="K5439" s="370"/>
      <c r="N5439" s="370"/>
    </row>
    <row r="5440" spans="1:14" s="347" customFormat="1" x14ac:dyDescent="0.25">
      <c r="A5440" s="339">
        <f>+A5439</f>
        <v>44476</v>
      </c>
      <c r="B5440" s="340">
        <f>+MONTH(A5440)</f>
        <v>10</v>
      </c>
      <c r="C5440" s="338">
        <v>3360</v>
      </c>
      <c r="D5440" s="347" t="str">
        <f>VLOOKUP(C5440,Plan!A$1:B$65542,2,0)</f>
        <v>Otros</v>
      </c>
      <c r="E5440" s="341">
        <f>+F5440-G5440</f>
        <v>-25000</v>
      </c>
      <c r="F5440" s="345">
        <v>0</v>
      </c>
      <c r="G5440" s="396">
        <f>+F5439</f>
        <v>25000</v>
      </c>
      <c r="H5440" t="str">
        <f>+H5439</f>
        <v>Curso Jorge Larrañaga</v>
      </c>
      <c r="I5440" s="401" t="s">
        <v>296</v>
      </c>
      <c r="K5440" s="370"/>
      <c r="N5440" s="370"/>
    </row>
    <row r="5441" spans="1:14" s="347" customFormat="1" x14ac:dyDescent="0.25">
      <c r="A5441" s="369"/>
      <c r="E5441" s="396"/>
      <c r="F5441" s="396"/>
      <c r="G5441" s="396"/>
      <c r="K5441" s="370"/>
      <c r="N5441" s="370"/>
    </row>
    <row r="5442" spans="1:14" s="347" customFormat="1" x14ac:dyDescent="0.25">
      <c r="A5442" s="339">
        <v>44476</v>
      </c>
      <c r="B5442" s="340">
        <f>+MONTH(A5442)</f>
        <v>10</v>
      </c>
      <c r="C5442" s="338">
        <v>110</v>
      </c>
      <c r="D5442" s="347" t="str">
        <f>VLOOKUP(C5442,Plan!A$1:B$65542,2,0)</f>
        <v>Disponible Administración</v>
      </c>
      <c r="E5442" s="341">
        <f>+F5442-G5442</f>
        <v>15000</v>
      </c>
      <c r="F5442" s="345">
        <v>15000</v>
      </c>
      <c r="G5442" s="396">
        <v>0</v>
      </c>
      <c r="H5442" s="156" t="s">
        <v>1318</v>
      </c>
      <c r="I5442" s="401" t="s">
        <v>296</v>
      </c>
      <c r="K5442" s="370"/>
      <c r="N5442" s="370"/>
    </row>
    <row r="5443" spans="1:14" s="347" customFormat="1" x14ac:dyDescent="0.25">
      <c r="A5443" s="339">
        <f>+A5442</f>
        <v>44476</v>
      </c>
      <c r="B5443" s="340">
        <f>+MONTH(A5443)</f>
        <v>10</v>
      </c>
      <c r="C5443" s="338">
        <v>3110</v>
      </c>
      <c r="D5443" s="347" t="str">
        <f>VLOOKUP(C5443,Plan!A$1:B$65542,2,0)</f>
        <v>Colectas Normales</v>
      </c>
      <c r="E5443" s="341">
        <f>+F5443-G5443</f>
        <v>-15000</v>
      </c>
      <c r="F5443" s="345">
        <v>0</v>
      </c>
      <c r="G5443" s="396">
        <f>+F5442</f>
        <v>15000</v>
      </c>
      <c r="H5443" t="str">
        <f>+H5442</f>
        <v>Colecta Jaime Andres Court Viviani</v>
      </c>
      <c r="I5443" s="401" t="s">
        <v>296</v>
      </c>
      <c r="K5443" s="370"/>
      <c r="N5443" s="370"/>
    </row>
    <row r="5444" spans="1:14" s="347" customFormat="1" x14ac:dyDescent="0.25">
      <c r="A5444" s="369"/>
      <c r="E5444" s="396"/>
      <c r="F5444" s="396"/>
      <c r="G5444" s="396"/>
      <c r="K5444" s="370"/>
      <c r="N5444" s="370"/>
    </row>
    <row r="5445" spans="1:14" s="347" customFormat="1" x14ac:dyDescent="0.25">
      <c r="A5445" s="339">
        <v>44476</v>
      </c>
      <c r="B5445" s="340">
        <f>+MONTH(A5445)</f>
        <v>10</v>
      </c>
      <c r="C5445" s="338">
        <v>110</v>
      </c>
      <c r="D5445" s="347" t="str">
        <f>VLOOKUP(C5445,Plan!A$1:B$65542,2,0)</f>
        <v>Disponible Administración</v>
      </c>
      <c r="E5445" s="341">
        <f>+F5445-G5445</f>
        <v>30000</v>
      </c>
      <c r="F5445" s="345">
        <v>30000</v>
      </c>
      <c r="G5445" s="396">
        <v>0</v>
      </c>
      <c r="H5445" s="156" t="s">
        <v>737</v>
      </c>
      <c r="I5445" s="401" t="s">
        <v>296</v>
      </c>
      <c r="K5445" s="370"/>
      <c r="N5445" s="370"/>
    </row>
    <row r="5446" spans="1:14" s="347" customFormat="1" x14ac:dyDescent="0.25">
      <c r="A5446" s="339">
        <f>+A5445</f>
        <v>44476</v>
      </c>
      <c r="B5446" s="340">
        <f>+MONTH(A5446)</f>
        <v>10</v>
      </c>
      <c r="C5446" s="338">
        <v>215</v>
      </c>
      <c r="D5446" s="347" t="str">
        <f>VLOOKUP(C5446,Plan!A$1:B$65542,2,0)</f>
        <v>Cuenta por Pagar a Cali</v>
      </c>
      <c r="E5446" s="341">
        <f>+F5446-G5446</f>
        <v>-30000</v>
      </c>
      <c r="F5446" s="345">
        <v>0</v>
      </c>
      <c r="G5446" s="396">
        <f>+F5445</f>
        <v>30000</v>
      </c>
      <c r="H5446" t="str">
        <f>+H5445</f>
        <v>Jaime Andrés Court Viviani/249</v>
      </c>
      <c r="I5446" s="401" t="s">
        <v>296</v>
      </c>
      <c r="K5446" s="370"/>
      <c r="N5446" s="370"/>
    </row>
    <row r="5447" spans="1:14" s="347" customFormat="1" x14ac:dyDescent="0.25">
      <c r="A5447" s="369"/>
      <c r="E5447" s="396"/>
      <c r="F5447" s="396"/>
      <c r="G5447" s="396"/>
      <c r="K5447" s="370"/>
      <c r="N5447" s="370"/>
    </row>
    <row r="5448" spans="1:14" s="347" customFormat="1" x14ac:dyDescent="0.25">
      <c r="A5448" s="339">
        <v>44476</v>
      </c>
      <c r="B5448" s="340">
        <f>+MONTH(A5448)</f>
        <v>10</v>
      </c>
      <c r="C5448" s="338">
        <v>4860</v>
      </c>
      <c r="D5448" s="347" t="str">
        <f>VLOOKUP(C5448,Plan!A$1:B$65542,2,0)</f>
        <v>Otros</v>
      </c>
      <c r="E5448" s="341">
        <f>+F5448-G5448</f>
        <v>1074</v>
      </c>
      <c r="F5448" s="345">
        <v>1074</v>
      </c>
      <c r="G5448" s="396">
        <v>0</v>
      </c>
      <c r="H5448" t="s">
        <v>1005</v>
      </c>
      <c r="I5448" s="401" t="s">
        <v>296</v>
      </c>
      <c r="K5448" s="370"/>
      <c r="N5448" s="370"/>
    </row>
    <row r="5449" spans="1:14" s="347" customFormat="1" x14ac:dyDescent="0.25">
      <c r="A5449" s="339">
        <f>+A5448</f>
        <v>44476</v>
      </c>
      <c r="B5449" s="340">
        <f>+MONTH(A5449)</f>
        <v>10</v>
      </c>
      <c r="C5449" s="338">
        <v>110</v>
      </c>
      <c r="D5449" s="347" t="str">
        <f>VLOOKUP(C5449,Plan!A$1:B$65542,2,0)</f>
        <v>Disponible Administración</v>
      </c>
      <c r="E5449" s="341">
        <f>+F5449-G5449</f>
        <v>-1074</v>
      </c>
      <c r="F5449" s="345">
        <v>0</v>
      </c>
      <c r="G5449" s="396">
        <f>+F5448</f>
        <v>1074</v>
      </c>
      <c r="H5449" t="str">
        <f>+H5448</f>
        <v>Com.Bco.Chile</v>
      </c>
      <c r="I5449" s="401" t="s">
        <v>296</v>
      </c>
      <c r="K5449" s="370"/>
      <c r="N5449" s="370"/>
    </row>
    <row r="5450" spans="1:14" s="347" customFormat="1" x14ac:dyDescent="0.25">
      <c r="A5450" s="369"/>
      <c r="E5450" s="396"/>
      <c r="F5450" s="396"/>
      <c r="G5450" s="396"/>
      <c r="K5450" s="370"/>
      <c r="N5450" s="370"/>
    </row>
    <row r="5451" spans="1:14" s="347" customFormat="1" x14ac:dyDescent="0.25">
      <c r="A5451" s="339">
        <v>44476</v>
      </c>
      <c r="B5451" s="340">
        <f>+MONTH(A5451)</f>
        <v>10</v>
      </c>
      <c r="C5451" s="338">
        <v>4860</v>
      </c>
      <c r="D5451" s="347" t="str">
        <f>VLOOKUP(C5451,Plan!A$1:B$65542,2,0)</f>
        <v>Otros</v>
      </c>
      <c r="E5451" s="341">
        <f>+F5451-G5451</f>
        <v>3581</v>
      </c>
      <c r="F5451" s="345">
        <v>3581</v>
      </c>
      <c r="G5451" s="396">
        <v>0</v>
      </c>
      <c r="H5451" t="s">
        <v>1005</v>
      </c>
      <c r="I5451" s="401" t="s">
        <v>296</v>
      </c>
      <c r="K5451" s="370"/>
      <c r="N5451" s="370"/>
    </row>
    <row r="5452" spans="1:14" s="347" customFormat="1" x14ac:dyDescent="0.25">
      <c r="A5452" s="339">
        <f>+A5451</f>
        <v>44476</v>
      </c>
      <c r="B5452" s="340">
        <f>+MONTH(A5452)</f>
        <v>10</v>
      </c>
      <c r="C5452" s="338">
        <v>110</v>
      </c>
      <c r="D5452" s="347" t="str">
        <f>VLOOKUP(C5452,Plan!A$1:B$65542,2,0)</f>
        <v>Disponible Administración</v>
      </c>
      <c r="E5452" s="341">
        <f>+F5452-G5452</f>
        <v>-3581</v>
      </c>
      <c r="F5452" s="345">
        <v>0</v>
      </c>
      <c r="G5452" s="396">
        <f>+F5451</f>
        <v>3581</v>
      </c>
      <c r="H5452" t="str">
        <f>+H5451</f>
        <v>Com.Bco.Chile</v>
      </c>
      <c r="I5452" s="401" t="s">
        <v>296</v>
      </c>
      <c r="K5452" s="370"/>
      <c r="N5452" s="370"/>
    </row>
    <row r="5453" spans="1:14" s="347" customFormat="1" x14ac:dyDescent="0.25">
      <c r="A5453" s="369"/>
      <c r="E5453" s="396"/>
      <c r="F5453" s="396"/>
      <c r="G5453" s="396"/>
      <c r="K5453" s="370"/>
      <c r="N5453" s="370"/>
    </row>
    <row r="5454" spans="1:14" s="347" customFormat="1" x14ac:dyDescent="0.25">
      <c r="A5454" s="339">
        <v>44477</v>
      </c>
      <c r="B5454" s="340">
        <f>+MONTH(A5454)</f>
        <v>10</v>
      </c>
      <c r="C5454" s="338">
        <v>110</v>
      </c>
      <c r="D5454" s="347" t="str">
        <f>VLOOKUP(C5454,Plan!A$1:B$65542,2,0)</f>
        <v>Disponible Administración</v>
      </c>
      <c r="E5454" s="341">
        <f>+F5454-G5454</f>
        <v>5000</v>
      </c>
      <c r="F5454" s="345">
        <v>5000</v>
      </c>
      <c r="G5454" s="396">
        <v>0</v>
      </c>
      <c r="H5454" s="156" t="s">
        <v>1151</v>
      </c>
      <c r="I5454" s="401" t="s">
        <v>296</v>
      </c>
      <c r="K5454" s="370"/>
      <c r="N5454" s="370"/>
    </row>
    <row r="5455" spans="1:14" s="347" customFormat="1" x14ac:dyDescent="0.25">
      <c r="A5455" s="339">
        <f>+A5454</f>
        <v>44477</v>
      </c>
      <c r="B5455" s="340">
        <f>+MONTH(A5455)</f>
        <v>10</v>
      </c>
      <c r="C5455" s="338">
        <v>3110</v>
      </c>
      <c r="D5455" s="347" t="str">
        <f>VLOOKUP(C5455,Plan!A$1:B$65542,2,0)</f>
        <v>Colectas Normales</v>
      </c>
      <c r="E5455" s="341">
        <f>+F5455-G5455</f>
        <v>-5000</v>
      </c>
      <c r="F5455" s="345">
        <v>0</v>
      </c>
      <c r="G5455" s="396">
        <f>+F5454</f>
        <v>5000</v>
      </c>
      <c r="H5455" t="str">
        <f>+H5454</f>
        <v>Colecta Eduardo Boys M</v>
      </c>
      <c r="I5455" s="401" t="s">
        <v>296</v>
      </c>
      <c r="K5455" s="370"/>
      <c r="N5455" s="370"/>
    </row>
    <row r="5456" spans="1:14" s="347" customFormat="1" x14ac:dyDescent="0.25">
      <c r="A5456" s="369"/>
      <c r="E5456" s="396"/>
      <c r="F5456" s="396"/>
      <c r="G5456" s="396"/>
      <c r="K5456" s="370"/>
      <c r="N5456" s="370"/>
    </row>
    <row r="5457" spans="1:14" s="347" customFormat="1" x14ac:dyDescent="0.25">
      <c r="A5457" s="339">
        <v>44477</v>
      </c>
      <c r="B5457" s="340">
        <f>+MONTH(A5457)</f>
        <v>10</v>
      </c>
      <c r="C5457" s="338">
        <v>110</v>
      </c>
      <c r="D5457" s="347" t="str">
        <f>VLOOKUP(C5457,Plan!A$1:B$65542,2,0)</f>
        <v>Disponible Administración</v>
      </c>
      <c r="E5457" s="341">
        <f>+F5457-G5457</f>
        <v>25000</v>
      </c>
      <c r="F5457" s="345">
        <v>25000</v>
      </c>
      <c r="G5457" s="396">
        <v>0</v>
      </c>
      <c r="H5457" s="156" t="s">
        <v>1425</v>
      </c>
      <c r="I5457" s="401" t="s">
        <v>296</v>
      </c>
      <c r="K5457" s="370"/>
      <c r="N5457" s="370"/>
    </row>
    <row r="5458" spans="1:14" s="347" customFormat="1" x14ac:dyDescent="0.25">
      <c r="A5458" s="339">
        <f>+A5457</f>
        <v>44477</v>
      </c>
      <c r="B5458" s="340">
        <f>+MONTH(A5458)</f>
        <v>10</v>
      </c>
      <c r="C5458" s="338">
        <v>3360</v>
      </c>
      <c r="D5458" s="347" t="str">
        <f>VLOOKUP(C5458,Plan!A$1:B$65542,2,0)</f>
        <v>Otros</v>
      </c>
      <c r="E5458" s="341">
        <f>+F5458-G5458</f>
        <v>-25000</v>
      </c>
      <c r="F5458" s="345">
        <v>0</v>
      </c>
      <c r="G5458" s="396">
        <f>+F5457</f>
        <v>25000</v>
      </c>
      <c r="H5458" t="str">
        <f>+H5457</f>
        <v>Curso Maria Soledad Toso Loyola</v>
      </c>
      <c r="I5458" s="401" t="s">
        <v>296</v>
      </c>
      <c r="K5458" s="370"/>
      <c r="N5458" s="370"/>
    </row>
    <row r="5459" spans="1:14" s="347" customFormat="1" x14ac:dyDescent="0.25">
      <c r="A5459" s="369"/>
      <c r="E5459" s="396"/>
      <c r="F5459" s="396"/>
      <c r="G5459" s="396"/>
      <c r="K5459" s="370"/>
      <c r="N5459" s="370"/>
    </row>
    <row r="5460" spans="1:14" s="347" customFormat="1" x14ac:dyDescent="0.25">
      <c r="A5460" s="339">
        <v>44477</v>
      </c>
      <c r="B5460" s="340">
        <f>+MONTH(A5460)</f>
        <v>10</v>
      </c>
      <c r="C5460" s="338">
        <v>110</v>
      </c>
      <c r="D5460" s="347" t="str">
        <f>VLOOKUP(C5460,Plan!A$1:B$65542,2,0)</f>
        <v>Disponible Administración</v>
      </c>
      <c r="E5460" s="341">
        <f>+F5460-G5460</f>
        <v>50000</v>
      </c>
      <c r="F5460" s="345">
        <v>50000</v>
      </c>
      <c r="G5460" s="396">
        <v>0</v>
      </c>
      <c r="H5460" s="156" t="s">
        <v>2024</v>
      </c>
      <c r="I5460" s="401" t="s">
        <v>296</v>
      </c>
      <c r="K5460" s="370"/>
      <c r="N5460" s="370"/>
    </row>
    <row r="5461" spans="1:14" s="347" customFormat="1" x14ac:dyDescent="0.25">
      <c r="A5461" s="339">
        <f>+A5460</f>
        <v>44477</v>
      </c>
      <c r="B5461" s="340">
        <f>+MONTH(A5461)</f>
        <v>10</v>
      </c>
      <c r="C5461" s="338">
        <v>3110</v>
      </c>
      <c r="D5461" s="347" t="str">
        <f>VLOOKUP(C5461,Plan!A$1:B$65542,2,0)</f>
        <v>Colectas Normales</v>
      </c>
      <c r="E5461" s="341">
        <f>+F5461-G5461</f>
        <v>-50000</v>
      </c>
      <c r="F5461" s="345">
        <v>0</v>
      </c>
      <c r="G5461" s="396">
        <f>+F5460</f>
        <v>50000</v>
      </c>
      <c r="H5461" t="str">
        <f>+H5460</f>
        <v>Colecta Alvaro Lavin Cruz</v>
      </c>
      <c r="I5461" s="401" t="s">
        <v>296</v>
      </c>
      <c r="K5461" s="370"/>
      <c r="N5461" s="370"/>
    </row>
    <row r="5462" spans="1:14" s="347" customFormat="1" x14ac:dyDescent="0.25">
      <c r="A5462" s="369"/>
      <c r="E5462" s="396"/>
      <c r="F5462" s="396"/>
      <c r="G5462" s="396"/>
      <c r="K5462" s="370"/>
      <c r="N5462" s="370"/>
    </row>
    <row r="5463" spans="1:14" s="347" customFormat="1" x14ac:dyDescent="0.25">
      <c r="A5463" s="339">
        <v>44477</v>
      </c>
      <c r="B5463" s="340">
        <f>+MONTH(A5463)</f>
        <v>10</v>
      </c>
      <c r="C5463" s="338">
        <v>110</v>
      </c>
      <c r="D5463" s="347" t="str">
        <f>VLOOKUP(C5463,Plan!A$1:B$65542,2,0)</f>
        <v>Disponible Administración</v>
      </c>
      <c r="E5463" s="341">
        <f>+F5463-G5463</f>
        <v>50000</v>
      </c>
      <c r="F5463" s="345">
        <v>50000</v>
      </c>
      <c r="G5463" s="396">
        <v>0</v>
      </c>
      <c r="H5463" s="156" t="s">
        <v>743</v>
      </c>
      <c r="I5463" s="401" t="s">
        <v>296</v>
      </c>
      <c r="K5463" s="370"/>
      <c r="N5463" s="370"/>
    </row>
    <row r="5464" spans="1:14" s="347" customFormat="1" x14ac:dyDescent="0.25">
      <c r="A5464" s="339">
        <f>+A5463</f>
        <v>44477</v>
      </c>
      <c r="B5464" s="340">
        <f>+MONTH(A5464)</f>
        <v>10</v>
      </c>
      <c r="C5464" s="338">
        <v>215</v>
      </c>
      <c r="D5464" s="347" t="str">
        <f>VLOOKUP(C5464,Plan!A$1:B$65542,2,0)</f>
        <v>Cuenta por Pagar a Cali</v>
      </c>
      <c r="E5464" s="341">
        <f>+F5464-G5464</f>
        <v>-50000</v>
      </c>
      <c r="F5464" s="345">
        <v>0</v>
      </c>
      <c r="G5464" s="396">
        <f>+F5463</f>
        <v>50000</v>
      </c>
      <c r="H5464" t="str">
        <f>+H5463</f>
        <v>Hugo Rosende Álvarez / 249</v>
      </c>
      <c r="I5464" s="401" t="s">
        <v>296</v>
      </c>
      <c r="K5464" s="370"/>
      <c r="N5464" s="370"/>
    </row>
    <row r="5465" spans="1:14" s="347" customFormat="1" x14ac:dyDescent="0.25">
      <c r="A5465" s="369"/>
      <c r="E5465" s="396"/>
      <c r="F5465" s="396"/>
      <c r="G5465" s="396"/>
      <c r="K5465" s="370"/>
      <c r="N5465" s="370"/>
    </row>
    <row r="5466" spans="1:14" s="347" customFormat="1" x14ac:dyDescent="0.25">
      <c r="A5466" s="339">
        <v>44477</v>
      </c>
      <c r="B5466" s="340">
        <f>+MONTH(A5466)</f>
        <v>10</v>
      </c>
      <c r="C5466" s="338">
        <v>110</v>
      </c>
      <c r="D5466" s="347" t="str">
        <f>VLOOKUP(C5466,Plan!A$1:B$65542,2,0)</f>
        <v>Disponible Administración</v>
      </c>
      <c r="E5466" s="341">
        <f>+F5466-G5466</f>
        <v>30000</v>
      </c>
      <c r="F5466" s="345">
        <v>30000</v>
      </c>
      <c r="G5466" s="396">
        <v>0</v>
      </c>
      <c r="H5466" s="156" t="s">
        <v>747</v>
      </c>
      <c r="I5466" s="401" t="s">
        <v>296</v>
      </c>
      <c r="K5466" s="370"/>
      <c r="N5466" s="370"/>
    </row>
    <row r="5467" spans="1:14" s="347" customFormat="1" x14ac:dyDescent="0.25">
      <c r="A5467" s="339">
        <f>+A5466</f>
        <v>44477</v>
      </c>
      <c r="B5467" s="340">
        <f>+MONTH(A5467)</f>
        <v>10</v>
      </c>
      <c r="C5467" s="338">
        <v>215</v>
      </c>
      <c r="D5467" s="347" t="str">
        <f>VLOOKUP(C5467,Plan!A$1:B$65542,2,0)</f>
        <v>Cuenta por Pagar a Cali</v>
      </c>
      <c r="E5467" s="341">
        <f>+F5467-G5467</f>
        <v>-30000</v>
      </c>
      <c r="F5467" s="345">
        <v>0</v>
      </c>
      <c r="G5467" s="396">
        <f>+F5466</f>
        <v>30000</v>
      </c>
      <c r="H5467" t="str">
        <f>+H5466</f>
        <v>Carlos Celis Celedón / Azul</v>
      </c>
      <c r="I5467" s="401" t="s">
        <v>296</v>
      </c>
      <c r="K5467" s="370"/>
      <c r="N5467" s="370"/>
    </row>
    <row r="5468" spans="1:14" s="347" customFormat="1" x14ac:dyDescent="0.25">
      <c r="A5468" s="369"/>
      <c r="E5468" s="396"/>
      <c r="F5468" s="396"/>
      <c r="G5468" s="396"/>
      <c r="K5468" s="370"/>
      <c r="N5468" s="370"/>
    </row>
    <row r="5469" spans="1:14" s="347" customFormat="1" x14ac:dyDescent="0.25">
      <c r="A5469" s="339">
        <v>44481</v>
      </c>
      <c r="B5469" s="340">
        <f>+MONTH(A5469)</f>
        <v>10</v>
      </c>
      <c r="C5469" s="338">
        <v>4324</v>
      </c>
      <c r="D5469" s="347" t="str">
        <f>VLOOKUP(C5469,Plan!A$1:B$65542,2,0)</f>
        <v>Gas</v>
      </c>
      <c r="E5469" s="341">
        <f>+F5469-G5469</f>
        <v>13507</v>
      </c>
      <c r="F5469" s="345">
        <v>13507</v>
      </c>
      <c r="G5469" s="396">
        <v>0</v>
      </c>
      <c r="H5469" t="s">
        <v>741</v>
      </c>
      <c r="I5469" s="401" t="s">
        <v>296</v>
      </c>
      <c r="K5469" s="370"/>
      <c r="N5469" s="370"/>
    </row>
    <row r="5470" spans="1:14" s="347" customFormat="1" x14ac:dyDescent="0.25">
      <c r="A5470" s="339">
        <f>+A5469</f>
        <v>44481</v>
      </c>
      <c r="B5470" s="340">
        <f>+MONTH(A5470)</f>
        <v>10</v>
      </c>
      <c r="C5470" s="338">
        <v>110</v>
      </c>
      <c r="D5470" s="347" t="str">
        <f>VLOOKUP(C5470,Plan!A$1:B$65542,2,0)</f>
        <v>Disponible Administración</v>
      </c>
      <c r="E5470" s="341">
        <f>+F5470-G5470</f>
        <v>-13507</v>
      </c>
      <c r="F5470" s="345">
        <v>0</v>
      </c>
      <c r="G5470" s="396">
        <f>+F5469</f>
        <v>13507</v>
      </c>
      <c r="H5470" t="str">
        <f>+H5469</f>
        <v>PAC Metrogas Oficina</v>
      </c>
      <c r="I5470" s="401" t="s">
        <v>296</v>
      </c>
      <c r="K5470" s="370"/>
      <c r="N5470" s="370"/>
    </row>
    <row r="5471" spans="1:14" s="347" customFormat="1" x14ac:dyDescent="0.25">
      <c r="A5471" s="369"/>
      <c r="E5471" s="396"/>
      <c r="F5471" s="396"/>
      <c r="G5471" s="396"/>
      <c r="K5471" s="370"/>
      <c r="N5471" s="370"/>
    </row>
    <row r="5472" spans="1:14" s="347" customFormat="1" x14ac:dyDescent="0.25">
      <c r="A5472" s="339">
        <v>44481</v>
      </c>
      <c r="B5472" s="340">
        <f>+MONTH(A5472)</f>
        <v>10</v>
      </c>
      <c r="C5472" s="338">
        <v>4323</v>
      </c>
      <c r="D5472" s="347" t="str">
        <f>VLOOKUP(C5472,Plan!A$1:B$65542,2,0)</f>
        <v>Telefonía, Internet (VTR, Entel)</v>
      </c>
      <c r="E5472" s="341">
        <f>+F5472-G5472</f>
        <v>35956</v>
      </c>
      <c r="F5472" s="345">
        <v>35956</v>
      </c>
      <c r="G5472" s="396">
        <v>0</v>
      </c>
      <c r="H5472" t="s">
        <v>1483</v>
      </c>
      <c r="I5472" s="401" t="s">
        <v>296</v>
      </c>
      <c r="K5472" s="370"/>
      <c r="N5472" s="370"/>
    </row>
    <row r="5473" spans="1:14" s="347" customFormat="1" x14ac:dyDescent="0.25">
      <c r="A5473" s="339">
        <f>+A5472</f>
        <v>44481</v>
      </c>
      <c r="B5473" s="340">
        <f>+MONTH(A5473)</f>
        <v>10</v>
      </c>
      <c r="C5473" s="338">
        <v>110</v>
      </c>
      <c r="D5473" s="347" t="str">
        <f>VLOOKUP(C5473,Plan!A$1:B$65542,2,0)</f>
        <v>Disponible Administración</v>
      </c>
      <c r="E5473" s="341">
        <f>+F5473-G5473</f>
        <v>-35956</v>
      </c>
      <c r="F5473" s="345">
        <v>0</v>
      </c>
      <c r="G5473" s="396">
        <f>+F5472</f>
        <v>35956</v>
      </c>
      <c r="H5473" t="str">
        <f>+H5472</f>
        <v>PAC VTR</v>
      </c>
      <c r="I5473" s="401" t="s">
        <v>296</v>
      </c>
      <c r="K5473" s="370"/>
      <c r="N5473" s="370"/>
    </row>
    <row r="5474" spans="1:14" s="347" customFormat="1" x14ac:dyDescent="0.25">
      <c r="A5474" s="369"/>
      <c r="E5474" s="396"/>
      <c r="F5474" s="396"/>
      <c r="G5474" s="396"/>
      <c r="K5474" s="370"/>
      <c r="N5474" s="370"/>
    </row>
    <row r="5475" spans="1:14" s="347" customFormat="1" x14ac:dyDescent="0.25">
      <c r="A5475" s="339">
        <v>44481</v>
      </c>
      <c r="B5475" s="340">
        <f>+MONTH(A5475)</f>
        <v>10</v>
      </c>
      <c r="C5475" s="338">
        <v>110</v>
      </c>
      <c r="D5475" s="347" t="str">
        <f>VLOOKUP(C5475,Plan!A$1:B$65542,2,0)</f>
        <v>Disponible Administración</v>
      </c>
      <c r="E5475" s="341">
        <f>+F5475-G5475</f>
        <v>10000</v>
      </c>
      <c r="F5475" s="345">
        <v>10000</v>
      </c>
      <c r="G5475" s="396">
        <v>0</v>
      </c>
      <c r="H5475" s="156" t="s">
        <v>1317</v>
      </c>
      <c r="I5475" s="401" t="s">
        <v>296</v>
      </c>
      <c r="K5475" s="370"/>
      <c r="N5475" s="370"/>
    </row>
    <row r="5476" spans="1:14" s="347" customFormat="1" x14ac:dyDescent="0.25">
      <c r="A5476" s="339">
        <f>+A5475</f>
        <v>44481</v>
      </c>
      <c r="B5476" s="340">
        <f>+MONTH(A5476)</f>
        <v>10</v>
      </c>
      <c r="C5476" s="338">
        <v>3340</v>
      </c>
      <c r="D5476" s="347" t="str">
        <f>VLOOKUP(C5476,Plan!A$1:B$65542,2,0)</f>
        <v>Misas</v>
      </c>
      <c r="E5476" s="341">
        <f>+F5476-G5476</f>
        <v>-10000</v>
      </c>
      <c r="F5476" s="345">
        <v>0</v>
      </c>
      <c r="G5476" s="396">
        <f>+F5475</f>
        <v>10000</v>
      </c>
      <c r="H5476" t="str">
        <f>+H5475</f>
        <v>Misa Andrea Aguilera</v>
      </c>
      <c r="I5476" s="401" t="s">
        <v>296</v>
      </c>
      <c r="K5476" s="370"/>
      <c r="N5476" s="370"/>
    </row>
    <row r="5477" spans="1:14" s="347" customFormat="1" x14ac:dyDescent="0.25">
      <c r="A5477" s="369"/>
      <c r="E5477" s="396"/>
      <c r="F5477" s="396"/>
      <c r="G5477" s="396"/>
      <c r="K5477" s="370"/>
      <c r="N5477" s="370"/>
    </row>
    <row r="5478" spans="1:14" s="347" customFormat="1" x14ac:dyDescent="0.25">
      <c r="A5478" s="339">
        <v>44481</v>
      </c>
      <c r="B5478" s="340">
        <f>+MONTH(A5478)</f>
        <v>10</v>
      </c>
      <c r="C5478" s="338">
        <v>110</v>
      </c>
      <c r="D5478" s="347" t="str">
        <f>VLOOKUP(C5478,Plan!A$1:B$65542,2,0)</f>
        <v>Disponible Administración</v>
      </c>
      <c r="E5478" s="341">
        <f>+F5478-G5478</f>
        <v>10000</v>
      </c>
      <c r="F5478" s="345">
        <v>10000</v>
      </c>
      <c r="G5478" s="396">
        <v>0</v>
      </c>
      <c r="H5478" s="156" t="s">
        <v>881</v>
      </c>
      <c r="I5478" s="401" t="s">
        <v>296</v>
      </c>
      <c r="K5478" s="370"/>
      <c r="N5478" s="370"/>
    </row>
    <row r="5479" spans="1:14" s="347" customFormat="1" x14ac:dyDescent="0.25">
      <c r="A5479" s="339">
        <f>+A5478</f>
        <v>44481</v>
      </c>
      <c r="B5479" s="340">
        <f>+MONTH(A5479)</f>
        <v>10</v>
      </c>
      <c r="C5479" s="338">
        <v>3110</v>
      </c>
      <c r="D5479" s="347" t="str">
        <f>VLOOKUP(C5479,Plan!A$1:B$65542,2,0)</f>
        <v>Colectas Normales</v>
      </c>
      <c r="E5479" s="341">
        <f>+F5479-G5479</f>
        <v>-10000</v>
      </c>
      <c r="F5479" s="345">
        <v>0</v>
      </c>
      <c r="G5479" s="396">
        <f>+F5478</f>
        <v>10000</v>
      </c>
      <c r="H5479" t="str">
        <f>+H5478</f>
        <v>Colecta Rafael Marin Jordan</v>
      </c>
      <c r="I5479" s="401" t="s">
        <v>296</v>
      </c>
      <c r="K5479" s="370"/>
      <c r="N5479" s="370"/>
    </row>
    <row r="5480" spans="1:14" s="347" customFormat="1" x14ac:dyDescent="0.25">
      <c r="A5480" s="369"/>
      <c r="E5480" s="396"/>
      <c r="F5480" s="396"/>
      <c r="G5480" s="396"/>
      <c r="K5480" s="370"/>
      <c r="N5480" s="370"/>
    </row>
    <row r="5481" spans="1:14" s="347" customFormat="1" x14ac:dyDescent="0.25">
      <c r="A5481" s="339">
        <v>44481</v>
      </c>
      <c r="B5481" s="340">
        <f>+MONTH(A5481)</f>
        <v>10</v>
      </c>
      <c r="C5481" s="338">
        <v>110</v>
      </c>
      <c r="D5481" s="347" t="str">
        <f>VLOOKUP(C5481,Plan!A$1:B$65542,2,0)</f>
        <v>Disponible Administración</v>
      </c>
      <c r="E5481" s="341">
        <f>+F5481-G5481</f>
        <v>15000</v>
      </c>
      <c r="F5481" s="345">
        <v>15000</v>
      </c>
      <c r="G5481" s="396">
        <v>0</v>
      </c>
      <c r="H5481" s="156" t="s">
        <v>2136</v>
      </c>
      <c r="I5481" s="401" t="s">
        <v>296</v>
      </c>
      <c r="K5481" s="370"/>
      <c r="N5481" s="370"/>
    </row>
    <row r="5482" spans="1:14" s="347" customFormat="1" x14ac:dyDescent="0.25">
      <c r="A5482" s="339">
        <f>+A5481</f>
        <v>44481</v>
      </c>
      <c r="B5482" s="340">
        <f>+MONTH(A5482)</f>
        <v>10</v>
      </c>
      <c r="C5482" s="338">
        <v>3110</v>
      </c>
      <c r="D5482" s="347" t="str">
        <f>VLOOKUP(C5482,Plan!A$1:B$65542,2,0)</f>
        <v>Colectas Normales</v>
      </c>
      <c r="E5482" s="341">
        <f>+F5482-G5482</f>
        <v>-15000</v>
      </c>
      <c r="F5482" s="345">
        <v>0</v>
      </c>
      <c r="G5482" s="396">
        <f>+F5481</f>
        <v>15000</v>
      </c>
      <c r="H5482" t="str">
        <f>+H5481</f>
        <v>Colecta Maria Elena de Castro Espinosa</v>
      </c>
      <c r="I5482" s="401" t="s">
        <v>296</v>
      </c>
      <c r="K5482" s="370"/>
      <c r="N5482" s="370"/>
    </row>
    <row r="5483" spans="1:14" s="347" customFormat="1" x14ac:dyDescent="0.25">
      <c r="A5483" s="369"/>
      <c r="E5483" s="396"/>
      <c r="F5483" s="396"/>
      <c r="G5483" s="396"/>
      <c r="K5483" s="370"/>
      <c r="N5483" s="370"/>
    </row>
    <row r="5484" spans="1:14" s="347" customFormat="1" x14ac:dyDescent="0.25">
      <c r="A5484" s="339">
        <v>44481</v>
      </c>
      <c r="B5484" s="340">
        <f>+MONTH(A5484)</f>
        <v>10</v>
      </c>
      <c r="C5484" s="338">
        <v>110</v>
      </c>
      <c r="D5484" s="347" t="str">
        <f>VLOOKUP(C5484,Plan!A$1:B$65542,2,0)</f>
        <v>Disponible Administración</v>
      </c>
      <c r="E5484" s="341">
        <f>+F5484-G5484</f>
        <v>8000</v>
      </c>
      <c r="F5484" s="345">
        <v>8000</v>
      </c>
      <c r="G5484" s="396">
        <v>0</v>
      </c>
      <c r="H5484" s="156" t="s">
        <v>971</v>
      </c>
      <c r="I5484" s="401" t="s">
        <v>296</v>
      </c>
      <c r="K5484" s="370"/>
      <c r="N5484" s="370"/>
    </row>
    <row r="5485" spans="1:14" s="347" customFormat="1" x14ac:dyDescent="0.25">
      <c r="A5485" s="339">
        <f>+A5484</f>
        <v>44481</v>
      </c>
      <c r="B5485" s="340">
        <f>+MONTH(A5485)</f>
        <v>10</v>
      </c>
      <c r="C5485" s="338">
        <v>3110</v>
      </c>
      <c r="D5485" s="347" t="str">
        <f>VLOOKUP(C5485,Plan!A$1:B$65542,2,0)</f>
        <v>Colectas Normales</v>
      </c>
      <c r="E5485" s="341">
        <f>+F5485-G5485</f>
        <v>-8000</v>
      </c>
      <c r="F5485" s="345">
        <v>0</v>
      </c>
      <c r="G5485" s="396">
        <f>+F5484</f>
        <v>8000</v>
      </c>
      <c r="H5485" t="str">
        <f>+H5484</f>
        <v>Colecta Pablo Irarrazaval Mena</v>
      </c>
      <c r="I5485" s="401" t="s">
        <v>296</v>
      </c>
      <c r="K5485" s="370"/>
      <c r="N5485" s="370"/>
    </row>
    <row r="5486" spans="1:14" s="347" customFormat="1" x14ac:dyDescent="0.25">
      <c r="A5486" s="369"/>
      <c r="E5486" s="396"/>
      <c r="F5486" s="396"/>
      <c r="G5486" s="396"/>
      <c r="K5486" s="370"/>
      <c r="N5486" s="370"/>
    </row>
    <row r="5487" spans="1:14" s="347" customFormat="1" x14ac:dyDescent="0.25">
      <c r="A5487" s="339">
        <v>44481</v>
      </c>
      <c r="B5487" s="340">
        <f>+MONTH(A5487)</f>
        <v>10</v>
      </c>
      <c r="C5487" s="338">
        <v>110</v>
      </c>
      <c r="D5487" s="347" t="str">
        <f>VLOOKUP(C5487,Plan!A$1:B$65542,2,0)</f>
        <v>Disponible Administración</v>
      </c>
      <c r="E5487" s="341">
        <f>+F5487-G5487</f>
        <v>10000</v>
      </c>
      <c r="F5487" s="345">
        <v>10000</v>
      </c>
      <c r="G5487" s="396">
        <v>0</v>
      </c>
      <c r="H5487" s="156" t="s">
        <v>880</v>
      </c>
      <c r="I5487" s="401" t="s">
        <v>296</v>
      </c>
      <c r="K5487" s="370"/>
      <c r="N5487" s="370"/>
    </row>
    <row r="5488" spans="1:14" s="347" customFormat="1" x14ac:dyDescent="0.25">
      <c r="A5488" s="339">
        <f>+A5487</f>
        <v>44481</v>
      </c>
      <c r="B5488" s="340">
        <f>+MONTH(A5488)</f>
        <v>10</v>
      </c>
      <c r="C5488" s="338">
        <v>3110</v>
      </c>
      <c r="D5488" s="347" t="str">
        <f>VLOOKUP(C5488,Plan!A$1:B$65542,2,0)</f>
        <v>Colectas Normales</v>
      </c>
      <c r="E5488" s="341">
        <f>+F5488-G5488</f>
        <v>-10000</v>
      </c>
      <c r="F5488" s="345">
        <v>0</v>
      </c>
      <c r="G5488" s="396">
        <f>+F5487</f>
        <v>10000</v>
      </c>
      <c r="H5488" t="str">
        <f>+H5487</f>
        <v>Colecta Sebastian Rios</v>
      </c>
      <c r="I5488" s="401" t="s">
        <v>296</v>
      </c>
      <c r="K5488" s="370"/>
      <c r="N5488" s="370"/>
    </row>
    <row r="5489" spans="1:14" s="347" customFormat="1" x14ac:dyDescent="0.25">
      <c r="A5489" s="369"/>
      <c r="E5489" s="396"/>
      <c r="F5489" s="396"/>
      <c r="G5489" s="396"/>
      <c r="K5489" s="370"/>
      <c r="N5489" s="370"/>
    </row>
    <row r="5490" spans="1:14" s="347" customFormat="1" x14ac:dyDescent="0.25">
      <c r="A5490" s="339">
        <v>44481</v>
      </c>
      <c r="B5490" s="340">
        <f>+MONTH(A5490)</f>
        <v>10</v>
      </c>
      <c r="C5490" s="338">
        <v>110</v>
      </c>
      <c r="D5490" s="347" t="str">
        <f>VLOOKUP(C5490,Plan!A$1:B$65542,2,0)</f>
        <v>Disponible Administración</v>
      </c>
      <c r="E5490" s="341">
        <f>+F5490-G5490</f>
        <v>2000</v>
      </c>
      <c r="F5490" s="345">
        <v>2000</v>
      </c>
      <c r="G5490" s="396">
        <v>0</v>
      </c>
      <c r="H5490" s="156" t="s">
        <v>1216</v>
      </c>
      <c r="I5490" s="401" t="s">
        <v>296</v>
      </c>
      <c r="K5490" s="370"/>
      <c r="N5490" s="370"/>
    </row>
    <row r="5491" spans="1:14" s="347" customFormat="1" x14ac:dyDescent="0.25">
      <c r="A5491" s="339">
        <f>+A5490</f>
        <v>44481</v>
      </c>
      <c r="B5491" s="340">
        <f>+MONTH(A5491)</f>
        <v>10</v>
      </c>
      <c r="C5491" s="338">
        <v>3110</v>
      </c>
      <c r="D5491" s="347" t="str">
        <f>VLOOKUP(C5491,Plan!A$1:B$65542,2,0)</f>
        <v>Colectas Normales</v>
      </c>
      <c r="E5491" s="341">
        <f>+F5491-G5491</f>
        <v>-2000</v>
      </c>
      <c r="F5491" s="345">
        <v>0</v>
      </c>
      <c r="G5491" s="396">
        <f>+F5490</f>
        <v>2000</v>
      </c>
      <c r="H5491" t="str">
        <f>+H5490</f>
        <v>Colecta Trinidad Barriga Cruzat</v>
      </c>
      <c r="I5491" s="401" t="s">
        <v>296</v>
      </c>
      <c r="K5491" s="370"/>
      <c r="N5491" s="370"/>
    </row>
    <row r="5492" spans="1:14" s="347" customFormat="1" x14ac:dyDescent="0.25">
      <c r="A5492" s="369"/>
      <c r="E5492" s="396"/>
      <c r="F5492" s="396"/>
      <c r="G5492" s="396"/>
      <c r="K5492" s="370"/>
      <c r="N5492" s="370"/>
    </row>
    <row r="5493" spans="1:14" s="347" customFormat="1" x14ac:dyDescent="0.25">
      <c r="A5493" s="339">
        <v>44481</v>
      </c>
      <c r="B5493" s="340">
        <f>+MONTH(A5493)</f>
        <v>10</v>
      </c>
      <c r="C5493" s="338">
        <v>110</v>
      </c>
      <c r="D5493" s="347" t="str">
        <f>VLOOKUP(C5493,Plan!A$1:B$65542,2,0)</f>
        <v>Disponible Administración</v>
      </c>
      <c r="E5493" s="341">
        <f>+F5493-G5493</f>
        <v>10000</v>
      </c>
      <c r="F5493" s="345">
        <v>10000</v>
      </c>
      <c r="G5493" s="396">
        <v>0</v>
      </c>
      <c r="H5493" s="156" t="s">
        <v>2137</v>
      </c>
      <c r="I5493" s="401" t="s">
        <v>296</v>
      </c>
      <c r="K5493" s="370"/>
      <c r="N5493" s="370"/>
    </row>
    <row r="5494" spans="1:14" s="347" customFormat="1" x14ac:dyDescent="0.25">
      <c r="A5494" s="339">
        <f>+A5493</f>
        <v>44481</v>
      </c>
      <c r="B5494" s="340">
        <f>+MONTH(A5494)</f>
        <v>10</v>
      </c>
      <c r="C5494" s="338">
        <v>3340</v>
      </c>
      <c r="D5494" s="347" t="str">
        <f>VLOOKUP(C5494,Plan!A$1:B$65542,2,0)</f>
        <v>Misas</v>
      </c>
      <c r="E5494" s="341">
        <f>+F5494-G5494</f>
        <v>-10000</v>
      </c>
      <c r="F5494" s="345">
        <v>0</v>
      </c>
      <c r="G5494" s="396">
        <f>+F5493</f>
        <v>10000</v>
      </c>
      <c r="H5494" t="str">
        <f>+H5493</f>
        <v>Misa Carmen Gloria Rivas V.</v>
      </c>
      <c r="I5494" s="401" t="s">
        <v>296</v>
      </c>
      <c r="K5494" s="370"/>
      <c r="N5494" s="370"/>
    </row>
    <row r="5495" spans="1:14" s="347" customFormat="1" x14ac:dyDescent="0.25">
      <c r="A5495" s="369"/>
      <c r="E5495" s="396"/>
      <c r="F5495" s="396"/>
      <c r="G5495" s="396"/>
      <c r="K5495" s="370"/>
      <c r="N5495" s="370"/>
    </row>
    <row r="5496" spans="1:14" s="347" customFormat="1" x14ac:dyDescent="0.25">
      <c r="A5496" s="339">
        <v>44481</v>
      </c>
      <c r="B5496" s="340">
        <f>+MONTH(A5496)</f>
        <v>10</v>
      </c>
      <c r="C5496" s="338">
        <v>110</v>
      </c>
      <c r="D5496" s="347" t="str">
        <f>VLOOKUP(C5496,Plan!A$1:B$65542,2,0)</f>
        <v>Disponible Administración</v>
      </c>
      <c r="E5496" s="341">
        <f>+F5496-G5496</f>
        <v>20000</v>
      </c>
      <c r="F5496" s="345">
        <v>20000</v>
      </c>
      <c r="G5496" s="396">
        <v>0</v>
      </c>
      <c r="H5496" s="156" t="s">
        <v>1131</v>
      </c>
      <c r="I5496" s="401" t="s">
        <v>296</v>
      </c>
      <c r="K5496" s="370"/>
      <c r="N5496" s="370"/>
    </row>
    <row r="5497" spans="1:14" s="347" customFormat="1" x14ac:dyDescent="0.25">
      <c r="A5497" s="339">
        <f>+A5496</f>
        <v>44481</v>
      </c>
      <c r="B5497" s="340">
        <f>+MONTH(A5497)</f>
        <v>10</v>
      </c>
      <c r="C5497" s="338">
        <v>3110</v>
      </c>
      <c r="D5497" s="347" t="str">
        <f>VLOOKUP(C5497,Plan!A$1:B$65542,2,0)</f>
        <v>Colectas Normales</v>
      </c>
      <c r="E5497" s="341">
        <f>+F5497-G5497</f>
        <v>-20000</v>
      </c>
      <c r="F5497" s="345">
        <v>0</v>
      </c>
      <c r="G5497" s="396">
        <f>+F5496</f>
        <v>20000</v>
      </c>
      <c r="H5497" t="str">
        <f>+H5496</f>
        <v>Colecta Sandra Socias R</v>
      </c>
      <c r="I5497" s="401" t="s">
        <v>296</v>
      </c>
      <c r="K5497" s="370"/>
      <c r="N5497" s="370"/>
    </row>
    <row r="5498" spans="1:14" s="347" customFormat="1" x14ac:dyDescent="0.25">
      <c r="A5498" s="369"/>
      <c r="E5498" s="396"/>
      <c r="F5498" s="396"/>
      <c r="G5498" s="396"/>
      <c r="K5498" s="370"/>
      <c r="N5498" s="370"/>
    </row>
    <row r="5499" spans="1:14" s="347" customFormat="1" x14ac:dyDescent="0.25">
      <c r="A5499" s="339">
        <v>44481</v>
      </c>
      <c r="B5499" s="340">
        <f>+MONTH(A5499)</f>
        <v>10</v>
      </c>
      <c r="C5499" s="338">
        <v>110</v>
      </c>
      <c r="D5499" s="347" t="str">
        <f>VLOOKUP(C5499,Plan!A$1:B$65542,2,0)</f>
        <v>Disponible Administración</v>
      </c>
      <c r="E5499" s="341">
        <f>+F5499-G5499</f>
        <v>520710</v>
      </c>
      <c r="F5499" s="345">
        <v>520710</v>
      </c>
      <c r="G5499" s="396">
        <v>0</v>
      </c>
      <c r="H5499" t="s">
        <v>2127</v>
      </c>
      <c r="I5499" s="401" t="s">
        <v>296</v>
      </c>
      <c r="K5499" s="370"/>
      <c r="N5499" s="370"/>
    </row>
    <row r="5500" spans="1:14" s="347" customFormat="1" x14ac:dyDescent="0.25">
      <c r="A5500" s="339">
        <f>+A5499</f>
        <v>44481</v>
      </c>
      <c r="B5500" s="340">
        <f>+MONTH(A5500)</f>
        <v>10</v>
      </c>
      <c r="C5500" s="338">
        <v>3110</v>
      </c>
      <c r="D5500" s="347" t="str">
        <f>VLOOKUP(C5500,Plan!A$1:B$65542,2,0)</f>
        <v>Colectas Normales</v>
      </c>
      <c r="E5500" s="341">
        <f>+F5500-G5500</f>
        <v>-520710</v>
      </c>
      <c r="F5500" s="345">
        <v>0</v>
      </c>
      <c r="G5500" s="396">
        <f>+F5499</f>
        <v>520710</v>
      </c>
      <c r="H5500" t="str">
        <f>+H5499</f>
        <v>Colecta Col.Cordillera y Cumbres</v>
      </c>
      <c r="I5500" s="401" t="s">
        <v>296</v>
      </c>
      <c r="K5500" s="370"/>
      <c r="N5500" s="370"/>
    </row>
    <row r="5501" spans="1:14" s="347" customFormat="1" x14ac:dyDescent="0.25">
      <c r="A5501" s="369"/>
      <c r="E5501" s="396"/>
      <c r="F5501" s="396"/>
      <c r="G5501" s="396"/>
      <c r="K5501" s="370"/>
      <c r="N5501" s="370"/>
    </row>
    <row r="5502" spans="1:14" s="347" customFormat="1" x14ac:dyDescent="0.25">
      <c r="A5502" s="339">
        <v>44482</v>
      </c>
      <c r="B5502" s="340">
        <f>+MONTH(A5502)</f>
        <v>10</v>
      </c>
      <c r="C5502" s="338">
        <v>110</v>
      </c>
      <c r="D5502" s="347" t="str">
        <f>VLOOKUP(C5502,Plan!A$1:B$65542,2,0)</f>
        <v>Disponible Administración</v>
      </c>
      <c r="E5502" s="341">
        <f>+F5502-G5502</f>
        <v>30000</v>
      </c>
      <c r="F5502" s="345">
        <v>30000</v>
      </c>
      <c r="G5502" s="396">
        <v>0</v>
      </c>
      <c r="H5502" s="156" t="s">
        <v>2044</v>
      </c>
      <c r="I5502" s="401" t="s">
        <v>296</v>
      </c>
      <c r="K5502" s="370"/>
      <c r="N5502" s="370"/>
    </row>
    <row r="5503" spans="1:14" s="347" customFormat="1" x14ac:dyDescent="0.25">
      <c r="A5503" s="339">
        <f>+A5502</f>
        <v>44482</v>
      </c>
      <c r="B5503" s="340">
        <f>+MONTH(A5503)</f>
        <v>10</v>
      </c>
      <c r="C5503" s="338">
        <v>3110</v>
      </c>
      <c r="D5503" s="347" t="str">
        <f>VLOOKUP(C5503,Plan!A$1:B$65542,2,0)</f>
        <v>Colectas Normales</v>
      </c>
      <c r="E5503" s="341">
        <f>+F5503-G5503</f>
        <v>-30000</v>
      </c>
      <c r="F5503" s="345">
        <v>0</v>
      </c>
      <c r="G5503" s="396">
        <f>+F5502</f>
        <v>30000</v>
      </c>
      <c r="H5503" t="str">
        <f>+H5502</f>
        <v>Colecta Cyril hodgson Larrain</v>
      </c>
      <c r="I5503" s="401" t="s">
        <v>296</v>
      </c>
      <c r="K5503" s="370"/>
      <c r="N5503" s="370"/>
    </row>
    <row r="5504" spans="1:14" s="347" customFormat="1" x14ac:dyDescent="0.25">
      <c r="A5504" s="369"/>
      <c r="E5504" s="396"/>
      <c r="F5504" s="396"/>
      <c r="G5504" s="396"/>
      <c r="K5504" s="370"/>
      <c r="N5504" s="370"/>
    </row>
    <row r="5505" spans="1:14" s="347" customFormat="1" x14ac:dyDescent="0.25">
      <c r="A5505" s="339">
        <v>44482</v>
      </c>
      <c r="B5505" s="340">
        <f>+MONTH(A5505)</f>
        <v>10</v>
      </c>
      <c r="C5505" s="338">
        <v>110</v>
      </c>
      <c r="D5505" s="347" t="str">
        <f>VLOOKUP(C5505,Plan!A$1:B$65542,2,0)</f>
        <v>Disponible Administración</v>
      </c>
      <c r="E5505" s="341">
        <f>+F5505-G5505</f>
        <v>24161</v>
      </c>
      <c r="F5505" s="345">
        <v>24161</v>
      </c>
      <c r="G5505" s="396">
        <v>0</v>
      </c>
      <c r="H5505" s="156" t="s">
        <v>897</v>
      </c>
      <c r="I5505" s="401" t="s">
        <v>296</v>
      </c>
      <c r="K5505" s="370"/>
      <c r="N5505" s="370"/>
    </row>
    <row r="5506" spans="1:14" s="347" customFormat="1" x14ac:dyDescent="0.25">
      <c r="A5506" s="339">
        <f>+A5505</f>
        <v>44482</v>
      </c>
      <c r="B5506" s="340">
        <f>+MONTH(A5506)</f>
        <v>10</v>
      </c>
      <c r="C5506" s="338">
        <v>3110</v>
      </c>
      <c r="D5506" s="347" t="str">
        <f>VLOOKUP(C5506,Plan!A$1:B$65542,2,0)</f>
        <v>Colectas Normales</v>
      </c>
      <c r="E5506" s="341">
        <f>+F5506-G5506</f>
        <v>-24161</v>
      </c>
      <c r="F5506" s="345">
        <v>0</v>
      </c>
      <c r="G5506" s="396">
        <f>+F5505</f>
        <v>24161</v>
      </c>
      <c r="H5506" t="str">
        <f>+H5505</f>
        <v>Colecta DCT</v>
      </c>
      <c r="I5506" s="401" t="s">
        <v>296</v>
      </c>
      <c r="K5506" s="370"/>
      <c r="N5506" s="370"/>
    </row>
    <row r="5507" spans="1:14" s="347" customFormat="1" x14ac:dyDescent="0.25">
      <c r="A5507" s="369"/>
      <c r="E5507" s="396"/>
      <c r="F5507" s="396"/>
      <c r="G5507" s="396"/>
      <c r="K5507" s="370"/>
      <c r="N5507" s="370"/>
    </row>
    <row r="5508" spans="1:14" s="347" customFormat="1" x14ac:dyDescent="0.25">
      <c r="A5508" s="339">
        <v>44482</v>
      </c>
      <c r="B5508" s="340">
        <f>+MONTH(A5508)</f>
        <v>10</v>
      </c>
      <c r="C5508" s="338">
        <v>4860</v>
      </c>
      <c r="D5508" s="347" t="str">
        <f>VLOOKUP(C5508,Plan!A$1:B$65542,2,0)</f>
        <v>Otros</v>
      </c>
      <c r="E5508" s="341">
        <f>+F5508-G5508</f>
        <v>16645</v>
      </c>
      <c r="F5508" s="345">
        <v>16645</v>
      </c>
      <c r="G5508" s="396">
        <v>0</v>
      </c>
      <c r="H5508" s="156" t="s">
        <v>2116</v>
      </c>
      <c r="I5508" s="401" t="s">
        <v>296</v>
      </c>
      <c r="K5508" s="370"/>
      <c r="N5508" s="370"/>
    </row>
    <row r="5509" spans="1:14" s="347" customFormat="1" x14ac:dyDescent="0.25">
      <c r="A5509" s="339">
        <f>+A5508</f>
        <v>44482</v>
      </c>
      <c r="B5509" s="340">
        <f>+MONTH(A5509)</f>
        <v>10</v>
      </c>
      <c r="C5509" s="338">
        <v>110</v>
      </c>
      <c r="D5509" s="347" t="str">
        <f>VLOOKUP(C5509,Plan!A$1:B$65542,2,0)</f>
        <v>Disponible Administración</v>
      </c>
      <c r="E5509" s="341">
        <f>+F5509-G5509</f>
        <v>-16645</v>
      </c>
      <c r="F5509" s="345">
        <v>0</v>
      </c>
      <c r="G5509" s="396">
        <f>+F5508</f>
        <v>16645</v>
      </c>
      <c r="H5509" t="str">
        <f>+H5508</f>
        <v>POS</v>
      </c>
      <c r="I5509" s="401" t="s">
        <v>296</v>
      </c>
      <c r="K5509" s="370"/>
      <c r="N5509" s="370"/>
    </row>
    <row r="5510" spans="1:14" s="347" customFormat="1" x14ac:dyDescent="0.25">
      <c r="A5510" s="369"/>
      <c r="E5510" s="396"/>
      <c r="F5510" s="396"/>
      <c r="G5510" s="396"/>
      <c r="K5510" s="370"/>
      <c r="N5510" s="370"/>
    </row>
    <row r="5511" spans="1:14" s="347" customFormat="1" x14ac:dyDescent="0.25">
      <c r="A5511" s="339">
        <v>44482</v>
      </c>
      <c r="B5511" s="340">
        <f>+MONTH(A5511)</f>
        <v>10</v>
      </c>
      <c r="C5511" s="338">
        <v>110</v>
      </c>
      <c r="D5511" s="347" t="str">
        <f>VLOOKUP(C5511,Plan!A$1:B$65542,2,0)</f>
        <v>Disponible Administración</v>
      </c>
      <c r="E5511" s="341">
        <f>+F5511-G5511</f>
        <v>20000</v>
      </c>
      <c r="F5511" s="345">
        <v>20000</v>
      </c>
      <c r="G5511" s="396">
        <v>0</v>
      </c>
      <c r="H5511" s="156" t="s">
        <v>2138</v>
      </c>
      <c r="I5511" s="401" t="s">
        <v>296</v>
      </c>
      <c r="K5511" s="370"/>
      <c r="N5511" s="370"/>
    </row>
    <row r="5512" spans="1:14" s="347" customFormat="1" x14ac:dyDescent="0.25">
      <c r="A5512" s="339">
        <f>+A5511</f>
        <v>44482</v>
      </c>
      <c r="B5512" s="340">
        <f>+MONTH(A5512)</f>
        <v>10</v>
      </c>
      <c r="C5512" s="338">
        <v>3350</v>
      </c>
      <c r="D5512" s="347" t="str">
        <f>VLOOKUP(C5512,Plan!A$1:B$65542,2,0)</f>
        <v>Bautizos</v>
      </c>
      <c r="E5512" s="341">
        <f>+F5512-G5512</f>
        <v>-20000</v>
      </c>
      <c r="F5512" s="345">
        <v>0</v>
      </c>
      <c r="G5512" s="396">
        <f>+F5511</f>
        <v>20000</v>
      </c>
      <c r="H5512" t="str">
        <f>+H5511</f>
        <v>Bautizo Sebastian Mobarec Katunaric</v>
      </c>
      <c r="I5512" s="401" t="s">
        <v>296</v>
      </c>
      <c r="K5512" s="370"/>
      <c r="N5512" s="370"/>
    </row>
    <row r="5513" spans="1:14" s="347" customFormat="1" x14ac:dyDescent="0.25">
      <c r="A5513" s="369"/>
      <c r="E5513" s="396"/>
      <c r="F5513" s="396"/>
      <c r="G5513" s="396"/>
      <c r="K5513" s="370"/>
      <c r="N5513" s="370"/>
    </row>
    <row r="5514" spans="1:14" s="347" customFormat="1" x14ac:dyDescent="0.25">
      <c r="A5514" s="339">
        <v>44482</v>
      </c>
      <c r="B5514" s="340">
        <f>+MONTH(A5514)</f>
        <v>10</v>
      </c>
      <c r="C5514" s="338">
        <v>110</v>
      </c>
      <c r="D5514" s="347" t="str">
        <f>VLOOKUP(C5514,Plan!A$1:B$65542,2,0)</f>
        <v>Disponible Administración</v>
      </c>
      <c r="E5514" s="341">
        <f>+F5514-G5514</f>
        <v>15000</v>
      </c>
      <c r="F5514" s="345">
        <v>15000</v>
      </c>
      <c r="G5514" s="396">
        <v>0</v>
      </c>
      <c r="H5514" s="156" t="s">
        <v>2138</v>
      </c>
      <c r="I5514" s="401" t="s">
        <v>296</v>
      </c>
      <c r="K5514" s="370"/>
      <c r="N5514" s="370"/>
    </row>
    <row r="5515" spans="1:14" s="347" customFormat="1" x14ac:dyDescent="0.25">
      <c r="A5515" s="339">
        <f>+A5514</f>
        <v>44482</v>
      </c>
      <c r="B5515" s="340">
        <f>+MONTH(A5515)</f>
        <v>10</v>
      </c>
      <c r="C5515" s="338">
        <v>3110</v>
      </c>
      <c r="D5515" s="347" t="str">
        <f>VLOOKUP(C5515,Plan!A$1:B$65542,2,0)</f>
        <v>Colectas Normales</v>
      </c>
      <c r="E5515" s="341">
        <f>+F5515-G5515</f>
        <v>-15000</v>
      </c>
      <c r="F5515" s="345">
        <v>0</v>
      </c>
      <c r="G5515" s="396">
        <f>+F5514</f>
        <v>15000</v>
      </c>
      <c r="H5515" t="str">
        <f>+H5514</f>
        <v>Bautizo Sebastian Mobarec Katunaric</v>
      </c>
      <c r="I5515" s="401" t="s">
        <v>296</v>
      </c>
      <c r="K5515" s="370"/>
      <c r="N5515" s="370"/>
    </row>
    <row r="5516" spans="1:14" s="347" customFormat="1" x14ac:dyDescent="0.25">
      <c r="A5516" s="369"/>
      <c r="E5516" s="396"/>
      <c r="F5516" s="396"/>
      <c r="G5516" s="396"/>
      <c r="K5516" s="370"/>
      <c r="N5516" s="370"/>
    </row>
    <row r="5517" spans="1:14" s="347" customFormat="1" x14ac:dyDescent="0.25">
      <c r="A5517" s="339">
        <v>44483</v>
      </c>
      <c r="B5517" s="340">
        <f>+MONTH(A5517)</f>
        <v>10</v>
      </c>
      <c r="C5517" s="338">
        <v>110</v>
      </c>
      <c r="D5517" s="347" t="str">
        <f>VLOOKUP(C5517,Plan!A$1:B$65542,2,0)</f>
        <v>Disponible Administración</v>
      </c>
      <c r="E5517" s="341">
        <f>+F5517-G5517</f>
        <v>4901</v>
      </c>
      <c r="F5517" s="345">
        <v>4901</v>
      </c>
      <c r="G5517" s="396">
        <v>0</v>
      </c>
      <c r="H5517" s="156" t="s">
        <v>1338</v>
      </c>
      <c r="I5517" s="401" t="s">
        <v>296</v>
      </c>
      <c r="K5517" s="370"/>
      <c r="N5517" s="370"/>
    </row>
    <row r="5518" spans="1:14" s="347" customFormat="1" x14ac:dyDescent="0.25">
      <c r="A5518" s="339">
        <f>+A5517</f>
        <v>44483</v>
      </c>
      <c r="B5518" s="340">
        <f>+MONTH(A5518)</f>
        <v>10</v>
      </c>
      <c r="C5518" s="338">
        <v>3340</v>
      </c>
      <c r="D5518" s="347" t="str">
        <f>VLOOKUP(C5518,Plan!A$1:B$65542,2,0)</f>
        <v>Misas</v>
      </c>
      <c r="E5518" s="341">
        <f>+F5518-G5518</f>
        <v>-4901</v>
      </c>
      <c r="F5518" s="345">
        <v>0</v>
      </c>
      <c r="G5518" s="396">
        <f>+F5517</f>
        <v>4901</v>
      </c>
      <c r="H5518" t="str">
        <f>+H5517</f>
        <v>Misa DCT</v>
      </c>
      <c r="I5518" s="401" t="s">
        <v>296</v>
      </c>
      <c r="K5518" s="370"/>
      <c r="N5518" s="370"/>
    </row>
    <row r="5519" spans="1:14" s="347" customFormat="1" x14ac:dyDescent="0.25">
      <c r="A5519" s="369"/>
      <c r="E5519" s="396"/>
      <c r="F5519" s="396"/>
      <c r="G5519" s="396"/>
      <c r="K5519" s="370"/>
      <c r="N5519" s="370"/>
    </row>
    <row r="5520" spans="1:14" s="347" customFormat="1" x14ac:dyDescent="0.25">
      <c r="A5520" s="339">
        <v>44483</v>
      </c>
      <c r="B5520" s="340">
        <f>+MONTH(A5520)</f>
        <v>10</v>
      </c>
      <c r="C5520" s="338">
        <v>110</v>
      </c>
      <c r="D5520" s="347" t="str">
        <f>VLOOKUP(C5520,Plan!A$1:B$65542,2,0)</f>
        <v>Disponible Administración</v>
      </c>
      <c r="E5520" s="341">
        <f>+F5520-G5520</f>
        <v>75000</v>
      </c>
      <c r="F5520" s="345">
        <v>75000</v>
      </c>
      <c r="G5520" s="396">
        <v>0</v>
      </c>
      <c r="H5520" s="156" t="s">
        <v>1560</v>
      </c>
      <c r="I5520" s="401" t="s">
        <v>296</v>
      </c>
      <c r="K5520" s="370"/>
      <c r="N5520" s="370"/>
    </row>
    <row r="5521" spans="1:14" s="347" customFormat="1" x14ac:dyDescent="0.25">
      <c r="A5521" s="339">
        <f>+A5520</f>
        <v>44483</v>
      </c>
      <c r="B5521" s="340">
        <f>+MONTH(A5521)</f>
        <v>10</v>
      </c>
      <c r="C5521" s="338">
        <v>3360</v>
      </c>
      <c r="D5521" s="347" t="str">
        <f>VLOOKUP(C5521,Plan!A$1:B$65542,2,0)</f>
        <v>Otros</v>
      </c>
      <c r="E5521" s="341">
        <f>+F5521-G5521</f>
        <v>-75000</v>
      </c>
      <c r="F5521" s="345">
        <v>0</v>
      </c>
      <c r="G5521" s="396">
        <f>+F5520</f>
        <v>75000</v>
      </c>
      <c r="H5521" t="str">
        <f>+H5520</f>
        <v>Curso Maria Luisa Toso Loyola</v>
      </c>
      <c r="I5521" s="401" t="s">
        <v>296</v>
      </c>
      <c r="K5521" s="370"/>
      <c r="N5521" s="370"/>
    </row>
    <row r="5522" spans="1:14" s="347" customFormat="1" x14ac:dyDescent="0.25">
      <c r="A5522" s="369"/>
      <c r="E5522" s="396"/>
      <c r="F5522" s="396"/>
      <c r="G5522" s="396"/>
      <c r="K5522" s="370"/>
      <c r="N5522" s="370"/>
    </row>
    <row r="5523" spans="1:14" s="347" customFormat="1" x14ac:dyDescent="0.25">
      <c r="A5523" s="339">
        <v>44484</v>
      </c>
      <c r="B5523" s="340">
        <f>+MONTH(A5523)</f>
        <v>10</v>
      </c>
      <c r="C5523" s="338">
        <v>4323</v>
      </c>
      <c r="D5523" s="347" t="str">
        <f>VLOOKUP(C5523,Plan!A$1:B$65542,2,0)</f>
        <v>Telefonía, Internet (VTR, Entel)</v>
      </c>
      <c r="E5523" s="341">
        <f>+F5523-G5523</f>
        <v>20990</v>
      </c>
      <c r="F5523" s="345">
        <v>20990</v>
      </c>
      <c r="G5523" s="396">
        <v>0</v>
      </c>
      <c r="H5523" s="156" t="s">
        <v>2139</v>
      </c>
      <c r="I5523" s="401" t="s">
        <v>296</v>
      </c>
      <c r="K5523" s="370"/>
      <c r="N5523" s="370"/>
    </row>
    <row r="5524" spans="1:14" s="347" customFormat="1" x14ac:dyDescent="0.25">
      <c r="A5524" s="339">
        <f>+A5523</f>
        <v>44484</v>
      </c>
      <c r="B5524" s="340">
        <f>+MONTH(A5524)</f>
        <v>10</v>
      </c>
      <c r="C5524" s="338">
        <v>110</v>
      </c>
      <c r="D5524" s="347" t="str">
        <f>VLOOKUP(C5524,Plan!A$1:B$65542,2,0)</f>
        <v>Disponible Administración</v>
      </c>
      <c r="E5524" s="341">
        <f>+F5524-G5524</f>
        <v>-20990</v>
      </c>
      <c r="F5524" s="345">
        <v>0</v>
      </c>
      <c r="G5524" s="396">
        <f>+F5523</f>
        <v>20990</v>
      </c>
      <c r="H5524" t="str">
        <f>+H5523</f>
        <v>PAC Entel Oficina</v>
      </c>
      <c r="I5524" s="401" t="s">
        <v>296</v>
      </c>
      <c r="K5524" s="370"/>
      <c r="N5524" s="370"/>
    </row>
    <row r="5525" spans="1:14" s="347" customFormat="1" x14ac:dyDescent="0.25">
      <c r="A5525" s="369"/>
      <c r="E5525" s="396"/>
      <c r="F5525" s="396"/>
      <c r="G5525" s="396"/>
      <c r="K5525" s="370"/>
      <c r="N5525" s="370"/>
    </row>
    <row r="5526" spans="1:14" s="347" customFormat="1" x14ac:dyDescent="0.25">
      <c r="A5526" s="339">
        <v>44484</v>
      </c>
      <c r="B5526" s="340">
        <f>+MONTH(A5526)</f>
        <v>10</v>
      </c>
      <c r="C5526" s="338">
        <v>110</v>
      </c>
      <c r="D5526" s="347" t="str">
        <f>VLOOKUP(C5526,Plan!A$1:B$65542,2,0)</f>
        <v>Disponible Administración</v>
      </c>
      <c r="E5526" s="341">
        <f>+F5526-G5526</f>
        <v>4832</v>
      </c>
      <c r="F5526" s="345">
        <v>4832</v>
      </c>
      <c r="G5526" s="396">
        <v>0</v>
      </c>
      <c r="H5526" s="156" t="s">
        <v>1934</v>
      </c>
      <c r="I5526" s="401" t="s">
        <v>296</v>
      </c>
      <c r="K5526" s="370"/>
      <c r="N5526" s="370"/>
    </row>
    <row r="5527" spans="1:14" s="347" customFormat="1" x14ac:dyDescent="0.25">
      <c r="A5527" s="339">
        <f>+A5526</f>
        <v>44484</v>
      </c>
      <c r="B5527" s="340">
        <f>+MONTH(A5527)</f>
        <v>10</v>
      </c>
      <c r="C5527" s="338">
        <v>3110</v>
      </c>
      <c r="D5527" s="347" t="str">
        <f>VLOOKUP(C5527,Plan!A$1:B$65542,2,0)</f>
        <v>Colectas Normales</v>
      </c>
      <c r="E5527" s="341">
        <f>+F5527-G5527</f>
        <v>-4832</v>
      </c>
      <c r="F5527" s="345">
        <v>0</v>
      </c>
      <c r="G5527" s="396">
        <f>+F5526</f>
        <v>4832</v>
      </c>
      <c r="H5527" t="str">
        <f>+H5526</f>
        <v>Colecta POS</v>
      </c>
      <c r="I5527" s="401" t="s">
        <v>296</v>
      </c>
      <c r="K5527" s="370"/>
      <c r="N5527" s="370"/>
    </row>
    <row r="5528" spans="1:14" s="347" customFormat="1" x14ac:dyDescent="0.25">
      <c r="A5528" s="369"/>
      <c r="E5528" s="396"/>
      <c r="F5528" s="396"/>
      <c r="G5528" s="396"/>
      <c r="K5528" s="370"/>
      <c r="N5528" s="370"/>
    </row>
    <row r="5529" spans="1:14" s="347" customFormat="1" x14ac:dyDescent="0.25">
      <c r="A5529" s="339">
        <v>44484</v>
      </c>
      <c r="B5529" s="340">
        <f>+MONTH(A5529)</f>
        <v>10</v>
      </c>
      <c r="C5529" s="338">
        <v>110</v>
      </c>
      <c r="D5529" s="347" t="str">
        <f>VLOOKUP(C5529,Plan!A$1:B$65542,2,0)</f>
        <v>Disponible Administración</v>
      </c>
      <c r="E5529" s="341">
        <f>+F5529-G5529</f>
        <v>15000</v>
      </c>
      <c r="F5529" s="345">
        <v>15000</v>
      </c>
      <c r="G5529" s="396">
        <v>0</v>
      </c>
      <c r="H5529" s="156" t="s">
        <v>1549</v>
      </c>
      <c r="I5529" s="401" t="s">
        <v>296</v>
      </c>
      <c r="K5529" s="370"/>
      <c r="N5529" s="370"/>
    </row>
    <row r="5530" spans="1:14" s="347" customFormat="1" x14ac:dyDescent="0.25">
      <c r="A5530" s="339">
        <f>+A5529</f>
        <v>44484</v>
      </c>
      <c r="B5530" s="340">
        <f>+MONTH(A5530)</f>
        <v>10</v>
      </c>
      <c r="C5530" s="338">
        <v>3350</v>
      </c>
      <c r="D5530" s="347" t="str">
        <f>VLOOKUP(C5530,Plan!A$1:B$65542,2,0)</f>
        <v>Bautizos</v>
      </c>
      <c r="E5530" s="341">
        <f>+F5530-G5530</f>
        <v>-15000</v>
      </c>
      <c r="F5530" s="345">
        <v>0</v>
      </c>
      <c r="G5530" s="396">
        <f>+F5529</f>
        <v>15000</v>
      </c>
      <c r="H5530" t="str">
        <f>+H5529</f>
        <v>Bautizo</v>
      </c>
      <c r="I5530" s="401" t="s">
        <v>296</v>
      </c>
      <c r="K5530" s="370"/>
      <c r="N5530" s="370"/>
    </row>
    <row r="5531" spans="1:14" s="347" customFormat="1" x14ac:dyDescent="0.25">
      <c r="A5531" s="369"/>
      <c r="E5531" s="396"/>
      <c r="F5531" s="396"/>
      <c r="G5531" s="396"/>
      <c r="K5531" s="370"/>
      <c r="N5531" s="370"/>
    </row>
    <row r="5532" spans="1:14" s="347" customFormat="1" x14ac:dyDescent="0.25">
      <c r="A5532" s="339">
        <v>44484</v>
      </c>
      <c r="B5532" s="340">
        <f>+MONTH(A5532)</f>
        <v>10</v>
      </c>
      <c r="C5532" s="338">
        <v>4223</v>
      </c>
      <c r="D5532" s="347" t="str">
        <f>VLOOKUP(C5532,Plan!A$1:B$65542,2,0)</f>
        <v xml:space="preserve">         Comunicaciones</v>
      </c>
      <c r="E5532" s="341">
        <f>+F5532-G5532</f>
        <v>338983</v>
      </c>
      <c r="F5532" s="345">
        <f>+G5533+G5534</f>
        <v>338983</v>
      </c>
      <c r="G5532" s="396">
        <v>0</v>
      </c>
      <c r="H5532" s="156" t="s">
        <v>2140</v>
      </c>
      <c r="I5532" s="401" t="s">
        <v>296</v>
      </c>
      <c r="K5532" s="370"/>
      <c r="N5532" s="370"/>
    </row>
    <row r="5533" spans="1:14" s="347" customFormat="1" x14ac:dyDescent="0.25">
      <c r="A5533" s="339">
        <f>+A5532</f>
        <v>44484</v>
      </c>
      <c r="B5533" s="340">
        <f>+MONTH(A5533)</f>
        <v>10</v>
      </c>
      <c r="C5533" s="338">
        <v>223</v>
      </c>
      <c r="D5533" s="347" t="str">
        <f>VLOOKUP(C5533,Plan!A$1:B$65542,2,0)</f>
        <v>Ret. Hon.  e Impto. Unico Administración</v>
      </c>
      <c r="E5533" s="341">
        <f>+F5533-G5533</f>
        <v>-38983</v>
      </c>
      <c r="F5533" s="345">
        <v>0</v>
      </c>
      <c r="G5533" s="396">
        <v>38983</v>
      </c>
      <c r="H5533" t="str">
        <f>+H5532</f>
        <v>BE-32 MARIA INES JARA LAMA</v>
      </c>
      <c r="I5533" s="401" t="s">
        <v>296</v>
      </c>
      <c r="K5533" s="370"/>
      <c r="N5533" s="370"/>
    </row>
    <row r="5534" spans="1:14" s="347" customFormat="1" x14ac:dyDescent="0.25">
      <c r="A5534" s="339">
        <f>+A5533</f>
        <v>44484</v>
      </c>
      <c r="B5534" s="340">
        <f>+MONTH(A5534)</f>
        <v>10</v>
      </c>
      <c r="C5534" s="338">
        <v>110</v>
      </c>
      <c r="D5534" s="347" t="str">
        <f>VLOOKUP(C5534,Plan!A$1:B$65542,2,0)</f>
        <v>Disponible Administración</v>
      </c>
      <c r="E5534" s="341">
        <f>+F5534-G5534</f>
        <v>-300000</v>
      </c>
      <c r="F5534" s="345">
        <v>0</v>
      </c>
      <c r="G5534" s="396">
        <v>300000</v>
      </c>
      <c r="H5534" t="str">
        <f>+H5533</f>
        <v>BE-32 MARIA INES JARA LAMA</v>
      </c>
      <c r="I5534" s="401" t="s">
        <v>296</v>
      </c>
      <c r="K5534" s="370"/>
      <c r="N5534" s="370"/>
    </row>
    <row r="5535" spans="1:14" s="347" customFormat="1" x14ac:dyDescent="0.25">
      <c r="A5535" s="369"/>
      <c r="E5535" s="396"/>
      <c r="F5535" s="396"/>
      <c r="G5535" s="396"/>
      <c r="K5535" s="370"/>
      <c r="N5535" s="370"/>
    </row>
    <row r="5536" spans="1:14" s="347" customFormat="1" x14ac:dyDescent="0.25">
      <c r="A5536" s="339">
        <v>44484</v>
      </c>
      <c r="B5536" s="340">
        <f>+MONTH(A5536)</f>
        <v>10</v>
      </c>
      <c r="C5536" s="338">
        <v>4223</v>
      </c>
      <c r="D5536" s="347" t="str">
        <f>VLOOKUP(C5536,Plan!A$1:B$65542,2,0)</f>
        <v xml:space="preserve">         Comunicaciones</v>
      </c>
      <c r="E5536" s="341">
        <f>+F5536-G5536</f>
        <v>100000</v>
      </c>
      <c r="F5536" s="345">
        <f>+G5537+G5538</f>
        <v>100000</v>
      </c>
      <c r="G5536" s="396">
        <v>0</v>
      </c>
      <c r="H5536" s="156" t="s">
        <v>2141</v>
      </c>
      <c r="I5536" s="401" t="s">
        <v>296</v>
      </c>
      <c r="K5536" s="370"/>
      <c r="N5536" s="370"/>
    </row>
    <row r="5537" spans="1:14" s="347" customFormat="1" x14ac:dyDescent="0.25">
      <c r="A5537" s="339">
        <f>+A5536</f>
        <v>44484</v>
      </c>
      <c r="B5537" s="340">
        <f>+MONTH(A5537)</f>
        <v>10</v>
      </c>
      <c r="C5537" s="338">
        <v>223</v>
      </c>
      <c r="D5537" s="347" t="str">
        <f>VLOOKUP(C5537,Plan!A$1:B$65542,2,0)</f>
        <v>Ret. Hon.  e Impto. Unico Administración</v>
      </c>
      <c r="E5537" s="341">
        <f>+F5537-G5537</f>
        <v>-11500</v>
      </c>
      <c r="F5537" s="345">
        <v>0</v>
      </c>
      <c r="G5537" s="396">
        <v>11500</v>
      </c>
      <c r="H5537" t="str">
        <f>+H5536</f>
        <v>BTE-118 DORLLY CARDENAS LINDARTE</v>
      </c>
      <c r="I5537" s="401" t="s">
        <v>296</v>
      </c>
      <c r="K5537" s="370"/>
      <c r="N5537" s="370"/>
    </row>
    <row r="5538" spans="1:14" s="347" customFormat="1" x14ac:dyDescent="0.25">
      <c r="A5538" s="339">
        <f>+A5537</f>
        <v>44484</v>
      </c>
      <c r="B5538" s="340">
        <f>+MONTH(A5538)</f>
        <v>10</v>
      </c>
      <c r="C5538" s="338">
        <v>110</v>
      </c>
      <c r="D5538" s="347" t="str">
        <f>VLOOKUP(C5538,Plan!A$1:B$65542,2,0)</f>
        <v>Disponible Administración</v>
      </c>
      <c r="E5538" s="341">
        <f>+F5538-G5538</f>
        <v>-88500</v>
      </c>
      <c r="F5538" s="345">
        <v>0</v>
      </c>
      <c r="G5538" s="396">
        <v>88500</v>
      </c>
      <c r="H5538" t="str">
        <f>+H5537</f>
        <v>BTE-118 DORLLY CARDENAS LINDARTE</v>
      </c>
      <c r="I5538" s="401" t="s">
        <v>296</v>
      </c>
      <c r="K5538" s="370"/>
      <c r="N5538" s="370"/>
    </row>
    <row r="5539" spans="1:14" s="347" customFormat="1" x14ac:dyDescent="0.25">
      <c r="A5539" s="369"/>
      <c r="E5539" s="396"/>
      <c r="F5539" s="396"/>
      <c r="G5539" s="396"/>
      <c r="K5539" s="370"/>
      <c r="N5539" s="370"/>
    </row>
    <row r="5540" spans="1:14" s="347" customFormat="1" x14ac:dyDescent="0.25">
      <c r="A5540" s="339">
        <v>44484</v>
      </c>
      <c r="B5540" s="340">
        <f>+MONTH(A5540)</f>
        <v>10</v>
      </c>
      <c r="C5540" s="338">
        <v>4223</v>
      </c>
      <c r="D5540" s="347" t="str">
        <f>VLOOKUP(C5540,Plan!A$1:B$65542,2,0)</f>
        <v xml:space="preserve">         Comunicaciones</v>
      </c>
      <c r="E5540" s="341">
        <f>+F5540-G5540</f>
        <v>112994</v>
      </c>
      <c r="F5540" s="345">
        <f>+G5541+G5542</f>
        <v>112994</v>
      </c>
      <c r="G5540" s="396">
        <v>0</v>
      </c>
      <c r="H5540" s="156" t="s">
        <v>2142</v>
      </c>
      <c r="I5540" s="401" t="s">
        <v>296</v>
      </c>
      <c r="K5540" s="370"/>
      <c r="N5540" s="370"/>
    </row>
    <row r="5541" spans="1:14" s="347" customFormat="1" x14ac:dyDescent="0.25">
      <c r="A5541" s="339">
        <f>+A5540</f>
        <v>44484</v>
      </c>
      <c r="B5541" s="340">
        <f>+MONTH(A5541)</f>
        <v>10</v>
      </c>
      <c r="C5541" s="338">
        <v>223</v>
      </c>
      <c r="D5541" s="347" t="str">
        <f>VLOOKUP(C5541,Plan!A$1:B$65542,2,0)</f>
        <v>Ret. Hon.  e Impto. Unico Administración</v>
      </c>
      <c r="E5541" s="341">
        <f>+F5541-G5541</f>
        <v>-12994</v>
      </c>
      <c r="F5541" s="345">
        <v>0</v>
      </c>
      <c r="G5541" s="396">
        <v>12994</v>
      </c>
      <c r="H5541" t="str">
        <f>+H5540</f>
        <v>BE-11 RAIMUNDO RODRIGUEZ POZO</v>
      </c>
      <c r="I5541" s="401" t="s">
        <v>296</v>
      </c>
      <c r="K5541" s="370"/>
      <c r="N5541" s="370"/>
    </row>
    <row r="5542" spans="1:14" s="347" customFormat="1" x14ac:dyDescent="0.25">
      <c r="A5542" s="339">
        <f>+A5541</f>
        <v>44484</v>
      </c>
      <c r="B5542" s="340">
        <f>+MONTH(A5542)</f>
        <v>10</v>
      </c>
      <c r="C5542" s="338">
        <v>110</v>
      </c>
      <c r="D5542" s="347" t="str">
        <f>VLOOKUP(C5542,Plan!A$1:B$65542,2,0)</f>
        <v>Disponible Administración</v>
      </c>
      <c r="E5542" s="341">
        <f>+F5542-G5542</f>
        <v>-100000</v>
      </c>
      <c r="F5542" s="345">
        <v>0</v>
      </c>
      <c r="G5542" s="396">
        <v>100000</v>
      </c>
      <c r="H5542" t="str">
        <f>+H5541</f>
        <v>BE-11 RAIMUNDO RODRIGUEZ POZO</v>
      </c>
      <c r="I5542" s="401" t="s">
        <v>296</v>
      </c>
      <c r="K5542" s="370"/>
      <c r="N5542" s="370"/>
    </row>
    <row r="5543" spans="1:14" s="347" customFormat="1" x14ac:dyDescent="0.25">
      <c r="A5543" s="369"/>
      <c r="E5543" s="396"/>
      <c r="F5543" s="396"/>
      <c r="G5543" s="396"/>
      <c r="K5543" s="370"/>
      <c r="N5543" s="370"/>
    </row>
    <row r="5544" spans="1:14" s="347" customFormat="1" x14ac:dyDescent="0.25">
      <c r="A5544" s="339">
        <v>44484</v>
      </c>
      <c r="B5544" s="340">
        <f>+MONTH(A5544)</f>
        <v>10</v>
      </c>
      <c r="C5544" s="338">
        <v>4410</v>
      </c>
      <c r="D5544" s="347" t="str">
        <f>VLOOKUP(C5544,Plan!A$1:B$65542,2,0)</f>
        <v>Librería</v>
      </c>
      <c r="E5544" s="341">
        <f>+F5544-G5544</f>
        <v>200000</v>
      </c>
      <c r="F5544" s="345">
        <v>200000</v>
      </c>
      <c r="G5544" s="396">
        <v>0</v>
      </c>
      <c r="H5544" s="156" t="s">
        <v>2143</v>
      </c>
      <c r="I5544" s="401" t="s">
        <v>296</v>
      </c>
      <c r="K5544" s="370"/>
      <c r="N5544" s="370"/>
    </row>
    <row r="5545" spans="1:14" s="347" customFormat="1" x14ac:dyDescent="0.25">
      <c r="A5545" s="339">
        <f>+A5544</f>
        <v>44484</v>
      </c>
      <c r="B5545" s="340">
        <f>+MONTH(A5545)</f>
        <v>10</v>
      </c>
      <c r="C5545" s="338">
        <v>110</v>
      </c>
      <c r="D5545" s="347" t="str">
        <f>VLOOKUP(C5545,Plan!A$1:B$65542,2,0)</f>
        <v>Disponible Administración</v>
      </c>
      <c r="E5545" s="341">
        <f>+F5545-G5545</f>
        <v>-200000</v>
      </c>
      <c r="F5545" s="345">
        <v>0</v>
      </c>
      <c r="G5545" s="396">
        <f>+F5544</f>
        <v>200000</v>
      </c>
      <c r="H5545" t="str">
        <f>+H5544</f>
        <v>F.769 Exp.Matrim. (200)</v>
      </c>
      <c r="I5545" s="401" t="s">
        <v>296</v>
      </c>
      <c r="K5545" s="370"/>
      <c r="N5545" s="370"/>
    </row>
    <row r="5546" spans="1:14" s="347" customFormat="1" x14ac:dyDescent="0.25">
      <c r="A5546" s="369"/>
      <c r="E5546" s="396"/>
      <c r="F5546" s="396"/>
      <c r="G5546" s="396"/>
      <c r="K5546" s="370"/>
      <c r="N5546" s="370"/>
    </row>
    <row r="5547" spans="1:14" s="347" customFormat="1" x14ac:dyDescent="0.25">
      <c r="A5547" s="339">
        <v>44487</v>
      </c>
      <c r="B5547" s="340">
        <f>+MONTH(A5547)</f>
        <v>10</v>
      </c>
      <c r="C5547" s="338">
        <v>110</v>
      </c>
      <c r="D5547" s="347" t="str">
        <f>VLOOKUP(C5547,Plan!A$1:B$65542,2,0)</f>
        <v>Disponible Administración</v>
      </c>
      <c r="E5547" s="341">
        <f>+F5547-G5547</f>
        <v>20000</v>
      </c>
      <c r="F5547" s="345">
        <v>20000</v>
      </c>
      <c r="G5547" s="396">
        <v>0</v>
      </c>
      <c r="H5547" s="156" t="s">
        <v>2144</v>
      </c>
      <c r="I5547" s="401" t="s">
        <v>296</v>
      </c>
      <c r="K5547" s="370"/>
      <c r="N5547" s="370"/>
    </row>
    <row r="5548" spans="1:14" s="347" customFormat="1" x14ac:dyDescent="0.25">
      <c r="A5548" s="339">
        <f>+A5547</f>
        <v>44487</v>
      </c>
      <c r="B5548" s="340">
        <f>+MONTH(A5548)</f>
        <v>10</v>
      </c>
      <c r="C5548" s="338">
        <v>3350</v>
      </c>
      <c r="D5548" s="347" t="str">
        <f>VLOOKUP(C5548,Plan!A$1:B$65542,2,0)</f>
        <v>Bautizos</v>
      </c>
      <c r="E5548" s="341">
        <f>+F5548-G5548</f>
        <v>-20000</v>
      </c>
      <c r="F5548" s="345">
        <v>0</v>
      </c>
      <c r="G5548" s="396">
        <f>+F5547</f>
        <v>20000</v>
      </c>
      <c r="H5548" t="str">
        <f>+H5547</f>
        <v>Bautizo Fadyle Abulias Segovia</v>
      </c>
      <c r="I5548" s="401" t="s">
        <v>296</v>
      </c>
      <c r="K5548" s="370"/>
      <c r="N5548" s="370"/>
    </row>
    <row r="5549" spans="1:14" s="347" customFormat="1" x14ac:dyDescent="0.25">
      <c r="A5549" s="369"/>
      <c r="E5549" s="396"/>
      <c r="F5549" s="396"/>
      <c r="G5549" s="396"/>
      <c r="K5549" s="370"/>
      <c r="N5549" s="370"/>
    </row>
    <row r="5550" spans="1:14" s="347" customFormat="1" x14ac:dyDescent="0.25">
      <c r="A5550" s="339">
        <v>44487</v>
      </c>
      <c r="B5550" s="340">
        <f>+MONTH(A5550)</f>
        <v>10</v>
      </c>
      <c r="C5550" s="338">
        <v>4321</v>
      </c>
      <c r="D5550" s="347" t="str">
        <f>VLOOKUP(C5550,Plan!A$1:B$65542,2,0)</f>
        <v>Electricidad</v>
      </c>
      <c r="E5550" s="341">
        <f>+F5550-G5550</f>
        <v>6630</v>
      </c>
      <c r="F5550" s="345">
        <v>6630</v>
      </c>
      <c r="G5550" s="396">
        <v>0</v>
      </c>
      <c r="H5550" t="s">
        <v>2145</v>
      </c>
      <c r="I5550" s="401" t="s">
        <v>296</v>
      </c>
      <c r="K5550" s="370"/>
      <c r="N5550" s="370"/>
    </row>
    <row r="5551" spans="1:14" s="347" customFormat="1" x14ac:dyDescent="0.25">
      <c r="A5551" s="339">
        <f>+A5550</f>
        <v>44487</v>
      </c>
      <c r="B5551" s="340">
        <f>+MONTH(A5551)</f>
        <v>10</v>
      </c>
      <c r="C5551" s="338">
        <v>110</v>
      </c>
      <c r="D5551" s="347" t="str">
        <f>VLOOKUP(C5551,Plan!A$1:B$65542,2,0)</f>
        <v>Disponible Administración</v>
      </c>
      <c r="E5551" s="341">
        <f>+F5551-G5551</f>
        <v>-6630</v>
      </c>
      <c r="F5551" s="345">
        <v>0</v>
      </c>
      <c r="G5551" s="396">
        <f>+F5550</f>
        <v>6630</v>
      </c>
      <c r="H5551" t="str">
        <f>+H5550</f>
        <v>PAC Enel Oficina</v>
      </c>
      <c r="I5551" s="401" t="s">
        <v>296</v>
      </c>
      <c r="K5551" s="370"/>
      <c r="N5551" s="370"/>
    </row>
    <row r="5552" spans="1:14" s="347" customFormat="1" x14ac:dyDescent="0.25">
      <c r="A5552" s="369"/>
      <c r="E5552" s="396"/>
      <c r="F5552" s="396"/>
      <c r="G5552" s="396"/>
      <c r="K5552" s="370"/>
      <c r="N5552" s="370"/>
    </row>
    <row r="5553" spans="1:14" s="347" customFormat="1" x14ac:dyDescent="0.25">
      <c r="A5553" s="339">
        <v>44487</v>
      </c>
      <c r="B5553" s="340">
        <f>+MONTH(A5553)</f>
        <v>10</v>
      </c>
      <c r="C5553" s="338">
        <v>4325</v>
      </c>
      <c r="D5553" s="347" t="str">
        <f>VLOOKUP(C5553,Plan!A$1:B$65542,2,0)</f>
        <v>Alarma (ADT)</v>
      </c>
      <c r="E5553" s="341">
        <f>+F5553-G5553</f>
        <v>43935</v>
      </c>
      <c r="F5553" s="345">
        <v>43935</v>
      </c>
      <c r="G5553" s="396">
        <v>0</v>
      </c>
      <c r="H5553" t="s">
        <v>750</v>
      </c>
      <c r="I5553" s="401" t="s">
        <v>296</v>
      </c>
      <c r="K5553" s="370"/>
      <c r="N5553" s="370"/>
    </row>
    <row r="5554" spans="1:14" s="347" customFormat="1" x14ac:dyDescent="0.25">
      <c r="A5554" s="339">
        <f>+A5553</f>
        <v>44487</v>
      </c>
      <c r="B5554" s="340">
        <f>+MONTH(A5554)</f>
        <v>10</v>
      </c>
      <c r="C5554" s="338">
        <v>110</v>
      </c>
      <c r="D5554" s="347" t="str">
        <f>VLOOKUP(C5554,Plan!A$1:B$65542,2,0)</f>
        <v>Disponible Administración</v>
      </c>
      <c r="E5554" s="341">
        <f>+F5554-G5554</f>
        <v>-43935</v>
      </c>
      <c r="F5554" s="345">
        <v>0</v>
      </c>
      <c r="G5554" s="396">
        <f>+F5553</f>
        <v>43935</v>
      </c>
      <c r="H5554" t="str">
        <f>+H5553</f>
        <v>PAC ADT</v>
      </c>
      <c r="I5554" s="401" t="s">
        <v>296</v>
      </c>
      <c r="K5554" s="370"/>
      <c r="N5554" s="370"/>
    </row>
    <row r="5555" spans="1:14" s="347" customFormat="1" x14ac:dyDescent="0.25">
      <c r="A5555" s="369"/>
      <c r="E5555" s="396"/>
      <c r="F5555" s="396"/>
      <c r="G5555" s="396"/>
      <c r="K5555" s="370"/>
      <c r="N5555" s="370"/>
    </row>
    <row r="5556" spans="1:14" s="347" customFormat="1" x14ac:dyDescent="0.25">
      <c r="A5556" s="339">
        <v>44487</v>
      </c>
      <c r="B5556" s="340">
        <f>+MONTH(A5556)</f>
        <v>10</v>
      </c>
      <c r="C5556" s="338">
        <v>110</v>
      </c>
      <c r="D5556" s="347" t="str">
        <f>VLOOKUP(C5556,Plan!A$1:B$65542,2,0)</f>
        <v>Disponible Administración</v>
      </c>
      <c r="E5556" s="341">
        <f>+F5556-G5556</f>
        <v>10000</v>
      </c>
      <c r="F5556" s="345">
        <v>10000</v>
      </c>
      <c r="G5556" s="396">
        <v>0</v>
      </c>
      <c r="H5556" s="156" t="s">
        <v>881</v>
      </c>
      <c r="I5556" s="401" t="s">
        <v>296</v>
      </c>
      <c r="K5556" s="370"/>
      <c r="N5556" s="370"/>
    </row>
    <row r="5557" spans="1:14" s="347" customFormat="1" x14ac:dyDescent="0.25">
      <c r="A5557" s="339">
        <f>+A5556</f>
        <v>44487</v>
      </c>
      <c r="B5557" s="340">
        <f>+MONTH(A5557)</f>
        <v>10</v>
      </c>
      <c r="C5557" s="338">
        <v>3110</v>
      </c>
      <c r="D5557" s="347" t="str">
        <f>VLOOKUP(C5557,Plan!A$1:B$65542,2,0)</f>
        <v>Colectas Normales</v>
      </c>
      <c r="E5557" s="341">
        <f>+F5557-G5557</f>
        <v>-10000</v>
      </c>
      <c r="F5557" s="345">
        <v>0</v>
      </c>
      <c r="G5557" s="396">
        <f>+F5556</f>
        <v>10000</v>
      </c>
      <c r="H5557" t="str">
        <f>+H5556</f>
        <v>Colecta Rafael Marin Jordan</v>
      </c>
      <c r="I5557" s="401" t="s">
        <v>296</v>
      </c>
      <c r="K5557" s="370"/>
      <c r="N5557" s="370"/>
    </row>
    <row r="5558" spans="1:14" s="347" customFormat="1" x14ac:dyDescent="0.25">
      <c r="A5558" s="369"/>
      <c r="E5558" s="396"/>
      <c r="F5558" s="396"/>
      <c r="G5558" s="396"/>
      <c r="K5558" s="370"/>
      <c r="N5558" s="370"/>
    </row>
    <row r="5559" spans="1:14" s="347" customFormat="1" x14ac:dyDescent="0.25">
      <c r="A5559" s="339">
        <v>44487</v>
      </c>
      <c r="B5559" s="340">
        <f>+MONTH(A5559)</f>
        <v>10</v>
      </c>
      <c r="C5559" s="338">
        <v>110</v>
      </c>
      <c r="D5559" s="347" t="str">
        <f>VLOOKUP(C5559,Plan!A$1:B$65542,2,0)</f>
        <v>Disponible Administración</v>
      </c>
      <c r="E5559" s="341">
        <f>+F5559-G5559</f>
        <v>8000</v>
      </c>
      <c r="F5559" s="345">
        <v>8000</v>
      </c>
      <c r="G5559" s="396">
        <v>0</v>
      </c>
      <c r="H5559" s="156" t="s">
        <v>971</v>
      </c>
      <c r="I5559" s="401" t="s">
        <v>296</v>
      </c>
      <c r="K5559" s="370"/>
      <c r="N5559" s="370"/>
    </row>
    <row r="5560" spans="1:14" s="347" customFormat="1" x14ac:dyDescent="0.25">
      <c r="A5560" s="339">
        <f>+A5559</f>
        <v>44487</v>
      </c>
      <c r="B5560" s="340">
        <f>+MONTH(A5560)</f>
        <v>10</v>
      </c>
      <c r="C5560" s="338">
        <v>3110</v>
      </c>
      <c r="D5560" s="347" t="str">
        <f>VLOOKUP(C5560,Plan!A$1:B$65542,2,0)</f>
        <v>Colectas Normales</v>
      </c>
      <c r="E5560" s="341">
        <f>+F5560-G5560</f>
        <v>-8000</v>
      </c>
      <c r="F5560" s="345">
        <v>0</v>
      </c>
      <c r="G5560" s="396">
        <f>+F5559</f>
        <v>8000</v>
      </c>
      <c r="H5560" t="str">
        <f>+H5559</f>
        <v>Colecta Pablo Irarrazaval Mena</v>
      </c>
      <c r="I5560" s="401" t="s">
        <v>296</v>
      </c>
      <c r="K5560" s="370"/>
      <c r="N5560" s="370"/>
    </row>
    <row r="5561" spans="1:14" s="347" customFormat="1" x14ac:dyDescent="0.25">
      <c r="A5561" s="369"/>
      <c r="E5561" s="396"/>
      <c r="F5561" s="396"/>
      <c r="G5561" s="396"/>
      <c r="K5561" s="370"/>
      <c r="N5561" s="370"/>
    </row>
    <row r="5562" spans="1:14" s="347" customFormat="1" x14ac:dyDescent="0.25">
      <c r="A5562" s="339">
        <v>44487</v>
      </c>
      <c r="B5562" s="340">
        <f>+MONTH(A5562)</f>
        <v>10</v>
      </c>
      <c r="C5562" s="338">
        <v>110</v>
      </c>
      <c r="D5562" s="347" t="str">
        <f>VLOOKUP(C5562,Plan!A$1:B$65542,2,0)</f>
        <v>Disponible Administración</v>
      </c>
      <c r="E5562" s="341">
        <f>+F5562-G5562</f>
        <v>10000</v>
      </c>
      <c r="F5562" s="345">
        <v>10000</v>
      </c>
      <c r="G5562" s="396">
        <v>0</v>
      </c>
      <c r="H5562" s="156" t="s">
        <v>880</v>
      </c>
      <c r="I5562" s="401" t="s">
        <v>296</v>
      </c>
      <c r="K5562" s="370"/>
      <c r="N5562" s="370"/>
    </row>
    <row r="5563" spans="1:14" s="347" customFormat="1" x14ac:dyDescent="0.25">
      <c r="A5563" s="339">
        <f>+A5562</f>
        <v>44487</v>
      </c>
      <c r="B5563" s="340">
        <f>+MONTH(A5563)</f>
        <v>10</v>
      </c>
      <c r="C5563" s="338">
        <v>3110</v>
      </c>
      <c r="D5563" s="347" t="str">
        <f>VLOOKUP(C5563,Plan!A$1:B$65542,2,0)</f>
        <v>Colectas Normales</v>
      </c>
      <c r="E5563" s="341">
        <f>+F5563-G5563</f>
        <v>-10000</v>
      </c>
      <c r="F5563" s="345">
        <v>0</v>
      </c>
      <c r="G5563" s="396">
        <f>+F5562</f>
        <v>10000</v>
      </c>
      <c r="H5563" t="str">
        <f>+H5562</f>
        <v>Colecta Sebastian Rios</v>
      </c>
      <c r="I5563" s="401" t="s">
        <v>296</v>
      </c>
      <c r="K5563" s="370"/>
      <c r="N5563" s="370"/>
    </row>
    <row r="5564" spans="1:14" s="347" customFormat="1" x14ac:dyDescent="0.25">
      <c r="A5564" s="369"/>
      <c r="E5564" s="396"/>
      <c r="F5564" s="396"/>
      <c r="G5564" s="396"/>
      <c r="K5564" s="370"/>
      <c r="N5564" s="370"/>
    </row>
    <row r="5565" spans="1:14" s="347" customFormat="1" x14ac:dyDescent="0.25">
      <c r="A5565" s="339">
        <v>44487</v>
      </c>
      <c r="B5565" s="340">
        <f>+MONTH(A5565)</f>
        <v>10</v>
      </c>
      <c r="C5565" s="338">
        <v>110</v>
      </c>
      <c r="D5565" s="347" t="str">
        <f>VLOOKUP(C5565,Plan!A$1:B$65542,2,0)</f>
        <v>Disponible Administración</v>
      </c>
      <c r="E5565" s="341">
        <f>+F5565-G5565</f>
        <v>30000</v>
      </c>
      <c r="F5565" s="345">
        <v>30000</v>
      </c>
      <c r="G5565" s="396">
        <v>0</v>
      </c>
      <c r="H5565" s="156" t="s">
        <v>1314</v>
      </c>
      <c r="I5565" s="401" t="s">
        <v>296</v>
      </c>
      <c r="K5565" s="370"/>
      <c r="N5565" s="370"/>
    </row>
    <row r="5566" spans="1:14" s="347" customFormat="1" x14ac:dyDescent="0.25">
      <c r="A5566" s="339">
        <f>+A5565</f>
        <v>44487</v>
      </c>
      <c r="B5566" s="340">
        <f>+MONTH(A5566)</f>
        <v>10</v>
      </c>
      <c r="C5566" s="338">
        <v>3110</v>
      </c>
      <c r="D5566" s="347" t="str">
        <f>VLOOKUP(C5566,Plan!A$1:B$65542,2,0)</f>
        <v>Colectas Normales</v>
      </c>
      <c r="E5566" s="341">
        <f>+F5566-G5566</f>
        <v>-30000</v>
      </c>
      <c r="F5566" s="345">
        <v>0</v>
      </c>
      <c r="G5566" s="396">
        <f>+F5565</f>
        <v>30000</v>
      </c>
      <c r="H5566" t="str">
        <f>+H5565</f>
        <v>Colecta Juan Arnaiz</v>
      </c>
      <c r="I5566" s="401" t="s">
        <v>296</v>
      </c>
      <c r="K5566" s="370"/>
      <c r="N5566" s="370"/>
    </row>
    <row r="5567" spans="1:14" s="347" customFormat="1" x14ac:dyDescent="0.25">
      <c r="A5567" s="369"/>
      <c r="E5567" s="396"/>
      <c r="F5567" s="396"/>
      <c r="G5567" s="396"/>
      <c r="K5567" s="370"/>
      <c r="N5567" s="370"/>
    </row>
    <row r="5568" spans="1:14" s="347" customFormat="1" x14ac:dyDescent="0.25">
      <c r="A5568" s="339">
        <v>44487</v>
      </c>
      <c r="B5568" s="340">
        <f>+MONTH(A5568)</f>
        <v>10</v>
      </c>
      <c r="C5568" s="338">
        <v>110</v>
      </c>
      <c r="D5568" s="347" t="str">
        <f>VLOOKUP(C5568,Plan!A$1:B$65542,2,0)</f>
        <v>Disponible Administración</v>
      </c>
      <c r="E5568" s="341">
        <f>+F5568-G5568</f>
        <v>2000</v>
      </c>
      <c r="F5568" s="345">
        <v>2000</v>
      </c>
      <c r="G5568" s="396">
        <v>0</v>
      </c>
      <c r="H5568" s="156" t="s">
        <v>1216</v>
      </c>
      <c r="I5568" s="401" t="s">
        <v>296</v>
      </c>
      <c r="K5568" s="370"/>
      <c r="N5568" s="370"/>
    </row>
    <row r="5569" spans="1:14" s="347" customFormat="1" x14ac:dyDescent="0.25">
      <c r="A5569" s="339">
        <f>+A5568</f>
        <v>44487</v>
      </c>
      <c r="B5569" s="340">
        <f>+MONTH(A5569)</f>
        <v>10</v>
      </c>
      <c r="C5569" s="338">
        <v>3110</v>
      </c>
      <c r="D5569" s="347" t="str">
        <f>VLOOKUP(C5569,Plan!A$1:B$65542,2,0)</f>
        <v>Colectas Normales</v>
      </c>
      <c r="E5569" s="341">
        <f>+F5569-G5569</f>
        <v>-2000</v>
      </c>
      <c r="F5569" s="345">
        <v>0</v>
      </c>
      <c r="G5569" s="396">
        <f>+F5568</f>
        <v>2000</v>
      </c>
      <c r="H5569" t="str">
        <f>+H5568</f>
        <v>Colecta Trinidad Barriga Cruzat</v>
      </c>
      <c r="I5569" s="401" t="s">
        <v>296</v>
      </c>
      <c r="K5569" s="370"/>
      <c r="N5569" s="370"/>
    </row>
    <row r="5570" spans="1:14" s="347" customFormat="1" x14ac:dyDescent="0.25">
      <c r="A5570" s="369"/>
      <c r="E5570" s="396"/>
      <c r="F5570" s="396"/>
      <c r="G5570" s="396"/>
      <c r="K5570" s="370"/>
      <c r="N5570" s="370"/>
    </row>
    <row r="5571" spans="1:14" s="347" customFormat="1" x14ac:dyDescent="0.25">
      <c r="A5571" s="339">
        <v>44487</v>
      </c>
      <c r="B5571" s="340">
        <f>+MONTH(A5571)</f>
        <v>10</v>
      </c>
      <c r="C5571" s="338">
        <v>110</v>
      </c>
      <c r="D5571" s="347" t="str">
        <f>VLOOKUP(C5571,Plan!A$1:B$65542,2,0)</f>
        <v>Disponible Administración</v>
      </c>
      <c r="E5571" s="341">
        <f>+F5571-G5571</f>
        <v>110000</v>
      </c>
      <c r="F5571" s="345">
        <v>110000</v>
      </c>
      <c r="G5571" s="396">
        <v>0</v>
      </c>
      <c r="H5571" s="156" t="s">
        <v>1216</v>
      </c>
      <c r="I5571" s="401" t="s">
        <v>296</v>
      </c>
      <c r="K5571" s="370"/>
      <c r="N5571" s="370"/>
    </row>
    <row r="5572" spans="1:14" s="347" customFormat="1" x14ac:dyDescent="0.25">
      <c r="A5572" s="339">
        <f>+A5571</f>
        <v>44487</v>
      </c>
      <c r="B5572" s="340">
        <f>+MONTH(A5572)</f>
        <v>10</v>
      </c>
      <c r="C5572" s="338">
        <v>3110</v>
      </c>
      <c r="D5572" s="347" t="str">
        <f>VLOOKUP(C5572,Plan!A$1:B$65542,2,0)</f>
        <v>Colectas Normales</v>
      </c>
      <c r="E5572" s="341">
        <f>+F5572-G5572</f>
        <v>-110000</v>
      </c>
      <c r="F5572" s="345">
        <v>0</v>
      </c>
      <c r="G5572" s="396">
        <f>+F5571</f>
        <v>110000</v>
      </c>
      <c r="H5572" t="str">
        <f>+H5571</f>
        <v>Colecta Trinidad Barriga Cruzat</v>
      </c>
      <c r="I5572" s="401" t="s">
        <v>296</v>
      </c>
      <c r="K5572" s="370"/>
      <c r="N5572" s="370"/>
    </row>
    <row r="5573" spans="1:14" s="347" customFormat="1" x14ac:dyDescent="0.25">
      <c r="A5573" s="369"/>
      <c r="E5573" s="396"/>
      <c r="F5573" s="396"/>
      <c r="G5573" s="396"/>
      <c r="K5573" s="370"/>
      <c r="N5573" s="370"/>
    </row>
    <row r="5574" spans="1:14" s="347" customFormat="1" x14ac:dyDescent="0.25">
      <c r="A5574" s="339">
        <v>44487</v>
      </c>
      <c r="B5574" s="340">
        <f>+MONTH(A5574)</f>
        <v>10</v>
      </c>
      <c r="C5574" s="338">
        <v>110</v>
      </c>
      <c r="D5574" s="347" t="str">
        <f>VLOOKUP(C5574,Plan!A$1:B$65542,2,0)</f>
        <v>Disponible Administración</v>
      </c>
      <c r="E5574" s="341">
        <f>+F5574-G5574</f>
        <v>613920</v>
      </c>
      <c r="F5574" s="345">
        <v>613920</v>
      </c>
      <c r="G5574" s="396">
        <v>0</v>
      </c>
      <c r="H5574" t="s">
        <v>2127</v>
      </c>
      <c r="I5574" s="401" t="s">
        <v>296</v>
      </c>
      <c r="K5574" s="370"/>
      <c r="N5574" s="370"/>
    </row>
    <row r="5575" spans="1:14" s="347" customFormat="1" x14ac:dyDescent="0.25">
      <c r="A5575" s="339">
        <f>+A5574</f>
        <v>44487</v>
      </c>
      <c r="B5575" s="340">
        <f>+MONTH(A5575)</f>
        <v>10</v>
      </c>
      <c r="C5575" s="338">
        <v>3110</v>
      </c>
      <c r="D5575" s="347" t="str">
        <f>VLOOKUP(C5575,Plan!A$1:B$65542,2,0)</f>
        <v>Colectas Normales</v>
      </c>
      <c r="E5575" s="341">
        <f>+F5575-G5575</f>
        <v>-613920</v>
      </c>
      <c r="F5575" s="345">
        <v>0</v>
      </c>
      <c r="G5575" s="396">
        <f>+F5574</f>
        <v>613920</v>
      </c>
      <c r="H5575" t="str">
        <f>+H5574</f>
        <v>Colecta Col.Cordillera y Cumbres</v>
      </c>
      <c r="I5575" s="401" t="s">
        <v>296</v>
      </c>
      <c r="K5575" s="370"/>
      <c r="N5575" s="370"/>
    </row>
    <row r="5576" spans="1:14" s="347" customFormat="1" x14ac:dyDescent="0.25">
      <c r="A5576" s="369"/>
      <c r="E5576" s="396"/>
      <c r="F5576" s="396"/>
      <c r="G5576" s="396"/>
      <c r="K5576" s="370"/>
      <c r="N5576" s="370"/>
    </row>
    <row r="5577" spans="1:14" s="347" customFormat="1" x14ac:dyDescent="0.25">
      <c r="A5577" s="339">
        <v>44488</v>
      </c>
      <c r="B5577" s="340">
        <f>+MONTH(A5577)</f>
        <v>10</v>
      </c>
      <c r="C5577" s="338">
        <v>110</v>
      </c>
      <c r="D5577" s="347" t="str">
        <f>VLOOKUP(C5577,Plan!A$1:B$65542,2,0)</f>
        <v>Disponible Administración</v>
      </c>
      <c r="E5577" s="341">
        <f>+F5577-G5577</f>
        <v>5451</v>
      </c>
      <c r="F5577" s="345">
        <v>5451</v>
      </c>
      <c r="G5577" s="396">
        <v>0</v>
      </c>
      <c r="H5577" t="s">
        <v>1338</v>
      </c>
      <c r="I5577" s="401" t="s">
        <v>296</v>
      </c>
      <c r="K5577" s="370"/>
      <c r="N5577" s="370"/>
    </row>
    <row r="5578" spans="1:14" s="347" customFormat="1" x14ac:dyDescent="0.25">
      <c r="A5578" s="339">
        <f>+A5577</f>
        <v>44488</v>
      </c>
      <c r="B5578" s="340">
        <f>+MONTH(A5578)</f>
        <v>10</v>
      </c>
      <c r="C5578" s="338">
        <v>3340</v>
      </c>
      <c r="D5578" s="347" t="str">
        <f>VLOOKUP(C5578,Plan!A$1:B$65542,2,0)</f>
        <v>Misas</v>
      </c>
      <c r="E5578" s="341">
        <f>+F5578-G5578</f>
        <v>-5451</v>
      </c>
      <c r="F5578" s="345">
        <v>0</v>
      </c>
      <c r="G5578" s="396">
        <f>+F5577</f>
        <v>5451</v>
      </c>
      <c r="H5578" t="str">
        <f>+H5577</f>
        <v>Misa DCT</v>
      </c>
      <c r="I5578" s="401" t="s">
        <v>296</v>
      </c>
      <c r="K5578" s="370"/>
      <c r="N5578" s="370"/>
    </row>
    <row r="5579" spans="1:14" s="347" customFormat="1" x14ac:dyDescent="0.25">
      <c r="A5579" s="369"/>
      <c r="E5579" s="396"/>
      <c r="F5579" s="396"/>
      <c r="G5579" s="396"/>
      <c r="K5579" s="370"/>
      <c r="N5579" s="370"/>
    </row>
    <row r="5580" spans="1:14" s="347" customFormat="1" x14ac:dyDescent="0.25">
      <c r="A5580" s="339">
        <v>44488</v>
      </c>
      <c r="B5580" s="340">
        <f>+MONTH(A5580)</f>
        <v>10</v>
      </c>
      <c r="C5580" s="338">
        <v>110</v>
      </c>
      <c r="D5580" s="347" t="str">
        <f>VLOOKUP(C5580,Plan!A$1:B$65542,2,0)</f>
        <v>Disponible Administración</v>
      </c>
      <c r="E5580" s="341">
        <f>+F5580-G5580</f>
        <v>20000</v>
      </c>
      <c r="F5580" s="345">
        <v>20000</v>
      </c>
      <c r="G5580" s="396">
        <v>0</v>
      </c>
      <c r="H5580" t="s">
        <v>2146</v>
      </c>
      <c r="I5580" s="401" t="s">
        <v>296</v>
      </c>
      <c r="K5580" s="370"/>
      <c r="N5580" s="370"/>
    </row>
    <row r="5581" spans="1:14" s="347" customFormat="1" x14ac:dyDescent="0.25">
      <c r="A5581" s="339">
        <f>+A5580</f>
        <v>44488</v>
      </c>
      <c r="B5581" s="340">
        <f>+MONTH(A5581)</f>
        <v>10</v>
      </c>
      <c r="C5581" s="338">
        <v>3350</v>
      </c>
      <c r="D5581" s="347" t="str">
        <f>VLOOKUP(C5581,Plan!A$1:B$65542,2,0)</f>
        <v>Bautizos</v>
      </c>
      <c r="E5581" s="341">
        <f>+F5581-G5581</f>
        <v>-20000</v>
      </c>
      <c r="F5581" s="345">
        <v>0</v>
      </c>
      <c r="G5581" s="396">
        <f>+F5580</f>
        <v>20000</v>
      </c>
      <c r="H5581" t="str">
        <f>+H5580</f>
        <v>Bautizo Gonzalo Miguel Aguilera Moya</v>
      </c>
      <c r="I5581" s="401" t="s">
        <v>296</v>
      </c>
      <c r="K5581" s="370"/>
      <c r="N5581" s="370"/>
    </row>
    <row r="5582" spans="1:14" s="347" customFormat="1" x14ac:dyDescent="0.25">
      <c r="A5582" s="369"/>
      <c r="E5582" s="396"/>
      <c r="F5582" s="396"/>
      <c r="G5582" s="396"/>
      <c r="K5582" s="370"/>
      <c r="N5582" s="370"/>
    </row>
    <row r="5583" spans="1:14" s="347" customFormat="1" x14ac:dyDescent="0.25">
      <c r="A5583" s="495">
        <v>44489</v>
      </c>
      <c r="B5583" s="496">
        <f>+MONTH(A5583)</f>
        <v>10</v>
      </c>
      <c r="C5583" s="491">
        <v>110</v>
      </c>
      <c r="D5583" s="492" t="str">
        <f>VLOOKUP(C5583,Plan!A$1:B$65542,2,0)</f>
        <v>Disponible Administración</v>
      </c>
      <c r="E5583" s="497">
        <f>+F5583-G5583</f>
        <v>4901</v>
      </c>
      <c r="F5583" s="493">
        <v>4901</v>
      </c>
      <c r="G5583" s="498">
        <v>0</v>
      </c>
      <c r="H5583" s="491" t="s">
        <v>897</v>
      </c>
      <c r="I5583" s="499" t="s">
        <v>296</v>
      </c>
      <c r="K5583" s="370"/>
      <c r="N5583" s="370"/>
    </row>
    <row r="5584" spans="1:14" s="347" customFormat="1" x14ac:dyDescent="0.25">
      <c r="A5584" s="495">
        <f>+A5583</f>
        <v>44489</v>
      </c>
      <c r="B5584" s="496">
        <f>+MONTH(A5584)</f>
        <v>10</v>
      </c>
      <c r="C5584" s="491">
        <v>3110</v>
      </c>
      <c r="D5584" s="492" t="str">
        <f>VLOOKUP(C5584,Plan!A$1:B$65542,2,0)</f>
        <v>Colectas Normales</v>
      </c>
      <c r="E5584" s="497">
        <f>+F5584-G5584</f>
        <v>-4901</v>
      </c>
      <c r="F5584" s="493">
        <v>0</v>
      </c>
      <c r="G5584" s="498">
        <f>+F5583</f>
        <v>4901</v>
      </c>
      <c r="H5584" s="491" t="str">
        <f>+H5583</f>
        <v>Colecta DCT</v>
      </c>
      <c r="I5584" s="499" t="s">
        <v>296</v>
      </c>
      <c r="K5584" s="370"/>
      <c r="N5584" s="370"/>
    </row>
    <row r="5585" spans="1:14" s="347" customFormat="1" x14ac:dyDescent="0.25">
      <c r="A5585" s="500"/>
      <c r="B5585" s="492"/>
      <c r="C5585" s="492"/>
      <c r="D5585" s="492"/>
      <c r="E5585" s="498"/>
      <c r="F5585" s="498"/>
      <c r="G5585" s="498"/>
      <c r="H5585" s="492"/>
      <c r="I5585" s="492"/>
      <c r="K5585" s="370"/>
      <c r="N5585" s="370"/>
    </row>
    <row r="5586" spans="1:14" s="347" customFormat="1" x14ac:dyDescent="0.25">
      <c r="A5586" s="495">
        <v>44489</v>
      </c>
      <c r="B5586" s="496">
        <f>+MONTH(A5586)</f>
        <v>10</v>
      </c>
      <c r="C5586" s="491">
        <v>110</v>
      </c>
      <c r="D5586" s="492" t="str">
        <f>VLOOKUP(C5586,Plan!A$1:B$65542,2,0)</f>
        <v>Disponible Administración</v>
      </c>
      <c r="E5586" s="497">
        <f>+F5586-G5586</f>
        <v>20000</v>
      </c>
      <c r="F5586" s="493">
        <v>20000</v>
      </c>
      <c r="G5586" s="498">
        <v>0</v>
      </c>
      <c r="H5586" s="491" t="s">
        <v>2147</v>
      </c>
      <c r="I5586" s="499" t="s">
        <v>296</v>
      </c>
      <c r="K5586" s="370"/>
      <c r="N5586" s="370"/>
    </row>
    <row r="5587" spans="1:14" s="347" customFormat="1" x14ac:dyDescent="0.25">
      <c r="A5587" s="495">
        <f>+A5586</f>
        <v>44489</v>
      </c>
      <c r="B5587" s="496">
        <f>+MONTH(A5587)</f>
        <v>10</v>
      </c>
      <c r="C5587" s="491">
        <v>3110</v>
      </c>
      <c r="D5587" s="492" t="str">
        <f>VLOOKUP(C5587,Plan!A$1:B$65542,2,0)</f>
        <v>Colectas Normales</v>
      </c>
      <c r="E5587" s="497">
        <f>+F5587-G5587</f>
        <v>-20000</v>
      </c>
      <c r="F5587" s="493">
        <v>0</v>
      </c>
      <c r="G5587" s="498">
        <f>+F5586</f>
        <v>20000</v>
      </c>
      <c r="H5587" s="491" t="str">
        <f>+H5586</f>
        <v>Colecta Eduardo Cristian Sanchez Vicuña</v>
      </c>
      <c r="I5587" s="499" t="s">
        <v>296</v>
      </c>
      <c r="K5587" s="370"/>
      <c r="N5587" s="370"/>
    </row>
    <row r="5588" spans="1:14" s="347" customFormat="1" x14ac:dyDescent="0.25">
      <c r="A5588" s="500"/>
      <c r="B5588" s="492"/>
      <c r="C5588" s="492"/>
      <c r="D5588" s="492"/>
      <c r="E5588" s="498"/>
      <c r="F5588" s="498"/>
      <c r="G5588" s="498"/>
      <c r="H5588" s="492"/>
      <c r="I5588" s="492"/>
      <c r="K5588" s="370"/>
      <c r="N5588" s="370"/>
    </row>
    <row r="5589" spans="1:14" s="347" customFormat="1" x14ac:dyDescent="0.25">
      <c r="A5589" s="495">
        <v>44490</v>
      </c>
      <c r="B5589" s="496">
        <f>+MONTH(A5589)</f>
        <v>10</v>
      </c>
      <c r="C5589" s="491">
        <v>110</v>
      </c>
      <c r="D5589" s="492" t="str">
        <f>VLOOKUP(C5589,Plan!A$1:B$65542,2,0)</f>
        <v>Disponible Administración</v>
      </c>
      <c r="E5589" s="497">
        <f>+F5589-G5589</f>
        <v>15000</v>
      </c>
      <c r="F5589" s="493">
        <v>15000</v>
      </c>
      <c r="G5589" s="498">
        <v>0</v>
      </c>
      <c r="H5589" s="491" t="s">
        <v>943</v>
      </c>
      <c r="I5589" s="499" t="s">
        <v>296</v>
      </c>
      <c r="K5589" s="370"/>
      <c r="N5589" s="370"/>
    </row>
    <row r="5590" spans="1:14" s="347" customFormat="1" x14ac:dyDescent="0.25">
      <c r="A5590" s="495">
        <f>+A5589</f>
        <v>44490</v>
      </c>
      <c r="B5590" s="496">
        <f>+MONTH(A5590)</f>
        <v>10</v>
      </c>
      <c r="C5590" s="491">
        <v>3110</v>
      </c>
      <c r="D5590" s="492" t="str">
        <f>VLOOKUP(C5590,Plan!A$1:B$65542,2,0)</f>
        <v>Colectas Normales</v>
      </c>
      <c r="E5590" s="497">
        <f>+F5590-G5590</f>
        <v>-15000</v>
      </c>
      <c r="F5590" s="493">
        <v>0</v>
      </c>
      <c r="G5590" s="498">
        <f>+F5589</f>
        <v>15000</v>
      </c>
      <c r="H5590" s="491" t="str">
        <f>+H5589</f>
        <v>Colecta Carolina Guridi G</v>
      </c>
      <c r="I5590" s="499" t="s">
        <v>296</v>
      </c>
      <c r="K5590" s="370"/>
      <c r="N5590" s="370"/>
    </row>
    <row r="5591" spans="1:14" s="347" customFormat="1" x14ac:dyDescent="0.25">
      <c r="A5591" s="500"/>
      <c r="B5591" s="492"/>
      <c r="C5591" s="492"/>
      <c r="D5591" s="492"/>
      <c r="E5591" s="498"/>
      <c r="F5591" s="498"/>
      <c r="G5591" s="498"/>
      <c r="H5591" s="492"/>
      <c r="I5591" s="492"/>
      <c r="K5591" s="370"/>
      <c r="N5591" s="370"/>
    </row>
    <row r="5592" spans="1:14" s="347" customFormat="1" x14ac:dyDescent="0.25">
      <c r="A5592" s="495">
        <v>44490</v>
      </c>
      <c r="B5592" s="496">
        <f>+MONTH(A5592)</f>
        <v>10</v>
      </c>
      <c r="C5592" s="491">
        <v>110</v>
      </c>
      <c r="D5592" s="492" t="str">
        <f>VLOOKUP(C5592,Plan!A$1:B$65542,2,0)</f>
        <v>Disponible Administración</v>
      </c>
      <c r="E5592" s="497">
        <f>+F5592-G5592</f>
        <v>14000</v>
      </c>
      <c r="F5592" s="493">
        <v>14000</v>
      </c>
      <c r="G5592" s="498">
        <v>0</v>
      </c>
      <c r="H5592" s="491" t="s">
        <v>2148</v>
      </c>
      <c r="I5592" s="499" t="s">
        <v>296</v>
      </c>
      <c r="K5592" s="370"/>
      <c r="N5592" s="370"/>
    </row>
    <row r="5593" spans="1:14" s="347" customFormat="1" x14ac:dyDescent="0.25">
      <c r="A5593" s="495">
        <f>+A5592</f>
        <v>44490</v>
      </c>
      <c r="B5593" s="496">
        <f>+MONTH(A5593)</f>
        <v>10</v>
      </c>
      <c r="C5593" s="491">
        <v>3110</v>
      </c>
      <c r="D5593" s="492" t="str">
        <f>VLOOKUP(C5593,Plan!A$1:B$65542,2,0)</f>
        <v>Colectas Normales</v>
      </c>
      <c r="E5593" s="497">
        <f>+F5593-G5593</f>
        <v>-14000</v>
      </c>
      <c r="F5593" s="493">
        <v>0</v>
      </c>
      <c r="G5593" s="498">
        <f>+F5592</f>
        <v>14000</v>
      </c>
      <c r="H5593" s="491" t="str">
        <f>+H5592</f>
        <v>Colecta JAVE</v>
      </c>
      <c r="I5593" s="499" t="s">
        <v>296</v>
      </c>
      <c r="K5593" s="370"/>
      <c r="N5593" s="370"/>
    </row>
    <row r="5594" spans="1:14" s="347" customFormat="1" x14ac:dyDescent="0.25">
      <c r="A5594" s="500"/>
      <c r="B5594" s="492"/>
      <c r="C5594" s="492"/>
      <c r="D5594" s="492"/>
      <c r="E5594" s="498"/>
      <c r="F5594" s="498"/>
      <c r="G5594" s="498"/>
      <c r="H5594" s="492"/>
      <c r="I5594" s="492"/>
      <c r="K5594" s="370"/>
      <c r="N5594" s="370"/>
    </row>
    <row r="5595" spans="1:14" s="347" customFormat="1" x14ac:dyDescent="0.25">
      <c r="A5595" s="495">
        <v>44490</v>
      </c>
      <c r="B5595" s="496">
        <f>+MONTH(A5595)</f>
        <v>10</v>
      </c>
      <c r="C5595" s="491">
        <v>110</v>
      </c>
      <c r="D5595" s="492" t="str">
        <f>VLOOKUP(C5595,Plan!A$1:B$65542,2,0)</f>
        <v>Disponible Administración</v>
      </c>
      <c r="E5595" s="497">
        <f>+F5595-G5595</f>
        <v>20000</v>
      </c>
      <c r="F5595" s="493">
        <v>20000</v>
      </c>
      <c r="G5595" s="498">
        <v>0</v>
      </c>
      <c r="H5595" s="491" t="s">
        <v>2149</v>
      </c>
      <c r="I5595" s="499" t="s">
        <v>296</v>
      </c>
      <c r="K5595" s="370"/>
      <c r="N5595" s="370"/>
    </row>
    <row r="5596" spans="1:14" s="347" customFormat="1" x14ac:dyDescent="0.25">
      <c r="A5596" s="495">
        <f>+A5595</f>
        <v>44490</v>
      </c>
      <c r="B5596" s="496">
        <f>+MONTH(A5596)</f>
        <v>10</v>
      </c>
      <c r="C5596" s="491">
        <v>3350</v>
      </c>
      <c r="D5596" s="492" t="str">
        <f>VLOOKUP(C5596,Plan!A$1:B$65542,2,0)</f>
        <v>Bautizos</v>
      </c>
      <c r="E5596" s="497">
        <f>+F5596-G5596</f>
        <v>-20000</v>
      </c>
      <c r="F5596" s="493">
        <v>0</v>
      </c>
      <c r="G5596" s="498">
        <f>+F5595</f>
        <v>20000</v>
      </c>
      <c r="H5596" s="491" t="str">
        <f>+H5595</f>
        <v>Bautizo Raffaela Corte Antonelli</v>
      </c>
      <c r="I5596" s="499" t="s">
        <v>296</v>
      </c>
      <c r="K5596" s="370"/>
      <c r="N5596" s="370"/>
    </row>
    <row r="5597" spans="1:14" s="347" customFormat="1" x14ac:dyDescent="0.25">
      <c r="A5597" s="500"/>
      <c r="B5597" s="492"/>
      <c r="C5597" s="492"/>
      <c r="D5597" s="492"/>
      <c r="E5597" s="498"/>
      <c r="F5597" s="498"/>
      <c r="G5597" s="498"/>
      <c r="H5597" s="492"/>
      <c r="I5597" s="492"/>
      <c r="K5597" s="370"/>
      <c r="N5597" s="370"/>
    </row>
    <row r="5598" spans="1:14" s="347" customFormat="1" x14ac:dyDescent="0.25">
      <c r="A5598" s="495">
        <v>44491</v>
      </c>
      <c r="B5598" s="496">
        <f>+MONTH(A5598)</f>
        <v>10</v>
      </c>
      <c r="C5598" s="491">
        <v>110</v>
      </c>
      <c r="D5598" s="492" t="str">
        <f>VLOOKUP(C5598,Plan!A$1:B$65542,2,0)</f>
        <v>Disponible Administración</v>
      </c>
      <c r="E5598" s="497">
        <f>+F5598-G5598</f>
        <v>9804</v>
      </c>
      <c r="F5598" s="493">
        <v>9804</v>
      </c>
      <c r="G5598" s="498">
        <v>0</v>
      </c>
      <c r="H5598" s="491" t="s">
        <v>1338</v>
      </c>
      <c r="I5598" s="499" t="s">
        <v>296</v>
      </c>
      <c r="K5598" s="370"/>
      <c r="N5598" s="370"/>
    </row>
    <row r="5599" spans="1:14" s="347" customFormat="1" x14ac:dyDescent="0.25">
      <c r="A5599" s="495">
        <f>+A5598</f>
        <v>44491</v>
      </c>
      <c r="B5599" s="496">
        <f>+MONTH(A5599)</f>
        <v>10</v>
      </c>
      <c r="C5599" s="491">
        <v>3340</v>
      </c>
      <c r="D5599" s="492" t="str">
        <f>VLOOKUP(C5599,Plan!A$1:B$65542,2,0)</f>
        <v>Misas</v>
      </c>
      <c r="E5599" s="497">
        <f>+F5599-G5599</f>
        <v>-9804</v>
      </c>
      <c r="F5599" s="493">
        <v>0</v>
      </c>
      <c r="G5599" s="498">
        <f>+F5598</f>
        <v>9804</v>
      </c>
      <c r="H5599" s="491" t="str">
        <f>+H5598</f>
        <v>Misa DCT</v>
      </c>
      <c r="I5599" s="499" t="s">
        <v>296</v>
      </c>
      <c r="K5599" s="370"/>
      <c r="N5599" s="370"/>
    </row>
    <row r="5600" spans="1:14" s="347" customFormat="1" x14ac:dyDescent="0.25">
      <c r="A5600" s="500"/>
      <c r="B5600" s="492"/>
      <c r="C5600" s="492"/>
      <c r="D5600" s="492"/>
      <c r="E5600" s="498"/>
      <c r="F5600" s="498"/>
      <c r="G5600" s="498"/>
      <c r="H5600" s="492"/>
      <c r="I5600" s="492"/>
      <c r="K5600" s="370"/>
      <c r="N5600" s="370"/>
    </row>
    <row r="5601" spans="1:14" s="347" customFormat="1" x14ac:dyDescent="0.25">
      <c r="A5601" s="495">
        <v>44491</v>
      </c>
      <c r="B5601" s="496">
        <f>+MONTH(A5601)</f>
        <v>10</v>
      </c>
      <c r="C5601" s="491">
        <v>110</v>
      </c>
      <c r="D5601" s="492" t="str">
        <f>VLOOKUP(C5601,Plan!A$1:B$65542,2,0)</f>
        <v>Disponible Administración</v>
      </c>
      <c r="E5601" s="497">
        <f>+F5601-G5601</f>
        <v>20000</v>
      </c>
      <c r="F5601" s="493">
        <v>20000</v>
      </c>
      <c r="G5601" s="498">
        <v>0</v>
      </c>
      <c r="H5601" s="491" t="s">
        <v>2150</v>
      </c>
      <c r="I5601" s="499" t="s">
        <v>296</v>
      </c>
      <c r="K5601" s="370"/>
      <c r="N5601" s="370"/>
    </row>
    <row r="5602" spans="1:14" s="347" customFormat="1" x14ac:dyDescent="0.25">
      <c r="A5602" s="495">
        <f>+A5601</f>
        <v>44491</v>
      </c>
      <c r="B5602" s="496">
        <f>+MONTH(A5602)</f>
        <v>10</v>
      </c>
      <c r="C5602" s="491">
        <v>3350</v>
      </c>
      <c r="D5602" s="492" t="str">
        <f>VLOOKUP(C5602,Plan!A$1:B$65542,2,0)</f>
        <v>Bautizos</v>
      </c>
      <c r="E5602" s="497">
        <f>+F5602-G5602</f>
        <v>-20000</v>
      </c>
      <c r="F5602" s="493">
        <v>0</v>
      </c>
      <c r="G5602" s="498">
        <f>+F5601</f>
        <v>20000</v>
      </c>
      <c r="H5602" s="491" t="str">
        <f>+H5601</f>
        <v>Bautizo Mariana Garcia Schmidt</v>
      </c>
      <c r="I5602" s="499" t="s">
        <v>296</v>
      </c>
      <c r="K5602" s="370"/>
      <c r="N5602" s="370"/>
    </row>
    <row r="5603" spans="1:14" s="347" customFormat="1" x14ac:dyDescent="0.25">
      <c r="A5603" s="500"/>
      <c r="B5603" s="492"/>
      <c r="C5603" s="492"/>
      <c r="D5603" s="492"/>
      <c r="E5603" s="498"/>
      <c r="F5603" s="498"/>
      <c r="G5603" s="498"/>
      <c r="H5603" s="492"/>
      <c r="I5603" s="492"/>
      <c r="K5603" s="370"/>
      <c r="N5603" s="370"/>
    </row>
    <row r="5604" spans="1:14" s="347" customFormat="1" x14ac:dyDescent="0.25">
      <c r="A5604" s="495">
        <v>44494</v>
      </c>
      <c r="B5604" s="496">
        <f>+MONTH(A5604)</f>
        <v>10</v>
      </c>
      <c r="C5604" s="491">
        <v>4326</v>
      </c>
      <c r="D5604" s="492" t="str">
        <f>VLOOKUP(C5604,Plan!A$1:B$65542,2,0)</f>
        <v>Seguros</v>
      </c>
      <c r="E5604" s="497">
        <f>+F5604-G5604</f>
        <v>52047</v>
      </c>
      <c r="F5604" s="493">
        <v>52047</v>
      </c>
      <c r="G5604" s="498">
        <v>0</v>
      </c>
      <c r="H5604" s="491" t="s">
        <v>1198</v>
      </c>
      <c r="I5604" s="499" t="s">
        <v>296</v>
      </c>
      <c r="K5604" s="370"/>
      <c r="N5604" s="370"/>
    </row>
    <row r="5605" spans="1:14" s="347" customFormat="1" x14ac:dyDescent="0.25">
      <c r="A5605" s="495">
        <f>+A5604</f>
        <v>44494</v>
      </c>
      <c r="B5605" s="496">
        <f>+MONTH(A5605)</f>
        <v>10</v>
      </c>
      <c r="C5605" s="491">
        <v>110</v>
      </c>
      <c r="D5605" s="492" t="str">
        <f>VLOOKUP(C5605,Plan!A$1:B$65542,2,0)</f>
        <v>Disponible Administración</v>
      </c>
      <c r="E5605" s="497">
        <f>+F5605-G5605</f>
        <v>-52047</v>
      </c>
      <c r="F5605" s="493">
        <v>0</v>
      </c>
      <c r="G5605" s="498">
        <f>+F5604</f>
        <v>52047</v>
      </c>
      <c r="H5605" s="491" t="str">
        <f>+H5604</f>
        <v>PAC PORVENIR</v>
      </c>
      <c r="I5605" s="499" t="s">
        <v>296</v>
      </c>
      <c r="K5605" s="370"/>
      <c r="N5605" s="370"/>
    </row>
    <row r="5606" spans="1:14" s="347" customFormat="1" x14ac:dyDescent="0.25">
      <c r="A5606" s="500"/>
      <c r="B5606" s="492"/>
      <c r="C5606" s="492"/>
      <c r="D5606" s="492"/>
      <c r="E5606" s="498"/>
      <c r="F5606" s="498"/>
      <c r="G5606" s="498"/>
      <c r="H5606" s="492"/>
      <c r="I5606" s="492"/>
      <c r="K5606" s="370"/>
      <c r="N5606" s="370"/>
    </row>
    <row r="5607" spans="1:14" s="347" customFormat="1" x14ac:dyDescent="0.25">
      <c r="A5607" s="495">
        <v>44494</v>
      </c>
      <c r="B5607" s="496">
        <f>+MONTH(A5607)</f>
        <v>10</v>
      </c>
      <c r="C5607" s="491">
        <v>110</v>
      </c>
      <c r="D5607" s="492" t="str">
        <f>VLOOKUP(C5607,Plan!A$1:B$65542,2,0)</f>
        <v>Disponible Administración</v>
      </c>
      <c r="E5607" s="497">
        <f>+F5607-G5607</f>
        <v>30000</v>
      </c>
      <c r="F5607" s="493">
        <v>30000</v>
      </c>
      <c r="G5607" s="498">
        <v>0</v>
      </c>
      <c r="H5607" s="491" t="s">
        <v>1599</v>
      </c>
      <c r="I5607" s="499" t="s">
        <v>296</v>
      </c>
      <c r="K5607" s="370"/>
      <c r="N5607" s="370"/>
    </row>
    <row r="5608" spans="1:14" s="347" customFormat="1" x14ac:dyDescent="0.25">
      <c r="A5608" s="495">
        <f>+A5607</f>
        <v>44494</v>
      </c>
      <c r="B5608" s="496">
        <f>+MONTH(A5608)</f>
        <v>10</v>
      </c>
      <c r="C5608" s="491">
        <v>3110</v>
      </c>
      <c r="D5608" s="492" t="str">
        <f>VLOOKUP(C5608,Plan!A$1:B$65542,2,0)</f>
        <v>Colectas Normales</v>
      </c>
      <c r="E5608" s="497">
        <f>+F5608-G5608</f>
        <v>-30000</v>
      </c>
      <c r="F5608" s="493">
        <v>0</v>
      </c>
      <c r="G5608" s="498">
        <f>+F5607</f>
        <v>30000</v>
      </c>
      <c r="H5608" s="491" t="str">
        <f>+H5607</f>
        <v>Colecta Yolanda Haase Baeza</v>
      </c>
      <c r="I5608" s="499" t="s">
        <v>296</v>
      </c>
      <c r="K5608" s="370"/>
      <c r="N5608" s="370"/>
    </row>
    <row r="5609" spans="1:14" s="347" customFormat="1" x14ac:dyDescent="0.25">
      <c r="A5609" s="500"/>
      <c r="B5609" s="492"/>
      <c r="C5609" s="492"/>
      <c r="D5609" s="492"/>
      <c r="E5609" s="498"/>
      <c r="F5609" s="498"/>
      <c r="G5609" s="498"/>
      <c r="H5609" s="492"/>
      <c r="I5609" s="492"/>
      <c r="K5609" s="370"/>
      <c r="N5609" s="370"/>
    </row>
    <row r="5610" spans="1:14" s="347" customFormat="1" x14ac:dyDescent="0.25">
      <c r="A5610" s="495">
        <v>44494</v>
      </c>
      <c r="B5610" s="496">
        <f>+MONTH(A5610)</f>
        <v>10</v>
      </c>
      <c r="C5610" s="491">
        <v>110</v>
      </c>
      <c r="D5610" s="492" t="str">
        <f>VLOOKUP(C5610,Plan!A$1:B$65542,2,0)</f>
        <v>Disponible Administración</v>
      </c>
      <c r="E5610" s="497">
        <f>+F5610-G5610</f>
        <v>30000</v>
      </c>
      <c r="F5610" s="493">
        <v>30000</v>
      </c>
      <c r="G5610" s="498">
        <v>0</v>
      </c>
      <c r="H5610" s="491" t="s">
        <v>1600</v>
      </c>
      <c r="I5610" s="499" t="s">
        <v>296</v>
      </c>
      <c r="K5610" s="370"/>
      <c r="N5610" s="370"/>
    </row>
    <row r="5611" spans="1:14" s="347" customFormat="1" x14ac:dyDescent="0.25">
      <c r="A5611" s="495">
        <f>+A5610</f>
        <v>44494</v>
      </c>
      <c r="B5611" s="496">
        <f>+MONTH(A5611)</f>
        <v>10</v>
      </c>
      <c r="C5611" s="491">
        <v>3450</v>
      </c>
      <c r="D5611" s="492" t="str">
        <f>VLOOKUP(C5611,Plan!A$1:B$65542,2,0)</f>
        <v>Pastoral Social</v>
      </c>
      <c r="E5611" s="497">
        <f>+F5611-G5611</f>
        <v>-30000</v>
      </c>
      <c r="F5611" s="493">
        <v>0</v>
      </c>
      <c r="G5611" s="498">
        <f>+F5610</f>
        <v>30000</v>
      </c>
      <c r="H5611" s="491" t="str">
        <f>+H5610</f>
        <v>Canastas Yolanda Haase Baeza</v>
      </c>
      <c r="I5611" s="499" t="s">
        <v>296</v>
      </c>
      <c r="K5611" s="370"/>
      <c r="N5611" s="370"/>
    </row>
    <row r="5612" spans="1:14" s="347" customFormat="1" x14ac:dyDescent="0.25">
      <c r="A5612" s="500"/>
      <c r="B5612" s="492"/>
      <c r="C5612" s="492"/>
      <c r="D5612" s="492"/>
      <c r="E5612" s="498"/>
      <c r="F5612" s="498"/>
      <c r="G5612" s="498"/>
      <c r="H5612" s="492"/>
      <c r="I5612" s="492"/>
      <c r="K5612" s="370"/>
      <c r="N5612" s="370"/>
    </row>
    <row r="5613" spans="1:14" s="347" customFormat="1" x14ac:dyDescent="0.25">
      <c r="A5613" s="495">
        <v>44494</v>
      </c>
      <c r="B5613" s="496">
        <f>+MONTH(A5613)</f>
        <v>10</v>
      </c>
      <c r="C5613" s="491">
        <v>110</v>
      </c>
      <c r="D5613" s="492" t="str">
        <f>VLOOKUP(C5613,Plan!A$1:B$65542,2,0)</f>
        <v>Disponible Administración</v>
      </c>
      <c r="E5613" s="497">
        <f>+F5613-G5613</f>
        <v>30000</v>
      </c>
      <c r="F5613" s="493">
        <v>30000</v>
      </c>
      <c r="G5613" s="498">
        <v>0</v>
      </c>
      <c r="H5613" s="491" t="s">
        <v>675</v>
      </c>
      <c r="I5613" s="499" t="s">
        <v>296</v>
      </c>
      <c r="K5613" s="370"/>
      <c r="N5613" s="370"/>
    </row>
    <row r="5614" spans="1:14" s="347" customFormat="1" x14ac:dyDescent="0.25">
      <c r="A5614" s="495">
        <f>+A5613</f>
        <v>44494</v>
      </c>
      <c r="B5614" s="496">
        <f>+MONTH(A5614)</f>
        <v>10</v>
      </c>
      <c r="C5614" s="491">
        <v>215</v>
      </c>
      <c r="D5614" s="492" t="str">
        <f>VLOOKUP(C5614,Plan!A$1:B$65542,2,0)</f>
        <v>Cuenta por Pagar a Cali</v>
      </c>
      <c r="E5614" s="497">
        <f>+F5614-G5614</f>
        <v>-30000</v>
      </c>
      <c r="F5614" s="493">
        <v>0</v>
      </c>
      <c r="G5614" s="498">
        <f>+F5613</f>
        <v>30000</v>
      </c>
      <c r="H5614" s="491" t="str">
        <f>+H5613</f>
        <v>Yolanda Haase Baeza / 249</v>
      </c>
      <c r="I5614" s="499" t="s">
        <v>296</v>
      </c>
      <c r="K5614" s="370"/>
      <c r="N5614" s="370"/>
    </row>
    <row r="5615" spans="1:14" s="347" customFormat="1" x14ac:dyDescent="0.25">
      <c r="A5615" s="500"/>
      <c r="B5615" s="492"/>
      <c r="C5615" s="492"/>
      <c r="D5615" s="492"/>
      <c r="E5615" s="498"/>
      <c r="F5615" s="498"/>
      <c r="G5615" s="498"/>
      <c r="H5615" s="492"/>
      <c r="I5615" s="492"/>
      <c r="K5615" s="370"/>
      <c r="N5615" s="370"/>
    </row>
    <row r="5616" spans="1:14" s="347" customFormat="1" x14ac:dyDescent="0.25">
      <c r="A5616" s="495">
        <v>44494</v>
      </c>
      <c r="B5616" s="496">
        <f>+MONTH(A5616)</f>
        <v>10</v>
      </c>
      <c r="C5616" s="491">
        <v>110</v>
      </c>
      <c r="D5616" s="492" t="str">
        <f>VLOOKUP(C5616,Plan!A$1:B$65542,2,0)</f>
        <v>Disponible Administración</v>
      </c>
      <c r="E5616" s="497">
        <f>+F5616-G5616</f>
        <v>10000</v>
      </c>
      <c r="F5616" s="493">
        <v>10000</v>
      </c>
      <c r="G5616" s="498">
        <v>0</v>
      </c>
      <c r="H5616" s="491" t="s">
        <v>1314</v>
      </c>
      <c r="I5616" s="499" t="s">
        <v>296</v>
      </c>
      <c r="K5616" s="370"/>
      <c r="N5616" s="370"/>
    </row>
    <row r="5617" spans="1:14" s="347" customFormat="1" x14ac:dyDescent="0.25">
      <c r="A5617" s="495">
        <f>+A5616</f>
        <v>44494</v>
      </c>
      <c r="B5617" s="496">
        <f>+MONTH(A5617)</f>
        <v>10</v>
      </c>
      <c r="C5617" s="491">
        <v>3110</v>
      </c>
      <c r="D5617" s="492" t="str">
        <f>VLOOKUP(C5617,Plan!A$1:B$65542,2,0)</f>
        <v>Colectas Normales</v>
      </c>
      <c r="E5617" s="497">
        <f>+F5617-G5617</f>
        <v>-10000</v>
      </c>
      <c r="F5617" s="493">
        <v>0</v>
      </c>
      <c r="G5617" s="498">
        <f>+F5616</f>
        <v>10000</v>
      </c>
      <c r="H5617" s="491" t="str">
        <f>+H5616</f>
        <v>Colecta Juan Arnaiz</v>
      </c>
      <c r="I5617" s="499" t="s">
        <v>296</v>
      </c>
      <c r="K5617" s="370"/>
      <c r="N5617" s="370"/>
    </row>
    <row r="5618" spans="1:14" s="347" customFormat="1" x14ac:dyDescent="0.25">
      <c r="A5618" s="500"/>
      <c r="B5618" s="492"/>
      <c r="C5618" s="492"/>
      <c r="D5618" s="492"/>
      <c r="E5618" s="498"/>
      <c r="F5618" s="498"/>
      <c r="G5618" s="498"/>
      <c r="H5618" s="492"/>
      <c r="I5618" s="492"/>
      <c r="K5618" s="370"/>
      <c r="N5618" s="370"/>
    </row>
    <row r="5619" spans="1:14" s="347" customFormat="1" x14ac:dyDescent="0.25">
      <c r="A5619" s="495">
        <v>44494</v>
      </c>
      <c r="B5619" s="496">
        <f>+MONTH(A5619)</f>
        <v>10</v>
      </c>
      <c r="C5619" s="491">
        <v>110</v>
      </c>
      <c r="D5619" s="492" t="str">
        <f>VLOOKUP(C5619,Plan!A$1:B$65542,2,0)</f>
        <v>Disponible Administración</v>
      </c>
      <c r="E5619" s="497">
        <f>+F5619-G5619</f>
        <v>10000</v>
      </c>
      <c r="F5619" s="493">
        <v>10000</v>
      </c>
      <c r="G5619" s="498">
        <v>0</v>
      </c>
      <c r="H5619" s="491" t="s">
        <v>881</v>
      </c>
      <c r="I5619" s="499" t="s">
        <v>296</v>
      </c>
      <c r="K5619" s="370"/>
      <c r="N5619" s="370"/>
    </row>
    <row r="5620" spans="1:14" s="347" customFormat="1" x14ac:dyDescent="0.25">
      <c r="A5620" s="495">
        <f>+A5619</f>
        <v>44494</v>
      </c>
      <c r="B5620" s="496">
        <f>+MONTH(A5620)</f>
        <v>10</v>
      </c>
      <c r="C5620" s="491">
        <v>3110</v>
      </c>
      <c r="D5620" s="492" t="str">
        <f>VLOOKUP(C5620,Plan!A$1:B$65542,2,0)</f>
        <v>Colectas Normales</v>
      </c>
      <c r="E5620" s="497">
        <f>+F5620-G5620</f>
        <v>-10000</v>
      </c>
      <c r="F5620" s="493">
        <v>0</v>
      </c>
      <c r="G5620" s="498">
        <f>+F5619</f>
        <v>10000</v>
      </c>
      <c r="H5620" s="491" t="str">
        <f>+H5619</f>
        <v>Colecta Rafael Marin Jordan</v>
      </c>
      <c r="I5620" s="499" t="s">
        <v>296</v>
      </c>
      <c r="K5620" s="370"/>
      <c r="N5620" s="370"/>
    </row>
    <row r="5621" spans="1:14" s="347" customFormat="1" x14ac:dyDescent="0.25">
      <c r="A5621" s="500"/>
      <c r="B5621" s="492"/>
      <c r="C5621" s="492"/>
      <c r="D5621" s="492"/>
      <c r="E5621" s="498"/>
      <c r="F5621" s="498"/>
      <c r="G5621" s="498"/>
      <c r="H5621" s="492"/>
      <c r="I5621" s="492"/>
      <c r="K5621" s="370"/>
      <c r="N5621" s="370"/>
    </row>
    <row r="5622" spans="1:14" s="347" customFormat="1" x14ac:dyDescent="0.25">
      <c r="A5622" s="495">
        <v>44494</v>
      </c>
      <c r="B5622" s="496">
        <f>+MONTH(A5622)</f>
        <v>10</v>
      </c>
      <c r="C5622" s="491">
        <v>110</v>
      </c>
      <c r="D5622" s="492" t="str">
        <f>VLOOKUP(C5622,Plan!A$1:B$65542,2,0)</f>
        <v>Disponible Administración</v>
      </c>
      <c r="E5622" s="497">
        <f>+F5622-G5622</f>
        <v>10000</v>
      </c>
      <c r="F5622" s="493">
        <v>10000</v>
      </c>
      <c r="G5622" s="498">
        <v>0</v>
      </c>
      <c r="H5622" s="491" t="s">
        <v>971</v>
      </c>
      <c r="I5622" s="499" t="s">
        <v>296</v>
      </c>
      <c r="K5622" s="370"/>
      <c r="N5622" s="370"/>
    </row>
    <row r="5623" spans="1:14" s="347" customFormat="1" x14ac:dyDescent="0.25">
      <c r="A5623" s="495">
        <f>+A5622</f>
        <v>44494</v>
      </c>
      <c r="B5623" s="496">
        <f>+MONTH(A5623)</f>
        <v>10</v>
      </c>
      <c r="C5623" s="491">
        <v>3110</v>
      </c>
      <c r="D5623" s="492" t="str">
        <f>VLOOKUP(C5623,Plan!A$1:B$65542,2,0)</f>
        <v>Colectas Normales</v>
      </c>
      <c r="E5623" s="497">
        <f>+F5623-G5623</f>
        <v>-10000</v>
      </c>
      <c r="F5623" s="493">
        <v>0</v>
      </c>
      <c r="G5623" s="498">
        <f>+F5622</f>
        <v>10000</v>
      </c>
      <c r="H5623" s="491" t="str">
        <f>+H5622</f>
        <v>Colecta Pablo Irarrazaval Mena</v>
      </c>
      <c r="I5623" s="499" t="s">
        <v>296</v>
      </c>
      <c r="K5623" s="370"/>
      <c r="N5623" s="370"/>
    </row>
    <row r="5624" spans="1:14" s="347" customFormat="1" x14ac:dyDescent="0.25">
      <c r="A5624" s="500"/>
      <c r="B5624" s="492"/>
      <c r="C5624" s="492"/>
      <c r="D5624" s="492"/>
      <c r="E5624" s="498"/>
      <c r="F5624" s="498"/>
      <c r="G5624" s="498"/>
      <c r="H5624" s="492"/>
      <c r="I5624" s="492"/>
      <c r="K5624" s="370"/>
      <c r="N5624" s="370"/>
    </row>
    <row r="5625" spans="1:14" s="347" customFormat="1" x14ac:dyDescent="0.25">
      <c r="A5625" s="495">
        <v>44494</v>
      </c>
      <c r="B5625" s="496">
        <f>+MONTH(A5625)</f>
        <v>10</v>
      </c>
      <c r="C5625" s="491">
        <v>110</v>
      </c>
      <c r="D5625" s="492" t="str">
        <f>VLOOKUP(C5625,Plan!A$1:B$65542,2,0)</f>
        <v>Disponible Administración</v>
      </c>
      <c r="E5625" s="497">
        <f>+F5625-G5625</f>
        <v>20000</v>
      </c>
      <c r="F5625" s="493">
        <v>20000</v>
      </c>
      <c r="G5625" s="498">
        <v>0</v>
      </c>
      <c r="H5625" s="491" t="s">
        <v>1199</v>
      </c>
      <c r="I5625" s="499" t="s">
        <v>296</v>
      </c>
      <c r="K5625" s="370"/>
      <c r="N5625" s="370"/>
    </row>
    <row r="5626" spans="1:14" s="347" customFormat="1" x14ac:dyDescent="0.25">
      <c r="A5626" s="495">
        <f>+A5625</f>
        <v>44494</v>
      </c>
      <c r="B5626" s="496">
        <f>+MONTH(A5626)</f>
        <v>10</v>
      </c>
      <c r="C5626" s="491">
        <v>3110</v>
      </c>
      <c r="D5626" s="492" t="str">
        <f>VLOOKUP(C5626,Plan!A$1:B$65542,2,0)</f>
        <v>Colectas Normales</v>
      </c>
      <c r="E5626" s="497">
        <f>+F5626-G5626</f>
        <v>-20000</v>
      </c>
      <c r="F5626" s="493">
        <v>0</v>
      </c>
      <c r="G5626" s="498">
        <f>+F5625</f>
        <v>20000</v>
      </c>
      <c r="H5626" s="491" t="str">
        <f>+H5625</f>
        <v>Colecta Maria Loreto Valenzuela Arata</v>
      </c>
      <c r="I5626" s="499" t="s">
        <v>296</v>
      </c>
      <c r="K5626" s="370"/>
      <c r="N5626" s="370"/>
    </row>
    <row r="5627" spans="1:14" s="347" customFormat="1" x14ac:dyDescent="0.25">
      <c r="A5627" s="500"/>
      <c r="B5627" s="492"/>
      <c r="C5627" s="492"/>
      <c r="D5627" s="492"/>
      <c r="E5627" s="498"/>
      <c r="F5627" s="498"/>
      <c r="G5627" s="498"/>
      <c r="H5627" s="492"/>
      <c r="I5627" s="492"/>
      <c r="K5627" s="370"/>
      <c r="N5627" s="370"/>
    </row>
    <row r="5628" spans="1:14" s="347" customFormat="1" x14ac:dyDescent="0.25">
      <c r="A5628" s="495">
        <v>44494</v>
      </c>
      <c r="B5628" s="496">
        <f>+MONTH(A5628)</f>
        <v>10</v>
      </c>
      <c r="C5628" s="491">
        <v>110</v>
      </c>
      <c r="D5628" s="492" t="str">
        <f>VLOOKUP(C5628,Plan!A$1:B$65542,2,0)</f>
        <v>Disponible Administración</v>
      </c>
      <c r="E5628" s="497">
        <f>+F5628-G5628</f>
        <v>2000</v>
      </c>
      <c r="F5628" s="493">
        <v>2000</v>
      </c>
      <c r="G5628" s="498">
        <v>0</v>
      </c>
      <c r="H5628" s="491" t="s">
        <v>1216</v>
      </c>
      <c r="I5628" s="499" t="s">
        <v>296</v>
      </c>
      <c r="K5628" s="370"/>
      <c r="N5628" s="370"/>
    </row>
    <row r="5629" spans="1:14" s="347" customFormat="1" x14ac:dyDescent="0.25">
      <c r="A5629" s="495">
        <f>+A5628</f>
        <v>44494</v>
      </c>
      <c r="B5629" s="496">
        <f>+MONTH(A5629)</f>
        <v>10</v>
      </c>
      <c r="C5629" s="491">
        <v>3110</v>
      </c>
      <c r="D5629" s="492" t="str">
        <f>VLOOKUP(C5629,Plan!A$1:B$65542,2,0)</f>
        <v>Colectas Normales</v>
      </c>
      <c r="E5629" s="497">
        <f>+F5629-G5629</f>
        <v>-2000</v>
      </c>
      <c r="F5629" s="493">
        <v>0</v>
      </c>
      <c r="G5629" s="498">
        <f>+F5628</f>
        <v>2000</v>
      </c>
      <c r="H5629" s="491" t="str">
        <f>+H5628</f>
        <v>Colecta Trinidad Barriga Cruzat</v>
      </c>
      <c r="I5629" s="499" t="s">
        <v>296</v>
      </c>
      <c r="K5629" s="370"/>
      <c r="N5629" s="370"/>
    </row>
    <row r="5630" spans="1:14" s="347" customFormat="1" x14ac:dyDescent="0.25">
      <c r="A5630" s="500"/>
      <c r="B5630" s="492"/>
      <c r="C5630" s="492"/>
      <c r="D5630" s="492"/>
      <c r="E5630" s="498"/>
      <c r="F5630" s="498"/>
      <c r="G5630" s="498"/>
      <c r="H5630" s="492"/>
      <c r="I5630" s="492"/>
      <c r="K5630" s="370"/>
      <c r="N5630" s="370"/>
    </row>
    <row r="5631" spans="1:14" s="347" customFormat="1" x14ac:dyDescent="0.25">
      <c r="A5631" s="495">
        <v>44494</v>
      </c>
      <c r="B5631" s="496">
        <f>+MONTH(A5631)</f>
        <v>10</v>
      </c>
      <c r="C5631" s="491">
        <v>110</v>
      </c>
      <c r="D5631" s="492" t="str">
        <f>VLOOKUP(C5631,Plan!A$1:B$65542,2,0)</f>
        <v>Disponible Administración</v>
      </c>
      <c r="E5631" s="497">
        <f>+F5631-G5631</f>
        <v>20000</v>
      </c>
      <c r="F5631" s="493">
        <v>20000</v>
      </c>
      <c r="G5631" s="498">
        <v>0</v>
      </c>
      <c r="H5631" s="491" t="s">
        <v>2151</v>
      </c>
      <c r="I5631" s="499" t="s">
        <v>296</v>
      </c>
      <c r="K5631" s="370"/>
      <c r="N5631" s="370"/>
    </row>
    <row r="5632" spans="1:14" s="347" customFormat="1" x14ac:dyDescent="0.25">
      <c r="A5632" s="495">
        <f>+A5631</f>
        <v>44494</v>
      </c>
      <c r="B5632" s="496">
        <f>+MONTH(A5632)</f>
        <v>10</v>
      </c>
      <c r="C5632" s="491">
        <v>3350</v>
      </c>
      <c r="D5632" s="492" t="str">
        <f>VLOOKUP(C5632,Plan!A$1:B$65542,2,0)</f>
        <v>Bautizos</v>
      </c>
      <c r="E5632" s="497">
        <f>+F5632-G5632</f>
        <v>-20000</v>
      </c>
      <c r="F5632" s="493">
        <v>0</v>
      </c>
      <c r="G5632" s="498">
        <f>+F5631</f>
        <v>20000</v>
      </c>
      <c r="H5632" s="491" t="str">
        <f>+H5631</f>
        <v>Bautizo M. Paz Ramos Polanco</v>
      </c>
      <c r="I5632" s="499" t="s">
        <v>296</v>
      </c>
      <c r="K5632" s="370"/>
      <c r="N5632" s="370"/>
    </row>
    <row r="5633" spans="1:14" s="347" customFormat="1" x14ac:dyDescent="0.25">
      <c r="A5633" s="500"/>
      <c r="B5633" s="492"/>
      <c r="C5633" s="492"/>
      <c r="D5633" s="492"/>
      <c r="E5633" s="498"/>
      <c r="F5633" s="498"/>
      <c r="G5633" s="498"/>
      <c r="H5633" s="492"/>
      <c r="I5633" s="492"/>
      <c r="K5633" s="370"/>
      <c r="N5633" s="370"/>
    </row>
    <row r="5634" spans="1:14" s="347" customFormat="1" x14ac:dyDescent="0.25">
      <c r="A5634" s="495">
        <v>44494</v>
      </c>
      <c r="B5634" s="496">
        <f>+MONTH(A5634)</f>
        <v>10</v>
      </c>
      <c r="C5634" s="491">
        <v>110</v>
      </c>
      <c r="D5634" s="492" t="str">
        <f>VLOOKUP(C5634,Plan!A$1:B$65542,2,0)</f>
        <v>Disponible Administración</v>
      </c>
      <c r="E5634" s="497">
        <f>+F5634-G5634</f>
        <v>868130</v>
      </c>
      <c r="F5634" s="493">
        <v>868130</v>
      </c>
      <c r="G5634" s="498">
        <v>0</v>
      </c>
      <c r="H5634" s="491" t="s">
        <v>2127</v>
      </c>
      <c r="I5634" s="499" t="s">
        <v>296</v>
      </c>
      <c r="K5634" s="370"/>
      <c r="N5634" s="370"/>
    </row>
    <row r="5635" spans="1:14" s="347" customFormat="1" x14ac:dyDescent="0.25">
      <c r="A5635" s="495">
        <f>+A5634</f>
        <v>44494</v>
      </c>
      <c r="B5635" s="496">
        <f>+MONTH(A5635)</f>
        <v>10</v>
      </c>
      <c r="C5635" s="491">
        <v>3110</v>
      </c>
      <c r="D5635" s="492" t="str">
        <f>VLOOKUP(C5635,Plan!A$1:B$65542,2,0)</f>
        <v>Colectas Normales</v>
      </c>
      <c r="E5635" s="497">
        <f>+F5635-G5635</f>
        <v>-868130</v>
      </c>
      <c r="F5635" s="493">
        <v>0</v>
      </c>
      <c r="G5635" s="498">
        <f>+F5634</f>
        <v>868130</v>
      </c>
      <c r="H5635" s="491" t="str">
        <f>+H5634</f>
        <v>Colecta Col.Cordillera y Cumbres</v>
      </c>
      <c r="I5635" s="499" t="s">
        <v>296</v>
      </c>
      <c r="K5635" s="370"/>
      <c r="N5635" s="370"/>
    </row>
    <row r="5636" spans="1:14" s="347" customFormat="1" x14ac:dyDescent="0.25">
      <c r="A5636" s="500"/>
      <c r="B5636" s="492"/>
      <c r="C5636" s="492"/>
      <c r="D5636" s="492"/>
      <c r="E5636" s="498"/>
      <c r="F5636" s="498"/>
      <c r="G5636" s="498"/>
      <c r="H5636" s="492"/>
      <c r="I5636" s="492"/>
      <c r="K5636" s="370"/>
      <c r="N5636" s="370"/>
    </row>
    <row r="5637" spans="1:14" s="347" customFormat="1" x14ac:dyDescent="0.25">
      <c r="A5637" s="495">
        <v>44495</v>
      </c>
      <c r="B5637" s="496">
        <f>+MONTH(A5637)</f>
        <v>10</v>
      </c>
      <c r="C5637" s="491">
        <v>110</v>
      </c>
      <c r="D5637" s="492" t="str">
        <f>VLOOKUP(C5637,Plan!A$1:B$65542,2,0)</f>
        <v>Disponible Administración</v>
      </c>
      <c r="E5637" s="497">
        <f>+F5637-G5637</f>
        <v>10000</v>
      </c>
      <c r="F5637" s="493">
        <v>10000</v>
      </c>
      <c r="G5637" s="498">
        <v>0</v>
      </c>
      <c r="H5637" s="491" t="s">
        <v>1398</v>
      </c>
      <c r="I5637" s="499" t="s">
        <v>296</v>
      </c>
      <c r="K5637" s="370"/>
      <c r="N5637" s="370"/>
    </row>
    <row r="5638" spans="1:14" s="347" customFormat="1" x14ac:dyDescent="0.25">
      <c r="A5638" s="495">
        <f>+A5637</f>
        <v>44495</v>
      </c>
      <c r="B5638" s="496">
        <f>+MONTH(A5638)</f>
        <v>10</v>
      </c>
      <c r="C5638" s="491">
        <v>3110</v>
      </c>
      <c r="D5638" s="492" t="str">
        <f>VLOOKUP(C5638,Plan!A$1:B$65542,2,0)</f>
        <v>Colectas Normales</v>
      </c>
      <c r="E5638" s="497">
        <f>+F5638-G5638</f>
        <v>-10000</v>
      </c>
      <c r="F5638" s="493">
        <v>0</v>
      </c>
      <c r="G5638" s="498">
        <f>+F5637</f>
        <v>10000</v>
      </c>
      <c r="H5638" s="491" t="str">
        <f>+H5637</f>
        <v>Colecta Maria Fca. Llona</v>
      </c>
      <c r="I5638" s="499" t="s">
        <v>296</v>
      </c>
      <c r="K5638" s="370"/>
      <c r="N5638" s="370"/>
    </row>
    <row r="5639" spans="1:14" s="347" customFormat="1" x14ac:dyDescent="0.25">
      <c r="A5639" s="500"/>
      <c r="B5639" s="492"/>
      <c r="C5639" s="492"/>
      <c r="D5639" s="492"/>
      <c r="E5639" s="498"/>
      <c r="F5639" s="498"/>
      <c r="G5639" s="498"/>
      <c r="H5639" s="492"/>
      <c r="I5639" s="492"/>
      <c r="K5639" s="370"/>
      <c r="N5639" s="370"/>
    </row>
    <row r="5640" spans="1:14" s="347" customFormat="1" x14ac:dyDescent="0.25">
      <c r="A5640" s="495">
        <v>44497</v>
      </c>
      <c r="B5640" s="496">
        <f>+MONTH(A5640)</f>
        <v>10</v>
      </c>
      <c r="C5640" s="491">
        <v>110</v>
      </c>
      <c r="D5640" s="492" t="str">
        <f>VLOOKUP(C5640,Plan!A$1:B$65542,2,0)</f>
        <v>Disponible Administración</v>
      </c>
      <c r="E5640" s="497">
        <f>+F5640-G5640</f>
        <v>40000</v>
      </c>
      <c r="F5640" s="493">
        <v>40000</v>
      </c>
      <c r="G5640" s="498">
        <v>0</v>
      </c>
      <c r="H5640" s="491" t="s">
        <v>1550</v>
      </c>
      <c r="I5640" s="499" t="s">
        <v>296</v>
      </c>
      <c r="K5640" s="370"/>
      <c r="N5640" s="370"/>
    </row>
    <row r="5641" spans="1:14" s="347" customFormat="1" x14ac:dyDescent="0.25">
      <c r="A5641" s="495">
        <f>+A5640</f>
        <v>44497</v>
      </c>
      <c r="B5641" s="496">
        <f>+MONTH(A5641)</f>
        <v>10</v>
      </c>
      <c r="C5641" s="491">
        <v>3110</v>
      </c>
      <c r="D5641" s="492" t="str">
        <f>VLOOKUP(C5641,Plan!A$1:B$65542,2,0)</f>
        <v>Colectas Normales</v>
      </c>
      <c r="E5641" s="497">
        <f>+F5641-G5641</f>
        <v>-40000</v>
      </c>
      <c r="F5641" s="493">
        <v>0</v>
      </c>
      <c r="G5641" s="498">
        <f>+F5640</f>
        <v>40000</v>
      </c>
      <c r="H5641" s="491" t="str">
        <f>+H5640</f>
        <v>Colecta Luis Ignacio Marin Jordan</v>
      </c>
      <c r="I5641" s="499" t="s">
        <v>296</v>
      </c>
      <c r="K5641" s="370"/>
      <c r="N5641" s="370"/>
    </row>
    <row r="5642" spans="1:14" s="347" customFormat="1" x14ac:dyDescent="0.25">
      <c r="A5642" s="500"/>
      <c r="B5642" s="492"/>
      <c r="C5642" s="492"/>
      <c r="D5642" s="492"/>
      <c r="E5642" s="498"/>
      <c r="F5642" s="498"/>
      <c r="G5642" s="498"/>
      <c r="H5642" s="492"/>
      <c r="I5642" s="492"/>
      <c r="K5642" s="370"/>
      <c r="N5642" s="370"/>
    </row>
    <row r="5643" spans="1:14" s="347" customFormat="1" x14ac:dyDescent="0.25">
      <c r="A5643" s="495">
        <v>44497</v>
      </c>
      <c r="B5643" s="496">
        <f>+MONTH(A5643)</f>
        <v>10</v>
      </c>
      <c r="C5643" s="491">
        <v>110</v>
      </c>
      <c r="D5643" s="492" t="str">
        <f>VLOOKUP(C5643,Plan!A$1:B$65542,2,0)</f>
        <v>Disponible Administración</v>
      </c>
      <c r="E5643" s="497">
        <f>+F5643-G5643</f>
        <v>20000</v>
      </c>
      <c r="F5643" s="493">
        <v>20000</v>
      </c>
      <c r="G5643" s="498">
        <v>0</v>
      </c>
      <c r="H5643" s="491" t="s">
        <v>2115</v>
      </c>
      <c r="I5643" s="499" t="s">
        <v>296</v>
      </c>
      <c r="K5643" s="370"/>
      <c r="N5643" s="370"/>
    </row>
    <row r="5644" spans="1:14" s="347" customFormat="1" x14ac:dyDescent="0.25">
      <c r="A5644" s="495">
        <f>+A5643</f>
        <v>44497</v>
      </c>
      <c r="B5644" s="496">
        <f>+MONTH(A5644)</f>
        <v>10</v>
      </c>
      <c r="C5644" s="491">
        <v>3110</v>
      </c>
      <c r="D5644" s="492" t="str">
        <f>VLOOKUP(C5644,Plan!A$1:B$65542,2,0)</f>
        <v>Colectas Normales</v>
      </c>
      <c r="E5644" s="497">
        <f>+F5644-G5644</f>
        <v>-20000</v>
      </c>
      <c r="F5644" s="493">
        <v>0</v>
      </c>
      <c r="G5644" s="498">
        <f>+F5643</f>
        <v>20000</v>
      </c>
      <c r="H5644" s="491" t="str">
        <f>+H5643</f>
        <v>Colecta Jorge Claude Bourdel</v>
      </c>
      <c r="I5644" s="499" t="s">
        <v>296</v>
      </c>
      <c r="K5644" s="370"/>
      <c r="N5644" s="370"/>
    </row>
    <row r="5645" spans="1:14" s="347" customFormat="1" x14ac:dyDescent="0.25">
      <c r="A5645" s="500"/>
      <c r="B5645" s="492"/>
      <c r="C5645" s="492"/>
      <c r="D5645" s="492"/>
      <c r="E5645" s="498"/>
      <c r="F5645" s="498"/>
      <c r="G5645" s="498"/>
      <c r="H5645" s="492"/>
      <c r="I5645" s="492"/>
      <c r="K5645" s="370"/>
      <c r="N5645" s="370"/>
    </row>
    <row r="5646" spans="1:14" s="347" customFormat="1" x14ac:dyDescent="0.25">
      <c r="A5646" s="495">
        <v>44498</v>
      </c>
      <c r="B5646" s="496">
        <f>+MONTH(A5646)</f>
        <v>10</v>
      </c>
      <c r="C5646" s="491">
        <v>4680</v>
      </c>
      <c r="D5646" s="492" t="str">
        <f>VLOOKUP(C5646,Plan!A$1:B$65542,2,0)</f>
        <v>Pastoral Comunicacional</v>
      </c>
      <c r="E5646" s="497">
        <f>+F5646-G5646</f>
        <v>426538</v>
      </c>
      <c r="F5646" s="493">
        <v>426538</v>
      </c>
      <c r="G5646" s="498">
        <v>0</v>
      </c>
      <c r="H5646" s="491" t="s">
        <v>2152</v>
      </c>
      <c r="I5646" s="499" t="s">
        <v>296</v>
      </c>
      <c r="K5646" s="370"/>
      <c r="N5646" s="370"/>
    </row>
    <row r="5647" spans="1:14" s="347" customFormat="1" x14ac:dyDescent="0.25">
      <c r="A5647" s="495">
        <f>+A5646</f>
        <v>44498</v>
      </c>
      <c r="B5647" s="496">
        <f>+MONTH(A5647)</f>
        <v>10</v>
      </c>
      <c r="C5647" s="491">
        <v>110</v>
      </c>
      <c r="D5647" s="492" t="str">
        <f>VLOOKUP(C5647,Plan!A$1:B$65542,2,0)</f>
        <v>Disponible Administración</v>
      </c>
      <c r="E5647" s="497">
        <f>+F5647-G5647</f>
        <v>-426538</v>
      </c>
      <c r="F5647" s="493">
        <v>0</v>
      </c>
      <c r="G5647" s="498">
        <f>+F5646</f>
        <v>426538</v>
      </c>
      <c r="H5647" s="491" t="str">
        <f>+H5646</f>
        <v>F.837 Serv. Oct.21</v>
      </c>
      <c r="I5647" s="499" t="s">
        <v>296</v>
      </c>
      <c r="K5647" s="370"/>
      <c r="N5647" s="370"/>
    </row>
    <row r="5648" spans="1:14" s="347" customFormat="1" x14ac:dyDescent="0.25">
      <c r="A5648" s="500"/>
      <c r="B5648" s="492"/>
      <c r="C5648" s="492"/>
      <c r="D5648" s="492"/>
      <c r="E5648" s="498"/>
      <c r="F5648" s="498"/>
      <c r="G5648" s="498"/>
      <c r="H5648" s="492"/>
      <c r="I5648" s="492"/>
      <c r="K5648" s="370"/>
      <c r="N5648" s="370"/>
    </row>
    <row r="5649" spans="1:14" s="347" customFormat="1" x14ac:dyDescent="0.25">
      <c r="A5649" s="495">
        <v>44498</v>
      </c>
      <c r="B5649" s="496">
        <f>+MONTH(A5649)</f>
        <v>10</v>
      </c>
      <c r="C5649" s="491">
        <v>4410</v>
      </c>
      <c r="D5649" s="492" t="str">
        <f>VLOOKUP(C5649,Plan!A$1:B$65542,2,0)</f>
        <v>Librería</v>
      </c>
      <c r="E5649" s="497">
        <f>+F5649-G5649</f>
        <v>29250</v>
      </c>
      <c r="F5649" s="493">
        <v>29250</v>
      </c>
      <c r="G5649" s="498">
        <v>0</v>
      </c>
      <c r="H5649" s="491" t="s">
        <v>2153</v>
      </c>
      <c r="I5649" s="499" t="s">
        <v>296</v>
      </c>
      <c r="K5649" s="370"/>
      <c r="N5649" s="370"/>
    </row>
    <row r="5650" spans="1:14" s="347" customFormat="1" x14ac:dyDescent="0.25">
      <c r="A5650" s="495">
        <f>+A5649</f>
        <v>44498</v>
      </c>
      <c r="B5650" s="496">
        <f>+MONTH(A5650)</f>
        <v>10</v>
      </c>
      <c r="C5650" s="491">
        <v>110</v>
      </c>
      <c r="D5650" s="492" t="str">
        <f>VLOOKUP(C5650,Plan!A$1:B$65542,2,0)</f>
        <v>Disponible Administración</v>
      </c>
      <c r="E5650" s="497">
        <f>+F5650-G5650</f>
        <v>-29250</v>
      </c>
      <c r="F5650" s="493">
        <v>0</v>
      </c>
      <c r="G5650" s="498">
        <f>+F5649</f>
        <v>29250</v>
      </c>
      <c r="H5650" s="491" t="str">
        <f>+H5649</f>
        <v>Compra Batería Notebook Adm</v>
      </c>
      <c r="I5650" s="499" t="s">
        <v>296</v>
      </c>
      <c r="K5650" s="370"/>
      <c r="N5650" s="370"/>
    </row>
    <row r="5651" spans="1:14" s="347" customFormat="1" x14ac:dyDescent="0.25">
      <c r="A5651" s="500"/>
      <c r="B5651" s="492"/>
      <c r="C5651" s="492"/>
      <c r="D5651" s="492"/>
      <c r="E5651" s="498"/>
      <c r="F5651" s="498"/>
      <c r="G5651" s="498"/>
      <c r="H5651" s="492"/>
      <c r="I5651" s="492"/>
      <c r="K5651" s="370"/>
      <c r="N5651" s="370"/>
    </row>
    <row r="5652" spans="1:14" s="347" customFormat="1" x14ac:dyDescent="0.25">
      <c r="A5652" s="495">
        <v>44498</v>
      </c>
      <c r="B5652" s="496">
        <f>+MONTH(A5652)</f>
        <v>10</v>
      </c>
      <c r="C5652" s="491">
        <v>4641</v>
      </c>
      <c r="D5652" s="492" t="str">
        <f>VLOOKUP(C5652,Plan!A$1:B$65542,2,0)</f>
        <v xml:space="preserve">             Capellanías </v>
      </c>
      <c r="E5652" s="497">
        <f>+F5652-G5652</f>
        <v>50000</v>
      </c>
      <c r="F5652" s="493">
        <v>50000</v>
      </c>
      <c r="G5652" s="498">
        <v>0</v>
      </c>
      <c r="H5652" s="491" t="s">
        <v>2154</v>
      </c>
      <c r="I5652" s="499" t="s">
        <v>296</v>
      </c>
      <c r="K5652" s="370"/>
      <c r="N5652" s="370"/>
    </row>
    <row r="5653" spans="1:14" s="347" customFormat="1" x14ac:dyDescent="0.25">
      <c r="A5653" s="495">
        <f>+A5652</f>
        <v>44498</v>
      </c>
      <c r="B5653" s="496">
        <f>+MONTH(A5653)</f>
        <v>10</v>
      </c>
      <c r="C5653" s="491">
        <v>110</v>
      </c>
      <c r="D5653" s="492" t="str">
        <f>VLOOKUP(C5653,Plan!A$1:B$65542,2,0)</f>
        <v>Disponible Administración</v>
      </c>
      <c r="E5653" s="497">
        <f>+F5653-G5653</f>
        <v>-50000</v>
      </c>
      <c r="F5653" s="493">
        <v>0</v>
      </c>
      <c r="G5653" s="498">
        <f>+F5652</f>
        <v>50000</v>
      </c>
      <c r="H5653" s="491" t="str">
        <f>+H5652</f>
        <v>Capellanía Diácono Octubre/21</v>
      </c>
      <c r="I5653" s="499" t="s">
        <v>296</v>
      </c>
      <c r="K5653" s="370"/>
      <c r="N5653" s="370"/>
    </row>
    <row r="5654" spans="1:14" s="347" customFormat="1" x14ac:dyDescent="0.25">
      <c r="A5654" s="500"/>
      <c r="B5654" s="492"/>
      <c r="C5654" s="492"/>
      <c r="D5654" s="492"/>
      <c r="E5654" s="498"/>
      <c r="F5654" s="498"/>
      <c r="G5654" s="498"/>
      <c r="H5654" s="492"/>
      <c r="I5654" s="492"/>
      <c r="K5654" s="370"/>
      <c r="N5654" s="370"/>
    </row>
    <row r="5655" spans="1:14" s="347" customFormat="1" ht="12.6" customHeight="1" x14ac:dyDescent="0.25">
      <c r="A5655" s="495">
        <v>44498</v>
      </c>
      <c r="B5655" s="496">
        <f>+MONTH(A5655)</f>
        <v>10</v>
      </c>
      <c r="C5655" s="491">
        <v>4420</v>
      </c>
      <c r="D5655" s="492" t="str">
        <f>VLOOKUP(C5655,Plan!A$1:B$65542,2,0)</f>
        <v>Aseo y Limpieza</v>
      </c>
      <c r="E5655" s="497">
        <f>+F5655-G5655</f>
        <v>30000</v>
      </c>
      <c r="F5655" s="493">
        <v>30000</v>
      </c>
      <c r="G5655" s="498">
        <v>0</v>
      </c>
      <c r="H5655" s="491" t="s">
        <v>2155</v>
      </c>
      <c r="I5655" s="499" t="s">
        <v>296</v>
      </c>
      <c r="K5655" s="370"/>
      <c r="N5655" s="370"/>
    </row>
    <row r="5656" spans="1:14" s="347" customFormat="1" x14ac:dyDescent="0.25">
      <c r="A5656" s="495">
        <f>+A5655</f>
        <v>44498</v>
      </c>
      <c r="B5656" s="496">
        <f>+MONTH(A5656)</f>
        <v>10</v>
      </c>
      <c r="C5656" s="491">
        <v>110</v>
      </c>
      <c r="D5656" s="492" t="str">
        <f>VLOOKUP(C5656,Plan!A$1:B$65542,2,0)</f>
        <v>Disponible Administración</v>
      </c>
      <c r="E5656" s="497">
        <f>+F5656-G5656</f>
        <v>-30000</v>
      </c>
      <c r="F5656" s="493">
        <v>0</v>
      </c>
      <c r="G5656" s="498">
        <f>+F5655</f>
        <v>30000</v>
      </c>
      <c r="H5656" s="491" t="str">
        <f>+H5655</f>
        <v>Aporte Bautizos Oct. Col.Cumbres</v>
      </c>
      <c r="I5656" s="499" t="s">
        <v>296</v>
      </c>
      <c r="K5656" s="370"/>
      <c r="N5656" s="370"/>
    </row>
    <row r="5657" spans="1:14" s="347" customFormat="1" x14ac:dyDescent="0.25">
      <c r="A5657" s="500"/>
      <c r="B5657" s="492"/>
      <c r="C5657" s="492"/>
      <c r="D5657" s="492"/>
      <c r="E5657" s="498"/>
      <c r="F5657" s="498"/>
      <c r="G5657" s="498"/>
      <c r="H5657" s="492"/>
      <c r="I5657" s="492"/>
      <c r="K5657" s="370"/>
      <c r="N5657" s="370"/>
    </row>
    <row r="5658" spans="1:14" s="347" customFormat="1" x14ac:dyDescent="0.25">
      <c r="A5658" s="495">
        <v>44498</v>
      </c>
      <c r="B5658" s="496">
        <f>+MONTH(A5658)</f>
        <v>10</v>
      </c>
      <c r="C5658" s="491">
        <v>4641</v>
      </c>
      <c r="D5658" s="492" t="str">
        <f>VLOOKUP(C5658,Plan!A$1:B$65542,2,0)</f>
        <v xml:space="preserve">             Capellanías </v>
      </c>
      <c r="E5658" s="497">
        <f>+F5658-G5658</f>
        <v>30000</v>
      </c>
      <c r="F5658" s="493">
        <v>30000</v>
      </c>
      <c r="G5658" s="498">
        <v>0</v>
      </c>
      <c r="H5658" s="491" t="s">
        <v>2156</v>
      </c>
      <c r="I5658" s="499" t="s">
        <v>296</v>
      </c>
      <c r="K5658" s="370"/>
      <c r="N5658" s="370"/>
    </row>
    <row r="5659" spans="1:14" s="347" customFormat="1" x14ac:dyDescent="0.25">
      <c r="A5659" s="495">
        <f>+A5658</f>
        <v>44498</v>
      </c>
      <c r="B5659" s="496">
        <f>+MONTH(A5659)</f>
        <v>10</v>
      </c>
      <c r="C5659" s="491">
        <v>110</v>
      </c>
      <c r="D5659" s="492" t="str">
        <f>VLOOKUP(C5659,Plan!A$1:B$65542,2,0)</f>
        <v>Disponible Administración</v>
      </c>
      <c r="E5659" s="497">
        <f>+F5659-G5659</f>
        <v>-30000</v>
      </c>
      <c r="F5659" s="493">
        <v>0</v>
      </c>
      <c r="G5659" s="498">
        <f>+F5658</f>
        <v>30000</v>
      </c>
      <c r="H5659" s="491" t="str">
        <f>+H5658</f>
        <v>Capellanía 2 Misas Oct.21</v>
      </c>
      <c r="I5659" s="499" t="s">
        <v>296</v>
      </c>
      <c r="K5659" s="370"/>
      <c r="N5659" s="370"/>
    </row>
    <row r="5660" spans="1:14" s="347" customFormat="1" x14ac:dyDescent="0.25">
      <c r="A5660" s="500"/>
      <c r="B5660" s="492"/>
      <c r="C5660" s="492"/>
      <c r="D5660" s="492"/>
      <c r="E5660" s="498"/>
      <c r="F5660" s="498"/>
      <c r="G5660" s="498"/>
      <c r="H5660" s="492"/>
      <c r="I5660" s="492"/>
      <c r="K5660" s="370"/>
      <c r="N5660" s="370"/>
    </row>
    <row r="5661" spans="1:14" s="347" customFormat="1" x14ac:dyDescent="0.25">
      <c r="A5661" s="495">
        <v>44498</v>
      </c>
      <c r="B5661" s="496">
        <f>+MONTH(A5661)</f>
        <v>10</v>
      </c>
      <c r="C5661" s="491">
        <v>4641</v>
      </c>
      <c r="D5661" s="492" t="str">
        <f>VLOOKUP(C5661,Plan!A$1:B$65542,2,0)</f>
        <v xml:space="preserve">             Capellanías </v>
      </c>
      <c r="E5661" s="497">
        <f>+F5661-G5661</f>
        <v>45000</v>
      </c>
      <c r="F5661" s="493">
        <v>45000</v>
      </c>
      <c r="G5661" s="498">
        <v>0</v>
      </c>
      <c r="H5661" s="491" t="s">
        <v>2157</v>
      </c>
      <c r="I5661" s="499" t="s">
        <v>296</v>
      </c>
      <c r="K5661" s="370"/>
      <c r="N5661" s="370"/>
    </row>
    <row r="5662" spans="1:14" s="347" customFormat="1" x14ac:dyDescent="0.25">
      <c r="A5662" s="495">
        <f>+A5661</f>
        <v>44498</v>
      </c>
      <c r="B5662" s="496">
        <f>+MONTH(A5662)</f>
        <v>10</v>
      </c>
      <c r="C5662" s="491">
        <v>110</v>
      </c>
      <c r="D5662" s="492" t="str">
        <f>VLOOKUP(C5662,Plan!A$1:B$65542,2,0)</f>
        <v>Disponible Administración</v>
      </c>
      <c r="E5662" s="497">
        <f>+F5662-G5662</f>
        <v>-45000</v>
      </c>
      <c r="F5662" s="493">
        <v>0</v>
      </c>
      <c r="G5662" s="498">
        <f>+F5661</f>
        <v>45000</v>
      </c>
      <c r="H5662" s="491" t="str">
        <f>+H5661</f>
        <v>Capellanía 3 Misas Oct.22</v>
      </c>
      <c r="I5662" s="499" t="s">
        <v>296</v>
      </c>
      <c r="K5662" s="370"/>
      <c r="N5662" s="370"/>
    </row>
    <row r="5663" spans="1:14" s="347" customFormat="1" x14ac:dyDescent="0.25">
      <c r="A5663" s="500"/>
      <c r="B5663" s="492"/>
      <c r="C5663" s="492"/>
      <c r="D5663" s="492"/>
      <c r="E5663" s="498"/>
      <c r="F5663" s="498"/>
      <c r="G5663" s="498"/>
      <c r="H5663" s="492"/>
      <c r="I5663" s="492"/>
      <c r="K5663" s="370"/>
      <c r="N5663" s="370"/>
    </row>
    <row r="5664" spans="1:14" s="347" customFormat="1" x14ac:dyDescent="0.25">
      <c r="A5664" s="495">
        <v>44498</v>
      </c>
      <c r="B5664" s="496">
        <f>+MONTH(A5664)</f>
        <v>10</v>
      </c>
      <c r="C5664" s="491">
        <v>4643</v>
      </c>
      <c r="D5664" s="492" t="str">
        <f>VLOOKUP(C5664,Plan!A$1:B$65542,2,0)</f>
        <v xml:space="preserve">             Otros</v>
      </c>
      <c r="E5664" s="497">
        <f>+F5664-G5664</f>
        <v>160000</v>
      </c>
      <c r="F5664" s="493">
        <f>+G5665+G5666</f>
        <v>160000</v>
      </c>
      <c r="G5664" s="498">
        <v>0</v>
      </c>
      <c r="H5664" s="491" t="s">
        <v>2158</v>
      </c>
      <c r="I5664" s="499" t="s">
        <v>296</v>
      </c>
      <c r="K5664" s="370"/>
      <c r="N5664" s="370"/>
    </row>
    <row r="5665" spans="1:14" s="347" customFormat="1" x14ac:dyDescent="0.25">
      <c r="A5665" s="495">
        <f>+A5664</f>
        <v>44498</v>
      </c>
      <c r="B5665" s="496">
        <f>+MONTH(A5665)</f>
        <v>10</v>
      </c>
      <c r="C5665" s="491">
        <v>223</v>
      </c>
      <c r="D5665" s="492" t="str">
        <f>VLOOKUP(C5665,Plan!A$1:B$65542,2,0)</f>
        <v>Ret. Hon.  e Impto. Unico Administración</v>
      </c>
      <c r="E5665" s="497">
        <f>+F5665-G5665</f>
        <v>-18400</v>
      </c>
      <c r="F5665" s="493">
        <v>0</v>
      </c>
      <c r="G5665" s="498">
        <v>18400</v>
      </c>
      <c r="H5665" s="491" t="str">
        <f>+H5664</f>
        <v>BTE 120 DORLLY CLARET CARDENAS LINDARTE</v>
      </c>
      <c r="I5665" s="499" t="s">
        <v>296</v>
      </c>
      <c r="K5665" s="370"/>
      <c r="N5665" s="370"/>
    </row>
    <row r="5666" spans="1:14" s="347" customFormat="1" x14ac:dyDescent="0.25">
      <c r="A5666" s="495">
        <f>+A5665</f>
        <v>44498</v>
      </c>
      <c r="B5666" s="496">
        <f>+MONTH(A5666)</f>
        <v>10</v>
      </c>
      <c r="C5666" s="491">
        <v>110</v>
      </c>
      <c r="D5666" s="492" t="str">
        <f>VLOOKUP(C5666,Plan!A$1:B$65542,2,0)</f>
        <v>Disponible Administración</v>
      </c>
      <c r="E5666" s="497">
        <f>+F5666-G5666</f>
        <v>-141600</v>
      </c>
      <c r="F5666" s="493">
        <v>0</v>
      </c>
      <c r="G5666" s="498">
        <v>141600</v>
      </c>
      <c r="H5666" s="491" t="str">
        <f>+H5665</f>
        <v>BTE 120 DORLLY CLARET CARDENAS LINDARTE</v>
      </c>
      <c r="I5666" s="499" t="s">
        <v>296</v>
      </c>
      <c r="K5666" s="370"/>
      <c r="N5666" s="370"/>
    </row>
    <row r="5667" spans="1:14" s="347" customFormat="1" x14ac:dyDescent="0.25">
      <c r="A5667" s="500"/>
      <c r="B5667" s="492"/>
      <c r="C5667" s="492"/>
      <c r="D5667" s="492"/>
      <c r="E5667" s="498"/>
      <c r="F5667" s="498"/>
      <c r="G5667" s="498"/>
      <c r="H5667" s="492"/>
      <c r="I5667" s="492"/>
      <c r="K5667" s="370"/>
      <c r="N5667" s="370"/>
    </row>
    <row r="5668" spans="1:14" s="347" customFormat="1" x14ac:dyDescent="0.25">
      <c r="A5668" s="495">
        <v>44498</v>
      </c>
      <c r="B5668" s="496">
        <f>+MONTH(A5668)</f>
        <v>10</v>
      </c>
      <c r="C5668" s="491">
        <v>4224</v>
      </c>
      <c r="D5668" s="492" t="str">
        <f>VLOOKUP(C5668,Plan!A$1:B$65542,2,0)</f>
        <v xml:space="preserve">         Jardinero</v>
      </c>
      <c r="E5668" s="497">
        <f>+F5668-G5668</f>
        <v>50847</v>
      </c>
      <c r="F5668" s="493">
        <f>+G5669+G5670</f>
        <v>50847</v>
      </c>
      <c r="G5668" s="498">
        <v>0</v>
      </c>
      <c r="H5668" s="491" t="s">
        <v>2159</v>
      </c>
      <c r="I5668" s="499" t="s">
        <v>296</v>
      </c>
      <c r="K5668" s="370"/>
      <c r="N5668" s="370"/>
    </row>
    <row r="5669" spans="1:14" s="347" customFormat="1" x14ac:dyDescent="0.25">
      <c r="A5669" s="495">
        <f>+A5668</f>
        <v>44498</v>
      </c>
      <c r="B5669" s="496">
        <f>+MONTH(A5669)</f>
        <v>10</v>
      </c>
      <c r="C5669" s="491">
        <v>223</v>
      </c>
      <c r="D5669" s="492" t="str">
        <f>VLOOKUP(C5669,Plan!A$1:B$65542,2,0)</f>
        <v>Ret. Hon.  e Impto. Unico Administración</v>
      </c>
      <c r="E5669" s="497">
        <f>+F5669-G5669</f>
        <v>-5847</v>
      </c>
      <c r="F5669" s="493">
        <v>0</v>
      </c>
      <c r="G5669" s="498">
        <v>5847</v>
      </c>
      <c r="H5669" s="491" t="str">
        <f>+H5668</f>
        <v>BTE 119 EDUARDO ENRIQUE PLAZA RIVERA</v>
      </c>
      <c r="I5669" s="499" t="s">
        <v>296</v>
      </c>
      <c r="K5669" s="370"/>
      <c r="N5669" s="370"/>
    </row>
    <row r="5670" spans="1:14" s="347" customFormat="1" x14ac:dyDescent="0.25">
      <c r="A5670" s="495">
        <f>+A5669</f>
        <v>44498</v>
      </c>
      <c r="B5670" s="496">
        <f>+MONTH(A5670)</f>
        <v>10</v>
      </c>
      <c r="C5670" s="491">
        <v>110</v>
      </c>
      <c r="D5670" s="492" t="str">
        <f>VLOOKUP(C5670,Plan!A$1:B$65542,2,0)</f>
        <v>Disponible Administración</v>
      </c>
      <c r="E5670" s="497">
        <f>+F5670-G5670</f>
        <v>-45000</v>
      </c>
      <c r="F5670" s="493">
        <v>0</v>
      </c>
      <c r="G5670" s="498">
        <v>45000</v>
      </c>
      <c r="H5670" s="491" t="str">
        <f>+H5669</f>
        <v>BTE 119 EDUARDO ENRIQUE PLAZA RIVERA</v>
      </c>
      <c r="I5670" s="499" t="s">
        <v>296</v>
      </c>
      <c r="K5670" s="370"/>
      <c r="N5670" s="370"/>
    </row>
    <row r="5671" spans="1:14" s="347" customFormat="1" x14ac:dyDescent="0.25">
      <c r="A5671" s="500"/>
      <c r="B5671" s="492"/>
      <c r="C5671" s="492"/>
      <c r="D5671" s="492"/>
      <c r="E5671" s="498"/>
      <c r="F5671" s="498"/>
      <c r="G5671" s="498"/>
      <c r="H5671" s="492"/>
      <c r="I5671" s="492"/>
      <c r="K5671" s="370"/>
      <c r="N5671" s="370"/>
    </row>
    <row r="5672" spans="1:14" s="347" customFormat="1" x14ac:dyDescent="0.25">
      <c r="A5672" s="495">
        <v>44499</v>
      </c>
      <c r="B5672" s="496">
        <f t="shared" ref="B5672:B5679" si="44">+MONTH(A5672)</f>
        <v>10</v>
      </c>
      <c r="C5672" s="491">
        <v>142</v>
      </c>
      <c r="D5672" s="492" t="str">
        <f>VLOOKUP(C5672,Plan!A$1:B$65542,2,0)</f>
        <v>Cuentas por Cobrar a CALI (Colectas)</v>
      </c>
      <c r="E5672" s="497">
        <f t="shared" ref="E5672:E5679" si="45">+F5672-G5672</f>
        <v>15000</v>
      </c>
      <c r="F5672" s="498">
        <v>15000</v>
      </c>
      <c r="G5672" s="501">
        <v>0</v>
      </c>
      <c r="H5672" s="491" t="s">
        <v>982</v>
      </c>
      <c r="I5672" s="499" t="s">
        <v>296</v>
      </c>
      <c r="K5672" s="370"/>
      <c r="N5672" s="370"/>
    </row>
    <row r="5673" spans="1:14" s="347" customFormat="1" x14ac:dyDescent="0.25">
      <c r="A5673" s="495">
        <v>44499</v>
      </c>
      <c r="B5673" s="496">
        <f t="shared" si="44"/>
        <v>10</v>
      </c>
      <c r="C5673" s="491">
        <v>142</v>
      </c>
      <c r="D5673" s="492" t="str">
        <f>VLOOKUP(C5673,Plan!A$1:B$65542,2,0)</f>
        <v>Cuentas por Cobrar a CALI (Colectas)</v>
      </c>
      <c r="E5673" s="497">
        <f t="shared" si="45"/>
        <v>5500</v>
      </c>
      <c r="F5673" s="498">
        <v>5500</v>
      </c>
      <c r="G5673" s="502">
        <v>0</v>
      </c>
      <c r="H5673" s="491" t="s">
        <v>1010</v>
      </c>
      <c r="I5673" s="499" t="s">
        <v>296</v>
      </c>
      <c r="K5673" s="370"/>
      <c r="N5673" s="370"/>
    </row>
    <row r="5674" spans="1:14" s="347" customFormat="1" x14ac:dyDescent="0.25">
      <c r="A5674" s="495">
        <v>44499</v>
      </c>
      <c r="B5674" s="496">
        <f t="shared" si="44"/>
        <v>10</v>
      </c>
      <c r="C5674" s="491">
        <v>142</v>
      </c>
      <c r="D5674" s="492" t="str">
        <f>VLOOKUP(C5674,Plan!A$1:B$65542,2,0)</f>
        <v>Cuentas por Cobrar a CALI (Colectas)</v>
      </c>
      <c r="E5674" s="497">
        <f t="shared" si="45"/>
        <v>5000</v>
      </c>
      <c r="F5674" s="498">
        <v>5000</v>
      </c>
      <c r="G5674" s="501">
        <v>0</v>
      </c>
      <c r="H5674" s="491" t="s">
        <v>1861</v>
      </c>
      <c r="I5674" s="499" t="s">
        <v>296</v>
      </c>
      <c r="K5674"/>
      <c r="L5674" s="264"/>
      <c r="N5674" s="370"/>
    </row>
    <row r="5675" spans="1:14" s="347" customFormat="1" x14ac:dyDescent="0.25">
      <c r="A5675" s="495">
        <v>44499</v>
      </c>
      <c r="B5675" s="496">
        <f t="shared" si="44"/>
        <v>10</v>
      </c>
      <c r="C5675" s="491">
        <v>142</v>
      </c>
      <c r="D5675" s="492" t="str">
        <f>VLOOKUP(C5675,Plan!A$1:B$65542,2,0)</f>
        <v>Cuentas por Cobrar a CALI (Colectas)</v>
      </c>
      <c r="E5675" s="497">
        <f t="shared" si="45"/>
        <v>30000</v>
      </c>
      <c r="F5675" s="498">
        <v>30000</v>
      </c>
      <c r="G5675" s="502">
        <v>0</v>
      </c>
      <c r="H5675" s="491" t="s">
        <v>1998</v>
      </c>
      <c r="I5675" s="499" t="s">
        <v>296</v>
      </c>
      <c r="K5675"/>
      <c r="L5675" s="264"/>
      <c r="N5675" s="370"/>
    </row>
    <row r="5676" spans="1:14" s="347" customFormat="1" x14ac:dyDescent="0.25">
      <c r="A5676" s="495">
        <v>44499</v>
      </c>
      <c r="B5676" s="496">
        <f t="shared" si="44"/>
        <v>10</v>
      </c>
      <c r="C5676" s="491">
        <v>3110</v>
      </c>
      <c r="D5676" s="492" t="str">
        <f>VLOOKUP(C5676,Plan!A$1:B$65542,2,0)</f>
        <v>Colectas Normales</v>
      </c>
      <c r="E5676" s="497">
        <f t="shared" si="45"/>
        <v>-15000</v>
      </c>
      <c r="F5676" s="498">
        <v>0</v>
      </c>
      <c r="G5676" s="501">
        <v>15000</v>
      </c>
      <c r="H5676" s="491" t="s">
        <v>982</v>
      </c>
      <c r="I5676" s="499" t="s">
        <v>296</v>
      </c>
      <c r="K5676"/>
      <c r="L5676" s="264"/>
      <c r="N5676" s="370"/>
    </row>
    <row r="5677" spans="1:14" s="347" customFormat="1" x14ac:dyDescent="0.25">
      <c r="A5677" s="495">
        <v>44499</v>
      </c>
      <c r="B5677" s="496">
        <f t="shared" si="44"/>
        <v>10</v>
      </c>
      <c r="C5677" s="491">
        <v>3110</v>
      </c>
      <c r="D5677" s="492" t="str">
        <f>VLOOKUP(C5677,Plan!A$1:B$65542,2,0)</f>
        <v>Colectas Normales</v>
      </c>
      <c r="E5677" s="497">
        <f t="shared" si="45"/>
        <v>-5500</v>
      </c>
      <c r="F5677" s="498">
        <v>0</v>
      </c>
      <c r="G5677" s="502">
        <v>5500</v>
      </c>
      <c r="H5677" s="491" t="s">
        <v>1010</v>
      </c>
      <c r="I5677" s="499" t="s">
        <v>296</v>
      </c>
      <c r="K5677"/>
      <c r="L5677" s="264"/>
      <c r="N5677" s="370"/>
    </row>
    <row r="5678" spans="1:14" s="347" customFormat="1" x14ac:dyDescent="0.25">
      <c r="A5678" s="495">
        <v>44499</v>
      </c>
      <c r="B5678" s="496">
        <f t="shared" si="44"/>
        <v>10</v>
      </c>
      <c r="C5678" s="491">
        <v>3110</v>
      </c>
      <c r="D5678" s="492" t="str">
        <f>VLOOKUP(C5678,Plan!A$1:B$65542,2,0)</f>
        <v>Colectas Normales</v>
      </c>
      <c r="E5678" s="497">
        <f t="shared" si="45"/>
        <v>-5000</v>
      </c>
      <c r="F5678" s="493">
        <v>0</v>
      </c>
      <c r="G5678" s="498">
        <v>5000</v>
      </c>
      <c r="H5678" s="491" t="s">
        <v>1861</v>
      </c>
      <c r="I5678" s="499" t="s">
        <v>296</v>
      </c>
      <c r="K5678"/>
      <c r="L5678" s="264"/>
      <c r="N5678" s="370"/>
    </row>
    <row r="5679" spans="1:14" s="347" customFormat="1" x14ac:dyDescent="0.25">
      <c r="A5679" s="495">
        <v>44499</v>
      </c>
      <c r="B5679" s="496">
        <f t="shared" si="44"/>
        <v>10</v>
      </c>
      <c r="C5679" s="491">
        <v>3110</v>
      </c>
      <c r="D5679" s="492" t="str">
        <f>VLOOKUP(C5679,Plan!A$1:B$65542,2,0)</f>
        <v>Colectas Normales</v>
      </c>
      <c r="E5679" s="497">
        <f t="shared" si="45"/>
        <v>-30000</v>
      </c>
      <c r="F5679" s="493">
        <v>0</v>
      </c>
      <c r="G5679" s="498">
        <v>30000</v>
      </c>
      <c r="H5679" s="491" t="s">
        <v>1998</v>
      </c>
      <c r="I5679" s="499" t="s">
        <v>296</v>
      </c>
      <c r="K5679"/>
      <c r="L5679" s="264"/>
      <c r="N5679" s="370"/>
    </row>
    <row r="5680" spans="1:14" s="347" customFormat="1" x14ac:dyDescent="0.25">
      <c r="A5680" s="495"/>
      <c r="B5680" s="496"/>
      <c r="C5680" s="491"/>
      <c r="D5680" s="492"/>
      <c r="E5680" s="497"/>
      <c r="F5680" s="493"/>
      <c r="G5680" s="498"/>
      <c r="H5680" s="491"/>
      <c r="I5680" s="499"/>
      <c r="K5680"/>
      <c r="L5680" s="264"/>
      <c r="N5680" s="370"/>
    </row>
    <row r="5681" spans="1:14" s="347" customFormat="1" x14ac:dyDescent="0.25">
      <c r="A5681" s="495">
        <v>44498</v>
      </c>
      <c r="B5681" s="496">
        <f>+MONTH(A5681)</f>
        <v>10</v>
      </c>
      <c r="C5681" s="491">
        <v>4231</v>
      </c>
      <c r="D5681" s="492" t="str">
        <f>VLOOKUP(C5681,Plan!A$1:B$65542,2,0)</f>
        <v>Auxiliares, secretarias y administración</v>
      </c>
      <c r="E5681" s="497">
        <f t="shared" ref="E5681:E5687" si="46">+F5681-G5681</f>
        <v>3031525</v>
      </c>
      <c r="F5681" s="493">
        <v>3031525</v>
      </c>
      <c r="G5681" s="502">
        <v>0</v>
      </c>
      <c r="H5681" s="494" t="s">
        <v>410</v>
      </c>
      <c r="I5681" s="499" t="s">
        <v>296</v>
      </c>
      <c r="K5681" s="370"/>
      <c r="N5681" s="370"/>
    </row>
    <row r="5682" spans="1:14" s="347" customFormat="1" x14ac:dyDescent="0.25">
      <c r="A5682" s="495">
        <f t="shared" ref="A5682:B5687" si="47">+A5681</f>
        <v>44498</v>
      </c>
      <c r="B5682" s="496">
        <f t="shared" si="47"/>
        <v>10</v>
      </c>
      <c r="C5682" s="491">
        <v>9011</v>
      </c>
      <c r="D5682" s="492" t="str">
        <f>VLOOKUP(C5682,Plan!A$1:B$65542,2,0)</f>
        <v>Sueldo Sacerdotes</v>
      </c>
      <c r="E5682" s="497">
        <f t="shared" si="46"/>
        <v>914490</v>
      </c>
      <c r="F5682" s="493">
        <v>914490</v>
      </c>
      <c r="G5682" s="502">
        <v>0</v>
      </c>
      <c r="H5682" s="491" t="s">
        <v>410</v>
      </c>
      <c r="I5682" s="499" t="s">
        <v>296</v>
      </c>
      <c r="K5682" s="370"/>
      <c r="N5682" s="370"/>
    </row>
    <row r="5683" spans="1:14" s="347" customFormat="1" x14ac:dyDescent="0.25">
      <c r="A5683" s="495">
        <f t="shared" si="47"/>
        <v>44498</v>
      </c>
      <c r="B5683" s="496">
        <f t="shared" si="47"/>
        <v>10</v>
      </c>
      <c r="C5683" s="491">
        <v>4231</v>
      </c>
      <c r="D5683" s="492" t="str">
        <f>VLOOKUP(C5683,Plan!A$1:B$65542,2,0)</f>
        <v>Auxiliares, secretarias y administración</v>
      </c>
      <c r="E5683" s="497">
        <f t="shared" si="46"/>
        <v>72172</v>
      </c>
      <c r="F5683" s="493">
        <v>72172</v>
      </c>
      <c r="G5683" s="502">
        <v>0</v>
      </c>
      <c r="H5683" s="491" t="s">
        <v>410</v>
      </c>
      <c r="I5683" s="499" t="s">
        <v>296</v>
      </c>
      <c r="K5683" s="370"/>
      <c r="N5683" s="370"/>
    </row>
    <row r="5684" spans="1:14" s="347" customFormat="1" x14ac:dyDescent="0.25">
      <c r="A5684" s="495">
        <f t="shared" si="47"/>
        <v>44498</v>
      </c>
      <c r="B5684" s="496">
        <f t="shared" si="47"/>
        <v>10</v>
      </c>
      <c r="C5684" s="491">
        <v>225</v>
      </c>
      <c r="D5684" s="492" t="str">
        <f>VLOOKUP(C5684,Plan!A$1:B$65542,2,0)</f>
        <v>Sueldos por Pagar</v>
      </c>
      <c r="E5684" s="497">
        <f t="shared" si="46"/>
        <v>-3376929</v>
      </c>
      <c r="F5684" s="493">
        <v>0</v>
      </c>
      <c r="G5684" s="502">
        <v>3376929</v>
      </c>
      <c r="H5684" s="491" t="s">
        <v>410</v>
      </c>
      <c r="I5684" s="499" t="s">
        <v>296</v>
      </c>
      <c r="K5684" s="370"/>
      <c r="N5684" s="370"/>
    </row>
    <row r="5685" spans="1:14" s="347" customFormat="1" x14ac:dyDescent="0.25">
      <c r="A5685" s="495">
        <f t="shared" si="47"/>
        <v>44498</v>
      </c>
      <c r="B5685" s="496">
        <f t="shared" si="47"/>
        <v>10</v>
      </c>
      <c r="C5685" s="491">
        <v>224</v>
      </c>
      <c r="D5685" s="492" t="str">
        <f>VLOOKUP(C5685,Plan!A$1:B$65542,2,0)</f>
        <v>Cotizaciones por Pagar</v>
      </c>
      <c r="E5685" s="497">
        <f t="shared" si="46"/>
        <v>-447529</v>
      </c>
      <c r="F5685" s="493">
        <v>0</v>
      </c>
      <c r="G5685" s="502">
        <v>447529</v>
      </c>
      <c r="H5685" s="491" t="s">
        <v>410</v>
      </c>
      <c r="I5685" s="499" t="s">
        <v>296</v>
      </c>
      <c r="K5685" s="370"/>
      <c r="N5685" s="370"/>
    </row>
    <row r="5686" spans="1:14" s="347" customFormat="1" x14ac:dyDescent="0.25">
      <c r="A5686" s="495">
        <f t="shared" si="47"/>
        <v>44498</v>
      </c>
      <c r="B5686" s="496">
        <f t="shared" si="47"/>
        <v>10</v>
      </c>
      <c r="C5686" s="491">
        <v>224</v>
      </c>
      <c r="D5686" s="492" t="str">
        <f>VLOOKUP(C5686,Plan!A$1:B$65542,2,0)</f>
        <v>Cotizaciones por Pagar</v>
      </c>
      <c r="E5686" s="497">
        <f t="shared" si="46"/>
        <v>-179490</v>
      </c>
      <c r="F5686" s="493">
        <v>0</v>
      </c>
      <c r="G5686" s="501">
        <v>179490</v>
      </c>
      <c r="H5686" s="491" t="s">
        <v>410</v>
      </c>
      <c r="I5686" s="499" t="s">
        <v>296</v>
      </c>
      <c r="K5686" s="370"/>
      <c r="N5686" s="370"/>
    </row>
    <row r="5687" spans="1:14" s="347" customFormat="1" x14ac:dyDescent="0.25">
      <c r="A5687" s="495">
        <f t="shared" si="47"/>
        <v>44498</v>
      </c>
      <c r="B5687" s="496">
        <f t="shared" si="47"/>
        <v>10</v>
      </c>
      <c r="C5687" s="491">
        <v>223</v>
      </c>
      <c r="D5687" s="492" t="str">
        <f>VLOOKUP(C5687,Plan!A$1:B$65542,2,0)</f>
        <v>Ret. Hon.  e Impto. Unico Administración</v>
      </c>
      <c r="E5687" s="497">
        <f t="shared" si="46"/>
        <v>-14239</v>
      </c>
      <c r="F5687" s="493">
        <v>0</v>
      </c>
      <c r="G5687" s="502">
        <v>14239</v>
      </c>
      <c r="H5687" s="491" t="s">
        <v>410</v>
      </c>
      <c r="I5687" s="499" t="s">
        <v>296</v>
      </c>
      <c r="K5687" s="370"/>
      <c r="N5687" s="370"/>
    </row>
    <row r="5688" spans="1:14" s="347" customFormat="1" x14ac:dyDescent="0.25">
      <c r="A5688" s="500"/>
      <c r="B5688" s="492"/>
      <c r="C5688" s="492"/>
      <c r="D5688" s="492"/>
      <c r="E5688" s="498"/>
      <c r="F5688" s="498"/>
      <c r="G5688" s="498"/>
      <c r="H5688" s="492"/>
      <c r="I5688" s="492"/>
      <c r="K5688" s="370"/>
      <c r="N5688" s="370"/>
    </row>
    <row r="5689" spans="1:14" s="347" customFormat="1" x14ac:dyDescent="0.25">
      <c r="A5689" s="495">
        <f>+A5687</f>
        <v>44498</v>
      </c>
      <c r="B5689" s="496">
        <f>+MONTH(A5689)</f>
        <v>10</v>
      </c>
      <c r="C5689" s="491">
        <v>225</v>
      </c>
      <c r="D5689" s="492" t="str">
        <f>VLOOKUP(C5689,Plan!A$1:B$65542,2,0)</f>
        <v>Sueldos por Pagar</v>
      </c>
      <c r="E5689" s="497">
        <f>+F5689-G5689</f>
        <v>735000</v>
      </c>
      <c r="F5689" s="493">
        <v>735000</v>
      </c>
      <c r="G5689" s="501">
        <v>0</v>
      </c>
      <c r="H5689" s="491" t="s">
        <v>2071</v>
      </c>
      <c r="I5689" s="499" t="s">
        <v>296</v>
      </c>
      <c r="K5689" s="370"/>
      <c r="N5689" s="370"/>
    </row>
    <row r="5690" spans="1:14" s="347" customFormat="1" x14ac:dyDescent="0.25">
      <c r="A5690" s="495">
        <f>+A5689</f>
        <v>44498</v>
      </c>
      <c r="B5690" s="496">
        <f>+MONTH(A5690)</f>
        <v>10</v>
      </c>
      <c r="C5690" s="491">
        <v>110</v>
      </c>
      <c r="D5690" s="492" t="str">
        <f>VLOOKUP(C5690,Plan!A$1:B$65542,2,0)</f>
        <v>Disponible Administración</v>
      </c>
      <c r="E5690" s="497">
        <f>+F5690-G5690</f>
        <v>-735000</v>
      </c>
      <c r="F5690" s="493">
        <v>0</v>
      </c>
      <c r="G5690" s="502">
        <f>+F5689</f>
        <v>735000</v>
      </c>
      <c r="H5690" s="491" t="str">
        <f>+H5689</f>
        <v>Remuneraciones Pedro Rios Dempster</v>
      </c>
      <c r="I5690" s="499" t="s">
        <v>296</v>
      </c>
      <c r="K5690" s="370"/>
      <c r="N5690" s="370"/>
    </row>
    <row r="5691" spans="1:14" s="347" customFormat="1" x14ac:dyDescent="0.25">
      <c r="A5691" s="500"/>
      <c r="B5691" s="492"/>
      <c r="C5691" s="492"/>
      <c r="D5691" s="492"/>
      <c r="E5691" s="498"/>
      <c r="F5691" s="498"/>
      <c r="G5691" s="498"/>
      <c r="H5691" s="492"/>
      <c r="I5691" s="492"/>
      <c r="K5691" s="370"/>
      <c r="N5691" s="370"/>
    </row>
    <row r="5692" spans="1:14" s="347" customFormat="1" x14ac:dyDescent="0.25">
      <c r="A5692" s="495">
        <f>+A5690</f>
        <v>44498</v>
      </c>
      <c r="B5692" s="496">
        <f>+MONTH(A5692)</f>
        <v>10</v>
      </c>
      <c r="C5692" s="491">
        <v>225</v>
      </c>
      <c r="D5692" s="492" t="str">
        <f>VLOOKUP(C5692,Plan!A$1:B$65542,2,0)</f>
        <v>Sueldos por Pagar</v>
      </c>
      <c r="E5692" s="497">
        <f>+F5692-G5692</f>
        <v>779408</v>
      </c>
      <c r="F5692" s="493">
        <v>779408</v>
      </c>
      <c r="G5692" s="501">
        <v>0</v>
      </c>
      <c r="H5692" s="491" t="s">
        <v>2072</v>
      </c>
      <c r="I5692" s="499" t="s">
        <v>296</v>
      </c>
      <c r="K5692" s="370"/>
      <c r="N5692" s="370"/>
    </row>
    <row r="5693" spans="1:14" s="347" customFormat="1" x14ac:dyDescent="0.25">
      <c r="A5693" s="495">
        <f>+A5692</f>
        <v>44498</v>
      </c>
      <c r="B5693" s="496">
        <f>+MONTH(A5693)</f>
        <v>10</v>
      </c>
      <c r="C5693" s="491">
        <v>110</v>
      </c>
      <c r="D5693" s="492" t="str">
        <f>VLOOKUP(C5693,Plan!A$1:B$65542,2,0)</f>
        <v>Disponible Administración</v>
      </c>
      <c r="E5693" s="497">
        <f>+F5693-G5693</f>
        <v>-779408</v>
      </c>
      <c r="F5693" s="493">
        <v>0</v>
      </c>
      <c r="G5693" s="502">
        <f>+F5692</f>
        <v>779408</v>
      </c>
      <c r="H5693" s="491" t="str">
        <f>+H5692</f>
        <v>Remuneraciones Veronica Arriagada Soto</v>
      </c>
      <c r="I5693" s="499" t="s">
        <v>296</v>
      </c>
      <c r="K5693" s="370"/>
      <c r="N5693" s="370"/>
    </row>
    <row r="5694" spans="1:14" s="347" customFormat="1" x14ac:dyDescent="0.25">
      <c r="A5694" s="500"/>
      <c r="B5694" s="492"/>
      <c r="C5694" s="492"/>
      <c r="D5694" s="492"/>
      <c r="E5694" s="498"/>
      <c r="F5694" s="498"/>
      <c r="G5694" s="498"/>
      <c r="H5694" s="492"/>
      <c r="I5694" s="492"/>
      <c r="K5694" s="370"/>
      <c r="N5694" s="370"/>
    </row>
    <row r="5695" spans="1:14" s="347" customFormat="1" x14ac:dyDescent="0.25">
      <c r="A5695" s="495">
        <f>+A5692</f>
        <v>44498</v>
      </c>
      <c r="B5695" s="496">
        <f>+MONTH(A5695)</f>
        <v>10</v>
      </c>
      <c r="C5695" s="491">
        <v>225</v>
      </c>
      <c r="D5695" s="492" t="str">
        <f>VLOOKUP(C5695,Plan!A$1:B$65542,2,0)</f>
        <v>Sueldos por Pagar</v>
      </c>
      <c r="E5695" s="497">
        <f>+F5695-G5695</f>
        <v>514296</v>
      </c>
      <c r="F5695" s="493">
        <v>514296</v>
      </c>
      <c r="G5695" s="501">
        <v>0</v>
      </c>
      <c r="H5695" s="491" t="s">
        <v>2073</v>
      </c>
      <c r="I5695" s="499" t="s">
        <v>296</v>
      </c>
      <c r="K5695" s="370"/>
      <c r="N5695" s="370"/>
    </row>
    <row r="5696" spans="1:14" s="347" customFormat="1" x14ac:dyDescent="0.25">
      <c r="A5696" s="495">
        <f>+A5695</f>
        <v>44498</v>
      </c>
      <c r="B5696" s="496">
        <f>+MONTH(A5696)</f>
        <v>10</v>
      </c>
      <c r="C5696" s="491">
        <v>110</v>
      </c>
      <c r="D5696" s="492" t="str">
        <f>VLOOKUP(C5696,Plan!A$1:B$65542,2,0)</f>
        <v>Disponible Administración</v>
      </c>
      <c r="E5696" s="497">
        <f>+F5696-G5696</f>
        <v>-514296</v>
      </c>
      <c r="F5696" s="493">
        <v>0</v>
      </c>
      <c r="G5696" s="502">
        <f>+F5695</f>
        <v>514296</v>
      </c>
      <c r="H5696" s="491" t="str">
        <f>+H5695</f>
        <v>Remuneraciones M.de los Angeles Renasco Mandiola</v>
      </c>
      <c r="I5696" s="499" t="s">
        <v>296</v>
      </c>
      <c r="K5696" s="370"/>
      <c r="N5696" s="370"/>
    </row>
    <row r="5697" spans="1:14" s="347" customFormat="1" x14ac:dyDescent="0.25">
      <c r="A5697" s="500"/>
      <c r="B5697" s="492"/>
      <c r="C5697" s="492"/>
      <c r="D5697" s="492"/>
      <c r="E5697" s="498"/>
      <c r="F5697" s="498"/>
      <c r="G5697" s="498"/>
      <c r="H5697" s="492"/>
      <c r="I5697" s="492"/>
      <c r="K5697" s="370"/>
      <c r="N5697" s="370"/>
    </row>
    <row r="5698" spans="1:14" s="347" customFormat="1" x14ac:dyDescent="0.25">
      <c r="A5698" s="495">
        <f>+A5696</f>
        <v>44498</v>
      </c>
      <c r="B5698" s="496">
        <f>+MONTH(A5698)</f>
        <v>10</v>
      </c>
      <c r="C5698" s="491">
        <v>225</v>
      </c>
      <c r="D5698" s="492" t="str">
        <f>VLOOKUP(C5698,Plan!A$1:B$65542,2,0)</f>
        <v>Sueldos por Pagar</v>
      </c>
      <c r="E5698" s="497">
        <f>+F5698-G5698</f>
        <v>232045</v>
      </c>
      <c r="F5698" s="493">
        <v>232045</v>
      </c>
      <c r="G5698" s="501">
        <v>0</v>
      </c>
      <c r="H5698" s="491" t="s">
        <v>2070</v>
      </c>
      <c r="I5698" s="499" t="s">
        <v>296</v>
      </c>
      <c r="K5698" s="370"/>
      <c r="N5698" s="370"/>
    </row>
    <row r="5699" spans="1:14" s="347" customFormat="1" x14ac:dyDescent="0.25">
      <c r="A5699" s="495">
        <f>+A5698</f>
        <v>44498</v>
      </c>
      <c r="B5699" s="496">
        <f>+MONTH(A5699)</f>
        <v>10</v>
      </c>
      <c r="C5699" s="491">
        <v>110</v>
      </c>
      <c r="D5699" s="492" t="str">
        <f>VLOOKUP(C5699,Plan!A$1:B$65542,2,0)</f>
        <v>Disponible Administración</v>
      </c>
      <c r="E5699" s="497">
        <f>+F5699-G5699</f>
        <v>-232045</v>
      </c>
      <c r="F5699" s="493">
        <v>0</v>
      </c>
      <c r="G5699" s="502">
        <f>+F5698</f>
        <v>232045</v>
      </c>
      <c r="H5699" s="491" t="str">
        <f>+H5698</f>
        <v>Remuneraciones Katherinne Farias Cuevas</v>
      </c>
      <c r="I5699" s="499" t="s">
        <v>296</v>
      </c>
      <c r="K5699" s="370"/>
      <c r="N5699" s="370"/>
    </row>
    <row r="5700" spans="1:14" s="347" customFormat="1" x14ac:dyDescent="0.25">
      <c r="A5700" s="500"/>
      <c r="B5700" s="492"/>
      <c r="C5700" s="492"/>
      <c r="D5700" s="492"/>
      <c r="E5700" s="498"/>
      <c r="F5700" s="498"/>
      <c r="G5700" s="498"/>
      <c r="H5700" s="492"/>
      <c r="I5700" s="492"/>
      <c r="K5700" s="370"/>
      <c r="N5700" s="370"/>
    </row>
    <row r="5701" spans="1:14" s="347" customFormat="1" x14ac:dyDescent="0.25">
      <c r="A5701" s="495">
        <f>+A5699</f>
        <v>44498</v>
      </c>
      <c r="B5701" s="496">
        <f>+MONTH(A5701)</f>
        <v>10</v>
      </c>
      <c r="C5701" s="491">
        <v>225</v>
      </c>
      <c r="D5701" s="492" t="str">
        <f>VLOOKUP(C5701,Plan!A$1:B$65542,2,0)</f>
        <v>Sueldos por Pagar</v>
      </c>
      <c r="E5701" s="497">
        <f>+F5701-G5701</f>
        <v>1116180</v>
      </c>
      <c r="F5701" s="493">
        <v>1116180</v>
      </c>
      <c r="G5701" s="501">
        <v>0</v>
      </c>
      <c r="H5701" s="491" t="s">
        <v>2069</v>
      </c>
      <c r="I5701" s="499" t="s">
        <v>296</v>
      </c>
      <c r="K5701" s="370"/>
      <c r="N5701" s="370"/>
    </row>
    <row r="5702" spans="1:14" s="347" customFormat="1" x14ac:dyDescent="0.25">
      <c r="A5702" s="495">
        <f>+A5701</f>
        <v>44498</v>
      </c>
      <c r="B5702" s="496">
        <f>+MONTH(A5702)</f>
        <v>10</v>
      </c>
      <c r="C5702" s="491">
        <v>110</v>
      </c>
      <c r="D5702" s="492" t="str">
        <f>VLOOKUP(C5702,Plan!A$1:B$65542,2,0)</f>
        <v>Disponible Administración</v>
      </c>
      <c r="E5702" s="497">
        <f>+F5702-G5702</f>
        <v>-1116180</v>
      </c>
      <c r="F5702" s="493">
        <v>0</v>
      </c>
      <c r="G5702" s="502">
        <f>+F5701</f>
        <v>1116180</v>
      </c>
      <c r="H5702" s="491" t="str">
        <f>+H5701</f>
        <v>Remuneraciones Rafael Valdes Searle</v>
      </c>
      <c r="I5702" s="499" t="s">
        <v>296</v>
      </c>
      <c r="K5702" s="370"/>
      <c r="N5702" s="370"/>
    </row>
    <row r="5703" spans="1:14" s="347" customFormat="1" x14ac:dyDescent="0.25">
      <c r="A5703" s="500"/>
      <c r="B5703" s="492"/>
      <c r="C5703" s="492"/>
      <c r="D5703" s="492"/>
      <c r="E5703" s="498"/>
      <c r="F5703" s="498"/>
      <c r="G5703" s="498"/>
      <c r="H5703" s="492"/>
      <c r="I5703" s="492"/>
      <c r="K5703" s="370"/>
      <c r="N5703" s="370"/>
    </row>
    <row r="5704" spans="1:14" s="347" customFormat="1" x14ac:dyDescent="0.25">
      <c r="A5704" s="495">
        <f>+A5702</f>
        <v>44498</v>
      </c>
      <c r="B5704" s="496">
        <f>+MONTH(A5704)</f>
        <v>10</v>
      </c>
      <c r="C5704" s="491">
        <v>110</v>
      </c>
      <c r="D5704" s="492" t="str">
        <f>VLOOKUP(C5704,Plan!A$1:B$65542,2,0)</f>
        <v>Disponible Administración</v>
      </c>
      <c r="E5704" s="497">
        <f>+F5704-G5704</f>
        <v>15000</v>
      </c>
      <c r="F5704" s="493">
        <v>15000</v>
      </c>
      <c r="G5704" s="501">
        <v>0</v>
      </c>
      <c r="H5704" s="491" t="s">
        <v>2194</v>
      </c>
      <c r="I5704" s="499" t="s">
        <v>296</v>
      </c>
      <c r="K5704" s="370"/>
      <c r="N5704" s="370"/>
    </row>
    <row r="5705" spans="1:14" s="347" customFormat="1" x14ac:dyDescent="0.25">
      <c r="A5705" s="495">
        <f>+A5704</f>
        <v>44498</v>
      </c>
      <c r="B5705" s="496">
        <f>+MONTH(A5705)</f>
        <v>10</v>
      </c>
      <c r="C5705" s="491">
        <v>3110</v>
      </c>
      <c r="D5705" s="492" t="str">
        <f>VLOOKUP(C5705,Plan!A$1:B$65542,2,0)</f>
        <v>Colectas Normales</v>
      </c>
      <c r="E5705" s="497">
        <f>+F5705-G5705</f>
        <v>-15000</v>
      </c>
      <c r="F5705" s="493">
        <v>0</v>
      </c>
      <c r="G5705" s="502">
        <f>+F5704</f>
        <v>15000</v>
      </c>
      <c r="H5705" s="491" t="str">
        <f>+H5704</f>
        <v>Colecta María Car Ríos Ramirez</v>
      </c>
      <c r="I5705" s="499" t="s">
        <v>296</v>
      </c>
      <c r="K5705" s="370"/>
      <c r="N5705" s="370"/>
    </row>
    <row r="5706" spans="1:14" s="347" customFormat="1" x14ac:dyDescent="0.25">
      <c r="A5706" s="500"/>
      <c r="B5706" s="492"/>
      <c r="C5706" s="492"/>
      <c r="D5706" s="492"/>
      <c r="E5706" s="498"/>
      <c r="F5706" s="498"/>
      <c r="G5706" s="498"/>
      <c r="H5706" s="492"/>
      <c r="I5706" s="492"/>
      <c r="K5706" s="370"/>
      <c r="N5706" s="370"/>
    </row>
    <row r="5707" spans="1:14" s="347" customFormat="1" x14ac:dyDescent="0.25">
      <c r="A5707" s="495">
        <f>+A5705</f>
        <v>44498</v>
      </c>
      <c r="B5707" s="496">
        <f>+MONTH(A5707)</f>
        <v>10</v>
      </c>
      <c r="C5707" s="491">
        <v>110</v>
      </c>
      <c r="D5707" s="492" t="str">
        <f>VLOOKUP(C5707,Plan!A$1:B$65542,2,0)</f>
        <v>Disponible Administración</v>
      </c>
      <c r="E5707" s="497">
        <f>+F5707-G5707</f>
        <v>50000</v>
      </c>
      <c r="F5707" s="493">
        <v>50000</v>
      </c>
      <c r="G5707" s="501">
        <v>0</v>
      </c>
      <c r="H5707" s="491" t="s">
        <v>960</v>
      </c>
      <c r="I5707" s="499" t="s">
        <v>296</v>
      </c>
      <c r="K5707" s="370"/>
      <c r="N5707" s="370"/>
    </row>
    <row r="5708" spans="1:14" s="347" customFormat="1" x14ac:dyDescent="0.25">
      <c r="A5708" s="495">
        <f>+A5707</f>
        <v>44498</v>
      </c>
      <c r="B5708" s="496">
        <f>+MONTH(A5708)</f>
        <v>10</v>
      </c>
      <c r="C5708" s="491">
        <v>3110</v>
      </c>
      <c r="D5708" s="492" t="str">
        <f>VLOOKUP(C5708,Plan!A$1:B$65542,2,0)</f>
        <v>Colectas Normales</v>
      </c>
      <c r="E5708" s="497">
        <f>+F5708-G5708</f>
        <v>-50000</v>
      </c>
      <c r="F5708" s="493">
        <v>0</v>
      </c>
      <c r="G5708" s="502">
        <f>+F5707</f>
        <v>50000</v>
      </c>
      <c r="H5708" s="491" t="str">
        <f>+H5707</f>
        <v>Colecta Ximena Garcia</v>
      </c>
      <c r="I5708" s="499" t="s">
        <v>296</v>
      </c>
      <c r="K5708" s="370"/>
      <c r="N5708" s="370"/>
    </row>
    <row r="5709" spans="1:14" s="347" customFormat="1" x14ac:dyDescent="0.25">
      <c r="A5709" s="500"/>
      <c r="B5709" s="492"/>
      <c r="C5709" s="492"/>
      <c r="D5709" s="492"/>
      <c r="E5709" s="498"/>
      <c r="F5709" s="498"/>
      <c r="G5709" s="498"/>
      <c r="H5709" s="492"/>
      <c r="I5709" s="492"/>
      <c r="K5709" s="370"/>
      <c r="N5709" s="370"/>
    </row>
    <row r="5710" spans="1:14" s="347" customFormat="1" x14ac:dyDescent="0.25">
      <c r="A5710" s="495">
        <f>+A5708</f>
        <v>44498</v>
      </c>
      <c r="B5710" s="496">
        <f>+MONTH(A5710)</f>
        <v>10</v>
      </c>
      <c r="C5710" s="491">
        <v>110</v>
      </c>
      <c r="D5710" s="492" t="str">
        <f>VLOOKUP(C5710,Plan!A$1:B$65542,2,0)</f>
        <v>Disponible Administración</v>
      </c>
      <c r="E5710" s="497">
        <f>+F5710-G5710</f>
        <v>20000</v>
      </c>
      <c r="F5710" s="493">
        <v>20000</v>
      </c>
      <c r="G5710" s="501">
        <v>0</v>
      </c>
      <c r="H5710" s="491" t="s">
        <v>961</v>
      </c>
      <c r="I5710" s="499" t="s">
        <v>296</v>
      </c>
      <c r="K5710" s="370"/>
      <c r="N5710" s="370"/>
    </row>
    <row r="5711" spans="1:14" s="347" customFormat="1" x14ac:dyDescent="0.25">
      <c r="A5711" s="495">
        <f>+A5710</f>
        <v>44498</v>
      </c>
      <c r="B5711" s="496">
        <f>+MONTH(A5711)</f>
        <v>10</v>
      </c>
      <c r="C5711" s="491">
        <v>3110</v>
      </c>
      <c r="D5711" s="492" t="str">
        <f>VLOOKUP(C5711,Plan!A$1:B$65542,2,0)</f>
        <v>Colectas Normales</v>
      </c>
      <c r="E5711" s="497">
        <f>+F5711-G5711</f>
        <v>-20000</v>
      </c>
      <c r="F5711" s="493">
        <v>0</v>
      </c>
      <c r="G5711" s="502">
        <f>+F5710</f>
        <v>20000</v>
      </c>
      <c r="H5711" s="491" t="str">
        <f>+H5710</f>
        <v>Colecta Jose Luis Bustamante G</v>
      </c>
      <c r="I5711" s="499" t="s">
        <v>296</v>
      </c>
      <c r="K5711" s="370"/>
      <c r="N5711" s="370"/>
    </row>
    <row r="5712" spans="1:14" s="347" customFormat="1" x14ac:dyDescent="0.25">
      <c r="A5712" s="500"/>
      <c r="B5712" s="492"/>
      <c r="C5712" s="492"/>
      <c r="D5712" s="492"/>
      <c r="E5712" s="498"/>
      <c r="F5712" s="498"/>
      <c r="G5712" s="498"/>
      <c r="H5712" s="492"/>
      <c r="I5712" s="492"/>
      <c r="K5712" s="370"/>
      <c r="N5712" s="370"/>
    </row>
    <row r="5713" spans="1:14" s="347" customFormat="1" x14ac:dyDescent="0.25">
      <c r="A5713" s="495">
        <f>+A5711</f>
        <v>44498</v>
      </c>
      <c r="B5713" s="496">
        <f>+MONTH(A5713)</f>
        <v>10</v>
      </c>
      <c r="C5713" s="491">
        <v>110</v>
      </c>
      <c r="D5713" s="492" t="str">
        <f>VLOOKUP(C5713,Plan!A$1:B$65542,2,0)</f>
        <v>Disponible Administración</v>
      </c>
      <c r="E5713" s="497">
        <f>+F5713-G5713</f>
        <v>19329</v>
      </c>
      <c r="F5713" s="493">
        <v>19329</v>
      </c>
      <c r="G5713" s="501">
        <v>0</v>
      </c>
      <c r="H5713" s="491" t="s">
        <v>1934</v>
      </c>
      <c r="I5713" s="499" t="s">
        <v>296</v>
      </c>
      <c r="K5713" s="370"/>
      <c r="N5713" s="370"/>
    </row>
    <row r="5714" spans="1:14" s="347" customFormat="1" x14ac:dyDescent="0.25">
      <c r="A5714" s="495">
        <f>+A5713</f>
        <v>44498</v>
      </c>
      <c r="B5714" s="496">
        <f>+MONTH(A5714)</f>
        <v>10</v>
      </c>
      <c r="C5714" s="491">
        <v>3110</v>
      </c>
      <c r="D5714" s="492" t="str">
        <f>VLOOKUP(C5714,Plan!A$1:B$65542,2,0)</f>
        <v>Colectas Normales</v>
      </c>
      <c r="E5714" s="497">
        <f>+F5714-G5714</f>
        <v>-19329</v>
      </c>
      <c r="F5714" s="493">
        <v>0</v>
      </c>
      <c r="G5714" s="502">
        <f>+F5713</f>
        <v>19329</v>
      </c>
      <c r="H5714" s="491" t="str">
        <f>+H5713</f>
        <v>Colecta POS</v>
      </c>
      <c r="I5714" s="499" t="s">
        <v>296</v>
      </c>
      <c r="K5714" s="370"/>
      <c r="N5714" s="370"/>
    </row>
    <row r="5715" spans="1:14" s="347" customFormat="1" x14ac:dyDescent="0.25">
      <c r="A5715" s="500"/>
      <c r="B5715" s="492"/>
      <c r="C5715" s="492"/>
      <c r="D5715" s="492"/>
      <c r="E5715" s="498"/>
      <c r="F5715" s="498"/>
      <c r="G5715" s="498"/>
      <c r="H5715" s="492"/>
      <c r="I5715" s="492"/>
      <c r="K5715" s="370"/>
      <c r="N5715" s="370"/>
    </row>
    <row r="5716" spans="1:14" s="347" customFormat="1" x14ac:dyDescent="0.25">
      <c r="A5716" s="495">
        <f>+A5714</f>
        <v>44498</v>
      </c>
      <c r="B5716" s="496">
        <f>+MONTH(A5716)</f>
        <v>10</v>
      </c>
      <c r="C5716" s="491">
        <v>110</v>
      </c>
      <c r="D5716" s="492" t="str">
        <f>VLOOKUP(C5716,Plan!A$1:B$65542,2,0)</f>
        <v>Disponible Administración</v>
      </c>
      <c r="E5716" s="497">
        <f>+F5716-G5716</f>
        <v>20000</v>
      </c>
      <c r="F5716" s="493">
        <v>20000</v>
      </c>
      <c r="G5716" s="501">
        <v>0</v>
      </c>
      <c r="H5716" s="491" t="s">
        <v>962</v>
      </c>
      <c r="I5716" s="499" t="s">
        <v>296</v>
      </c>
      <c r="K5716" s="370"/>
      <c r="N5716" s="370"/>
    </row>
    <row r="5717" spans="1:14" s="347" customFormat="1" x14ac:dyDescent="0.25">
      <c r="A5717" s="495">
        <f>+A5716</f>
        <v>44498</v>
      </c>
      <c r="B5717" s="496">
        <f>+MONTH(A5717)</f>
        <v>10</v>
      </c>
      <c r="C5717" s="491">
        <v>3110</v>
      </c>
      <c r="D5717" s="492" t="str">
        <f>VLOOKUP(C5717,Plan!A$1:B$65542,2,0)</f>
        <v>Colectas Normales</v>
      </c>
      <c r="E5717" s="497">
        <f>+F5717-G5717</f>
        <v>-20000</v>
      </c>
      <c r="F5717" s="493">
        <v>0</v>
      </c>
      <c r="G5717" s="502">
        <f>+F5716</f>
        <v>20000</v>
      </c>
      <c r="H5717" s="491" t="str">
        <f>+H5716</f>
        <v>Colecta Pablo Garcia</v>
      </c>
      <c r="I5717" s="499" t="s">
        <v>296</v>
      </c>
      <c r="K5717" s="370"/>
      <c r="N5717" s="370"/>
    </row>
    <row r="5718" spans="1:14" s="347" customFormat="1" x14ac:dyDescent="0.25">
      <c r="A5718" s="503"/>
      <c r="B5718" s="504"/>
      <c r="C5718" s="505"/>
      <c r="D5718" s="504"/>
      <c r="E5718" s="506"/>
      <c r="F5718" s="508"/>
      <c r="G5718" s="513"/>
      <c r="H5718" s="505"/>
      <c r="I5718" s="507"/>
      <c r="J5718" s="340"/>
      <c r="K5718" s="209"/>
      <c r="L5718" s="340"/>
      <c r="N5718" s="370"/>
    </row>
    <row r="5719" spans="1:14" s="347" customFormat="1" x14ac:dyDescent="0.25">
      <c r="A5719" s="495">
        <f>+A5717</f>
        <v>44498</v>
      </c>
      <c r="B5719" s="496">
        <f>+MONTH(A5719)</f>
        <v>10</v>
      </c>
      <c r="C5719" s="491">
        <v>110</v>
      </c>
      <c r="D5719" s="492" t="str">
        <f>VLOOKUP(C5719,Plan!A$1:B$65542,2,0)</f>
        <v>Disponible Administración</v>
      </c>
      <c r="E5719" s="497">
        <f>+F5719-G5719</f>
        <v>5000</v>
      </c>
      <c r="F5719" s="493">
        <v>5000</v>
      </c>
      <c r="G5719" s="501">
        <v>0</v>
      </c>
      <c r="H5719" s="491" t="s">
        <v>2195</v>
      </c>
      <c r="I5719" s="499" t="s">
        <v>296</v>
      </c>
      <c r="K5719" s="370"/>
      <c r="N5719" s="370"/>
    </row>
    <row r="5720" spans="1:14" s="347" customFormat="1" x14ac:dyDescent="0.25">
      <c r="A5720" s="495">
        <f>+A5719</f>
        <v>44498</v>
      </c>
      <c r="B5720" s="496">
        <f>+MONTH(A5720)</f>
        <v>10</v>
      </c>
      <c r="C5720" s="491">
        <v>3110</v>
      </c>
      <c r="D5720" s="492" t="str">
        <f>VLOOKUP(C5720,Plan!A$1:B$65542,2,0)</f>
        <v>Colectas Normales</v>
      </c>
      <c r="E5720" s="497">
        <f>+F5720-G5720</f>
        <v>-5000</v>
      </c>
      <c r="F5720" s="493">
        <v>0</v>
      </c>
      <c r="G5720" s="502">
        <f>+F5719</f>
        <v>5000</v>
      </c>
      <c r="H5720" s="491" t="str">
        <f>+H5719</f>
        <v>Colecta</v>
      </c>
      <c r="I5720" s="499" t="s">
        <v>296</v>
      </c>
      <c r="K5720" s="370"/>
      <c r="N5720" s="370"/>
    </row>
    <row r="5721" spans="1:14" s="347" customFormat="1" x14ac:dyDescent="0.25">
      <c r="A5721" s="369"/>
      <c r="E5721" s="396"/>
      <c r="F5721" s="396"/>
      <c r="G5721" s="396"/>
      <c r="K5721" s="370"/>
      <c r="N5721" s="370"/>
    </row>
    <row r="5722" spans="1:14" s="347" customFormat="1" x14ac:dyDescent="0.25">
      <c r="A5722" s="495">
        <v>44502</v>
      </c>
      <c r="B5722" s="496">
        <f>+MONTH(A5722)</f>
        <v>11</v>
      </c>
      <c r="C5722" s="491">
        <v>110</v>
      </c>
      <c r="D5722" s="492" t="str">
        <f>VLOOKUP(C5722,Plan!A$1:B$65542,2,0)</f>
        <v>Disponible Administración</v>
      </c>
      <c r="E5722" s="497">
        <f>+F5722-G5722</f>
        <v>100000</v>
      </c>
      <c r="F5722" s="493">
        <v>100000</v>
      </c>
      <c r="G5722" s="501">
        <v>0</v>
      </c>
      <c r="H5722" s="491" t="s">
        <v>1321</v>
      </c>
      <c r="I5722" s="499" t="s">
        <v>296</v>
      </c>
      <c r="K5722" s="370"/>
      <c r="N5722" s="370"/>
    </row>
    <row r="5723" spans="1:14" s="347" customFormat="1" x14ac:dyDescent="0.25">
      <c r="A5723" s="495">
        <f>+A5722</f>
        <v>44502</v>
      </c>
      <c r="B5723" s="496">
        <f>+MONTH(A5723)</f>
        <v>11</v>
      </c>
      <c r="C5723" s="491">
        <v>3450</v>
      </c>
      <c r="D5723" s="492" t="str">
        <f>VLOOKUP(C5723,Plan!A$1:B$65542,2,0)</f>
        <v>Pastoral Social</v>
      </c>
      <c r="E5723" s="497">
        <f>+F5723-G5723</f>
        <v>-100000</v>
      </c>
      <c r="F5723" s="493">
        <v>0</v>
      </c>
      <c r="G5723" s="502">
        <f>+F5722</f>
        <v>100000</v>
      </c>
      <c r="H5723" s="491" t="str">
        <f>+H5722</f>
        <v>Canastas SERVICIOS E INVERSIONES VARIOS SPA</v>
      </c>
      <c r="I5723" s="499" t="s">
        <v>296</v>
      </c>
      <c r="K5723" s="370"/>
      <c r="N5723" s="370"/>
    </row>
    <row r="5724" spans="1:14" s="347" customFormat="1" x14ac:dyDescent="0.25">
      <c r="A5724" s="369"/>
      <c r="E5724" s="396"/>
      <c r="F5724" s="396"/>
      <c r="G5724" s="396"/>
      <c r="K5724" s="370"/>
      <c r="N5724" s="370"/>
    </row>
    <row r="5725" spans="1:14" s="347" customFormat="1" x14ac:dyDescent="0.25">
      <c r="A5725" s="495">
        <v>44502</v>
      </c>
      <c r="B5725" s="496">
        <f>+MONTH(A5725)</f>
        <v>11</v>
      </c>
      <c r="C5725" s="491">
        <v>110</v>
      </c>
      <c r="D5725" s="492" t="str">
        <f>VLOOKUP(C5725,Plan!A$1:B$65542,2,0)</f>
        <v>Disponible Administración</v>
      </c>
      <c r="E5725" s="497">
        <f>+F5725-G5725</f>
        <v>65000</v>
      </c>
      <c r="F5725" s="493">
        <v>65000</v>
      </c>
      <c r="G5725" s="501">
        <v>0</v>
      </c>
      <c r="H5725" s="491" t="s">
        <v>1321</v>
      </c>
      <c r="I5725" s="499" t="s">
        <v>296</v>
      </c>
      <c r="K5725" s="370"/>
      <c r="N5725" s="370"/>
    </row>
    <row r="5726" spans="1:14" s="347" customFormat="1" x14ac:dyDescent="0.25">
      <c r="A5726" s="495">
        <f>+A5725</f>
        <v>44502</v>
      </c>
      <c r="B5726" s="496">
        <f>+MONTH(A5726)</f>
        <v>11</v>
      </c>
      <c r="C5726" s="491">
        <v>3110</v>
      </c>
      <c r="D5726" s="492" t="str">
        <f>VLOOKUP(C5726,Plan!A$1:B$65542,2,0)</f>
        <v>Colectas Normales</v>
      </c>
      <c r="E5726" s="497">
        <f>+F5726-G5726</f>
        <v>-65000</v>
      </c>
      <c r="F5726" s="493">
        <v>0</v>
      </c>
      <c r="G5726" s="502">
        <f>+F5725</f>
        <v>65000</v>
      </c>
      <c r="H5726" s="491" t="str">
        <f>+H5725</f>
        <v>Canastas SERVICIOS E INVERSIONES VARIOS SPA</v>
      </c>
      <c r="I5726" s="499" t="s">
        <v>296</v>
      </c>
      <c r="K5726" s="370"/>
      <c r="N5726" s="370"/>
    </row>
    <row r="5727" spans="1:14" s="347" customFormat="1" x14ac:dyDescent="0.25">
      <c r="A5727" s="369"/>
      <c r="E5727" s="396"/>
      <c r="F5727" s="396"/>
      <c r="G5727" s="396"/>
      <c r="K5727" s="370"/>
      <c r="N5727" s="370"/>
    </row>
    <row r="5728" spans="1:14" s="347" customFormat="1" x14ac:dyDescent="0.25">
      <c r="A5728" s="495">
        <v>44502</v>
      </c>
      <c r="B5728" s="496">
        <f>+MONTH(A5728)</f>
        <v>11</v>
      </c>
      <c r="C5728" s="491">
        <v>110</v>
      </c>
      <c r="D5728" s="492" t="str">
        <f>VLOOKUP(C5728,Plan!A$1:B$65542,2,0)</f>
        <v>Disponible Administración</v>
      </c>
      <c r="E5728" s="497">
        <f>+F5728-G5728</f>
        <v>40000</v>
      </c>
      <c r="F5728" s="493">
        <v>40000</v>
      </c>
      <c r="G5728" s="501">
        <v>0</v>
      </c>
      <c r="H5728" s="491" t="s">
        <v>1631</v>
      </c>
      <c r="I5728" s="499" t="s">
        <v>296</v>
      </c>
      <c r="K5728" s="370"/>
      <c r="N5728" s="370"/>
    </row>
    <row r="5729" spans="1:14" s="347" customFormat="1" x14ac:dyDescent="0.25">
      <c r="A5729" s="495">
        <f>+A5728</f>
        <v>44502</v>
      </c>
      <c r="B5729" s="496">
        <f>+MONTH(A5729)</f>
        <v>11</v>
      </c>
      <c r="C5729" s="491">
        <v>215</v>
      </c>
      <c r="D5729" s="492" t="str">
        <f>VLOOKUP(C5729,Plan!A$1:B$65542,2,0)</f>
        <v>Cuenta por Pagar a Cali</v>
      </c>
      <c r="E5729" s="497">
        <f>+F5729-G5729</f>
        <v>-40000</v>
      </c>
      <c r="F5729" s="493">
        <v>0</v>
      </c>
      <c r="G5729" s="502">
        <f>+F5728</f>
        <v>40000</v>
      </c>
      <c r="H5729" s="491" t="str">
        <f>+H5728</f>
        <v>Eduardo Castro de la Barra / 249</v>
      </c>
      <c r="I5729" s="499" t="s">
        <v>296</v>
      </c>
      <c r="K5729" s="370"/>
      <c r="N5729" s="370"/>
    </row>
    <row r="5730" spans="1:14" s="347" customFormat="1" x14ac:dyDescent="0.25">
      <c r="A5730" s="369"/>
      <c r="E5730" s="396"/>
      <c r="F5730" s="396"/>
      <c r="G5730" s="396"/>
      <c r="K5730" s="370"/>
      <c r="N5730" s="370"/>
    </row>
    <row r="5731" spans="1:14" s="347" customFormat="1" x14ac:dyDescent="0.25">
      <c r="A5731" s="495">
        <v>44502</v>
      </c>
      <c r="B5731" s="496">
        <f>+MONTH(A5731)</f>
        <v>11</v>
      </c>
      <c r="C5731" s="491">
        <v>110</v>
      </c>
      <c r="D5731" s="492" t="str">
        <f>VLOOKUP(C5731,Plan!A$1:B$65542,2,0)</f>
        <v>Disponible Administración</v>
      </c>
      <c r="E5731" s="497">
        <f>+F5731-G5731</f>
        <v>10000</v>
      </c>
      <c r="F5731" s="493">
        <v>10000</v>
      </c>
      <c r="G5731" s="501">
        <v>0</v>
      </c>
      <c r="H5731" s="491" t="s">
        <v>881</v>
      </c>
      <c r="I5731" s="499" t="s">
        <v>296</v>
      </c>
      <c r="K5731" s="370"/>
      <c r="N5731" s="370"/>
    </row>
    <row r="5732" spans="1:14" s="347" customFormat="1" x14ac:dyDescent="0.25">
      <c r="A5732" s="495">
        <f>+A5731</f>
        <v>44502</v>
      </c>
      <c r="B5732" s="496">
        <f>+MONTH(A5732)</f>
        <v>11</v>
      </c>
      <c r="C5732" s="491">
        <v>3110</v>
      </c>
      <c r="D5732" s="492" t="str">
        <f>VLOOKUP(C5732,Plan!A$1:B$65542,2,0)</f>
        <v>Colectas Normales</v>
      </c>
      <c r="E5732" s="497">
        <f>+F5732-G5732</f>
        <v>-10000</v>
      </c>
      <c r="F5732" s="493">
        <v>0</v>
      </c>
      <c r="G5732" s="502">
        <f>+F5731</f>
        <v>10000</v>
      </c>
      <c r="H5732" s="491" t="str">
        <f>+H5731</f>
        <v>Colecta Rafael Marin Jordan</v>
      </c>
      <c r="I5732" s="499" t="s">
        <v>296</v>
      </c>
      <c r="K5732" s="370"/>
      <c r="N5732" s="370"/>
    </row>
    <row r="5733" spans="1:14" s="347" customFormat="1" x14ac:dyDescent="0.25">
      <c r="A5733" s="369"/>
      <c r="E5733" s="396"/>
      <c r="F5733" s="396"/>
      <c r="G5733" s="396"/>
      <c r="K5733" s="370"/>
      <c r="N5733" s="370"/>
    </row>
    <row r="5734" spans="1:14" s="347" customFormat="1" x14ac:dyDescent="0.25">
      <c r="A5734" s="495">
        <v>44502</v>
      </c>
      <c r="B5734" s="496">
        <f>+MONTH(A5734)</f>
        <v>11</v>
      </c>
      <c r="C5734" s="491">
        <v>110</v>
      </c>
      <c r="D5734" s="492" t="str">
        <f>VLOOKUP(C5734,Plan!A$1:B$65542,2,0)</f>
        <v>Disponible Administración</v>
      </c>
      <c r="E5734" s="497">
        <f>+F5734-G5734</f>
        <v>8000</v>
      </c>
      <c r="F5734" s="493">
        <v>8000</v>
      </c>
      <c r="G5734" s="501">
        <v>0</v>
      </c>
      <c r="H5734" s="491" t="s">
        <v>2124</v>
      </c>
      <c r="I5734" s="499" t="s">
        <v>296</v>
      </c>
      <c r="K5734" s="370"/>
      <c r="N5734" s="370"/>
    </row>
    <row r="5735" spans="1:14" s="347" customFormat="1" x14ac:dyDescent="0.25">
      <c r="A5735" s="495">
        <f>+A5734</f>
        <v>44502</v>
      </c>
      <c r="B5735" s="496">
        <f>+MONTH(A5735)</f>
        <v>11</v>
      </c>
      <c r="C5735" s="491">
        <v>3110</v>
      </c>
      <c r="D5735" s="492" t="str">
        <f>VLOOKUP(C5735,Plan!A$1:B$65542,2,0)</f>
        <v>Colectas Normales</v>
      </c>
      <c r="E5735" s="497">
        <f>+F5735-G5735</f>
        <v>-8000</v>
      </c>
      <c r="F5735" s="493">
        <v>0</v>
      </c>
      <c r="G5735" s="502">
        <f>+F5734</f>
        <v>8000</v>
      </c>
      <c r="H5735" s="491" t="str">
        <f>+H5734</f>
        <v>Colecta Pablo Irarrázaval Mena</v>
      </c>
      <c r="I5735" s="499" t="s">
        <v>296</v>
      </c>
      <c r="K5735" s="370"/>
      <c r="N5735" s="370"/>
    </row>
    <row r="5736" spans="1:14" s="347" customFormat="1" x14ac:dyDescent="0.25">
      <c r="A5736" s="369"/>
      <c r="E5736" s="396"/>
      <c r="F5736" s="396"/>
      <c r="G5736" s="396"/>
      <c r="K5736" s="370"/>
      <c r="N5736" s="370"/>
    </row>
    <row r="5737" spans="1:14" s="347" customFormat="1" x14ac:dyDescent="0.25">
      <c r="A5737" s="495">
        <v>44502</v>
      </c>
      <c r="B5737" s="496">
        <f>+MONTH(A5737)</f>
        <v>11</v>
      </c>
      <c r="C5737" s="491">
        <v>110</v>
      </c>
      <c r="D5737" s="492" t="str">
        <f>VLOOKUP(C5737,Plan!A$1:B$65542,2,0)</f>
        <v>Disponible Administración</v>
      </c>
      <c r="E5737" s="497">
        <f>+F5737-G5737</f>
        <v>2000</v>
      </c>
      <c r="F5737" s="493">
        <v>2000</v>
      </c>
      <c r="G5737" s="501">
        <v>0</v>
      </c>
      <c r="H5737" s="491" t="s">
        <v>1216</v>
      </c>
      <c r="I5737" s="499" t="s">
        <v>296</v>
      </c>
      <c r="K5737" s="370"/>
      <c r="N5737" s="370"/>
    </row>
    <row r="5738" spans="1:14" s="347" customFormat="1" x14ac:dyDescent="0.25">
      <c r="A5738" s="495">
        <f>+A5737</f>
        <v>44502</v>
      </c>
      <c r="B5738" s="496">
        <f>+MONTH(A5738)</f>
        <v>11</v>
      </c>
      <c r="C5738" s="491">
        <v>3110</v>
      </c>
      <c r="D5738" s="492" t="str">
        <f>VLOOKUP(C5738,Plan!A$1:B$65542,2,0)</f>
        <v>Colectas Normales</v>
      </c>
      <c r="E5738" s="497">
        <f>+F5738-G5738</f>
        <v>-2000</v>
      </c>
      <c r="F5738" s="493">
        <v>0</v>
      </c>
      <c r="G5738" s="502">
        <f>+F5737</f>
        <v>2000</v>
      </c>
      <c r="H5738" s="491" t="str">
        <f>+H5737</f>
        <v>Colecta Trinidad Barriga Cruzat</v>
      </c>
      <c r="I5738" s="499" t="s">
        <v>296</v>
      </c>
      <c r="K5738" s="370"/>
      <c r="N5738" s="370"/>
    </row>
    <row r="5739" spans="1:14" s="347" customFormat="1" x14ac:dyDescent="0.25">
      <c r="A5739" s="369"/>
      <c r="E5739" s="396"/>
      <c r="F5739" s="396"/>
      <c r="G5739" s="396"/>
      <c r="K5739" s="370"/>
      <c r="N5739" s="370"/>
    </row>
    <row r="5740" spans="1:14" s="347" customFormat="1" x14ac:dyDescent="0.25">
      <c r="A5740" s="495">
        <v>44502</v>
      </c>
      <c r="B5740" s="496">
        <f>+MONTH(A5740)</f>
        <v>11</v>
      </c>
      <c r="C5740" s="491">
        <v>110</v>
      </c>
      <c r="D5740" s="492" t="str">
        <f>VLOOKUP(C5740,Plan!A$1:B$65542,2,0)</f>
        <v>Disponible Administración</v>
      </c>
      <c r="E5740" s="497">
        <f>+F5740-G5740</f>
        <v>100000</v>
      </c>
      <c r="F5740" s="493">
        <v>100000</v>
      </c>
      <c r="G5740" s="501">
        <v>0</v>
      </c>
      <c r="H5740" s="491" t="s">
        <v>887</v>
      </c>
      <c r="I5740" s="499" t="s">
        <v>296</v>
      </c>
      <c r="K5740" s="370"/>
      <c r="N5740" s="370"/>
    </row>
    <row r="5741" spans="1:14" s="347" customFormat="1" x14ac:dyDescent="0.25">
      <c r="A5741" s="495">
        <f>+A5740</f>
        <v>44502</v>
      </c>
      <c r="B5741" s="496">
        <f>+MONTH(A5741)</f>
        <v>11</v>
      </c>
      <c r="C5741" s="491">
        <v>3110</v>
      </c>
      <c r="D5741" s="492" t="str">
        <f>VLOOKUP(C5741,Plan!A$1:B$65542,2,0)</f>
        <v>Colectas Normales</v>
      </c>
      <c r="E5741" s="497">
        <f>+F5741-G5741</f>
        <v>-100000</v>
      </c>
      <c r="F5741" s="493">
        <v>0</v>
      </c>
      <c r="G5741" s="502">
        <f>+F5740</f>
        <v>100000</v>
      </c>
      <c r="H5741" s="491" t="str">
        <f>+H5740</f>
        <v>Colecta Fernando Varela</v>
      </c>
      <c r="I5741" s="499" t="s">
        <v>296</v>
      </c>
      <c r="K5741" s="370"/>
      <c r="N5741" s="370"/>
    </row>
    <row r="5742" spans="1:14" s="347" customFormat="1" x14ac:dyDescent="0.25">
      <c r="A5742" s="369"/>
      <c r="E5742" s="396"/>
      <c r="F5742" s="396"/>
      <c r="G5742" s="396"/>
      <c r="K5742" s="370"/>
      <c r="N5742" s="370"/>
    </row>
    <row r="5743" spans="1:14" s="347" customFormat="1" x14ac:dyDescent="0.25">
      <c r="A5743" s="495">
        <v>44502</v>
      </c>
      <c r="B5743" s="496">
        <f>+MONTH(A5743)</f>
        <v>11</v>
      </c>
      <c r="C5743" s="491">
        <v>110</v>
      </c>
      <c r="D5743" s="492" t="str">
        <f>VLOOKUP(C5743,Plan!A$1:B$65542,2,0)</f>
        <v>Disponible Administración</v>
      </c>
      <c r="E5743" s="497">
        <f>+F5743-G5743</f>
        <v>12000</v>
      </c>
      <c r="F5743" s="493">
        <v>12000</v>
      </c>
      <c r="G5743" s="501">
        <v>0</v>
      </c>
      <c r="H5743" s="491" t="s">
        <v>1163</v>
      </c>
      <c r="I5743" s="499" t="s">
        <v>296</v>
      </c>
      <c r="K5743" s="370"/>
      <c r="N5743" s="370"/>
    </row>
    <row r="5744" spans="1:14" s="347" customFormat="1" x14ac:dyDescent="0.25">
      <c r="A5744" s="495">
        <f>+A5743</f>
        <v>44502</v>
      </c>
      <c r="B5744" s="496">
        <f>+MONTH(A5744)</f>
        <v>11</v>
      </c>
      <c r="C5744" s="491">
        <v>3110</v>
      </c>
      <c r="D5744" s="492" t="str">
        <f>VLOOKUP(C5744,Plan!A$1:B$65542,2,0)</f>
        <v>Colectas Normales</v>
      </c>
      <c r="E5744" s="497">
        <f>+F5744-G5744</f>
        <v>-12000</v>
      </c>
      <c r="F5744" s="493">
        <v>0</v>
      </c>
      <c r="G5744" s="502">
        <f>+F5743</f>
        <v>12000</v>
      </c>
      <c r="H5744" s="491" t="str">
        <f>+H5743</f>
        <v>Colecta Ricardo Cañas Cambiaso</v>
      </c>
      <c r="I5744" s="499" t="s">
        <v>296</v>
      </c>
      <c r="K5744" s="370"/>
      <c r="N5744" s="370"/>
    </row>
    <row r="5745" spans="1:14" s="347" customFormat="1" x14ac:dyDescent="0.25">
      <c r="A5745" s="369"/>
      <c r="E5745" s="396"/>
      <c r="F5745" s="396"/>
      <c r="G5745" s="396"/>
      <c r="K5745" s="370"/>
      <c r="N5745" s="370"/>
    </row>
    <row r="5746" spans="1:14" s="347" customFormat="1" x14ac:dyDescent="0.25">
      <c r="A5746" s="495">
        <v>44502</v>
      </c>
      <c r="B5746" s="496">
        <f>+MONTH(A5746)</f>
        <v>11</v>
      </c>
      <c r="C5746" s="491">
        <v>110</v>
      </c>
      <c r="D5746" s="492" t="str">
        <f>VLOOKUP(C5746,Plan!A$1:B$65542,2,0)</f>
        <v>Disponible Administración</v>
      </c>
      <c r="E5746" s="497">
        <f>+F5746-G5746</f>
        <v>5000</v>
      </c>
      <c r="F5746" s="493">
        <v>5000</v>
      </c>
      <c r="G5746" s="501">
        <v>0</v>
      </c>
      <c r="H5746" s="491" t="s">
        <v>1376</v>
      </c>
      <c r="I5746" s="499" t="s">
        <v>296</v>
      </c>
      <c r="K5746" s="370"/>
      <c r="N5746" s="370"/>
    </row>
    <row r="5747" spans="1:14" s="347" customFormat="1" x14ac:dyDescent="0.25">
      <c r="A5747" s="495">
        <f>+A5746</f>
        <v>44502</v>
      </c>
      <c r="B5747" s="496">
        <f>+MONTH(A5747)</f>
        <v>11</v>
      </c>
      <c r="C5747" s="491">
        <v>3110</v>
      </c>
      <c r="D5747" s="492" t="str">
        <f>VLOOKUP(C5747,Plan!A$1:B$65542,2,0)</f>
        <v>Colectas Normales</v>
      </c>
      <c r="E5747" s="497">
        <f>+F5747-G5747</f>
        <v>-5000</v>
      </c>
      <c r="F5747" s="493">
        <v>0</v>
      </c>
      <c r="G5747" s="502">
        <f>+F5746</f>
        <v>5000</v>
      </c>
      <c r="H5747" s="491" t="str">
        <f>+H5746</f>
        <v>Colecta Ana Gloria Awad Yazigi</v>
      </c>
      <c r="I5747" s="499" t="s">
        <v>296</v>
      </c>
      <c r="K5747" s="370"/>
      <c r="N5747" s="370"/>
    </row>
    <row r="5748" spans="1:14" s="347" customFormat="1" x14ac:dyDescent="0.25">
      <c r="A5748" s="369"/>
      <c r="E5748" s="396"/>
      <c r="F5748" s="396"/>
      <c r="G5748" s="396"/>
      <c r="K5748" s="370"/>
      <c r="N5748" s="370"/>
    </row>
    <row r="5749" spans="1:14" s="347" customFormat="1" x14ac:dyDescent="0.25">
      <c r="A5749" s="495">
        <v>44502</v>
      </c>
      <c r="B5749" s="496">
        <f>+MONTH(A5749)</f>
        <v>11</v>
      </c>
      <c r="C5749" s="491">
        <v>110</v>
      </c>
      <c r="D5749" s="492" t="str">
        <f>VLOOKUP(C5749,Plan!A$1:B$65542,2,0)</f>
        <v>Disponible Administración</v>
      </c>
      <c r="E5749" s="497">
        <f>+F5749-G5749</f>
        <v>10000</v>
      </c>
      <c r="F5749" s="493">
        <v>10000</v>
      </c>
      <c r="G5749" s="501">
        <v>0</v>
      </c>
      <c r="H5749" s="491" t="s">
        <v>1637</v>
      </c>
      <c r="I5749" s="499" t="s">
        <v>296</v>
      </c>
      <c r="K5749" s="370"/>
      <c r="N5749" s="370"/>
    </row>
    <row r="5750" spans="1:14" s="347" customFormat="1" x14ac:dyDescent="0.25">
      <c r="A5750" s="495">
        <f>+A5749</f>
        <v>44502</v>
      </c>
      <c r="B5750" s="496">
        <f>+MONTH(A5750)</f>
        <v>11</v>
      </c>
      <c r="C5750" s="491">
        <v>3340</v>
      </c>
      <c r="D5750" s="492" t="str">
        <f>VLOOKUP(C5750,Plan!A$1:B$65542,2,0)</f>
        <v>Misas</v>
      </c>
      <c r="E5750" s="497">
        <f>+F5750-G5750</f>
        <v>-10000</v>
      </c>
      <c r="F5750" s="493">
        <v>0</v>
      </c>
      <c r="G5750" s="502">
        <f>+F5749</f>
        <v>10000</v>
      </c>
      <c r="H5750" s="491" t="str">
        <f>+H5749</f>
        <v>Misa Rodrigo Carrasco</v>
      </c>
      <c r="I5750" s="499" t="s">
        <v>296</v>
      </c>
      <c r="K5750" s="370"/>
      <c r="N5750" s="370"/>
    </row>
    <row r="5751" spans="1:14" s="347" customFormat="1" x14ac:dyDescent="0.25">
      <c r="A5751" s="369"/>
      <c r="E5751" s="396"/>
      <c r="F5751" s="396"/>
      <c r="G5751" s="396"/>
      <c r="K5751" s="370"/>
      <c r="N5751" s="370"/>
    </row>
    <row r="5752" spans="1:14" s="347" customFormat="1" x14ac:dyDescent="0.25">
      <c r="A5752" s="495">
        <v>44502</v>
      </c>
      <c r="B5752" s="496">
        <f>+MONTH(A5752)</f>
        <v>11</v>
      </c>
      <c r="C5752" s="491">
        <v>110</v>
      </c>
      <c r="D5752" s="492" t="str">
        <f>VLOOKUP(C5752,Plan!A$1:B$65542,2,0)</f>
        <v>Disponible Administración</v>
      </c>
      <c r="E5752" s="497">
        <f>+F5752-G5752</f>
        <v>4000</v>
      </c>
      <c r="F5752" s="493">
        <v>4000</v>
      </c>
      <c r="G5752" s="501">
        <v>0</v>
      </c>
      <c r="H5752" s="491" t="s">
        <v>1106</v>
      </c>
      <c r="I5752" s="499" t="s">
        <v>296</v>
      </c>
      <c r="K5752" s="370"/>
      <c r="N5752" s="370"/>
    </row>
    <row r="5753" spans="1:14" s="347" customFormat="1" x14ac:dyDescent="0.25">
      <c r="A5753" s="495">
        <f>+A5752</f>
        <v>44502</v>
      </c>
      <c r="B5753" s="496">
        <f>+MONTH(A5753)</f>
        <v>11</v>
      </c>
      <c r="C5753" s="491">
        <v>3110</v>
      </c>
      <c r="D5753" s="492" t="str">
        <f>VLOOKUP(C5753,Plan!A$1:B$65542,2,0)</f>
        <v>Colectas Normales</v>
      </c>
      <c r="E5753" s="497">
        <f>+F5753-G5753</f>
        <v>-4000</v>
      </c>
      <c r="F5753" s="493">
        <v>0</v>
      </c>
      <c r="G5753" s="502">
        <f>+F5752</f>
        <v>4000</v>
      </c>
      <c r="H5753" s="491" t="str">
        <f>+H5752</f>
        <v>Colecta José Miguel Pérez de Castro Z.</v>
      </c>
      <c r="I5753" s="499" t="s">
        <v>296</v>
      </c>
      <c r="K5753" s="370"/>
      <c r="N5753" s="370"/>
    </row>
    <row r="5754" spans="1:14" s="347" customFormat="1" x14ac:dyDescent="0.25">
      <c r="A5754" s="369"/>
      <c r="E5754" s="396"/>
      <c r="F5754" s="396"/>
      <c r="G5754" s="396"/>
      <c r="K5754" s="370"/>
      <c r="N5754" s="370"/>
    </row>
    <row r="5755" spans="1:14" s="347" customFormat="1" x14ac:dyDescent="0.25">
      <c r="A5755" s="495">
        <v>44502</v>
      </c>
      <c r="B5755" s="496">
        <f>+MONTH(A5755)</f>
        <v>11</v>
      </c>
      <c r="C5755" s="491">
        <v>110</v>
      </c>
      <c r="D5755" s="492" t="str">
        <f>VLOOKUP(C5755,Plan!A$1:B$65542,2,0)</f>
        <v>Disponible Administración</v>
      </c>
      <c r="E5755" s="497">
        <f>+F5755-G5755</f>
        <v>15000</v>
      </c>
      <c r="F5755" s="493">
        <v>15000</v>
      </c>
      <c r="G5755" s="501">
        <v>0</v>
      </c>
      <c r="H5755" s="491" t="s">
        <v>688</v>
      </c>
      <c r="I5755" s="499" t="s">
        <v>296</v>
      </c>
      <c r="K5755" s="370"/>
      <c r="N5755" s="370"/>
    </row>
    <row r="5756" spans="1:14" s="347" customFormat="1" x14ac:dyDescent="0.25">
      <c r="A5756" s="495">
        <f>+A5755</f>
        <v>44502</v>
      </c>
      <c r="B5756" s="496">
        <f>+MONTH(A5756)</f>
        <v>11</v>
      </c>
      <c r="C5756" s="491">
        <v>215</v>
      </c>
      <c r="D5756" s="492" t="str">
        <f>VLOOKUP(C5756,Plan!A$1:B$65542,2,0)</f>
        <v>Cuenta por Pagar a Cali</v>
      </c>
      <c r="E5756" s="497">
        <f>+F5756-G5756</f>
        <v>-15000</v>
      </c>
      <c r="F5756" s="493">
        <v>0</v>
      </c>
      <c r="G5756" s="502">
        <f>+F5755</f>
        <v>15000</v>
      </c>
      <c r="H5756" s="491" t="str">
        <f>+H5755</f>
        <v>María Elena de Castro Espinosa/249</v>
      </c>
      <c r="I5756" s="499" t="s">
        <v>296</v>
      </c>
      <c r="K5756" s="370"/>
      <c r="N5756" s="370"/>
    </row>
    <row r="5757" spans="1:14" s="347" customFormat="1" x14ac:dyDescent="0.25">
      <c r="A5757" s="369"/>
      <c r="E5757" s="396"/>
      <c r="F5757" s="396"/>
      <c r="G5757" s="396"/>
      <c r="K5757" s="370"/>
      <c r="N5757" s="370"/>
    </row>
    <row r="5758" spans="1:14" s="347" customFormat="1" x14ac:dyDescent="0.25">
      <c r="A5758" s="495">
        <v>44502</v>
      </c>
      <c r="B5758" s="496">
        <f>+MONTH(A5758)</f>
        <v>11</v>
      </c>
      <c r="C5758" s="491">
        <v>110</v>
      </c>
      <c r="D5758" s="492" t="str">
        <f>VLOOKUP(C5758,Plan!A$1:B$65542,2,0)</f>
        <v>Disponible Administración</v>
      </c>
      <c r="E5758" s="497">
        <f>+F5758-G5758</f>
        <v>15000</v>
      </c>
      <c r="F5758" s="493">
        <v>15000</v>
      </c>
      <c r="G5758" s="501">
        <v>0</v>
      </c>
      <c r="H5758" s="491" t="s">
        <v>888</v>
      </c>
      <c r="I5758" s="499" t="s">
        <v>296</v>
      </c>
      <c r="K5758" s="370"/>
      <c r="N5758" s="370"/>
    </row>
    <row r="5759" spans="1:14" s="347" customFormat="1" x14ac:dyDescent="0.25">
      <c r="A5759" s="495">
        <f>+A5758</f>
        <v>44502</v>
      </c>
      <c r="B5759" s="496">
        <f>+MONTH(A5759)</f>
        <v>11</v>
      </c>
      <c r="C5759" s="491">
        <v>3110</v>
      </c>
      <c r="D5759" s="492" t="str">
        <f>VLOOKUP(C5759,Plan!A$1:B$65542,2,0)</f>
        <v>Colectas Normales</v>
      </c>
      <c r="E5759" s="497">
        <f>+F5759-G5759</f>
        <v>-15000</v>
      </c>
      <c r="F5759" s="493">
        <v>0</v>
      </c>
      <c r="G5759" s="502">
        <f>+F5758</f>
        <v>15000</v>
      </c>
      <c r="H5759" s="491" t="str">
        <f>+H5758</f>
        <v>Colecta Gonzalo Contardo M</v>
      </c>
      <c r="I5759" s="499" t="s">
        <v>296</v>
      </c>
      <c r="K5759" s="370"/>
      <c r="N5759" s="370"/>
    </row>
    <row r="5760" spans="1:14" s="347" customFormat="1" x14ac:dyDescent="0.25">
      <c r="A5760" s="369"/>
      <c r="E5760" s="396"/>
      <c r="F5760" s="396"/>
      <c r="G5760" s="396"/>
      <c r="K5760" s="370"/>
      <c r="N5760" s="370"/>
    </row>
    <row r="5761" spans="1:14" s="347" customFormat="1" x14ac:dyDescent="0.25">
      <c r="A5761" s="495">
        <v>44502</v>
      </c>
      <c r="B5761" s="496">
        <f>+MONTH(A5761)</f>
        <v>11</v>
      </c>
      <c r="C5761" s="491">
        <v>110</v>
      </c>
      <c r="D5761" s="492" t="str">
        <f>VLOOKUP(C5761,Plan!A$1:B$65542,2,0)</f>
        <v>Disponible Administración</v>
      </c>
      <c r="E5761" s="497">
        <f>+F5761-G5761</f>
        <v>2944</v>
      </c>
      <c r="F5761" s="493">
        <v>2944</v>
      </c>
      <c r="G5761" s="501">
        <v>0</v>
      </c>
      <c r="H5761" s="491" t="s">
        <v>1934</v>
      </c>
      <c r="I5761" s="499" t="s">
        <v>296</v>
      </c>
      <c r="K5761" s="370"/>
      <c r="N5761" s="370"/>
    </row>
    <row r="5762" spans="1:14" s="347" customFormat="1" x14ac:dyDescent="0.25">
      <c r="A5762" s="495">
        <f>+A5761</f>
        <v>44502</v>
      </c>
      <c r="B5762" s="496">
        <f>+MONTH(A5762)</f>
        <v>11</v>
      </c>
      <c r="C5762" s="491">
        <v>3110</v>
      </c>
      <c r="D5762" s="492" t="str">
        <f>VLOOKUP(C5762,Plan!A$1:B$65542,2,0)</f>
        <v>Colectas Normales</v>
      </c>
      <c r="E5762" s="497">
        <f>+F5762-G5762</f>
        <v>-2944</v>
      </c>
      <c r="F5762" s="493">
        <v>0</v>
      </c>
      <c r="G5762" s="502">
        <f>+F5761</f>
        <v>2944</v>
      </c>
      <c r="H5762" s="491" t="str">
        <f>+H5761</f>
        <v>Colecta POS</v>
      </c>
      <c r="I5762" s="499" t="s">
        <v>296</v>
      </c>
      <c r="K5762" s="370"/>
      <c r="N5762" s="370"/>
    </row>
    <row r="5763" spans="1:14" s="347" customFormat="1" x14ac:dyDescent="0.25">
      <c r="A5763" s="369"/>
      <c r="E5763" s="396"/>
      <c r="F5763" s="396"/>
      <c r="G5763" s="396"/>
      <c r="K5763" s="370"/>
      <c r="N5763" s="370"/>
    </row>
    <row r="5764" spans="1:14" s="347" customFormat="1" x14ac:dyDescent="0.25">
      <c r="A5764" s="495">
        <v>44502</v>
      </c>
      <c r="B5764" s="496">
        <f>+MONTH(A5764)</f>
        <v>11</v>
      </c>
      <c r="C5764" s="491">
        <v>110</v>
      </c>
      <c r="D5764" s="492" t="str">
        <f>VLOOKUP(C5764,Plan!A$1:B$65542,2,0)</f>
        <v>Disponible Administración</v>
      </c>
      <c r="E5764" s="497">
        <f>+F5764-G5764</f>
        <v>1126810</v>
      </c>
      <c r="F5764" s="493">
        <v>1126810</v>
      </c>
      <c r="G5764" s="501">
        <v>0</v>
      </c>
      <c r="H5764" t="s">
        <v>2127</v>
      </c>
      <c r="I5764" s="499" t="s">
        <v>296</v>
      </c>
      <c r="K5764" s="370"/>
      <c r="N5764" s="370"/>
    </row>
    <row r="5765" spans="1:14" s="347" customFormat="1" x14ac:dyDescent="0.25">
      <c r="A5765" s="495">
        <f>+A5764</f>
        <v>44502</v>
      </c>
      <c r="B5765" s="496">
        <f>+MONTH(A5765)</f>
        <v>11</v>
      </c>
      <c r="C5765" s="491">
        <v>3110</v>
      </c>
      <c r="D5765" s="492" t="str">
        <f>VLOOKUP(C5765,Plan!A$1:B$65542,2,0)</f>
        <v>Colectas Normales</v>
      </c>
      <c r="E5765" s="497">
        <f>+F5765-G5765</f>
        <v>-1126810</v>
      </c>
      <c r="F5765" s="493">
        <v>0</v>
      </c>
      <c r="G5765" s="502">
        <f>+F5764</f>
        <v>1126810</v>
      </c>
      <c r="H5765" s="491" t="str">
        <f>+H5764</f>
        <v>Colecta Col.Cordillera y Cumbres</v>
      </c>
      <c r="I5765" s="499" t="s">
        <v>296</v>
      </c>
      <c r="K5765" s="370"/>
      <c r="N5765" s="370"/>
    </row>
    <row r="5766" spans="1:14" s="347" customFormat="1" x14ac:dyDescent="0.25">
      <c r="A5766" s="369"/>
      <c r="E5766" s="396"/>
      <c r="F5766" s="396"/>
      <c r="G5766" s="396"/>
      <c r="K5766" s="370"/>
      <c r="N5766" s="370"/>
    </row>
    <row r="5767" spans="1:14" s="347" customFormat="1" x14ac:dyDescent="0.25">
      <c r="A5767" s="495">
        <v>44503</v>
      </c>
      <c r="B5767" s="496">
        <f>+MONTH(A5767)</f>
        <v>11</v>
      </c>
      <c r="C5767" s="491">
        <v>110</v>
      </c>
      <c r="D5767" s="492" t="str">
        <f>VLOOKUP(C5767,Plan!A$1:B$65542,2,0)</f>
        <v>Disponible Administración</v>
      </c>
      <c r="E5767" s="497">
        <f>+F5767-G5767</f>
        <v>10000</v>
      </c>
      <c r="F5767" s="493">
        <v>10000</v>
      </c>
      <c r="G5767" s="501">
        <v>0</v>
      </c>
      <c r="H5767" t="s">
        <v>1218</v>
      </c>
      <c r="I5767" s="499" t="s">
        <v>296</v>
      </c>
      <c r="K5767" s="370"/>
      <c r="N5767" s="370"/>
    </row>
    <row r="5768" spans="1:14" s="347" customFormat="1" x14ac:dyDescent="0.25">
      <c r="A5768" s="495">
        <f>+A5767</f>
        <v>44503</v>
      </c>
      <c r="B5768" s="496">
        <f>+MONTH(A5768)</f>
        <v>11</v>
      </c>
      <c r="C5768" s="491">
        <v>3110</v>
      </c>
      <c r="D5768" s="492" t="str">
        <f>VLOOKUP(C5768,Plan!A$1:B$65542,2,0)</f>
        <v>Colectas Normales</v>
      </c>
      <c r="E5768" s="497">
        <f>+F5768-G5768</f>
        <v>-10000</v>
      </c>
      <c r="F5768" s="493">
        <v>0</v>
      </c>
      <c r="G5768" s="502">
        <f>+F5767</f>
        <v>10000</v>
      </c>
      <c r="H5768" s="491" t="str">
        <f>+H5767</f>
        <v>Colecta Mercedes Cisternas Perez</v>
      </c>
      <c r="I5768" s="499" t="s">
        <v>296</v>
      </c>
      <c r="K5768" s="370"/>
      <c r="N5768" s="370"/>
    </row>
    <row r="5769" spans="1:14" s="347" customFormat="1" x14ac:dyDescent="0.25">
      <c r="A5769" s="369"/>
      <c r="E5769" s="396"/>
      <c r="F5769" s="396"/>
      <c r="G5769" s="396"/>
      <c r="K5769" s="370"/>
      <c r="N5769" s="370"/>
    </row>
    <row r="5770" spans="1:14" s="347" customFormat="1" x14ac:dyDescent="0.25">
      <c r="A5770" s="495">
        <v>44503</v>
      </c>
      <c r="B5770" s="496">
        <f>+MONTH(A5770)</f>
        <v>11</v>
      </c>
      <c r="C5770" s="491">
        <v>110</v>
      </c>
      <c r="D5770" s="492" t="str">
        <f>VLOOKUP(C5770,Plan!A$1:B$65542,2,0)</f>
        <v>Disponible Administración</v>
      </c>
      <c r="E5770" s="497">
        <f>+F5770-G5770</f>
        <v>30000</v>
      </c>
      <c r="F5770" s="493">
        <v>30000</v>
      </c>
      <c r="G5770" s="501">
        <v>0</v>
      </c>
      <c r="H5770" t="s">
        <v>1641</v>
      </c>
      <c r="I5770" s="499" t="s">
        <v>296</v>
      </c>
      <c r="K5770" s="370"/>
      <c r="N5770" s="370"/>
    </row>
    <row r="5771" spans="1:14" s="347" customFormat="1" x14ac:dyDescent="0.25">
      <c r="A5771" s="495">
        <f>+A5770</f>
        <v>44503</v>
      </c>
      <c r="B5771" s="496">
        <f>+MONTH(A5771)</f>
        <v>11</v>
      </c>
      <c r="C5771" s="491">
        <v>215</v>
      </c>
      <c r="D5771" s="492" t="str">
        <f>VLOOKUP(C5771,Plan!A$1:B$65542,2,0)</f>
        <v>Cuenta por Pagar a Cali</v>
      </c>
      <c r="E5771" s="497">
        <f>+F5771-G5771</f>
        <v>-30000</v>
      </c>
      <c r="F5771" s="493">
        <v>0</v>
      </c>
      <c r="G5771" s="502">
        <f>+F5770</f>
        <v>30000</v>
      </c>
      <c r="H5771" s="491" t="str">
        <f>+H5770</f>
        <v>Ana María Allende Zañartu/ 248</v>
      </c>
      <c r="I5771" s="499" t="s">
        <v>296</v>
      </c>
      <c r="K5771" s="370"/>
      <c r="N5771" s="370"/>
    </row>
    <row r="5772" spans="1:14" s="347" customFormat="1" x14ac:dyDescent="0.25">
      <c r="A5772" s="369"/>
      <c r="E5772" s="396"/>
      <c r="F5772" s="396"/>
      <c r="G5772" s="396"/>
      <c r="K5772" s="370"/>
      <c r="N5772" s="370"/>
    </row>
    <row r="5773" spans="1:14" s="347" customFormat="1" x14ac:dyDescent="0.25">
      <c r="A5773" s="495">
        <v>44503</v>
      </c>
      <c r="B5773" s="496">
        <f>+MONTH(A5773)</f>
        <v>11</v>
      </c>
      <c r="C5773" s="491">
        <v>110</v>
      </c>
      <c r="D5773" s="492" t="str">
        <f>VLOOKUP(C5773,Plan!A$1:B$65542,2,0)</f>
        <v>Disponible Administración</v>
      </c>
      <c r="E5773" s="497">
        <f>+F5773-G5773</f>
        <v>10000</v>
      </c>
      <c r="F5773" s="493">
        <v>10000</v>
      </c>
      <c r="G5773" s="501">
        <v>0</v>
      </c>
      <c r="H5773" t="s">
        <v>2197</v>
      </c>
      <c r="I5773" s="499" t="s">
        <v>296</v>
      </c>
      <c r="K5773" s="370"/>
      <c r="N5773" s="370"/>
    </row>
    <row r="5774" spans="1:14" s="347" customFormat="1" x14ac:dyDescent="0.25">
      <c r="A5774" s="495">
        <f>+A5773</f>
        <v>44503</v>
      </c>
      <c r="B5774" s="496">
        <f>+MONTH(A5774)</f>
        <v>11</v>
      </c>
      <c r="C5774" s="491">
        <v>3110</v>
      </c>
      <c r="D5774" s="492" t="str">
        <f>VLOOKUP(C5774,Plan!A$1:B$65542,2,0)</f>
        <v>Colectas Normales</v>
      </c>
      <c r="E5774" s="497">
        <f>+F5774-G5774</f>
        <v>-10000</v>
      </c>
      <c r="F5774" s="493">
        <v>0</v>
      </c>
      <c r="G5774" s="502">
        <f>+F5773</f>
        <v>10000</v>
      </c>
      <c r="H5774" s="491" t="str">
        <f>+H5773</f>
        <v>Colecta Maria Del Pilar Ferrer Parrague</v>
      </c>
      <c r="I5774" s="499" t="s">
        <v>296</v>
      </c>
      <c r="K5774" s="370"/>
      <c r="N5774" s="370"/>
    </row>
    <row r="5775" spans="1:14" s="347" customFormat="1" x14ac:dyDescent="0.25">
      <c r="A5775" s="369"/>
      <c r="E5775" s="396"/>
      <c r="F5775" s="396"/>
      <c r="G5775" s="396"/>
      <c r="K5775" s="370"/>
      <c r="N5775" s="370"/>
    </row>
    <row r="5776" spans="1:14" s="347" customFormat="1" x14ac:dyDescent="0.25">
      <c r="A5776" s="495">
        <v>44503</v>
      </c>
      <c r="B5776" s="496">
        <f>+MONTH(A5776)</f>
        <v>11</v>
      </c>
      <c r="C5776" s="491">
        <v>110</v>
      </c>
      <c r="D5776" s="492" t="str">
        <f>VLOOKUP(C5776,Plan!A$1:B$65542,2,0)</f>
        <v>Disponible Administración</v>
      </c>
      <c r="E5776" s="497">
        <f>+F5776-G5776</f>
        <v>9816</v>
      </c>
      <c r="F5776" s="493">
        <v>9816</v>
      </c>
      <c r="G5776" s="501">
        <v>0</v>
      </c>
      <c r="H5776" t="s">
        <v>2198</v>
      </c>
      <c r="I5776" s="499" t="s">
        <v>296</v>
      </c>
      <c r="K5776" s="370"/>
      <c r="N5776" s="370"/>
    </row>
    <row r="5777" spans="1:14" s="347" customFormat="1" x14ac:dyDescent="0.25">
      <c r="A5777" s="495">
        <f>+A5776</f>
        <v>44503</v>
      </c>
      <c r="B5777" s="496">
        <f>+MONTH(A5777)</f>
        <v>11</v>
      </c>
      <c r="C5777" s="491">
        <v>215</v>
      </c>
      <c r="D5777" s="492" t="str">
        <f>VLOOKUP(C5777,Plan!A$1:B$65542,2,0)</f>
        <v>Cuenta por Pagar a Cali</v>
      </c>
      <c r="E5777" s="497">
        <f>+F5777-G5777</f>
        <v>-9816</v>
      </c>
      <c r="F5777" s="493">
        <v>0</v>
      </c>
      <c r="G5777" s="502">
        <f>+F5776</f>
        <v>9816</v>
      </c>
      <c r="H5777" s="491" t="str">
        <f>+H5776</f>
        <v>Patricia Honorato Valdés ($10000) /249</v>
      </c>
      <c r="I5777" s="499" t="s">
        <v>296</v>
      </c>
      <c r="K5777" s="370"/>
      <c r="N5777" s="370"/>
    </row>
    <row r="5778" spans="1:14" s="347" customFormat="1" x14ac:dyDescent="0.25">
      <c r="A5778" s="369"/>
      <c r="E5778" s="396"/>
      <c r="F5778" s="396"/>
      <c r="G5778" s="396"/>
      <c r="K5778" s="370"/>
      <c r="N5778" s="370"/>
    </row>
    <row r="5779" spans="1:14" s="347" customFormat="1" x14ac:dyDescent="0.25">
      <c r="A5779" s="495">
        <v>44503</v>
      </c>
      <c r="B5779" s="496">
        <f>+MONTH(A5779)</f>
        <v>11</v>
      </c>
      <c r="C5779" s="491">
        <v>110</v>
      </c>
      <c r="D5779" s="492" t="str">
        <f>VLOOKUP(C5779,Plan!A$1:B$65542,2,0)</f>
        <v>Disponible Administración</v>
      </c>
      <c r="E5779" s="497">
        <f>+F5779-G5779</f>
        <v>30000</v>
      </c>
      <c r="F5779" s="493">
        <v>30000</v>
      </c>
      <c r="G5779" s="501">
        <v>0</v>
      </c>
      <c r="H5779" t="s">
        <v>2199</v>
      </c>
      <c r="I5779" s="499" t="s">
        <v>296</v>
      </c>
      <c r="K5779" s="370"/>
      <c r="N5779" s="370"/>
    </row>
    <row r="5780" spans="1:14" s="347" customFormat="1" x14ac:dyDescent="0.25">
      <c r="A5780" s="495">
        <f>+A5779</f>
        <v>44503</v>
      </c>
      <c r="B5780" s="496">
        <f>+MONTH(A5780)</f>
        <v>11</v>
      </c>
      <c r="C5780" s="491">
        <v>3110</v>
      </c>
      <c r="D5780" s="492" t="str">
        <f>VLOOKUP(C5780,Plan!A$1:B$65542,2,0)</f>
        <v>Colectas Normales</v>
      </c>
      <c r="E5780" s="497">
        <f>+F5780-G5780</f>
        <v>-30000</v>
      </c>
      <c r="F5780" s="493">
        <v>0</v>
      </c>
      <c r="G5780" s="502">
        <f>+F5779</f>
        <v>30000</v>
      </c>
      <c r="H5780" s="491" t="str">
        <f>+H5779</f>
        <v>Colecta Cyril Hodgson Larraín</v>
      </c>
      <c r="I5780" s="499" t="s">
        <v>296</v>
      </c>
      <c r="K5780" s="370"/>
      <c r="N5780" s="370"/>
    </row>
    <row r="5781" spans="1:14" s="347" customFormat="1" x14ac:dyDescent="0.25">
      <c r="A5781" s="369"/>
      <c r="E5781" s="396"/>
      <c r="F5781" s="396"/>
      <c r="G5781" s="396"/>
      <c r="K5781" s="370"/>
      <c r="N5781" s="370"/>
    </row>
    <row r="5782" spans="1:14" s="347" customFormat="1" x14ac:dyDescent="0.25">
      <c r="A5782" s="495">
        <v>44503</v>
      </c>
      <c r="B5782" s="496">
        <f>+MONTH(A5782)</f>
        <v>11</v>
      </c>
      <c r="C5782" s="491">
        <v>110</v>
      </c>
      <c r="D5782" s="492" t="str">
        <f>VLOOKUP(C5782,Plan!A$1:B$65542,2,0)</f>
        <v>Disponible Administración</v>
      </c>
      <c r="E5782" s="497">
        <f>+F5782-G5782</f>
        <v>20000</v>
      </c>
      <c r="F5782" s="493">
        <v>20000</v>
      </c>
      <c r="G5782" s="501">
        <v>0</v>
      </c>
      <c r="H5782" t="s">
        <v>1558</v>
      </c>
      <c r="I5782" s="499" t="s">
        <v>296</v>
      </c>
      <c r="K5782" s="370"/>
      <c r="N5782" s="370"/>
    </row>
    <row r="5783" spans="1:14" s="347" customFormat="1" x14ac:dyDescent="0.25">
      <c r="A5783" s="495">
        <f>+A5782</f>
        <v>44503</v>
      </c>
      <c r="B5783" s="496">
        <f>+MONTH(A5783)</f>
        <v>11</v>
      </c>
      <c r="C5783" s="491">
        <v>3450</v>
      </c>
      <c r="D5783" s="492" t="str">
        <f>VLOOKUP(C5783,Plan!A$1:B$65542,2,0)</f>
        <v>Pastoral Social</v>
      </c>
      <c r="E5783" s="497">
        <f>+F5783-G5783</f>
        <v>-20000</v>
      </c>
      <c r="F5783" s="493">
        <v>0</v>
      </c>
      <c r="G5783" s="502">
        <f>+F5782</f>
        <v>20000</v>
      </c>
      <c r="H5783" s="491" t="str">
        <f>+H5782</f>
        <v>Canastas Francisca Orrego Benavente</v>
      </c>
      <c r="I5783" s="499" t="s">
        <v>296</v>
      </c>
      <c r="K5783" s="370"/>
      <c r="N5783" s="370"/>
    </row>
    <row r="5784" spans="1:14" s="347" customFormat="1" x14ac:dyDescent="0.25">
      <c r="A5784" s="369"/>
      <c r="E5784" s="396"/>
      <c r="F5784" s="396"/>
      <c r="G5784" s="396"/>
      <c r="K5784" s="370"/>
      <c r="N5784" s="370"/>
    </row>
    <row r="5785" spans="1:14" s="347" customFormat="1" x14ac:dyDescent="0.25">
      <c r="A5785" s="495">
        <v>44503</v>
      </c>
      <c r="B5785" s="496">
        <f>+MONTH(A5785)</f>
        <v>11</v>
      </c>
      <c r="C5785" s="491">
        <v>110</v>
      </c>
      <c r="D5785" s="492" t="str">
        <f>VLOOKUP(C5785,Plan!A$1:B$65542,2,0)</f>
        <v>Disponible Administración</v>
      </c>
      <c r="E5785" s="497">
        <f>+F5785-G5785</f>
        <v>20000</v>
      </c>
      <c r="F5785" s="493">
        <v>20000</v>
      </c>
      <c r="G5785" s="501">
        <v>0</v>
      </c>
      <c r="H5785" t="s">
        <v>2200</v>
      </c>
      <c r="I5785" s="499" t="s">
        <v>296</v>
      </c>
      <c r="K5785" s="370"/>
      <c r="N5785" s="370"/>
    </row>
    <row r="5786" spans="1:14" s="347" customFormat="1" x14ac:dyDescent="0.25">
      <c r="A5786" s="503">
        <f>+A5785</f>
        <v>44503</v>
      </c>
      <c r="B5786" s="504">
        <f>+MONTH(A5786)</f>
        <v>11</v>
      </c>
      <c r="C5786" s="505">
        <v>215</v>
      </c>
      <c r="D5786" s="504" t="str">
        <f>VLOOKUP(C5786,Plan!A$1:B$65542,2,0)</f>
        <v>Cuenta por Pagar a Cali</v>
      </c>
      <c r="E5786" s="506">
        <f>+F5786-G5786</f>
        <v>-20000</v>
      </c>
      <c r="F5786" s="508">
        <v>0</v>
      </c>
      <c r="G5786" s="509">
        <f>+F5785</f>
        <v>20000</v>
      </c>
      <c r="H5786" s="505" t="str">
        <f>+H5785</f>
        <v>Francisca Orrego Benavente / 249</v>
      </c>
      <c r="I5786" s="507" t="s">
        <v>296</v>
      </c>
      <c r="K5786" s="370"/>
      <c r="N5786" s="370"/>
    </row>
    <row r="5787" spans="1:14" s="347" customFormat="1" x14ac:dyDescent="0.25">
      <c r="A5787" s="369"/>
      <c r="B5787" s="340"/>
      <c r="D5787" s="340"/>
      <c r="E5787" s="341"/>
      <c r="F5787" s="396"/>
      <c r="G5787" s="396"/>
      <c r="I5787" s="340"/>
      <c r="K5787" s="370"/>
      <c r="N5787" s="370"/>
    </row>
    <row r="5788" spans="1:14" s="347" customFormat="1" x14ac:dyDescent="0.25">
      <c r="A5788" s="495">
        <v>44503</v>
      </c>
      <c r="B5788" s="496">
        <f>+MONTH(A5788)</f>
        <v>11</v>
      </c>
      <c r="C5788" s="491">
        <v>110</v>
      </c>
      <c r="D5788" s="492" t="str">
        <f>VLOOKUP(C5788,Plan!A$1:B$65542,2,0)</f>
        <v>Disponible Administración</v>
      </c>
      <c r="E5788" s="497">
        <f>+F5788-G5788</f>
        <v>120000</v>
      </c>
      <c r="F5788" s="493">
        <v>120000</v>
      </c>
      <c r="G5788" s="501">
        <v>0</v>
      </c>
      <c r="H5788" t="s">
        <v>987</v>
      </c>
      <c r="I5788" s="499" t="s">
        <v>296</v>
      </c>
      <c r="K5788" s="370"/>
      <c r="N5788" s="370"/>
    </row>
    <row r="5789" spans="1:14" s="347" customFormat="1" x14ac:dyDescent="0.25">
      <c r="A5789" s="503">
        <f>+A5788</f>
        <v>44503</v>
      </c>
      <c r="B5789" s="504">
        <f>+MONTH(A5789)</f>
        <v>11</v>
      </c>
      <c r="C5789" s="505">
        <v>215</v>
      </c>
      <c r="D5789" s="504" t="str">
        <f>VLOOKUP(C5789,Plan!A$1:B$65542,2,0)</f>
        <v>Cuenta por Pagar a Cali</v>
      </c>
      <c r="E5789" s="506">
        <f>+F5789-G5789</f>
        <v>-120000</v>
      </c>
      <c r="F5789" s="508">
        <v>0</v>
      </c>
      <c r="G5789" s="509">
        <f>+F5788</f>
        <v>120000</v>
      </c>
      <c r="H5789" s="505" t="str">
        <f>+H5788</f>
        <v xml:space="preserve">I. Ureta / 248 </v>
      </c>
      <c r="I5789" s="507" t="s">
        <v>296</v>
      </c>
      <c r="K5789" s="370"/>
      <c r="N5789" s="370"/>
    </row>
    <row r="5790" spans="1:14" s="347" customFormat="1" x14ac:dyDescent="0.25">
      <c r="A5790" s="369"/>
      <c r="E5790" s="396"/>
      <c r="F5790" s="396"/>
      <c r="G5790" s="396"/>
      <c r="K5790" s="370"/>
      <c r="N5790" s="370"/>
    </row>
    <row r="5791" spans="1:14" s="347" customFormat="1" x14ac:dyDescent="0.25">
      <c r="A5791" s="495">
        <v>44503</v>
      </c>
      <c r="B5791" s="496">
        <f>+MONTH(A5791)</f>
        <v>11</v>
      </c>
      <c r="C5791" s="491">
        <v>110</v>
      </c>
      <c r="D5791" s="492" t="str">
        <f>VLOOKUP(C5791,Plan!A$1:B$65542,2,0)</f>
        <v>Disponible Administración</v>
      </c>
      <c r="E5791" s="497">
        <f>+F5791-G5791</f>
        <v>100000</v>
      </c>
      <c r="F5791" s="493">
        <v>100000</v>
      </c>
      <c r="G5791" s="501">
        <v>0</v>
      </c>
      <c r="H5791" t="s">
        <v>1128</v>
      </c>
      <c r="I5791" s="499" t="s">
        <v>296</v>
      </c>
      <c r="K5791" s="370"/>
      <c r="N5791" s="370"/>
    </row>
    <row r="5792" spans="1:14" s="347" customFormat="1" x14ac:dyDescent="0.25">
      <c r="A5792" s="503">
        <f>+A5791</f>
        <v>44503</v>
      </c>
      <c r="B5792" s="504">
        <f>+MONTH(A5792)</f>
        <v>11</v>
      </c>
      <c r="C5792" s="505">
        <v>3110</v>
      </c>
      <c r="D5792" s="504" t="str">
        <f>VLOOKUP(C5792,Plan!A$1:B$65542,2,0)</f>
        <v>Colectas Normales</v>
      </c>
      <c r="E5792" s="506">
        <f>+F5792-G5792</f>
        <v>-100000</v>
      </c>
      <c r="F5792" s="508">
        <v>0</v>
      </c>
      <c r="G5792" s="509">
        <f>+F5791</f>
        <v>100000</v>
      </c>
      <c r="H5792" s="505" t="str">
        <f>+H5791</f>
        <v>Colecta Ximena Suspichiatti</v>
      </c>
      <c r="I5792" s="507" t="s">
        <v>296</v>
      </c>
      <c r="K5792" s="370"/>
      <c r="N5792" s="370"/>
    </row>
    <row r="5793" spans="1:14" s="347" customFormat="1" x14ac:dyDescent="0.25">
      <c r="A5793" s="369"/>
      <c r="E5793" s="396"/>
      <c r="F5793" s="396"/>
      <c r="G5793" s="396"/>
      <c r="K5793" s="370"/>
      <c r="N5793" s="370"/>
    </row>
    <row r="5794" spans="1:14" s="347" customFormat="1" x14ac:dyDescent="0.25">
      <c r="A5794" s="495">
        <v>44504</v>
      </c>
      <c r="B5794" s="496">
        <f>+MONTH(A5794)</f>
        <v>11</v>
      </c>
      <c r="C5794" s="491">
        <v>110</v>
      </c>
      <c r="D5794" s="492" t="str">
        <f>VLOOKUP(C5794,Plan!A$1:B$65542,2,0)</f>
        <v>Disponible Administración</v>
      </c>
      <c r="E5794" s="497">
        <f>+F5794-G5794</f>
        <v>50000</v>
      </c>
      <c r="F5794" s="493">
        <v>50000</v>
      </c>
      <c r="G5794" s="501">
        <v>0</v>
      </c>
      <c r="H5794" t="s">
        <v>733</v>
      </c>
      <c r="I5794" s="499" t="s">
        <v>296</v>
      </c>
      <c r="K5794" s="370"/>
      <c r="N5794" s="370"/>
    </row>
    <row r="5795" spans="1:14" s="347" customFormat="1" x14ac:dyDescent="0.25">
      <c r="A5795" s="503">
        <f>+A5794</f>
        <v>44504</v>
      </c>
      <c r="B5795" s="504">
        <f>+MONTH(A5795)</f>
        <v>11</v>
      </c>
      <c r="C5795" s="505">
        <v>215</v>
      </c>
      <c r="D5795" s="504" t="str">
        <f>VLOOKUP(C5795,Plan!A$1:B$65542,2,0)</f>
        <v>Cuenta por Pagar a Cali</v>
      </c>
      <c r="E5795" s="506">
        <f>+F5795-G5795</f>
        <v>-50000</v>
      </c>
      <c r="F5795" s="508">
        <v>0</v>
      </c>
      <c r="G5795" s="509">
        <f>+F5794</f>
        <v>50000</v>
      </c>
      <c r="H5795" s="505" t="str">
        <f>+H5794</f>
        <v>Hilda Dougnac Rodríguez / Azul</v>
      </c>
      <c r="I5795" s="507" t="s">
        <v>296</v>
      </c>
      <c r="K5795" s="370"/>
      <c r="N5795" s="370"/>
    </row>
    <row r="5796" spans="1:14" s="347" customFormat="1" x14ac:dyDescent="0.25">
      <c r="A5796" s="369"/>
      <c r="E5796" s="396"/>
      <c r="F5796" s="396"/>
      <c r="G5796" s="396"/>
      <c r="K5796" s="370"/>
      <c r="N5796" s="370"/>
    </row>
    <row r="5797" spans="1:14" s="347" customFormat="1" x14ac:dyDescent="0.25">
      <c r="A5797" s="495">
        <v>44504</v>
      </c>
      <c r="B5797" s="496">
        <f>+MONTH(A5797)</f>
        <v>11</v>
      </c>
      <c r="C5797" s="491">
        <v>4322</v>
      </c>
      <c r="D5797" s="492" t="str">
        <f>VLOOKUP(C5797,Plan!A$1:B$65542,2,0)</f>
        <v>Agua</v>
      </c>
      <c r="E5797" s="497">
        <f>+F5797-G5797</f>
        <v>26612</v>
      </c>
      <c r="F5797" s="493">
        <v>26612</v>
      </c>
      <c r="G5797" s="501">
        <v>0</v>
      </c>
      <c r="H5797" t="s">
        <v>733</v>
      </c>
      <c r="I5797" s="499" t="s">
        <v>296</v>
      </c>
      <c r="K5797" s="370"/>
      <c r="N5797" s="370"/>
    </row>
    <row r="5798" spans="1:14" s="347" customFormat="1" x14ac:dyDescent="0.25">
      <c r="A5798" s="503">
        <f>+A5797</f>
        <v>44504</v>
      </c>
      <c r="B5798" s="504">
        <f>+MONTH(A5798)</f>
        <v>11</v>
      </c>
      <c r="C5798" s="505">
        <v>110</v>
      </c>
      <c r="D5798" s="504" t="str">
        <f>VLOOKUP(C5798,Plan!A$1:B$65542,2,0)</f>
        <v>Disponible Administración</v>
      </c>
      <c r="E5798" s="506">
        <f>+F5798-G5798</f>
        <v>-26612</v>
      </c>
      <c r="F5798" s="508">
        <v>0</v>
      </c>
      <c r="G5798" s="509">
        <f>+F5797</f>
        <v>26612</v>
      </c>
      <c r="H5798" s="505" t="str">
        <f>+H5797</f>
        <v>Hilda Dougnac Rodríguez / Azul</v>
      </c>
      <c r="I5798" s="507" t="s">
        <v>296</v>
      </c>
      <c r="K5798" s="370"/>
      <c r="N5798" s="370"/>
    </row>
    <row r="5799" spans="1:14" s="347" customFormat="1" x14ac:dyDescent="0.25">
      <c r="A5799" s="369"/>
      <c r="E5799" s="396"/>
      <c r="F5799" s="396"/>
      <c r="G5799" s="396"/>
      <c r="K5799" s="370"/>
      <c r="N5799" s="370"/>
    </row>
    <row r="5800" spans="1:14" s="347" customFormat="1" x14ac:dyDescent="0.25">
      <c r="A5800" s="495">
        <v>44504</v>
      </c>
      <c r="B5800" s="496">
        <f>+MONTH(A5800)</f>
        <v>11</v>
      </c>
      <c r="C5800" s="491">
        <v>110</v>
      </c>
      <c r="D5800" s="492" t="str">
        <f>VLOOKUP(C5800,Plan!A$1:B$65542,2,0)</f>
        <v>Disponible Administración</v>
      </c>
      <c r="E5800" s="497">
        <f>+F5800-G5800</f>
        <v>29447</v>
      </c>
      <c r="F5800" s="493">
        <v>29447</v>
      </c>
      <c r="G5800" s="501">
        <v>0</v>
      </c>
      <c r="H5800" t="s">
        <v>897</v>
      </c>
      <c r="I5800" s="499" t="s">
        <v>296</v>
      </c>
      <c r="K5800" s="370"/>
      <c r="N5800" s="370"/>
    </row>
    <row r="5801" spans="1:14" s="347" customFormat="1" x14ac:dyDescent="0.25">
      <c r="A5801" s="503">
        <f>+A5800</f>
        <v>44504</v>
      </c>
      <c r="B5801" s="504">
        <f>+MONTH(A5801)</f>
        <v>11</v>
      </c>
      <c r="C5801" s="505">
        <v>3110</v>
      </c>
      <c r="D5801" s="504" t="str">
        <f>VLOOKUP(C5801,Plan!A$1:B$65542,2,0)</f>
        <v>Colectas Normales</v>
      </c>
      <c r="E5801" s="506">
        <f>+F5801-G5801</f>
        <v>-29447</v>
      </c>
      <c r="F5801" s="508">
        <v>0</v>
      </c>
      <c r="G5801" s="509">
        <f>+F5800</f>
        <v>29447</v>
      </c>
      <c r="H5801" s="505" t="str">
        <f>+H5800</f>
        <v>Colecta DCT</v>
      </c>
      <c r="I5801" s="507" t="s">
        <v>296</v>
      </c>
      <c r="K5801" s="370"/>
      <c r="N5801" s="370"/>
    </row>
    <row r="5802" spans="1:14" s="347" customFormat="1" x14ac:dyDescent="0.25">
      <c r="A5802" s="369"/>
      <c r="E5802" s="396"/>
      <c r="F5802" s="396"/>
      <c r="G5802" s="396"/>
      <c r="K5802" s="370"/>
      <c r="N5802" s="370"/>
    </row>
    <row r="5803" spans="1:14" s="347" customFormat="1" x14ac:dyDescent="0.25">
      <c r="A5803" s="495">
        <v>44504</v>
      </c>
      <c r="B5803" s="496">
        <f>+MONTH(A5803)</f>
        <v>11</v>
      </c>
      <c r="C5803" s="491">
        <v>110</v>
      </c>
      <c r="D5803" s="492" t="str">
        <f>VLOOKUP(C5803,Plan!A$1:B$65542,2,0)</f>
        <v>Disponible Administración</v>
      </c>
      <c r="E5803" s="497">
        <f>+F5803-G5803</f>
        <v>9679</v>
      </c>
      <c r="F5803" s="493">
        <v>9679</v>
      </c>
      <c r="G5803" s="501">
        <v>0</v>
      </c>
      <c r="H5803" t="s">
        <v>1338</v>
      </c>
      <c r="I5803" s="499" t="s">
        <v>296</v>
      </c>
      <c r="K5803" s="370"/>
      <c r="N5803" s="370"/>
    </row>
    <row r="5804" spans="1:14" s="347" customFormat="1" x14ac:dyDescent="0.25">
      <c r="A5804" s="503">
        <f>+A5803</f>
        <v>44504</v>
      </c>
      <c r="B5804" s="504">
        <f>+MONTH(A5804)</f>
        <v>11</v>
      </c>
      <c r="C5804" s="505">
        <v>3340</v>
      </c>
      <c r="D5804" s="504" t="str">
        <f>VLOOKUP(C5804,Plan!A$1:B$65542,2,0)</f>
        <v>Misas</v>
      </c>
      <c r="E5804" s="506">
        <f>+F5804-G5804</f>
        <v>-9679</v>
      </c>
      <c r="F5804" s="508">
        <v>0</v>
      </c>
      <c r="G5804" s="509">
        <f>+F5803</f>
        <v>9679</v>
      </c>
      <c r="H5804" s="505" t="str">
        <f>+H5803</f>
        <v>Misa DCT</v>
      </c>
      <c r="I5804" s="507" t="s">
        <v>296</v>
      </c>
      <c r="K5804" s="370"/>
      <c r="N5804" s="370"/>
    </row>
    <row r="5805" spans="1:14" s="347" customFormat="1" x14ac:dyDescent="0.25">
      <c r="A5805" s="369"/>
      <c r="E5805" s="396"/>
      <c r="F5805" s="396"/>
      <c r="G5805" s="396"/>
      <c r="K5805" s="370"/>
      <c r="N5805" s="370"/>
    </row>
    <row r="5806" spans="1:14" s="347" customFormat="1" x14ac:dyDescent="0.25">
      <c r="A5806" s="495">
        <v>44505</v>
      </c>
      <c r="B5806" s="496">
        <f>+MONTH(A5806)</f>
        <v>11</v>
      </c>
      <c r="C5806" s="491">
        <v>110</v>
      </c>
      <c r="D5806" s="492" t="str">
        <f>VLOOKUP(C5806,Plan!A$1:B$65542,2,0)</f>
        <v>Disponible Administración</v>
      </c>
      <c r="E5806" s="497">
        <f>+F5806-G5806</f>
        <v>50000</v>
      </c>
      <c r="F5806" s="493">
        <v>50000</v>
      </c>
      <c r="G5806" s="501">
        <v>0</v>
      </c>
      <c r="H5806" t="s">
        <v>2024</v>
      </c>
      <c r="I5806" s="499" t="s">
        <v>296</v>
      </c>
      <c r="K5806" s="370"/>
      <c r="N5806" s="370"/>
    </row>
    <row r="5807" spans="1:14" s="347" customFormat="1" x14ac:dyDescent="0.25">
      <c r="A5807" s="503">
        <f>+A5806</f>
        <v>44505</v>
      </c>
      <c r="B5807" s="504">
        <f>+MONTH(A5807)</f>
        <v>11</v>
      </c>
      <c r="C5807" s="505">
        <v>3110</v>
      </c>
      <c r="D5807" s="504" t="str">
        <f>VLOOKUP(C5807,Plan!A$1:B$65542,2,0)</f>
        <v>Colectas Normales</v>
      </c>
      <c r="E5807" s="506">
        <f>+F5807-G5807</f>
        <v>-50000</v>
      </c>
      <c r="F5807" s="508">
        <v>0</v>
      </c>
      <c r="G5807" s="509">
        <f>+F5806</f>
        <v>50000</v>
      </c>
      <c r="H5807" s="505" t="str">
        <f>+H5806</f>
        <v>Colecta Alvaro Lavin Cruz</v>
      </c>
      <c r="I5807" s="507" t="s">
        <v>296</v>
      </c>
      <c r="K5807" s="370"/>
      <c r="N5807" s="370"/>
    </row>
    <row r="5808" spans="1:14" s="347" customFormat="1" x14ac:dyDescent="0.25">
      <c r="A5808" s="369"/>
      <c r="E5808" s="396"/>
      <c r="F5808" s="396"/>
      <c r="G5808" s="396"/>
      <c r="K5808" s="370"/>
      <c r="N5808" s="370"/>
    </row>
    <row r="5809" spans="1:14" s="347" customFormat="1" x14ac:dyDescent="0.25">
      <c r="A5809" s="495">
        <v>44505</v>
      </c>
      <c r="B5809" s="496">
        <f>+MONTH(A5809)</f>
        <v>11</v>
      </c>
      <c r="C5809" s="491">
        <v>110</v>
      </c>
      <c r="D5809" s="492" t="str">
        <f>VLOOKUP(C5809,Plan!A$1:B$65542,2,0)</f>
        <v>Disponible Administración</v>
      </c>
      <c r="E5809" s="497">
        <f>+F5809-G5809</f>
        <v>20000</v>
      </c>
      <c r="F5809" s="493">
        <v>20000</v>
      </c>
      <c r="G5809" s="501">
        <v>0</v>
      </c>
      <c r="H5809" t="s">
        <v>2058</v>
      </c>
      <c r="I5809" s="499" t="s">
        <v>296</v>
      </c>
      <c r="K5809" s="370"/>
      <c r="N5809" s="370"/>
    </row>
    <row r="5810" spans="1:14" s="347" customFormat="1" x14ac:dyDescent="0.25">
      <c r="A5810" s="503">
        <f>+A5809</f>
        <v>44505</v>
      </c>
      <c r="B5810" s="504">
        <f>+MONTH(A5810)</f>
        <v>11</v>
      </c>
      <c r="C5810" s="505">
        <v>3110</v>
      </c>
      <c r="D5810" s="504" t="str">
        <f>VLOOKUP(C5810,Plan!A$1:B$65542,2,0)</f>
        <v>Colectas Normales</v>
      </c>
      <c r="E5810" s="506">
        <f>+F5810-G5810</f>
        <v>-20000</v>
      </c>
      <c r="F5810" s="508">
        <v>0</v>
      </c>
      <c r="G5810" s="509">
        <f>+F5809</f>
        <v>20000</v>
      </c>
      <c r="H5810" s="505" t="str">
        <f>+H5809</f>
        <v>Colecta Andres de la Barra Correa</v>
      </c>
      <c r="I5810" s="507" t="s">
        <v>296</v>
      </c>
      <c r="K5810" s="370"/>
      <c r="N5810" s="370"/>
    </row>
    <row r="5811" spans="1:14" s="347" customFormat="1" x14ac:dyDescent="0.25">
      <c r="A5811" s="369"/>
      <c r="E5811" s="396"/>
      <c r="F5811" s="396"/>
      <c r="G5811" s="396"/>
      <c r="K5811" s="370"/>
      <c r="N5811" s="370"/>
    </row>
    <row r="5812" spans="1:14" s="347" customFormat="1" x14ac:dyDescent="0.25">
      <c r="A5812" s="495">
        <v>44505</v>
      </c>
      <c r="B5812" s="496">
        <f>+MONTH(A5812)</f>
        <v>11</v>
      </c>
      <c r="C5812" s="491">
        <v>4310</v>
      </c>
      <c r="D5812" s="492" t="str">
        <f>VLOOKUP(C5812,Plan!A$1:B$65542,2,0)</f>
        <v>Arriendos / Dividendos</v>
      </c>
      <c r="E5812" s="497">
        <f>+F5812-G5812</f>
        <v>821027</v>
      </c>
      <c r="F5812" s="493">
        <v>821027</v>
      </c>
      <c r="G5812" s="501">
        <v>0</v>
      </c>
      <c r="H5812" t="s">
        <v>2203</v>
      </c>
      <c r="I5812" s="499" t="s">
        <v>296</v>
      </c>
      <c r="K5812" s="370"/>
      <c r="N5812" s="370"/>
    </row>
    <row r="5813" spans="1:14" s="347" customFormat="1" x14ac:dyDescent="0.25">
      <c r="A5813" s="503">
        <f>+A5812</f>
        <v>44505</v>
      </c>
      <c r="B5813" s="504">
        <f>+MONTH(A5813)</f>
        <v>11</v>
      </c>
      <c r="C5813" s="505">
        <v>110</v>
      </c>
      <c r="D5813" s="504" t="str">
        <f>VLOOKUP(C5813,Plan!A$1:B$65542,2,0)</f>
        <v>Disponible Administración</v>
      </c>
      <c r="E5813" s="506">
        <f>+F5813-G5813</f>
        <v>-821027</v>
      </c>
      <c r="F5813" s="508">
        <v>0</v>
      </c>
      <c r="G5813" s="509">
        <f>+F5812</f>
        <v>821027</v>
      </c>
      <c r="H5813" s="505" t="str">
        <f>+H5812</f>
        <v>Arriendo Noviembre 2021 Claudio Cortes Arriagada</v>
      </c>
      <c r="I5813" s="507" t="s">
        <v>296</v>
      </c>
      <c r="K5813" s="370"/>
      <c r="N5813" s="370"/>
    </row>
    <row r="5814" spans="1:14" s="347" customFormat="1" x14ac:dyDescent="0.25">
      <c r="A5814" s="369"/>
      <c r="E5814" s="396"/>
      <c r="F5814" s="396"/>
      <c r="G5814" s="396"/>
      <c r="K5814" s="370"/>
      <c r="N5814" s="370"/>
    </row>
    <row r="5815" spans="1:14" s="347" customFormat="1" x14ac:dyDescent="0.25">
      <c r="A5815" s="495">
        <v>44505</v>
      </c>
      <c r="B5815" s="496">
        <f>+MONTH(A5815)</f>
        <v>11</v>
      </c>
      <c r="C5815" s="491">
        <v>4642</v>
      </c>
      <c r="D5815" s="492" t="str">
        <f>VLOOKUP(C5815,Plan!A$1:B$65542,2,0)</f>
        <v xml:space="preserve">             Misas (Hojas, vino, hostias, coro)</v>
      </c>
      <c r="E5815" s="497">
        <f>+F5815-G5815</f>
        <v>50000</v>
      </c>
      <c r="F5815" s="493">
        <v>50000</v>
      </c>
      <c r="G5815" s="501">
        <v>0</v>
      </c>
      <c r="H5815" t="s">
        <v>2204</v>
      </c>
      <c r="I5815" s="499" t="s">
        <v>296</v>
      </c>
      <c r="K5815" s="370"/>
      <c r="N5815" s="370"/>
    </row>
    <row r="5816" spans="1:14" s="347" customFormat="1" x14ac:dyDescent="0.25">
      <c r="A5816" s="503">
        <f>+A5815</f>
        <v>44505</v>
      </c>
      <c r="B5816" s="504">
        <f>+MONTH(A5816)</f>
        <v>11</v>
      </c>
      <c r="C5816" s="505">
        <v>110</v>
      </c>
      <c r="D5816" s="504" t="str">
        <f>VLOOKUP(C5816,Plan!A$1:B$65542,2,0)</f>
        <v>Disponible Administración</v>
      </c>
      <c r="E5816" s="506">
        <f>+F5816-G5816</f>
        <v>-50000</v>
      </c>
      <c r="F5816" s="508">
        <v>0</v>
      </c>
      <c r="G5816" s="509">
        <f>+F5815</f>
        <v>50000</v>
      </c>
      <c r="H5816" s="505" t="str">
        <f>+H5815</f>
        <v>Rend. Gastos Impresos Mes de María</v>
      </c>
      <c r="I5816" s="507" t="s">
        <v>296</v>
      </c>
      <c r="K5816" s="370"/>
      <c r="N5816" s="370"/>
    </row>
    <row r="5817" spans="1:14" s="347" customFormat="1" x14ac:dyDescent="0.25">
      <c r="A5817" s="369"/>
      <c r="E5817" s="396"/>
      <c r="F5817" s="396"/>
      <c r="G5817" s="396"/>
      <c r="K5817" s="370"/>
      <c r="N5817" s="370"/>
    </row>
    <row r="5818" spans="1:14" s="347" customFormat="1" x14ac:dyDescent="0.25">
      <c r="A5818" s="495">
        <v>44505</v>
      </c>
      <c r="B5818" s="496">
        <f>+MONTH(A5818)</f>
        <v>11</v>
      </c>
      <c r="C5818" s="491">
        <v>4221</v>
      </c>
      <c r="D5818" s="492" t="str">
        <f>VLOOKUP(C5818,Plan!A$1:B$65542,2,0)</f>
        <v xml:space="preserve">          Contables-Administración</v>
      </c>
      <c r="E5818" s="497">
        <f>+F5818-G5818</f>
        <v>600000</v>
      </c>
      <c r="F5818" s="493">
        <v>600000</v>
      </c>
      <c r="G5818" s="501">
        <v>0</v>
      </c>
      <c r="H5818" t="s">
        <v>2205</v>
      </c>
      <c r="I5818" s="499" t="s">
        <v>296</v>
      </c>
      <c r="K5818" s="370"/>
      <c r="N5818" s="370"/>
    </row>
    <row r="5819" spans="1:14" s="347" customFormat="1" x14ac:dyDescent="0.25">
      <c r="A5819" s="503">
        <f>+A5818</f>
        <v>44505</v>
      </c>
      <c r="B5819" s="504">
        <f>+MONTH(A5819)</f>
        <v>11</v>
      </c>
      <c r="C5819" s="505">
        <v>110</v>
      </c>
      <c r="D5819" s="504" t="str">
        <f>VLOOKUP(C5819,Plan!A$1:B$65542,2,0)</f>
        <v>Disponible Administración</v>
      </c>
      <c r="E5819" s="506">
        <f>+F5819-G5819</f>
        <v>-600000</v>
      </c>
      <c r="F5819" s="508">
        <v>0</v>
      </c>
      <c r="G5819" s="509">
        <f>+F5818</f>
        <v>600000</v>
      </c>
      <c r="H5819" s="505" t="str">
        <f>+H5818</f>
        <v>F.154  Balance Febrero y Marzo 2021</v>
      </c>
      <c r="I5819" s="507" t="s">
        <v>296</v>
      </c>
      <c r="K5819" s="370"/>
      <c r="N5819" s="370"/>
    </row>
    <row r="5820" spans="1:14" s="347" customFormat="1" x14ac:dyDescent="0.25">
      <c r="A5820" s="369"/>
      <c r="E5820" s="396"/>
      <c r="F5820" s="396"/>
      <c r="G5820" s="396"/>
      <c r="K5820" s="370"/>
      <c r="N5820" s="370"/>
    </row>
    <row r="5821" spans="1:14" s="347" customFormat="1" x14ac:dyDescent="0.25">
      <c r="A5821" s="495">
        <v>44505</v>
      </c>
      <c r="B5821" s="496">
        <f>+MONTH(A5821)</f>
        <v>11</v>
      </c>
      <c r="C5821" s="491">
        <v>4224</v>
      </c>
      <c r="D5821" s="492" t="str">
        <f>VLOOKUP(C5821,Plan!A$1:B$65542,2,0)</f>
        <v xml:space="preserve">         Jardinero</v>
      </c>
      <c r="E5821" s="497">
        <f>+F5821-G5821</f>
        <v>89250</v>
      </c>
      <c r="F5821" s="493">
        <v>89250</v>
      </c>
      <c r="G5821" s="501">
        <v>0</v>
      </c>
      <c r="H5821" t="s">
        <v>2206</v>
      </c>
      <c r="I5821" s="499" t="s">
        <v>296</v>
      </c>
      <c r="K5821" s="370"/>
      <c r="N5821" s="370"/>
    </row>
    <row r="5822" spans="1:14" s="347" customFormat="1" x14ac:dyDescent="0.25">
      <c r="A5822" s="503">
        <f>+A5821</f>
        <v>44505</v>
      </c>
      <c r="B5822" s="504">
        <f>+MONTH(A5822)</f>
        <v>11</v>
      </c>
      <c r="C5822" s="505">
        <v>110</v>
      </c>
      <c r="D5822" s="504" t="str">
        <f>VLOOKUP(C5822,Plan!A$1:B$65542,2,0)</f>
        <v>Disponible Administración</v>
      </c>
      <c r="E5822" s="506">
        <f>+F5822-G5822</f>
        <v>-89250</v>
      </c>
      <c r="F5822" s="508">
        <v>0</v>
      </c>
      <c r="G5822" s="509">
        <f>+F5821</f>
        <v>89250</v>
      </c>
      <c r="H5822" s="505" t="str">
        <f>+H5821</f>
        <v>F.63 Mantención Sistema Riego Jardines</v>
      </c>
      <c r="I5822" s="507" t="s">
        <v>296</v>
      </c>
      <c r="K5822" s="370"/>
      <c r="N5822" s="370"/>
    </row>
    <row r="5823" spans="1:14" s="347" customFormat="1" x14ac:dyDescent="0.25">
      <c r="A5823" s="369"/>
      <c r="E5823" s="396"/>
      <c r="F5823" s="396"/>
      <c r="G5823" s="396"/>
      <c r="K5823" s="370"/>
      <c r="N5823" s="370"/>
    </row>
    <row r="5824" spans="1:14" s="347" customFormat="1" x14ac:dyDescent="0.25">
      <c r="A5824" s="495">
        <v>44505</v>
      </c>
      <c r="B5824" s="496">
        <f>+MONTH(A5824)</f>
        <v>11</v>
      </c>
      <c r="C5824" s="491">
        <v>110</v>
      </c>
      <c r="D5824" s="492" t="str">
        <f>VLOOKUP(C5824,Plan!A$1:B$65542,2,0)</f>
        <v>Disponible Administración</v>
      </c>
      <c r="E5824" s="497">
        <f>+F5824-G5824</f>
        <v>90000</v>
      </c>
      <c r="F5824" s="493">
        <v>90000</v>
      </c>
      <c r="G5824" s="501">
        <v>0</v>
      </c>
      <c r="H5824" t="s">
        <v>1459</v>
      </c>
      <c r="I5824" s="499" t="s">
        <v>296</v>
      </c>
      <c r="K5824" s="370"/>
      <c r="N5824" s="370"/>
    </row>
    <row r="5825" spans="1:14" s="347" customFormat="1" x14ac:dyDescent="0.25">
      <c r="A5825" s="503">
        <f>+A5824</f>
        <v>44505</v>
      </c>
      <c r="B5825" s="504">
        <f>+MONTH(A5825)</f>
        <v>11</v>
      </c>
      <c r="C5825" s="505">
        <v>215</v>
      </c>
      <c r="D5825" s="504" t="str">
        <f>VLOOKUP(C5825,Plan!A$1:B$65542,2,0)</f>
        <v>Cuenta por Pagar a Cali</v>
      </c>
      <c r="E5825" s="506">
        <f>+F5825-G5825</f>
        <v>-90000</v>
      </c>
      <c r="F5825" s="508">
        <v>0</v>
      </c>
      <c r="G5825" s="509">
        <f>+F5824</f>
        <v>90000</v>
      </c>
      <c r="H5825" s="505" t="str">
        <f>+H5824</f>
        <v>María Teresa Gil Gómez / 249</v>
      </c>
      <c r="I5825" s="507" t="s">
        <v>296</v>
      </c>
      <c r="K5825" s="370"/>
      <c r="N5825" s="370"/>
    </row>
    <row r="5826" spans="1:14" s="347" customFormat="1" x14ac:dyDescent="0.25">
      <c r="A5826" s="369"/>
      <c r="E5826" s="396"/>
      <c r="F5826" s="396"/>
      <c r="G5826" s="396"/>
      <c r="K5826" s="370"/>
      <c r="N5826" s="370"/>
    </row>
    <row r="5827" spans="1:14" s="347" customFormat="1" x14ac:dyDescent="0.25">
      <c r="A5827" s="495">
        <v>44505</v>
      </c>
      <c r="B5827" s="496">
        <f>+MONTH(A5827)</f>
        <v>11</v>
      </c>
      <c r="C5827" s="491">
        <v>110</v>
      </c>
      <c r="D5827" s="492" t="str">
        <f>VLOOKUP(C5827,Plan!A$1:B$65542,2,0)</f>
        <v>Disponible Administración</v>
      </c>
      <c r="E5827" s="497">
        <f>+F5827-G5827</f>
        <v>25000</v>
      </c>
      <c r="F5827" s="493">
        <v>25000</v>
      </c>
      <c r="G5827" s="501">
        <v>0</v>
      </c>
      <c r="H5827" t="s">
        <v>2036</v>
      </c>
      <c r="I5827" s="499" t="s">
        <v>296</v>
      </c>
      <c r="K5827" s="370"/>
      <c r="N5827" s="370"/>
    </row>
    <row r="5828" spans="1:14" s="347" customFormat="1" x14ac:dyDescent="0.25">
      <c r="A5828" s="503">
        <f>+A5827</f>
        <v>44505</v>
      </c>
      <c r="B5828" s="504">
        <f>+MONTH(A5828)</f>
        <v>11</v>
      </c>
      <c r="C5828" s="505">
        <v>3110</v>
      </c>
      <c r="D5828" s="504" t="str">
        <f>VLOOKUP(C5828,Plan!A$1:B$65542,2,0)</f>
        <v>Colectas Normales</v>
      </c>
      <c r="E5828" s="506">
        <f>+F5828-G5828</f>
        <v>-25000</v>
      </c>
      <c r="F5828" s="508">
        <v>0</v>
      </c>
      <c r="G5828" s="509">
        <f>+F5827</f>
        <v>25000</v>
      </c>
      <c r="H5828" s="505" t="str">
        <f>+H5827</f>
        <v>Colecta Eduardo Calvimontes</v>
      </c>
      <c r="I5828" s="507" t="s">
        <v>296</v>
      </c>
      <c r="K5828" s="370"/>
      <c r="N5828" s="370"/>
    </row>
    <row r="5829" spans="1:14" s="347" customFormat="1" x14ac:dyDescent="0.25">
      <c r="A5829" s="369"/>
      <c r="E5829" s="396"/>
      <c r="F5829" s="396"/>
      <c r="G5829" s="396"/>
      <c r="K5829" s="370"/>
      <c r="N5829" s="370"/>
    </row>
    <row r="5830" spans="1:14" s="347" customFormat="1" x14ac:dyDescent="0.25">
      <c r="A5830" s="495">
        <v>44505</v>
      </c>
      <c r="B5830" s="496">
        <f>+MONTH(A5830)</f>
        <v>11</v>
      </c>
      <c r="C5830" s="491">
        <v>110</v>
      </c>
      <c r="D5830" s="492" t="str">
        <f>VLOOKUP(C5830,Plan!A$1:B$65542,2,0)</f>
        <v>Disponible Administración</v>
      </c>
      <c r="E5830" s="497">
        <f>+F5830-G5830</f>
        <v>20000</v>
      </c>
      <c r="F5830" s="493">
        <v>20000</v>
      </c>
      <c r="G5830" s="501">
        <v>0</v>
      </c>
      <c r="H5830" t="s">
        <v>1457</v>
      </c>
      <c r="I5830" s="499" t="s">
        <v>296</v>
      </c>
      <c r="K5830" s="370"/>
      <c r="N5830" s="370"/>
    </row>
    <row r="5831" spans="1:14" s="347" customFormat="1" x14ac:dyDescent="0.25">
      <c r="A5831" s="503">
        <f>+A5830</f>
        <v>44505</v>
      </c>
      <c r="B5831" s="504">
        <f>+MONTH(A5831)</f>
        <v>11</v>
      </c>
      <c r="C5831" s="505">
        <v>215</v>
      </c>
      <c r="D5831" s="504" t="str">
        <f>VLOOKUP(C5831,Plan!A$1:B$65542,2,0)</f>
        <v>Cuenta por Pagar a Cali</v>
      </c>
      <c r="E5831" s="506">
        <f>+F5831-G5831</f>
        <v>-20000</v>
      </c>
      <c r="F5831" s="508">
        <v>0</v>
      </c>
      <c r="G5831" s="509">
        <f>+F5830</f>
        <v>20000</v>
      </c>
      <c r="H5831" s="505" t="str">
        <f>+H5830</f>
        <v>Eduardo Calvimontes Candia/Azul</v>
      </c>
      <c r="I5831" s="507" t="s">
        <v>296</v>
      </c>
      <c r="K5831" s="370"/>
      <c r="N5831" s="370"/>
    </row>
    <row r="5832" spans="1:14" s="347" customFormat="1" x14ac:dyDescent="0.25">
      <c r="A5832" s="369"/>
      <c r="E5832" s="396"/>
      <c r="F5832" s="396"/>
      <c r="G5832" s="396"/>
      <c r="K5832" s="370"/>
      <c r="N5832" s="370"/>
    </row>
    <row r="5833" spans="1:14" s="347" customFormat="1" x14ac:dyDescent="0.25">
      <c r="A5833" s="495">
        <v>44505</v>
      </c>
      <c r="B5833" s="496">
        <f>+MONTH(A5833)</f>
        <v>11</v>
      </c>
      <c r="C5833" s="491">
        <v>4860</v>
      </c>
      <c r="D5833" s="492" t="str">
        <f>VLOOKUP(C5833,Plan!A$1:B$65542,2,0)</f>
        <v>Otros</v>
      </c>
      <c r="E5833" s="497">
        <f>+F5833-G5833</f>
        <v>21666</v>
      </c>
      <c r="F5833" s="493">
        <v>21666</v>
      </c>
      <c r="G5833" s="501">
        <v>0</v>
      </c>
      <c r="H5833" t="s">
        <v>2207</v>
      </c>
      <c r="I5833" s="499" t="s">
        <v>296</v>
      </c>
      <c r="K5833" s="370"/>
      <c r="N5833" s="370"/>
    </row>
    <row r="5834" spans="1:14" s="347" customFormat="1" x14ac:dyDescent="0.25">
      <c r="A5834" s="503">
        <f>+A5833</f>
        <v>44505</v>
      </c>
      <c r="B5834" s="504">
        <f>+MONTH(A5834)</f>
        <v>11</v>
      </c>
      <c r="C5834" s="505">
        <v>110</v>
      </c>
      <c r="D5834" s="504" t="str">
        <f>VLOOKUP(C5834,Plan!A$1:B$65542,2,0)</f>
        <v>Disponible Administración</v>
      </c>
      <c r="E5834" s="506">
        <f>+F5834-G5834</f>
        <v>-21666</v>
      </c>
      <c r="F5834" s="508">
        <v>0</v>
      </c>
      <c r="G5834" s="509">
        <f>+F5833</f>
        <v>21666</v>
      </c>
      <c r="H5834" s="505" t="str">
        <f>+H5833</f>
        <v>Cargo POS</v>
      </c>
      <c r="I5834" s="507" t="s">
        <v>296</v>
      </c>
      <c r="K5834" s="370"/>
      <c r="N5834" s="370"/>
    </row>
    <row r="5835" spans="1:14" s="347" customFormat="1" x14ac:dyDescent="0.25">
      <c r="A5835" s="369"/>
      <c r="E5835" s="396"/>
      <c r="F5835" s="396"/>
      <c r="G5835" s="396"/>
      <c r="K5835" s="370"/>
      <c r="N5835" s="370"/>
    </row>
    <row r="5836" spans="1:14" s="347" customFormat="1" x14ac:dyDescent="0.25">
      <c r="A5836" s="495">
        <v>44505</v>
      </c>
      <c r="B5836" s="496">
        <f>+MONTH(A5836)</f>
        <v>11</v>
      </c>
      <c r="C5836" s="491">
        <v>110</v>
      </c>
      <c r="D5836" s="492" t="str">
        <f>VLOOKUP(C5836,Plan!A$1:B$65542,2,0)</f>
        <v>Disponible Administración</v>
      </c>
      <c r="E5836" s="497">
        <f>+F5836-G5836</f>
        <v>33879</v>
      </c>
      <c r="F5836" s="493">
        <v>33879</v>
      </c>
      <c r="G5836" s="501">
        <v>0</v>
      </c>
      <c r="H5836" t="s">
        <v>897</v>
      </c>
      <c r="I5836" s="499" t="s">
        <v>296</v>
      </c>
      <c r="K5836" s="370"/>
      <c r="N5836" s="370"/>
    </row>
    <row r="5837" spans="1:14" s="347" customFormat="1" x14ac:dyDescent="0.25">
      <c r="A5837" s="503">
        <f>+A5836</f>
        <v>44505</v>
      </c>
      <c r="B5837" s="504">
        <f>+MONTH(A5837)</f>
        <v>11</v>
      </c>
      <c r="C5837" s="505">
        <v>3110</v>
      </c>
      <c r="D5837" s="504" t="str">
        <f>VLOOKUP(C5837,Plan!A$1:B$65542,2,0)</f>
        <v>Colectas Normales</v>
      </c>
      <c r="E5837" s="506">
        <f>+F5837-G5837</f>
        <v>-33879</v>
      </c>
      <c r="F5837" s="508">
        <v>0</v>
      </c>
      <c r="G5837" s="509">
        <f>+F5836</f>
        <v>33879</v>
      </c>
      <c r="H5837" s="505" t="str">
        <f>+H5836</f>
        <v>Colecta DCT</v>
      </c>
      <c r="I5837" s="507" t="s">
        <v>296</v>
      </c>
      <c r="K5837" s="370"/>
      <c r="N5837" s="370"/>
    </row>
    <row r="5838" spans="1:14" s="347" customFormat="1" x14ac:dyDescent="0.25">
      <c r="A5838" s="369"/>
      <c r="E5838" s="396"/>
      <c r="F5838" s="396"/>
      <c r="G5838" s="396"/>
      <c r="K5838" s="370"/>
      <c r="N5838" s="370"/>
    </row>
    <row r="5839" spans="1:14" s="347" customFormat="1" x14ac:dyDescent="0.25">
      <c r="A5839" s="495">
        <v>44505</v>
      </c>
      <c r="B5839" s="496">
        <f>+MONTH(A5839)</f>
        <v>11</v>
      </c>
      <c r="C5839" s="491">
        <v>110</v>
      </c>
      <c r="D5839" s="492" t="str">
        <f>VLOOKUP(C5839,Plan!A$1:B$65542,2,0)</f>
        <v>Disponible Administración</v>
      </c>
      <c r="E5839" s="497">
        <f>+F5839-G5839</f>
        <v>80000</v>
      </c>
      <c r="F5839" s="493">
        <v>80000</v>
      </c>
      <c r="G5839" s="501">
        <v>0</v>
      </c>
      <c r="H5839" t="s">
        <v>1463</v>
      </c>
      <c r="I5839" s="499" t="s">
        <v>296</v>
      </c>
      <c r="K5839" s="370"/>
      <c r="N5839" s="370"/>
    </row>
    <row r="5840" spans="1:14" s="347" customFormat="1" x14ac:dyDescent="0.25">
      <c r="A5840" s="503">
        <f>+A5839</f>
        <v>44505</v>
      </c>
      <c r="B5840" s="504">
        <f>+MONTH(A5840)</f>
        <v>11</v>
      </c>
      <c r="C5840" s="505">
        <v>3110</v>
      </c>
      <c r="D5840" s="504" t="str">
        <f>VLOOKUP(C5840,Plan!A$1:B$65542,2,0)</f>
        <v>Colectas Normales</v>
      </c>
      <c r="E5840" s="506">
        <f>+F5840-G5840</f>
        <v>-80000</v>
      </c>
      <c r="F5840" s="508">
        <v>0</v>
      </c>
      <c r="G5840" s="509">
        <f>+F5839</f>
        <v>80000</v>
      </c>
      <c r="H5840" s="505" t="str">
        <f>+H5839</f>
        <v>Colecta Gabriela Sousa</v>
      </c>
      <c r="I5840" s="507" t="s">
        <v>296</v>
      </c>
      <c r="K5840" s="370"/>
      <c r="N5840" s="370"/>
    </row>
    <row r="5841" spans="1:14" s="347" customFormat="1" x14ac:dyDescent="0.25">
      <c r="A5841" s="369"/>
      <c r="E5841" s="396"/>
      <c r="F5841" s="396"/>
      <c r="G5841" s="396"/>
      <c r="K5841" s="370"/>
      <c r="N5841" s="370"/>
    </row>
    <row r="5842" spans="1:14" s="347" customFormat="1" x14ac:dyDescent="0.25">
      <c r="A5842" s="495">
        <v>44505</v>
      </c>
      <c r="B5842" s="496">
        <f>+MONTH(A5842)</f>
        <v>11</v>
      </c>
      <c r="C5842" s="491">
        <v>110</v>
      </c>
      <c r="D5842" s="492" t="str">
        <f>VLOOKUP(C5842,Plan!A$1:B$65542,2,0)</f>
        <v>Disponible Administración</v>
      </c>
      <c r="E5842" s="497">
        <f>+F5842-G5842</f>
        <v>20000</v>
      </c>
      <c r="F5842" s="493">
        <v>20000</v>
      </c>
      <c r="G5842" s="501">
        <v>0</v>
      </c>
      <c r="H5842" t="s">
        <v>1381</v>
      </c>
      <c r="I5842" s="499" t="s">
        <v>296</v>
      </c>
      <c r="K5842" s="370"/>
      <c r="N5842" s="370"/>
    </row>
    <row r="5843" spans="1:14" s="347" customFormat="1" x14ac:dyDescent="0.25">
      <c r="A5843" s="503">
        <f>+A5842</f>
        <v>44505</v>
      </c>
      <c r="B5843" s="504">
        <f>+MONTH(A5843)</f>
        <v>11</v>
      </c>
      <c r="C5843" s="505">
        <v>3110</v>
      </c>
      <c r="D5843" s="504" t="str">
        <f>VLOOKUP(C5843,Plan!A$1:B$65542,2,0)</f>
        <v>Colectas Normales</v>
      </c>
      <c r="E5843" s="506">
        <f>+F5843-G5843</f>
        <v>-20000</v>
      </c>
      <c r="F5843" s="508">
        <v>0</v>
      </c>
      <c r="G5843" s="509">
        <f>+F5842</f>
        <v>20000</v>
      </c>
      <c r="H5843" s="505" t="str">
        <f>+H5842</f>
        <v>Colecta Ingrid Maria Nielsen Galli</v>
      </c>
      <c r="I5843" s="507" t="s">
        <v>296</v>
      </c>
      <c r="K5843" s="370"/>
      <c r="N5843" s="370"/>
    </row>
    <row r="5844" spans="1:14" s="347" customFormat="1" x14ac:dyDescent="0.25">
      <c r="A5844" s="369"/>
      <c r="E5844" s="396"/>
      <c r="F5844" s="396"/>
      <c r="G5844" s="396"/>
      <c r="K5844" s="370"/>
      <c r="N5844" s="370"/>
    </row>
    <row r="5845" spans="1:14" s="347" customFormat="1" x14ac:dyDescent="0.25">
      <c r="A5845" s="495">
        <v>44505</v>
      </c>
      <c r="B5845" s="496">
        <f>+MONTH(A5845)</f>
        <v>11</v>
      </c>
      <c r="C5845" s="491">
        <v>110</v>
      </c>
      <c r="D5845" s="492" t="str">
        <f>VLOOKUP(C5845,Plan!A$1:B$65542,2,0)</f>
        <v>Disponible Administración</v>
      </c>
      <c r="E5845" s="497">
        <f>+F5845-G5845</f>
        <v>5000</v>
      </c>
      <c r="F5845" s="493">
        <v>5000</v>
      </c>
      <c r="G5845" s="501">
        <v>0</v>
      </c>
      <c r="H5845" t="s">
        <v>1381</v>
      </c>
      <c r="I5845" s="499" t="s">
        <v>296</v>
      </c>
      <c r="K5845" s="370"/>
      <c r="N5845" s="370"/>
    </row>
    <row r="5846" spans="1:14" s="347" customFormat="1" x14ac:dyDescent="0.25">
      <c r="A5846" s="503">
        <f>+A5845</f>
        <v>44505</v>
      </c>
      <c r="B5846" s="504">
        <f>+MONTH(A5846)</f>
        <v>11</v>
      </c>
      <c r="C5846" s="505">
        <v>3110</v>
      </c>
      <c r="D5846" s="504" t="str">
        <f>VLOOKUP(C5846,Plan!A$1:B$65542,2,0)</f>
        <v>Colectas Normales</v>
      </c>
      <c r="E5846" s="506">
        <f>+F5846-G5846</f>
        <v>-5000</v>
      </c>
      <c r="F5846" s="508">
        <v>0</v>
      </c>
      <c r="G5846" s="509">
        <f>+F5845</f>
        <v>5000</v>
      </c>
      <c r="H5846" s="505" t="str">
        <f>+H5845</f>
        <v>Colecta Ingrid Maria Nielsen Galli</v>
      </c>
      <c r="I5846" s="507" t="s">
        <v>296</v>
      </c>
      <c r="K5846" s="370"/>
      <c r="N5846" s="370"/>
    </row>
    <row r="5847" spans="1:14" s="347" customFormat="1" x14ac:dyDescent="0.25">
      <c r="A5847" s="369"/>
      <c r="E5847" s="396"/>
      <c r="F5847" s="396"/>
      <c r="G5847" s="396"/>
      <c r="K5847" s="370"/>
      <c r="N5847" s="370"/>
    </row>
    <row r="5848" spans="1:14" s="347" customFormat="1" x14ac:dyDescent="0.25">
      <c r="A5848" s="495">
        <v>44505</v>
      </c>
      <c r="B5848" s="496">
        <f>+MONTH(A5848)</f>
        <v>11</v>
      </c>
      <c r="C5848" s="491">
        <v>110</v>
      </c>
      <c r="D5848" s="492" t="str">
        <f>VLOOKUP(C5848,Plan!A$1:B$65542,2,0)</f>
        <v>Disponible Administración</v>
      </c>
      <c r="E5848" s="497">
        <f>+F5848-G5848</f>
        <v>30000</v>
      </c>
      <c r="F5848" s="493">
        <v>30000</v>
      </c>
      <c r="G5848" s="501">
        <v>0</v>
      </c>
      <c r="H5848" t="s">
        <v>2208</v>
      </c>
      <c r="I5848" s="499" t="s">
        <v>296</v>
      </c>
      <c r="K5848" s="370"/>
      <c r="N5848" s="370"/>
    </row>
    <row r="5849" spans="1:14" s="347" customFormat="1" x14ac:dyDescent="0.25">
      <c r="A5849" s="503">
        <f>+A5848</f>
        <v>44505</v>
      </c>
      <c r="B5849" s="504">
        <f>+MONTH(A5849)</f>
        <v>11</v>
      </c>
      <c r="C5849" s="505">
        <v>3350</v>
      </c>
      <c r="D5849" s="504" t="str">
        <f>VLOOKUP(C5849,Plan!A$1:B$65542,2,0)</f>
        <v>Bautizos</v>
      </c>
      <c r="E5849" s="506">
        <f>+F5849-G5849</f>
        <v>-30000</v>
      </c>
      <c r="F5849" s="508">
        <v>0</v>
      </c>
      <c r="G5849" s="509">
        <f>+F5848</f>
        <v>30000</v>
      </c>
      <c r="H5849" s="505" t="str">
        <f>+H5848</f>
        <v>Donacion Bautizo</v>
      </c>
      <c r="I5849" s="507" t="s">
        <v>296</v>
      </c>
      <c r="K5849" s="370"/>
      <c r="N5849" s="370"/>
    </row>
    <row r="5850" spans="1:14" s="347" customFormat="1" x14ac:dyDescent="0.25">
      <c r="A5850" s="369"/>
      <c r="E5850" s="396"/>
      <c r="F5850" s="396"/>
      <c r="G5850" s="396"/>
      <c r="K5850" s="370"/>
      <c r="N5850" s="370"/>
    </row>
    <row r="5851" spans="1:14" s="347" customFormat="1" x14ac:dyDescent="0.25">
      <c r="A5851" s="495">
        <v>44508</v>
      </c>
      <c r="B5851" s="496">
        <f>+MONTH(A5851)</f>
        <v>11</v>
      </c>
      <c r="C5851" s="491">
        <v>223</v>
      </c>
      <c r="D5851" s="492" t="str">
        <f>VLOOKUP(C5851,Plan!A$1:B$65542,2,0)</f>
        <v>Ret. Hon.  e Impto. Unico Administración</v>
      </c>
      <c r="E5851" s="497">
        <f>+F5851-G5851</f>
        <v>101963</v>
      </c>
      <c r="F5851" s="493">
        <v>101963</v>
      </c>
      <c r="G5851" s="501">
        <v>0</v>
      </c>
      <c r="H5851" t="s">
        <v>2209</v>
      </c>
      <c r="I5851" s="499" t="s">
        <v>296</v>
      </c>
      <c r="K5851" s="370"/>
      <c r="N5851" s="370"/>
    </row>
    <row r="5852" spans="1:14" s="347" customFormat="1" x14ac:dyDescent="0.25">
      <c r="A5852" s="495">
        <v>44508</v>
      </c>
      <c r="B5852" s="496">
        <f>+MONTH(A5852)</f>
        <v>11</v>
      </c>
      <c r="C5852" s="491">
        <v>215</v>
      </c>
      <c r="D5852" s="492" t="str">
        <f>VLOOKUP(C5852,Plan!A$1:B$65542,2,0)</f>
        <v>Cuenta por Pagar a Cali</v>
      </c>
      <c r="E5852" s="497">
        <f>+F5852-G5852</f>
        <v>45290</v>
      </c>
      <c r="F5852" s="493">
        <v>45290</v>
      </c>
      <c r="G5852" s="501">
        <v>0</v>
      </c>
      <c r="H5852" t="str">
        <f>+H5851</f>
        <v>Impto.Ret Adm. Octubre/2021</v>
      </c>
      <c r="I5852" s="499" t="s">
        <v>296</v>
      </c>
      <c r="J5852" s="340"/>
      <c r="K5852" s="209"/>
      <c r="L5852" s="340"/>
      <c r="N5852" s="370"/>
    </row>
    <row r="5853" spans="1:14" s="347" customFormat="1" x14ac:dyDescent="0.25">
      <c r="A5853" s="503">
        <f>+A5851</f>
        <v>44508</v>
      </c>
      <c r="B5853" s="504">
        <f>+MONTH(A5853)</f>
        <v>11</v>
      </c>
      <c r="C5853" s="505">
        <v>110</v>
      </c>
      <c r="D5853" s="504" t="str">
        <f>VLOOKUP(C5853,Plan!A$1:B$65542,2,0)</f>
        <v>Disponible Administración</v>
      </c>
      <c r="E5853" s="506">
        <f>+F5853-G5853</f>
        <v>-147253</v>
      </c>
      <c r="F5853" s="508">
        <v>0</v>
      </c>
      <c r="G5853" s="509">
        <v>147253</v>
      </c>
      <c r="H5853" s="505" t="str">
        <f>+H5851</f>
        <v>Impto.Ret Adm. Octubre/2021</v>
      </c>
      <c r="I5853" s="507" t="s">
        <v>296</v>
      </c>
      <c r="K5853" s="370"/>
      <c r="N5853" s="370"/>
    </row>
    <row r="5854" spans="1:14" s="347" customFormat="1" x14ac:dyDescent="0.25">
      <c r="A5854" s="369"/>
      <c r="E5854" s="396"/>
      <c r="F5854" s="396"/>
      <c r="G5854" s="396"/>
      <c r="K5854" s="370"/>
      <c r="N5854" s="370"/>
    </row>
    <row r="5855" spans="1:14" s="347" customFormat="1" x14ac:dyDescent="0.25">
      <c r="A5855" s="495">
        <v>44508</v>
      </c>
      <c r="B5855" s="496">
        <f>+MONTH(A5855)</f>
        <v>11</v>
      </c>
      <c r="C5855" s="491">
        <v>224</v>
      </c>
      <c r="D5855" s="492" t="str">
        <f>VLOOKUP(C5855,Plan!A$1:B$65542,2,0)</f>
        <v>Cotizaciones por Pagar</v>
      </c>
      <c r="E5855" s="497">
        <f>+F5855-G5855</f>
        <v>179490</v>
      </c>
      <c r="F5855" s="493">
        <v>179490</v>
      </c>
      <c r="G5855" s="501">
        <v>0</v>
      </c>
      <c r="H5855" t="s">
        <v>1566</v>
      </c>
      <c r="I5855" s="499" t="s">
        <v>296</v>
      </c>
      <c r="K5855" s="370"/>
      <c r="N5855" s="370"/>
    </row>
    <row r="5856" spans="1:14" s="347" customFormat="1" x14ac:dyDescent="0.25">
      <c r="A5856" s="495">
        <v>44508</v>
      </c>
      <c r="B5856" s="496">
        <f>+MONTH(A5856)</f>
        <v>11</v>
      </c>
      <c r="C5856" s="491">
        <v>110</v>
      </c>
      <c r="D5856" s="492" t="str">
        <f>VLOOKUP(C5856,Plan!A$1:B$65542,2,0)</f>
        <v>Disponible Administración</v>
      </c>
      <c r="E5856" s="497">
        <f>+F5856-G5856</f>
        <v>-179490</v>
      </c>
      <c r="F5856" s="493">
        <v>0</v>
      </c>
      <c r="G5856" s="501">
        <f>+F5855</f>
        <v>179490</v>
      </c>
      <c r="H5856" t="str">
        <f>+H5855</f>
        <v>Previsión P.Pedro</v>
      </c>
      <c r="I5856" s="499" t="s">
        <v>296</v>
      </c>
      <c r="K5856" s="370"/>
      <c r="N5856" s="370"/>
    </row>
    <row r="5857" spans="1:14" s="347" customFormat="1" x14ac:dyDescent="0.25">
      <c r="A5857" s="369"/>
      <c r="E5857" s="396"/>
      <c r="F5857" s="396"/>
      <c r="G5857" s="396"/>
      <c r="K5857" s="370"/>
      <c r="N5857" s="370"/>
    </row>
    <row r="5858" spans="1:14" s="347" customFormat="1" x14ac:dyDescent="0.25">
      <c r="A5858" s="495">
        <v>44508</v>
      </c>
      <c r="B5858" s="496">
        <f>+MONTH(A5858)</f>
        <v>11</v>
      </c>
      <c r="C5858" s="491">
        <v>224</v>
      </c>
      <c r="D5858" s="492" t="str">
        <f>VLOOKUP(C5858,Plan!A$1:B$65542,2,0)</f>
        <v>Cotizaciones por Pagar</v>
      </c>
      <c r="E5858" s="497">
        <f>+F5858-G5858</f>
        <v>408749</v>
      </c>
      <c r="F5858" s="493">
        <v>408749</v>
      </c>
      <c r="G5858" s="501">
        <v>0</v>
      </c>
      <c r="H5858" t="s">
        <v>1565</v>
      </c>
      <c r="I5858" s="499" t="s">
        <v>296</v>
      </c>
      <c r="K5858" s="370"/>
      <c r="N5858" s="370"/>
    </row>
    <row r="5859" spans="1:14" s="347" customFormat="1" x14ac:dyDescent="0.25">
      <c r="A5859" s="495">
        <v>44508</v>
      </c>
      <c r="B5859" s="496">
        <f>+MONTH(A5859)</f>
        <v>11</v>
      </c>
      <c r="C5859" s="491">
        <v>110</v>
      </c>
      <c r="D5859" s="492" t="str">
        <f>VLOOKUP(C5859,Plan!A$1:B$65542,2,0)</f>
        <v>Disponible Administración</v>
      </c>
      <c r="E5859" s="497">
        <f>+F5859-G5859</f>
        <v>-408749</v>
      </c>
      <c r="F5859" s="493">
        <v>0</v>
      </c>
      <c r="G5859" s="501">
        <f>+F5858</f>
        <v>408749</v>
      </c>
      <c r="H5859" t="str">
        <f>+H5858</f>
        <v>Previsión EE.PSAH</v>
      </c>
      <c r="I5859" s="499" t="s">
        <v>296</v>
      </c>
      <c r="K5859" s="370"/>
      <c r="N5859" s="370"/>
    </row>
    <row r="5860" spans="1:14" s="347" customFormat="1" x14ac:dyDescent="0.25">
      <c r="A5860" s="369"/>
      <c r="E5860" s="396"/>
      <c r="F5860" s="396"/>
      <c r="G5860" s="396"/>
      <c r="K5860" s="370"/>
      <c r="N5860" s="370"/>
    </row>
    <row r="5861" spans="1:14" s="347" customFormat="1" x14ac:dyDescent="0.25">
      <c r="A5861" s="495">
        <v>44508</v>
      </c>
      <c r="B5861" s="496">
        <f>+MONTH(A5861)</f>
        <v>11</v>
      </c>
      <c r="C5861" s="491">
        <v>110</v>
      </c>
      <c r="D5861" s="492" t="str">
        <f>VLOOKUP(C5861,Plan!A$1:B$65542,2,0)</f>
        <v>Disponible Administración</v>
      </c>
      <c r="E5861" s="497">
        <f>+F5861-G5861</f>
        <v>25000</v>
      </c>
      <c r="F5861" s="493">
        <v>25000</v>
      </c>
      <c r="G5861" s="501">
        <v>0</v>
      </c>
      <c r="H5861" t="s">
        <v>1449</v>
      </c>
      <c r="I5861" s="499" t="s">
        <v>296</v>
      </c>
      <c r="K5861" s="370"/>
      <c r="N5861" s="370"/>
    </row>
    <row r="5862" spans="1:14" s="347" customFormat="1" x14ac:dyDescent="0.25">
      <c r="A5862" s="495">
        <v>44508</v>
      </c>
      <c r="B5862" s="496">
        <f>+MONTH(A5862)</f>
        <v>11</v>
      </c>
      <c r="C5862" s="491">
        <v>3360</v>
      </c>
      <c r="D5862" s="492" t="str">
        <f>VLOOKUP(C5862,Plan!A$1:B$65542,2,0)</f>
        <v>Otros</v>
      </c>
      <c r="E5862" s="497">
        <f>+F5862-G5862</f>
        <v>-25000</v>
      </c>
      <c r="F5862" s="493">
        <v>0</v>
      </c>
      <c r="G5862" s="501">
        <f>+F5861</f>
        <v>25000</v>
      </c>
      <c r="H5862" t="str">
        <f>+H5861</f>
        <v>Curso Sofia Vives Ekdahl</v>
      </c>
      <c r="I5862" s="499" t="s">
        <v>296</v>
      </c>
      <c r="K5862" s="370"/>
      <c r="N5862" s="370"/>
    </row>
    <row r="5863" spans="1:14" s="347" customFormat="1" x14ac:dyDescent="0.25">
      <c r="A5863" s="369"/>
      <c r="E5863" s="396"/>
      <c r="F5863" s="396"/>
      <c r="G5863" s="396"/>
      <c r="K5863" s="370"/>
      <c r="N5863" s="370"/>
    </row>
    <row r="5864" spans="1:14" s="347" customFormat="1" x14ac:dyDescent="0.25">
      <c r="A5864" s="495">
        <v>44508</v>
      </c>
      <c r="B5864" s="496">
        <f>+MONTH(A5864)</f>
        <v>11</v>
      </c>
      <c r="C5864" s="491">
        <v>110</v>
      </c>
      <c r="D5864" s="492" t="str">
        <f>VLOOKUP(C5864,Plan!A$1:B$65542,2,0)</f>
        <v>Disponible Administración</v>
      </c>
      <c r="E5864" s="497">
        <f>+F5864-G5864</f>
        <v>20000</v>
      </c>
      <c r="F5864" s="493">
        <v>20000</v>
      </c>
      <c r="G5864" s="501">
        <v>0</v>
      </c>
      <c r="H5864" t="s">
        <v>913</v>
      </c>
      <c r="I5864" s="499" t="s">
        <v>296</v>
      </c>
      <c r="K5864" s="370"/>
      <c r="N5864" s="370"/>
    </row>
    <row r="5865" spans="1:14" s="347" customFormat="1" x14ac:dyDescent="0.25">
      <c r="A5865" s="495">
        <v>44508</v>
      </c>
      <c r="B5865" s="496">
        <f>+MONTH(A5865)</f>
        <v>11</v>
      </c>
      <c r="C5865" s="491">
        <v>3110</v>
      </c>
      <c r="D5865" s="492" t="str">
        <f>VLOOKUP(C5865,Plan!A$1:B$65542,2,0)</f>
        <v>Colectas Normales</v>
      </c>
      <c r="E5865" s="497">
        <f>+F5865-G5865</f>
        <v>-20000</v>
      </c>
      <c r="F5865" s="493">
        <v>0</v>
      </c>
      <c r="G5865" s="501">
        <f>+F5864</f>
        <v>20000</v>
      </c>
      <c r="H5865" t="str">
        <f>+H5864</f>
        <v>Colecta Sofia Vives Ekdahl</v>
      </c>
      <c r="I5865" s="499" t="s">
        <v>296</v>
      </c>
      <c r="K5865" s="370"/>
      <c r="N5865" s="370"/>
    </row>
    <row r="5866" spans="1:14" s="347" customFormat="1" x14ac:dyDescent="0.25">
      <c r="A5866" s="369"/>
      <c r="E5866" s="396"/>
      <c r="F5866" s="396"/>
      <c r="G5866" s="396"/>
      <c r="K5866" s="370"/>
      <c r="N5866" s="370"/>
    </row>
    <row r="5867" spans="1:14" s="347" customFormat="1" x14ac:dyDescent="0.25">
      <c r="A5867" s="495">
        <v>44508</v>
      </c>
      <c r="B5867" s="496">
        <f>+MONTH(A5867)</f>
        <v>11</v>
      </c>
      <c r="C5867" s="491">
        <v>110</v>
      </c>
      <c r="D5867" s="492" t="str">
        <f>VLOOKUP(C5867,Plan!A$1:B$65542,2,0)</f>
        <v>Disponible Administración</v>
      </c>
      <c r="E5867" s="497">
        <f>+F5867-G5867</f>
        <v>21000</v>
      </c>
      <c r="F5867" s="493">
        <v>21000</v>
      </c>
      <c r="G5867" s="501">
        <v>0</v>
      </c>
      <c r="H5867" t="s">
        <v>1938</v>
      </c>
      <c r="I5867" s="499" t="s">
        <v>296</v>
      </c>
      <c r="K5867" s="370"/>
      <c r="N5867" s="370"/>
    </row>
    <row r="5868" spans="1:14" s="347" customFormat="1" x14ac:dyDescent="0.25">
      <c r="A5868" s="495">
        <v>44508</v>
      </c>
      <c r="B5868" s="496">
        <f>+MONTH(A5868)</f>
        <v>11</v>
      </c>
      <c r="C5868" s="491">
        <v>215</v>
      </c>
      <c r="D5868" s="492" t="str">
        <f>VLOOKUP(C5868,Plan!A$1:B$65542,2,0)</f>
        <v>Cuenta por Pagar a Cali</v>
      </c>
      <c r="E5868" s="497">
        <f>+F5868-G5868</f>
        <v>-21000</v>
      </c>
      <c r="F5868" s="493">
        <v>0</v>
      </c>
      <c r="G5868" s="501">
        <f>+F5867</f>
        <v>21000</v>
      </c>
      <c r="H5868" t="str">
        <f>+H5867</f>
        <v>María Cristina Herrera Peralta/248</v>
      </c>
      <c r="I5868" s="499" t="s">
        <v>296</v>
      </c>
      <c r="K5868" s="370"/>
      <c r="N5868" s="370"/>
    </row>
    <row r="5869" spans="1:14" s="347" customFormat="1" x14ac:dyDescent="0.25">
      <c r="A5869" s="369"/>
      <c r="E5869" s="396"/>
      <c r="F5869" s="396"/>
      <c r="G5869" s="396"/>
      <c r="K5869" s="370"/>
      <c r="N5869" s="370"/>
    </row>
    <row r="5870" spans="1:14" s="347" customFormat="1" x14ac:dyDescent="0.25">
      <c r="A5870" s="495">
        <v>44508</v>
      </c>
      <c r="B5870" s="496">
        <f>+MONTH(A5870)</f>
        <v>11</v>
      </c>
      <c r="C5870" s="491">
        <v>110</v>
      </c>
      <c r="D5870" s="492" t="str">
        <f>VLOOKUP(C5870,Plan!A$1:B$65542,2,0)</f>
        <v>Disponible Administración</v>
      </c>
      <c r="E5870" s="497">
        <f>+F5870-G5870</f>
        <v>10000</v>
      </c>
      <c r="F5870" s="493">
        <v>10000</v>
      </c>
      <c r="G5870" s="501">
        <v>0</v>
      </c>
      <c r="H5870" t="s">
        <v>881</v>
      </c>
      <c r="I5870" s="499" t="s">
        <v>296</v>
      </c>
      <c r="K5870" s="370"/>
      <c r="N5870" s="370"/>
    </row>
    <row r="5871" spans="1:14" s="347" customFormat="1" x14ac:dyDescent="0.25">
      <c r="A5871" s="495">
        <v>44508</v>
      </c>
      <c r="B5871" s="496">
        <f>+MONTH(A5871)</f>
        <v>11</v>
      </c>
      <c r="C5871" s="491">
        <v>3110</v>
      </c>
      <c r="D5871" s="492" t="str">
        <f>VLOOKUP(C5871,Plan!A$1:B$65542,2,0)</f>
        <v>Colectas Normales</v>
      </c>
      <c r="E5871" s="497">
        <f>+F5871-G5871</f>
        <v>-10000</v>
      </c>
      <c r="F5871" s="493">
        <v>0</v>
      </c>
      <c r="G5871" s="501">
        <f>+F5870</f>
        <v>10000</v>
      </c>
      <c r="H5871" t="str">
        <f>+H5870</f>
        <v>Colecta Rafael Marin Jordan</v>
      </c>
      <c r="I5871" s="499" t="s">
        <v>296</v>
      </c>
      <c r="K5871" s="370"/>
      <c r="N5871" s="370"/>
    </row>
    <row r="5872" spans="1:14" s="347" customFormat="1" x14ac:dyDescent="0.25">
      <c r="A5872" s="369"/>
      <c r="E5872" s="396"/>
      <c r="F5872" s="396"/>
      <c r="G5872" s="396"/>
      <c r="K5872" s="370"/>
      <c r="N5872" s="370"/>
    </row>
    <row r="5873" spans="1:14" s="347" customFormat="1" x14ac:dyDescent="0.25">
      <c r="A5873" s="495">
        <v>44508</v>
      </c>
      <c r="B5873" s="496">
        <f>+MONTH(A5873)</f>
        <v>11</v>
      </c>
      <c r="C5873" s="491">
        <v>110</v>
      </c>
      <c r="D5873" s="492" t="str">
        <f>VLOOKUP(C5873,Plan!A$1:B$65542,2,0)</f>
        <v>Disponible Administración</v>
      </c>
      <c r="E5873" s="497">
        <f>+F5873-G5873</f>
        <v>32000</v>
      </c>
      <c r="F5873" s="493">
        <v>32000</v>
      </c>
      <c r="G5873" s="501">
        <v>0</v>
      </c>
      <c r="H5873" t="s">
        <v>2210</v>
      </c>
      <c r="I5873" s="499" t="s">
        <v>296</v>
      </c>
      <c r="K5873" s="370"/>
      <c r="N5873" s="370"/>
    </row>
    <row r="5874" spans="1:14" s="347" customFormat="1" x14ac:dyDescent="0.25">
      <c r="A5874" s="495">
        <v>44508</v>
      </c>
      <c r="B5874" s="496">
        <f>+MONTH(A5874)</f>
        <v>11</v>
      </c>
      <c r="C5874" s="491">
        <v>3453</v>
      </c>
      <c r="D5874" s="492" t="str">
        <f>VLOOKUP(C5874,Plan!A$1:B$65542,2,0)</f>
        <v>Cajas de navidad</v>
      </c>
      <c r="E5874" s="497">
        <f>+F5874-G5874</f>
        <v>-32000</v>
      </c>
      <c r="F5874" s="493">
        <v>0</v>
      </c>
      <c r="G5874" s="501">
        <f>+F5873</f>
        <v>32000</v>
      </c>
      <c r="H5874" t="str">
        <f>+H5873</f>
        <v>Caja Navidad Maria Josefina Jofre M</v>
      </c>
      <c r="I5874" s="499" t="s">
        <v>296</v>
      </c>
      <c r="K5874" s="370"/>
      <c r="N5874" s="370"/>
    </row>
    <row r="5875" spans="1:14" s="347" customFormat="1" x14ac:dyDescent="0.25">
      <c r="A5875" s="369"/>
      <c r="E5875" s="396"/>
      <c r="F5875" s="396"/>
      <c r="G5875" s="396"/>
      <c r="K5875" s="370"/>
      <c r="N5875" s="370"/>
    </row>
    <row r="5876" spans="1:14" s="347" customFormat="1" x14ac:dyDescent="0.25">
      <c r="A5876" s="495">
        <v>44508</v>
      </c>
      <c r="B5876" s="496">
        <f>+MONTH(A5876)</f>
        <v>11</v>
      </c>
      <c r="C5876" s="491">
        <v>110</v>
      </c>
      <c r="D5876" s="492" t="str">
        <f>VLOOKUP(C5876,Plan!A$1:B$65542,2,0)</f>
        <v>Disponible Administración</v>
      </c>
      <c r="E5876" s="497">
        <f>+F5876-G5876</f>
        <v>30000</v>
      </c>
      <c r="F5876" s="493">
        <v>30000</v>
      </c>
      <c r="G5876" s="501">
        <v>0</v>
      </c>
      <c r="H5876" t="s">
        <v>2210</v>
      </c>
      <c r="I5876" s="499" t="s">
        <v>296</v>
      </c>
      <c r="K5876" s="370"/>
      <c r="N5876" s="370"/>
    </row>
    <row r="5877" spans="1:14" s="347" customFormat="1" x14ac:dyDescent="0.25">
      <c r="A5877" s="495">
        <v>44508</v>
      </c>
      <c r="B5877" s="496">
        <f>+MONTH(A5877)</f>
        <v>11</v>
      </c>
      <c r="C5877" s="491">
        <v>3453</v>
      </c>
      <c r="D5877" s="492" t="str">
        <f>VLOOKUP(C5877,Plan!A$1:B$65542,2,0)</f>
        <v>Cajas de navidad</v>
      </c>
      <c r="E5877" s="497">
        <f>+F5877-G5877</f>
        <v>-30000</v>
      </c>
      <c r="F5877" s="493">
        <v>0</v>
      </c>
      <c r="G5877" s="501">
        <f>+F5876</f>
        <v>30000</v>
      </c>
      <c r="H5877" t="str">
        <f>+H5876</f>
        <v>Caja Navidad Maria Josefina Jofre M</v>
      </c>
      <c r="I5877" s="499" t="s">
        <v>296</v>
      </c>
      <c r="K5877" s="370"/>
      <c r="N5877" s="370"/>
    </row>
    <row r="5878" spans="1:14" s="347" customFormat="1" x14ac:dyDescent="0.25">
      <c r="A5878" s="369"/>
      <c r="E5878" s="396"/>
      <c r="F5878" s="396"/>
      <c r="G5878" s="396"/>
      <c r="K5878" s="370"/>
      <c r="N5878" s="370"/>
    </row>
    <row r="5879" spans="1:14" s="347" customFormat="1" x14ac:dyDescent="0.25">
      <c r="A5879" s="495">
        <v>44508</v>
      </c>
      <c r="B5879" s="496">
        <f>+MONTH(A5879)</f>
        <v>11</v>
      </c>
      <c r="C5879" s="491">
        <v>110</v>
      </c>
      <c r="D5879" s="492" t="str">
        <f>VLOOKUP(C5879,Plan!A$1:B$65542,2,0)</f>
        <v>Disponible Administración</v>
      </c>
      <c r="E5879" s="497">
        <f>+F5879-G5879</f>
        <v>10000</v>
      </c>
      <c r="F5879" s="493">
        <v>10000</v>
      </c>
      <c r="G5879" s="501">
        <v>0</v>
      </c>
      <c r="H5879" t="s">
        <v>971</v>
      </c>
      <c r="I5879" s="499" t="s">
        <v>296</v>
      </c>
      <c r="K5879" s="370"/>
      <c r="N5879" s="370"/>
    </row>
    <row r="5880" spans="1:14" s="347" customFormat="1" x14ac:dyDescent="0.25">
      <c r="A5880" s="495">
        <v>44508</v>
      </c>
      <c r="B5880" s="496">
        <f>+MONTH(A5880)</f>
        <v>11</v>
      </c>
      <c r="C5880" s="491">
        <v>3110</v>
      </c>
      <c r="D5880" s="492" t="str">
        <f>VLOOKUP(C5880,Plan!A$1:B$65542,2,0)</f>
        <v>Colectas Normales</v>
      </c>
      <c r="E5880" s="497">
        <f>+F5880-G5880</f>
        <v>-10000</v>
      </c>
      <c r="F5880" s="493">
        <v>0</v>
      </c>
      <c r="G5880" s="501">
        <f>+F5879</f>
        <v>10000</v>
      </c>
      <c r="H5880" t="str">
        <f>+H5879</f>
        <v>Colecta Pablo Irarrazaval Mena</v>
      </c>
      <c r="I5880" s="499" t="s">
        <v>296</v>
      </c>
      <c r="K5880" s="370"/>
      <c r="N5880" s="370"/>
    </row>
    <row r="5881" spans="1:14" s="347" customFormat="1" x14ac:dyDescent="0.25">
      <c r="A5881" s="369"/>
      <c r="E5881" s="396"/>
      <c r="F5881" s="396"/>
      <c r="G5881" s="396"/>
      <c r="K5881" s="370"/>
      <c r="N5881" s="370"/>
    </row>
    <row r="5882" spans="1:14" s="347" customFormat="1" x14ac:dyDescent="0.25">
      <c r="A5882" s="495">
        <v>44508</v>
      </c>
      <c r="B5882" s="496">
        <f>+MONTH(A5882)</f>
        <v>11</v>
      </c>
      <c r="C5882" s="491">
        <v>110</v>
      </c>
      <c r="D5882" s="492" t="str">
        <f>VLOOKUP(C5882,Plan!A$1:B$65542,2,0)</f>
        <v>Disponible Administración</v>
      </c>
      <c r="E5882" s="497">
        <f>+F5882-G5882</f>
        <v>32000</v>
      </c>
      <c r="F5882" s="493">
        <v>32000</v>
      </c>
      <c r="G5882" s="501">
        <v>0</v>
      </c>
      <c r="H5882" t="s">
        <v>2211</v>
      </c>
      <c r="I5882" s="499" t="s">
        <v>296</v>
      </c>
      <c r="K5882" s="370"/>
      <c r="N5882" s="370"/>
    </row>
    <row r="5883" spans="1:14" s="347" customFormat="1" x14ac:dyDescent="0.25">
      <c r="A5883" s="495">
        <v>44508</v>
      </c>
      <c r="B5883" s="496">
        <f>+MONTH(A5883)</f>
        <v>11</v>
      </c>
      <c r="C5883" s="491">
        <v>3453</v>
      </c>
      <c r="D5883" s="492" t="str">
        <f>VLOOKUP(C5883,Plan!A$1:B$65542,2,0)</f>
        <v>Cajas de navidad</v>
      </c>
      <c r="E5883" s="497">
        <f>+F5883-G5883</f>
        <v>-32000</v>
      </c>
      <c r="F5883" s="493">
        <v>0</v>
      </c>
      <c r="G5883" s="501">
        <f>+F5882</f>
        <v>32000</v>
      </c>
      <c r="H5883" t="str">
        <f>+H5882</f>
        <v>Caja Navidad Macarena</v>
      </c>
      <c r="I5883" s="499" t="s">
        <v>296</v>
      </c>
      <c r="K5883" s="370"/>
      <c r="N5883" s="370"/>
    </row>
    <row r="5884" spans="1:14" s="347" customFormat="1" x14ac:dyDescent="0.25">
      <c r="A5884" s="369"/>
      <c r="E5884" s="396"/>
      <c r="F5884" s="396"/>
      <c r="G5884" s="396"/>
      <c r="K5884" s="370"/>
      <c r="N5884" s="370"/>
    </row>
    <row r="5885" spans="1:14" s="347" customFormat="1" x14ac:dyDescent="0.25">
      <c r="A5885" s="495">
        <v>44508</v>
      </c>
      <c r="B5885" s="496">
        <f>+MONTH(A5885)</f>
        <v>11</v>
      </c>
      <c r="C5885" s="491">
        <v>110</v>
      </c>
      <c r="D5885" s="492" t="str">
        <f>VLOOKUP(C5885,Plan!A$1:B$65542,2,0)</f>
        <v>Disponible Administración</v>
      </c>
      <c r="E5885" s="497">
        <f>+F5885-G5885</f>
        <v>64000</v>
      </c>
      <c r="F5885" s="493">
        <v>64000</v>
      </c>
      <c r="G5885" s="501">
        <v>0</v>
      </c>
      <c r="H5885" t="s">
        <v>2212</v>
      </c>
      <c r="I5885" s="499" t="s">
        <v>296</v>
      </c>
      <c r="K5885" s="370"/>
      <c r="N5885" s="370"/>
    </row>
    <row r="5886" spans="1:14" s="347" customFormat="1" x14ac:dyDescent="0.25">
      <c r="A5886" s="495">
        <v>44508</v>
      </c>
      <c r="B5886" s="496">
        <f>+MONTH(A5886)</f>
        <v>11</v>
      </c>
      <c r="C5886" s="491">
        <v>3453</v>
      </c>
      <c r="D5886" s="492" t="str">
        <f>VLOOKUP(C5886,Plan!A$1:B$65542,2,0)</f>
        <v>Cajas de navidad</v>
      </c>
      <c r="E5886" s="497">
        <f>+F5886-G5886</f>
        <v>-64000</v>
      </c>
      <c r="F5886" s="493">
        <v>0</v>
      </c>
      <c r="G5886" s="501">
        <f>+F5885</f>
        <v>64000</v>
      </c>
      <c r="H5886" t="str">
        <f>+H5885</f>
        <v>Caja Navidad Florencia Gutierrez</v>
      </c>
      <c r="I5886" s="499" t="s">
        <v>296</v>
      </c>
      <c r="K5886" s="370"/>
      <c r="N5886" s="370"/>
    </row>
    <row r="5887" spans="1:14" s="347" customFormat="1" x14ac:dyDescent="0.25">
      <c r="A5887" s="369"/>
      <c r="E5887" s="396"/>
      <c r="F5887" s="396"/>
      <c r="G5887" s="396"/>
      <c r="K5887" s="370"/>
      <c r="N5887" s="370"/>
    </row>
    <row r="5888" spans="1:14" s="347" customFormat="1" x14ac:dyDescent="0.25">
      <c r="A5888" s="495">
        <v>44508</v>
      </c>
      <c r="B5888" s="496">
        <f>+MONTH(A5888)</f>
        <v>11</v>
      </c>
      <c r="C5888" s="491">
        <v>110</v>
      </c>
      <c r="D5888" s="492" t="str">
        <f>VLOOKUP(C5888,Plan!A$1:B$65542,2,0)</f>
        <v>Disponible Administración</v>
      </c>
      <c r="E5888" s="497">
        <f>+F5888-G5888</f>
        <v>32000</v>
      </c>
      <c r="F5888" s="493">
        <v>32000</v>
      </c>
      <c r="G5888" s="501">
        <v>0</v>
      </c>
      <c r="H5888" t="s">
        <v>2213</v>
      </c>
      <c r="I5888" s="499" t="s">
        <v>296</v>
      </c>
      <c r="K5888" s="370"/>
      <c r="N5888" s="370"/>
    </row>
    <row r="5889" spans="1:14" s="347" customFormat="1" x14ac:dyDescent="0.25">
      <c r="A5889" s="495">
        <v>44508</v>
      </c>
      <c r="B5889" s="496">
        <f>+MONTH(A5889)</f>
        <v>11</v>
      </c>
      <c r="C5889" s="491">
        <v>3453</v>
      </c>
      <c r="D5889" s="492" t="str">
        <f>VLOOKUP(C5889,Plan!A$1:B$65542,2,0)</f>
        <v>Cajas de navidad</v>
      </c>
      <c r="E5889" s="497">
        <f>+F5889-G5889</f>
        <v>-32000</v>
      </c>
      <c r="F5889" s="493">
        <v>0</v>
      </c>
      <c r="G5889" s="501">
        <f>+F5888</f>
        <v>32000</v>
      </c>
      <c r="H5889" t="str">
        <f>+H5888</f>
        <v>Caja Navidad Luz Galilea</v>
      </c>
      <c r="I5889" s="499" t="s">
        <v>296</v>
      </c>
      <c r="K5889" s="370"/>
      <c r="N5889" s="370"/>
    </row>
    <row r="5890" spans="1:14" s="347" customFormat="1" x14ac:dyDescent="0.25">
      <c r="A5890" s="369"/>
      <c r="E5890" s="396"/>
      <c r="F5890" s="396"/>
      <c r="G5890" s="396"/>
      <c r="K5890" s="370"/>
      <c r="N5890" s="370"/>
    </row>
    <row r="5891" spans="1:14" s="347" customFormat="1" x14ac:dyDescent="0.25">
      <c r="A5891" s="495">
        <v>44508</v>
      </c>
      <c r="B5891" s="496">
        <f>+MONTH(A5891)</f>
        <v>11</v>
      </c>
      <c r="C5891" s="491">
        <v>110</v>
      </c>
      <c r="D5891" s="492" t="str">
        <f>VLOOKUP(C5891,Plan!A$1:B$65542,2,0)</f>
        <v>Disponible Administración</v>
      </c>
      <c r="E5891" s="497">
        <f>+F5891-G5891</f>
        <v>32000</v>
      </c>
      <c r="F5891" s="493">
        <v>32000</v>
      </c>
      <c r="G5891" s="501">
        <v>0</v>
      </c>
      <c r="H5891" t="s">
        <v>2214</v>
      </c>
      <c r="I5891" s="499" t="s">
        <v>296</v>
      </c>
      <c r="K5891" s="370"/>
      <c r="N5891" s="370"/>
    </row>
    <row r="5892" spans="1:14" s="347" customFormat="1" x14ac:dyDescent="0.25">
      <c r="A5892" s="495">
        <v>44508</v>
      </c>
      <c r="B5892" s="496">
        <f>+MONTH(A5892)</f>
        <v>11</v>
      </c>
      <c r="C5892" s="491">
        <v>3453</v>
      </c>
      <c r="D5892" s="492" t="str">
        <f>VLOOKUP(C5892,Plan!A$1:B$65542,2,0)</f>
        <v>Cajas de navidad</v>
      </c>
      <c r="E5892" s="497">
        <f>+F5892-G5892</f>
        <v>-32000</v>
      </c>
      <c r="F5892" s="493">
        <v>0</v>
      </c>
      <c r="G5892" s="501">
        <f>+F5891</f>
        <v>32000</v>
      </c>
      <c r="H5892" t="str">
        <f>+H5891</f>
        <v>Caja Navidad Cristian Alvara</v>
      </c>
      <c r="I5892" s="499" t="s">
        <v>296</v>
      </c>
      <c r="K5892" s="370"/>
      <c r="N5892" s="370"/>
    </row>
    <row r="5893" spans="1:14" s="347" customFormat="1" x14ac:dyDescent="0.25">
      <c r="A5893" s="369"/>
      <c r="E5893" s="396"/>
      <c r="F5893" s="396"/>
      <c r="G5893" s="396"/>
      <c r="K5893" s="370"/>
      <c r="N5893" s="370"/>
    </row>
    <row r="5894" spans="1:14" s="347" customFormat="1" x14ac:dyDescent="0.25">
      <c r="A5894" s="495">
        <v>44508</v>
      </c>
      <c r="B5894" s="496">
        <f>+MONTH(A5894)</f>
        <v>11</v>
      </c>
      <c r="C5894" s="491">
        <v>110</v>
      </c>
      <c r="D5894" s="492" t="str">
        <f>VLOOKUP(C5894,Plan!A$1:B$65542,2,0)</f>
        <v>Disponible Administración</v>
      </c>
      <c r="E5894" s="497">
        <f>+F5894-G5894</f>
        <v>10000</v>
      </c>
      <c r="F5894" s="493">
        <v>10000</v>
      </c>
      <c r="G5894" s="501">
        <v>0</v>
      </c>
      <c r="H5894" t="s">
        <v>1314</v>
      </c>
      <c r="I5894" s="499" t="s">
        <v>296</v>
      </c>
      <c r="K5894" s="370"/>
      <c r="N5894" s="370"/>
    </row>
    <row r="5895" spans="1:14" s="347" customFormat="1" x14ac:dyDescent="0.25">
      <c r="A5895" s="495">
        <v>44508</v>
      </c>
      <c r="B5895" s="496">
        <f>+MONTH(A5895)</f>
        <v>11</v>
      </c>
      <c r="C5895" s="491">
        <v>3110</v>
      </c>
      <c r="D5895" s="492" t="str">
        <f>VLOOKUP(C5895,Plan!A$1:B$65542,2,0)</f>
        <v>Colectas Normales</v>
      </c>
      <c r="E5895" s="497">
        <f>+F5895-G5895</f>
        <v>-10000</v>
      </c>
      <c r="F5895" s="493">
        <v>0</v>
      </c>
      <c r="G5895" s="501">
        <f>+F5894</f>
        <v>10000</v>
      </c>
      <c r="H5895" t="str">
        <f>+H5894</f>
        <v>Colecta Juan Arnaiz</v>
      </c>
      <c r="I5895" s="499" t="s">
        <v>296</v>
      </c>
      <c r="K5895" s="370"/>
      <c r="N5895" s="370"/>
    </row>
    <row r="5896" spans="1:14" s="347" customFormat="1" x14ac:dyDescent="0.25">
      <c r="A5896" s="369"/>
      <c r="E5896" s="396"/>
      <c r="F5896" s="396"/>
      <c r="G5896" s="396"/>
      <c r="K5896" s="370"/>
      <c r="N5896" s="370"/>
    </row>
    <row r="5897" spans="1:14" s="347" customFormat="1" x14ac:dyDescent="0.25">
      <c r="A5897" s="495">
        <v>44508</v>
      </c>
      <c r="B5897" s="496">
        <f>+MONTH(A5897)</f>
        <v>11</v>
      </c>
      <c r="C5897" s="491">
        <v>110</v>
      </c>
      <c r="D5897" s="492" t="str">
        <f>VLOOKUP(C5897,Plan!A$1:B$65542,2,0)</f>
        <v>Disponible Administración</v>
      </c>
      <c r="E5897" s="497">
        <f>+F5897-G5897</f>
        <v>20000</v>
      </c>
      <c r="F5897" s="493">
        <v>20000</v>
      </c>
      <c r="G5897" s="501">
        <v>0</v>
      </c>
      <c r="H5897" t="s">
        <v>1201</v>
      </c>
      <c r="I5897" s="499" t="s">
        <v>296</v>
      </c>
      <c r="K5897" s="370"/>
      <c r="N5897" s="370"/>
    </row>
    <row r="5898" spans="1:14" s="347" customFormat="1" x14ac:dyDescent="0.25">
      <c r="A5898" s="495">
        <v>44508</v>
      </c>
      <c r="B5898" s="496">
        <f>+MONTH(A5898)</f>
        <v>11</v>
      </c>
      <c r="C5898" s="491">
        <v>3110</v>
      </c>
      <c r="D5898" s="492" t="str">
        <f>VLOOKUP(C5898,Plan!A$1:B$65542,2,0)</f>
        <v>Colectas Normales</v>
      </c>
      <c r="E5898" s="497">
        <f>+F5898-G5898</f>
        <v>-20000</v>
      </c>
      <c r="F5898" s="493">
        <v>0</v>
      </c>
      <c r="G5898" s="501">
        <f>+F5897</f>
        <v>20000</v>
      </c>
      <c r="H5898" t="str">
        <f>+H5897</f>
        <v>Colecta Jorge Larrañaga</v>
      </c>
      <c r="I5898" s="499" t="s">
        <v>296</v>
      </c>
      <c r="K5898" s="370"/>
      <c r="N5898" s="370"/>
    </row>
    <row r="5899" spans="1:14" s="347" customFormat="1" x14ac:dyDescent="0.25">
      <c r="A5899" s="369"/>
      <c r="E5899" s="396"/>
      <c r="F5899" s="396"/>
      <c r="G5899" s="396"/>
      <c r="K5899" s="370"/>
      <c r="N5899" s="370"/>
    </row>
    <row r="5900" spans="1:14" s="347" customFormat="1" x14ac:dyDescent="0.25">
      <c r="A5900" s="495">
        <v>44508</v>
      </c>
      <c r="B5900" s="496">
        <f>+MONTH(A5900)</f>
        <v>11</v>
      </c>
      <c r="C5900" s="491">
        <v>110</v>
      </c>
      <c r="D5900" s="492" t="str">
        <f>VLOOKUP(C5900,Plan!A$1:B$65542,2,0)</f>
        <v>Disponible Administración</v>
      </c>
      <c r="E5900" s="497">
        <f>+F5900-G5900</f>
        <v>25000</v>
      </c>
      <c r="F5900" s="493">
        <v>25000</v>
      </c>
      <c r="G5900" s="501">
        <v>0</v>
      </c>
      <c r="H5900" t="s">
        <v>1442</v>
      </c>
      <c r="I5900" s="499" t="s">
        <v>296</v>
      </c>
      <c r="K5900" s="370"/>
      <c r="N5900" s="370"/>
    </row>
    <row r="5901" spans="1:14" s="347" customFormat="1" x14ac:dyDescent="0.25">
      <c r="A5901" s="495">
        <v>44508</v>
      </c>
      <c r="B5901" s="496">
        <f>+MONTH(A5901)</f>
        <v>11</v>
      </c>
      <c r="C5901" s="491">
        <v>3360</v>
      </c>
      <c r="D5901" s="492" t="str">
        <f>VLOOKUP(C5901,Plan!A$1:B$65542,2,0)</f>
        <v>Otros</v>
      </c>
      <c r="E5901" s="497">
        <f>+F5901-G5901</f>
        <v>-25000</v>
      </c>
      <c r="F5901" s="493">
        <v>0</v>
      </c>
      <c r="G5901" s="501">
        <f>+F5900</f>
        <v>25000</v>
      </c>
      <c r="H5901" t="str">
        <f>+H5900</f>
        <v>Curso Jorge Larrañaga</v>
      </c>
      <c r="I5901" s="499" t="s">
        <v>296</v>
      </c>
      <c r="K5901" s="370"/>
      <c r="N5901" s="370"/>
    </row>
    <row r="5902" spans="1:14" s="347" customFormat="1" x14ac:dyDescent="0.25">
      <c r="A5902" s="369"/>
      <c r="E5902" s="396"/>
      <c r="F5902" s="396"/>
      <c r="G5902" s="396"/>
      <c r="K5902" s="370"/>
      <c r="N5902" s="370"/>
    </row>
    <row r="5903" spans="1:14" s="347" customFormat="1" x14ac:dyDescent="0.25">
      <c r="A5903" s="495">
        <v>44508</v>
      </c>
      <c r="B5903" s="496">
        <f>+MONTH(A5903)</f>
        <v>11</v>
      </c>
      <c r="C5903" s="491">
        <v>110</v>
      </c>
      <c r="D5903" s="492" t="str">
        <f>VLOOKUP(C5903,Plan!A$1:B$65542,2,0)</f>
        <v>Disponible Administración</v>
      </c>
      <c r="E5903" s="497">
        <f>+F5903-G5903</f>
        <v>32000</v>
      </c>
      <c r="F5903" s="493">
        <v>32000</v>
      </c>
      <c r="G5903" s="501">
        <v>0</v>
      </c>
      <c r="H5903" t="s">
        <v>2215</v>
      </c>
      <c r="I5903" s="499" t="s">
        <v>296</v>
      </c>
      <c r="K5903" s="370"/>
      <c r="N5903" s="370"/>
    </row>
    <row r="5904" spans="1:14" s="347" customFormat="1" x14ac:dyDescent="0.25">
      <c r="A5904" s="495">
        <v>44508</v>
      </c>
      <c r="B5904" s="496">
        <f>+MONTH(A5904)</f>
        <v>11</v>
      </c>
      <c r="C5904" s="491">
        <v>3453</v>
      </c>
      <c r="D5904" s="492" t="str">
        <f>VLOOKUP(C5904,Plan!A$1:B$65542,2,0)</f>
        <v>Cajas de navidad</v>
      </c>
      <c r="E5904" s="497">
        <f>+F5904-G5904</f>
        <v>-32000</v>
      </c>
      <c r="F5904" s="493">
        <v>0</v>
      </c>
      <c r="G5904" s="501">
        <f>+F5903</f>
        <v>32000</v>
      </c>
      <c r="H5904" t="str">
        <f>+H5903</f>
        <v>Caja Navidad M. Rosario Valenzuela</v>
      </c>
      <c r="I5904" s="499" t="s">
        <v>296</v>
      </c>
      <c r="K5904" s="370"/>
      <c r="N5904" s="370"/>
    </row>
    <row r="5905" spans="1:14" s="347" customFormat="1" x14ac:dyDescent="0.25">
      <c r="A5905" s="369"/>
      <c r="E5905" s="396"/>
      <c r="F5905" s="396"/>
      <c r="G5905" s="396"/>
      <c r="K5905" s="370"/>
      <c r="N5905" s="370"/>
    </row>
    <row r="5906" spans="1:14" s="347" customFormat="1" x14ac:dyDescent="0.25">
      <c r="A5906" s="495">
        <v>44508</v>
      </c>
      <c r="B5906" s="496">
        <f>+MONTH(A5906)</f>
        <v>11</v>
      </c>
      <c r="C5906" s="491">
        <v>110</v>
      </c>
      <c r="D5906" s="492" t="str">
        <f>VLOOKUP(C5906,Plan!A$1:B$65542,2,0)</f>
        <v>Disponible Administración</v>
      </c>
      <c r="E5906" s="497">
        <f>+F5906-G5906</f>
        <v>40000</v>
      </c>
      <c r="F5906" s="493">
        <v>40000</v>
      </c>
      <c r="G5906" s="501">
        <v>0</v>
      </c>
      <c r="H5906" t="s">
        <v>2035</v>
      </c>
      <c r="I5906" s="499" t="s">
        <v>296</v>
      </c>
      <c r="K5906" s="370"/>
      <c r="N5906" s="370"/>
    </row>
    <row r="5907" spans="1:14" s="347" customFormat="1" x14ac:dyDescent="0.25">
      <c r="A5907" s="495">
        <v>44508</v>
      </c>
      <c r="B5907" s="496">
        <f>+MONTH(A5907)</f>
        <v>11</v>
      </c>
      <c r="C5907" s="491">
        <v>3110</v>
      </c>
      <c r="D5907" s="492" t="str">
        <f>VLOOKUP(C5907,Plan!A$1:B$65542,2,0)</f>
        <v>Colectas Normales</v>
      </c>
      <c r="E5907" s="497">
        <f>+F5907-G5907</f>
        <v>-40000</v>
      </c>
      <c r="F5907" s="493">
        <v>0</v>
      </c>
      <c r="G5907" s="501">
        <f>+F5906</f>
        <v>40000</v>
      </c>
      <c r="H5907" t="str">
        <f>+H5906</f>
        <v>Colecta Patricia Andres Lorca Koch</v>
      </c>
      <c r="I5907" s="499" t="s">
        <v>296</v>
      </c>
      <c r="K5907" s="370"/>
      <c r="N5907" s="370"/>
    </row>
    <row r="5908" spans="1:14" s="347" customFormat="1" x14ac:dyDescent="0.25">
      <c r="A5908" s="369"/>
      <c r="E5908" s="396"/>
      <c r="F5908" s="396"/>
      <c r="G5908" s="396"/>
      <c r="K5908" s="370"/>
      <c r="N5908" s="370"/>
    </row>
    <row r="5909" spans="1:14" s="347" customFormat="1" x14ac:dyDescent="0.25">
      <c r="A5909" s="495">
        <v>44508</v>
      </c>
      <c r="B5909" s="496">
        <f>+MONTH(A5909)</f>
        <v>11</v>
      </c>
      <c r="C5909" s="491">
        <v>110</v>
      </c>
      <c r="D5909" s="492" t="str">
        <f>VLOOKUP(C5909,Plan!A$1:B$65542,2,0)</f>
        <v>Disponible Administración</v>
      </c>
      <c r="E5909" s="497">
        <f>+F5909-G5909</f>
        <v>40000</v>
      </c>
      <c r="F5909" s="493">
        <v>40000</v>
      </c>
      <c r="G5909" s="501">
        <v>0</v>
      </c>
      <c r="H5909" t="s">
        <v>2031</v>
      </c>
      <c r="I5909" s="499" t="s">
        <v>296</v>
      </c>
      <c r="K5909" s="370"/>
      <c r="N5909" s="370"/>
    </row>
    <row r="5910" spans="1:14" s="347" customFormat="1" x14ac:dyDescent="0.25">
      <c r="A5910" s="495">
        <v>44508</v>
      </c>
      <c r="B5910" s="496">
        <f>+MONTH(A5910)</f>
        <v>11</v>
      </c>
      <c r="C5910" s="491">
        <v>3110</v>
      </c>
      <c r="D5910" s="492" t="str">
        <f>VLOOKUP(C5910,Plan!A$1:B$65542,2,0)</f>
        <v>Colectas Normales</v>
      </c>
      <c r="E5910" s="497">
        <f>+F5910-G5910</f>
        <v>-40000</v>
      </c>
      <c r="F5910" s="493">
        <v>0</v>
      </c>
      <c r="G5910" s="501">
        <f>+F5909</f>
        <v>40000</v>
      </c>
      <c r="H5910" t="str">
        <f>+H5909</f>
        <v>Colecta Alejandro Gutierrez</v>
      </c>
      <c r="I5910" s="499" t="s">
        <v>296</v>
      </c>
      <c r="K5910" s="370"/>
      <c r="N5910" s="370"/>
    </row>
    <row r="5911" spans="1:14" s="347" customFormat="1" x14ac:dyDescent="0.25">
      <c r="A5911" s="369"/>
      <c r="E5911" s="396"/>
      <c r="F5911" s="396"/>
      <c r="G5911" s="396"/>
      <c r="K5911" s="370"/>
      <c r="N5911" s="370"/>
    </row>
    <row r="5912" spans="1:14" s="347" customFormat="1" x14ac:dyDescent="0.25">
      <c r="A5912" s="495">
        <v>44508</v>
      </c>
      <c r="B5912" s="496">
        <f>+MONTH(A5912)</f>
        <v>11</v>
      </c>
      <c r="C5912" s="491">
        <v>110</v>
      </c>
      <c r="D5912" s="492" t="str">
        <f>VLOOKUP(C5912,Plan!A$1:B$65542,2,0)</f>
        <v>Disponible Administración</v>
      </c>
      <c r="E5912" s="497">
        <f>+F5912-G5912</f>
        <v>64000</v>
      </c>
      <c r="F5912" s="493">
        <v>64000</v>
      </c>
      <c r="G5912" s="501">
        <v>0</v>
      </c>
      <c r="H5912" t="s">
        <v>2216</v>
      </c>
      <c r="I5912" s="499" t="s">
        <v>296</v>
      </c>
      <c r="K5912" s="370"/>
      <c r="N5912" s="370"/>
    </row>
    <row r="5913" spans="1:14" s="347" customFormat="1" x14ac:dyDescent="0.25">
      <c r="A5913" s="495">
        <v>44508</v>
      </c>
      <c r="B5913" s="496">
        <f>+MONTH(A5913)</f>
        <v>11</v>
      </c>
      <c r="C5913" s="491">
        <v>3453</v>
      </c>
      <c r="D5913" s="492" t="str">
        <f>VLOOKUP(C5913,Plan!A$1:B$65542,2,0)</f>
        <v>Cajas de navidad</v>
      </c>
      <c r="E5913" s="497">
        <f>+F5913-G5913</f>
        <v>-64000</v>
      </c>
      <c r="F5913" s="493">
        <v>0</v>
      </c>
      <c r="G5913" s="501">
        <f>+F5912</f>
        <v>64000</v>
      </c>
      <c r="H5913" t="str">
        <f>+H5912</f>
        <v>Caja Navidad Alejandro Gutierrez</v>
      </c>
      <c r="I5913" s="499" t="s">
        <v>296</v>
      </c>
      <c r="K5913" s="370"/>
      <c r="N5913" s="370"/>
    </row>
    <row r="5914" spans="1:14" s="347" customFormat="1" x14ac:dyDescent="0.25">
      <c r="A5914" s="369"/>
      <c r="E5914" s="396"/>
      <c r="F5914" s="396"/>
      <c r="G5914" s="396"/>
      <c r="K5914" s="370"/>
      <c r="N5914" s="370"/>
    </row>
    <row r="5915" spans="1:14" s="347" customFormat="1" x14ac:dyDescent="0.25">
      <c r="A5915" s="495">
        <v>44508</v>
      </c>
      <c r="B5915" s="496">
        <f>+MONTH(A5915)</f>
        <v>11</v>
      </c>
      <c r="C5915" s="491">
        <v>110</v>
      </c>
      <c r="D5915" s="492" t="str">
        <f>VLOOKUP(C5915,Plan!A$1:B$65542,2,0)</f>
        <v>Disponible Administración</v>
      </c>
      <c r="E5915" s="497">
        <f>+F5915-G5915</f>
        <v>60000</v>
      </c>
      <c r="F5915" s="493">
        <v>60000</v>
      </c>
      <c r="G5915" s="501">
        <v>0</v>
      </c>
      <c r="H5915" t="s">
        <v>2217</v>
      </c>
      <c r="I5915" s="499" t="s">
        <v>296</v>
      </c>
      <c r="K5915" s="370"/>
      <c r="N5915" s="370"/>
    </row>
    <row r="5916" spans="1:14" s="347" customFormat="1" x14ac:dyDescent="0.25">
      <c r="A5916" s="495">
        <v>44508</v>
      </c>
      <c r="B5916" s="496">
        <f>+MONTH(A5916)</f>
        <v>11</v>
      </c>
      <c r="C5916" s="491">
        <v>215</v>
      </c>
      <c r="D5916" s="492" t="str">
        <f>VLOOKUP(C5916,Plan!A$1:B$65542,2,0)</f>
        <v>Cuenta por Pagar a Cali</v>
      </c>
      <c r="E5916" s="497">
        <f>+F5916-G5916</f>
        <v>-60000</v>
      </c>
      <c r="F5916" s="493">
        <v>0</v>
      </c>
      <c r="G5916" s="501">
        <f>+F5915</f>
        <v>60000</v>
      </c>
      <c r="H5916" t="str">
        <f>+H5915</f>
        <v>Ricardo Fernández Oyarzún / 249</v>
      </c>
      <c r="I5916" s="499" t="s">
        <v>296</v>
      </c>
      <c r="K5916" s="370"/>
      <c r="N5916" s="370"/>
    </row>
    <row r="5917" spans="1:14" s="347" customFormat="1" x14ac:dyDescent="0.25">
      <c r="A5917" s="369"/>
      <c r="E5917" s="396"/>
      <c r="F5917" s="396"/>
      <c r="G5917" s="396"/>
      <c r="K5917" s="370"/>
      <c r="N5917" s="370"/>
    </row>
    <row r="5918" spans="1:14" s="347" customFormat="1" x14ac:dyDescent="0.25">
      <c r="A5918" s="495">
        <v>44508</v>
      </c>
      <c r="B5918" s="496">
        <f>+MONTH(A5918)</f>
        <v>11</v>
      </c>
      <c r="C5918" s="491">
        <v>110</v>
      </c>
      <c r="D5918" s="492" t="str">
        <f>VLOOKUP(C5918,Plan!A$1:B$65542,2,0)</f>
        <v>Disponible Administración</v>
      </c>
      <c r="E5918" s="497">
        <f>+F5918-G5918</f>
        <v>2000</v>
      </c>
      <c r="F5918" s="493">
        <v>2000</v>
      </c>
      <c r="G5918" s="501">
        <v>0</v>
      </c>
      <c r="H5918" t="s">
        <v>1216</v>
      </c>
      <c r="I5918" s="499" t="s">
        <v>296</v>
      </c>
      <c r="K5918" s="370"/>
      <c r="N5918" s="370"/>
    </row>
    <row r="5919" spans="1:14" s="347" customFormat="1" x14ac:dyDescent="0.25">
      <c r="A5919" s="495">
        <v>44508</v>
      </c>
      <c r="B5919" s="496">
        <f>+MONTH(A5919)</f>
        <v>11</v>
      </c>
      <c r="C5919" s="491">
        <v>3110</v>
      </c>
      <c r="D5919" s="492" t="str">
        <f>VLOOKUP(C5919,Plan!A$1:B$65542,2,0)</f>
        <v>Colectas Normales</v>
      </c>
      <c r="E5919" s="497">
        <f>+F5919-G5919</f>
        <v>-2000</v>
      </c>
      <c r="F5919" s="493">
        <v>0</v>
      </c>
      <c r="G5919" s="501">
        <f>+F5918</f>
        <v>2000</v>
      </c>
      <c r="H5919" t="str">
        <f>+H5918</f>
        <v>Colecta Trinidad Barriga Cruzat</v>
      </c>
      <c r="I5919" s="499" t="s">
        <v>296</v>
      </c>
      <c r="K5919" s="370"/>
      <c r="N5919" s="370"/>
    </row>
    <row r="5920" spans="1:14" s="347" customFormat="1" x14ac:dyDescent="0.25">
      <c r="A5920" s="369"/>
      <c r="E5920" s="396"/>
      <c r="F5920" s="396"/>
      <c r="G5920" s="396"/>
      <c r="K5920" s="370"/>
      <c r="N5920" s="370"/>
    </row>
    <row r="5921" spans="1:14" s="347" customFormat="1" x14ac:dyDescent="0.25">
      <c r="A5921" s="495">
        <v>44508</v>
      </c>
      <c r="B5921" s="496">
        <f>+MONTH(A5921)</f>
        <v>11</v>
      </c>
      <c r="C5921" s="491">
        <v>110</v>
      </c>
      <c r="D5921" s="492" t="str">
        <f>VLOOKUP(C5921,Plan!A$1:B$65542,2,0)</f>
        <v>Disponible Administración</v>
      </c>
      <c r="E5921" s="497">
        <f>+F5921-G5921</f>
        <v>9680</v>
      </c>
      <c r="F5921" s="493">
        <v>9680</v>
      </c>
      <c r="G5921" s="501">
        <v>0</v>
      </c>
      <c r="H5921" t="s">
        <v>2218</v>
      </c>
      <c r="I5921" s="499" t="s">
        <v>296</v>
      </c>
      <c r="K5921" s="370"/>
      <c r="N5921" s="370"/>
    </row>
    <row r="5922" spans="1:14" s="347" customFormat="1" x14ac:dyDescent="0.25">
      <c r="A5922" s="495">
        <v>44508</v>
      </c>
      <c r="B5922" s="496">
        <f>+MONTH(A5922)</f>
        <v>11</v>
      </c>
      <c r="C5922" s="491">
        <v>3453</v>
      </c>
      <c r="D5922" s="492" t="str">
        <f>VLOOKUP(C5922,Plan!A$1:B$65542,2,0)</f>
        <v>Cajas de navidad</v>
      </c>
      <c r="E5922" s="497">
        <f>+F5922-G5922</f>
        <v>-9680</v>
      </c>
      <c r="F5922" s="493">
        <v>0</v>
      </c>
      <c r="G5922" s="501">
        <f>+F5921</f>
        <v>9680</v>
      </c>
      <c r="H5922" t="str">
        <f>+H5921</f>
        <v>Caja Navidad POS</v>
      </c>
      <c r="I5922" s="499" t="s">
        <v>296</v>
      </c>
      <c r="K5922" s="370"/>
      <c r="N5922" s="370"/>
    </row>
    <row r="5923" spans="1:14" s="347" customFormat="1" x14ac:dyDescent="0.25">
      <c r="A5923" s="369"/>
      <c r="E5923" s="396"/>
      <c r="F5923" s="396"/>
      <c r="G5923" s="396"/>
      <c r="K5923" s="370"/>
      <c r="N5923" s="370"/>
    </row>
    <row r="5924" spans="1:14" s="347" customFormat="1" x14ac:dyDescent="0.25">
      <c r="A5924" s="495">
        <v>44508</v>
      </c>
      <c r="B5924" s="496">
        <f>+MONTH(A5924)</f>
        <v>11</v>
      </c>
      <c r="C5924" s="491">
        <v>110</v>
      </c>
      <c r="D5924" s="492" t="str">
        <f>VLOOKUP(C5924,Plan!A$1:B$65542,2,0)</f>
        <v>Disponible Administración</v>
      </c>
      <c r="E5924" s="497">
        <f>+F5924-G5924</f>
        <v>32000</v>
      </c>
      <c r="F5924" s="493">
        <v>32000</v>
      </c>
      <c r="G5924" s="501">
        <v>0</v>
      </c>
      <c r="H5924" t="s">
        <v>2219</v>
      </c>
      <c r="I5924" s="499" t="s">
        <v>296</v>
      </c>
      <c r="K5924" s="370"/>
      <c r="N5924" s="370"/>
    </row>
    <row r="5925" spans="1:14" s="347" customFormat="1" x14ac:dyDescent="0.25">
      <c r="A5925" s="495">
        <v>44508</v>
      </c>
      <c r="B5925" s="496">
        <f>+MONTH(A5925)</f>
        <v>11</v>
      </c>
      <c r="C5925" s="491">
        <v>3453</v>
      </c>
      <c r="D5925" s="492" t="str">
        <f>VLOOKUP(C5925,Plan!A$1:B$65542,2,0)</f>
        <v>Cajas de navidad</v>
      </c>
      <c r="E5925" s="497">
        <f>+F5925-G5925</f>
        <v>-32000</v>
      </c>
      <c r="F5925" s="493">
        <v>0</v>
      </c>
      <c r="G5925" s="501">
        <f>+F5924</f>
        <v>32000</v>
      </c>
      <c r="H5925" t="str">
        <f>+H5924</f>
        <v>Caja Navidad Ignacio Cisternas</v>
      </c>
      <c r="I5925" s="499" t="s">
        <v>296</v>
      </c>
      <c r="K5925" s="370"/>
      <c r="N5925" s="370"/>
    </row>
    <row r="5926" spans="1:14" s="347" customFormat="1" x14ac:dyDescent="0.25">
      <c r="A5926" s="369"/>
      <c r="E5926" s="396"/>
      <c r="F5926" s="396"/>
      <c r="G5926" s="396"/>
      <c r="K5926" s="370"/>
      <c r="N5926" s="370"/>
    </row>
    <row r="5927" spans="1:14" s="347" customFormat="1" x14ac:dyDescent="0.25">
      <c r="A5927" s="495">
        <v>44508</v>
      </c>
      <c r="B5927" s="496">
        <f>+MONTH(A5927)</f>
        <v>11</v>
      </c>
      <c r="C5927" s="491">
        <v>110</v>
      </c>
      <c r="D5927" s="492" t="str">
        <f>VLOOKUP(C5927,Plan!A$1:B$65542,2,0)</f>
        <v>Disponible Administración</v>
      </c>
      <c r="E5927" s="497">
        <f>+F5927-G5927</f>
        <v>60000</v>
      </c>
      <c r="F5927" s="493">
        <v>60000</v>
      </c>
      <c r="G5927" s="501">
        <v>0</v>
      </c>
      <c r="H5927" t="s">
        <v>2220</v>
      </c>
      <c r="I5927" s="499" t="s">
        <v>296</v>
      </c>
      <c r="K5927" s="370"/>
      <c r="N5927" s="370"/>
    </row>
    <row r="5928" spans="1:14" s="347" customFormat="1" x14ac:dyDescent="0.25">
      <c r="A5928" s="495">
        <v>44508</v>
      </c>
      <c r="B5928" s="496">
        <f>+MONTH(A5928)</f>
        <v>11</v>
      </c>
      <c r="C5928" s="491">
        <v>215</v>
      </c>
      <c r="D5928" s="492" t="str">
        <f>VLOOKUP(C5928,Plan!A$1:B$65542,2,0)</f>
        <v>Cuenta por Pagar a Cali</v>
      </c>
      <c r="E5928" s="497">
        <f>+F5928-G5928</f>
        <v>-60000</v>
      </c>
      <c r="F5928" s="493">
        <v>0</v>
      </c>
      <c r="G5928" s="501">
        <f>+F5927</f>
        <v>60000</v>
      </c>
      <c r="H5928" t="str">
        <f>+H5927</f>
        <v>Sonia Andrea Varas Mujica/249 (Jun)</v>
      </c>
      <c r="I5928" s="499" t="s">
        <v>296</v>
      </c>
      <c r="K5928" s="370"/>
      <c r="N5928" s="370"/>
    </row>
    <row r="5929" spans="1:14" s="347" customFormat="1" x14ac:dyDescent="0.25">
      <c r="A5929" s="369"/>
      <c r="E5929" s="396"/>
      <c r="F5929" s="396"/>
      <c r="G5929" s="396"/>
      <c r="K5929" s="370"/>
      <c r="N5929" s="370"/>
    </row>
    <row r="5930" spans="1:14" s="347" customFormat="1" x14ac:dyDescent="0.25">
      <c r="A5930" s="495">
        <v>44508</v>
      </c>
      <c r="B5930" s="496">
        <f>+MONTH(A5930)</f>
        <v>11</v>
      </c>
      <c r="C5930" s="491">
        <v>110</v>
      </c>
      <c r="D5930" s="492" t="str">
        <f>VLOOKUP(C5930,Plan!A$1:B$65542,2,0)</f>
        <v>Disponible Administración</v>
      </c>
      <c r="E5930" s="497">
        <f>+F5930-G5930</f>
        <v>150000</v>
      </c>
      <c r="F5930" s="493">
        <v>150000</v>
      </c>
      <c r="G5930" s="501">
        <v>0</v>
      </c>
      <c r="H5930" t="s">
        <v>2221</v>
      </c>
      <c r="I5930" s="499" t="s">
        <v>296</v>
      </c>
      <c r="K5930" s="370"/>
      <c r="N5930" s="370"/>
    </row>
    <row r="5931" spans="1:14" s="347" customFormat="1" x14ac:dyDescent="0.25">
      <c r="A5931" s="495">
        <v>44508</v>
      </c>
      <c r="B5931" s="496">
        <f>+MONTH(A5931)</f>
        <v>11</v>
      </c>
      <c r="C5931" s="491">
        <v>3453</v>
      </c>
      <c r="D5931" s="492" t="str">
        <f>VLOOKUP(C5931,Plan!A$1:B$65542,2,0)</f>
        <v>Cajas de navidad</v>
      </c>
      <c r="E5931" s="497">
        <f>+F5931-G5931</f>
        <v>-150000</v>
      </c>
      <c r="F5931" s="493">
        <v>0</v>
      </c>
      <c r="G5931" s="501">
        <f>+F5930</f>
        <v>150000</v>
      </c>
      <c r="H5931" t="str">
        <f>+H5930</f>
        <v>Caja Navidad Juan Puga</v>
      </c>
      <c r="I5931" s="499" t="s">
        <v>296</v>
      </c>
      <c r="K5931" s="370"/>
      <c r="N5931" s="370"/>
    </row>
    <row r="5932" spans="1:14" s="347" customFormat="1" x14ac:dyDescent="0.25">
      <c r="A5932" s="369"/>
      <c r="E5932" s="396"/>
      <c r="F5932" s="396"/>
      <c r="G5932" s="396"/>
      <c r="K5932" s="370"/>
      <c r="N5932" s="370"/>
    </row>
    <row r="5933" spans="1:14" s="347" customFormat="1" x14ac:dyDescent="0.25">
      <c r="A5933" s="495">
        <v>44508</v>
      </c>
      <c r="B5933" s="496">
        <f>+MONTH(A5933)</f>
        <v>11</v>
      </c>
      <c r="C5933" s="491">
        <v>110</v>
      </c>
      <c r="D5933" s="492" t="str">
        <f>VLOOKUP(C5933,Plan!A$1:B$65542,2,0)</f>
        <v>Disponible Administración</v>
      </c>
      <c r="E5933" s="497">
        <f>+F5933-G5933</f>
        <v>72000</v>
      </c>
      <c r="F5933" s="493">
        <v>72000</v>
      </c>
      <c r="G5933" s="501">
        <v>0</v>
      </c>
      <c r="H5933" t="s">
        <v>2222</v>
      </c>
      <c r="I5933" s="499" t="s">
        <v>296</v>
      </c>
      <c r="K5933" s="370"/>
      <c r="N5933" s="370"/>
    </row>
    <row r="5934" spans="1:14" s="347" customFormat="1" x14ac:dyDescent="0.25">
      <c r="A5934" s="495">
        <v>44508</v>
      </c>
      <c r="B5934" s="496">
        <f>+MONTH(A5934)</f>
        <v>11</v>
      </c>
      <c r="C5934" s="491">
        <v>3453</v>
      </c>
      <c r="D5934" s="492" t="str">
        <f>VLOOKUP(C5934,Plan!A$1:B$65542,2,0)</f>
        <v>Cajas de navidad</v>
      </c>
      <c r="E5934" s="497">
        <f>+F5934-G5934</f>
        <v>-72000</v>
      </c>
      <c r="F5934" s="493">
        <v>0</v>
      </c>
      <c r="G5934" s="501">
        <f>+F5933</f>
        <v>72000</v>
      </c>
      <c r="H5934" t="str">
        <f>+H5933</f>
        <v>Caja Navidad Juan Carlos Cornejo</v>
      </c>
      <c r="I5934" s="499" t="s">
        <v>296</v>
      </c>
      <c r="K5934" s="370"/>
      <c r="N5934" s="370"/>
    </row>
    <row r="5935" spans="1:14" s="347" customFormat="1" x14ac:dyDescent="0.25">
      <c r="A5935" s="369"/>
      <c r="E5935" s="396"/>
      <c r="F5935" s="396"/>
      <c r="G5935" s="396"/>
      <c r="K5935" s="370"/>
      <c r="N5935" s="370"/>
    </row>
    <row r="5936" spans="1:14" s="347" customFormat="1" x14ac:dyDescent="0.25">
      <c r="A5936" s="495">
        <v>44508</v>
      </c>
      <c r="B5936" s="496">
        <f>+MONTH(A5936)</f>
        <v>11</v>
      </c>
      <c r="C5936" s="491">
        <v>110</v>
      </c>
      <c r="D5936" s="492" t="str">
        <f>VLOOKUP(C5936,Plan!A$1:B$65542,2,0)</f>
        <v>Disponible Administración</v>
      </c>
      <c r="E5936" s="497">
        <f>+F5936-G5936</f>
        <v>30000</v>
      </c>
      <c r="F5936" s="493">
        <v>30000</v>
      </c>
      <c r="G5936" s="501">
        <v>0</v>
      </c>
      <c r="H5936" t="s">
        <v>747</v>
      </c>
      <c r="I5936" s="499" t="s">
        <v>296</v>
      </c>
      <c r="K5936" s="370"/>
      <c r="N5936" s="370"/>
    </row>
    <row r="5937" spans="1:14" s="347" customFormat="1" x14ac:dyDescent="0.25">
      <c r="A5937" s="495">
        <v>44508</v>
      </c>
      <c r="B5937" s="496">
        <f>+MONTH(A5937)</f>
        <v>11</v>
      </c>
      <c r="C5937" s="491">
        <v>215</v>
      </c>
      <c r="D5937" s="492" t="str">
        <f>VLOOKUP(C5937,Plan!A$1:B$65542,2,0)</f>
        <v>Cuenta por Pagar a Cali</v>
      </c>
      <c r="E5937" s="497">
        <f>+F5937-G5937</f>
        <v>-30000</v>
      </c>
      <c r="F5937" s="493">
        <v>0</v>
      </c>
      <c r="G5937" s="501">
        <f>+F5936</f>
        <v>30000</v>
      </c>
      <c r="H5937" t="str">
        <f>+H5936</f>
        <v>Carlos Celis Celedón / Azul</v>
      </c>
      <c r="I5937" s="499" t="s">
        <v>296</v>
      </c>
      <c r="K5937" s="370"/>
      <c r="N5937" s="370"/>
    </row>
    <row r="5938" spans="1:14" s="347" customFormat="1" x14ac:dyDescent="0.25">
      <c r="A5938" s="369"/>
      <c r="E5938" s="396"/>
      <c r="F5938" s="396"/>
      <c r="G5938" s="396"/>
      <c r="K5938" s="370"/>
      <c r="N5938" s="370"/>
    </row>
    <row r="5939" spans="1:14" s="347" customFormat="1" x14ac:dyDescent="0.25">
      <c r="A5939" s="495">
        <v>44508</v>
      </c>
      <c r="B5939" s="496">
        <f>+MONTH(A5939)</f>
        <v>11</v>
      </c>
      <c r="C5939" s="491">
        <v>110</v>
      </c>
      <c r="D5939" s="492" t="str">
        <f>VLOOKUP(C5939,Plan!A$1:B$65542,2,0)</f>
        <v>Disponible Administración</v>
      </c>
      <c r="E5939" s="497">
        <f>+F5939-G5939</f>
        <v>25000</v>
      </c>
      <c r="F5939" s="493">
        <v>25000</v>
      </c>
      <c r="G5939" s="501">
        <v>0</v>
      </c>
      <c r="H5939" t="s">
        <v>1941</v>
      </c>
      <c r="I5939" s="499" t="s">
        <v>296</v>
      </c>
      <c r="K5939" s="370"/>
      <c r="N5939" s="370"/>
    </row>
    <row r="5940" spans="1:14" s="347" customFormat="1" x14ac:dyDescent="0.25">
      <c r="A5940" s="495">
        <v>44508</v>
      </c>
      <c r="B5940" s="496">
        <f>+MONTH(A5940)</f>
        <v>11</v>
      </c>
      <c r="C5940" s="491">
        <v>3360</v>
      </c>
      <c r="D5940" s="492" t="str">
        <f>VLOOKUP(C5940,Plan!A$1:B$65542,2,0)</f>
        <v>Otros</v>
      </c>
      <c r="E5940" s="497">
        <f>+F5940-G5940</f>
        <v>-25000</v>
      </c>
      <c r="F5940" s="493">
        <v>0</v>
      </c>
      <c r="G5940" s="501">
        <f>+F5939</f>
        <v>25000</v>
      </c>
      <c r="H5940" t="str">
        <f>+H5939</f>
        <v>Curso Vivian Edith Araya Jofre</v>
      </c>
      <c r="I5940" s="499" t="s">
        <v>296</v>
      </c>
      <c r="K5940" s="370"/>
      <c r="N5940" s="370"/>
    </row>
    <row r="5941" spans="1:14" s="347" customFormat="1" x14ac:dyDescent="0.25">
      <c r="A5941" s="369"/>
      <c r="E5941" s="396"/>
      <c r="F5941" s="396"/>
      <c r="G5941" s="396"/>
      <c r="K5941" s="370"/>
      <c r="N5941" s="370"/>
    </row>
    <row r="5942" spans="1:14" s="347" customFormat="1" x14ac:dyDescent="0.25">
      <c r="A5942" s="495">
        <v>44508</v>
      </c>
      <c r="B5942" s="496">
        <f>+MONTH(A5942)</f>
        <v>11</v>
      </c>
      <c r="C5942" s="491">
        <v>110</v>
      </c>
      <c r="D5942" s="492" t="str">
        <f>VLOOKUP(C5942,Plan!A$1:B$65542,2,0)</f>
        <v>Disponible Administración</v>
      </c>
      <c r="E5942" s="497">
        <f>+F5942-G5942</f>
        <v>484910</v>
      </c>
      <c r="F5942" s="493">
        <v>484910</v>
      </c>
      <c r="G5942" s="501">
        <v>0</v>
      </c>
      <c r="H5942" t="s">
        <v>1936</v>
      </c>
      <c r="I5942" s="499" t="s">
        <v>296</v>
      </c>
      <c r="K5942" s="370"/>
      <c r="N5942" s="370"/>
    </row>
    <row r="5943" spans="1:14" s="347" customFormat="1" x14ac:dyDescent="0.25">
      <c r="A5943" s="495">
        <v>44508</v>
      </c>
      <c r="B5943" s="496">
        <f>+MONTH(A5943)</f>
        <v>11</v>
      </c>
      <c r="C5943" s="491">
        <v>3110</v>
      </c>
      <c r="D5943" s="492" t="str">
        <f>VLOOKUP(C5943,Plan!A$1:B$65542,2,0)</f>
        <v>Colectas Normales</v>
      </c>
      <c r="E5943" s="497">
        <f>+F5943-G5943</f>
        <v>-484910</v>
      </c>
      <c r="F5943" s="493">
        <v>0</v>
      </c>
      <c r="G5943" s="501">
        <f>+F5942</f>
        <v>484910</v>
      </c>
      <c r="H5943" t="str">
        <f>+H5942</f>
        <v>Colecta Col.Cordillera</v>
      </c>
      <c r="I5943" s="499" t="s">
        <v>296</v>
      </c>
      <c r="K5943" s="370"/>
      <c r="N5943" s="370"/>
    </row>
    <row r="5944" spans="1:14" s="347" customFormat="1" x14ac:dyDescent="0.25">
      <c r="A5944" s="369"/>
      <c r="E5944" s="396"/>
      <c r="F5944" s="396"/>
      <c r="G5944" s="396"/>
      <c r="K5944" s="370"/>
      <c r="N5944" s="370"/>
    </row>
    <row r="5945" spans="1:14" s="347" customFormat="1" x14ac:dyDescent="0.25">
      <c r="A5945" s="495">
        <v>44509</v>
      </c>
      <c r="B5945" s="496">
        <f>+MONTH(A5945)</f>
        <v>11</v>
      </c>
      <c r="C5945" s="491">
        <v>110</v>
      </c>
      <c r="D5945" s="492" t="str">
        <f>VLOOKUP(C5945,Plan!A$1:B$65542,2,0)</f>
        <v>Disponible Administración</v>
      </c>
      <c r="E5945" s="497">
        <f>+F5945-G5945</f>
        <v>15000</v>
      </c>
      <c r="F5945" s="493">
        <v>15000</v>
      </c>
      <c r="G5945" s="501">
        <v>0</v>
      </c>
      <c r="H5945" t="s">
        <v>1318</v>
      </c>
      <c r="I5945" s="499" t="s">
        <v>296</v>
      </c>
      <c r="K5945" s="370"/>
      <c r="N5945" s="370"/>
    </row>
    <row r="5946" spans="1:14" s="347" customFormat="1" x14ac:dyDescent="0.25">
      <c r="A5946" s="495">
        <f>+A5945</f>
        <v>44509</v>
      </c>
      <c r="B5946" s="496">
        <f>+MONTH(A5946)</f>
        <v>11</v>
      </c>
      <c r="C5946" s="491">
        <v>3110</v>
      </c>
      <c r="D5946" s="492" t="str">
        <f>VLOOKUP(C5946,Plan!A$1:B$65542,2,0)</f>
        <v>Colectas Normales</v>
      </c>
      <c r="E5946" s="497">
        <f>+F5946-G5946</f>
        <v>-15000</v>
      </c>
      <c r="F5946" s="493">
        <v>0</v>
      </c>
      <c r="G5946" s="501">
        <f>+F5945</f>
        <v>15000</v>
      </c>
      <c r="H5946" t="str">
        <f>+H5945</f>
        <v>Colecta Jaime Andres Court Viviani</v>
      </c>
      <c r="I5946" s="499" t="s">
        <v>296</v>
      </c>
      <c r="K5946" s="370"/>
      <c r="N5946" s="370"/>
    </row>
    <row r="5947" spans="1:14" s="347" customFormat="1" x14ac:dyDescent="0.25">
      <c r="A5947" s="369"/>
      <c r="E5947" s="396"/>
      <c r="F5947" s="396"/>
      <c r="G5947" s="396"/>
      <c r="K5947" s="370"/>
      <c r="N5947" s="370"/>
    </row>
    <row r="5948" spans="1:14" s="347" customFormat="1" x14ac:dyDescent="0.25">
      <c r="A5948" s="495">
        <v>44509</v>
      </c>
      <c r="B5948" s="496">
        <f>+MONTH(A5948)</f>
        <v>11</v>
      </c>
      <c r="C5948" s="491">
        <v>110</v>
      </c>
      <c r="D5948" s="492" t="str">
        <f>VLOOKUP(C5948,Plan!A$1:B$65542,2,0)</f>
        <v>Disponible Administración</v>
      </c>
      <c r="E5948" s="497">
        <f>+F5948-G5948</f>
        <v>30000</v>
      </c>
      <c r="F5948" s="493">
        <v>30000</v>
      </c>
      <c r="G5948" s="501">
        <v>0</v>
      </c>
      <c r="H5948" t="s">
        <v>737</v>
      </c>
      <c r="I5948" s="499" t="s">
        <v>296</v>
      </c>
      <c r="K5948" s="370"/>
      <c r="N5948" s="370"/>
    </row>
    <row r="5949" spans="1:14" s="347" customFormat="1" x14ac:dyDescent="0.25">
      <c r="A5949" s="495">
        <f>+A5948</f>
        <v>44509</v>
      </c>
      <c r="B5949" s="496">
        <f>+MONTH(A5949)</f>
        <v>11</v>
      </c>
      <c r="C5949" s="491">
        <v>215</v>
      </c>
      <c r="D5949" s="492" t="str">
        <f>VLOOKUP(C5949,Plan!A$1:B$65542,2,0)</f>
        <v>Cuenta por Pagar a Cali</v>
      </c>
      <c r="E5949" s="497">
        <f>+F5949-G5949</f>
        <v>-30000</v>
      </c>
      <c r="F5949" s="493">
        <v>0</v>
      </c>
      <c r="G5949" s="501">
        <f>+F5948</f>
        <v>30000</v>
      </c>
      <c r="H5949" t="str">
        <f>+H5948</f>
        <v>Jaime Andrés Court Viviani/249</v>
      </c>
      <c r="I5949" s="499" t="s">
        <v>296</v>
      </c>
      <c r="K5949" s="370"/>
      <c r="N5949" s="370"/>
    </row>
    <row r="5950" spans="1:14" s="347" customFormat="1" x14ac:dyDescent="0.25">
      <c r="A5950" s="369"/>
      <c r="E5950" s="396"/>
      <c r="F5950" s="396"/>
      <c r="G5950" s="396"/>
      <c r="K5950" s="370"/>
      <c r="N5950" s="370"/>
    </row>
    <row r="5951" spans="1:14" s="347" customFormat="1" x14ac:dyDescent="0.25">
      <c r="A5951" s="495">
        <v>44509</v>
      </c>
      <c r="B5951" s="496">
        <f>+MONTH(A5951)</f>
        <v>11</v>
      </c>
      <c r="C5951" s="491">
        <v>110</v>
      </c>
      <c r="D5951" s="492" t="str">
        <f>VLOOKUP(C5951,Plan!A$1:B$65542,2,0)</f>
        <v>Disponible Administración</v>
      </c>
      <c r="E5951" s="497">
        <f>+F5951-G5951</f>
        <v>32000</v>
      </c>
      <c r="F5951" s="493">
        <v>32000</v>
      </c>
      <c r="G5951" s="501">
        <v>0</v>
      </c>
      <c r="H5951" t="s">
        <v>2223</v>
      </c>
      <c r="I5951" s="499" t="s">
        <v>296</v>
      </c>
      <c r="K5951" s="370"/>
      <c r="N5951" s="370"/>
    </row>
    <row r="5952" spans="1:14" s="347" customFormat="1" x14ac:dyDescent="0.25">
      <c r="A5952" s="495">
        <f>+A5951</f>
        <v>44509</v>
      </c>
      <c r="B5952" s="496">
        <f>+MONTH(A5952)</f>
        <v>11</v>
      </c>
      <c r="C5952" s="491">
        <v>3453</v>
      </c>
      <c r="D5952" s="492" t="str">
        <f>VLOOKUP(C5952,Plan!A$1:B$65542,2,0)</f>
        <v>Cajas de navidad</v>
      </c>
      <c r="E5952" s="497">
        <f>+F5952-G5952</f>
        <v>-32000</v>
      </c>
      <c r="F5952" s="493">
        <v>0</v>
      </c>
      <c r="G5952" s="501">
        <f>+F5951</f>
        <v>32000</v>
      </c>
      <c r="H5952" t="str">
        <f>+H5951</f>
        <v>Caja Navidad Carmen Gloria</v>
      </c>
      <c r="I5952" s="499" t="s">
        <v>296</v>
      </c>
      <c r="K5952" s="370"/>
      <c r="N5952" s="370"/>
    </row>
    <row r="5953" spans="1:14" s="347" customFormat="1" x14ac:dyDescent="0.25">
      <c r="A5953" s="369"/>
      <c r="E5953" s="396"/>
      <c r="F5953" s="396"/>
      <c r="G5953" s="396"/>
      <c r="K5953" s="370"/>
      <c r="N5953" s="370"/>
    </row>
    <row r="5954" spans="1:14" s="347" customFormat="1" x14ac:dyDescent="0.25">
      <c r="A5954" s="495">
        <v>44509</v>
      </c>
      <c r="B5954" s="496">
        <f>+MONTH(A5954)</f>
        <v>11</v>
      </c>
      <c r="C5954" s="491">
        <v>110</v>
      </c>
      <c r="D5954" s="492" t="str">
        <f>VLOOKUP(C5954,Plan!A$1:B$65542,2,0)</f>
        <v>Disponible Administración</v>
      </c>
      <c r="E5954" s="497">
        <f>+F5954-G5954</f>
        <v>50000</v>
      </c>
      <c r="F5954" s="493">
        <v>50000</v>
      </c>
      <c r="G5954" s="501">
        <v>0</v>
      </c>
      <c r="H5954" t="s">
        <v>2224</v>
      </c>
      <c r="I5954" s="499" t="s">
        <v>296</v>
      </c>
      <c r="K5954" s="370"/>
      <c r="N5954" s="370"/>
    </row>
    <row r="5955" spans="1:14" s="347" customFormat="1" x14ac:dyDescent="0.25">
      <c r="A5955" s="495">
        <f>+A5954</f>
        <v>44509</v>
      </c>
      <c r="B5955" s="496">
        <f>+MONTH(A5955)</f>
        <v>11</v>
      </c>
      <c r="C5955" s="491">
        <v>3350</v>
      </c>
      <c r="D5955" s="492" t="str">
        <f>VLOOKUP(C5955,Plan!A$1:B$65542,2,0)</f>
        <v>Bautizos</v>
      </c>
      <c r="E5955" s="497">
        <f>+F5955-G5955</f>
        <v>-50000</v>
      </c>
      <c r="F5955" s="493">
        <v>0</v>
      </c>
      <c r="G5955" s="501">
        <f>+F5954</f>
        <v>50000</v>
      </c>
      <c r="H5955" t="str">
        <f>+H5954</f>
        <v>Bautizo Daniela Constanza Thomsen Cornejo</v>
      </c>
      <c r="I5955" s="499" t="s">
        <v>296</v>
      </c>
      <c r="K5955" s="370"/>
      <c r="N5955" s="370"/>
    </row>
    <row r="5956" spans="1:14" s="347" customFormat="1" x14ac:dyDescent="0.25">
      <c r="A5956" s="369"/>
      <c r="E5956" s="396"/>
      <c r="F5956" s="396"/>
      <c r="G5956" s="396"/>
      <c r="K5956" s="370"/>
      <c r="N5956" s="370"/>
    </row>
    <row r="5957" spans="1:14" s="347" customFormat="1" x14ac:dyDescent="0.25">
      <c r="A5957" s="495">
        <v>44509</v>
      </c>
      <c r="B5957" s="496">
        <f>+MONTH(A5957)</f>
        <v>11</v>
      </c>
      <c r="C5957" s="491">
        <v>110</v>
      </c>
      <c r="D5957" s="492" t="str">
        <f>VLOOKUP(C5957,Plan!A$1:B$65542,2,0)</f>
        <v>Disponible Administración</v>
      </c>
      <c r="E5957" s="497">
        <f>+F5957-G5957</f>
        <v>394585</v>
      </c>
      <c r="F5957" s="493">
        <v>394585</v>
      </c>
      <c r="G5957" s="501">
        <v>0</v>
      </c>
      <c r="H5957" t="s">
        <v>2218</v>
      </c>
      <c r="I5957" s="499" t="s">
        <v>296</v>
      </c>
      <c r="K5957" s="370"/>
      <c r="N5957" s="370"/>
    </row>
    <row r="5958" spans="1:14" s="347" customFormat="1" x14ac:dyDescent="0.25">
      <c r="A5958" s="495">
        <f>+A5957</f>
        <v>44509</v>
      </c>
      <c r="B5958" s="496">
        <f>+MONTH(A5958)</f>
        <v>11</v>
      </c>
      <c r="C5958" s="491">
        <v>3453</v>
      </c>
      <c r="D5958" s="492" t="str">
        <f>VLOOKUP(C5958,Plan!A$1:B$65542,2,0)</f>
        <v>Cajas de navidad</v>
      </c>
      <c r="E5958" s="497">
        <f>+F5958-G5958</f>
        <v>-394585</v>
      </c>
      <c r="F5958" s="493">
        <v>0</v>
      </c>
      <c r="G5958" s="501">
        <f>+F5957</f>
        <v>394585</v>
      </c>
      <c r="H5958" t="str">
        <f>+H5957</f>
        <v>Caja Navidad POS</v>
      </c>
      <c r="I5958" s="499" t="s">
        <v>296</v>
      </c>
      <c r="K5958" s="370"/>
      <c r="N5958" s="370"/>
    </row>
    <row r="5959" spans="1:14" s="347" customFormat="1" x14ac:dyDescent="0.25">
      <c r="A5959" s="369"/>
      <c r="E5959" s="396"/>
      <c r="F5959" s="396"/>
      <c r="G5959" s="396"/>
      <c r="K5959" s="370"/>
      <c r="N5959" s="370"/>
    </row>
    <row r="5960" spans="1:14" s="347" customFormat="1" x14ac:dyDescent="0.25">
      <c r="A5960" s="495">
        <v>44509</v>
      </c>
      <c r="B5960" s="496">
        <f>+MONTH(A5960)</f>
        <v>11</v>
      </c>
      <c r="C5960" s="491">
        <v>110</v>
      </c>
      <c r="D5960" s="492" t="str">
        <f>VLOOKUP(C5960,Plan!A$1:B$65542,2,0)</f>
        <v>Disponible Administración</v>
      </c>
      <c r="E5960" s="497">
        <f>+F5960-G5960</f>
        <v>64000</v>
      </c>
      <c r="F5960" s="493">
        <v>64000</v>
      </c>
      <c r="G5960" s="501">
        <v>0</v>
      </c>
      <c r="H5960" t="s">
        <v>2225</v>
      </c>
      <c r="I5960" s="499" t="s">
        <v>296</v>
      </c>
      <c r="K5960" s="370"/>
      <c r="N5960" s="370"/>
    </row>
    <row r="5961" spans="1:14" s="347" customFormat="1" x14ac:dyDescent="0.25">
      <c r="A5961" s="495">
        <f>+A5960</f>
        <v>44509</v>
      </c>
      <c r="B5961" s="496">
        <f>+MONTH(A5961)</f>
        <v>11</v>
      </c>
      <c r="C5961" s="491">
        <v>3453</v>
      </c>
      <c r="D5961" s="492" t="str">
        <f>VLOOKUP(C5961,Plan!A$1:B$65542,2,0)</f>
        <v>Cajas de navidad</v>
      </c>
      <c r="E5961" s="497">
        <f>+F5961-G5961</f>
        <v>-64000</v>
      </c>
      <c r="F5961" s="493">
        <v>0</v>
      </c>
      <c r="G5961" s="501">
        <f>+F5960</f>
        <v>64000</v>
      </c>
      <c r="H5961" t="str">
        <f>+H5960</f>
        <v>Caja Navidad Francisca Santiago Livesey</v>
      </c>
      <c r="I5961" s="499" t="s">
        <v>296</v>
      </c>
      <c r="K5961" s="370"/>
      <c r="N5961" s="370"/>
    </row>
    <row r="5962" spans="1:14" s="347" customFormat="1" x14ac:dyDescent="0.25">
      <c r="A5962" s="369"/>
      <c r="E5962" s="396"/>
      <c r="F5962" s="396"/>
      <c r="G5962" s="396"/>
      <c r="K5962" s="370"/>
      <c r="N5962" s="370"/>
    </row>
    <row r="5963" spans="1:14" s="347" customFormat="1" x14ac:dyDescent="0.25">
      <c r="A5963" s="495">
        <v>44509</v>
      </c>
      <c r="B5963" s="496">
        <f>+MONTH(A5963)</f>
        <v>11</v>
      </c>
      <c r="C5963" s="491">
        <v>110</v>
      </c>
      <c r="D5963" s="492" t="str">
        <f>VLOOKUP(C5963,Plan!A$1:B$65542,2,0)</f>
        <v>Disponible Administración</v>
      </c>
      <c r="E5963" s="497">
        <f>+F5963-G5963</f>
        <v>64000</v>
      </c>
      <c r="F5963" s="493">
        <v>64000</v>
      </c>
      <c r="G5963" s="501">
        <v>0</v>
      </c>
      <c r="H5963" t="s">
        <v>2226</v>
      </c>
      <c r="I5963" s="499" t="s">
        <v>296</v>
      </c>
      <c r="K5963" s="370"/>
      <c r="N5963" s="370"/>
    </row>
    <row r="5964" spans="1:14" s="347" customFormat="1" x14ac:dyDescent="0.25">
      <c r="A5964" s="495">
        <f>+A5963</f>
        <v>44509</v>
      </c>
      <c r="B5964" s="496">
        <f>+MONTH(A5964)</f>
        <v>11</v>
      </c>
      <c r="C5964" s="491">
        <v>3453</v>
      </c>
      <c r="D5964" s="492" t="str">
        <f>VLOOKUP(C5964,Plan!A$1:B$65542,2,0)</f>
        <v>Cajas de navidad</v>
      </c>
      <c r="E5964" s="497">
        <f>+F5964-G5964</f>
        <v>-64000</v>
      </c>
      <c r="F5964" s="493">
        <v>0</v>
      </c>
      <c r="G5964" s="501">
        <f>+F5963</f>
        <v>64000</v>
      </c>
      <c r="H5964" t="str">
        <f>+H5963</f>
        <v>Caja Navidad Cecilia Lilian Capujto Plaza</v>
      </c>
      <c r="I5964" s="499" t="s">
        <v>296</v>
      </c>
      <c r="K5964" s="370"/>
      <c r="N5964" s="370"/>
    </row>
    <row r="5965" spans="1:14" s="347" customFormat="1" x14ac:dyDescent="0.25">
      <c r="A5965" s="369"/>
      <c r="E5965" s="396"/>
      <c r="F5965" s="396"/>
      <c r="G5965" s="396"/>
      <c r="K5965" s="370"/>
      <c r="N5965" s="370"/>
    </row>
    <row r="5966" spans="1:14" s="347" customFormat="1" x14ac:dyDescent="0.25">
      <c r="A5966" s="495">
        <v>44509</v>
      </c>
      <c r="B5966" s="496">
        <f>+MONTH(A5966)</f>
        <v>11</v>
      </c>
      <c r="C5966" s="491">
        <v>110</v>
      </c>
      <c r="D5966" s="492" t="str">
        <f>VLOOKUP(C5966,Plan!A$1:B$65542,2,0)</f>
        <v>Disponible Administración</v>
      </c>
      <c r="E5966" s="497">
        <f>+F5966-G5966</f>
        <v>64000</v>
      </c>
      <c r="F5966" s="493">
        <v>64000</v>
      </c>
      <c r="G5966" s="501">
        <v>0</v>
      </c>
      <c r="H5966" t="s">
        <v>2227</v>
      </c>
      <c r="I5966" s="499" t="s">
        <v>296</v>
      </c>
      <c r="K5966" s="370"/>
      <c r="N5966" s="370"/>
    </row>
    <row r="5967" spans="1:14" s="347" customFormat="1" x14ac:dyDescent="0.25">
      <c r="A5967" s="495">
        <f>+A5966</f>
        <v>44509</v>
      </c>
      <c r="B5967" s="496">
        <f>+MONTH(A5967)</f>
        <v>11</v>
      </c>
      <c r="C5967" s="491">
        <v>3453</v>
      </c>
      <c r="D5967" s="492" t="str">
        <f>VLOOKUP(C5967,Plan!A$1:B$65542,2,0)</f>
        <v>Cajas de navidad</v>
      </c>
      <c r="E5967" s="497">
        <f>+F5967-G5967</f>
        <v>-64000</v>
      </c>
      <c r="F5967" s="493">
        <v>0</v>
      </c>
      <c r="G5967" s="501">
        <f>+F5966</f>
        <v>64000</v>
      </c>
      <c r="H5967" t="str">
        <f>+H5966</f>
        <v>Caja Navidad Lorena Isabel Hirmas Adams</v>
      </c>
      <c r="I5967" s="499" t="s">
        <v>296</v>
      </c>
      <c r="K5967" s="370"/>
      <c r="N5967" s="370"/>
    </row>
    <row r="5968" spans="1:14" s="347" customFormat="1" x14ac:dyDescent="0.25">
      <c r="A5968" s="369"/>
      <c r="E5968" s="396"/>
      <c r="F5968" s="396"/>
      <c r="G5968" s="396"/>
      <c r="K5968" s="370"/>
      <c r="N5968" s="370"/>
    </row>
    <row r="5969" spans="1:14" s="347" customFormat="1" x14ac:dyDescent="0.25">
      <c r="A5969" s="495">
        <v>44509</v>
      </c>
      <c r="B5969" s="496">
        <f>+MONTH(A5969)</f>
        <v>11</v>
      </c>
      <c r="C5969" s="491">
        <v>110</v>
      </c>
      <c r="D5969" s="492" t="str">
        <f>VLOOKUP(C5969,Plan!A$1:B$65542,2,0)</f>
        <v>Disponible Administración</v>
      </c>
      <c r="E5969" s="497">
        <f>+F5969-G5969</f>
        <v>32000</v>
      </c>
      <c r="F5969" s="493">
        <v>32000</v>
      </c>
      <c r="G5969" s="501">
        <v>0</v>
      </c>
      <c r="H5969" t="s">
        <v>2228</v>
      </c>
      <c r="I5969" s="499" t="s">
        <v>296</v>
      </c>
      <c r="K5969" s="370"/>
      <c r="N5969" s="370"/>
    </row>
    <row r="5970" spans="1:14" s="347" customFormat="1" x14ac:dyDescent="0.25">
      <c r="A5970" s="495">
        <f>+A5969</f>
        <v>44509</v>
      </c>
      <c r="B5970" s="496">
        <f>+MONTH(A5970)</f>
        <v>11</v>
      </c>
      <c r="C5970" s="491">
        <v>3453</v>
      </c>
      <c r="D5970" s="492" t="str">
        <f>VLOOKUP(C5970,Plan!A$1:B$65542,2,0)</f>
        <v>Cajas de navidad</v>
      </c>
      <c r="E5970" s="497">
        <f>+F5970-G5970</f>
        <v>-32000</v>
      </c>
      <c r="F5970" s="493">
        <v>0</v>
      </c>
      <c r="G5970" s="501">
        <f>+F5969</f>
        <v>32000</v>
      </c>
      <c r="H5970" t="str">
        <f>+H5969</f>
        <v>Caja Navidad Catalina Patricia Rodriguez Merino</v>
      </c>
      <c r="I5970" s="499" t="s">
        <v>296</v>
      </c>
      <c r="K5970" s="370"/>
      <c r="N5970" s="370"/>
    </row>
    <row r="5971" spans="1:14" s="347" customFormat="1" x14ac:dyDescent="0.25">
      <c r="A5971" s="369"/>
      <c r="E5971" s="396"/>
      <c r="F5971" s="396"/>
      <c r="G5971" s="396"/>
      <c r="K5971" s="370"/>
      <c r="N5971" s="370"/>
    </row>
    <row r="5972" spans="1:14" s="347" customFormat="1" x14ac:dyDescent="0.25">
      <c r="A5972" s="495">
        <v>44510</v>
      </c>
      <c r="B5972" s="496">
        <f>+MONTH(A5972)</f>
        <v>11</v>
      </c>
      <c r="C5972" s="491">
        <v>110</v>
      </c>
      <c r="D5972" s="492" t="str">
        <f>VLOOKUP(C5972,Plan!A$1:B$65542,2,0)</f>
        <v>Disponible Administración</v>
      </c>
      <c r="E5972" s="497">
        <f>+F5972-G5972</f>
        <v>32000</v>
      </c>
      <c r="F5972" s="493">
        <v>32000</v>
      </c>
      <c r="G5972" s="501">
        <v>0</v>
      </c>
      <c r="H5972" t="s">
        <v>2229</v>
      </c>
      <c r="I5972" s="499" t="s">
        <v>296</v>
      </c>
      <c r="K5972" s="370"/>
      <c r="N5972" s="370"/>
    </row>
    <row r="5973" spans="1:14" s="347" customFormat="1" x14ac:dyDescent="0.25">
      <c r="A5973" s="495">
        <f>+A5972</f>
        <v>44510</v>
      </c>
      <c r="B5973" s="496">
        <f>+MONTH(A5973)</f>
        <v>11</v>
      </c>
      <c r="C5973" s="491">
        <v>3453</v>
      </c>
      <c r="D5973" s="492" t="str">
        <f>VLOOKUP(C5973,Plan!A$1:B$65542,2,0)</f>
        <v>Cajas de navidad</v>
      </c>
      <c r="E5973" s="497">
        <f>+F5973-G5973</f>
        <v>-32000</v>
      </c>
      <c r="F5973" s="493">
        <v>0</v>
      </c>
      <c r="G5973" s="501">
        <f>+F5972</f>
        <v>32000</v>
      </c>
      <c r="H5973" t="str">
        <f>+H5972</f>
        <v>Caja Navidad Ana Maria Toro Irarrazaval</v>
      </c>
      <c r="I5973" s="499" t="s">
        <v>296</v>
      </c>
      <c r="K5973" s="370"/>
      <c r="N5973" s="370"/>
    </row>
    <row r="5974" spans="1:14" s="347" customFormat="1" x14ac:dyDescent="0.25">
      <c r="A5974" s="369"/>
      <c r="E5974" s="396"/>
      <c r="F5974" s="396"/>
      <c r="G5974" s="396"/>
      <c r="K5974" s="370"/>
      <c r="N5974" s="370"/>
    </row>
    <row r="5975" spans="1:14" s="347" customFormat="1" x14ac:dyDescent="0.25">
      <c r="A5975" s="495">
        <v>44510</v>
      </c>
      <c r="B5975" s="496">
        <f>+MONTH(A5975)</f>
        <v>11</v>
      </c>
      <c r="C5975" s="491">
        <v>4324</v>
      </c>
      <c r="D5975" s="492" t="str">
        <f>VLOOKUP(C5975,Plan!A$1:B$65542,2,0)</f>
        <v>Gas</v>
      </c>
      <c r="E5975" s="497">
        <f>+F5975-G5975</f>
        <v>5141</v>
      </c>
      <c r="F5975" s="493">
        <v>5141</v>
      </c>
      <c r="G5975" s="501">
        <v>0</v>
      </c>
      <c r="H5975" t="s">
        <v>741</v>
      </c>
      <c r="I5975" s="499" t="s">
        <v>296</v>
      </c>
      <c r="K5975" s="370"/>
      <c r="N5975" s="370"/>
    </row>
    <row r="5976" spans="1:14" s="347" customFormat="1" x14ac:dyDescent="0.25">
      <c r="A5976" s="495">
        <f>+A5975</f>
        <v>44510</v>
      </c>
      <c r="B5976" s="496">
        <f>+MONTH(A5976)</f>
        <v>11</v>
      </c>
      <c r="C5976" s="491">
        <v>110</v>
      </c>
      <c r="D5976" s="492" t="str">
        <f>VLOOKUP(C5976,Plan!A$1:B$65542,2,0)</f>
        <v>Disponible Administración</v>
      </c>
      <c r="E5976" s="497">
        <f>+F5976-G5976</f>
        <v>-5141</v>
      </c>
      <c r="F5976" s="493">
        <v>0</v>
      </c>
      <c r="G5976" s="501">
        <f>+F5975</f>
        <v>5141</v>
      </c>
      <c r="H5976" t="str">
        <f>+H5975</f>
        <v>PAC Metrogas Oficina</v>
      </c>
      <c r="I5976" s="499" t="s">
        <v>296</v>
      </c>
      <c r="K5976" s="370"/>
      <c r="N5976" s="370"/>
    </row>
    <row r="5977" spans="1:14" s="347" customFormat="1" x14ac:dyDescent="0.25">
      <c r="A5977" s="369"/>
      <c r="E5977" s="396"/>
      <c r="F5977" s="396"/>
      <c r="G5977" s="396"/>
      <c r="K5977" s="370"/>
      <c r="N5977" s="370"/>
    </row>
    <row r="5978" spans="1:14" s="347" customFormat="1" x14ac:dyDescent="0.25">
      <c r="A5978" s="495">
        <v>44510</v>
      </c>
      <c r="B5978" s="496">
        <f>+MONTH(A5978)</f>
        <v>11</v>
      </c>
      <c r="C5978" s="491">
        <v>4323</v>
      </c>
      <c r="D5978" s="492" t="str">
        <f>VLOOKUP(C5978,Plan!A$1:B$65542,2,0)</f>
        <v>Telefonía, Internet (VTR, Entel)</v>
      </c>
      <c r="E5978" s="497">
        <f>+F5978-G5978</f>
        <v>35956</v>
      </c>
      <c r="F5978" s="493">
        <v>35956</v>
      </c>
      <c r="G5978" s="501">
        <v>0</v>
      </c>
      <c r="H5978" t="s">
        <v>1483</v>
      </c>
      <c r="I5978" s="499" t="s">
        <v>296</v>
      </c>
      <c r="K5978" s="370"/>
      <c r="N5978" s="370"/>
    </row>
    <row r="5979" spans="1:14" s="347" customFormat="1" x14ac:dyDescent="0.25">
      <c r="A5979" s="495">
        <f>+A5978</f>
        <v>44510</v>
      </c>
      <c r="B5979" s="496">
        <f>+MONTH(A5979)</f>
        <v>11</v>
      </c>
      <c r="C5979" s="491">
        <v>110</v>
      </c>
      <c r="D5979" s="492" t="str">
        <f>VLOOKUP(C5979,Plan!A$1:B$65542,2,0)</f>
        <v>Disponible Administración</v>
      </c>
      <c r="E5979" s="497">
        <f>+F5979-G5979</f>
        <v>-35956</v>
      </c>
      <c r="F5979" s="493">
        <v>0</v>
      </c>
      <c r="G5979" s="501">
        <f>+F5978</f>
        <v>35956</v>
      </c>
      <c r="H5979" t="str">
        <f>+H5978</f>
        <v>PAC VTR</v>
      </c>
      <c r="I5979" s="499" t="s">
        <v>296</v>
      </c>
      <c r="K5979" s="370"/>
      <c r="N5979" s="370"/>
    </row>
    <row r="5980" spans="1:14" s="347" customFormat="1" x14ac:dyDescent="0.25">
      <c r="A5980" s="369"/>
      <c r="E5980" s="396"/>
      <c r="F5980" s="396"/>
      <c r="G5980" s="396"/>
      <c r="K5980" s="370"/>
      <c r="N5980" s="370"/>
    </row>
    <row r="5981" spans="1:14" s="347" customFormat="1" x14ac:dyDescent="0.25">
      <c r="A5981" s="495">
        <v>44510</v>
      </c>
      <c r="B5981" s="496">
        <f>+MONTH(A5981)</f>
        <v>11</v>
      </c>
      <c r="C5981" s="491">
        <v>110</v>
      </c>
      <c r="D5981" s="492" t="str">
        <f>VLOOKUP(C5981,Plan!A$1:B$65542,2,0)</f>
        <v>Disponible Administración</v>
      </c>
      <c r="E5981" s="497">
        <f>+F5981-G5981</f>
        <v>557557</v>
      </c>
      <c r="F5981" s="493">
        <v>557557</v>
      </c>
      <c r="G5981" s="501">
        <v>0</v>
      </c>
      <c r="H5981" t="s">
        <v>2230</v>
      </c>
      <c r="I5981" s="499" t="s">
        <v>296</v>
      </c>
      <c r="K5981" s="370"/>
      <c r="N5981" s="370"/>
    </row>
    <row r="5982" spans="1:14" s="347" customFormat="1" x14ac:dyDescent="0.25">
      <c r="A5982" s="495">
        <f>+A5981</f>
        <v>44510</v>
      </c>
      <c r="B5982" s="496">
        <f>+MONTH(A5982)</f>
        <v>11</v>
      </c>
      <c r="C5982" s="491">
        <v>3453</v>
      </c>
      <c r="D5982" s="492" t="str">
        <f>VLOOKUP(C5982,Plan!A$1:B$65542,2,0)</f>
        <v>Cajas de navidad</v>
      </c>
      <c r="E5982" s="497">
        <f>+F5982-G5982</f>
        <v>-557557</v>
      </c>
      <c r="F5982" s="493">
        <v>0</v>
      </c>
      <c r="G5982" s="501">
        <f>+F5981</f>
        <v>557557</v>
      </c>
      <c r="H5982" t="str">
        <f>+H5981</f>
        <v>Caja Chica POS</v>
      </c>
      <c r="I5982" s="499" t="s">
        <v>296</v>
      </c>
      <c r="K5982" s="370"/>
      <c r="N5982" s="370"/>
    </row>
    <row r="5983" spans="1:14" s="347" customFormat="1" x14ac:dyDescent="0.25">
      <c r="A5983" s="369"/>
      <c r="E5983" s="396"/>
      <c r="F5983" s="396"/>
      <c r="G5983" s="396"/>
      <c r="K5983" s="370"/>
      <c r="N5983" s="370"/>
    </row>
    <row r="5984" spans="1:14" s="347" customFormat="1" x14ac:dyDescent="0.25">
      <c r="A5984" s="495">
        <v>44510</v>
      </c>
      <c r="B5984" s="496">
        <f>+MONTH(A5984)</f>
        <v>11</v>
      </c>
      <c r="C5984" s="491">
        <v>110</v>
      </c>
      <c r="D5984" s="492" t="str">
        <f>VLOOKUP(C5984,Plan!A$1:B$65542,2,0)</f>
        <v>Disponible Administración</v>
      </c>
      <c r="E5984" s="497">
        <f>+F5984-G5984</f>
        <v>19361</v>
      </c>
      <c r="F5984" s="493">
        <v>19361</v>
      </c>
      <c r="G5984" s="501">
        <v>0</v>
      </c>
      <c r="H5984" t="s">
        <v>897</v>
      </c>
      <c r="I5984" s="499" t="s">
        <v>296</v>
      </c>
      <c r="K5984" s="370"/>
      <c r="N5984" s="370"/>
    </row>
    <row r="5985" spans="1:14" s="347" customFormat="1" x14ac:dyDescent="0.25">
      <c r="A5985" s="495">
        <f>+A5984</f>
        <v>44510</v>
      </c>
      <c r="B5985" s="496">
        <f>+MONTH(A5985)</f>
        <v>11</v>
      </c>
      <c r="C5985" s="491">
        <v>3110</v>
      </c>
      <c r="D5985" s="492" t="str">
        <f>VLOOKUP(C5985,Plan!A$1:B$65542,2,0)</f>
        <v>Colectas Normales</v>
      </c>
      <c r="E5985" s="497">
        <f>+F5985-G5985</f>
        <v>-19361</v>
      </c>
      <c r="F5985" s="493">
        <v>0</v>
      </c>
      <c r="G5985" s="501">
        <f>+F5984</f>
        <v>19361</v>
      </c>
      <c r="H5985" t="str">
        <f>+H5984</f>
        <v>Colecta DCT</v>
      </c>
      <c r="I5985" s="499" t="s">
        <v>296</v>
      </c>
      <c r="K5985" s="370"/>
      <c r="N5985" s="370"/>
    </row>
    <row r="5986" spans="1:14" s="347" customFormat="1" x14ac:dyDescent="0.25">
      <c r="A5986" s="369"/>
      <c r="E5986" s="396"/>
      <c r="F5986" s="396"/>
      <c r="G5986" s="396"/>
      <c r="K5986" s="370"/>
      <c r="N5986" s="370"/>
    </row>
    <row r="5987" spans="1:14" s="347" customFormat="1" x14ac:dyDescent="0.25">
      <c r="A5987" s="495">
        <v>44510</v>
      </c>
      <c r="B5987" s="496">
        <f>+MONTH(A5987)</f>
        <v>11</v>
      </c>
      <c r="C5987" s="491">
        <v>110</v>
      </c>
      <c r="D5987" s="492" t="str">
        <f>VLOOKUP(C5987,Plan!A$1:B$65542,2,0)</f>
        <v>Disponible Administración</v>
      </c>
      <c r="E5987" s="497">
        <f>+F5987-G5987</f>
        <v>50000</v>
      </c>
      <c r="F5987" s="493">
        <v>50000</v>
      </c>
      <c r="G5987" s="501">
        <v>0</v>
      </c>
      <c r="H5987" t="s">
        <v>743</v>
      </c>
      <c r="I5987" s="499" t="s">
        <v>296</v>
      </c>
      <c r="K5987" s="370"/>
      <c r="N5987" s="370"/>
    </row>
    <row r="5988" spans="1:14" s="347" customFormat="1" x14ac:dyDescent="0.25">
      <c r="A5988" s="495">
        <f>+A5987</f>
        <v>44510</v>
      </c>
      <c r="B5988" s="496">
        <f>+MONTH(A5988)</f>
        <v>11</v>
      </c>
      <c r="C5988" s="491">
        <v>215</v>
      </c>
      <c r="D5988" s="492" t="str">
        <f>VLOOKUP(C5988,Plan!A$1:B$65542,2,0)</f>
        <v>Cuenta por Pagar a Cali</v>
      </c>
      <c r="E5988" s="497">
        <f>+F5988-G5988</f>
        <v>-50000</v>
      </c>
      <c r="F5988" s="493">
        <v>0</v>
      </c>
      <c r="G5988" s="501">
        <f>+F5987</f>
        <v>50000</v>
      </c>
      <c r="H5988" t="str">
        <f>+H5987</f>
        <v>Hugo Rosende Álvarez / 249</v>
      </c>
      <c r="I5988" s="499" t="s">
        <v>296</v>
      </c>
      <c r="K5988" s="370"/>
      <c r="N5988" s="370"/>
    </row>
    <row r="5989" spans="1:14" s="347" customFormat="1" x14ac:dyDescent="0.25">
      <c r="A5989" s="369"/>
      <c r="B5989" s="340"/>
      <c r="D5989" s="340"/>
      <c r="E5989" s="341"/>
      <c r="F5989" s="396"/>
      <c r="G5989" s="396"/>
      <c r="I5989" s="340"/>
      <c r="K5989" s="370"/>
      <c r="N5989" s="370"/>
    </row>
    <row r="5990" spans="1:14" s="347" customFormat="1" x14ac:dyDescent="0.25">
      <c r="A5990" s="503">
        <v>44510</v>
      </c>
      <c r="B5990" s="504">
        <f>+MONTH(A5990)</f>
        <v>11</v>
      </c>
      <c r="C5990" s="505">
        <v>110</v>
      </c>
      <c r="D5990" s="504" t="str">
        <f>VLOOKUP(C5990,Plan!A$1:B$65542,2,0)</f>
        <v>Disponible Administración</v>
      </c>
      <c r="E5990" s="506">
        <f>+F5990-G5990</f>
        <v>64000</v>
      </c>
      <c r="F5990" s="508">
        <v>64000</v>
      </c>
      <c r="G5990" s="512">
        <v>0</v>
      </c>
      <c r="H5990" s="338" t="s">
        <v>2231</v>
      </c>
      <c r="I5990" s="507" t="s">
        <v>296</v>
      </c>
      <c r="K5990" s="370"/>
      <c r="N5990" s="370"/>
    </row>
    <row r="5991" spans="1:14" s="347" customFormat="1" x14ac:dyDescent="0.25">
      <c r="A5991" s="495">
        <f>+A5990</f>
        <v>44510</v>
      </c>
      <c r="B5991" s="496">
        <f>+MONTH(A5991)</f>
        <v>11</v>
      </c>
      <c r="C5991" s="491">
        <v>3453</v>
      </c>
      <c r="D5991" s="492" t="str">
        <f>VLOOKUP(C5991,Plan!A$1:B$65542,2,0)</f>
        <v>Cajas de navidad</v>
      </c>
      <c r="E5991" s="497">
        <f>+F5991-G5991</f>
        <v>-64000</v>
      </c>
      <c r="F5991" s="493">
        <v>0</v>
      </c>
      <c r="G5991" s="501">
        <f>+F5990</f>
        <v>64000</v>
      </c>
      <c r="H5991" t="str">
        <f>+H5990</f>
        <v>Caja Navidad Maria Francisca Stranger</v>
      </c>
      <c r="I5991" s="499" t="s">
        <v>296</v>
      </c>
      <c r="K5991" s="370"/>
      <c r="N5991" s="370"/>
    </row>
    <row r="5992" spans="1:14" s="347" customFormat="1" x14ac:dyDescent="0.25">
      <c r="A5992" s="369"/>
      <c r="E5992" s="396"/>
      <c r="F5992" s="396"/>
      <c r="G5992" s="396"/>
      <c r="K5992" s="370"/>
      <c r="N5992" s="370"/>
    </row>
    <row r="5993" spans="1:14" s="347" customFormat="1" x14ac:dyDescent="0.25">
      <c r="A5993" s="503">
        <v>44510</v>
      </c>
      <c r="B5993" s="504">
        <f>+MONTH(A5993)</f>
        <v>11</v>
      </c>
      <c r="C5993" s="505">
        <v>110</v>
      </c>
      <c r="D5993" s="504" t="str">
        <f>VLOOKUP(C5993,Plan!A$1:B$65542,2,0)</f>
        <v>Disponible Administración</v>
      </c>
      <c r="E5993" s="506">
        <f>+F5993-G5993</f>
        <v>20000</v>
      </c>
      <c r="F5993" s="508">
        <v>20000</v>
      </c>
      <c r="G5993" s="512">
        <v>0</v>
      </c>
      <c r="H5993" s="338" t="s">
        <v>2232</v>
      </c>
      <c r="I5993" s="507" t="s">
        <v>296</v>
      </c>
      <c r="K5993" s="370"/>
      <c r="N5993" s="370"/>
    </row>
    <row r="5994" spans="1:14" s="347" customFormat="1" x14ac:dyDescent="0.25">
      <c r="A5994" s="495">
        <f>+A5993</f>
        <v>44510</v>
      </c>
      <c r="B5994" s="496">
        <f>+MONTH(A5994)</f>
        <v>11</v>
      </c>
      <c r="C5994" s="491">
        <v>3350</v>
      </c>
      <c r="D5994" s="492" t="str">
        <f>VLOOKUP(C5994,Plan!A$1:B$65542,2,0)</f>
        <v>Bautizos</v>
      </c>
      <c r="E5994" s="497">
        <f>+F5994-G5994</f>
        <v>-20000</v>
      </c>
      <c r="F5994" s="493">
        <v>0</v>
      </c>
      <c r="G5994" s="501">
        <f>+F5993</f>
        <v>20000</v>
      </c>
      <c r="H5994" t="str">
        <f>+H5993</f>
        <v>Bautiizo Veronica Burnier</v>
      </c>
      <c r="I5994" s="499" t="s">
        <v>296</v>
      </c>
      <c r="K5994" s="370"/>
      <c r="N5994" s="370"/>
    </row>
    <row r="5995" spans="1:14" s="347" customFormat="1" x14ac:dyDescent="0.25">
      <c r="A5995" s="369"/>
      <c r="E5995" s="396"/>
      <c r="F5995" s="396"/>
      <c r="G5995" s="396"/>
      <c r="K5995" s="370"/>
      <c r="N5995" s="370"/>
    </row>
    <row r="5996" spans="1:14" s="347" customFormat="1" x14ac:dyDescent="0.25">
      <c r="A5996" s="503">
        <v>44510</v>
      </c>
      <c r="B5996" s="504">
        <f>+MONTH(A5996)</f>
        <v>11</v>
      </c>
      <c r="C5996" s="505">
        <v>110</v>
      </c>
      <c r="D5996" s="504" t="str">
        <f>VLOOKUP(C5996,Plan!A$1:B$65542,2,0)</f>
        <v>Disponible Administración</v>
      </c>
      <c r="E5996" s="506">
        <f>+F5996-G5996</f>
        <v>16000</v>
      </c>
      <c r="F5996" s="508">
        <v>16000</v>
      </c>
      <c r="G5996" s="512">
        <v>0</v>
      </c>
      <c r="H5996" t="s">
        <v>1936</v>
      </c>
      <c r="I5996" s="507" t="s">
        <v>296</v>
      </c>
      <c r="K5996" s="370"/>
      <c r="N5996" s="370"/>
    </row>
    <row r="5997" spans="1:14" s="347" customFormat="1" x14ac:dyDescent="0.25">
      <c r="A5997" s="495">
        <f>+A5996</f>
        <v>44510</v>
      </c>
      <c r="B5997" s="496">
        <f>+MONTH(A5997)</f>
        <v>11</v>
      </c>
      <c r="C5997" s="491">
        <v>3110</v>
      </c>
      <c r="D5997" s="492" t="str">
        <f>VLOOKUP(C5997,Plan!A$1:B$65542,2,0)</f>
        <v>Colectas Normales</v>
      </c>
      <c r="E5997" s="497">
        <f>+F5997-G5997</f>
        <v>-16000</v>
      </c>
      <c r="F5997" s="493">
        <v>0</v>
      </c>
      <c r="G5997" s="501">
        <f>+F5996</f>
        <v>16000</v>
      </c>
      <c r="H5997" t="str">
        <f>+H5996</f>
        <v>Colecta Col.Cordillera</v>
      </c>
      <c r="I5997" s="499" t="s">
        <v>296</v>
      </c>
      <c r="K5997" s="370"/>
      <c r="N5997" s="370"/>
    </row>
    <row r="5998" spans="1:14" s="347" customFormat="1" x14ac:dyDescent="0.25">
      <c r="A5998" s="369"/>
      <c r="E5998" s="396"/>
      <c r="F5998" s="396"/>
      <c r="G5998" s="396"/>
      <c r="K5998" s="370"/>
      <c r="N5998" s="370"/>
    </row>
    <row r="5999" spans="1:14" s="347" customFormat="1" x14ac:dyDescent="0.25">
      <c r="A5999" s="503">
        <v>44510</v>
      </c>
      <c r="B5999" s="504">
        <f>+MONTH(A5999)</f>
        <v>11</v>
      </c>
      <c r="C5999" s="505">
        <v>110</v>
      </c>
      <c r="D5999" s="504" t="str">
        <f>VLOOKUP(C5999,Plan!A$1:B$65542,2,0)</f>
        <v>Disponible Administración</v>
      </c>
      <c r="E5999" s="506">
        <f>+F5999-G5999</f>
        <v>3000</v>
      </c>
      <c r="F5999" s="508">
        <v>3000</v>
      </c>
      <c r="G5999" s="512">
        <v>0</v>
      </c>
      <c r="H5999" t="s">
        <v>2233</v>
      </c>
      <c r="I5999" s="507" t="s">
        <v>296</v>
      </c>
      <c r="K5999" s="370"/>
      <c r="N5999" s="370"/>
    </row>
    <row r="6000" spans="1:14" s="347" customFormat="1" x14ac:dyDescent="0.25">
      <c r="A6000" s="495">
        <f>+A5999</f>
        <v>44510</v>
      </c>
      <c r="B6000" s="496">
        <f>+MONTH(A6000)</f>
        <v>11</v>
      </c>
      <c r="C6000" s="491">
        <v>3350</v>
      </c>
      <c r="D6000" s="492" t="str">
        <f>VLOOKUP(C6000,Plan!A$1:B$65542,2,0)</f>
        <v>Bautizos</v>
      </c>
      <c r="E6000" s="497">
        <f>+F6000-G6000</f>
        <v>-3000</v>
      </c>
      <c r="F6000" s="493">
        <v>0</v>
      </c>
      <c r="G6000" s="501">
        <f>+F5999</f>
        <v>3000</v>
      </c>
      <c r="H6000" t="str">
        <f>+H5999</f>
        <v>Bautizo Rodrigo Arrieta</v>
      </c>
      <c r="I6000" s="499" t="s">
        <v>296</v>
      </c>
      <c r="K6000" s="370"/>
      <c r="N6000" s="370"/>
    </row>
    <row r="6001" spans="1:14" s="347" customFormat="1" x14ac:dyDescent="0.25">
      <c r="A6001" s="369"/>
      <c r="E6001" s="396"/>
      <c r="F6001" s="396"/>
      <c r="G6001" s="396"/>
      <c r="K6001" s="370"/>
      <c r="N6001" s="370"/>
    </row>
    <row r="6002" spans="1:14" s="347" customFormat="1" x14ac:dyDescent="0.25">
      <c r="A6002" s="503">
        <v>44510</v>
      </c>
      <c r="B6002" s="504">
        <f>+MONTH(A6002)</f>
        <v>11</v>
      </c>
      <c r="C6002" s="505">
        <v>110</v>
      </c>
      <c r="D6002" s="504" t="str">
        <f>VLOOKUP(C6002,Plan!A$1:B$65542,2,0)</f>
        <v>Disponible Administración</v>
      </c>
      <c r="E6002" s="506">
        <f>+F6002-G6002</f>
        <v>40000</v>
      </c>
      <c r="F6002" s="508">
        <v>40000</v>
      </c>
      <c r="G6002" s="512">
        <v>0</v>
      </c>
      <c r="H6002" t="s">
        <v>2234</v>
      </c>
      <c r="I6002" s="507" t="s">
        <v>296</v>
      </c>
      <c r="K6002" s="370"/>
      <c r="N6002" s="370"/>
    </row>
    <row r="6003" spans="1:14" s="347" customFormat="1" x14ac:dyDescent="0.25">
      <c r="A6003" s="495">
        <f>+A6002</f>
        <v>44510</v>
      </c>
      <c r="B6003" s="496">
        <f>+MONTH(A6003)</f>
        <v>11</v>
      </c>
      <c r="C6003" s="491">
        <v>3453</v>
      </c>
      <c r="D6003" s="492" t="str">
        <f>VLOOKUP(C6003,Plan!A$1:B$65542,2,0)</f>
        <v>Cajas de navidad</v>
      </c>
      <c r="E6003" s="497">
        <f>+F6003-G6003</f>
        <v>-40000</v>
      </c>
      <c r="F6003" s="493">
        <v>0</v>
      </c>
      <c r="G6003" s="501">
        <f>+F6002</f>
        <v>40000</v>
      </c>
      <c r="H6003" t="str">
        <f>+H6002</f>
        <v>Caja Navidad J.P.O´Ryan</v>
      </c>
      <c r="I6003" s="499" t="s">
        <v>296</v>
      </c>
      <c r="K6003" s="370"/>
      <c r="N6003" s="370"/>
    </row>
    <row r="6004" spans="1:14" s="347" customFormat="1" x14ac:dyDescent="0.25">
      <c r="A6004" s="369"/>
      <c r="E6004" s="396"/>
      <c r="F6004" s="396"/>
      <c r="G6004" s="396"/>
      <c r="K6004" s="370"/>
      <c r="N6004" s="370"/>
    </row>
    <row r="6005" spans="1:14" s="347" customFormat="1" x14ac:dyDescent="0.25">
      <c r="A6005" s="503">
        <v>44511</v>
      </c>
      <c r="B6005" s="504">
        <f>+MONTH(A6005)</f>
        <v>11</v>
      </c>
      <c r="C6005" s="505">
        <v>110</v>
      </c>
      <c r="D6005" s="504" t="str">
        <f>VLOOKUP(C6005,Plan!A$1:B$65542,2,0)</f>
        <v>Disponible Administración</v>
      </c>
      <c r="E6005" s="506">
        <f>+F6005-G6005</f>
        <v>35000</v>
      </c>
      <c r="F6005" s="508">
        <v>35000</v>
      </c>
      <c r="G6005" s="512">
        <v>0</v>
      </c>
      <c r="H6005" t="s">
        <v>1902</v>
      </c>
      <c r="I6005" s="507" t="s">
        <v>296</v>
      </c>
      <c r="K6005" s="370"/>
      <c r="N6005" s="370"/>
    </row>
    <row r="6006" spans="1:14" s="347" customFormat="1" x14ac:dyDescent="0.25">
      <c r="A6006" s="495">
        <f>+A6005</f>
        <v>44511</v>
      </c>
      <c r="B6006" s="496">
        <f>+MONTH(A6006)</f>
        <v>11</v>
      </c>
      <c r="C6006" s="491">
        <v>215</v>
      </c>
      <c r="D6006" s="492" t="str">
        <f>VLOOKUP(C6006,Plan!A$1:B$65542,2,0)</f>
        <v>Cuenta por Pagar a Cali</v>
      </c>
      <c r="E6006" s="497">
        <f>+F6006-G6006</f>
        <v>-35000</v>
      </c>
      <c r="F6006" s="493">
        <v>0</v>
      </c>
      <c r="G6006" s="501">
        <f>+F6005</f>
        <v>35000</v>
      </c>
      <c r="H6006" t="str">
        <f>+H6005</f>
        <v>María de los Ángeles Herrera Soler/249</v>
      </c>
      <c r="I6006" s="499" t="s">
        <v>296</v>
      </c>
      <c r="K6006" s="370"/>
      <c r="N6006" s="370"/>
    </row>
    <row r="6007" spans="1:14" s="347" customFormat="1" x14ac:dyDescent="0.25">
      <c r="A6007" s="369"/>
      <c r="E6007" s="396"/>
      <c r="F6007" s="396"/>
      <c r="G6007" s="396"/>
      <c r="K6007" s="370"/>
      <c r="N6007" s="370"/>
    </row>
    <row r="6008" spans="1:14" s="347" customFormat="1" x14ac:dyDescent="0.25">
      <c r="A6008" s="503">
        <v>44511</v>
      </c>
      <c r="B6008" s="504">
        <f>+MONTH(A6008)</f>
        <v>11</v>
      </c>
      <c r="C6008" s="505">
        <v>110</v>
      </c>
      <c r="D6008" s="504" t="str">
        <f>VLOOKUP(C6008,Plan!A$1:B$65542,2,0)</f>
        <v>Disponible Administración</v>
      </c>
      <c r="E6008" s="506">
        <f>+F6008-G6008</f>
        <v>64000</v>
      </c>
      <c r="F6008" s="508">
        <v>64000</v>
      </c>
      <c r="G6008" s="512">
        <v>0</v>
      </c>
      <c r="H6008" t="s">
        <v>2235</v>
      </c>
      <c r="I6008" s="507" t="s">
        <v>296</v>
      </c>
      <c r="K6008" s="370"/>
      <c r="N6008" s="370"/>
    </row>
    <row r="6009" spans="1:14" s="347" customFormat="1" x14ac:dyDescent="0.25">
      <c r="A6009" s="495">
        <f>+A6008</f>
        <v>44511</v>
      </c>
      <c r="B6009" s="496">
        <f>+MONTH(A6009)</f>
        <v>11</v>
      </c>
      <c r="C6009" s="491">
        <v>3453</v>
      </c>
      <c r="D6009" s="492" t="str">
        <f>VLOOKUP(C6009,Plan!A$1:B$65542,2,0)</f>
        <v>Cajas de navidad</v>
      </c>
      <c r="E6009" s="497">
        <f>+F6009-G6009</f>
        <v>-64000</v>
      </c>
      <c r="F6009" s="493">
        <v>0</v>
      </c>
      <c r="G6009" s="501">
        <f>+F6008</f>
        <v>64000</v>
      </c>
      <c r="H6009" t="str">
        <f>+H6008</f>
        <v>Caja Navidad Maria Angelica Brautigam Perez-villamil</v>
      </c>
      <c r="I6009" s="499" t="s">
        <v>296</v>
      </c>
      <c r="K6009" s="370"/>
      <c r="N6009" s="370"/>
    </row>
    <row r="6010" spans="1:14" s="347" customFormat="1" x14ac:dyDescent="0.25">
      <c r="A6010" s="369"/>
      <c r="E6010" s="396"/>
      <c r="F6010" s="396"/>
      <c r="G6010" s="396"/>
      <c r="K6010" s="370"/>
      <c r="N6010" s="370"/>
    </row>
    <row r="6011" spans="1:14" s="347" customFormat="1" x14ac:dyDescent="0.25">
      <c r="A6011" s="503">
        <v>44511</v>
      </c>
      <c r="B6011" s="504">
        <f>+MONTH(A6011)</f>
        <v>11</v>
      </c>
      <c r="C6011" s="505">
        <v>110</v>
      </c>
      <c r="D6011" s="504" t="str">
        <f>VLOOKUP(C6011,Plan!A$1:B$65542,2,0)</f>
        <v>Disponible Administración</v>
      </c>
      <c r="E6011" s="506">
        <f>+F6011-G6011</f>
        <v>5000</v>
      </c>
      <c r="F6011" s="508">
        <v>5000</v>
      </c>
      <c r="G6011" s="512">
        <v>0</v>
      </c>
      <c r="H6011" t="s">
        <v>2236</v>
      </c>
      <c r="I6011" s="507" t="s">
        <v>296</v>
      </c>
      <c r="K6011" s="370"/>
      <c r="N6011" s="370"/>
    </row>
    <row r="6012" spans="1:14" s="347" customFormat="1" x14ac:dyDescent="0.25">
      <c r="A6012" s="495">
        <f>+A6011</f>
        <v>44511</v>
      </c>
      <c r="B6012" s="496">
        <f>+MONTH(A6012)</f>
        <v>11</v>
      </c>
      <c r="C6012" s="491">
        <v>3340</v>
      </c>
      <c r="D6012" s="492" t="str">
        <f>VLOOKUP(C6012,Plan!A$1:B$65542,2,0)</f>
        <v>Misas</v>
      </c>
      <c r="E6012" s="497">
        <f>+F6012-G6012</f>
        <v>-5000</v>
      </c>
      <c r="F6012" s="493">
        <v>0</v>
      </c>
      <c r="G6012" s="501">
        <f>+F6011</f>
        <v>5000</v>
      </c>
      <c r="H6012" t="str">
        <f>+H6011</f>
        <v>Misa Carmen Gloria Gomez Perez</v>
      </c>
      <c r="I6012" s="499" t="s">
        <v>296</v>
      </c>
      <c r="K6012" s="370"/>
      <c r="N6012" s="370"/>
    </row>
    <row r="6013" spans="1:14" s="347" customFormat="1" x14ac:dyDescent="0.25">
      <c r="A6013" s="369"/>
      <c r="E6013" s="396"/>
      <c r="F6013" s="396"/>
      <c r="G6013" s="396"/>
      <c r="K6013" s="370"/>
      <c r="N6013" s="370"/>
    </row>
    <row r="6014" spans="1:14" s="347" customFormat="1" x14ac:dyDescent="0.25">
      <c r="A6014" s="503">
        <v>44511</v>
      </c>
      <c r="B6014" s="504">
        <f>+MONTH(A6014)</f>
        <v>11</v>
      </c>
      <c r="C6014" s="505">
        <v>110</v>
      </c>
      <c r="D6014" s="504" t="str">
        <f>VLOOKUP(C6014,Plan!A$1:B$65542,2,0)</f>
        <v>Disponible Administración</v>
      </c>
      <c r="E6014" s="506">
        <f>+F6014-G6014</f>
        <v>320000</v>
      </c>
      <c r="F6014" s="508">
        <v>320000</v>
      </c>
      <c r="G6014" s="512">
        <v>0</v>
      </c>
      <c r="H6014" t="s">
        <v>2237</v>
      </c>
      <c r="I6014" s="507" t="s">
        <v>296</v>
      </c>
      <c r="K6014" s="370"/>
      <c r="N6014" s="370"/>
    </row>
    <row r="6015" spans="1:14" s="347" customFormat="1" x14ac:dyDescent="0.25">
      <c r="A6015" s="495">
        <f>+A6014</f>
        <v>44511</v>
      </c>
      <c r="B6015" s="496">
        <f>+MONTH(A6015)</f>
        <v>11</v>
      </c>
      <c r="C6015" s="491">
        <v>3453</v>
      </c>
      <c r="D6015" s="492" t="str">
        <f>VLOOKUP(C6015,Plan!A$1:B$65542,2,0)</f>
        <v>Cajas de navidad</v>
      </c>
      <c r="E6015" s="497">
        <f>+F6015-G6015</f>
        <v>-320000</v>
      </c>
      <c r="F6015" s="493">
        <v>0</v>
      </c>
      <c r="G6015" s="501">
        <f>+F6014</f>
        <v>320000</v>
      </c>
      <c r="H6015" t="str">
        <f>+H6014</f>
        <v>Caja Navidad Jaime Carafi Melero</v>
      </c>
      <c r="I6015" s="499" t="s">
        <v>296</v>
      </c>
      <c r="K6015" s="370"/>
      <c r="N6015" s="370"/>
    </row>
    <row r="6016" spans="1:14" s="347" customFormat="1" x14ac:dyDescent="0.25">
      <c r="A6016" s="369"/>
      <c r="E6016" s="396"/>
      <c r="F6016" s="396"/>
      <c r="G6016" s="396"/>
      <c r="K6016" s="370"/>
      <c r="N6016" s="370"/>
    </row>
    <row r="6017" spans="1:14" s="347" customFormat="1" x14ac:dyDescent="0.25">
      <c r="A6017" s="503">
        <v>44511</v>
      </c>
      <c r="B6017" s="504">
        <f>+MONTH(A6017)</f>
        <v>11</v>
      </c>
      <c r="C6017" s="505">
        <v>110</v>
      </c>
      <c r="D6017" s="504" t="str">
        <f>VLOOKUP(C6017,Plan!A$1:B$65542,2,0)</f>
        <v>Disponible Administración</v>
      </c>
      <c r="E6017" s="506">
        <f>+F6017-G6017</f>
        <v>40000</v>
      </c>
      <c r="F6017" s="508">
        <v>40000</v>
      </c>
      <c r="G6017" s="512">
        <v>0</v>
      </c>
      <c r="H6017" t="s">
        <v>2238</v>
      </c>
      <c r="I6017" s="507" t="s">
        <v>296</v>
      </c>
      <c r="K6017" s="370"/>
      <c r="N6017" s="370"/>
    </row>
    <row r="6018" spans="1:14" s="347" customFormat="1" x14ac:dyDescent="0.25">
      <c r="A6018" s="495">
        <f>+A6017</f>
        <v>44511</v>
      </c>
      <c r="B6018" s="496">
        <f>+MONTH(A6018)</f>
        <v>11</v>
      </c>
      <c r="C6018" s="491">
        <v>3110</v>
      </c>
      <c r="D6018" s="492" t="str">
        <f>VLOOKUP(C6018,Plan!A$1:B$65542,2,0)</f>
        <v>Colectas Normales</v>
      </c>
      <c r="E6018" s="497">
        <f>+F6018-G6018</f>
        <v>-40000</v>
      </c>
      <c r="F6018" s="493">
        <v>0</v>
      </c>
      <c r="G6018" s="501">
        <f>+F6017</f>
        <v>40000</v>
      </c>
      <c r="H6018" t="str">
        <f>+H6017</f>
        <v>Colecta Jaime Carafi Melero</v>
      </c>
      <c r="I6018" s="499" t="s">
        <v>296</v>
      </c>
      <c r="K6018" s="370"/>
      <c r="N6018" s="370"/>
    </row>
    <row r="6019" spans="1:14" s="347" customFormat="1" x14ac:dyDescent="0.25">
      <c r="A6019" s="369"/>
      <c r="E6019" s="396"/>
      <c r="F6019" s="396"/>
      <c r="G6019" s="396"/>
      <c r="K6019" s="370"/>
      <c r="N6019" s="370"/>
    </row>
    <row r="6020" spans="1:14" s="347" customFormat="1" x14ac:dyDescent="0.25">
      <c r="A6020" s="503">
        <v>44511</v>
      </c>
      <c r="B6020" s="504">
        <f>+MONTH(A6020)</f>
        <v>11</v>
      </c>
      <c r="C6020" s="505">
        <v>110</v>
      </c>
      <c r="D6020" s="504" t="str">
        <f>VLOOKUP(C6020,Plan!A$1:B$65542,2,0)</f>
        <v>Disponible Administración</v>
      </c>
      <c r="E6020" s="506">
        <f>+F6020-G6020</f>
        <v>34286</v>
      </c>
      <c r="F6020" s="508">
        <v>34286</v>
      </c>
      <c r="G6020" s="512">
        <v>0</v>
      </c>
      <c r="H6020" t="s">
        <v>1338</v>
      </c>
      <c r="I6020" s="507" t="s">
        <v>296</v>
      </c>
      <c r="K6020" s="370"/>
      <c r="N6020" s="370"/>
    </row>
    <row r="6021" spans="1:14" s="347" customFormat="1" x14ac:dyDescent="0.25">
      <c r="A6021" s="495">
        <f>+A6020</f>
        <v>44511</v>
      </c>
      <c r="B6021" s="496">
        <f>+MONTH(A6021)</f>
        <v>11</v>
      </c>
      <c r="C6021" s="491">
        <v>3340</v>
      </c>
      <c r="D6021" s="492" t="str">
        <f>VLOOKUP(C6021,Plan!A$1:B$65542,2,0)</f>
        <v>Misas</v>
      </c>
      <c r="E6021" s="497">
        <f>+F6021-G6021</f>
        <v>-34286</v>
      </c>
      <c r="F6021" s="493">
        <v>0</v>
      </c>
      <c r="G6021" s="501">
        <f>+F6020</f>
        <v>34286</v>
      </c>
      <c r="H6021" t="str">
        <f>+H6020</f>
        <v>Misa DCT</v>
      </c>
      <c r="I6021" s="499" t="s">
        <v>296</v>
      </c>
      <c r="K6021" s="370"/>
      <c r="N6021" s="370"/>
    </row>
    <row r="6022" spans="1:14" s="347" customFormat="1" x14ac:dyDescent="0.25">
      <c r="A6022" s="369"/>
      <c r="E6022" s="396"/>
      <c r="F6022" s="396"/>
      <c r="G6022" s="396"/>
      <c r="K6022" s="370"/>
      <c r="N6022" s="370"/>
    </row>
    <row r="6023" spans="1:14" s="347" customFormat="1" x14ac:dyDescent="0.25">
      <c r="A6023" s="503">
        <v>44511</v>
      </c>
      <c r="B6023" s="504">
        <f>+MONTH(A6023)</f>
        <v>11</v>
      </c>
      <c r="C6023" s="505">
        <v>110</v>
      </c>
      <c r="D6023" s="504" t="str">
        <f>VLOOKUP(C6023,Plan!A$1:B$65542,2,0)</f>
        <v>Disponible Administración</v>
      </c>
      <c r="E6023" s="506">
        <f>+F6023-G6023</f>
        <v>49078</v>
      </c>
      <c r="F6023" s="508">
        <v>49078</v>
      </c>
      <c r="G6023" s="512">
        <v>0</v>
      </c>
      <c r="H6023" t="s">
        <v>2239</v>
      </c>
      <c r="I6023" s="507" t="s">
        <v>296</v>
      </c>
      <c r="K6023" s="370"/>
      <c r="N6023" s="370"/>
    </row>
    <row r="6024" spans="1:14" s="347" customFormat="1" x14ac:dyDescent="0.25">
      <c r="A6024" s="495">
        <f>+A6023</f>
        <v>44511</v>
      </c>
      <c r="B6024" s="496">
        <f>+MONTH(A6024)</f>
        <v>11</v>
      </c>
      <c r="C6024" s="491">
        <v>215</v>
      </c>
      <c r="D6024" s="492" t="str">
        <f>VLOOKUP(C6024,Plan!A$1:B$65542,2,0)</f>
        <v>Cuenta por Pagar a Cali</v>
      </c>
      <c r="E6024" s="497">
        <f>+F6024-G6024</f>
        <v>-49078</v>
      </c>
      <c r="F6024" s="493">
        <v>0</v>
      </c>
      <c r="G6024" s="501">
        <f>+F6023</f>
        <v>49078</v>
      </c>
      <c r="H6024" t="str">
        <f>+H6023</f>
        <v>María Sofía Wulf Le May ($50.000)</v>
      </c>
      <c r="I6024" s="499" t="s">
        <v>296</v>
      </c>
      <c r="K6024" s="370"/>
      <c r="N6024" s="370"/>
    </row>
    <row r="6025" spans="1:14" s="347" customFormat="1" x14ac:dyDescent="0.25">
      <c r="A6025" s="369"/>
      <c r="E6025" s="396"/>
      <c r="F6025" s="396"/>
      <c r="G6025" s="396"/>
      <c r="K6025" s="370"/>
      <c r="N6025" s="370"/>
    </row>
    <row r="6026" spans="1:14" s="347" customFormat="1" x14ac:dyDescent="0.25">
      <c r="A6026" s="503">
        <v>44511</v>
      </c>
      <c r="B6026" s="504">
        <f>+MONTH(A6026)</f>
        <v>11</v>
      </c>
      <c r="C6026" s="505">
        <v>110</v>
      </c>
      <c r="D6026" s="504" t="str">
        <f>VLOOKUP(C6026,Plan!A$1:B$65542,2,0)</f>
        <v>Disponible Administración</v>
      </c>
      <c r="E6026" s="506">
        <f>+F6026-G6026</f>
        <v>16686</v>
      </c>
      <c r="F6026" s="508">
        <v>16686</v>
      </c>
      <c r="G6026" s="512">
        <v>0</v>
      </c>
      <c r="H6026" t="s">
        <v>2240</v>
      </c>
      <c r="I6026" s="507" t="s">
        <v>296</v>
      </c>
      <c r="K6026" s="370"/>
      <c r="N6026" s="370"/>
    </row>
    <row r="6027" spans="1:14" s="347" customFormat="1" x14ac:dyDescent="0.25">
      <c r="A6027" s="495">
        <f>+A6026</f>
        <v>44511</v>
      </c>
      <c r="B6027" s="496">
        <f>+MONTH(A6027)</f>
        <v>11</v>
      </c>
      <c r="C6027" s="491">
        <v>215</v>
      </c>
      <c r="D6027" s="492" t="str">
        <f>VLOOKUP(C6027,Plan!A$1:B$65542,2,0)</f>
        <v>Cuenta por Pagar a Cali</v>
      </c>
      <c r="E6027" s="497">
        <f>+F6027-G6027</f>
        <v>-16686</v>
      </c>
      <c r="F6027" s="493">
        <v>0</v>
      </c>
      <c r="G6027" s="501">
        <f>+F6026</f>
        <v>16686</v>
      </c>
      <c r="H6027" t="str">
        <f>+H6026</f>
        <v>Maria Carolina Reyes Detmer ($17000)</v>
      </c>
      <c r="I6027" s="499" t="s">
        <v>296</v>
      </c>
      <c r="K6027" s="370"/>
      <c r="N6027" s="370"/>
    </row>
    <row r="6028" spans="1:14" s="347" customFormat="1" x14ac:dyDescent="0.25">
      <c r="A6028" s="369"/>
      <c r="E6028" s="396"/>
      <c r="F6028" s="396"/>
      <c r="G6028" s="396"/>
      <c r="K6028" s="370"/>
      <c r="N6028" s="370"/>
    </row>
    <row r="6029" spans="1:14" s="347" customFormat="1" x14ac:dyDescent="0.25">
      <c r="A6029" s="503">
        <v>44511</v>
      </c>
      <c r="B6029" s="504">
        <f>+MONTH(A6029)</f>
        <v>11</v>
      </c>
      <c r="C6029" s="505">
        <v>110</v>
      </c>
      <c r="D6029" s="504" t="str">
        <f>VLOOKUP(C6029,Plan!A$1:B$65542,2,0)</f>
        <v>Disponible Administración</v>
      </c>
      <c r="E6029" s="506">
        <f>+F6029-G6029</f>
        <v>64000</v>
      </c>
      <c r="F6029" s="508">
        <v>64000</v>
      </c>
      <c r="G6029" s="512">
        <v>0</v>
      </c>
      <c r="H6029" t="s">
        <v>2241</v>
      </c>
      <c r="I6029" s="507" t="s">
        <v>296</v>
      </c>
      <c r="K6029" s="370"/>
      <c r="N6029" s="370"/>
    </row>
    <row r="6030" spans="1:14" s="347" customFormat="1" x14ac:dyDescent="0.25">
      <c r="A6030" s="495">
        <f>+A6029</f>
        <v>44511</v>
      </c>
      <c r="B6030" s="496">
        <f>+MONTH(A6030)</f>
        <v>11</v>
      </c>
      <c r="C6030" s="491">
        <v>3453</v>
      </c>
      <c r="D6030" s="492" t="str">
        <f>VLOOKUP(C6030,Plan!A$1:B$65542,2,0)</f>
        <v>Cajas de navidad</v>
      </c>
      <c r="E6030" s="497">
        <f>+F6030-G6030</f>
        <v>-64000</v>
      </c>
      <c r="F6030" s="493">
        <v>0</v>
      </c>
      <c r="G6030" s="501">
        <f>+F6029</f>
        <v>64000</v>
      </c>
      <c r="H6030" t="str">
        <f>+H6029</f>
        <v>Caja Navidad Catalina Rodriguez Merino</v>
      </c>
      <c r="I6030" s="499" t="s">
        <v>296</v>
      </c>
      <c r="K6030" s="370"/>
      <c r="N6030" s="370"/>
    </row>
    <row r="6031" spans="1:14" s="347" customFormat="1" x14ac:dyDescent="0.25">
      <c r="A6031" s="369"/>
      <c r="E6031" s="396"/>
      <c r="F6031" s="396"/>
      <c r="G6031" s="396"/>
      <c r="K6031" s="370"/>
      <c r="N6031" s="370"/>
    </row>
    <row r="6032" spans="1:14" s="347" customFormat="1" x14ac:dyDescent="0.25">
      <c r="A6032" s="503">
        <v>44511</v>
      </c>
      <c r="B6032" s="504">
        <f>+MONTH(A6032)</f>
        <v>11</v>
      </c>
      <c r="C6032" s="505">
        <v>110</v>
      </c>
      <c r="D6032" s="504" t="str">
        <f>VLOOKUP(C6032,Plan!A$1:B$65542,2,0)</f>
        <v>Disponible Administración</v>
      </c>
      <c r="E6032" s="506">
        <f>+F6032-G6032</f>
        <v>20000</v>
      </c>
      <c r="F6032" s="508">
        <v>20000</v>
      </c>
      <c r="G6032" s="512">
        <v>0</v>
      </c>
      <c r="H6032" t="s">
        <v>2242</v>
      </c>
      <c r="I6032" s="507" t="s">
        <v>296</v>
      </c>
      <c r="K6032" s="370"/>
      <c r="N6032" s="370"/>
    </row>
    <row r="6033" spans="1:14" s="347" customFormat="1" x14ac:dyDescent="0.25">
      <c r="A6033" s="495">
        <f>+A6032</f>
        <v>44511</v>
      </c>
      <c r="B6033" s="496">
        <f>+MONTH(A6033)</f>
        <v>11</v>
      </c>
      <c r="C6033" s="491">
        <v>3350</v>
      </c>
      <c r="D6033" s="492" t="str">
        <f>VLOOKUP(C6033,Plan!A$1:B$65542,2,0)</f>
        <v>Bautizos</v>
      </c>
      <c r="E6033" s="497">
        <f>+F6033-G6033</f>
        <v>-20000</v>
      </c>
      <c r="F6033" s="493">
        <v>0</v>
      </c>
      <c r="G6033" s="501">
        <f>+F6032</f>
        <v>20000</v>
      </c>
      <c r="H6033" t="str">
        <f>+H6032</f>
        <v>Bautizo Francisco Sanhueza Prats</v>
      </c>
      <c r="I6033" s="499" t="s">
        <v>296</v>
      </c>
      <c r="K6033" s="370"/>
      <c r="N6033" s="370"/>
    </row>
    <row r="6034" spans="1:14" s="347" customFormat="1" x14ac:dyDescent="0.25">
      <c r="A6034" s="369"/>
      <c r="E6034" s="396"/>
      <c r="F6034" s="396"/>
      <c r="G6034" s="396"/>
      <c r="K6034" s="370"/>
      <c r="N6034" s="370"/>
    </row>
    <row r="6035" spans="1:14" s="347" customFormat="1" x14ac:dyDescent="0.25">
      <c r="A6035" s="503">
        <v>44512</v>
      </c>
      <c r="B6035" s="504">
        <f>+MONTH(A6035)</f>
        <v>11</v>
      </c>
      <c r="C6035" s="505">
        <v>110</v>
      </c>
      <c r="D6035" s="504" t="str">
        <f>VLOOKUP(C6035,Plan!A$1:B$65542,2,0)</f>
        <v>Disponible Administración</v>
      </c>
      <c r="E6035" s="506">
        <f>+F6035-G6035</f>
        <v>35000</v>
      </c>
      <c r="F6035" s="508">
        <v>35000</v>
      </c>
      <c r="G6035" s="512">
        <v>0</v>
      </c>
      <c r="H6035" t="s">
        <v>2243</v>
      </c>
      <c r="I6035" s="507" t="s">
        <v>296</v>
      </c>
      <c r="K6035" s="370"/>
      <c r="N6035" s="370"/>
    </row>
    <row r="6036" spans="1:14" s="347" customFormat="1" x14ac:dyDescent="0.25">
      <c r="A6036" s="495">
        <f>+A6035</f>
        <v>44512</v>
      </c>
      <c r="B6036" s="496">
        <f>+MONTH(A6036)</f>
        <v>11</v>
      </c>
      <c r="C6036" s="491">
        <v>3453</v>
      </c>
      <c r="D6036" s="492" t="str">
        <f>VLOOKUP(C6036,Plan!A$1:B$65542,2,0)</f>
        <v>Cajas de navidad</v>
      </c>
      <c r="E6036" s="497">
        <f>+F6036-G6036</f>
        <v>-35000</v>
      </c>
      <c r="F6036" s="493">
        <v>0</v>
      </c>
      <c r="G6036" s="501">
        <f>+F6035</f>
        <v>35000</v>
      </c>
      <c r="H6036" t="str">
        <f>+H6035</f>
        <v>Caja Navidad Maria Madrid</v>
      </c>
      <c r="I6036" s="499" t="s">
        <v>296</v>
      </c>
      <c r="K6036" s="370"/>
      <c r="N6036" s="370"/>
    </row>
    <row r="6037" spans="1:14" s="347" customFormat="1" x14ac:dyDescent="0.25">
      <c r="A6037" s="369"/>
      <c r="E6037" s="396"/>
      <c r="F6037" s="396"/>
      <c r="G6037" s="396"/>
      <c r="K6037" s="370"/>
      <c r="N6037" s="370"/>
    </row>
    <row r="6038" spans="1:14" s="347" customFormat="1" x14ac:dyDescent="0.25">
      <c r="A6038" s="503">
        <v>44512</v>
      </c>
      <c r="B6038" s="504">
        <f>+MONTH(A6038)</f>
        <v>11</v>
      </c>
      <c r="C6038" s="505">
        <v>110</v>
      </c>
      <c r="D6038" s="504" t="str">
        <f>VLOOKUP(C6038,Plan!A$1:B$65542,2,0)</f>
        <v>Disponible Administración</v>
      </c>
      <c r="E6038" s="506">
        <f>+F6038-G6038</f>
        <v>29040</v>
      </c>
      <c r="F6038" s="508">
        <v>29040</v>
      </c>
      <c r="G6038" s="512">
        <v>0</v>
      </c>
      <c r="H6038" t="s">
        <v>2244</v>
      </c>
      <c r="I6038" s="507" t="s">
        <v>296</v>
      </c>
      <c r="K6038" s="370"/>
      <c r="N6038" s="370"/>
    </row>
    <row r="6039" spans="1:14" s="347" customFormat="1" x14ac:dyDescent="0.25">
      <c r="A6039" s="495">
        <f>+A6038</f>
        <v>44512</v>
      </c>
      <c r="B6039" s="496">
        <f>+MONTH(A6039)</f>
        <v>11</v>
      </c>
      <c r="C6039" s="491">
        <v>215</v>
      </c>
      <c r="D6039" s="492" t="str">
        <f>VLOOKUP(C6039,Plan!A$1:B$65542,2,0)</f>
        <v>Cuenta por Pagar a Cali</v>
      </c>
      <c r="E6039" s="497">
        <f>+F6039-G6039</f>
        <v>-29040</v>
      </c>
      <c r="F6039" s="493">
        <v>0</v>
      </c>
      <c r="G6039" s="501">
        <f>+F6038</f>
        <v>29040</v>
      </c>
      <c r="H6039" t="str">
        <f>+H6038</f>
        <v>Carolina Jacir Manterola ($30000)</v>
      </c>
      <c r="I6039" s="499" t="s">
        <v>296</v>
      </c>
      <c r="K6039" s="370"/>
      <c r="N6039" s="370"/>
    </row>
    <row r="6040" spans="1:14" s="347" customFormat="1" x14ac:dyDescent="0.25">
      <c r="A6040" s="369"/>
      <c r="E6040" s="396"/>
      <c r="F6040" s="396"/>
      <c r="G6040" s="396"/>
      <c r="K6040" s="370"/>
      <c r="N6040" s="370"/>
    </row>
    <row r="6041" spans="1:14" s="347" customFormat="1" x14ac:dyDescent="0.25">
      <c r="A6041" s="503">
        <v>44512</v>
      </c>
      <c r="B6041" s="504">
        <f>+MONTH(A6041)</f>
        <v>11</v>
      </c>
      <c r="C6041" s="505">
        <v>110</v>
      </c>
      <c r="D6041" s="504" t="str">
        <f>VLOOKUP(C6041,Plan!A$1:B$65542,2,0)</f>
        <v>Disponible Administración</v>
      </c>
      <c r="E6041" s="506">
        <f>+F6041-G6041</f>
        <v>64000</v>
      </c>
      <c r="F6041" s="508">
        <v>64000</v>
      </c>
      <c r="G6041" s="512">
        <v>0</v>
      </c>
      <c r="H6041" t="s">
        <v>2245</v>
      </c>
      <c r="I6041" s="507" t="s">
        <v>296</v>
      </c>
      <c r="K6041" s="370"/>
      <c r="N6041" s="370"/>
    </row>
    <row r="6042" spans="1:14" s="347" customFormat="1" x14ac:dyDescent="0.25">
      <c r="A6042" s="495">
        <f>+A6041</f>
        <v>44512</v>
      </c>
      <c r="B6042" s="496">
        <f>+MONTH(A6042)</f>
        <v>11</v>
      </c>
      <c r="C6042" s="491">
        <v>3453</v>
      </c>
      <c r="D6042" s="492" t="str">
        <f>VLOOKUP(C6042,Plan!A$1:B$65542,2,0)</f>
        <v>Cajas de navidad</v>
      </c>
      <c r="E6042" s="497">
        <f>+F6042-G6042</f>
        <v>-64000</v>
      </c>
      <c r="F6042" s="493">
        <v>0</v>
      </c>
      <c r="G6042" s="501">
        <f>+F6041</f>
        <v>64000</v>
      </c>
      <c r="H6042" t="str">
        <f>+H6041</f>
        <v>Caja Navidad Lorena Barria</v>
      </c>
      <c r="I6042" s="499" t="s">
        <v>296</v>
      </c>
      <c r="K6042" s="370"/>
      <c r="N6042" s="370"/>
    </row>
    <row r="6043" spans="1:14" s="347" customFormat="1" x14ac:dyDescent="0.25">
      <c r="A6043" s="369"/>
      <c r="E6043" s="396"/>
      <c r="F6043" s="396"/>
      <c r="G6043" s="396"/>
      <c r="K6043" s="370"/>
      <c r="N6043" s="370"/>
    </row>
    <row r="6044" spans="1:14" s="347" customFormat="1" x14ac:dyDescent="0.25">
      <c r="A6044" s="503">
        <v>44512</v>
      </c>
      <c r="B6044" s="504">
        <f>+MONTH(A6044)</f>
        <v>11</v>
      </c>
      <c r="C6044" s="505">
        <v>110</v>
      </c>
      <c r="D6044" s="504" t="str">
        <f>VLOOKUP(C6044,Plan!A$1:B$65542,2,0)</f>
        <v>Disponible Administración</v>
      </c>
      <c r="E6044" s="506">
        <f>+F6044-G6044</f>
        <v>10000</v>
      </c>
      <c r="F6044" s="508">
        <v>10000</v>
      </c>
      <c r="G6044" s="512">
        <v>0</v>
      </c>
      <c r="H6044" t="s">
        <v>2137</v>
      </c>
      <c r="I6044" s="507" t="s">
        <v>296</v>
      </c>
      <c r="K6044" s="370"/>
      <c r="N6044" s="370"/>
    </row>
    <row r="6045" spans="1:14" s="347" customFormat="1" x14ac:dyDescent="0.25">
      <c r="A6045" s="495">
        <f>+A6044</f>
        <v>44512</v>
      </c>
      <c r="B6045" s="496">
        <f>+MONTH(A6045)</f>
        <v>11</v>
      </c>
      <c r="C6045" s="491">
        <v>3340</v>
      </c>
      <c r="D6045" s="492" t="str">
        <f>VLOOKUP(C6045,Plan!A$1:B$65542,2,0)</f>
        <v>Misas</v>
      </c>
      <c r="E6045" s="497">
        <f>+F6045-G6045</f>
        <v>-10000</v>
      </c>
      <c r="F6045" s="493">
        <v>0</v>
      </c>
      <c r="G6045" s="501">
        <f>+F6044</f>
        <v>10000</v>
      </c>
      <c r="H6045" t="str">
        <f>+H6044</f>
        <v>Misa Carmen Gloria Rivas V.</v>
      </c>
      <c r="I6045" s="499" t="s">
        <v>296</v>
      </c>
      <c r="K6045" s="370"/>
      <c r="N6045" s="370"/>
    </row>
    <row r="6046" spans="1:14" s="347" customFormat="1" x14ac:dyDescent="0.25">
      <c r="A6046" s="369"/>
      <c r="E6046" s="396"/>
      <c r="F6046" s="396"/>
      <c r="G6046" s="396"/>
      <c r="K6046" s="370"/>
      <c r="N6046" s="370"/>
    </row>
    <row r="6047" spans="1:14" s="347" customFormat="1" x14ac:dyDescent="0.25">
      <c r="A6047" s="503">
        <v>44512</v>
      </c>
      <c r="B6047" s="504">
        <f>+MONTH(A6047)</f>
        <v>11</v>
      </c>
      <c r="C6047" s="505">
        <v>110</v>
      </c>
      <c r="D6047" s="504" t="str">
        <f>VLOOKUP(C6047,Plan!A$1:B$65542,2,0)</f>
        <v>Disponible Administración</v>
      </c>
      <c r="E6047" s="506">
        <f>+F6047-G6047</f>
        <v>20000</v>
      </c>
      <c r="F6047" s="508">
        <v>20000</v>
      </c>
      <c r="G6047" s="512">
        <v>0</v>
      </c>
      <c r="H6047" t="s">
        <v>2246</v>
      </c>
      <c r="I6047" s="507" t="s">
        <v>296</v>
      </c>
      <c r="K6047" s="370"/>
      <c r="N6047" s="370"/>
    </row>
    <row r="6048" spans="1:14" s="347" customFormat="1" x14ac:dyDescent="0.25">
      <c r="A6048" s="495">
        <f>+A6047</f>
        <v>44512</v>
      </c>
      <c r="B6048" s="496">
        <f>+MONTH(A6048)</f>
        <v>11</v>
      </c>
      <c r="C6048" s="491">
        <v>3350</v>
      </c>
      <c r="D6048" s="492" t="str">
        <f>VLOOKUP(C6048,Plan!A$1:B$65542,2,0)</f>
        <v>Bautizos</v>
      </c>
      <c r="E6048" s="497">
        <f>+F6048-G6048</f>
        <v>-20000</v>
      </c>
      <c r="F6048" s="493">
        <v>0</v>
      </c>
      <c r="G6048" s="501">
        <f>+F6047</f>
        <v>20000</v>
      </c>
      <c r="H6048" t="str">
        <f>+H6047</f>
        <v>Bautizo Gustavo Pozo</v>
      </c>
      <c r="I6048" s="499" t="s">
        <v>296</v>
      </c>
      <c r="K6048" s="370"/>
      <c r="N6048" s="370"/>
    </row>
    <row r="6049" spans="1:14" s="347" customFormat="1" x14ac:dyDescent="0.25">
      <c r="A6049" s="369"/>
      <c r="E6049" s="396"/>
      <c r="F6049" s="396"/>
      <c r="G6049" s="396"/>
      <c r="K6049" s="370"/>
      <c r="N6049" s="370"/>
    </row>
    <row r="6050" spans="1:14" s="347" customFormat="1" x14ac:dyDescent="0.25">
      <c r="A6050" s="503">
        <v>44512</v>
      </c>
      <c r="B6050" s="504">
        <f>+MONTH(A6050)</f>
        <v>11</v>
      </c>
      <c r="C6050" s="505">
        <v>110</v>
      </c>
      <c r="D6050" s="504" t="str">
        <f>VLOOKUP(C6050,Plan!A$1:B$65542,2,0)</f>
        <v>Disponible Administración</v>
      </c>
      <c r="E6050" s="506">
        <f>+F6050-G6050</f>
        <v>64000</v>
      </c>
      <c r="F6050" s="508">
        <v>64000</v>
      </c>
      <c r="G6050" s="512">
        <v>0</v>
      </c>
      <c r="H6050" t="s">
        <v>2247</v>
      </c>
      <c r="I6050" s="507" t="s">
        <v>296</v>
      </c>
      <c r="K6050" s="370"/>
      <c r="N6050" s="370"/>
    </row>
    <row r="6051" spans="1:14" s="347" customFormat="1" x14ac:dyDescent="0.25">
      <c r="A6051" s="503">
        <f>+A6050</f>
        <v>44512</v>
      </c>
      <c r="B6051" s="504">
        <f>+MONTH(A6051)</f>
        <v>11</v>
      </c>
      <c r="C6051" s="505">
        <v>3453</v>
      </c>
      <c r="D6051" s="504" t="str">
        <f>VLOOKUP(C6051,Plan!A$1:B$65542,2,0)</f>
        <v>Cajas de navidad</v>
      </c>
      <c r="E6051" s="506">
        <f>+F6051-G6051</f>
        <v>-64000</v>
      </c>
      <c r="F6051" s="508">
        <v>0</v>
      </c>
      <c r="G6051" s="512">
        <f>+F6050</f>
        <v>64000</v>
      </c>
      <c r="H6051" s="338" t="str">
        <f>+H6050</f>
        <v>Caja Navidad Claudia Aguirre</v>
      </c>
      <c r="I6051" s="507" t="s">
        <v>296</v>
      </c>
      <c r="K6051" s="370"/>
      <c r="N6051" s="370"/>
    </row>
    <row r="6052" spans="1:14" s="347" customFormat="1" x14ac:dyDescent="0.25">
      <c r="A6052" s="369"/>
      <c r="B6052" s="340"/>
      <c r="D6052" s="340"/>
      <c r="E6052" s="341"/>
      <c r="F6052" s="396"/>
      <c r="G6052" s="396"/>
      <c r="I6052" s="340"/>
      <c r="K6052" s="370"/>
      <c r="N6052" s="370"/>
    </row>
    <row r="6053" spans="1:14" s="347" customFormat="1" x14ac:dyDescent="0.25">
      <c r="A6053" s="503">
        <v>44515</v>
      </c>
      <c r="B6053" s="504">
        <f>+MONTH(A6053)</f>
        <v>11</v>
      </c>
      <c r="C6053" s="505">
        <v>110</v>
      </c>
      <c r="D6053" s="504" t="str">
        <f>VLOOKUP(C6053,Plan!A$1:B$65542,2,0)</f>
        <v>Disponible Administración</v>
      </c>
      <c r="E6053" s="506">
        <f>+F6053-G6053</f>
        <v>20000</v>
      </c>
      <c r="F6053" s="508">
        <v>20000</v>
      </c>
      <c r="G6053" s="512">
        <v>0</v>
      </c>
      <c r="H6053" t="s">
        <v>906</v>
      </c>
      <c r="I6053" s="507" t="s">
        <v>296</v>
      </c>
      <c r="K6053" s="370"/>
      <c r="N6053" s="370"/>
    </row>
    <row r="6054" spans="1:14" s="347" customFormat="1" x14ac:dyDescent="0.25">
      <c r="A6054" s="503">
        <f>+A6053</f>
        <v>44515</v>
      </c>
      <c r="B6054" s="504">
        <f>+MONTH(A6054)</f>
        <v>11</v>
      </c>
      <c r="C6054" s="505">
        <v>3110</v>
      </c>
      <c r="D6054" s="504" t="str">
        <f>VLOOKUP(C6054,Plan!A$1:B$65542,2,0)</f>
        <v>Colectas Normales</v>
      </c>
      <c r="E6054" s="506">
        <f>+F6054-G6054</f>
        <v>-20000</v>
      </c>
      <c r="F6054" s="508">
        <v>0</v>
      </c>
      <c r="G6054" s="512">
        <f>+F6053</f>
        <v>20000</v>
      </c>
      <c r="H6054" s="338" t="str">
        <f>+H6053</f>
        <v>Colecta Carmen Barañao</v>
      </c>
      <c r="I6054" s="507" t="s">
        <v>296</v>
      </c>
      <c r="K6054" s="370"/>
      <c r="N6054" s="370"/>
    </row>
    <row r="6055" spans="1:14" s="347" customFormat="1" x14ac:dyDescent="0.25">
      <c r="A6055" s="369"/>
      <c r="E6055" s="396"/>
      <c r="F6055" s="396"/>
      <c r="G6055" s="396"/>
      <c r="K6055" s="370"/>
      <c r="N6055" s="370"/>
    </row>
    <row r="6056" spans="1:14" s="347" customFormat="1" x14ac:dyDescent="0.25">
      <c r="A6056" s="503">
        <v>44515</v>
      </c>
      <c r="B6056" s="504">
        <f>+MONTH(A6056)</f>
        <v>11</v>
      </c>
      <c r="C6056" s="505">
        <v>110</v>
      </c>
      <c r="D6056" s="504" t="str">
        <f>VLOOKUP(C6056,Plan!A$1:B$65542,2,0)</f>
        <v>Disponible Administración</v>
      </c>
      <c r="E6056" s="506">
        <f>+F6056-G6056</f>
        <v>32000</v>
      </c>
      <c r="F6056" s="508">
        <v>32000</v>
      </c>
      <c r="G6056" s="512">
        <v>0</v>
      </c>
      <c r="H6056" t="s">
        <v>2248</v>
      </c>
      <c r="I6056" s="507" t="s">
        <v>296</v>
      </c>
      <c r="K6056" s="370"/>
      <c r="N6056" s="370"/>
    </row>
    <row r="6057" spans="1:14" s="347" customFormat="1" x14ac:dyDescent="0.25">
      <c r="A6057" s="503">
        <f>+A6056</f>
        <v>44515</v>
      </c>
      <c r="B6057" s="504">
        <f>+MONTH(A6057)</f>
        <v>11</v>
      </c>
      <c r="C6057" s="505">
        <v>3453</v>
      </c>
      <c r="D6057" s="504" t="str">
        <f>VLOOKUP(C6057,Plan!A$1:B$65542,2,0)</f>
        <v>Cajas de navidad</v>
      </c>
      <c r="E6057" s="506">
        <f>+F6057-G6057</f>
        <v>-32000</v>
      </c>
      <c r="F6057" s="508">
        <v>0</v>
      </c>
      <c r="G6057" s="512">
        <f>+F6056</f>
        <v>32000</v>
      </c>
      <c r="H6057" s="338" t="str">
        <f>+H6056</f>
        <v>Caja Navidad Jaime Fco. Gonzalez F</v>
      </c>
      <c r="I6057" s="507" t="s">
        <v>296</v>
      </c>
      <c r="K6057" s="370"/>
      <c r="N6057" s="370"/>
    </row>
    <row r="6058" spans="1:14" s="347" customFormat="1" x14ac:dyDescent="0.25">
      <c r="A6058" s="369"/>
      <c r="E6058" s="396"/>
      <c r="F6058" s="396"/>
      <c r="G6058" s="396"/>
      <c r="K6058" s="370"/>
      <c r="N6058" s="370"/>
    </row>
    <row r="6059" spans="1:14" s="347" customFormat="1" x14ac:dyDescent="0.25">
      <c r="A6059" s="503">
        <v>44515</v>
      </c>
      <c r="B6059" s="504">
        <f>+MONTH(A6059)</f>
        <v>11</v>
      </c>
      <c r="C6059" s="505">
        <v>4323</v>
      </c>
      <c r="D6059" s="504" t="str">
        <f>VLOOKUP(C6059,Plan!A$1:B$65542,2,0)</f>
        <v>Telefonía, Internet (VTR, Entel)</v>
      </c>
      <c r="E6059" s="506">
        <f>+F6059-G6059</f>
        <v>20990</v>
      </c>
      <c r="F6059" s="508">
        <v>20990</v>
      </c>
      <c r="G6059" s="512">
        <v>0</v>
      </c>
      <c r="H6059" s="338" t="s">
        <v>2139</v>
      </c>
      <c r="I6059" s="507" t="s">
        <v>296</v>
      </c>
      <c r="K6059" s="370"/>
      <c r="N6059" s="370"/>
    </row>
    <row r="6060" spans="1:14" s="347" customFormat="1" x14ac:dyDescent="0.25">
      <c r="A6060" s="503">
        <f>+A6059</f>
        <v>44515</v>
      </c>
      <c r="B6060" s="504">
        <f>+MONTH(A6060)</f>
        <v>11</v>
      </c>
      <c r="C6060" s="505">
        <v>110</v>
      </c>
      <c r="D6060" s="504" t="str">
        <f>VLOOKUP(C6060,Plan!A$1:B$65542,2,0)</f>
        <v>Disponible Administración</v>
      </c>
      <c r="E6060" s="506">
        <f>+F6060-G6060</f>
        <v>-20990</v>
      </c>
      <c r="F6060" s="508">
        <v>0</v>
      </c>
      <c r="G6060" s="512">
        <f>+F6059</f>
        <v>20990</v>
      </c>
      <c r="H6060" s="338" t="str">
        <f>+H6059</f>
        <v>PAC Entel Oficina</v>
      </c>
      <c r="I6060" s="507" t="s">
        <v>296</v>
      </c>
      <c r="K6060" s="370"/>
      <c r="N6060" s="370"/>
    </row>
    <row r="6061" spans="1:14" s="347" customFormat="1" x14ac:dyDescent="0.25">
      <c r="A6061" s="369"/>
      <c r="E6061" s="396"/>
      <c r="F6061" s="396"/>
      <c r="G6061" s="396"/>
      <c r="K6061" s="370"/>
      <c r="N6061" s="370"/>
    </row>
    <row r="6062" spans="1:14" s="347" customFormat="1" x14ac:dyDescent="0.25">
      <c r="A6062" s="503">
        <v>44515</v>
      </c>
      <c r="B6062" s="504">
        <f>+MONTH(A6062)</f>
        <v>11</v>
      </c>
      <c r="C6062" s="505">
        <v>110</v>
      </c>
      <c r="D6062" s="504" t="str">
        <f>VLOOKUP(C6062,Plan!A$1:B$65542,2,0)</f>
        <v>Disponible Administración</v>
      </c>
      <c r="E6062" s="506">
        <f>+F6062-G6062</f>
        <v>32000</v>
      </c>
      <c r="F6062" s="508">
        <v>32000</v>
      </c>
      <c r="G6062" s="512">
        <v>0</v>
      </c>
      <c r="H6062" s="338" t="s">
        <v>2249</v>
      </c>
      <c r="I6062" s="507" t="s">
        <v>296</v>
      </c>
      <c r="K6062" s="370"/>
      <c r="N6062" s="370"/>
    </row>
    <row r="6063" spans="1:14" s="347" customFormat="1" x14ac:dyDescent="0.25">
      <c r="A6063" s="503">
        <f>+A6062</f>
        <v>44515</v>
      </c>
      <c r="B6063" s="504">
        <f>+MONTH(A6063)</f>
        <v>11</v>
      </c>
      <c r="C6063" s="505">
        <v>3453</v>
      </c>
      <c r="D6063" s="504" t="str">
        <f>VLOOKUP(C6063,Plan!A$1:B$65542,2,0)</f>
        <v>Cajas de navidad</v>
      </c>
      <c r="E6063" s="506">
        <f>+F6063-G6063</f>
        <v>-32000</v>
      </c>
      <c r="F6063" s="508">
        <v>0</v>
      </c>
      <c r="G6063" s="512">
        <f>+F6062</f>
        <v>32000</v>
      </c>
      <c r="H6063" s="338" t="str">
        <f>+H6062</f>
        <v>Caja Navidad Ana</v>
      </c>
      <c r="I6063" s="507" t="s">
        <v>296</v>
      </c>
      <c r="K6063" s="370"/>
      <c r="N6063" s="370"/>
    </row>
    <row r="6064" spans="1:14" s="347" customFormat="1" x14ac:dyDescent="0.25">
      <c r="A6064" s="369"/>
      <c r="E6064" s="396"/>
      <c r="F6064" s="396"/>
      <c r="G6064" s="396"/>
      <c r="K6064" s="370"/>
      <c r="N6064" s="370"/>
    </row>
    <row r="6065" spans="1:14" s="347" customFormat="1" x14ac:dyDescent="0.25">
      <c r="A6065" s="503">
        <v>44515</v>
      </c>
      <c r="B6065" s="504">
        <f>+MONTH(A6065)</f>
        <v>11</v>
      </c>
      <c r="C6065" s="505">
        <v>110</v>
      </c>
      <c r="D6065" s="504" t="str">
        <f>VLOOKUP(C6065,Plan!A$1:B$65542,2,0)</f>
        <v>Disponible Administración</v>
      </c>
      <c r="E6065" s="506">
        <f>+F6065-G6065</f>
        <v>10000</v>
      </c>
      <c r="F6065" s="508">
        <v>10000</v>
      </c>
      <c r="G6065" s="512">
        <v>0</v>
      </c>
      <c r="H6065" s="338" t="s">
        <v>881</v>
      </c>
      <c r="I6065" s="507" t="s">
        <v>296</v>
      </c>
      <c r="K6065" s="370"/>
      <c r="N6065" s="370"/>
    </row>
    <row r="6066" spans="1:14" s="347" customFormat="1" x14ac:dyDescent="0.25">
      <c r="A6066" s="503">
        <f>+A6065</f>
        <v>44515</v>
      </c>
      <c r="B6066" s="504">
        <f>+MONTH(A6066)</f>
        <v>11</v>
      </c>
      <c r="C6066" s="505">
        <v>3110</v>
      </c>
      <c r="D6066" s="504" t="str">
        <f>VLOOKUP(C6066,Plan!A$1:B$65542,2,0)</f>
        <v>Colectas Normales</v>
      </c>
      <c r="E6066" s="506">
        <f>+F6066-G6066</f>
        <v>-10000</v>
      </c>
      <c r="F6066" s="508">
        <v>0</v>
      </c>
      <c r="G6066" s="512">
        <f>+F6065</f>
        <v>10000</v>
      </c>
      <c r="H6066" s="338" t="str">
        <f>+H6065</f>
        <v>Colecta Rafael Marin Jordan</v>
      </c>
      <c r="I6066" s="507" t="s">
        <v>296</v>
      </c>
      <c r="K6066" s="370"/>
      <c r="N6066" s="370"/>
    </row>
    <row r="6067" spans="1:14" s="347" customFormat="1" x14ac:dyDescent="0.25">
      <c r="A6067" s="369"/>
      <c r="B6067" s="340"/>
      <c r="D6067" s="340"/>
      <c r="E6067" s="341"/>
      <c r="F6067" s="396"/>
      <c r="G6067" s="396"/>
      <c r="I6067" s="340"/>
      <c r="K6067" s="370"/>
      <c r="N6067" s="370"/>
    </row>
    <row r="6068" spans="1:14" s="347" customFormat="1" x14ac:dyDescent="0.25">
      <c r="A6068" s="503">
        <v>44515</v>
      </c>
      <c r="B6068" s="504">
        <f>+MONTH(A6068)</f>
        <v>11</v>
      </c>
      <c r="C6068" s="505">
        <v>110</v>
      </c>
      <c r="D6068" s="504" t="str">
        <f>VLOOKUP(C6068,Plan!A$1:B$65542,2,0)</f>
        <v>Disponible Administración</v>
      </c>
      <c r="E6068" s="506">
        <f>+F6068-G6068</f>
        <v>20000</v>
      </c>
      <c r="F6068" s="508">
        <v>20000</v>
      </c>
      <c r="G6068" s="512">
        <v>0</v>
      </c>
      <c r="H6068" s="338" t="s">
        <v>2250</v>
      </c>
      <c r="I6068" s="507" t="s">
        <v>296</v>
      </c>
      <c r="K6068" s="370"/>
      <c r="N6068" s="370"/>
    </row>
    <row r="6069" spans="1:14" s="347" customFormat="1" x14ac:dyDescent="0.25">
      <c r="A6069" s="503">
        <f>+A6068</f>
        <v>44515</v>
      </c>
      <c r="B6069" s="504">
        <f>+MONTH(A6069)</f>
        <v>11</v>
      </c>
      <c r="C6069" s="505">
        <v>3453</v>
      </c>
      <c r="D6069" s="504" t="str">
        <f>VLOOKUP(C6069,Plan!A$1:B$65542,2,0)</f>
        <v>Cajas de navidad</v>
      </c>
      <c r="E6069" s="506">
        <f>+F6069-G6069</f>
        <v>-20000</v>
      </c>
      <c r="F6069" s="508">
        <v>0</v>
      </c>
      <c r="G6069" s="512">
        <f>+F6068</f>
        <v>20000</v>
      </c>
      <c r="H6069" s="338" t="str">
        <f>+H6068</f>
        <v>Caja Navidad Maria Vicuña</v>
      </c>
      <c r="I6069" s="507" t="s">
        <v>296</v>
      </c>
      <c r="K6069" s="370"/>
      <c r="N6069" s="370"/>
    </row>
    <row r="6070" spans="1:14" s="347" customFormat="1" x14ac:dyDescent="0.25">
      <c r="A6070" s="369"/>
      <c r="E6070" s="396"/>
      <c r="F6070" s="396"/>
      <c r="G6070" s="396"/>
      <c r="K6070" s="370"/>
      <c r="N6070" s="370"/>
    </row>
    <row r="6071" spans="1:14" s="347" customFormat="1" x14ac:dyDescent="0.25">
      <c r="A6071" s="503">
        <v>44515</v>
      </c>
      <c r="B6071" s="504">
        <f>+MONTH(A6071)</f>
        <v>11</v>
      </c>
      <c r="C6071" s="505">
        <v>110</v>
      </c>
      <c r="D6071" s="504" t="str">
        <f>VLOOKUP(C6071,Plan!A$1:B$65542,2,0)</f>
        <v>Disponible Administración</v>
      </c>
      <c r="E6071" s="506">
        <f>+F6071-G6071</f>
        <v>8000</v>
      </c>
      <c r="F6071" s="508">
        <v>8000</v>
      </c>
      <c r="G6071" s="512">
        <v>0</v>
      </c>
      <c r="H6071" s="338" t="s">
        <v>971</v>
      </c>
      <c r="I6071" s="507" t="s">
        <v>296</v>
      </c>
      <c r="K6071" s="370"/>
      <c r="N6071" s="370"/>
    </row>
    <row r="6072" spans="1:14" s="347" customFormat="1" x14ac:dyDescent="0.25">
      <c r="A6072" s="503">
        <f>+A6071</f>
        <v>44515</v>
      </c>
      <c r="B6072" s="504">
        <f>+MONTH(A6072)</f>
        <v>11</v>
      </c>
      <c r="C6072" s="505">
        <v>3110</v>
      </c>
      <c r="D6072" s="504" t="str">
        <f>VLOOKUP(C6072,Plan!A$1:B$65542,2,0)</f>
        <v>Colectas Normales</v>
      </c>
      <c r="E6072" s="506">
        <f>+F6072-G6072</f>
        <v>-8000</v>
      </c>
      <c r="F6072" s="508">
        <v>0</v>
      </c>
      <c r="G6072" s="512">
        <f>+F6071</f>
        <v>8000</v>
      </c>
      <c r="H6072" s="338" t="str">
        <f>+H6071</f>
        <v>Colecta Pablo Irarrazaval Mena</v>
      </c>
      <c r="I6072" s="507" t="s">
        <v>296</v>
      </c>
      <c r="K6072" s="370"/>
      <c r="N6072" s="370"/>
    </row>
    <row r="6073" spans="1:14" s="347" customFormat="1" x14ac:dyDescent="0.25">
      <c r="A6073" s="369"/>
      <c r="E6073" s="396"/>
      <c r="F6073" s="396"/>
      <c r="G6073" s="396"/>
      <c r="K6073" s="370"/>
      <c r="N6073" s="370"/>
    </row>
    <row r="6074" spans="1:14" s="347" customFormat="1" x14ac:dyDescent="0.25">
      <c r="A6074" s="503">
        <v>44515</v>
      </c>
      <c r="B6074" s="504">
        <f>+MONTH(A6074)</f>
        <v>11</v>
      </c>
      <c r="C6074" s="505">
        <v>110</v>
      </c>
      <c r="D6074" s="504" t="str">
        <f>VLOOKUP(C6074,Plan!A$1:B$65542,2,0)</f>
        <v>Disponible Administración</v>
      </c>
      <c r="E6074" s="506">
        <f>+F6074-G6074</f>
        <v>32000</v>
      </c>
      <c r="F6074" s="508">
        <v>32000</v>
      </c>
      <c r="G6074" s="512">
        <v>0</v>
      </c>
      <c r="H6074" s="338" t="s">
        <v>2251</v>
      </c>
      <c r="I6074" s="507" t="s">
        <v>296</v>
      </c>
      <c r="K6074" s="370"/>
      <c r="N6074" s="370"/>
    </row>
    <row r="6075" spans="1:14" s="347" customFormat="1" x14ac:dyDescent="0.25">
      <c r="A6075" s="503">
        <f>+A6074</f>
        <v>44515</v>
      </c>
      <c r="B6075" s="504">
        <f>+MONTH(A6075)</f>
        <v>11</v>
      </c>
      <c r="C6075" s="505">
        <v>3453</v>
      </c>
      <c r="D6075" s="504" t="str">
        <f>VLOOKUP(C6075,Plan!A$1:B$65542,2,0)</f>
        <v>Cajas de navidad</v>
      </c>
      <c r="E6075" s="506">
        <f>+F6075-G6075</f>
        <v>-32000</v>
      </c>
      <c r="F6075" s="508">
        <v>0</v>
      </c>
      <c r="G6075" s="512">
        <f>+F6074</f>
        <v>32000</v>
      </c>
      <c r="H6075" s="338" t="str">
        <f>+H6074</f>
        <v>Caja Navidad Rodrigo Urzua</v>
      </c>
      <c r="I6075" s="507" t="s">
        <v>296</v>
      </c>
      <c r="K6075" s="370"/>
      <c r="N6075" s="370"/>
    </row>
    <row r="6076" spans="1:14" s="347" customFormat="1" x14ac:dyDescent="0.25">
      <c r="A6076" s="369"/>
      <c r="E6076" s="396"/>
      <c r="F6076" s="396"/>
      <c r="G6076" s="396"/>
      <c r="K6076" s="370"/>
      <c r="N6076" s="370"/>
    </row>
    <row r="6077" spans="1:14" s="347" customFormat="1" x14ac:dyDescent="0.25">
      <c r="A6077" s="503">
        <v>44515</v>
      </c>
      <c r="B6077" s="504">
        <f>+MONTH(A6077)</f>
        <v>11</v>
      </c>
      <c r="C6077" s="505">
        <v>110</v>
      </c>
      <c r="D6077" s="504" t="str">
        <f>VLOOKUP(C6077,Plan!A$1:B$65542,2,0)</f>
        <v>Disponible Administración</v>
      </c>
      <c r="E6077" s="506">
        <f>+F6077-G6077</f>
        <v>32000</v>
      </c>
      <c r="F6077" s="508">
        <v>32000</v>
      </c>
      <c r="G6077" s="512">
        <v>0</v>
      </c>
      <c r="H6077" s="338" t="s">
        <v>2252</v>
      </c>
      <c r="I6077" s="507" t="s">
        <v>296</v>
      </c>
      <c r="K6077" s="370"/>
      <c r="N6077" s="370"/>
    </row>
    <row r="6078" spans="1:14" s="347" customFormat="1" x14ac:dyDescent="0.25">
      <c r="A6078" s="503">
        <f>+A6077</f>
        <v>44515</v>
      </c>
      <c r="B6078" s="504">
        <f>+MONTH(A6078)</f>
        <v>11</v>
      </c>
      <c r="C6078" s="505">
        <v>3453</v>
      </c>
      <c r="D6078" s="504" t="str">
        <f>VLOOKUP(C6078,Plan!A$1:B$65542,2,0)</f>
        <v>Cajas de navidad</v>
      </c>
      <c r="E6078" s="506">
        <f>+F6078-G6078</f>
        <v>-32000</v>
      </c>
      <c r="F6078" s="508">
        <v>0</v>
      </c>
      <c r="G6078" s="512">
        <f>+F6077</f>
        <v>32000</v>
      </c>
      <c r="H6078" s="338" t="str">
        <f>+H6077</f>
        <v>Caja Navidad Ricardo Fernandez Oyarzun</v>
      </c>
      <c r="I6078" s="507" t="s">
        <v>296</v>
      </c>
      <c r="K6078" s="370"/>
      <c r="N6078" s="370"/>
    </row>
    <row r="6079" spans="1:14" s="347" customFormat="1" x14ac:dyDescent="0.25">
      <c r="A6079" s="369"/>
      <c r="E6079" s="396"/>
      <c r="F6079" s="396"/>
      <c r="G6079" s="396"/>
      <c r="K6079" s="370"/>
      <c r="N6079" s="370"/>
    </row>
    <row r="6080" spans="1:14" s="347" customFormat="1" x14ac:dyDescent="0.25">
      <c r="A6080" s="503">
        <v>44515</v>
      </c>
      <c r="B6080" s="504">
        <f>+MONTH(A6080)</f>
        <v>11</v>
      </c>
      <c r="C6080" s="505">
        <v>110</v>
      </c>
      <c r="D6080" s="504" t="str">
        <f>VLOOKUP(C6080,Plan!A$1:B$65542,2,0)</f>
        <v>Disponible Administración</v>
      </c>
      <c r="E6080" s="506">
        <f>+F6080-G6080</f>
        <v>32000</v>
      </c>
      <c r="F6080" s="508">
        <v>32000</v>
      </c>
      <c r="G6080" s="512">
        <v>0</v>
      </c>
      <c r="H6080" s="338" t="s">
        <v>2253</v>
      </c>
      <c r="I6080" s="507" t="s">
        <v>296</v>
      </c>
      <c r="K6080" s="370"/>
      <c r="N6080" s="370"/>
    </row>
    <row r="6081" spans="1:14" s="347" customFormat="1" x14ac:dyDescent="0.25">
      <c r="A6081" s="503">
        <f>+A6080</f>
        <v>44515</v>
      </c>
      <c r="B6081" s="504">
        <f>+MONTH(A6081)</f>
        <v>11</v>
      </c>
      <c r="C6081" s="505">
        <v>3453</v>
      </c>
      <c r="D6081" s="504" t="str">
        <f>VLOOKUP(C6081,Plan!A$1:B$65542,2,0)</f>
        <v>Cajas de navidad</v>
      </c>
      <c r="E6081" s="506">
        <f>+F6081-G6081</f>
        <v>-32000</v>
      </c>
      <c r="F6081" s="508">
        <v>0</v>
      </c>
      <c r="G6081" s="512">
        <f>+F6080</f>
        <v>32000</v>
      </c>
      <c r="H6081" s="338" t="str">
        <f>+H6080</f>
        <v>Caja Navidad Maria del Pilar Fernandez Larrain</v>
      </c>
      <c r="I6081" s="507" t="s">
        <v>296</v>
      </c>
      <c r="K6081" s="370"/>
      <c r="N6081" s="370"/>
    </row>
    <row r="6082" spans="1:14" s="347" customFormat="1" x14ac:dyDescent="0.25">
      <c r="A6082" s="369"/>
      <c r="E6082" s="396"/>
      <c r="F6082" s="396"/>
      <c r="G6082" s="396"/>
      <c r="K6082" s="370"/>
      <c r="N6082" s="370"/>
    </row>
    <row r="6083" spans="1:14" s="347" customFormat="1" x14ac:dyDescent="0.25">
      <c r="A6083" s="503">
        <v>44515</v>
      </c>
      <c r="B6083" s="504">
        <f>+MONTH(A6083)</f>
        <v>11</v>
      </c>
      <c r="C6083" s="505">
        <v>110</v>
      </c>
      <c r="D6083" s="504" t="str">
        <f>VLOOKUP(C6083,Plan!A$1:B$65542,2,0)</f>
        <v>Disponible Administración</v>
      </c>
      <c r="E6083" s="506">
        <f>+F6083-G6083</f>
        <v>2000</v>
      </c>
      <c r="F6083" s="508">
        <v>2000</v>
      </c>
      <c r="G6083" s="512">
        <v>0</v>
      </c>
      <c r="H6083" s="338" t="s">
        <v>1216</v>
      </c>
      <c r="I6083" s="507" t="s">
        <v>296</v>
      </c>
      <c r="K6083" s="370"/>
      <c r="N6083" s="370"/>
    </row>
    <row r="6084" spans="1:14" s="347" customFormat="1" x14ac:dyDescent="0.25">
      <c r="A6084" s="503">
        <f>+A6083</f>
        <v>44515</v>
      </c>
      <c r="B6084" s="504">
        <f>+MONTH(A6084)</f>
        <v>11</v>
      </c>
      <c r="C6084" s="505">
        <v>3110</v>
      </c>
      <c r="D6084" s="504" t="str">
        <f>VLOOKUP(C6084,Plan!A$1:B$65542,2,0)</f>
        <v>Colectas Normales</v>
      </c>
      <c r="E6084" s="506">
        <f>+F6084-G6084</f>
        <v>-2000</v>
      </c>
      <c r="F6084" s="508">
        <v>0</v>
      </c>
      <c r="G6084" s="512">
        <f>+F6083</f>
        <v>2000</v>
      </c>
      <c r="H6084" s="338" t="str">
        <f>+H6083</f>
        <v>Colecta Trinidad Barriga Cruzat</v>
      </c>
      <c r="I6084" s="507" t="s">
        <v>296</v>
      </c>
      <c r="K6084" s="370"/>
      <c r="N6084" s="370"/>
    </row>
    <row r="6085" spans="1:14" s="347" customFormat="1" x14ac:dyDescent="0.25">
      <c r="A6085" s="369"/>
      <c r="E6085" s="396"/>
      <c r="F6085" s="396"/>
      <c r="G6085" s="396"/>
      <c r="K6085" s="370"/>
      <c r="N6085" s="370"/>
    </row>
    <row r="6086" spans="1:14" s="347" customFormat="1" x14ac:dyDescent="0.25">
      <c r="A6086" s="503">
        <v>44515</v>
      </c>
      <c r="B6086" s="504">
        <f>+MONTH(A6086)</f>
        <v>11</v>
      </c>
      <c r="C6086" s="505">
        <v>110</v>
      </c>
      <c r="D6086" s="504" t="str">
        <f>VLOOKUP(C6086,Plan!A$1:B$65542,2,0)</f>
        <v>Disponible Administración</v>
      </c>
      <c r="E6086" s="506">
        <f>+F6086-G6086</f>
        <v>20618</v>
      </c>
      <c r="F6086" s="508">
        <v>20618</v>
      </c>
      <c r="G6086" s="512">
        <v>0</v>
      </c>
      <c r="H6086" s="338" t="s">
        <v>897</v>
      </c>
      <c r="I6086" s="507" t="s">
        <v>296</v>
      </c>
      <c r="K6086" s="370"/>
      <c r="N6086" s="370"/>
    </row>
    <row r="6087" spans="1:14" s="347" customFormat="1" x14ac:dyDescent="0.25">
      <c r="A6087" s="503">
        <f>+A6086</f>
        <v>44515</v>
      </c>
      <c r="B6087" s="504">
        <f>+MONTH(A6087)</f>
        <v>11</v>
      </c>
      <c r="C6087" s="505">
        <v>3110</v>
      </c>
      <c r="D6087" s="504" t="str">
        <f>VLOOKUP(C6087,Plan!A$1:B$65542,2,0)</f>
        <v>Colectas Normales</v>
      </c>
      <c r="E6087" s="506">
        <f>+F6087-G6087</f>
        <v>-20618</v>
      </c>
      <c r="F6087" s="508">
        <v>0</v>
      </c>
      <c r="G6087" s="512">
        <f>+F6086</f>
        <v>20618</v>
      </c>
      <c r="H6087" s="338" t="str">
        <f>+H6086</f>
        <v>Colecta DCT</v>
      </c>
      <c r="I6087" s="507" t="s">
        <v>296</v>
      </c>
      <c r="K6087" s="370"/>
      <c r="N6087" s="370"/>
    </row>
    <row r="6088" spans="1:14" s="347" customFormat="1" x14ac:dyDescent="0.25">
      <c r="A6088" s="369"/>
      <c r="E6088" s="396"/>
      <c r="F6088" s="396"/>
      <c r="G6088" s="396"/>
      <c r="K6088" s="370"/>
      <c r="N6088" s="370"/>
    </row>
    <row r="6089" spans="1:14" s="347" customFormat="1" x14ac:dyDescent="0.25">
      <c r="A6089" s="503">
        <v>44515</v>
      </c>
      <c r="B6089" s="504">
        <f>+MONTH(A6089)</f>
        <v>11</v>
      </c>
      <c r="C6089" s="505">
        <v>110</v>
      </c>
      <c r="D6089" s="504" t="str">
        <f>VLOOKUP(C6089,Plan!A$1:B$65542,2,0)</f>
        <v>Disponible Administración</v>
      </c>
      <c r="E6089" s="506">
        <f>+F6089-G6089</f>
        <v>40000</v>
      </c>
      <c r="F6089" s="508">
        <v>40000</v>
      </c>
      <c r="G6089" s="512">
        <v>0</v>
      </c>
      <c r="H6089" s="338" t="s">
        <v>2254</v>
      </c>
      <c r="I6089" s="507" t="s">
        <v>296</v>
      </c>
      <c r="K6089" s="370"/>
      <c r="N6089" s="370"/>
    </row>
    <row r="6090" spans="1:14" s="347" customFormat="1" x14ac:dyDescent="0.25">
      <c r="A6090" s="503">
        <f>+A6089</f>
        <v>44515</v>
      </c>
      <c r="B6090" s="504">
        <f>+MONTH(A6090)</f>
        <v>11</v>
      </c>
      <c r="C6090" s="505">
        <v>3453</v>
      </c>
      <c r="D6090" s="504" t="str">
        <f>VLOOKUP(C6090,Plan!A$1:B$65542,2,0)</f>
        <v>Cajas de navidad</v>
      </c>
      <c r="E6090" s="506">
        <f>+F6090-G6090</f>
        <v>-40000</v>
      </c>
      <c r="F6090" s="508">
        <v>0</v>
      </c>
      <c r="G6090" s="512">
        <f>+F6089</f>
        <v>40000</v>
      </c>
      <c r="H6090" s="338" t="str">
        <f>+H6089</f>
        <v>Caja Navidad Cristian Mir B</v>
      </c>
      <c r="I6090" s="507" t="s">
        <v>296</v>
      </c>
      <c r="K6090" s="370"/>
      <c r="N6090" s="370"/>
    </row>
    <row r="6091" spans="1:14" s="347" customFormat="1" x14ac:dyDescent="0.25">
      <c r="A6091" s="369"/>
      <c r="E6091" s="396"/>
      <c r="F6091" s="396"/>
      <c r="G6091" s="396"/>
      <c r="K6091" s="370"/>
      <c r="N6091" s="370"/>
    </row>
    <row r="6092" spans="1:14" s="347" customFormat="1" x14ac:dyDescent="0.25">
      <c r="A6092" s="503">
        <v>44515</v>
      </c>
      <c r="B6092" s="504">
        <f>+MONTH(A6092)</f>
        <v>11</v>
      </c>
      <c r="C6092" s="505">
        <v>110</v>
      </c>
      <c r="D6092" s="504" t="str">
        <f>VLOOKUP(C6092,Plan!A$1:B$65542,2,0)</f>
        <v>Disponible Administración</v>
      </c>
      <c r="E6092" s="506">
        <f>+F6092-G6092</f>
        <v>64000</v>
      </c>
      <c r="F6092" s="508">
        <v>64000</v>
      </c>
      <c r="G6092" s="512">
        <v>0</v>
      </c>
      <c r="H6092" s="338" t="s">
        <v>2255</v>
      </c>
      <c r="I6092" s="507" t="s">
        <v>296</v>
      </c>
      <c r="K6092" s="370"/>
      <c r="N6092" s="370"/>
    </row>
    <row r="6093" spans="1:14" s="347" customFormat="1" x14ac:dyDescent="0.25">
      <c r="A6093" s="503">
        <f>+A6092</f>
        <v>44515</v>
      </c>
      <c r="B6093" s="504">
        <f>+MONTH(A6093)</f>
        <v>11</v>
      </c>
      <c r="C6093" s="505">
        <v>3453</v>
      </c>
      <c r="D6093" s="504" t="str">
        <f>VLOOKUP(C6093,Plan!A$1:B$65542,2,0)</f>
        <v>Cajas de navidad</v>
      </c>
      <c r="E6093" s="506">
        <f>+F6093-G6093</f>
        <v>-64000</v>
      </c>
      <c r="F6093" s="508">
        <v>0</v>
      </c>
      <c r="G6093" s="512">
        <f>+F6092</f>
        <v>64000</v>
      </c>
      <c r="H6093" s="338" t="str">
        <f>+H6092</f>
        <v>Caja Navidad Rosario Joannon Grez</v>
      </c>
      <c r="I6093" s="507" t="s">
        <v>296</v>
      </c>
      <c r="K6093" s="370"/>
      <c r="N6093" s="370"/>
    </row>
    <row r="6094" spans="1:14" s="347" customFormat="1" x14ac:dyDescent="0.25">
      <c r="A6094" s="369"/>
      <c r="E6094" s="396"/>
      <c r="F6094" s="396"/>
      <c r="G6094" s="396"/>
      <c r="K6094" s="370"/>
      <c r="N6094" s="370"/>
    </row>
    <row r="6095" spans="1:14" s="347" customFormat="1" x14ac:dyDescent="0.25">
      <c r="A6095" s="503">
        <v>44515</v>
      </c>
      <c r="B6095" s="504">
        <f>+MONTH(A6095)</f>
        <v>11</v>
      </c>
      <c r="C6095" s="505">
        <v>110</v>
      </c>
      <c r="D6095" s="504" t="str">
        <f>VLOOKUP(C6095,Plan!A$1:B$65542,2,0)</f>
        <v>Disponible Administración</v>
      </c>
      <c r="E6095" s="506">
        <f>+F6095-G6095</f>
        <v>692690</v>
      </c>
      <c r="F6095" s="508">
        <v>692690</v>
      </c>
      <c r="G6095" s="512">
        <v>0</v>
      </c>
      <c r="H6095" t="s">
        <v>1936</v>
      </c>
      <c r="I6095" s="507" t="s">
        <v>296</v>
      </c>
      <c r="K6095" s="370"/>
      <c r="N6095" s="370"/>
    </row>
    <row r="6096" spans="1:14" s="347" customFormat="1" x14ac:dyDescent="0.25">
      <c r="A6096" s="503">
        <f>+A6095</f>
        <v>44515</v>
      </c>
      <c r="B6096" s="504">
        <f>+MONTH(A6096)</f>
        <v>11</v>
      </c>
      <c r="C6096" s="505">
        <v>3110</v>
      </c>
      <c r="D6096" s="504" t="str">
        <f>VLOOKUP(C6096,Plan!A$1:B$65542,2,0)</f>
        <v>Colectas Normales</v>
      </c>
      <c r="E6096" s="506">
        <f>+F6096-G6096</f>
        <v>-692690</v>
      </c>
      <c r="F6096" s="508">
        <v>0</v>
      </c>
      <c r="G6096" s="512">
        <f>+F6095</f>
        <v>692690</v>
      </c>
      <c r="H6096" s="338" t="str">
        <f>+H6095</f>
        <v>Colecta Col.Cordillera</v>
      </c>
      <c r="I6096" s="507" t="s">
        <v>296</v>
      </c>
      <c r="K6096" s="370"/>
      <c r="N6096" s="370"/>
    </row>
    <row r="6097" spans="1:14" s="347" customFormat="1" x14ac:dyDescent="0.25">
      <c r="A6097" s="369"/>
      <c r="E6097" s="396"/>
      <c r="F6097" s="396"/>
      <c r="G6097" s="396"/>
      <c r="K6097" s="370"/>
      <c r="N6097" s="370"/>
    </row>
    <row r="6098" spans="1:14" s="347" customFormat="1" x14ac:dyDescent="0.25">
      <c r="A6098" s="503">
        <v>44516</v>
      </c>
      <c r="B6098" s="504">
        <f>+MONTH(A6098)</f>
        <v>11</v>
      </c>
      <c r="C6098" s="505">
        <v>110</v>
      </c>
      <c r="D6098" s="504" t="str">
        <f>VLOOKUP(C6098,Plan!A$1:B$65542,2,0)</f>
        <v>Disponible Administración</v>
      </c>
      <c r="E6098" s="506">
        <f>+F6098-G6098</f>
        <v>20000</v>
      </c>
      <c r="F6098" s="508">
        <v>20000</v>
      </c>
      <c r="G6098" s="512">
        <v>0</v>
      </c>
      <c r="H6098" t="s">
        <v>2256</v>
      </c>
      <c r="I6098" s="507" t="s">
        <v>296</v>
      </c>
      <c r="K6098" s="370"/>
      <c r="N6098" s="370"/>
    </row>
    <row r="6099" spans="1:14" s="347" customFormat="1" x14ac:dyDescent="0.25">
      <c r="A6099" s="503">
        <f>+A6098</f>
        <v>44516</v>
      </c>
      <c r="B6099" s="504">
        <f>+MONTH(A6099)</f>
        <v>11</v>
      </c>
      <c r="C6099" s="505">
        <v>3350</v>
      </c>
      <c r="D6099" s="504" t="str">
        <f>VLOOKUP(C6099,Plan!A$1:B$65542,2,0)</f>
        <v>Bautizos</v>
      </c>
      <c r="E6099" s="506">
        <f>+F6099-G6099</f>
        <v>-20000</v>
      </c>
      <c r="F6099" s="508">
        <v>0</v>
      </c>
      <c r="G6099" s="512">
        <f>+F6098</f>
        <v>20000</v>
      </c>
      <c r="H6099" s="338" t="str">
        <f>+H6098</f>
        <v>Bautizo Fiametta Bonati</v>
      </c>
      <c r="I6099" s="507" t="s">
        <v>296</v>
      </c>
      <c r="K6099" s="370"/>
      <c r="N6099" s="370"/>
    </row>
    <row r="6100" spans="1:14" s="347" customFormat="1" x14ac:dyDescent="0.25">
      <c r="A6100" s="369"/>
      <c r="E6100" s="396"/>
      <c r="F6100" s="396"/>
      <c r="G6100" s="396"/>
      <c r="K6100" s="370"/>
      <c r="N6100" s="370"/>
    </row>
    <row r="6101" spans="1:14" s="347" customFormat="1" x14ac:dyDescent="0.25">
      <c r="A6101" s="503">
        <v>44516</v>
      </c>
      <c r="B6101" s="504">
        <f>+MONTH(A6101)</f>
        <v>11</v>
      </c>
      <c r="C6101" s="505">
        <v>110</v>
      </c>
      <c r="D6101" s="504" t="str">
        <f>VLOOKUP(C6101,Plan!A$1:B$65542,2,0)</f>
        <v>Disponible Administración</v>
      </c>
      <c r="E6101" s="506">
        <f>+F6101-G6101</f>
        <v>50000</v>
      </c>
      <c r="F6101" s="508">
        <v>50000</v>
      </c>
      <c r="G6101" s="512">
        <v>0</v>
      </c>
      <c r="H6101" t="s">
        <v>2257</v>
      </c>
      <c r="I6101" s="507" t="s">
        <v>296</v>
      </c>
      <c r="K6101" s="370"/>
      <c r="N6101" s="370"/>
    </row>
    <row r="6102" spans="1:14" s="347" customFormat="1" x14ac:dyDescent="0.25">
      <c r="A6102" s="503">
        <f>+A6101</f>
        <v>44516</v>
      </c>
      <c r="B6102" s="504">
        <f>+MONTH(A6102)</f>
        <v>11</v>
      </c>
      <c r="C6102" s="505">
        <v>3360</v>
      </c>
      <c r="D6102" s="504" t="str">
        <f>VLOOKUP(C6102,Plan!A$1:B$65542,2,0)</f>
        <v>Otros</v>
      </c>
      <c r="E6102" s="506">
        <f>+F6102-G6102</f>
        <v>-50000</v>
      </c>
      <c r="F6102" s="508">
        <v>0</v>
      </c>
      <c r="G6102" s="512">
        <f>+F6101</f>
        <v>50000</v>
      </c>
      <c r="H6102" s="338" t="str">
        <f>+H6101</f>
        <v>Curso Pedro Iriberry MC.</v>
      </c>
      <c r="I6102" s="507" t="s">
        <v>296</v>
      </c>
      <c r="K6102" s="370"/>
      <c r="N6102" s="370"/>
    </row>
    <row r="6103" spans="1:14" s="347" customFormat="1" x14ac:dyDescent="0.25">
      <c r="A6103" s="369"/>
      <c r="E6103" s="396"/>
      <c r="F6103" s="396"/>
      <c r="G6103" s="396"/>
      <c r="K6103" s="370"/>
      <c r="N6103" s="370"/>
    </row>
    <row r="6104" spans="1:14" s="347" customFormat="1" x14ac:dyDescent="0.25">
      <c r="A6104" s="503">
        <v>44516</v>
      </c>
      <c r="B6104" s="504">
        <f>+MONTH(A6104)</f>
        <v>11</v>
      </c>
      <c r="C6104" s="505">
        <v>110</v>
      </c>
      <c r="D6104" s="504" t="str">
        <f>VLOOKUP(C6104,Plan!A$1:B$65542,2,0)</f>
        <v>Disponible Administración</v>
      </c>
      <c r="E6104" s="506">
        <f>+F6104-G6104</f>
        <v>162000</v>
      </c>
      <c r="F6104" s="508">
        <v>162000</v>
      </c>
      <c r="G6104" s="512">
        <v>0</v>
      </c>
      <c r="H6104" t="s">
        <v>2222</v>
      </c>
      <c r="I6104" s="507" t="s">
        <v>296</v>
      </c>
      <c r="K6104" s="370"/>
      <c r="N6104" s="370"/>
    </row>
    <row r="6105" spans="1:14" s="347" customFormat="1" x14ac:dyDescent="0.25">
      <c r="A6105" s="503">
        <f>+A6104</f>
        <v>44516</v>
      </c>
      <c r="B6105" s="504">
        <f>+MONTH(A6105)</f>
        <v>11</v>
      </c>
      <c r="C6105" s="505">
        <v>3453</v>
      </c>
      <c r="D6105" s="504" t="str">
        <f>VLOOKUP(C6105,Plan!A$1:B$65542,2,0)</f>
        <v>Cajas de navidad</v>
      </c>
      <c r="E6105" s="506">
        <f>+F6105-G6105</f>
        <v>-162000</v>
      </c>
      <c r="F6105" s="508">
        <v>0</v>
      </c>
      <c r="G6105" s="512">
        <f>+F6104</f>
        <v>162000</v>
      </c>
      <c r="H6105" s="338" t="str">
        <f>+H6104</f>
        <v>Caja Navidad Juan Carlos Cornejo</v>
      </c>
      <c r="I6105" s="507" t="s">
        <v>296</v>
      </c>
      <c r="K6105" s="370"/>
      <c r="N6105" s="370"/>
    </row>
    <row r="6106" spans="1:14" s="347" customFormat="1" x14ac:dyDescent="0.25">
      <c r="A6106" s="369"/>
      <c r="E6106" s="396"/>
      <c r="F6106" s="396"/>
      <c r="G6106" s="396"/>
      <c r="K6106" s="370"/>
      <c r="N6106" s="370"/>
    </row>
    <row r="6107" spans="1:14" s="347" customFormat="1" x14ac:dyDescent="0.25">
      <c r="A6107" s="503">
        <v>44516</v>
      </c>
      <c r="B6107" s="504">
        <f>+MONTH(A6107)</f>
        <v>11</v>
      </c>
      <c r="C6107" s="505">
        <v>110</v>
      </c>
      <c r="D6107" s="504" t="str">
        <f>VLOOKUP(C6107,Plan!A$1:B$65542,2,0)</f>
        <v>Disponible Administración</v>
      </c>
      <c r="E6107" s="506">
        <f>+F6107-G6107</f>
        <v>25000</v>
      </c>
      <c r="F6107" s="508">
        <v>25000</v>
      </c>
      <c r="G6107" s="512">
        <v>0</v>
      </c>
      <c r="H6107" t="s">
        <v>2258</v>
      </c>
      <c r="I6107" s="507" t="s">
        <v>296</v>
      </c>
      <c r="K6107" s="370"/>
      <c r="N6107" s="370"/>
    </row>
    <row r="6108" spans="1:14" s="347" customFormat="1" x14ac:dyDescent="0.25">
      <c r="A6108" s="503">
        <f>+A6107</f>
        <v>44516</v>
      </c>
      <c r="B6108" s="504">
        <f>+MONTH(A6108)</f>
        <v>11</v>
      </c>
      <c r="C6108" s="505">
        <v>3453</v>
      </c>
      <c r="D6108" s="504" t="str">
        <f>VLOOKUP(C6108,Plan!A$1:B$65542,2,0)</f>
        <v>Cajas de navidad</v>
      </c>
      <c r="E6108" s="506">
        <f>+F6108-G6108</f>
        <v>-25000</v>
      </c>
      <c r="F6108" s="508">
        <v>0</v>
      </c>
      <c r="G6108" s="512">
        <f>+F6107</f>
        <v>25000</v>
      </c>
      <c r="H6108" s="338" t="str">
        <f>+H6107</f>
        <v>Caja Navidad Horacio Canessa Zapico</v>
      </c>
      <c r="I6108" s="507" t="s">
        <v>296</v>
      </c>
      <c r="K6108" s="370"/>
      <c r="N6108" s="370"/>
    </row>
    <row r="6109" spans="1:14" s="347" customFormat="1" x14ac:dyDescent="0.25">
      <c r="A6109" s="515"/>
      <c r="B6109" s="517"/>
      <c r="C6109" s="518"/>
      <c r="D6109" s="517"/>
      <c r="E6109" s="341"/>
      <c r="F6109" s="345"/>
      <c r="G6109" s="519"/>
      <c r="H6109" s="338"/>
      <c r="I6109" s="520"/>
      <c r="J6109" s="340"/>
      <c r="K6109" s="209"/>
      <c r="L6109" s="340"/>
      <c r="N6109" s="370"/>
    </row>
    <row r="6110" spans="1:14" s="347" customFormat="1" x14ac:dyDescent="0.25">
      <c r="A6110" s="503">
        <v>44516</v>
      </c>
      <c r="B6110" s="504">
        <f>+MONTH(A6110)</f>
        <v>11</v>
      </c>
      <c r="C6110" s="505">
        <v>110</v>
      </c>
      <c r="D6110" s="504" t="str">
        <f>VLOOKUP(C6110,Plan!A$1:B$65542,2,0)</f>
        <v>Disponible Administración</v>
      </c>
      <c r="E6110" s="506">
        <f>+F6110-G6110</f>
        <v>10000</v>
      </c>
      <c r="F6110" s="508">
        <v>10000</v>
      </c>
      <c r="G6110" s="512">
        <v>0</v>
      </c>
      <c r="H6110" t="s">
        <v>2278</v>
      </c>
      <c r="I6110" s="507" t="s">
        <v>296</v>
      </c>
      <c r="J6110" s="340"/>
      <c r="K6110" s="209"/>
      <c r="L6110" s="340"/>
      <c r="N6110" s="370"/>
    </row>
    <row r="6111" spans="1:14" s="347" customFormat="1" x14ac:dyDescent="0.25">
      <c r="A6111" s="503">
        <f>+A6110</f>
        <v>44516</v>
      </c>
      <c r="B6111" s="504">
        <f>+MONTH(A6111)</f>
        <v>11</v>
      </c>
      <c r="C6111" s="505">
        <v>3340</v>
      </c>
      <c r="D6111" s="504" t="str">
        <f>VLOOKUP(C6111,Plan!A$1:B$65542,2,0)</f>
        <v>Misas</v>
      </c>
      <c r="E6111" s="506">
        <f>+F6111-G6111</f>
        <v>-10000</v>
      </c>
      <c r="F6111" s="508">
        <v>0</v>
      </c>
      <c r="G6111" s="512">
        <f>+F6110</f>
        <v>10000</v>
      </c>
      <c r="H6111" s="338" t="str">
        <f>+H6110</f>
        <v>Misa Horacio Canessa Zapico</v>
      </c>
      <c r="I6111" s="507" t="s">
        <v>296</v>
      </c>
      <c r="J6111" s="340"/>
      <c r="K6111" s="209"/>
      <c r="L6111" s="340"/>
      <c r="N6111" s="370"/>
    </row>
    <row r="6112" spans="1:14" s="347" customFormat="1" x14ac:dyDescent="0.25">
      <c r="A6112" s="369"/>
      <c r="B6112" s="340"/>
      <c r="D6112" s="340"/>
      <c r="E6112" s="341"/>
      <c r="F6112" s="396"/>
      <c r="G6112" s="396"/>
      <c r="I6112" s="340"/>
      <c r="K6112" s="370"/>
      <c r="N6112" s="370"/>
    </row>
    <row r="6113" spans="1:14" s="347" customFormat="1" x14ac:dyDescent="0.25">
      <c r="A6113" s="503">
        <v>44516</v>
      </c>
      <c r="B6113" s="504">
        <f>+MONTH(A6113)</f>
        <v>11</v>
      </c>
      <c r="C6113" s="505">
        <v>4321</v>
      </c>
      <c r="D6113" s="504" t="str">
        <f>VLOOKUP(C6113,Plan!A$1:B$65542,2,0)</f>
        <v>Electricidad</v>
      </c>
      <c r="E6113" s="506">
        <f>+F6113-G6113</f>
        <v>9652</v>
      </c>
      <c r="F6113" s="508">
        <v>9652</v>
      </c>
      <c r="G6113" s="512">
        <v>0</v>
      </c>
      <c r="H6113" t="s">
        <v>2259</v>
      </c>
      <c r="I6113" s="507" t="s">
        <v>296</v>
      </c>
      <c r="K6113" s="370"/>
      <c r="N6113" s="370"/>
    </row>
    <row r="6114" spans="1:14" s="347" customFormat="1" x14ac:dyDescent="0.25">
      <c r="A6114" s="503">
        <f>+A6113</f>
        <v>44516</v>
      </c>
      <c r="B6114" s="504">
        <f>+MONTH(A6114)</f>
        <v>11</v>
      </c>
      <c r="C6114" s="505">
        <v>110</v>
      </c>
      <c r="D6114" s="504" t="str">
        <f>VLOOKUP(C6114,Plan!A$1:B$65542,2,0)</f>
        <v>Disponible Administración</v>
      </c>
      <c r="E6114" s="506">
        <f>+F6114-G6114</f>
        <v>-9652</v>
      </c>
      <c r="F6114" s="508">
        <v>0</v>
      </c>
      <c r="G6114" s="512">
        <f>+F6113</f>
        <v>9652</v>
      </c>
      <c r="H6114" s="338" t="str">
        <f>+H6113</f>
        <v>PAC ENEL OFICiNA</v>
      </c>
      <c r="I6114" s="507" t="s">
        <v>296</v>
      </c>
      <c r="K6114" s="370"/>
      <c r="N6114" s="370"/>
    </row>
    <row r="6115" spans="1:14" s="347" customFormat="1" x14ac:dyDescent="0.25">
      <c r="A6115" s="369"/>
      <c r="E6115" s="396"/>
      <c r="F6115" s="396"/>
      <c r="G6115" s="396"/>
      <c r="K6115" s="370"/>
      <c r="N6115" s="370"/>
    </row>
    <row r="6116" spans="1:14" s="347" customFormat="1" x14ac:dyDescent="0.25">
      <c r="A6116" s="503">
        <v>44516</v>
      </c>
      <c r="B6116" s="504">
        <f>+MONTH(A6116)</f>
        <v>11</v>
      </c>
      <c r="C6116" s="505">
        <v>4325</v>
      </c>
      <c r="D6116" s="504" t="str">
        <f>VLOOKUP(C6116,Plan!A$1:B$65542,2,0)</f>
        <v>Alarma (ADT)</v>
      </c>
      <c r="E6116" s="506">
        <f>+F6116-G6116</f>
        <v>44373</v>
      </c>
      <c r="F6116" s="508">
        <v>44373</v>
      </c>
      <c r="G6116" s="512">
        <v>0</v>
      </c>
      <c r="H6116" t="s">
        <v>750</v>
      </c>
      <c r="I6116" s="507" t="s">
        <v>296</v>
      </c>
      <c r="K6116" s="370"/>
      <c r="N6116" s="370"/>
    </row>
    <row r="6117" spans="1:14" s="347" customFormat="1" x14ac:dyDescent="0.25">
      <c r="A6117" s="503">
        <f>+A6116</f>
        <v>44516</v>
      </c>
      <c r="B6117" s="504">
        <f>+MONTH(A6117)</f>
        <v>11</v>
      </c>
      <c r="C6117" s="505">
        <v>110</v>
      </c>
      <c r="D6117" s="504" t="str">
        <f>VLOOKUP(C6117,Plan!A$1:B$65542,2,0)</f>
        <v>Disponible Administración</v>
      </c>
      <c r="E6117" s="506">
        <f>+F6117-G6117</f>
        <v>-44373</v>
      </c>
      <c r="F6117" s="508">
        <v>0</v>
      </c>
      <c r="G6117" s="512">
        <f>+F6116</f>
        <v>44373</v>
      </c>
      <c r="H6117" s="338" t="str">
        <f>+H6116</f>
        <v>PAC ADT</v>
      </c>
      <c r="I6117" s="507" t="s">
        <v>296</v>
      </c>
      <c r="K6117" s="370"/>
      <c r="N6117" s="370"/>
    </row>
    <row r="6118" spans="1:14" s="347" customFormat="1" x14ac:dyDescent="0.25">
      <c r="A6118" s="369"/>
      <c r="E6118" s="396"/>
      <c r="F6118" s="396"/>
      <c r="G6118" s="396"/>
      <c r="K6118" s="370"/>
      <c r="N6118" s="370"/>
    </row>
    <row r="6119" spans="1:14" s="347" customFormat="1" x14ac:dyDescent="0.25">
      <c r="A6119" s="503">
        <v>44516</v>
      </c>
      <c r="B6119" s="504">
        <f>+MONTH(A6119)</f>
        <v>11</v>
      </c>
      <c r="C6119" s="505">
        <v>110</v>
      </c>
      <c r="D6119" s="504" t="str">
        <f>VLOOKUP(C6119,Plan!A$1:B$65542,2,0)</f>
        <v>Disponible Administración</v>
      </c>
      <c r="E6119" s="506">
        <f>+F6119-G6119</f>
        <v>9816</v>
      </c>
      <c r="F6119" s="508">
        <v>9816</v>
      </c>
      <c r="G6119" s="512">
        <v>0</v>
      </c>
      <c r="H6119" t="s">
        <v>2260</v>
      </c>
      <c r="I6119" s="507" t="s">
        <v>296</v>
      </c>
      <c r="K6119" s="370"/>
      <c r="N6119" s="370"/>
    </row>
    <row r="6120" spans="1:14" s="347" customFormat="1" x14ac:dyDescent="0.25">
      <c r="A6120" s="503">
        <f>+A6119</f>
        <v>44516</v>
      </c>
      <c r="B6120" s="504">
        <f>+MONTH(A6120)</f>
        <v>11</v>
      </c>
      <c r="C6120" s="505">
        <v>215</v>
      </c>
      <c r="D6120" s="504" t="str">
        <f>VLOOKUP(C6120,Plan!A$1:B$65542,2,0)</f>
        <v>Cuenta por Pagar a Cali</v>
      </c>
      <c r="E6120" s="506">
        <f>+F6120-G6120</f>
        <v>-9816</v>
      </c>
      <c r="F6120" s="508">
        <v>0</v>
      </c>
      <c r="G6120" s="512">
        <f>+F6119</f>
        <v>9816</v>
      </c>
      <c r="H6120" s="338" t="str">
        <f>+H6119</f>
        <v>Rita Vasquez Godoy ($10000)</v>
      </c>
      <c r="I6120" s="507" t="s">
        <v>296</v>
      </c>
      <c r="K6120" s="370"/>
      <c r="N6120" s="370"/>
    </row>
    <row r="6121" spans="1:14" s="347" customFormat="1" x14ac:dyDescent="0.25">
      <c r="A6121" s="369"/>
      <c r="E6121" s="396"/>
      <c r="F6121" s="396"/>
      <c r="G6121" s="396"/>
      <c r="K6121" s="370"/>
      <c r="N6121" s="370"/>
    </row>
    <row r="6122" spans="1:14" s="347" customFormat="1" x14ac:dyDescent="0.25">
      <c r="A6122" s="503">
        <v>44516</v>
      </c>
      <c r="B6122" s="504">
        <f>+MONTH(A6122)</f>
        <v>11</v>
      </c>
      <c r="C6122" s="505">
        <v>110</v>
      </c>
      <c r="D6122" s="504" t="str">
        <f>VLOOKUP(C6122,Plan!A$1:B$65542,2,0)</f>
        <v>Disponible Administración</v>
      </c>
      <c r="E6122" s="506">
        <f>+F6122-G6122</f>
        <v>14519</v>
      </c>
      <c r="F6122" s="508">
        <v>14519</v>
      </c>
      <c r="G6122" s="512">
        <v>0</v>
      </c>
      <c r="H6122" t="s">
        <v>2261</v>
      </c>
      <c r="I6122" s="507" t="s">
        <v>296</v>
      </c>
      <c r="K6122" s="370"/>
      <c r="N6122" s="370"/>
    </row>
    <row r="6123" spans="1:14" s="347" customFormat="1" x14ac:dyDescent="0.25">
      <c r="A6123" s="503">
        <f>+A6122</f>
        <v>44516</v>
      </c>
      <c r="B6123" s="504">
        <f>+MONTH(A6123)</f>
        <v>11</v>
      </c>
      <c r="C6123" s="505">
        <v>215</v>
      </c>
      <c r="D6123" s="504" t="str">
        <f>VLOOKUP(C6123,Plan!A$1:B$65542,2,0)</f>
        <v>Cuenta por Pagar a Cali</v>
      </c>
      <c r="E6123" s="506">
        <f>+F6123-G6123</f>
        <v>-14519</v>
      </c>
      <c r="F6123" s="508">
        <v>0</v>
      </c>
      <c r="G6123" s="512">
        <f>+F6122</f>
        <v>14519</v>
      </c>
      <c r="H6123" s="338" t="str">
        <f>+H6122</f>
        <v>Maria Paz Rauch Varas ($15000)</v>
      </c>
      <c r="I6123" s="507" t="s">
        <v>296</v>
      </c>
      <c r="K6123" s="370"/>
      <c r="N6123" s="370"/>
    </row>
    <row r="6124" spans="1:14" s="347" customFormat="1" x14ac:dyDescent="0.25">
      <c r="A6124" s="369"/>
      <c r="E6124" s="396"/>
      <c r="F6124" s="396"/>
      <c r="G6124" s="396"/>
      <c r="K6124" s="370"/>
      <c r="N6124" s="370"/>
    </row>
    <row r="6125" spans="1:14" s="347" customFormat="1" x14ac:dyDescent="0.25">
      <c r="A6125" s="503">
        <v>44516</v>
      </c>
      <c r="B6125" s="504">
        <f>+MONTH(A6125)</f>
        <v>11</v>
      </c>
      <c r="C6125" s="505">
        <v>110</v>
      </c>
      <c r="D6125" s="504" t="str">
        <f>VLOOKUP(C6125,Plan!A$1:B$65542,2,0)</f>
        <v>Disponible Administración</v>
      </c>
      <c r="E6125" s="506">
        <f>+F6125-G6125</f>
        <v>404400</v>
      </c>
      <c r="F6125" s="508">
        <v>404400</v>
      </c>
      <c r="G6125" s="512">
        <v>0</v>
      </c>
      <c r="H6125" t="s">
        <v>2218</v>
      </c>
      <c r="I6125" s="507" t="s">
        <v>296</v>
      </c>
      <c r="K6125" s="370"/>
      <c r="N6125" s="370"/>
    </row>
    <row r="6126" spans="1:14" s="347" customFormat="1" x14ac:dyDescent="0.25">
      <c r="A6126" s="503">
        <f>+A6125</f>
        <v>44516</v>
      </c>
      <c r="B6126" s="504">
        <f>+MONTH(A6126)</f>
        <v>11</v>
      </c>
      <c r="C6126" s="505">
        <v>3453</v>
      </c>
      <c r="D6126" s="504" t="str">
        <f>VLOOKUP(C6126,Plan!A$1:B$65542,2,0)</f>
        <v>Cajas de navidad</v>
      </c>
      <c r="E6126" s="506">
        <f>+F6126-G6126</f>
        <v>-404400</v>
      </c>
      <c r="F6126" s="508">
        <v>0</v>
      </c>
      <c r="G6126" s="512">
        <f>+F6125</f>
        <v>404400</v>
      </c>
      <c r="H6126" s="338" t="str">
        <f>+H6125</f>
        <v>Caja Navidad POS</v>
      </c>
      <c r="I6126" s="507" t="s">
        <v>296</v>
      </c>
      <c r="K6126" s="370"/>
      <c r="N6126" s="370"/>
    </row>
    <row r="6127" spans="1:14" s="347" customFormat="1" x14ac:dyDescent="0.25">
      <c r="A6127" s="369"/>
      <c r="E6127" s="396"/>
      <c r="F6127" s="396"/>
      <c r="G6127" s="396"/>
      <c r="K6127" s="370"/>
      <c r="N6127" s="370"/>
    </row>
    <row r="6128" spans="1:14" s="347" customFormat="1" x14ac:dyDescent="0.25">
      <c r="A6128" s="503">
        <v>44516</v>
      </c>
      <c r="B6128" s="504">
        <f>+MONTH(A6128)</f>
        <v>11</v>
      </c>
      <c r="C6128" s="505">
        <v>110</v>
      </c>
      <c r="D6128" s="504" t="str">
        <f>VLOOKUP(C6128,Plan!A$1:B$65542,2,0)</f>
        <v>Disponible Administración</v>
      </c>
      <c r="E6128" s="506">
        <f>+F6128-G6128</f>
        <v>80000</v>
      </c>
      <c r="F6128" s="508">
        <v>80000</v>
      </c>
      <c r="G6128" s="512">
        <v>0</v>
      </c>
      <c r="H6128" t="s">
        <v>2262</v>
      </c>
      <c r="I6128" s="507" t="s">
        <v>296</v>
      </c>
      <c r="K6128" s="370"/>
      <c r="N6128" s="370"/>
    </row>
    <row r="6129" spans="1:14" s="347" customFormat="1" x14ac:dyDescent="0.25">
      <c r="A6129" s="503">
        <f>+A6128</f>
        <v>44516</v>
      </c>
      <c r="B6129" s="504">
        <f>+MONTH(A6129)</f>
        <v>11</v>
      </c>
      <c r="C6129" s="505">
        <v>3320</v>
      </c>
      <c r="D6129" s="504" t="str">
        <f>VLOOKUP(C6129,Plan!A$1:B$65542,2,0)</f>
        <v>Matrimonios</v>
      </c>
      <c r="E6129" s="506">
        <f>+F6129-G6129</f>
        <v>-80000</v>
      </c>
      <c r="F6129" s="508">
        <v>0</v>
      </c>
      <c r="G6129" s="512">
        <f>+F6128</f>
        <v>80000</v>
      </c>
      <c r="H6129" s="338" t="str">
        <f>+H6128</f>
        <v>Matrimonio José Pedro Laso (Post. Argollas)</v>
      </c>
      <c r="I6129" s="507" t="s">
        <v>296</v>
      </c>
      <c r="K6129" s="370"/>
      <c r="N6129" s="370"/>
    </row>
    <row r="6130" spans="1:14" s="347" customFormat="1" x14ac:dyDescent="0.25">
      <c r="A6130" s="369"/>
      <c r="E6130" s="396"/>
      <c r="F6130" s="396"/>
      <c r="G6130" s="396"/>
      <c r="K6130" s="370"/>
      <c r="N6130" s="370"/>
    </row>
    <row r="6131" spans="1:14" s="347" customFormat="1" x14ac:dyDescent="0.25">
      <c r="A6131" s="503">
        <v>44516</v>
      </c>
      <c r="B6131" s="504">
        <f>+MONTH(A6131)</f>
        <v>11</v>
      </c>
      <c r="C6131" s="505">
        <v>110</v>
      </c>
      <c r="D6131" s="504" t="str">
        <f>VLOOKUP(C6131,Plan!A$1:B$65542,2,0)</f>
        <v>Disponible Administración</v>
      </c>
      <c r="E6131" s="506">
        <f>+F6131-G6131</f>
        <v>10000</v>
      </c>
      <c r="F6131" s="508">
        <v>10000</v>
      </c>
      <c r="G6131" s="512">
        <v>0</v>
      </c>
      <c r="H6131" t="s">
        <v>2263</v>
      </c>
      <c r="I6131" s="507" t="s">
        <v>296</v>
      </c>
      <c r="K6131" s="370"/>
      <c r="N6131" s="370"/>
    </row>
    <row r="6132" spans="1:14" s="347" customFormat="1" x14ac:dyDescent="0.25">
      <c r="A6132" s="503">
        <f>+A6131</f>
        <v>44516</v>
      </c>
      <c r="B6132" s="504">
        <f>+MONTH(A6132)</f>
        <v>11</v>
      </c>
      <c r="C6132" s="505">
        <v>3320</v>
      </c>
      <c r="D6132" s="504" t="str">
        <f>VLOOKUP(C6132,Plan!A$1:B$65542,2,0)</f>
        <v>Matrimonios</v>
      </c>
      <c r="E6132" s="506">
        <f>+F6132-G6132</f>
        <v>-10000</v>
      </c>
      <c r="F6132" s="508">
        <v>0</v>
      </c>
      <c r="G6132" s="512">
        <f>+F6131</f>
        <v>10000</v>
      </c>
      <c r="H6132" s="338" t="str">
        <f>+H6131</f>
        <v>Matrimonio Alejandro Perez</v>
      </c>
      <c r="I6132" s="507" t="s">
        <v>296</v>
      </c>
      <c r="K6132" s="370"/>
      <c r="N6132" s="370"/>
    </row>
    <row r="6133" spans="1:14" s="347" customFormat="1" x14ac:dyDescent="0.25">
      <c r="A6133" s="369"/>
      <c r="E6133" s="396"/>
      <c r="F6133" s="396"/>
      <c r="G6133" s="396"/>
      <c r="K6133" s="370"/>
      <c r="N6133" s="370"/>
    </row>
    <row r="6134" spans="1:14" s="347" customFormat="1" x14ac:dyDescent="0.25">
      <c r="A6134" s="503">
        <v>44517</v>
      </c>
      <c r="B6134" s="504">
        <f>+MONTH(A6134)</f>
        <v>11</v>
      </c>
      <c r="C6134" s="505">
        <v>4223</v>
      </c>
      <c r="D6134" s="504" t="str">
        <f>VLOOKUP(C6134,Plan!A$1:B$65542,2,0)</f>
        <v xml:space="preserve">         Comunicaciones</v>
      </c>
      <c r="E6134" s="506">
        <f>+F6134-G6134</f>
        <v>338983</v>
      </c>
      <c r="F6134" s="508">
        <f>+G6135+G6136</f>
        <v>338983</v>
      </c>
      <c r="G6134" s="512">
        <v>0</v>
      </c>
      <c r="H6134" t="s">
        <v>2264</v>
      </c>
      <c r="I6134" s="507" t="s">
        <v>296</v>
      </c>
      <c r="K6134" s="370"/>
      <c r="N6134" s="370"/>
    </row>
    <row r="6135" spans="1:14" s="347" customFormat="1" x14ac:dyDescent="0.25">
      <c r="A6135" s="503">
        <f>+A6134</f>
        <v>44517</v>
      </c>
      <c r="B6135" s="504">
        <f>+MONTH(A6135)</f>
        <v>11</v>
      </c>
      <c r="C6135" s="505">
        <v>223</v>
      </c>
      <c r="D6135" s="504" t="str">
        <f>VLOOKUP(C6135,Plan!A$1:B$65542,2,0)</f>
        <v>Ret. Hon.  e Impto. Unico Administración</v>
      </c>
      <c r="E6135" s="506">
        <f>+F6135-G6135</f>
        <v>-38983</v>
      </c>
      <c r="F6135" s="508">
        <v>0</v>
      </c>
      <c r="G6135" s="512">
        <v>38983</v>
      </c>
      <c r="H6135" s="338" t="str">
        <f>+H6134</f>
        <v>BE-33 Maria Ines Jara Lama</v>
      </c>
      <c r="I6135" s="507" t="s">
        <v>296</v>
      </c>
      <c r="K6135" s="370"/>
      <c r="N6135" s="370"/>
    </row>
    <row r="6136" spans="1:14" s="347" customFormat="1" x14ac:dyDescent="0.25">
      <c r="A6136" s="503">
        <f>+A6135</f>
        <v>44517</v>
      </c>
      <c r="B6136" s="504">
        <f>+MONTH(A6136)</f>
        <v>11</v>
      </c>
      <c r="C6136" s="505">
        <v>110</v>
      </c>
      <c r="D6136" s="504" t="str">
        <f>VLOOKUP(C6136,Plan!A$1:B$65542,2,0)</f>
        <v>Disponible Administración</v>
      </c>
      <c r="E6136" s="506">
        <f>+F6136-G6136</f>
        <v>-300000</v>
      </c>
      <c r="F6136" s="508">
        <v>0</v>
      </c>
      <c r="G6136" s="512">
        <v>300000</v>
      </c>
      <c r="H6136" s="338" t="str">
        <f>+H6135</f>
        <v>BE-33 Maria Ines Jara Lama</v>
      </c>
      <c r="I6136" s="507" t="s">
        <v>296</v>
      </c>
      <c r="K6136" s="370"/>
      <c r="N6136" s="370"/>
    </row>
    <row r="6137" spans="1:14" s="347" customFormat="1" x14ac:dyDescent="0.25">
      <c r="A6137" s="369"/>
      <c r="E6137" s="396"/>
      <c r="F6137" s="396"/>
      <c r="G6137" s="396"/>
      <c r="K6137" s="370"/>
      <c r="N6137" s="370"/>
    </row>
    <row r="6138" spans="1:14" s="347" customFormat="1" x14ac:dyDescent="0.25">
      <c r="A6138" s="503">
        <v>44517</v>
      </c>
      <c r="B6138" s="504">
        <f>+MONTH(A6138)</f>
        <v>11</v>
      </c>
      <c r="C6138" s="505">
        <v>4643</v>
      </c>
      <c r="D6138" s="504" t="str">
        <f>VLOOKUP(C6138,Plan!A$1:B$65542,2,0)</f>
        <v xml:space="preserve">             Otros</v>
      </c>
      <c r="E6138" s="506">
        <f>+F6138-G6138</f>
        <v>220000</v>
      </c>
      <c r="F6138" s="508">
        <f>+G6139+G6140</f>
        <v>220000</v>
      </c>
      <c r="G6138" s="512">
        <v>0</v>
      </c>
      <c r="H6138" s="156" t="s">
        <v>2265</v>
      </c>
      <c r="I6138" s="507" t="s">
        <v>296</v>
      </c>
      <c r="K6138" s="370"/>
      <c r="N6138" s="370"/>
    </row>
    <row r="6139" spans="1:14" s="347" customFormat="1" x14ac:dyDescent="0.25">
      <c r="A6139" s="503">
        <f>+A6138</f>
        <v>44517</v>
      </c>
      <c r="B6139" s="504">
        <f>+MONTH(A6139)</f>
        <v>11</v>
      </c>
      <c r="C6139" s="505">
        <v>223</v>
      </c>
      <c r="D6139" s="504" t="str">
        <f>VLOOKUP(C6139,Plan!A$1:B$65542,2,0)</f>
        <v>Ret. Hon.  e Impto. Unico Administración</v>
      </c>
      <c r="E6139" s="506">
        <f>+F6139-G6139</f>
        <v>-25300</v>
      </c>
      <c r="F6139" s="508">
        <v>0</v>
      </c>
      <c r="G6139" s="512">
        <v>25300</v>
      </c>
      <c r="H6139" s="338" t="str">
        <f>+H6138</f>
        <v>BTE-121 Dorlly Cardenas Lindarte</v>
      </c>
      <c r="I6139" s="507" t="s">
        <v>296</v>
      </c>
      <c r="K6139" s="370"/>
      <c r="N6139" s="370"/>
    </row>
    <row r="6140" spans="1:14" s="347" customFormat="1" x14ac:dyDescent="0.25">
      <c r="A6140" s="503">
        <f>+A6139</f>
        <v>44517</v>
      </c>
      <c r="B6140" s="504">
        <f>+MONTH(A6140)</f>
        <v>11</v>
      </c>
      <c r="C6140" s="505">
        <v>110</v>
      </c>
      <c r="D6140" s="504" t="str">
        <f>VLOOKUP(C6140,Plan!A$1:B$65542,2,0)</f>
        <v>Disponible Administración</v>
      </c>
      <c r="E6140" s="506">
        <f>+F6140-G6140</f>
        <v>-194700</v>
      </c>
      <c r="F6140" s="508">
        <v>0</v>
      </c>
      <c r="G6140" s="512">
        <v>194700</v>
      </c>
      <c r="H6140" s="338" t="str">
        <f>+H6139</f>
        <v>BTE-121 Dorlly Cardenas Lindarte</v>
      </c>
      <c r="I6140" s="507" t="s">
        <v>296</v>
      </c>
      <c r="K6140" s="370"/>
      <c r="N6140" s="370"/>
    </row>
    <row r="6141" spans="1:14" s="347" customFormat="1" x14ac:dyDescent="0.25">
      <c r="A6141" s="369"/>
      <c r="E6141" s="396"/>
      <c r="F6141" s="396"/>
      <c r="G6141" s="396"/>
      <c r="K6141" s="370"/>
      <c r="N6141" s="370"/>
    </row>
    <row r="6142" spans="1:14" s="347" customFormat="1" x14ac:dyDescent="0.25">
      <c r="A6142" s="503">
        <v>44517</v>
      </c>
      <c r="B6142" s="504">
        <f>+MONTH(A6142)</f>
        <v>11</v>
      </c>
      <c r="C6142" s="505">
        <v>4643</v>
      </c>
      <c r="D6142" s="504" t="str">
        <f>VLOOKUP(C6142,Plan!A$1:B$65542,2,0)</f>
        <v xml:space="preserve">             Otros</v>
      </c>
      <c r="E6142" s="506">
        <f>+F6142-G6142</f>
        <v>112994</v>
      </c>
      <c r="F6142" s="508">
        <f>+G6143+G6144</f>
        <v>112994</v>
      </c>
      <c r="G6142" s="512">
        <v>0</v>
      </c>
      <c r="H6142" s="156" t="s">
        <v>2266</v>
      </c>
      <c r="I6142" s="507" t="s">
        <v>296</v>
      </c>
      <c r="K6142" s="370"/>
      <c r="N6142" s="370"/>
    </row>
    <row r="6143" spans="1:14" s="347" customFormat="1" x14ac:dyDescent="0.25">
      <c r="A6143" s="503">
        <f>+A6142</f>
        <v>44517</v>
      </c>
      <c r="B6143" s="504">
        <f>+MONTH(A6143)</f>
        <v>11</v>
      </c>
      <c r="C6143" s="505">
        <v>223</v>
      </c>
      <c r="D6143" s="504" t="str">
        <f>VLOOKUP(C6143,Plan!A$1:B$65542,2,0)</f>
        <v>Ret. Hon.  e Impto. Unico Administración</v>
      </c>
      <c r="E6143" s="506">
        <f>+F6143-G6143</f>
        <v>-12994</v>
      </c>
      <c r="F6143" s="508">
        <v>0</v>
      </c>
      <c r="G6143" s="512">
        <v>12994</v>
      </c>
      <c r="H6143" s="338" t="str">
        <f>+H6142</f>
        <v>BE-13 Raimunod Rodriguez Pozo</v>
      </c>
      <c r="I6143" s="507" t="s">
        <v>296</v>
      </c>
      <c r="K6143" s="370"/>
      <c r="N6143" s="370"/>
    </row>
    <row r="6144" spans="1:14" s="347" customFormat="1" x14ac:dyDescent="0.25">
      <c r="A6144" s="503">
        <f>+A6143</f>
        <v>44517</v>
      </c>
      <c r="B6144" s="504">
        <f>+MONTH(A6144)</f>
        <v>11</v>
      </c>
      <c r="C6144" s="505">
        <v>110</v>
      </c>
      <c r="D6144" s="504" t="str">
        <f>VLOOKUP(C6144,Plan!A$1:B$65542,2,0)</f>
        <v>Disponible Administración</v>
      </c>
      <c r="E6144" s="506">
        <f>+F6144-G6144</f>
        <v>-100000</v>
      </c>
      <c r="F6144" s="508">
        <v>0</v>
      </c>
      <c r="G6144" s="512">
        <v>100000</v>
      </c>
      <c r="H6144" s="338" t="str">
        <f>+H6143</f>
        <v>BE-13 Raimunod Rodriguez Pozo</v>
      </c>
      <c r="I6144" s="507" t="s">
        <v>296</v>
      </c>
      <c r="K6144" s="370"/>
      <c r="N6144" s="370"/>
    </row>
    <row r="6145" spans="1:14" s="347" customFormat="1" x14ac:dyDescent="0.25">
      <c r="A6145" s="369"/>
      <c r="E6145" s="396"/>
      <c r="F6145" s="396"/>
      <c r="G6145" s="396"/>
      <c r="K6145" s="370"/>
      <c r="N6145" s="370"/>
    </row>
    <row r="6146" spans="1:14" s="347" customFormat="1" x14ac:dyDescent="0.25">
      <c r="A6146" s="503">
        <v>44517</v>
      </c>
      <c r="B6146" s="504">
        <f>+MONTH(A6146)</f>
        <v>11</v>
      </c>
      <c r="C6146" s="505">
        <v>4642</v>
      </c>
      <c r="D6146" s="504" t="str">
        <f>VLOOKUP(C6146,Plan!A$1:B$65542,2,0)</f>
        <v xml:space="preserve">             Misas (Hojas, vino, hostias, coro)</v>
      </c>
      <c r="E6146" s="506">
        <f>+F6146-G6146</f>
        <v>70000</v>
      </c>
      <c r="F6146" s="508">
        <v>70000</v>
      </c>
      <c r="G6146" s="512">
        <v>0</v>
      </c>
      <c r="H6146" t="s">
        <v>2267</v>
      </c>
      <c r="I6146" s="507" t="s">
        <v>296</v>
      </c>
      <c r="K6146" s="370"/>
      <c r="N6146" s="370"/>
    </row>
    <row r="6147" spans="1:14" s="347" customFormat="1" x14ac:dyDescent="0.25">
      <c r="A6147" s="503">
        <f>+A6146</f>
        <v>44517</v>
      </c>
      <c r="B6147" s="504">
        <f>+MONTH(A6147)</f>
        <v>11</v>
      </c>
      <c r="C6147" s="505">
        <v>110</v>
      </c>
      <c r="D6147" s="504" t="str">
        <f>VLOOKUP(C6147,Plan!A$1:B$65542,2,0)</f>
        <v>Disponible Administración</v>
      </c>
      <c r="E6147" s="506">
        <f>+F6147-G6147</f>
        <v>-70000</v>
      </c>
      <c r="F6147" s="508">
        <v>0</v>
      </c>
      <c r="G6147" s="512">
        <f>+F6146</f>
        <v>70000</v>
      </c>
      <c r="H6147" s="338" t="str">
        <f>+H6146</f>
        <v>Monasterio Del Carmen de San José</v>
      </c>
      <c r="I6147" s="507" t="s">
        <v>296</v>
      </c>
      <c r="K6147" s="370"/>
      <c r="N6147" s="370"/>
    </row>
    <row r="6148" spans="1:14" s="347" customFormat="1" x14ac:dyDescent="0.25">
      <c r="A6148" s="369"/>
      <c r="E6148" s="396"/>
      <c r="F6148" s="396"/>
      <c r="G6148" s="396"/>
      <c r="K6148" s="370"/>
      <c r="N6148" s="370"/>
    </row>
    <row r="6149" spans="1:14" s="347" customFormat="1" x14ac:dyDescent="0.25">
      <c r="A6149" s="503">
        <v>44517</v>
      </c>
      <c r="B6149" s="504">
        <f>+MONTH(A6149)</f>
        <v>11</v>
      </c>
      <c r="C6149" s="505">
        <v>4340</v>
      </c>
      <c r="D6149" s="504" t="str">
        <f>VLOOKUP(C6149,Plan!A$1:B$65542,2,0)</f>
        <v>Caja Chica</v>
      </c>
      <c r="E6149" s="506">
        <f>+F6149-G6149</f>
        <v>242565</v>
      </c>
      <c r="F6149" s="508">
        <v>242565</v>
      </c>
      <c r="G6149" s="512">
        <v>0</v>
      </c>
      <c r="H6149" t="s">
        <v>2268</v>
      </c>
      <c r="I6149" s="507" t="s">
        <v>296</v>
      </c>
      <c r="K6149" s="370"/>
      <c r="N6149" s="370"/>
    </row>
    <row r="6150" spans="1:14" s="347" customFormat="1" x14ac:dyDescent="0.25">
      <c r="A6150" s="503">
        <f>+A6149</f>
        <v>44517</v>
      </c>
      <c r="B6150" s="504">
        <f>+MONTH(A6150)</f>
        <v>11</v>
      </c>
      <c r="C6150" s="505">
        <v>110</v>
      </c>
      <c r="D6150" s="504" t="str">
        <f>VLOOKUP(C6150,Plan!A$1:B$65542,2,0)</f>
        <v>Disponible Administración</v>
      </c>
      <c r="E6150" s="506">
        <f>+F6150-G6150</f>
        <v>-242565</v>
      </c>
      <c r="F6150" s="508">
        <v>0</v>
      </c>
      <c r="G6150" s="512">
        <f>+F6149</f>
        <v>242565</v>
      </c>
      <c r="H6150" s="338" t="str">
        <f>+H6149</f>
        <v>Veronica Arriagada Soto</v>
      </c>
      <c r="I6150" s="507" t="s">
        <v>296</v>
      </c>
      <c r="K6150" s="370"/>
      <c r="N6150" s="370"/>
    </row>
    <row r="6151" spans="1:14" s="347" customFormat="1" x14ac:dyDescent="0.25">
      <c r="A6151" s="369"/>
      <c r="E6151" s="396"/>
      <c r="F6151" s="396"/>
      <c r="G6151" s="396"/>
      <c r="K6151" s="370"/>
      <c r="N6151" s="370"/>
    </row>
    <row r="6152" spans="1:14" s="347" customFormat="1" x14ac:dyDescent="0.25">
      <c r="A6152" s="503">
        <v>44517</v>
      </c>
      <c r="B6152" s="504">
        <f>+MONTH(A6152)</f>
        <v>11</v>
      </c>
      <c r="C6152" s="505">
        <v>110</v>
      </c>
      <c r="D6152" s="504" t="str">
        <f>VLOOKUP(C6152,Plan!A$1:B$65542,2,0)</f>
        <v>Disponible Administración</v>
      </c>
      <c r="E6152" s="506">
        <f>+F6152-G6152</f>
        <v>10000</v>
      </c>
      <c r="F6152" s="508">
        <v>10000</v>
      </c>
      <c r="G6152" s="512">
        <v>0</v>
      </c>
      <c r="H6152" s="156" t="s">
        <v>1398</v>
      </c>
      <c r="I6152" s="507" t="s">
        <v>296</v>
      </c>
      <c r="K6152" s="370"/>
      <c r="N6152" s="370"/>
    </row>
    <row r="6153" spans="1:14" s="347" customFormat="1" x14ac:dyDescent="0.25">
      <c r="A6153" s="503">
        <f>+A6152</f>
        <v>44517</v>
      </c>
      <c r="B6153" s="504">
        <f>+MONTH(A6153)</f>
        <v>11</v>
      </c>
      <c r="C6153" s="505">
        <v>3110</v>
      </c>
      <c r="D6153" s="504" t="str">
        <f>VLOOKUP(C6153,Plan!A$1:B$65542,2,0)</f>
        <v>Colectas Normales</v>
      </c>
      <c r="E6153" s="506">
        <f>+F6153-G6153</f>
        <v>-10000</v>
      </c>
      <c r="F6153" s="508">
        <v>0</v>
      </c>
      <c r="G6153" s="512">
        <f>+F6152</f>
        <v>10000</v>
      </c>
      <c r="H6153" s="338" t="str">
        <f>+H6152</f>
        <v>Colecta Maria Fca. Llona</v>
      </c>
      <c r="I6153" s="507" t="s">
        <v>296</v>
      </c>
      <c r="K6153" s="370"/>
      <c r="N6153" s="370"/>
    </row>
    <row r="6154" spans="1:14" s="347" customFormat="1" x14ac:dyDescent="0.25">
      <c r="A6154" s="369"/>
      <c r="E6154" s="396"/>
      <c r="F6154" s="396"/>
      <c r="G6154" s="396"/>
      <c r="K6154" s="370"/>
      <c r="N6154" s="370"/>
    </row>
    <row r="6155" spans="1:14" s="347" customFormat="1" x14ac:dyDescent="0.25">
      <c r="A6155" s="503">
        <v>44517</v>
      </c>
      <c r="B6155" s="504">
        <f>+MONTH(A6155)</f>
        <v>11</v>
      </c>
      <c r="C6155" s="505">
        <v>110</v>
      </c>
      <c r="D6155" s="504" t="str">
        <f>VLOOKUP(C6155,Plan!A$1:B$65542,2,0)</f>
        <v>Disponible Administración</v>
      </c>
      <c r="E6155" s="506">
        <f>+F6155-G6155</f>
        <v>32000</v>
      </c>
      <c r="F6155" s="508">
        <v>32000</v>
      </c>
      <c r="G6155" s="512">
        <v>0</v>
      </c>
      <c r="H6155" s="156" t="s">
        <v>2269</v>
      </c>
      <c r="I6155" s="507" t="s">
        <v>296</v>
      </c>
      <c r="K6155" s="370"/>
      <c r="N6155" s="370"/>
    </row>
    <row r="6156" spans="1:14" s="347" customFormat="1" x14ac:dyDescent="0.25">
      <c r="A6156" s="503">
        <f>+A6155</f>
        <v>44517</v>
      </c>
      <c r="B6156" s="504">
        <f>+MONTH(A6156)</f>
        <v>11</v>
      </c>
      <c r="C6156" s="505">
        <v>3453</v>
      </c>
      <c r="D6156" s="504" t="str">
        <f>VLOOKUP(C6156,Plan!A$1:B$65542,2,0)</f>
        <v>Cajas de navidad</v>
      </c>
      <c r="E6156" s="506">
        <f>+F6156-G6156</f>
        <v>-32000</v>
      </c>
      <c r="F6156" s="508">
        <v>0</v>
      </c>
      <c r="G6156" s="512">
        <f>+F6155</f>
        <v>32000</v>
      </c>
      <c r="H6156" s="338" t="str">
        <f>+H6155</f>
        <v>Caja Navidad Maria Carolina Irarrazabal</v>
      </c>
      <c r="I6156" s="507" t="s">
        <v>296</v>
      </c>
      <c r="K6156" s="370"/>
      <c r="N6156" s="370"/>
    </row>
    <row r="6157" spans="1:14" s="347" customFormat="1" x14ac:dyDescent="0.25">
      <c r="A6157" s="369"/>
      <c r="E6157" s="396"/>
      <c r="F6157" s="396"/>
      <c r="G6157" s="396"/>
      <c r="K6157" s="370"/>
      <c r="N6157" s="370"/>
    </row>
    <row r="6158" spans="1:14" s="347" customFormat="1" x14ac:dyDescent="0.25">
      <c r="A6158" s="503">
        <v>44517</v>
      </c>
      <c r="B6158" s="504">
        <f>+MONTH(A6158)</f>
        <v>11</v>
      </c>
      <c r="C6158" s="505">
        <v>110</v>
      </c>
      <c r="D6158" s="504" t="str">
        <f>VLOOKUP(C6158,Plan!A$1:B$65542,2,0)</f>
        <v>Disponible Administración</v>
      </c>
      <c r="E6158" s="506">
        <f>+F6158-G6158</f>
        <v>64000</v>
      </c>
      <c r="F6158" s="508">
        <v>64000</v>
      </c>
      <c r="G6158" s="512">
        <v>0</v>
      </c>
      <c r="H6158" s="156" t="s">
        <v>2270</v>
      </c>
      <c r="I6158" s="507" t="s">
        <v>296</v>
      </c>
      <c r="K6158" s="370"/>
      <c r="N6158" s="370"/>
    </row>
    <row r="6159" spans="1:14" s="347" customFormat="1" x14ac:dyDescent="0.25">
      <c r="A6159" s="503">
        <f>+A6158</f>
        <v>44517</v>
      </c>
      <c r="B6159" s="504">
        <f>+MONTH(A6159)</f>
        <v>11</v>
      </c>
      <c r="C6159" s="505">
        <v>3453</v>
      </c>
      <c r="D6159" s="504" t="str">
        <f>VLOOKUP(C6159,Plan!A$1:B$65542,2,0)</f>
        <v>Cajas de navidad</v>
      </c>
      <c r="E6159" s="506">
        <f>+F6159-G6159</f>
        <v>-64000</v>
      </c>
      <c r="F6159" s="508">
        <v>0</v>
      </c>
      <c r="G6159" s="512">
        <f>+F6158</f>
        <v>64000</v>
      </c>
      <c r="H6159" s="338" t="str">
        <f>+H6158</f>
        <v>Caja Navidad Maria Veronica Tamayo</v>
      </c>
      <c r="I6159" s="507" t="s">
        <v>296</v>
      </c>
      <c r="K6159" s="370"/>
      <c r="N6159" s="370"/>
    </row>
    <row r="6160" spans="1:14" s="347" customFormat="1" x14ac:dyDescent="0.25">
      <c r="A6160" s="369"/>
      <c r="E6160" s="396"/>
      <c r="F6160" s="396"/>
      <c r="G6160" s="396"/>
      <c r="K6160" s="370"/>
      <c r="N6160" s="370"/>
    </row>
    <row r="6161" spans="1:14" s="347" customFormat="1" x14ac:dyDescent="0.25">
      <c r="A6161" s="503">
        <v>44517</v>
      </c>
      <c r="B6161" s="504">
        <f>+MONTH(A6161)</f>
        <v>11</v>
      </c>
      <c r="C6161" s="505">
        <v>110</v>
      </c>
      <c r="D6161" s="504" t="str">
        <f>VLOOKUP(C6161,Plan!A$1:B$65542,2,0)</f>
        <v>Disponible Administración</v>
      </c>
      <c r="E6161" s="506">
        <f>+F6161-G6161</f>
        <v>379449</v>
      </c>
      <c r="F6161" s="508">
        <v>379449</v>
      </c>
      <c r="G6161" s="512">
        <v>0</v>
      </c>
      <c r="H6161" s="156" t="s">
        <v>2218</v>
      </c>
      <c r="I6161" s="507" t="s">
        <v>296</v>
      </c>
      <c r="K6161" s="370"/>
      <c r="N6161" s="370"/>
    </row>
    <row r="6162" spans="1:14" s="347" customFormat="1" x14ac:dyDescent="0.25">
      <c r="A6162" s="503">
        <f>+A6161</f>
        <v>44517</v>
      </c>
      <c r="B6162" s="504">
        <f>+MONTH(A6162)</f>
        <v>11</v>
      </c>
      <c r="C6162" s="505">
        <v>3453</v>
      </c>
      <c r="D6162" s="504" t="str">
        <f>VLOOKUP(C6162,Plan!A$1:B$65542,2,0)</f>
        <v>Cajas de navidad</v>
      </c>
      <c r="E6162" s="506">
        <f>+F6162-G6162</f>
        <v>-379449</v>
      </c>
      <c r="F6162" s="508">
        <v>0</v>
      </c>
      <c r="G6162" s="512">
        <f>+F6161</f>
        <v>379449</v>
      </c>
      <c r="H6162" s="338" t="str">
        <f>+H6161</f>
        <v>Caja Navidad POS</v>
      </c>
      <c r="I6162" s="507" t="s">
        <v>296</v>
      </c>
      <c r="K6162" s="370"/>
      <c r="N6162" s="370"/>
    </row>
    <row r="6163" spans="1:14" s="347" customFormat="1" x14ac:dyDescent="0.25">
      <c r="A6163" s="369"/>
      <c r="E6163" s="396"/>
      <c r="F6163" s="396"/>
      <c r="G6163" s="396"/>
      <c r="K6163" s="370"/>
      <c r="N6163" s="370"/>
    </row>
    <row r="6164" spans="1:14" s="347" customFormat="1" x14ac:dyDescent="0.25">
      <c r="A6164" s="503">
        <v>44517</v>
      </c>
      <c r="B6164" s="504">
        <f>+MONTH(A6164)</f>
        <v>11</v>
      </c>
      <c r="C6164" s="505">
        <v>110</v>
      </c>
      <c r="D6164" s="504" t="str">
        <f>VLOOKUP(C6164,Plan!A$1:B$65542,2,0)</f>
        <v>Disponible Administración</v>
      </c>
      <c r="E6164" s="506">
        <f>+F6164-G6164</f>
        <v>189350</v>
      </c>
      <c r="F6164" s="508">
        <v>189350</v>
      </c>
      <c r="G6164" s="512">
        <v>0</v>
      </c>
      <c r="H6164" s="156" t="s">
        <v>2271</v>
      </c>
      <c r="I6164" s="507" t="s">
        <v>296</v>
      </c>
      <c r="K6164" s="370"/>
      <c r="N6164" s="370"/>
    </row>
    <row r="6165" spans="1:14" s="347" customFormat="1" x14ac:dyDescent="0.25">
      <c r="A6165" s="503">
        <f>+A6164</f>
        <v>44517</v>
      </c>
      <c r="B6165" s="504">
        <f>+MONTH(A6165)</f>
        <v>11</v>
      </c>
      <c r="C6165" s="505">
        <v>3453</v>
      </c>
      <c r="D6165" s="504" t="str">
        <f>VLOOKUP(C6165,Plan!A$1:B$65542,2,0)</f>
        <v>Cajas de navidad</v>
      </c>
      <c r="E6165" s="506">
        <f>+F6165-G6165</f>
        <v>-189350</v>
      </c>
      <c r="F6165" s="508">
        <v>0</v>
      </c>
      <c r="G6165" s="512">
        <f>+F6164</f>
        <v>189350</v>
      </c>
      <c r="H6165" s="338" t="str">
        <f>+H6164</f>
        <v>Caja Navidad DCT</v>
      </c>
      <c r="I6165" s="507" t="s">
        <v>296</v>
      </c>
      <c r="K6165" s="370"/>
      <c r="N6165" s="370"/>
    </row>
    <row r="6166" spans="1:14" s="347" customFormat="1" x14ac:dyDescent="0.25">
      <c r="A6166" s="369"/>
      <c r="E6166" s="396"/>
      <c r="F6166" s="396"/>
      <c r="G6166" s="396"/>
      <c r="K6166" s="370"/>
      <c r="N6166" s="370"/>
    </row>
    <row r="6167" spans="1:14" s="347" customFormat="1" x14ac:dyDescent="0.25">
      <c r="A6167" s="503">
        <v>44517</v>
      </c>
      <c r="B6167" s="504">
        <f>+MONTH(A6167)</f>
        <v>11</v>
      </c>
      <c r="C6167" s="505">
        <v>110</v>
      </c>
      <c r="D6167" s="504" t="str">
        <f>VLOOKUP(C6167,Plan!A$1:B$65542,2,0)</f>
        <v>Disponible Administración</v>
      </c>
      <c r="E6167" s="506">
        <f>+F6167-G6167</f>
        <v>9816</v>
      </c>
      <c r="F6167" s="508">
        <v>9816</v>
      </c>
      <c r="G6167" s="512">
        <v>0</v>
      </c>
      <c r="H6167" s="156" t="s">
        <v>2272</v>
      </c>
      <c r="I6167" s="507" t="s">
        <v>296</v>
      </c>
      <c r="K6167" s="370"/>
      <c r="N6167" s="370"/>
    </row>
    <row r="6168" spans="1:14" s="347" customFormat="1" x14ac:dyDescent="0.25">
      <c r="A6168" s="503">
        <f>+A6167</f>
        <v>44517</v>
      </c>
      <c r="B6168" s="504">
        <f>+MONTH(A6168)</f>
        <v>11</v>
      </c>
      <c r="C6168" s="505">
        <v>215</v>
      </c>
      <c r="D6168" s="504" t="str">
        <f>VLOOKUP(C6168,Plan!A$1:B$65542,2,0)</f>
        <v>Cuenta por Pagar a Cali</v>
      </c>
      <c r="E6168" s="506">
        <f>+F6168-G6168</f>
        <v>-9816</v>
      </c>
      <c r="F6168" s="508">
        <v>0</v>
      </c>
      <c r="G6168" s="512">
        <f>+F6167</f>
        <v>9816</v>
      </c>
      <c r="H6168" s="338" t="str">
        <f>+H6167</f>
        <v>María Olga Rodríguez Olivos ($10000)</v>
      </c>
      <c r="I6168" s="507" t="s">
        <v>296</v>
      </c>
      <c r="K6168" s="370"/>
      <c r="N6168" s="370"/>
    </row>
    <row r="6169" spans="1:14" s="347" customFormat="1" x14ac:dyDescent="0.25">
      <c r="A6169" s="369"/>
      <c r="E6169" s="396"/>
      <c r="F6169" s="396"/>
      <c r="G6169" s="396"/>
      <c r="K6169" s="370"/>
      <c r="N6169" s="370"/>
    </row>
    <row r="6170" spans="1:14" s="347" customFormat="1" x14ac:dyDescent="0.25">
      <c r="A6170" s="503">
        <v>44517</v>
      </c>
      <c r="B6170" s="504">
        <f>+MONTH(A6170)</f>
        <v>11</v>
      </c>
      <c r="C6170" s="505">
        <v>110</v>
      </c>
      <c r="D6170" s="504" t="str">
        <f>VLOOKUP(C6170,Plan!A$1:B$65542,2,0)</f>
        <v>Disponible Administración</v>
      </c>
      <c r="E6170" s="506">
        <f>+F6170-G6170</f>
        <v>30976</v>
      </c>
      <c r="F6170" s="508">
        <v>30976</v>
      </c>
      <c r="G6170" s="512">
        <v>0</v>
      </c>
      <c r="H6170" s="156" t="s">
        <v>2273</v>
      </c>
      <c r="I6170" s="507" t="s">
        <v>296</v>
      </c>
      <c r="K6170" s="370"/>
      <c r="N6170" s="370"/>
    </row>
    <row r="6171" spans="1:14" s="347" customFormat="1" x14ac:dyDescent="0.25">
      <c r="A6171" s="503">
        <f>+A6170</f>
        <v>44517</v>
      </c>
      <c r="B6171" s="504">
        <f>+MONTH(A6171)</f>
        <v>11</v>
      </c>
      <c r="C6171" s="505">
        <v>3110</v>
      </c>
      <c r="D6171" s="504" t="str">
        <f>VLOOKUP(C6171,Plan!A$1:B$65542,2,0)</f>
        <v>Colectas Normales</v>
      </c>
      <c r="E6171" s="506">
        <f>+F6171-G6171</f>
        <v>-30976</v>
      </c>
      <c r="F6171" s="508">
        <v>0</v>
      </c>
      <c r="G6171" s="512">
        <f>+F6170</f>
        <v>30976</v>
      </c>
      <c r="H6171" s="338" t="str">
        <f>+H6170</f>
        <v>No identificada</v>
      </c>
      <c r="I6171" s="507" t="s">
        <v>296</v>
      </c>
      <c r="K6171" s="370"/>
      <c r="N6171" s="370"/>
    </row>
    <row r="6172" spans="1:14" s="347" customFormat="1" x14ac:dyDescent="0.25">
      <c r="A6172" s="369"/>
      <c r="E6172" s="396"/>
      <c r="F6172" s="396"/>
      <c r="G6172" s="396"/>
      <c r="K6172" s="370"/>
      <c r="N6172" s="370"/>
    </row>
    <row r="6173" spans="1:14" s="347" customFormat="1" x14ac:dyDescent="0.25">
      <c r="A6173" s="503">
        <v>44517</v>
      </c>
      <c r="B6173" s="504">
        <f>+MONTH(A6173)</f>
        <v>11</v>
      </c>
      <c r="C6173" s="505">
        <v>110</v>
      </c>
      <c r="D6173" s="504" t="str">
        <f>VLOOKUP(C6173,Plan!A$1:B$65542,2,0)</f>
        <v>Disponible Administración</v>
      </c>
      <c r="E6173" s="506">
        <f>+F6173-G6173</f>
        <v>32000</v>
      </c>
      <c r="F6173" s="508">
        <v>32000</v>
      </c>
      <c r="G6173" s="512">
        <v>0</v>
      </c>
      <c r="H6173" s="156" t="s">
        <v>2277</v>
      </c>
      <c r="I6173" s="507" t="s">
        <v>296</v>
      </c>
      <c r="K6173" s="370"/>
      <c r="N6173" s="370"/>
    </row>
    <row r="6174" spans="1:14" s="347" customFormat="1" x14ac:dyDescent="0.25">
      <c r="A6174" s="503">
        <f>+A6173</f>
        <v>44517</v>
      </c>
      <c r="B6174" s="504">
        <f>+MONTH(A6174)</f>
        <v>11</v>
      </c>
      <c r="C6174" s="505">
        <v>3453</v>
      </c>
      <c r="D6174" s="504" t="str">
        <f>VLOOKUP(C6174,Plan!A$1:B$65542,2,0)</f>
        <v>Cajas de navidad</v>
      </c>
      <c r="E6174" s="506">
        <f>+F6174-G6174</f>
        <v>-32000</v>
      </c>
      <c r="F6174" s="508">
        <v>0</v>
      </c>
      <c r="G6174" s="512">
        <f>+F6173</f>
        <v>32000</v>
      </c>
      <c r="H6174" s="338" t="str">
        <f>+H6173</f>
        <v>Caja Navidad Karina Fortin</v>
      </c>
      <c r="I6174" s="507" t="s">
        <v>296</v>
      </c>
      <c r="K6174" s="370"/>
      <c r="N6174" s="370"/>
    </row>
    <row r="6175" spans="1:14" s="347" customFormat="1" x14ac:dyDescent="0.25">
      <c r="A6175" s="369"/>
      <c r="E6175" s="396"/>
      <c r="F6175" s="396"/>
      <c r="G6175" s="396"/>
      <c r="K6175" s="370"/>
      <c r="N6175" s="370"/>
    </row>
    <row r="6176" spans="1:14" s="347" customFormat="1" x14ac:dyDescent="0.25">
      <c r="A6176" s="503">
        <v>44517</v>
      </c>
      <c r="B6176" s="504">
        <f>+MONTH(A6176)</f>
        <v>11</v>
      </c>
      <c r="C6176" s="505">
        <v>110</v>
      </c>
      <c r="D6176" s="504" t="str">
        <f>VLOOKUP(C6176,Plan!A$1:B$65542,2,0)</f>
        <v>Disponible Administración</v>
      </c>
      <c r="E6176" s="506">
        <f>+F6176-G6176</f>
        <v>32000</v>
      </c>
      <c r="F6176" s="508">
        <v>32000</v>
      </c>
      <c r="G6176" s="512">
        <v>0</v>
      </c>
      <c r="H6176" s="156" t="s">
        <v>2276</v>
      </c>
      <c r="I6176" s="507" t="s">
        <v>296</v>
      </c>
      <c r="K6176" s="370"/>
      <c r="N6176" s="370"/>
    </row>
    <row r="6177" spans="1:14" s="347" customFormat="1" x14ac:dyDescent="0.25">
      <c r="A6177" s="503">
        <f>+A6176</f>
        <v>44517</v>
      </c>
      <c r="B6177" s="504">
        <f>+MONTH(A6177)</f>
        <v>11</v>
      </c>
      <c r="C6177" s="505">
        <v>3453</v>
      </c>
      <c r="D6177" s="504" t="str">
        <f>VLOOKUP(C6177,Plan!A$1:B$65542,2,0)</f>
        <v>Cajas de navidad</v>
      </c>
      <c r="E6177" s="506">
        <f>+F6177-G6177</f>
        <v>-32000</v>
      </c>
      <c r="F6177" s="508">
        <v>0</v>
      </c>
      <c r="G6177" s="512">
        <f>+F6176</f>
        <v>32000</v>
      </c>
      <c r="H6177" s="338" t="str">
        <f>+H6176</f>
        <v>Caja Navidad Carla Ghigliotto</v>
      </c>
      <c r="I6177" s="507" t="s">
        <v>296</v>
      </c>
      <c r="K6177" s="370"/>
      <c r="N6177" s="370"/>
    </row>
    <row r="6178" spans="1:14" s="347" customFormat="1" x14ac:dyDescent="0.25">
      <c r="A6178" s="369"/>
      <c r="E6178" s="396"/>
      <c r="F6178" s="396"/>
      <c r="G6178" s="396"/>
      <c r="K6178" s="370"/>
      <c r="N6178" s="370"/>
    </row>
    <row r="6179" spans="1:14" s="347" customFormat="1" x14ac:dyDescent="0.25">
      <c r="A6179" s="503">
        <v>44517</v>
      </c>
      <c r="B6179" s="504">
        <f>+MONTH(A6179)</f>
        <v>11</v>
      </c>
      <c r="C6179" s="505">
        <v>110</v>
      </c>
      <c r="D6179" s="504" t="str">
        <f>VLOOKUP(C6179,Plan!A$1:B$65542,2,0)</f>
        <v>Disponible Administración</v>
      </c>
      <c r="E6179" s="506">
        <f>+F6179-G6179</f>
        <v>32000</v>
      </c>
      <c r="F6179" s="508">
        <v>32000</v>
      </c>
      <c r="G6179" s="512">
        <v>0</v>
      </c>
      <c r="H6179" s="156" t="s">
        <v>2241</v>
      </c>
      <c r="I6179" s="507" t="s">
        <v>296</v>
      </c>
      <c r="K6179" s="370"/>
      <c r="N6179" s="370"/>
    </row>
    <row r="6180" spans="1:14" s="347" customFormat="1" x14ac:dyDescent="0.25">
      <c r="A6180" s="503">
        <f>+A6179</f>
        <v>44517</v>
      </c>
      <c r="B6180" s="504">
        <f>+MONTH(A6180)</f>
        <v>11</v>
      </c>
      <c r="C6180" s="505">
        <v>3453</v>
      </c>
      <c r="D6180" s="504" t="str">
        <f>VLOOKUP(C6180,Plan!A$1:B$65542,2,0)</f>
        <v>Cajas de navidad</v>
      </c>
      <c r="E6180" s="506">
        <f>+F6180-G6180</f>
        <v>-32000</v>
      </c>
      <c r="F6180" s="508">
        <v>0</v>
      </c>
      <c r="G6180" s="512">
        <f>+F6179</f>
        <v>32000</v>
      </c>
      <c r="H6180" s="338" t="str">
        <f>+H6179</f>
        <v>Caja Navidad Catalina Rodriguez Merino</v>
      </c>
      <c r="I6180" s="507" t="s">
        <v>296</v>
      </c>
      <c r="K6180" s="370"/>
      <c r="N6180" s="370"/>
    </row>
    <row r="6181" spans="1:14" s="347" customFormat="1" x14ac:dyDescent="0.25">
      <c r="A6181" s="369"/>
      <c r="E6181" s="396"/>
      <c r="F6181" s="396"/>
      <c r="G6181" s="396"/>
      <c r="K6181" s="370"/>
      <c r="N6181" s="370"/>
    </row>
    <row r="6182" spans="1:14" s="347" customFormat="1" x14ac:dyDescent="0.25">
      <c r="A6182" s="503">
        <v>44518</v>
      </c>
      <c r="B6182" s="504">
        <f>+MONTH(A6182)</f>
        <v>11</v>
      </c>
      <c r="C6182" s="505">
        <v>110</v>
      </c>
      <c r="D6182" s="504" t="str">
        <f>VLOOKUP(C6182,Plan!A$1:B$65542,2,0)</f>
        <v>Disponible Administración</v>
      </c>
      <c r="E6182" s="506">
        <f>+F6182-G6182</f>
        <v>64000</v>
      </c>
      <c r="F6182" s="508">
        <v>64000</v>
      </c>
      <c r="G6182" s="512">
        <v>0</v>
      </c>
      <c r="H6182" s="156" t="s">
        <v>2274</v>
      </c>
      <c r="I6182" s="507" t="s">
        <v>296</v>
      </c>
      <c r="K6182" s="370"/>
      <c r="N6182" s="370"/>
    </row>
    <row r="6183" spans="1:14" s="347" customFormat="1" x14ac:dyDescent="0.25">
      <c r="A6183" s="503">
        <f>+A6182</f>
        <v>44518</v>
      </c>
      <c r="B6183" s="504">
        <f>+MONTH(A6183)</f>
        <v>11</v>
      </c>
      <c r="C6183" s="505">
        <v>3453</v>
      </c>
      <c r="D6183" s="504" t="str">
        <f>VLOOKUP(C6183,Plan!A$1:B$65542,2,0)</f>
        <v>Cajas de navidad</v>
      </c>
      <c r="E6183" s="506">
        <f>+F6183-G6183</f>
        <v>-64000</v>
      </c>
      <c r="F6183" s="508">
        <v>0</v>
      </c>
      <c r="G6183" s="512">
        <f>+F6182</f>
        <v>64000</v>
      </c>
      <c r="H6183" s="338" t="str">
        <f>+H6182</f>
        <v>Caja Navidad Jorge Ayala Marfil</v>
      </c>
      <c r="I6183" s="507" t="s">
        <v>296</v>
      </c>
      <c r="K6183" s="370"/>
      <c r="N6183" s="370"/>
    </row>
    <row r="6184" spans="1:14" s="347" customFormat="1" x14ac:dyDescent="0.25">
      <c r="A6184" s="369"/>
      <c r="E6184" s="396"/>
      <c r="F6184" s="396"/>
      <c r="G6184" s="396"/>
      <c r="K6184" s="370"/>
      <c r="N6184" s="370"/>
    </row>
    <row r="6185" spans="1:14" s="347" customFormat="1" x14ac:dyDescent="0.25">
      <c r="A6185" s="503">
        <v>44518</v>
      </c>
      <c r="B6185" s="504">
        <f>+MONTH(A6185)</f>
        <v>11</v>
      </c>
      <c r="C6185" s="505">
        <v>110</v>
      </c>
      <c r="D6185" s="504" t="str">
        <f>VLOOKUP(C6185,Plan!A$1:B$65542,2,0)</f>
        <v>Disponible Administración</v>
      </c>
      <c r="E6185" s="506">
        <f>+F6185-G6185</f>
        <v>40000</v>
      </c>
      <c r="F6185" s="508">
        <v>40000</v>
      </c>
      <c r="G6185" s="512">
        <v>0</v>
      </c>
      <c r="H6185" s="156" t="s">
        <v>2275</v>
      </c>
      <c r="I6185" s="507" t="s">
        <v>296</v>
      </c>
      <c r="K6185" s="370"/>
      <c r="N6185" s="370"/>
    </row>
    <row r="6186" spans="1:14" s="347" customFormat="1" x14ac:dyDescent="0.25">
      <c r="A6186" s="503">
        <f>+A6185</f>
        <v>44518</v>
      </c>
      <c r="B6186" s="504">
        <f>+MONTH(A6186)</f>
        <v>11</v>
      </c>
      <c r="C6186" s="505">
        <v>3453</v>
      </c>
      <c r="D6186" s="504" t="str">
        <f>VLOOKUP(C6186,Plan!A$1:B$65542,2,0)</f>
        <v>Cajas de navidad</v>
      </c>
      <c r="E6186" s="506">
        <f>+F6186-G6186</f>
        <v>-40000</v>
      </c>
      <c r="F6186" s="508">
        <v>0</v>
      </c>
      <c r="G6186" s="512">
        <f>+F6185</f>
        <v>40000</v>
      </c>
      <c r="H6186" s="338" t="str">
        <f>+H6185</f>
        <v>Caja Navidad Patricia Maria Bordeu Plate</v>
      </c>
      <c r="I6186" s="507" t="s">
        <v>296</v>
      </c>
      <c r="K6186" s="370"/>
      <c r="N6186" s="370"/>
    </row>
    <row r="6187" spans="1:14" s="347" customFormat="1" x14ac:dyDescent="0.25">
      <c r="A6187" s="369"/>
      <c r="E6187" s="396"/>
      <c r="F6187" s="396"/>
      <c r="G6187" s="396"/>
      <c r="K6187" s="370"/>
      <c r="N6187" s="370"/>
    </row>
    <row r="6188" spans="1:14" s="347" customFormat="1" x14ac:dyDescent="0.25">
      <c r="A6188" s="503">
        <v>44519</v>
      </c>
      <c r="B6188" s="504">
        <f>+MONTH(A6188)</f>
        <v>11</v>
      </c>
      <c r="C6188" s="505">
        <v>110</v>
      </c>
      <c r="D6188" s="504" t="str">
        <f>VLOOKUP(C6188,Plan!A$1:B$65542,2,0)</f>
        <v>Disponible Administración</v>
      </c>
      <c r="E6188" s="506">
        <f>+F6188-G6188</f>
        <v>40000</v>
      </c>
      <c r="F6188" s="508">
        <v>40000</v>
      </c>
      <c r="G6188" s="512">
        <v>0</v>
      </c>
      <c r="H6188" s="156" t="s">
        <v>1306</v>
      </c>
      <c r="I6188" s="507" t="s">
        <v>296</v>
      </c>
      <c r="K6188" s="370"/>
      <c r="N6188" s="370"/>
    </row>
    <row r="6189" spans="1:14" s="347" customFormat="1" x14ac:dyDescent="0.25">
      <c r="A6189" s="503">
        <f>+A6188</f>
        <v>44519</v>
      </c>
      <c r="B6189" s="504">
        <f>+MONTH(A6189)</f>
        <v>11</v>
      </c>
      <c r="C6189" s="505">
        <v>3110</v>
      </c>
      <c r="D6189" s="504" t="str">
        <f>VLOOKUP(C6189,Plan!A$1:B$65542,2,0)</f>
        <v>Colectas Normales</v>
      </c>
      <c r="E6189" s="506">
        <f>+F6189-G6189</f>
        <v>-40000</v>
      </c>
      <c r="F6189" s="508">
        <v>0</v>
      </c>
      <c r="G6189" s="512">
        <f>+F6188</f>
        <v>40000</v>
      </c>
      <c r="H6189" s="338" t="str">
        <f>+H6188</f>
        <v>Colecta Marcela Nuñez</v>
      </c>
      <c r="I6189" s="507" t="s">
        <v>296</v>
      </c>
      <c r="K6189" s="370"/>
      <c r="N6189" s="370"/>
    </row>
    <row r="6190" spans="1:14" s="347" customFormat="1" x14ac:dyDescent="0.25">
      <c r="A6190" s="369"/>
      <c r="E6190" s="396"/>
      <c r="F6190" s="396"/>
      <c r="G6190" s="396"/>
      <c r="K6190" s="370"/>
      <c r="N6190" s="370"/>
    </row>
    <row r="6191" spans="1:14" s="347" customFormat="1" x14ac:dyDescent="0.25">
      <c r="A6191" s="503">
        <v>44519</v>
      </c>
      <c r="B6191" s="504">
        <f>+MONTH(A6191)</f>
        <v>11</v>
      </c>
      <c r="C6191" s="505">
        <v>110</v>
      </c>
      <c r="D6191" s="504" t="str">
        <f>VLOOKUP(C6191,Plan!A$1:B$65542,2,0)</f>
        <v>Disponible Administración</v>
      </c>
      <c r="E6191" s="506">
        <f>+F6191-G6191</f>
        <v>32000</v>
      </c>
      <c r="F6191" s="508">
        <v>32000</v>
      </c>
      <c r="G6191" s="512">
        <v>0</v>
      </c>
      <c r="H6191" s="156" t="s">
        <v>2279</v>
      </c>
      <c r="I6191" s="507" t="s">
        <v>296</v>
      </c>
      <c r="K6191" s="370"/>
      <c r="N6191" s="370"/>
    </row>
    <row r="6192" spans="1:14" s="347" customFormat="1" x14ac:dyDescent="0.25">
      <c r="A6192" s="503">
        <f>+A6191</f>
        <v>44519</v>
      </c>
      <c r="B6192" s="504">
        <f>+MONTH(A6192)</f>
        <v>11</v>
      </c>
      <c r="C6192" s="505">
        <v>3453</v>
      </c>
      <c r="D6192" s="504" t="str">
        <f>VLOOKUP(C6192,Plan!A$1:B$65542,2,0)</f>
        <v>Cajas de navidad</v>
      </c>
      <c r="E6192" s="506">
        <f>+F6192-G6192</f>
        <v>-32000</v>
      </c>
      <c r="F6192" s="508">
        <v>0</v>
      </c>
      <c r="G6192" s="512">
        <f>+F6191</f>
        <v>32000</v>
      </c>
      <c r="H6192" s="338" t="str">
        <f>+H6191</f>
        <v>Caja Navidad Consuelo Saez</v>
      </c>
      <c r="I6192" s="507" t="s">
        <v>296</v>
      </c>
      <c r="K6192" s="370"/>
      <c r="N6192" s="370"/>
    </row>
    <row r="6193" spans="1:14" s="347" customFormat="1" x14ac:dyDescent="0.25">
      <c r="A6193" s="369"/>
      <c r="E6193" s="396"/>
      <c r="F6193" s="396"/>
      <c r="G6193" s="396"/>
      <c r="K6193" s="370"/>
      <c r="N6193" s="370"/>
    </row>
    <row r="6194" spans="1:14" s="347" customFormat="1" x14ac:dyDescent="0.25">
      <c r="A6194" s="503">
        <v>44519</v>
      </c>
      <c r="B6194" s="504">
        <f>+MONTH(A6194)</f>
        <v>11</v>
      </c>
      <c r="C6194" s="505">
        <v>110</v>
      </c>
      <c r="D6194" s="504" t="str">
        <f>VLOOKUP(C6194,Plan!A$1:B$65542,2,0)</f>
        <v>Disponible Administración</v>
      </c>
      <c r="E6194" s="506">
        <f>+F6194-G6194</f>
        <v>32000</v>
      </c>
      <c r="F6194" s="508">
        <v>32000</v>
      </c>
      <c r="G6194" s="512">
        <v>0</v>
      </c>
      <c r="H6194" s="156" t="s">
        <v>2280</v>
      </c>
      <c r="I6194" s="507" t="s">
        <v>296</v>
      </c>
      <c r="K6194" s="370"/>
      <c r="N6194" s="370"/>
    </row>
    <row r="6195" spans="1:14" s="347" customFormat="1" x14ac:dyDescent="0.25">
      <c r="A6195" s="503">
        <f>+A6194</f>
        <v>44519</v>
      </c>
      <c r="B6195" s="504">
        <f>+MONTH(A6195)</f>
        <v>11</v>
      </c>
      <c r="C6195" s="505">
        <v>3453</v>
      </c>
      <c r="D6195" s="504" t="str">
        <f>VLOOKUP(C6195,Plan!A$1:B$65542,2,0)</f>
        <v>Cajas de navidad</v>
      </c>
      <c r="E6195" s="506">
        <f>+F6195-G6195</f>
        <v>-32000</v>
      </c>
      <c r="F6195" s="508">
        <v>0</v>
      </c>
      <c r="G6195" s="512">
        <f>+F6194</f>
        <v>32000</v>
      </c>
      <c r="H6195" s="338" t="str">
        <f>+H6194</f>
        <v>Caja Navidad Andrea Rossana de Pol Martin</v>
      </c>
      <c r="I6195" s="507" t="s">
        <v>296</v>
      </c>
      <c r="K6195" s="370"/>
      <c r="N6195" s="370"/>
    </row>
    <row r="6196" spans="1:14" s="347" customFormat="1" x14ac:dyDescent="0.25">
      <c r="A6196" s="369"/>
      <c r="E6196" s="396"/>
      <c r="F6196" s="396"/>
      <c r="G6196" s="396"/>
      <c r="K6196" s="370"/>
      <c r="N6196" s="370"/>
    </row>
    <row r="6197" spans="1:14" s="347" customFormat="1" x14ac:dyDescent="0.25">
      <c r="A6197" s="503">
        <v>44519</v>
      </c>
      <c r="B6197" s="504">
        <f>+MONTH(A6197)</f>
        <v>11</v>
      </c>
      <c r="C6197" s="505">
        <v>110</v>
      </c>
      <c r="D6197" s="504" t="str">
        <f>VLOOKUP(C6197,Plan!A$1:B$65542,2,0)</f>
        <v>Disponible Administración</v>
      </c>
      <c r="E6197" s="506">
        <f>+F6197-G6197</f>
        <v>128000</v>
      </c>
      <c r="F6197" s="508">
        <v>128000</v>
      </c>
      <c r="G6197" s="512">
        <v>0</v>
      </c>
      <c r="H6197" s="156" t="s">
        <v>2281</v>
      </c>
      <c r="I6197" s="507" t="s">
        <v>296</v>
      </c>
      <c r="K6197" s="370"/>
      <c r="N6197" s="370"/>
    </row>
    <row r="6198" spans="1:14" s="347" customFormat="1" x14ac:dyDescent="0.25">
      <c r="A6198" s="503">
        <f>+A6197</f>
        <v>44519</v>
      </c>
      <c r="B6198" s="504">
        <f>+MONTH(A6198)</f>
        <v>11</v>
      </c>
      <c r="C6198" s="505">
        <v>3453</v>
      </c>
      <c r="D6198" s="504" t="str">
        <f>VLOOKUP(C6198,Plan!A$1:B$65542,2,0)</f>
        <v>Cajas de navidad</v>
      </c>
      <c r="E6198" s="506">
        <f>+F6198-G6198</f>
        <v>-128000</v>
      </c>
      <c r="F6198" s="508">
        <v>0</v>
      </c>
      <c r="G6198" s="512">
        <f>+F6197</f>
        <v>128000</v>
      </c>
      <c r="H6198" s="338" t="str">
        <f>+H6197</f>
        <v>Caja Navidad Raimundo Andres Barros Montaner</v>
      </c>
      <c r="I6198" s="507" t="s">
        <v>296</v>
      </c>
      <c r="K6198" s="370"/>
      <c r="N6198" s="370"/>
    </row>
    <row r="6199" spans="1:14" s="347" customFormat="1" x14ac:dyDescent="0.25">
      <c r="A6199" s="369"/>
      <c r="E6199" s="396"/>
      <c r="F6199" s="396"/>
      <c r="G6199" s="396"/>
      <c r="K6199" s="370"/>
      <c r="N6199" s="370"/>
    </row>
    <row r="6200" spans="1:14" s="347" customFormat="1" x14ac:dyDescent="0.25">
      <c r="A6200" s="503">
        <v>44519</v>
      </c>
      <c r="B6200" s="504">
        <f>+MONTH(A6200)</f>
        <v>11</v>
      </c>
      <c r="C6200" s="505">
        <v>110</v>
      </c>
      <c r="D6200" s="504" t="str">
        <f>VLOOKUP(C6200,Plan!A$1:B$65542,2,0)</f>
        <v>Disponible Administración</v>
      </c>
      <c r="E6200" s="506">
        <f>+F6200-G6200</f>
        <v>128000</v>
      </c>
      <c r="F6200" s="508">
        <v>128000</v>
      </c>
      <c r="G6200" s="512">
        <v>0</v>
      </c>
      <c r="H6200" s="156" t="s">
        <v>2282</v>
      </c>
      <c r="I6200" s="507" t="s">
        <v>296</v>
      </c>
      <c r="K6200" s="370"/>
      <c r="N6200" s="370"/>
    </row>
    <row r="6201" spans="1:14" s="347" customFormat="1" x14ac:dyDescent="0.25">
      <c r="A6201" s="503">
        <f>+A6200</f>
        <v>44519</v>
      </c>
      <c r="B6201" s="504">
        <f>+MONTH(A6201)</f>
        <v>11</v>
      </c>
      <c r="C6201" s="505">
        <v>3453</v>
      </c>
      <c r="D6201" s="504" t="str">
        <f>VLOOKUP(C6201,Plan!A$1:B$65542,2,0)</f>
        <v>Cajas de navidad</v>
      </c>
      <c r="E6201" s="506">
        <f>+F6201-G6201</f>
        <v>-128000</v>
      </c>
      <c r="F6201" s="508">
        <v>0</v>
      </c>
      <c r="G6201" s="512">
        <f>+F6200</f>
        <v>128000</v>
      </c>
      <c r="H6201" s="338" t="str">
        <f>+H6200</f>
        <v>Caja Navidad Rafael Andres Marin</v>
      </c>
      <c r="I6201" s="507" t="s">
        <v>296</v>
      </c>
      <c r="K6201" s="370"/>
      <c r="N6201" s="370"/>
    </row>
    <row r="6202" spans="1:14" s="347" customFormat="1" x14ac:dyDescent="0.25">
      <c r="A6202" s="369"/>
      <c r="E6202" s="396"/>
      <c r="F6202" s="396"/>
      <c r="G6202" s="396"/>
      <c r="K6202" s="370"/>
      <c r="N6202" s="370"/>
    </row>
    <row r="6203" spans="1:14" s="347" customFormat="1" x14ac:dyDescent="0.25">
      <c r="A6203" s="503">
        <v>44519</v>
      </c>
      <c r="B6203" s="504">
        <f>+MONTH(A6203)</f>
        <v>11</v>
      </c>
      <c r="C6203" s="505">
        <v>110</v>
      </c>
      <c r="D6203" s="504" t="str">
        <f>VLOOKUP(C6203,Plan!A$1:B$65542,2,0)</f>
        <v>Disponible Administración</v>
      </c>
      <c r="E6203" s="506">
        <f>+F6203-G6203</f>
        <v>35000</v>
      </c>
      <c r="F6203" s="508">
        <v>35000</v>
      </c>
      <c r="G6203" s="512">
        <v>0</v>
      </c>
      <c r="H6203" s="156" t="s">
        <v>2283</v>
      </c>
      <c r="I6203" s="507" t="s">
        <v>296</v>
      </c>
      <c r="K6203" s="370"/>
      <c r="N6203" s="370"/>
    </row>
    <row r="6204" spans="1:14" s="347" customFormat="1" x14ac:dyDescent="0.25">
      <c r="A6204" s="503">
        <f>+A6203</f>
        <v>44519</v>
      </c>
      <c r="B6204" s="504">
        <f>+MONTH(A6204)</f>
        <v>11</v>
      </c>
      <c r="C6204" s="505">
        <v>3110</v>
      </c>
      <c r="D6204" s="504" t="str">
        <f>VLOOKUP(C6204,Plan!A$1:B$65542,2,0)</f>
        <v>Colectas Normales</v>
      </c>
      <c r="E6204" s="506">
        <f>+F6204-G6204</f>
        <v>-35000</v>
      </c>
      <c r="F6204" s="508">
        <v>0</v>
      </c>
      <c r="G6204" s="512">
        <f>+F6203</f>
        <v>35000</v>
      </c>
      <c r="H6204" s="338" t="str">
        <f>+H6203</f>
        <v>Colecta Maria Luisa Vial</v>
      </c>
      <c r="I6204" s="507" t="s">
        <v>296</v>
      </c>
      <c r="K6204" s="370"/>
      <c r="N6204" s="370"/>
    </row>
    <row r="6205" spans="1:14" s="347" customFormat="1" x14ac:dyDescent="0.25">
      <c r="A6205" s="369"/>
      <c r="E6205" s="396"/>
      <c r="F6205" s="396"/>
      <c r="G6205" s="396"/>
      <c r="K6205" s="370"/>
      <c r="N6205" s="370"/>
    </row>
    <row r="6206" spans="1:14" s="347" customFormat="1" x14ac:dyDescent="0.25">
      <c r="A6206" s="503">
        <v>44522</v>
      </c>
      <c r="B6206" s="504">
        <f>+MONTH(A6206)</f>
        <v>11</v>
      </c>
      <c r="C6206" s="505">
        <v>110</v>
      </c>
      <c r="D6206" s="504" t="str">
        <f>VLOOKUP(C6206,Plan!A$1:B$65542,2,0)</f>
        <v>Disponible Administración</v>
      </c>
      <c r="E6206" s="506">
        <f>+F6206-G6206</f>
        <v>64000</v>
      </c>
      <c r="F6206" s="508">
        <v>64000</v>
      </c>
      <c r="G6206" s="512">
        <v>0</v>
      </c>
      <c r="H6206" s="156" t="s">
        <v>2284</v>
      </c>
      <c r="I6206" s="507" t="s">
        <v>296</v>
      </c>
      <c r="K6206" s="370"/>
      <c r="N6206" s="370"/>
    </row>
    <row r="6207" spans="1:14" s="347" customFormat="1" x14ac:dyDescent="0.25">
      <c r="A6207" s="503">
        <f>+A6206</f>
        <v>44522</v>
      </c>
      <c r="B6207" s="504">
        <f>+MONTH(A6207)</f>
        <v>11</v>
      </c>
      <c r="C6207" s="505">
        <v>3453</v>
      </c>
      <c r="D6207" s="504" t="str">
        <f>VLOOKUP(C6207,Plan!A$1:B$65542,2,0)</f>
        <v>Cajas de navidad</v>
      </c>
      <c r="E6207" s="506">
        <f>+F6207-G6207</f>
        <v>-64000</v>
      </c>
      <c r="F6207" s="508">
        <v>0</v>
      </c>
      <c r="G6207" s="512">
        <f>+F6206</f>
        <v>64000</v>
      </c>
      <c r="H6207" s="338" t="str">
        <f>+H6206</f>
        <v>Caja Navidad Macarena Tagle</v>
      </c>
      <c r="I6207" s="507" t="s">
        <v>296</v>
      </c>
      <c r="K6207" s="370"/>
      <c r="N6207" s="370"/>
    </row>
    <row r="6208" spans="1:14" s="347" customFormat="1" x14ac:dyDescent="0.25">
      <c r="A6208" s="369"/>
      <c r="E6208" s="396"/>
      <c r="F6208" s="396"/>
      <c r="G6208" s="396"/>
      <c r="K6208" s="370"/>
      <c r="N6208" s="370"/>
    </row>
    <row r="6209" spans="1:14" s="347" customFormat="1" x14ac:dyDescent="0.25">
      <c r="A6209" s="503">
        <v>44522</v>
      </c>
      <c r="B6209" s="504">
        <f>+MONTH(A6209)</f>
        <v>11</v>
      </c>
      <c r="C6209" s="505">
        <v>110</v>
      </c>
      <c r="D6209" s="504" t="str">
        <f>VLOOKUP(C6209,Plan!A$1:B$65542,2,0)</f>
        <v>Disponible Administración</v>
      </c>
      <c r="E6209" s="506">
        <f>+F6209-G6209</f>
        <v>320000</v>
      </c>
      <c r="F6209" s="508">
        <v>320000</v>
      </c>
      <c r="G6209" s="512">
        <v>0</v>
      </c>
      <c r="H6209" s="156" t="s">
        <v>2285</v>
      </c>
      <c r="I6209" s="507" t="s">
        <v>296</v>
      </c>
      <c r="K6209" s="370"/>
      <c r="N6209" s="370"/>
    </row>
    <row r="6210" spans="1:14" s="347" customFormat="1" x14ac:dyDescent="0.25">
      <c r="A6210" s="503">
        <f>+A6209</f>
        <v>44522</v>
      </c>
      <c r="B6210" s="504">
        <f>+MONTH(A6210)</f>
        <v>11</v>
      </c>
      <c r="C6210" s="505">
        <v>3453</v>
      </c>
      <c r="D6210" s="504" t="str">
        <f>VLOOKUP(C6210,Plan!A$1:B$65542,2,0)</f>
        <v>Cajas de navidad</v>
      </c>
      <c r="E6210" s="506">
        <f>+F6210-G6210</f>
        <v>-320000</v>
      </c>
      <c r="F6210" s="508">
        <v>0</v>
      </c>
      <c r="G6210" s="512">
        <f>+F6209</f>
        <v>320000</v>
      </c>
      <c r="H6210" s="338" t="str">
        <f>+H6209</f>
        <v>Caja Navidad Pedro Alvarez</v>
      </c>
      <c r="I6210" s="507" t="s">
        <v>296</v>
      </c>
      <c r="K6210" s="370"/>
      <c r="N6210" s="370"/>
    </row>
    <row r="6211" spans="1:14" s="347" customFormat="1" x14ac:dyDescent="0.25">
      <c r="A6211" s="369"/>
      <c r="E6211" s="396"/>
      <c r="F6211" s="396"/>
      <c r="G6211" s="396"/>
      <c r="K6211" s="370"/>
      <c r="N6211" s="370"/>
    </row>
    <row r="6212" spans="1:14" s="347" customFormat="1" x14ac:dyDescent="0.25">
      <c r="A6212" s="503">
        <v>44522</v>
      </c>
      <c r="B6212" s="504">
        <f>+MONTH(A6212)</f>
        <v>11</v>
      </c>
      <c r="C6212" s="505">
        <v>110</v>
      </c>
      <c r="D6212" s="504" t="str">
        <f>VLOOKUP(C6212,Plan!A$1:B$65542,2,0)</f>
        <v>Disponible Administración</v>
      </c>
      <c r="E6212" s="506">
        <f>+F6212-G6212</f>
        <v>8000</v>
      </c>
      <c r="F6212" s="508">
        <v>8000</v>
      </c>
      <c r="G6212" s="512">
        <v>0</v>
      </c>
      <c r="H6212" s="156" t="s">
        <v>971</v>
      </c>
      <c r="I6212" s="507" t="s">
        <v>296</v>
      </c>
      <c r="K6212" s="370"/>
      <c r="N6212" s="370"/>
    </row>
    <row r="6213" spans="1:14" s="347" customFormat="1" x14ac:dyDescent="0.25">
      <c r="A6213" s="503">
        <f>+A6212</f>
        <v>44522</v>
      </c>
      <c r="B6213" s="504">
        <f>+MONTH(A6213)</f>
        <v>11</v>
      </c>
      <c r="C6213" s="505">
        <v>3110</v>
      </c>
      <c r="D6213" s="504" t="str">
        <f>VLOOKUP(C6213,Plan!A$1:B$65542,2,0)</f>
        <v>Colectas Normales</v>
      </c>
      <c r="E6213" s="506">
        <f>+F6213-G6213</f>
        <v>-8000</v>
      </c>
      <c r="F6213" s="508">
        <v>0</v>
      </c>
      <c r="G6213" s="512">
        <f>+F6212</f>
        <v>8000</v>
      </c>
      <c r="H6213" s="338" t="str">
        <f>+H6212</f>
        <v>Colecta Pablo Irarrazaval Mena</v>
      </c>
      <c r="I6213" s="507" t="s">
        <v>296</v>
      </c>
      <c r="K6213" s="370"/>
      <c r="N6213" s="370"/>
    </row>
    <row r="6214" spans="1:14" s="347" customFormat="1" x14ac:dyDescent="0.25">
      <c r="A6214" s="369"/>
      <c r="E6214" s="396"/>
      <c r="F6214" s="396"/>
      <c r="G6214" s="396"/>
      <c r="K6214" s="370"/>
      <c r="N6214" s="370"/>
    </row>
    <row r="6215" spans="1:14" s="347" customFormat="1" x14ac:dyDescent="0.25">
      <c r="A6215" s="503">
        <v>44522</v>
      </c>
      <c r="B6215" s="504">
        <f>+MONTH(A6215)</f>
        <v>11</v>
      </c>
      <c r="C6215" s="505">
        <v>110</v>
      </c>
      <c r="D6215" s="504" t="str">
        <f>VLOOKUP(C6215,Plan!A$1:B$65542,2,0)</f>
        <v>Disponible Administración</v>
      </c>
      <c r="E6215" s="506">
        <f>+F6215-G6215</f>
        <v>15000</v>
      </c>
      <c r="F6215" s="508">
        <v>15000</v>
      </c>
      <c r="G6215" s="512">
        <v>0</v>
      </c>
      <c r="H6215" s="156" t="s">
        <v>943</v>
      </c>
      <c r="I6215" s="507" t="s">
        <v>296</v>
      </c>
      <c r="K6215" s="370"/>
      <c r="N6215" s="370"/>
    </row>
    <row r="6216" spans="1:14" s="347" customFormat="1" x14ac:dyDescent="0.25">
      <c r="A6216" s="503">
        <f>+A6215</f>
        <v>44522</v>
      </c>
      <c r="B6216" s="504">
        <f>+MONTH(A6216)</f>
        <v>11</v>
      </c>
      <c r="C6216" s="505">
        <v>3110</v>
      </c>
      <c r="D6216" s="504" t="str">
        <f>VLOOKUP(C6216,Plan!A$1:B$65542,2,0)</f>
        <v>Colectas Normales</v>
      </c>
      <c r="E6216" s="506">
        <f>+F6216-G6216</f>
        <v>-15000</v>
      </c>
      <c r="F6216" s="508">
        <v>0</v>
      </c>
      <c r="G6216" s="512">
        <f>+F6215</f>
        <v>15000</v>
      </c>
      <c r="H6216" s="338" t="str">
        <f>+H6215</f>
        <v>Colecta Carolina Guridi G</v>
      </c>
      <c r="I6216" s="507" t="s">
        <v>296</v>
      </c>
      <c r="K6216" s="370"/>
      <c r="N6216" s="370"/>
    </row>
    <row r="6217" spans="1:14" s="347" customFormat="1" x14ac:dyDescent="0.25">
      <c r="A6217" s="369"/>
      <c r="E6217" s="396"/>
      <c r="F6217" s="396"/>
      <c r="G6217" s="396"/>
      <c r="K6217" s="370"/>
      <c r="N6217" s="370"/>
    </row>
    <row r="6218" spans="1:14" s="347" customFormat="1" x14ac:dyDescent="0.25">
      <c r="A6218" s="503">
        <v>44522</v>
      </c>
      <c r="B6218" s="504">
        <f>+MONTH(A6218)</f>
        <v>11</v>
      </c>
      <c r="C6218" s="505">
        <v>110</v>
      </c>
      <c r="D6218" s="504" t="str">
        <f>VLOOKUP(C6218,Plan!A$1:B$65542,2,0)</f>
        <v>Disponible Administración</v>
      </c>
      <c r="E6218" s="506">
        <f>+F6218-G6218</f>
        <v>10000</v>
      </c>
      <c r="F6218" s="508">
        <v>10000</v>
      </c>
      <c r="G6218" s="512">
        <v>0</v>
      </c>
      <c r="H6218" s="156" t="s">
        <v>881</v>
      </c>
      <c r="I6218" s="507" t="s">
        <v>296</v>
      </c>
      <c r="K6218" s="370"/>
      <c r="N6218" s="370"/>
    </row>
    <row r="6219" spans="1:14" s="347" customFormat="1" x14ac:dyDescent="0.25">
      <c r="A6219" s="503">
        <f>+A6218</f>
        <v>44522</v>
      </c>
      <c r="B6219" s="504">
        <f>+MONTH(A6219)</f>
        <v>11</v>
      </c>
      <c r="C6219" s="505">
        <v>3110</v>
      </c>
      <c r="D6219" s="504" t="str">
        <f>VLOOKUP(C6219,Plan!A$1:B$65542,2,0)</f>
        <v>Colectas Normales</v>
      </c>
      <c r="E6219" s="506">
        <f>+F6219-G6219</f>
        <v>-10000</v>
      </c>
      <c r="F6219" s="508">
        <v>0</v>
      </c>
      <c r="G6219" s="512">
        <f>+F6218</f>
        <v>10000</v>
      </c>
      <c r="H6219" s="338" t="str">
        <f>+H6218</f>
        <v>Colecta Rafael Marin Jordan</v>
      </c>
      <c r="I6219" s="507" t="s">
        <v>296</v>
      </c>
      <c r="K6219" s="370"/>
      <c r="N6219" s="370"/>
    </row>
    <row r="6220" spans="1:14" s="347" customFormat="1" x14ac:dyDescent="0.25">
      <c r="A6220" s="369"/>
      <c r="E6220" s="396"/>
      <c r="F6220" s="396"/>
      <c r="G6220" s="396"/>
      <c r="K6220" s="370"/>
      <c r="N6220" s="370"/>
    </row>
    <row r="6221" spans="1:14" s="347" customFormat="1" x14ac:dyDescent="0.25">
      <c r="A6221" s="503">
        <v>44522</v>
      </c>
      <c r="B6221" s="504">
        <f>+MONTH(A6221)</f>
        <v>11</v>
      </c>
      <c r="C6221" s="505">
        <v>110</v>
      </c>
      <c r="D6221" s="504" t="str">
        <f>VLOOKUP(C6221,Plan!A$1:B$65542,2,0)</f>
        <v>Disponible Administración</v>
      </c>
      <c r="E6221" s="506">
        <f>+F6221-G6221</f>
        <v>32000</v>
      </c>
      <c r="F6221" s="508">
        <v>32000</v>
      </c>
      <c r="G6221" s="512">
        <v>0</v>
      </c>
      <c r="H6221" s="156" t="s">
        <v>2286</v>
      </c>
      <c r="I6221" s="507" t="s">
        <v>296</v>
      </c>
      <c r="K6221" s="370"/>
      <c r="N6221" s="370"/>
    </row>
    <row r="6222" spans="1:14" s="347" customFormat="1" x14ac:dyDescent="0.25">
      <c r="A6222" s="503">
        <f>+A6221</f>
        <v>44522</v>
      </c>
      <c r="B6222" s="504">
        <f>+MONTH(A6222)</f>
        <v>11</v>
      </c>
      <c r="C6222" s="505">
        <v>3453</v>
      </c>
      <c r="D6222" s="504" t="str">
        <f>VLOOKUP(C6222,Plan!A$1:B$65542,2,0)</f>
        <v>Cajas de navidad</v>
      </c>
      <c r="E6222" s="506">
        <f>+F6222-G6222</f>
        <v>-32000</v>
      </c>
      <c r="F6222" s="508">
        <v>0</v>
      </c>
      <c r="G6222" s="512">
        <f>+F6221</f>
        <v>32000</v>
      </c>
      <c r="H6222" s="338" t="str">
        <f>+H6221</f>
        <v>Caja Navidad Adiana del Carmen Charles Heufemann</v>
      </c>
      <c r="I6222" s="507" t="s">
        <v>296</v>
      </c>
      <c r="K6222" s="370"/>
      <c r="N6222" s="370"/>
    </row>
    <row r="6223" spans="1:14" s="347" customFormat="1" x14ac:dyDescent="0.25">
      <c r="A6223" s="369"/>
      <c r="E6223" s="396"/>
      <c r="F6223" s="396"/>
      <c r="G6223" s="396"/>
      <c r="K6223" s="370"/>
      <c r="N6223" s="370"/>
    </row>
    <row r="6224" spans="1:14" s="347" customFormat="1" x14ac:dyDescent="0.25">
      <c r="A6224" s="503">
        <v>44522</v>
      </c>
      <c r="B6224" s="504">
        <f>+MONTH(A6224)</f>
        <v>11</v>
      </c>
      <c r="C6224" s="505">
        <v>110</v>
      </c>
      <c r="D6224" s="504" t="str">
        <f>VLOOKUP(C6224,Plan!A$1:B$65542,2,0)</f>
        <v>Disponible Administración</v>
      </c>
      <c r="E6224" s="506">
        <f>+F6224-G6224</f>
        <v>40000</v>
      </c>
      <c r="F6224" s="508">
        <v>40000</v>
      </c>
      <c r="G6224" s="512">
        <v>0</v>
      </c>
      <c r="H6224" s="156" t="s">
        <v>2287</v>
      </c>
      <c r="I6224" s="507" t="s">
        <v>296</v>
      </c>
      <c r="K6224" s="370"/>
      <c r="N6224" s="370"/>
    </row>
    <row r="6225" spans="1:14" s="347" customFormat="1" x14ac:dyDescent="0.25">
      <c r="A6225" s="503">
        <f>+A6224</f>
        <v>44522</v>
      </c>
      <c r="B6225" s="504">
        <f>+MONTH(A6225)</f>
        <v>11</v>
      </c>
      <c r="C6225" s="505">
        <v>3453</v>
      </c>
      <c r="D6225" s="504" t="str">
        <f>VLOOKUP(C6225,Plan!A$1:B$65542,2,0)</f>
        <v>Cajas de navidad</v>
      </c>
      <c r="E6225" s="506">
        <f>+F6225-G6225</f>
        <v>-40000</v>
      </c>
      <c r="F6225" s="508">
        <v>0</v>
      </c>
      <c r="G6225" s="512">
        <f>+F6224</f>
        <v>40000</v>
      </c>
      <c r="H6225" s="338" t="str">
        <f>+H6224</f>
        <v>Caja Navidad Gonzalo Nazar Miranda</v>
      </c>
      <c r="I6225" s="507" t="s">
        <v>296</v>
      </c>
      <c r="K6225" s="370"/>
      <c r="N6225" s="370"/>
    </row>
    <row r="6226" spans="1:14" s="347" customFormat="1" x14ac:dyDescent="0.25">
      <c r="A6226" s="369"/>
      <c r="E6226" s="396"/>
      <c r="F6226" s="396"/>
      <c r="G6226" s="396"/>
      <c r="K6226" s="370"/>
      <c r="N6226" s="370"/>
    </row>
    <row r="6227" spans="1:14" s="347" customFormat="1" x14ac:dyDescent="0.25">
      <c r="A6227" s="503">
        <v>44522</v>
      </c>
      <c r="B6227" s="504">
        <f>+MONTH(A6227)</f>
        <v>11</v>
      </c>
      <c r="C6227" s="505">
        <v>110</v>
      </c>
      <c r="D6227" s="504" t="str">
        <f>VLOOKUP(C6227,Plan!A$1:B$65542,2,0)</f>
        <v>Disponible Administración</v>
      </c>
      <c r="E6227" s="506">
        <f>+F6227-G6227</f>
        <v>32000</v>
      </c>
      <c r="F6227" s="508">
        <v>32000</v>
      </c>
      <c r="G6227" s="512">
        <v>0</v>
      </c>
      <c r="H6227" s="156" t="s">
        <v>2288</v>
      </c>
      <c r="I6227" s="507" t="s">
        <v>296</v>
      </c>
      <c r="K6227" s="370"/>
      <c r="N6227" s="370"/>
    </row>
    <row r="6228" spans="1:14" s="347" customFormat="1" x14ac:dyDescent="0.25">
      <c r="A6228" s="503">
        <f>+A6227</f>
        <v>44522</v>
      </c>
      <c r="B6228" s="504">
        <f>+MONTH(A6228)</f>
        <v>11</v>
      </c>
      <c r="C6228" s="505">
        <v>3453</v>
      </c>
      <c r="D6228" s="504" t="str">
        <f>VLOOKUP(C6228,Plan!A$1:B$65542,2,0)</f>
        <v>Cajas de navidad</v>
      </c>
      <c r="E6228" s="506">
        <f>+F6228-G6228</f>
        <v>-32000</v>
      </c>
      <c r="F6228" s="508">
        <v>0</v>
      </c>
      <c r="G6228" s="512">
        <f>+F6227</f>
        <v>32000</v>
      </c>
      <c r="H6228" s="338" t="str">
        <f>+H6227</f>
        <v>Caja Navidad Erica Salvaj</v>
      </c>
      <c r="I6228" s="507" t="s">
        <v>296</v>
      </c>
      <c r="K6228" s="370"/>
      <c r="N6228" s="370"/>
    </row>
    <row r="6229" spans="1:14" s="347" customFormat="1" x14ac:dyDescent="0.25">
      <c r="A6229" s="369"/>
      <c r="E6229" s="396"/>
      <c r="F6229" s="396"/>
      <c r="G6229" s="396"/>
      <c r="K6229" s="370"/>
      <c r="N6229" s="370"/>
    </row>
    <row r="6230" spans="1:14" s="347" customFormat="1" x14ac:dyDescent="0.25">
      <c r="A6230" s="503">
        <v>44522</v>
      </c>
      <c r="B6230" s="504">
        <f>+MONTH(A6230)</f>
        <v>11</v>
      </c>
      <c r="C6230" s="505">
        <v>110</v>
      </c>
      <c r="D6230" s="504" t="str">
        <f>VLOOKUP(C6230,Plan!A$1:B$65542,2,0)</f>
        <v>Disponible Administración</v>
      </c>
      <c r="E6230" s="506">
        <f>+F6230-G6230</f>
        <v>2000</v>
      </c>
      <c r="F6230" s="508">
        <v>2000</v>
      </c>
      <c r="G6230" s="512">
        <v>0</v>
      </c>
      <c r="H6230" s="156" t="s">
        <v>1216</v>
      </c>
      <c r="I6230" s="507" t="s">
        <v>296</v>
      </c>
      <c r="K6230" s="370"/>
      <c r="N6230" s="370"/>
    </row>
    <row r="6231" spans="1:14" s="347" customFormat="1" x14ac:dyDescent="0.25">
      <c r="A6231" s="503">
        <f>+A6230</f>
        <v>44522</v>
      </c>
      <c r="B6231" s="504">
        <f>+MONTH(A6231)</f>
        <v>11</v>
      </c>
      <c r="C6231" s="505">
        <v>3110</v>
      </c>
      <c r="D6231" s="504" t="str">
        <f>VLOOKUP(C6231,Plan!A$1:B$65542,2,0)</f>
        <v>Colectas Normales</v>
      </c>
      <c r="E6231" s="506">
        <f>+F6231-G6231</f>
        <v>-2000</v>
      </c>
      <c r="F6231" s="508">
        <v>0</v>
      </c>
      <c r="G6231" s="512">
        <f>+F6230</f>
        <v>2000</v>
      </c>
      <c r="H6231" s="338" t="str">
        <f>+H6230</f>
        <v>Colecta Trinidad Barriga Cruzat</v>
      </c>
      <c r="I6231" s="507" t="s">
        <v>296</v>
      </c>
      <c r="K6231" s="370"/>
      <c r="N6231" s="370"/>
    </row>
    <row r="6232" spans="1:14" s="347" customFormat="1" x14ac:dyDescent="0.25">
      <c r="A6232" s="369"/>
      <c r="E6232" s="396"/>
      <c r="F6232" s="396"/>
      <c r="G6232" s="396"/>
      <c r="K6232" s="370"/>
      <c r="N6232" s="370"/>
    </row>
    <row r="6233" spans="1:14" s="347" customFormat="1" x14ac:dyDescent="0.25">
      <c r="A6233" s="503">
        <v>44522</v>
      </c>
      <c r="B6233" s="504">
        <f>+MONTH(A6233)</f>
        <v>11</v>
      </c>
      <c r="C6233" s="505">
        <v>110</v>
      </c>
      <c r="D6233" s="504" t="str">
        <f>VLOOKUP(C6233,Plan!A$1:B$65542,2,0)</f>
        <v>Disponible Administración</v>
      </c>
      <c r="E6233" s="506">
        <f>+F6233-G6233</f>
        <v>58079</v>
      </c>
      <c r="F6233" s="508">
        <v>58079</v>
      </c>
      <c r="G6233" s="512">
        <v>0</v>
      </c>
      <c r="H6233" s="156" t="s">
        <v>897</v>
      </c>
      <c r="I6233" s="507" t="s">
        <v>296</v>
      </c>
      <c r="K6233" s="370"/>
      <c r="N6233" s="370"/>
    </row>
    <row r="6234" spans="1:14" s="347" customFormat="1" x14ac:dyDescent="0.25">
      <c r="A6234" s="503">
        <f>+A6233</f>
        <v>44522</v>
      </c>
      <c r="B6234" s="504">
        <f>+MONTH(A6234)</f>
        <v>11</v>
      </c>
      <c r="C6234" s="505">
        <v>3110</v>
      </c>
      <c r="D6234" s="504" t="str">
        <f>VLOOKUP(C6234,Plan!A$1:B$65542,2,0)</f>
        <v>Colectas Normales</v>
      </c>
      <c r="E6234" s="506">
        <f>+F6234-G6234</f>
        <v>-58079</v>
      </c>
      <c r="F6234" s="508">
        <v>0</v>
      </c>
      <c r="G6234" s="512">
        <f>+F6233</f>
        <v>58079</v>
      </c>
      <c r="H6234" s="338" t="str">
        <f>+H6233</f>
        <v>Colecta DCT</v>
      </c>
      <c r="I6234" s="507" t="s">
        <v>296</v>
      </c>
      <c r="K6234" s="370"/>
      <c r="N6234" s="370"/>
    </row>
    <row r="6235" spans="1:14" s="347" customFormat="1" x14ac:dyDescent="0.25">
      <c r="A6235" s="369"/>
      <c r="E6235" s="396"/>
      <c r="F6235" s="396"/>
      <c r="G6235" s="396"/>
      <c r="K6235" s="370"/>
      <c r="N6235" s="370"/>
    </row>
    <row r="6236" spans="1:14" s="347" customFormat="1" x14ac:dyDescent="0.25">
      <c r="A6236" s="503">
        <v>44522</v>
      </c>
      <c r="B6236" s="504">
        <f>+MONTH(A6236)</f>
        <v>11</v>
      </c>
      <c r="C6236" s="505">
        <v>110</v>
      </c>
      <c r="D6236" s="504" t="str">
        <f>VLOOKUP(C6236,Plan!A$1:B$65542,2,0)</f>
        <v>Disponible Administración</v>
      </c>
      <c r="E6236" s="506">
        <f>+F6236-G6236</f>
        <v>252973</v>
      </c>
      <c r="F6236" s="508">
        <v>252973</v>
      </c>
      <c r="G6236" s="512">
        <v>0</v>
      </c>
      <c r="H6236" s="156" t="s">
        <v>2218</v>
      </c>
      <c r="I6236" s="507" t="s">
        <v>296</v>
      </c>
      <c r="K6236" s="370"/>
      <c r="N6236" s="370"/>
    </row>
    <row r="6237" spans="1:14" s="347" customFormat="1" x14ac:dyDescent="0.25">
      <c r="A6237" s="503">
        <f>+A6236</f>
        <v>44522</v>
      </c>
      <c r="B6237" s="504">
        <f>+MONTH(A6237)</f>
        <v>11</v>
      </c>
      <c r="C6237" s="505">
        <v>3453</v>
      </c>
      <c r="D6237" s="504" t="str">
        <f>VLOOKUP(C6237,Plan!A$1:B$65542,2,0)</f>
        <v>Cajas de navidad</v>
      </c>
      <c r="E6237" s="506">
        <f>+F6237-G6237</f>
        <v>-252973</v>
      </c>
      <c r="F6237" s="508">
        <v>0</v>
      </c>
      <c r="G6237" s="512">
        <f>+F6236</f>
        <v>252973</v>
      </c>
      <c r="H6237" s="338" t="str">
        <f>+H6236</f>
        <v>Caja Navidad POS</v>
      </c>
      <c r="I6237" s="507" t="s">
        <v>296</v>
      </c>
      <c r="K6237" s="370"/>
      <c r="N6237" s="370"/>
    </row>
    <row r="6238" spans="1:14" s="347" customFormat="1" x14ac:dyDescent="0.25">
      <c r="A6238" s="369"/>
      <c r="E6238" s="396"/>
      <c r="F6238" s="396"/>
      <c r="G6238" s="396"/>
      <c r="K6238" s="370"/>
      <c r="N6238" s="370"/>
    </row>
    <row r="6239" spans="1:14" s="347" customFormat="1" x14ac:dyDescent="0.25">
      <c r="A6239" s="503">
        <v>44522</v>
      </c>
      <c r="B6239" s="504">
        <f>+MONTH(A6239)</f>
        <v>11</v>
      </c>
      <c r="C6239" s="505">
        <v>110</v>
      </c>
      <c r="D6239" s="504" t="str">
        <f>VLOOKUP(C6239,Plan!A$1:B$65542,2,0)</f>
        <v>Disponible Administración</v>
      </c>
      <c r="E6239" s="506">
        <f>+F6239-G6239</f>
        <v>20000</v>
      </c>
      <c r="F6239" s="508">
        <v>20000</v>
      </c>
      <c r="G6239" s="512">
        <v>0</v>
      </c>
      <c r="H6239" s="156" t="s">
        <v>2289</v>
      </c>
      <c r="I6239" s="507" t="s">
        <v>296</v>
      </c>
      <c r="K6239" s="370"/>
      <c r="N6239" s="370"/>
    </row>
    <row r="6240" spans="1:14" s="347" customFormat="1" x14ac:dyDescent="0.25">
      <c r="A6240" s="503">
        <f>+A6239</f>
        <v>44522</v>
      </c>
      <c r="B6240" s="504">
        <f>+MONTH(A6240)</f>
        <v>11</v>
      </c>
      <c r="C6240" s="505">
        <v>3453</v>
      </c>
      <c r="D6240" s="504" t="str">
        <f>VLOOKUP(C6240,Plan!A$1:B$65542,2,0)</f>
        <v>Cajas de navidad</v>
      </c>
      <c r="E6240" s="506">
        <f>+F6240-G6240</f>
        <v>-20000</v>
      </c>
      <c r="F6240" s="508">
        <v>0</v>
      </c>
      <c r="G6240" s="512">
        <f>+F6239</f>
        <v>20000</v>
      </c>
      <c r="H6240" s="338" t="str">
        <f>+H6239</f>
        <v>Caja Navidad Maria Fca. Celis</v>
      </c>
      <c r="I6240" s="507" t="s">
        <v>296</v>
      </c>
      <c r="K6240" s="370"/>
      <c r="N6240" s="370"/>
    </row>
    <row r="6241" spans="1:14" s="347" customFormat="1" x14ac:dyDescent="0.25">
      <c r="A6241" s="369"/>
      <c r="E6241" s="396"/>
      <c r="F6241" s="396"/>
      <c r="G6241" s="396"/>
      <c r="K6241" s="370"/>
      <c r="N6241" s="370"/>
    </row>
    <row r="6242" spans="1:14" s="347" customFormat="1" x14ac:dyDescent="0.25">
      <c r="A6242" s="503">
        <v>44522</v>
      </c>
      <c r="B6242" s="504">
        <f>+MONTH(A6242)</f>
        <v>11</v>
      </c>
      <c r="C6242" s="505">
        <v>110</v>
      </c>
      <c r="D6242" s="504" t="str">
        <f>VLOOKUP(C6242,Plan!A$1:B$65542,2,0)</f>
        <v>Disponible Administración</v>
      </c>
      <c r="E6242" s="506">
        <f>+F6242-G6242</f>
        <v>881000</v>
      </c>
      <c r="F6242" s="508">
        <v>881000</v>
      </c>
      <c r="G6242" s="512">
        <v>0</v>
      </c>
      <c r="H6242" t="s">
        <v>2127</v>
      </c>
      <c r="I6242" s="507" t="s">
        <v>296</v>
      </c>
      <c r="K6242" s="370"/>
      <c r="N6242" s="370"/>
    </row>
    <row r="6243" spans="1:14" s="347" customFormat="1" x14ac:dyDescent="0.25">
      <c r="A6243" s="503">
        <f>+A6242</f>
        <v>44522</v>
      </c>
      <c r="B6243" s="504">
        <f>+MONTH(A6243)</f>
        <v>11</v>
      </c>
      <c r="C6243" s="505">
        <v>3110</v>
      </c>
      <c r="D6243" s="504" t="str">
        <f>VLOOKUP(C6243,Plan!A$1:B$65542,2,0)</f>
        <v>Colectas Normales</v>
      </c>
      <c r="E6243" s="506">
        <f>+F6243-G6243</f>
        <v>-881000</v>
      </c>
      <c r="F6243" s="508">
        <v>0</v>
      </c>
      <c r="G6243" s="512">
        <f>+F6242</f>
        <v>881000</v>
      </c>
      <c r="H6243" s="338" t="str">
        <f>+H6242</f>
        <v>Colecta Col.Cordillera y Cumbres</v>
      </c>
      <c r="I6243" s="507" t="s">
        <v>296</v>
      </c>
      <c r="K6243" s="370"/>
      <c r="N6243" s="370"/>
    </row>
    <row r="6244" spans="1:14" s="347" customFormat="1" x14ac:dyDescent="0.25">
      <c r="A6244" s="369"/>
      <c r="E6244" s="396"/>
      <c r="F6244" s="396"/>
      <c r="G6244" s="396"/>
      <c r="K6244" s="370"/>
      <c r="N6244" s="370"/>
    </row>
    <row r="6245" spans="1:14" s="347" customFormat="1" x14ac:dyDescent="0.25">
      <c r="A6245" s="503">
        <v>44522</v>
      </c>
      <c r="B6245" s="504">
        <f>+MONTH(A6245)</f>
        <v>11</v>
      </c>
      <c r="C6245" s="505">
        <v>4860</v>
      </c>
      <c r="D6245" s="504" t="str">
        <f>VLOOKUP(C6245,Plan!A$1:B$65542,2,0)</f>
        <v>Otros</v>
      </c>
      <c r="E6245" s="506">
        <f>+F6245-G6245</f>
        <v>1084</v>
      </c>
      <c r="F6245" s="508">
        <v>1084</v>
      </c>
      <c r="G6245" s="512">
        <v>0</v>
      </c>
      <c r="H6245" t="s">
        <v>1005</v>
      </c>
      <c r="I6245" s="507" t="s">
        <v>296</v>
      </c>
      <c r="K6245" s="370"/>
      <c r="N6245" s="370"/>
    </row>
    <row r="6246" spans="1:14" s="347" customFormat="1" x14ac:dyDescent="0.25">
      <c r="A6246" s="503">
        <f>+A6245</f>
        <v>44522</v>
      </c>
      <c r="B6246" s="504">
        <f>+MONTH(A6246)</f>
        <v>11</v>
      </c>
      <c r="C6246" s="505">
        <v>110</v>
      </c>
      <c r="D6246" s="504" t="str">
        <f>VLOOKUP(C6246,Plan!A$1:B$65542,2,0)</f>
        <v>Disponible Administración</v>
      </c>
      <c r="E6246" s="506">
        <f>+F6246-G6246</f>
        <v>-1084</v>
      </c>
      <c r="F6246" s="508">
        <v>0</v>
      </c>
      <c r="G6246" s="512">
        <f>+F6245</f>
        <v>1084</v>
      </c>
      <c r="H6246" s="338" t="str">
        <f>+H6245</f>
        <v>Com.Bco.Chile</v>
      </c>
      <c r="I6246" s="507" t="s">
        <v>296</v>
      </c>
      <c r="K6246" s="370"/>
      <c r="N6246" s="370"/>
    </row>
    <row r="6247" spans="1:14" s="347" customFormat="1" x14ac:dyDescent="0.25">
      <c r="A6247" s="369"/>
      <c r="E6247" s="396"/>
      <c r="F6247" s="396"/>
      <c r="G6247" s="396"/>
      <c r="K6247" s="370"/>
      <c r="N6247" s="370"/>
    </row>
    <row r="6248" spans="1:14" s="347" customFormat="1" x14ac:dyDescent="0.25">
      <c r="A6248" s="503">
        <v>44522</v>
      </c>
      <c r="B6248" s="504">
        <f>+MONTH(A6248)</f>
        <v>11</v>
      </c>
      <c r="C6248" s="505">
        <v>4860</v>
      </c>
      <c r="D6248" s="504" t="str">
        <f>VLOOKUP(C6248,Plan!A$1:B$65542,2,0)</f>
        <v>Otros</v>
      </c>
      <c r="E6248" s="506">
        <f>+F6248-G6248</f>
        <v>3613</v>
      </c>
      <c r="F6248" s="508">
        <v>3613</v>
      </c>
      <c r="G6248" s="512">
        <v>0</v>
      </c>
      <c r="H6248" t="s">
        <v>1005</v>
      </c>
      <c r="I6248" s="507" t="s">
        <v>296</v>
      </c>
      <c r="K6248" s="370"/>
      <c r="N6248" s="370"/>
    </row>
    <row r="6249" spans="1:14" s="347" customFormat="1" x14ac:dyDescent="0.25">
      <c r="A6249" s="503">
        <f>+A6248</f>
        <v>44522</v>
      </c>
      <c r="B6249" s="504">
        <f>+MONTH(A6249)</f>
        <v>11</v>
      </c>
      <c r="C6249" s="505">
        <v>110</v>
      </c>
      <c r="D6249" s="504" t="str">
        <f>VLOOKUP(C6249,Plan!A$1:B$65542,2,0)</f>
        <v>Disponible Administración</v>
      </c>
      <c r="E6249" s="506">
        <f>+F6249-G6249</f>
        <v>-3613</v>
      </c>
      <c r="F6249" s="508">
        <v>0</v>
      </c>
      <c r="G6249" s="512">
        <f>+F6248</f>
        <v>3613</v>
      </c>
      <c r="H6249" s="338" t="str">
        <f>+H6248</f>
        <v>Com.Bco.Chile</v>
      </c>
      <c r="I6249" s="507" t="s">
        <v>296</v>
      </c>
      <c r="K6249" s="370"/>
      <c r="N6249" s="370"/>
    </row>
    <row r="6250" spans="1:14" s="347" customFormat="1" x14ac:dyDescent="0.25">
      <c r="A6250" s="369"/>
      <c r="E6250" s="396"/>
      <c r="F6250" s="396"/>
      <c r="G6250" s="396"/>
      <c r="K6250" s="370"/>
      <c r="N6250" s="370"/>
    </row>
    <row r="6251" spans="1:14" s="347" customFormat="1" x14ac:dyDescent="0.25">
      <c r="A6251" s="503">
        <v>44523</v>
      </c>
      <c r="B6251" s="504">
        <f>+MONTH(A6251)</f>
        <v>11</v>
      </c>
      <c r="C6251" s="505">
        <v>110</v>
      </c>
      <c r="D6251" s="504" t="str">
        <f>VLOOKUP(C6251,Plan!A$1:B$65542,2,0)</f>
        <v>Disponible Administración</v>
      </c>
      <c r="E6251" s="506">
        <f>+F6251-G6251</f>
        <v>42000</v>
      </c>
      <c r="F6251" s="508">
        <v>42000</v>
      </c>
      <c r="G6251" s="512">
        <v>0</v>
      </c>
      <c r="H6251" t="s">
        <v>2290</v>
      </c>
      <c r="I6251" s="507" t="s">
        <v>296</v>
      </c>
      <c r="K6251" s="370"/>
      <c r="N6251" s="370"/>
    </row>
    <row r="6252" spans="1:14" s="347" customFormat="1" x14ac:dyDescent="0.25">
      <c r="A6252" s="503">
        <f>+A6251</f>
        <v>44523</v>
      </c>
      <c r="B6252" s="504">
        <f>+MONTH(A6252)</f>
        <v>11</v>
      </c>
      <c r="C6252" s="505">
        <v>3453</v>
      </c>
      <c r="D6252" s="504" t="str">
        <f>VLOOKUP(C6252,Plan!A$1:B$65542,2,0)</f>
        <v>Cajas de navidad</v>
      </c>
      <c r="E6252" s="506">
        <f>+F6252-G6252</f>
        <v>-42000</v>
      </c>
      <c r="F6252" s="508">
        <v>0</v>
      </c>
      <c r="G6252" s="512">
        <f>+F6251</f>
        <v>42000</v>
      </c>
      <c r="H6252" s="338" t="str">
        <f>+H6251</f>
        <v>Caja Navidad Maria Fca. Guillen</v>
      </c>
      <c r="I6252" s="507" t="s">
        <v>296</v>
      </c>
      <c r="K6252" s="370"/>
      <c r="N6252" s="370"/>
    </row>
    <row r="6253" spans="1:14" s="347" customFormat="1" x14ac:dyDescent="0.25">
      <c r="A6253" s="369"/>
      <c r="E6253" s="396"/>
      <c r="F6253" s="396"/>
      <c r="G6253" s="396"/>
      <c r="K6253" s="370"/>
      <c r="N6253" s="370"/>
    </row>
    <row r="6254" spans="1:14" s="347" customFormat="1" x14ac:dyDescent="0.25">
      <c r="A6254" s="503">
        <v>44523</v>
      </c>
      <c r="B6254" s="504">
        <f>+MONTH(A6254)</f>
        <v>11</v>
      </c>
      <c r="C6254" s="505">
        <v>110</v>
      </c>
      <c r="D6254" s="504" t="str">
        <f>VLOOKUP(C6254,Plan!A$1:B$65542,2,0)</f>
        <v>Disponible Administración</v>
      </c>
      <c r="E6254" s="506">
        <f>+F6254-G6254</f>
        <v>150000</v>
      </c>
      <c r="F6254" s="508">
        <v>150000</v>
      </c>
      <c r="G6254" s="512">
        <v>0</v>
      </c>
      <c r="H6254" t="s">
        <v>1107</v>
      </c>
      <c r="I6254" s="507" t="s">
        <v>296</v>
      </c>
      <c r="K6254" s="370"/>
      <c r="N6254" s="370"/>
    </row>
    <row r="6255" spans="1:14" s="347" customFormat="1" x14ac:dyDescent="0.25">
      <c r="A6255" s="503">
        <f>+A6254</f>
        <v>44523</v>
      </c>
      <c r="B6255" s="504">
        <f>+MONTH(A6255)</f>
        <v>11</v>
      </c>
      <c r="C6255" s="505">
        <v>3110</v>
      </c>
      <c r="D6255" s="504" t="str">
        <f>VLOOKUP(C6255,Plan!A$1:B$65542,2,0)</f>
        <v>Colectas Normales</v>
      </c>
      <c r="E6255" s="506">
        <f>+F6255-G6255</f>
        <v>-150000</v>
      </c>
      <c r="F6255" s="508">
        <v>0</v>
      </c>
      <c r="G6255" s="512">
        <f>+F6254</f>
        <v>150000</v>
      </c>
      <c r="H6255" s="338" t="str">
        <f>+H6254</f>
        <v>Colecta Francisco Guillen</v>
      </c>
      <c r="I6255" s="507" t="s">
        <v>296</v>
      </c>
      <c r="K6255" s="370"/>
      <c r="N6255" s="370"/>
    </row>
    <row r="6256" spans="1:14" s="347" customFormat="1" x14ac:dyDescent="0.25">
      <c r="A6256" s="369"/>
      <c r="E6256" s="396"/>
      <c r="F6256" s="396"/>
      <c r="G6256" s="396"/>
      <c r="K6256" s="370"/>
      <c r="N6256" s="370"/>
    </row>
    <row r="6257" spans="1:14" s="347" customFormat="1" x14ac:dyDescent="0.25">
      <c r="A6257" s="503">
        <v>44523</v>
      </c>
      <c r="B6257" s="504">
        <f>+MONTH(A6257)</f>
        <v>11</v>
      </c>
      <c r="C6257" s="505">
        <v>110</v>
      </c>
      <c r="D6257" s="504" t="str">
        <f>VLOOKUP(C6257,Plan!A$1:B$65542,2,0)</f>
        <v>Disponible Administración</v>
      </c>
      <c r="E6257" s="506">
        <f>+F6257-G6257</f>
        <v>96000</v>
      </c>
      <c r="F6257" s="508">
        <v>96000</v>
      </c>
      <c r="G6257" s="512">
        <v>0</v>
      </c>
      <c r="H6257" t="s">
        <v>2291</v>
      </c>
      <c r="I6257" s="507" t="s">
        <v>296</v>
      </c>
      <c r="K6257" s="370"/>
      <c r="N6257" s="370"/>
    </row>
    <row r="6258" spans="1:14" s="347" customFormat="1" x14ac:dyDescent="0.25">
      <c r="A6258" s="503">
        <f>+A6257</f>
        <v>44523</v>
      </c>
      <c r="B6258" s="504">
        <f>+MONTH(A6258)</f>
        <v>11</v>
      </c>
      <c r="C6258" s="505">
        <v>3453</v>
      </c>
      <c r="D6258" s="504" t="str">
        <f>VLOOKUP(C6258,Plan!A$1:B$65542,2,0)</f>
        <v>Cajas de navidad</v>
      </c>
      <c r="E6258" s="506">
        <f>+F6258-G6258</f>
        <v>-96000</v>
      </c>
      <c r="F6258" s="508">
        <v>0</v>
      </c>
      <c r="G6258" s="512">
        <f>+F6257</f>
        <v>96000</v>
      </c>
      <c r="H6258" s="338" t="str">
        <f>+H6257</f>
        <v>Caja Navidad Maria Teresa Gil Gomez</v>
      </c>
      <c r="I6258" s="507" t="s">
        <v>296</v>
      </c>
      <c r="K6258" s="370"/>
      <c r="N6258" s="370"/>
    </row>
    <row r="6259" spans="1:14" s="347" customFormat="1" x14ac:dyDescent="0.25">
      <c r="A6259" s="369"/>
      <c r="E6259" s="396"/>
      <c r="F6259" s="396"/>
      <c r="G6259" s="396"/>
      <c r="K6259" s="370"/>
      <c r="N6259" s="370"/>
    </row>
    <row r="6260" spans="1:14" s="347" customFormat="1" x14ac:dyDescent="0.25">
      <c r="A6260" s="503">
        <v>44523</v>
      </c>
      <c r="B6260" s="504">
        <f>+MONTH(A6260)</f>
        <v>11</v>
      </c>
      <c r="C6260" s="505">
        <v>110</v>
      </c>
      <c r="D6260" s="504" t="str">
        <f>VLOOKUP(C6260,Plan!A$1:B$65542,2,0)</f>
        <v>Disponible Administración</v>
      </c>
      <c r="E6260" s="506">
        <f>+F6260-G6260</f>
        <v>5025</v>
      </c>
      <c r="F6260" s="508">
        <v>5025</v>
      </c>
      <c r="G6260" s="512">
        <v>0</v>
      </c>
      <c r="H6260" t="s">
        <v>897</v>
      </c>
      <c r="I6260" s="507" t="s">
        <v>296</v>
      </c>
      <c r="K6260" s="370"/>
      <c r="N6260" s="370"/>
    </row>
    <row r="6261" spans="1:14" s="347" customFormat="1" x14ac:dyDescent="0.25">
      <c r="A6261" s="503">
        <f>+A6260</f>
        <v>44523</v>
      </c>
      <c r="B6261" s="504">
        <f>+MONTH(A6261)</f>
        <v>11</v>
      </c>
      <c r="C6261" s="505">
        <v>3110</v>
      </c>
      <c r="D6261" s="504" t="str">
        <f>VLOOKUP(C6261,Plan!A$1:B$65542,2,0)</f>
        <v>Colectas Normales</v>
      </c>
      <c r="E6261" s="506">
        <f>+F6261-G6261</f>
        <v>-5025</v>
      </c>
      <c r="F6261" s="508">
        <v>0</v>
      </c>
      <c r="G6261" s="512">
        <f>+F6260</f>
        <v>5025</v>
      </c>
      <c r="H6261" s="338" t="str">
        <f>+H6260</f>
        <v>Colecta DCT</v>
      </c>
      <c r="I6261" s="507" t="s">
        <v>296</v>
      </c>
      <c r="K6261" s="370"/>
      <c r="N6261" s="370"/>
    </row>
    <row r="6262" spans="1:14" s="347" customFormat="1" x14ac:dyDescent="0.25">
      <c r="A6262" s="369"/>
      <c r="E6262" s="396"/>
      <c r="F6262" s="396"/>
      <c r="G6262" s="396"/>
      <c r="K6262" s="370"/>
      <c r="N6262" s="370"/>
    </row>
    <row r="6263" spans="1:14" s="347" customFormat="1" x14ac:dyDescent="0.25">
      <c r="A6263" s="503">
        <v>44523</v>
      </c>
      <c r="B6263" s="504">
        <f>+MONTH(A6263)</f>
        <v>11</v>
      </c>
      <c r="C6263" s="505">
        <v>110</v>
      </c>
      <c r="D6263" s="504" t="str">
        <f>VLOOKUP(C6263,Plan!A$1:B$65542,2,0)</f>
        <v>Disponible Administración</v>
      </c>
      <c r="E6263" s="506">
        <f>+F6263-G6263</f>
        <v>280318</v>
      </c>
      <c r="F6263" s="508">
        <v>280318</v>
      </c>
      <c r="G6263" s="512">
        <v>0</v>
      </c>
      <c r="H6263" t="s">
        <v>2218</v>
      </c>
      <c r="I6263" s="507" t="s">
        <v>296</v>
      </c>
      <c r="K6263" s="370"/>
      <c r="N6263" s="370"/>
    </row>
    <row r="6264" spans="1:14" s="347" customFormat="1" x14ac:dyDescent="0.25">
      <c r="A6264" s="503">
        <f>+A6263</f>
        <v>44523</v>
      </c>
      <c r="B6264" s="504">
        <f>+MONTH(A6264)</f>
        <v>11</v>
      </c>
      <c r="C6264" s="505">
        <v>3453</v>
      </c>
      <c r="D6264" s="504" t="str">
        <f>VLOOKUP(C6264,Plan!A$1:B$65542,2,0)</f>
        <v>Cajas de navidad</v>
      </c>
      <c r="E6264" s="506">
        <f>+F6264-G6264</f>
        <v>-280318</v>
      </c>
      <c r="F6264" s="508">
        <v>0</v>
      </c>
      <c r="G6264" s="512">
        <f>+F6263</f>
        <v>280318</v>
      </c>
      <c r="H6264" s="338" t="str">
        <f>+H6263</f>
        <v>Caja Navidad POS</v>
      </c>
      <c r="I6264" s="507" t="s">
        <v>296</v>
      </c>
      <c r="K6264" s="370"/>
      <c r="N6264" s="370"/>
    </row>
    <row r="6265" spans="1:14" s="347" customFormat="1" x14ac:dyDescent="0.25">
      <c r="A6265" s="369"/>
      <c r="E6265" s="396"/>
      <c r="F6265" s="396"/>
      <c r="G6265" s="396"/>
      <c r="K6265" s="370"/>
      <c r="N6265" s="370"/>
    </row>
    <row r="6266" spans="1:14" s="347" customFormat="1" x14ac:dyDescent="0.25">
      <c r="A6266" s="503">
        <v>44523</v>
      </c>
      <c r="B6266" s="504">
        <f>+MONTH(A6266)</f>
        <v>11</v>
      </c>
      <c r="C6266" s="505">
        <v>110</v>
      </c>
      <c r="D6266" s="504" t="str">
        <f>VLOOKUP(C6266,Plan!A$1:B$65542,2,0)</f>
        <v>Disponible Administración</v>
      </c>
      <c r="E6266" s="506">
        <f>+F6266-G6266</f>
        <v>514644</v>
      </c>
      <c r="F6266" s="508">
        <v>514644</v>
      </c>
      <c r="G6266" s="512">
        <v>0</v>
      </c>
      <c r="H6266" t="s">
        <v>2271</v>
      </c>
      <c r="I6266" s="507" t="s">
        <v>296</v>
      </c>
      <c r="K6266" s="370"/>
      <c r="N6266" s="370"/>
    </row>
    <row r="6267" spans="1:14" s="347" customFormat="1" x14ac:dyDescent="0.25">
      <c r="A6267" s="503">
        <f>+A6266</f>
        <v>44523</v>
      </c>
      <c r="B6267" s="504">
        <f>+MONTH(A6267)</f>
        <v>11</v>
      </c>
      <c r="C6267" s="505">
        <v>3453</v>
      </c>
      <c r="D6267" s="504" t="str">
        <f>VLOOKUP(C6267,Plan!A$1:B$65542,2,0)</f>
        <v>Cajas de navidad</v>
      </c>
      <c r="E6267" s="506">
        <f>+F6267-G6267</f>
        <v>-514644</v>
      </c>
      <c r="F6267" s="508">
        <v>0</v>
      </c>
      <c r="G6267" s="512">
        <f>+F6266</f>
        <v>514644</v>
      </c>
      <c r="H6267" s="338" t="str">
        <f>+H6266</f>
        <v>Caja Navidad DCT</v>
      </c>
      <c r="I6267" s="507" t="s">
        <v>296</v>
      </c>
      <c r="K6267" s="370"/>
      <c r="N6267" s="370"/>
    </row>
    <row r="6268" spans="1:14" s="347" customFormat="1" x14ac:dyDescent="0.25">
      <c r="A6268" s="369"/>
      <c r="E6268" s="396"/>
      <c r="F6268" s="396"/>
      <c r="G6268" s="396"/>
      <c r="K6268" s="370"/>
      <c r="N6268" s="370"/>
    </row>
    <row r="6269" spans="1:14" s="347" customFormat="1" x14ac:dyDescent="0.25">
      <c r="A6269" s="503">
        <v>44523</v>
      </c>
      <c r="B6269" s="504">
        <f>+MONTH(A6269)</f>
        <v>11</v>
      </c>
      <c r="C6269" s="505">
        <v>110</v>
      </c>
      <c r="D6269" s="504" t="str">
        <f>VLOOKUP(C6269,Plan!A$1:B$65542,2,0)</f>
        <v>Disponible Administración</v>
      </c>
      <c r="E6269" s="506">
        <f>+F6269-G6269</f>
        <v>29040</v>
      </c>
      <c r="F6269" s="508">
        <v>29040</v>
      </c>
      <c r="G6269" s="512">
        <v>0</v>
      </c>
      <c r="H6269" s="338" t="s">
        <v>2292</v>
      </c>
      <c r="I6269" s="507" t="s">
        <v>296</v>
      </c>
      <c r="K6269" s="370"/>
      <c r="N6269" s="370"/>
    </row>
    <row r="6270" spans="1:14" s="347" customFormat="1" x14ac:dyDescent="0.25">
      <c r="A6270" s="503">
        <f>+A6269</f>
        <v>44523</v>
      </c>
      <c r="B6270" s="504">
        <f>+MONTH(A6270)</f>
        <v>11</v>
      </c>
      <c r="C6270" s="505">
        <v>215</v>
      </c>
      <c r="D6270" s="504" t="str">
        <f>VLOOKUP(C6270,Plan!A$1:B$65542,2,0)</f>
        <v>Cuenta por Pagar a Cali</v>
      </c>
      <c r="E6270" s="506">
        <f>+F6270-G6270</f>
        <v>-29040</v>
      </c>
      <c r="F6270" s="508">
        <v>0</v>
      </c>
      <c r="G6270" s="512">
        <f>+F6269</f>
        <v>29040</v>
      </c>
      <c r="H6270" s="338" t="str">
        <f>+H6269</f>
        <v>Maria Rebeca Perez Ferrada($30000)</v>
      </c>
      <c r="I6270" s="507" t="s">
        <v>296</v>
      </c>
      <c r="K6270" s="370"/>
      <c r="N6270" s="370"/>
    </row>
    <row r="6271" spans="1:14" s="347" customFormat="1" x14ac:dyDescent="0.25">
      <c r="A6271" s="369"/>
      <c r="E6271" s="396"/>
      <c r="F6271" s="396"/>
      <c r="G6271" s="396"/>
      <c r="K6271" s="370"/>
      <c r="N6271" s="370"/>
    </row>
    <row r="6272" spans="1:14" s="347" customFormat="1" x14ac:dyDescent="0.25">
      <c r="A6272" s="503">
        <v>44523</v>
      </c>
      <c r="B6272" s="504">
        <f>+MONTH(A6272)</f>
        <v>11</v>
      </c>
      <c r="C6272" s="505">
        <v>110</v>
      </c>
      <c r="D6272" s="504" t="str">
        <f>VLOOKUP(C6272,Plan!A$1:B$65542,2,0)</f>
        <v>Disponible Administración</v>
      </c>
      <c r="E6272" s="506">
        <f>+F6272-G6272</f>
        <v>64000</v>
      </c>
      <c r="F6272" s="508">
        <v>64000</v>
      </c>
      <c r="G6272" s="512">
        <v>0</v>
      </c>
      <c r="H6272" s="338" t="s">
        <v>2293</v>
      </c>
      <c r="I6272" s="507" t="s">
        <v>296</v>
      </c>
      <c r="K6272" s="370"/>
      <c r="N6272" s="370"/>
    </row>
    <row r="6273" spans="1:14" s="347" customFormat="1" x14ac:dyDescent="0.25">
      <c r="A6273" s="503">
        <f>+A6272</f>
        <v>44523</v>
      </c>
      <c r="B6273" s="504">
        <f>+MONTH(A6273)</f>
        <v>11</v>
      </c>
      <c r="C6273" s="505">
        <v>3453</v>
      </c>
      <c r="D6273" s="504" t="str">
        <f>VLOOKUP(C6273,Plan!A$1:B$65542,2,0)</f>
        <v>Cajas de navidad</v>
      </c>
      <c r="E6273" s="506">
        <f>+F6273-G6273</f>
        <v>-64000</v>
      </c>
      <c r="F6273" s="508">
        <v>0</v>
      </c>
      <c r="G6273" s="512">
        <f>+F6272</f>
        <v>64000</v>
      </c>
      <c r="H6273" s="338" t="str">
        <f>+H6272</f>
        <v>Caja Navidad Iñigo Diaz Cuevas</v>
      </c>
      <c r="I6273" s="507" t="s">
        <v>296</v>
      </c>
      <c r="K6273" s="370"/>
      <c r="N6273" s="370"/>
    </row>
    <row r="6274" spans="1:14" s="347" customFormat="1" x14ac:dyDescent="0.25">
      <c r="A6274" s="369"/>
      <c r="E6274" s="396"/>
      <c r="F6274" s="396"/>
      <c r="G6274" s="396"/>
      <c r="K6274" s="370"/>
      <c r="N6274" s="370"/>
    </row>
    <row r="6275" spans="1:14" s="347" customFormat="1" x14ac:dyDescent="0.25">
      <c r="A6275" s="503">
        <v>44524</v>
      </c>
      <c r="B6275" s="504">
        <f>+MONTH(A6275)</f>
        <v>11</v>
      </c>
      <c r="C6275" s="505">
        <v>110</v>
      </c>
      <c r="D6275" s="504" t="str">
        <f>VLOOKUP(C6275,Plan!A$1:B$65542,2,0)</f>
        <v>Disponible Administración</v>
      </c>
      <c r="E6275" s="506">
        <f>+F6275-G6275</f>
        <v>38000</v>
      </c>
      <c r="F6275" s="508">
        <v>38000</v>
      </c>
      <c r="G6275" s="512">
        <v>0</v>
      </c>
      <c r="H6275" s="338" t="s">
        <v>2294</v>
      </c>
      <c r="I6275" s="507" t="s">
        <v>296</v>
      </c>
      <c r="K6275" s="370"/>
      <c r="N6275" s="370"/>
    </row>
    <row r="6276" spans="1:14" s="347" customFormat="1" x14ac:dyDescent="0.25">
      <c r="A6276" s="503">
        <f>+A6275</f>
        <v>44524</v>
      </c>
      <c r="B6276" s="504">
        <f>+MONTH(A6276)</f>
        <v>11</v>
      </c>
      <c r="C6276" s="505">
        <v>3453</v>
      </c>
      <c r="D6276" s="504" t="str">
        <f>VLOOKUP(C6276,Plan!A$1:B$65542,2,0)</f>
        <v>Cajas de navidad</v>
      </c>
      <c r="E6276" s="506">
        <f>+F6276-G6276</f>
        <v>-38000</v>
      </c>
      <c r="F6276" s="508">
        <v>0</v>
      </c>
      <c r="G6276" s="512">
        <f>+F6275</f>
        <v>38000</v>
      </c>
      <c r="H6276" s="338" t="str">
        <f>+H6275</f>
        <v>Caja Navidad Olga Emperatriz Salinas Burgos</v>
      </c>
      <c r="I6276" s="507" t="s">
        <v>296</v>
      </c>
      <c r="K6276" s="370"/>
      <c r="N6276" s="370"/>
    </row>
    <row r="6277" spans="1:14" s="347" customFormat="1" x14ac:dyDescent="0.25">
      <c r="A6277" s="369"/>
      <c r="E6277" s="396"/>
      <c r="F6277" s="396"/>
      <c r="G6277" s="396"/>
      <c r="K6277" s="370"/>
      <c r="N6277" s="370"/>
    </row>
    <row r="6278" spans="1:14" s="347" customFormat="1" x14ac:dyDescent="0.25">
      <c r="A6278" s="503">
        <v>44524</v>
      </c>
      <c r="B6278" s="504">
        <f>+MONTH(A6278)</f>
        <v>11</v>
      </c>
      <c r="C6278" s="505">
        <v>110</v>
      </c>
      <c r="D6278" s="504" t="str">
        <f>VLOOKUP(C6278,Plan!A$1:B$65542,2,0)</f>
        <v>Disponible Administración</v>
      </c>
      <c r="E6278" s="506">
        <f>+F6278-G6278</f>
        <v>40000</v>
      </c>
      <c r="F6278" s="508">
        <v>40000</v>
      </c>
      <c r="G6278" s="512">
        <v>0</v>
      </c>
      <c r="H6278" s="338" t="s">
        <v>2295</v>
      </c>
      <c r="I6278" s="507" t="s">
        <v>296</v>
      </c>
      <c r="K6278" s="370"/>
      <c r="N6278" s="370"/>
    </row>
    <row r="6279" spans="1:14" s="347" customFormat="1" x14ac:dyDescent="0.25">
      <c r="A6279" s="503">
        <f>+A6278</f>
        <v>44524</v>
      </c>
      <c r="B6279" s="504">
        <f>+MONTH(A6279)</f>
        <v>11</v>
      </c>
      <c r="C6279" s="505">
        <v>3453</v>
      </c>
      <c r="D6279" s="504" t="str">
        <f>VLOOKUP(C6279,Plan!A$1:B$65542,2,0)</f>
        <v>Cajas de navidad</v>
      </c>
      <c r="E6279" s="506">
        <f>+F6279-G6279</f>
        <v>-40000</v>
      </c>
      <c r="F6279" s="508">
        <v>0</v>
      </c>
      <c r="G6279" s="512">
        <f>+F6278</f>
        <v>40000</v>
      </c>
      <c r="H6279" s="338" t="str">
        <f>+H6278</f>
        <v>Caja Navidad Hector Cristian Canevaro Jaramillo</v>
      </c>
      <c r="I6279" s="507" t="s">
        <v>296</v>
      </c>
      <c r="K6279" s="370"/>
      <c r="N6279" s="370"/>
    </row>
    <row r="6280" spans="1:14" s="347" customFormat="1" x14ac:dyDescent="0.25">
      <c r="A6280" s="369"/>
      <c r="E6280" s="396"/>
      <c r="F6280" s="396"/>
      <c r="G6280" s="396"/>
      <c r="K6280" s="370"/>
      <c r="N6280" s="370"/>
    </row>
    <row r="6281" spans="1:14" s="347" customFormat="1" x14ac:dyDescent="0.25">
      <c r="A6281" s="503">
        <v>44524</v>
      </c>
      <c r="B6281" s="504">
        <f>+MONTH(A6281)</f>
        <v>11</v>
      </c>
      <c r="C6281" s="505">
        <v>110</v>
      </c>
      <c r="D6281" s="504" t="str">
        <f>VLOOKUP(C6281,Plan!A$1:B$65542,2,0)</f>
        <v>Disponible Administración</v>
      </c>
      <c r="E6281" s="506">
        <f>+F6281-G6281</f>
        <v>588533</v>
      </c>
      <c r="F6281" s="508">
        <v>588533</v>
      </c>
      <c r="G6281" s="512">
        <v>0</v>
      </c>
      <c r="H6281" s="338" t="s">
        <v>2218</v>
      </c>
      <c r="I6281" s="507" t="s">
        <v>296</v>
      </c>
      <c r="K6281" s="370"/>
      <c r="N6281" s="370"/>
    </row>
    <row r="6282" spans="1:14" s="347" customFormat="1" x14ac:dyDescent="0.25">
      <c r="A6282" s="503">
        <f>+A6281</f>
        <v>44524</v>
      </c>
      <c r="B6282" s="504">
        <f>+MONTH(A6282)</f>
        <v>11</v>
      </c>
      <c r="C6282" s="505">
        <v>3453</v>
      </c>
      <c r="D6282" s="504" t="str">
        <f>VLOOKUP(C6282,Plan!A$1:B$65542,2,0)</f>
        <v>Cajas de navidad</v>
      </c>
      <c r="E6282" s="506">
        <f>+F6282-G6282</f>
        <v>-588533</v>
      </c>
      <c r="F6282" s="508">
        <v>0</v>
      </c>
      <c r="G6282" s="512">
        <f>+F6281</f>
        <v>588533</v>
      </c>
      <c r="H6282" s="338" t="str">
        <f>+H6281</f>
        <v>Caja Navidad POS</v>
      </c>
      <c r="I6282" s="507" t="s">
        <v>296</v>
      </c>
      <c r="K6282" s="370"/>
      <c r="N6282" s="370"/>
    </row>
    <row r="6283" spans="1:14" s="347" customFormat="1" x14ac:dyDescent="0.25">
      <c r="A6283" s="369"/>
      <c r="E6283" s="396"/>
      <c r="F6283" s="396"/>
      <c r="G6283" s="396"/>
      <c r="K6283" s="370"/>
      <c r="N6283" s="370"/>
    </row>
    <row r="6284" spans="1:14" s="347" customFormat="1" x14ac:dyDescent="0.25">
      <c r="A6284" s="503">
        <v>44524</v>
      </c>
      <c r="B6284" s="504">
        <f>+MONTH(A6284)</f>
        <v>11</v>
      </c>
      <c r="C6284" s="505">
        <v>110</v>
      </c>
      <c r="D6284" s="504" t="str">
        <f>VLOOKUP(C6284,Plan!A$1:B$65542,2,0)</f>
        <v>Disponible Administración</v>
      </c>
      <c r="E6284" s="506">
        <f>+F6284-G6284</f>
        <v>32000</v>
      </c>
      <c r="F6284" s="508">
        <v>32000</v>
      </c>
      <c r="G6284" s="512">
        <v>0</v>
      </c>
      <c r="H6284" s="338" t="s">
        <v>2296</v>
      </c>
      <c r="I6284" s="507" t="s">
        <v>296</v>
      </c>
      <c r="K6284" s="370"/>
      <c r="N6284" s="370"/>
    </row>
    <row r="6285" spans="1:14" s="347" customFormat="1" x14ac:dyDescent="0.25">
      <c r="A6285" s="503">
        <f>+A6284</f>
        <v>44524</v>
      </c>
      <c r="B6285" s="504">
        <f>+MONTH(A6285)</f>
        <v>11</v>
      </c>
      <c r="C6285" s="505">
        <v>3453</v>
      </c>
      <c r="D6285" s="504" t="str">
        <f>VLOOKUP(C6285,Plan!A$1:B$65542,2,0)</f>
        <v>Cajas de navidad</v>
      </c>
      <c r="E6285" s="506">
        <f>+F6285-G6285</f>
        <v>-32000</v>
      </c>
      <c r="F6285" s="508">
        <v>0</v>
      </c>
      <c r="G6285" s="512">
        <f>+F6284</f>
        <v>32000</v>
      </c>
      <c r="H6285" s="338" t="str">
        <f>+H6284</f>
        <v>Caja Navidad Daniela Ryan</v>
      </c>
      <c r="I6285" s="507" t="s">
        <v>296</v>
      </c>
      <c r="K6285" s="370"/>
      <c r="N6285" s="370"/>
    </row>
    <row r="6286" spans="1:14" s="347" customFormat="1" x14ac:dyDescent="0.25">
      <c r="A6286" s="369"/>
      <c r="B6286" s="340"/>
      <c r="D6286" s="340"/>
      <c r="E6286" s="341"/>
      <c r="F6286" s="396"/>
      <c r="G6286" s="396"/>
      <c r="I6286" s="340"/>
      <c r="K6286" s="370"/>
      <c r="N6286" s="370"/>
    </row>
    <row r="6287" spans="1:14" s="347" customFormat="1" x14ac:dyDescent="0.25">
      <c r="A6287" s="503">
        <v>44524</v>
      </c>
      <c r="B6287" s="504">
        <f>+MONTH(A6287)</f>
        <v>11</v>
      </c>
      <c r="C6287" s="505">
        <v>110</v>
      </c>
      <c r="D6287" s="504" t="str">
        <f>VLOOKUP(C6287,Plan!A$1:B$65542,2,0)</f>
        <v>Disponible Administración</v>
      </c>
      <c r="E6287" s="506">
        <f>+F6287-G6287</f>
        <v>10000</v>
      </c>
      <c r="F6287" s="508">
        <v>10000</v>
      </c>
      <c r="G6287" s="512">
        <v>0</v>
      </c>
      <c r="H6287" s="338" t="s">
        <v>2297</v>
      </c>
      <c r="I6287" s="507" t="s">
        <v>296</v>
      </c>
      <c r="K6287" s="370"/>
      <c r="N6287" s="370"/>
    </row>
    <row r="6288" spans="1:14" s="347" customFormat="1" x14ac:dyDescent="0.25">
      <c r="A6288" s="503">
        <f>+A6287</f>
        <v>44524</v>
      </c>
      <c r="B6288" s="504">
        <f>+MONTH(A6288)</f>
        <v>11</v>
      </c>
      <c r="C6288" s="505">
        <v>3320</v>
      </c>
      <c r="D6288" s="504" t="str">
        <f>VLOOKUP(C6288,Plan!A$1:B$65542,2,0)</f>
        <v>Matrimonios</v>
      </c>
      <c r="E6288" s="506">
        <f>+F6288-G6288</f>
        <v>-10000</v>
      </c>
      <c r="F6288" s="508">
        <v>0</v>
      </c>
      <c r="G6288" s="512">
        <f>+F6287</f>
        <v>10000</v>
      </c>
      <c r="H6288" s="338" t="str">
        <f>+H6287</f>
        <v>Matrimonio Carmen Gloria Gutierrez</v>
      </c>
      <c r="I6288" s="507" t="s">
        <v>296</v>
      </c>
      <c r="K6288" s="370"/>
      <c r="N6288" s="370"/>
    </row>
    <row r="6289" spans="1:14" s="347" customFormat="1" x14ac:dyDescent="0.25">
      <c r="A6289" s="369"/>
      <c r="E6289" s="396"/>
      <c r="F6289" s="396"/>
      <c r="G6289" s="396"/>
      <c r="K6289" s="370"/>
      <c r="N6289" s="370"/>
    </row>
    <row r="6290" spans="1:14" s="347" customFormat="1" x14ac:dyDescent="0.25">
      <c r="A6290" s="503">
        <v>44524</v>
      </c>
      <c r="B6290" s="504">
        <f>+MONTH(A6290)</f>
        <v>11</v>
      </c>
      <c r="C6290" s="505">
        <v>110</v>
      </c>
      <c r="D6290" s="504" t="str">
        <f>VLOOKUP(C6290,Plan!A$1:B$65542,2,0)</f>
        <v>Disponible Administración</v>
      </c>
      <c r="E6290" s="506">
        <f>+F6290-G6290</f>
        <v>17000</v>
      </c>
      <c r="F6290" s="508">
        <v>17000</v>
      </c>
      <c r="G6290" s="512">
        <v>0</v>
      </c>
      <c r="H6290" s="338" t="s">
        <v>2298</v>
      </c>
      <c r="I6290" s="507" t="s">
        <v>296</v>
      </c>
      <c r="K6290" s="370"/>
      <c r="N6290" s="370"/>
    </row>
    <row r="6291" spans="1:14" s="347" customFormat="1" x14ac:dyDescent="0.25">
      <c r="A6291" s="503">
        <f>+A6290</f>
        <v>44524</v>
      </c>
      <c r="B6291" s="504">
        <f>+MONTH(A6291)</f>
        <v>11</v>
      </c>
      <c r="C6291" s="505">
        <v>3350</v>
      </c>
      <c r="D6291" s="504" t="str">
        <f>VLOOKUP(C6291,Plan!A$1:B$65542,2,0)</f>
        <v>Bautizos</v>
      </c>
      <c r="E6291" s="506">
        <f>+F6291-G6291</f>
        <v>-17000</v>
      </c>
      <c r="F6291" s="508">
        <v>0</v>
      </c>
      <c r="G6291" s="512">
        <f>+F6290</f>
        <v>17000</v>
      </c>
      <c r="H6291" s="338" t="str">
        <f>+H6290</f>
        <v>Bautizo Varios</v>
      </c>
      <c r="I6291" s="507" t="s">
        <v>296</v>
      </c>
      <c r="K6291" s="370"/>
      <c r="N6291" s="370"/>
    </row>
    <row r="6292" spans="1:14" s="347" customFormat="1" x14ac:dyDescent="0.25">
      <c r="A6292" s="369"/>
      <c r="E6292" s="396"/>
      <c r="F6292" s="396"/>
      <c r="G6292" s="396"/>
      <c r="K6292" s="370"/>
      <c r="N6292" s="370"/>
    </row>
    <row r="6293" spans="1:14" s="347" customFormat="1" x14ac:dyDescent="0.25">
      <c r="A6293" s="503">
        <v>44524</v>
      </c>
      <c r="B6293" s="504">
        <f>+MONTH(A6293)</f>
        <v>11</v>
      </c>
      <c r="C6293" s="505">
        <v>110</v>
      </c>
      <c r="D6293" s="504" t="str">
        <f>VLOOKUP(C6293,Plan!A$1:B$65542,2,0)</f>
        <v>Disponible Administración</v>
      </c>
      <c r="E6293" s="506">
        <f>+F6293-G6293</f>
        <v>93807</v>
      </c>
      <c r="F6293" s="508">
        <v>93807</v>
      </c>
      <c r="G6293" s="512">
        <v>0</v>
      </c>
      <c r="H6293" t="s">
        <v>1914</v>
      </c>
      <c r="I6293" s="507" t="s">
        <v>296</v>
      </c>
      <c r="K6293" s="370"/>
      <c r="N6293" s="370"/>
    </row>
    <row r="6294" spans="1:14" s="347" customFormat="1" x14ac:dyDescent="0.25">
      <c r="A6294" s="503">
        <f>+A6293</f>
        <v>44524</v>
      </c>
      <c r="B6294" s="504">
        <f>+MONTH(A6294)</f>
        <v>11</v>
      </c>
      <c r="C6294" s="505">
        <v>3520</v>
      </c>
      <c r="D6294" s="504" t="str">
        <f>VLOOKUP(C6294,Plan!A$1:B$65542,2,0)</f>
        <v>Otros Ingreso</v>
      </c>
      <c r="E6294" s="506">
        <f>+F6294-G6294</f>
        <v>-93807</v>
      </c>
      <c r="F6294" s="508">
        <v>0</v>
      </c>
      <c r="G6294" s="512">
        <f>+F6293</f>
        <v>93807</v>
      </c>
      <c r="H6294" s="338" t="str">
        <f>+H6293</f>
        <v>Dev.Asignación Familiar</v>
      </c>
      <c r="I6294" s="507" t="s">
        <v>296</v>
      </c>
      <c r="K6294" s="370"/>
      <c r="N6294" s="370"/>
    </row>
    <row r="6295" spans="1:14" s="347" customFormat="1" x14ac:dyDescent="0.25">
      <c r="A6295" s="369"/>
      <c r="E6295" s="396"/>
      <c r="F6295" s="396"/>
      <c r="G6295" s="396"/>
      <c r="K6295" s="370"/>
      <c r="N6295" s="370"/>
    </row>
    <row r="6296" spans="1:14" s="347" customFormat="1" x14ac:dyDescent="0.25">
      <c r="A6296" s="503">
        <v>44525</v>
      </c>
      <c r="B6296" s="504">
        <f>+MONTH(A6296)</f>
        <v>11</v>
      </c>
      <c r="C6296" s="505">
        <v>110</v>
      </c>
      <c r="D6296" s="504" t="str">
        <f>VLOOKUP(C6296,Plan!A$1:B$65542,2,0)</f>
        <v>Disponible Administración</v>
      </c>
      <c r="E6296" s="506">
        <f>+F6296-G6296</f>
        <v>30000</v>
      </c>
      <c r="F6296" s="508">
        <v>30000</v>
      </c>
      <c r="G6296" s="512">
        <v>0</v>
      </c>
      <c r="H6296" t="s">
        <v>1599</v>
      </c>
      <c r="I6296" s="507" t="s">
        <v>296</v>
      </c>
      <c r="K6296" s="370"/>
      <c r="N6296" s="370"/>
    </row>
    <row r="6297" spans="1:14" s="347" customFormat="1" x14ac:dyDescent="0.25">
      <c r="A6297" s="503">
        <f>+A6296</f>
        <v>44525</v>
      </c>
      <c r="B6297" s="504">
        <f>+MONTH(A6297)</f>
        <v>11</v>
      </c>
      <c r="C6297" s="505">
        <v>3110</v>
      </c>
      <c r="D6297" s="504" t="str">
        <f>VLOOKUP(C6297,Plan!A$1:B$65542,2,0)</f>
        <v>Colectas Normales</v>
      </c>
      <c r="E6297" s="506">
        <f>+F6297-G6297</f>
        <v>-30000</v>
      </c>
      <c r="F6297" s="508">
        <v>0</v>
      </c>
      <c r="G6297" s="512">
        <f>+F6296</f>
        <v>30000</v>
      </c>
      <c r="H6297" s="338" t="str">
        <f>+H6296</f>
        <v>Colecta Yolanda Haase Baeza</v>
      </c>
      <c r="I6297" s="507" t="s">
        <v>296</v>
      </c>
      <c r="K6297" s="370"/>
      <c r="N6297" s="370"/>
    </row>
    <row r="6298" spans="1:14" s="347" customFormat="1" x14ac:dyDescent="0.25">
      <c r="A6298" s="369"/>
      <c r="E6298" s="396"/>
      <c r="F6298" s="396"/>
      <c r="G6298" s="396"/>
      <c r="K6298" s="370"/>
      <c r="N6298" s="370"/>
    </row>
    <row r="6299" spans="1:14" s="347" customFormat="1" x14ac:dyDescent="0.25">
      <c r="A6299" s="503">
        <v>44525</v>
      </c>
      <c r="B6299" s="504">
        <f>+MONTH(A6299)</f>
        <v>11</v>
      </c>
      <c r="C6299" s="505">
        <v>110</v>
      </c>
      <c r="D6299" s="504" t="str">
        <f>VLOOKUP(C6299,Plan!A$1:B$65542,2,0)</f>
        <v>Disponible Administración</v>
      </c>
      <c r="E6299" s="506">
        <f>+F6299-G6299</f>
        <v>30000</v>
      </c>
      <c r="F6299" s="508">
        <v>30000</v>
      </c>
      <c r="G6299" s="512">
        <v>0</v>
      </c>
      <c r="H6299" t="s">
        <v>2299</v>
      </c>
      <c r="I6299" s="507" t="s">
        <v>296</v>
      </c>
      <c r="K6299" s="370"/>
      <c r="N6299" s="370"/>
    </row>
    <row r="6300" spans="1:14" s="347" customFormat="1" x14ac:dyDescent="0.25">
      <c r="A6300" s="503">
        <f>+A6299</f>
        <v>44525</v>
      </c>
      <c r="B6300" s="504">
        <f>+MONTH(A6300)</f>
        <v>11</v>
      </c>
      <c r="C6300" s="505">
        <v>3453</v>
      </c>
      <c r="D6300" s="504" t="str">
        <f>VLOOKUP(C6300,Plan!A$1:B$65542,2,0)</f>
        <v>Cajas de navidad</v>
      </c>
      <c r="E6300" s="506">
        <f>+F6300-G6300</f>
        <v>-30000</v>
      </c>
      <c r="F6300" s="508">
        <v>0</v>
      </c>
      <c r="G6300" s="512">
        <f>+F6299</f>
        <v>30000</v>
      </c>
      <c r="H6300" s="338" t="str">
        <f>+H6299</f>
        <v>Caja Navidad Yolanda Haase Baeza</v>
      </c>
      <c r="I6300" s="507" t="s">
        <v>296</v>
      </c>
      <c r="K6300" s="370"/>
      <c r="N6300" s="370"/>
    </row>
    <row r="6301" spans="1:14" s="347" customFormat="1" x14ac:dyDescent="0.25">
      <c r="A6301" s="369"/>
      <c r="E6301" s="396"/>
      <c r="F6301" s="396"/>
      <c r="G6301" s="396"/>
      <c r="K6301" s="370"/>
      <c r="N6301" s="370"/>
    </row>
    <row r="6302" spans="1:14" s="347" customFormat="1" x14ac:dyDescent="0.25">
      <c r="A6302" s="503">
        <v>44525</v>
      </c>
      <c r="B6302" s="504">
        <f>+MONTH(A6302)</f>
        <v>11</v>
      </c>
      <c r="C6302" s="505">
        <v>110</v>
      </c>
      <c r="D6302" s="504" t="str">
        <f>VLOOKUP(C6302,Plan!A$1:B$65542,2,0)</f>
        <v>Disponible Administración</v>
      </c>
      <c r="E6302" s="506">
        <f>+F6302-G6302</f>
        <v>30000</v>
      </c>
      <c r="F6302" s="508">
        <v>30000</v>
      </c>
      <c r="G6302" s="512">
        <v>0</v>
      </c>
      <c r="H6302" t="s">
        <v>675</v>
      </c>
      <c r="I6302" s="507" t="s">
        <v>296</v>
      </c>
      <c r="K6302" s="370"/>
      <c r="N6302" s="370"/>
    </row>
    <row r="6303" spans="1:14" s="347" customFormat="1" x14ac:dyDescent="0.25">
      <c r="A6303" s="503">
        <f>+A6302</f>
        <v>44525</v>
      </c>
      <c r="B6303" s="504">
        <f>+MONTH(A6303)</f>
        <v>11</v>
      </c>
      <c r="C6303" s="505">
        <v>215</v>
      </c>
      <c r="D6303" s="504" t="str">
        <f>VLOOKUP(C6303,Plan!A$1:B$65542,2,0)</f>
        <v>Cuenta por Pagar a Cali</v>
      </c>
      <c r="E6303" s="506">
        <f>+F6303-G6303</f>
        <v>-30000</v>
      </c>
      <c r="F6303" s="508">
        <v>0</v>
      </c>
      <c r="G6303" s="512">
        <f>+F6302</f>
        <v>30000</v>
      </c>
      <c r="H6303" s="338" t="str">
        <f>+H6302</f>
        <v>Yolanda Haase Baeza / 249</v>
      </c>
      <c r="I6303" s="507" t="s">
        <v>296</v>
      </c>
      <c r="K6303" s="370"/>
      <c r="N6303" s="370"/>
    </row>
    <row r="6304" spans="1:14" s="347" customFormat="1" x14ac:dyDescent="0.25">
      <c r="A6304" s="369"/>
      <c r="E6304" s="396"/>
      <c r="F6304" s="396"/>
      <c r="G6304" s="396"/>
      <c r="K6304" s="370"/>
      <c r="N6304" s="370"/>
    </row>
    <row r="6305" spans="1:14" s="347" customFormat="1" x14ac:dyDescent="0.25">
      <c r="A6305" s="503">
        <v>44525</v>
      </c>
      <c r="B6305" s="504">
        <f>+MONTH(A6305)</f>
        <v>11</v>
      </c>
      <c r="C6305" s="505">
        <v>110</v>
      </c>
      <c r="D6305" s="504" t="str">
        <f>VLOOKUP(C6305,Plan!A$1:B$65542,2,0)</f>
        <v>Disponible Administración</v>
      </c>
      <c r="E6305" s="506">
        <f>+F6305-G6305</f>
        <v>20000</v>
      </c>
      <c r="F6305" s="508">
        <v>20000</v>
      </c>
      <c r="G6305" s="512">
        <v>0</v>
      </c>
      <c r="H6305" t="s">
        <v>1199</v>
      </c>
      <c r="I6305" s="507" t="s">
        <v>296</v>
      </c>
      <c r="K6305" s="370"/>
      <c r="N6305" s="370"/>
    </row>
    <row r="6306" spans="1:14" s="347" customFormat="1" x14ac:dyDescent="0.25">
      <c r="A6306" s="503">
        <f>+A6305</f>
        <v>44525</v>
      </c>
      <c r="B6306" s="504">
        <f>+MONTH(A6306)</f>
        <v>11</v>
      </c>
      <c r="C6306" s="505">
        <v>3110</v>
      </c>
      <c r="D6306" s="504" t="str">
        <f>VLOOKUP(C6306,Plan!A$1:B$65542,2,0)</f>
        <v>Colectas Normales</v>
      </c>
      <c r="E6306" s="506">
        <f>+F6306-G6306</f>
        <v>-20000</v>
      </c>
      <c r="F6306" s="508">
        <v>0</v>
      </c>
      <c r="G6306" s="512">
        <f>+F6305</f>
        <v>20000</v>
      </c>
      <c r="H6306" s="338" t="str">
        <f>+H6305</f>
        <v>Colecta Maria Loreto Valenzuela Arata</v>
      </c>
      <c r="I6306" s="507" t="s">
        <v>296</v>
      </c>
      <c r="K6306" s="370"/>
      <c r="N6306" s="370"/>
    </row>
    <row r="6307" spans="1:14" s="347" customFormat="1" x14ac:dyDescent="0.25">
      <c r="A6307" s="369"/>
      <c r="E6307" s="396"/>
      <c r="F6307" s="396"/>
      <c r="G6307" s="396"/>
      <c r="K6307" s="370"/>
      <c r="N6307" s="370"/>
    </row>
    <row r="6308" spans="1:14" s="347" customFormat="1" x14ac:dyDescent="0.25">
      <c r="A6308" s="503">
        <v>44525</v>
      </c>
      <c r="B6308" s="504">
        <f>+MONTH(A6308)</f>
        <v>11</v>
      </c>
      <c r="C6308" s="505">
        <v>4326</v>
      </c>
      <c r="D6308" s="504" t="str">
        <f>VLOOKUP(C6308,Plan!A$1:B$65542,2,0)</f>
        <v>Seguros</v>
      </c>
      <c r="E6308" s="506">
        <f>+F6308-G6308</f>
        <v>52710</v>
      </c>
      <c r="F6308" s="508">
        <v>52710</v>
      </c>
      <c r="G6308" s="512">
        <v>0</v>
      </c>
      <c r="H6308" s="521" t="s">
        <v>950</v>
      </c>
      <c r="I6308" s="507" t="s">
        <v>296</v>
      </c>
      <c r="K6308" s="370"/>
      <c r="N6308" s="370"/>
    </row>
    <row r="6309" spans="1:14" s="347" customFormat="1" x14ac:dyDescent="0.25">
      <c r="A6309" s="503">
        <f>+A6308</f>
        <v>44525</v>
      </c>
      <c r="B6309" s="504">
        <f>+MONTH(A6309)</f>
        <v>11</v>
      </c>
      <c r="C6309" s="505">
        <v>110</v>
      </c>
      <c r="D6309" s="504" t="str">
        <f>VLOOKUP(C6309,Plan!A$1:B$65542,2,0)</f>
        <v>Disponible Administración</v>
      </c>
      <c r="E6309" s="506">
        <f>+F6309-G6309</f>
        <v>-52710</v>
      </c>
      <c r="F6309" s="508">
        <v>0</v>
      </c>
      <c r="G6309" s="512">
        <f>+F6308</f>
        <v>52710</v>
      </c>
      <c r="H6309" s="338" t="str">
        <f>+H6308</f>
        <v>PAC Porvenir</v>
      </c>
      <c r="I6309" s="507" t="s">
        <v>296</v>
      </c>
      <c r="K6309" s="370"/>
      <c r="N6309" s="370"/>
    </row>
    <row r="6310" spans="1:14" s="347" customFormat="1" x14ac:dyDescent="0.25">
      <c r="A6310" s="515"/>
      <c r="B6310" s="517"/>
      <c r="C6310" s="518"/>
      <c r="D6310" s="517"/>
      <c r="E6310" s="341"/>
      <c r="F6310" s="345"/>
      <c r="G6310" s="519"/>
      <c r="H6310" s="338"/>
      <c r="I6310" s="520"/>
      <c r="J6310" s="340"/>
      <c r="K6310" s="209"/>
      <c r="L6310" s="340"/>
      <c r="N6310" s="370"/>
    </row>
    <row r="6311" spans="1:14" s="347" customFormat="1" x14ac:dyDescent="0.25">
      <c r="A6311" s="503">
        <v>44525</v>
      </c>
      <c r="B6311" s="504">
        <f>+MONTH(A6311)</f>
        <v>11</v>
      </c>
      <c r="C6311" s="505">
        <v>110</v>
      </c>
      <c r="D6311" s="504" t="str">
        <f>VLOOKUP(C6311,Plan!A$1:B$65542,2,0)</f>
        <v>Disponible Administración</v>
      </c>
      <c r="E6311" s="506">
        <f>+F6311-G6311</f>
        <v>31631</v>
      </c>
      <c r="F6311" s="508">
        <v>31631</v>
      </c>
      <c r="G6311" s="512">
        <v>0</v>
      </c>
      <c r="H6311" s="521" t="s">
        <v>2300</v>
      </c>
      <c r="I6311" s="507" t="s">
        <v>296</v>
      </c>
      <c r="K6311" s="370"/>
      <c r="N6311" s="370"/>
    </row>
    <row r="6312" spans="1:14" s="347" customFormat="1" x14ac:dyDescent="0.25">
      <c r="A6312" s="503">
        <f>+A6311</f>
        <v>44525</v>
      </c>
      <c r="B6312" s="504">
        <f>+MONTH(A6312)</f>
        <v>11</v>
      </c>
      <c r="C6312" s="505">
        <v>3453</v>
      </c>
      <c r="D6312" s="504" t="str">
        <f>VLOOKUP(C6312,Plan!A$1:B$65542,2,0)</f>
        <v>Cajas de navidad</v>
      </c>
      <c r="E6312" s="506">
        <f>+F6312-G6312</f>
        <v>-31631</v>
      </c>
      <c r="F6312" s="508">
        <v>0</v>
      </c>
      <c r="G6312" s="512">
        <f>+F6311</f>
        <v>31631</v>
      </c>
      <c r="H6312" s="338" t="str">
        <f>+H6311</f>
        <v>Caja Navidad PAC Porvenir</v>
      </c>
      <c r="I6312" s="507" t="s">
        <v>296</v>
      </c>
      <c r="K6312" s="370"/>
      <c r="N6312" s="370"/>
    </row>
    <row r="6313" spans="1:14" s="347" customFormat="1" x14ac:dyDescent="0.25">
      <c r="A6313" s="515"/>
      <c r="B6313" s="517"/>
      <c r="C6313" s="518"/>
      <c r="D6313" s="517"/>
      <c r="E6313" s="341"/>
      <c r="F6313" s="345"/>
      <c r="G6313" s="519"/>
      <c r="H6313" s="338"/>
      <c r="I6313" s="520"/>
      <c r="J6313" s="340"/>
      <c r="K6313" s="209"/>
      <c r="L6313" s="340"/>
      <c r="N6313" s="370"/>
    </row>
    <row r="6314" spans="1:14" s="347" customFormat="1" x14ac:dyDescent="0.25">
      <c r="A6314" s="503">
        <v>44525</v>
      </c>
      <c r="B6314" s="504">
        <f>+MONTH(A6314)</f>
        <v>11</v>
      </c>
      <c r="C6314" s="505">
        <v>110</v>
      </c>
      <c r="D6314" s="504" t="str">
        <f>VLOOKUP(C6314,Plan!A$1:B$65542,2,0)</f>
        <v>Disponible Administración</v>
      </c>
      <c r="E6314" s="506">
        <f>+F6314-G6314</f>
        <v>64000</v>
      </c>
      <c r="F6314" s="508">
        <v>64000</v>
      </c>
      <c r="G6314" s="512">
        <v>0</v>
      </c>
      <c r="H6314" s="521" t="s">
        <v>2323</v>
      </c>
      <c r="I6314" s="507" t="s">
        <v>296</v>
      </c>
      <c r="J6314" s="340"/>
      <c r="K6314" s="209"/>
      <c r="L6314" s="340"/>
      <c r="N6314" s="370"/>
    </row>
    <row r="6315" spans="1:14" s="347" customFormat="1" x14ac:dyDescent="0.25">
      <c r="A6315" s="503">
        <f>+A6314</f>
        <v>44525</v>
      </c>
      <c r="B6315" s="504">
        <f>+MONTH(A6315)</f>
        <v>11</v>
      </c>
      <c r="C6315" s="505">
        <v>3453</v>
      </c>
      <c r="D6315" s="504" t="str">
        <f>VLOOKUP(C6315,Plan!A$1:B$65542,2,0)</f>
        <v>Cajas de navidad</v>
      </c>
      <c r="E6315" s="506">
        <f>+F6315-G6315</f>
        <v>-64000</v>
      </c>
      <c r="F6315" s="508">
        <v>0</v>
      </c>
      <c r="G6315" s="512">
        <f>+F6314</f>
        <v>64000</v>
      </c>
      <c r="H6315" s="338" t="str">
        <f>+H6314</f>
        <v>Caja Navidad Sergio Daniel Barreiro Teigido</v>
      </c>
      <c r="I6315" s="507" t="s">
        <v>296</v>
      </c>
      <c r="K6315" s="370"/>
      <c r="N6315" s="370"/>
    </row>
    <row r="6316" spans="1:14" s="347" customFormat="1" x14ac:dyDescent="0.25">
      <c r="A6316" s="369"/>
      <c r="B6316" s="340"/>
      <c r="D6316" s="340"/>
      <c r="E6316" s="341"/>
      <c r="F6316" s="396"/>
      <c r="G6316" s="396"/>
      <c r="I6316" s="340"/>
      <c r="J6316" s="340"/>
      <c r="K6316" s="209"/>
      <c r="L6316" s="340"/>
      <c r="N6316" s="370"/>
    </row>
    <row r="6317" spans="1:14" s="347" customFormat="1" x14ac:dyDescent="0.25">
      <c r="A6317" s="503">
        <v>44526</v>
      </c>
      <c r="B6317" s="504">
        <f>+MONTH(A6317)</f>
        <v>11</v>
      </c>
      <c r="C6317" s="505">
        <v>110</v>
      </c>
      <c r="D6317" s="504" t="str">
        <f>VLOOKUP(C6317,Plan!A$1:B$65542,2,0)</f>
        <v>Disponible Administración</v>
      </c>
      <c r="E6317" s="506">
        <f>+F6317-G6317</f>
        <v>31631</v>
      </c>
      <c r="F6317" s="508">
        <v>31631</v>
      </c>
      <c r="G6317" s="512">
        <v>0</v>
      </c>
      <c r="H6317" s="521" t="s">
        <v>2300</v>
      </c>
      <c r="I6317" s="507" t="s">
        <v>296</v>
      </c>
      <c r="K6317" s="370"/>
      <c r="N6317" s="370"/>
    </row>
    <row r="6318" spans="1:14" s="347" customFormat="1" x14ac:dyDescent="0.25">
      <c r="A6318" s="503">
        <f>+A6317</f>
        <v>44526</v>
      </c>
      <c r="B6318" s="504">
        <f>+MONTH(A6318)</f>
        <v>11</v>
      </c>
      <c r="C6318" s="505">
        <v>3453</v>
      </c>
      <c r="D6318" s="504" t="str">
        <f>VLOOKUP(C6318,Plan!A$1:B$65542,2,0)</f>
        <v>Cajas de navidad</v>
      </c>
      <c r="E6318" s="506">
        <f>+F6318-G6318</f>
        <v>-31631</v>
      </c>
      <c r="F6318" s="508">
        <v>0</v>
      </c>
      <c r="G6318" s="512">
        <f>+F6317</f>
        <v>31631</v>
      </c>
      <c r="H6318" s="338" t="str">
        <f>+H6317</f>
        <v>Caja Navidad PAC Porvenir</v>
      </c>
      <c r="I6318" s="507" t="s">
        <v>296</v>
      </c>
      <c r="K6318" s="370"/>
      <c r="N6318" s="370"/>
    </row>
    <row r="6319" spans="1:14" s="347" customFormat="1" x14ac:dyDescent="0.25">
      <c r="A6319" s="369"/>
      <c r="E6319" s="396"/>
      <c r="F6319" s="396"/>
      <c r="G6319" s="396"/>
      <c r="K6319" s="370"/>
      <c r="N6319" s="370"/>
    </row>
    <row r="6320" spans="1:14" s="347" customFormat="1" x14ac:dyDescent="0.25">
      <c r="A6320" s="503">
        <v>44526</v>
      </c>
      <c r="B6320" s="504">
        <f>+MONTH(A6320)</f>
        <v>11</v>
      </c>
      <c r="C6320" s="505">
        <v>110</v>
      </c>
      <c r="D6320" s="504" t="str">
        <f>VLOOKUP(C6320,Plan!A$1:B$65542,2,0)</f>
        <v>Disponible Administración</v>
      </c>
      <c r="E6320" s="506">
        <f>+F6320-G6320</f>
        <v>20000</v>
      </c>
      <c r="F6320" s="508">
        <v>20000</v>
      </c>
      <c r="G6320" s="512">
        <v>0</v>
      </c>
      <c r="H6320" s="521" t="s">
        <v>2301</v>
      </c>
      <c r="I6320" s="507" t="s">
        <v>296</v>
      </c>
      <c r="K6320" s="370"/>
      <c r="N6320" s="370"/>
    </row>
    <row r="6321" spans="1:14" s="347" customFormat="1" x14ac:dyDescent="0.25">
      <c r="A6321" s="503">
        <f>+A6320</f>
        <v>44526</v>
      </c>
      <c r="B6321" s="504">
        <f>+MONTH(A6321)</f>
        <v>11</v>
      </c>
      <c r="C6321" s="505">
        <v>3350</v>
      </c>
      <c r="D6321" s="504" t="str">
        <f>VLOOKUP(C6321,Plan!A$1:B$65542,2,0)</f>
        <v>Bautizos</v>
      </c>
      <c r="E6321" s="506">
        <f>+F6321-G6321</f>
        <v>-20000</v>
      </c>
      <c r="F6321" s="508">
        <v>0</v>
      </c>
      <c r="G6321" s="512">
        <f>+F6320</f>
        <v>20000</v>
      </c>
      <c r="H6321" s="338" t="str">
        <f>+H6320</f>
        <v>Bautizo Felipe Andres Serey</v>
      </c>
      <c r="I6321" s="507" t="s">
        <v>296</v>
      </c>
      <c r="K6321" s="370"/>
      <c r="N6321" s="370"/>
    </row>
    <row r="6322" spans="1:14" s="347" customFormat="1" x14ac:dyDescent="0.25">
      <c r="A6322" s="369"/>
      <c r="E6322" s="396"/>
      <c r="F6322" s="396"/>
      <c r="G6322" s="396"/>
      <c r="K6322" s="370"/>
      <c r="N6322" s="370"/>
    </row>
    <row r="6323" spans="1:14" s="347" customFormat="1" x14ac:dyDescent="0.25">
      <c r="A6323" s="503">
        <v>44526</v>
      </c>
      <c r="B6323" s="504">
        <f>+MONTH(A6323)</f>
        <v>11</v>
      </c>
      <c r="C6323" s="505">
        <v>110</v>
      </c>
      <c r="D6323" s="504" t="str">
        <f>VLOOKUP(C6323,Plan!A$1:B$65542,2,0)</f>
        <v>Disponible Administración</v>
      </c>
      <c r="E6323" s="506">
        <f>+F6323-G6323</f>
        <v>64000</v>
      </c>
      <c r="F6323" s="508">
        <v>64000</v>
      </c>
      <c r="G6323" s="512">
        <v>0</v>
      </c>
      <c r="H6323" s="521" t="s">
        <v>2302</v>
      </c>
      <c r="I6323" s="507" t="s">
        <v>296</v>
      </c>
      <c r="K6323" s="370"/>
      <c r="N6323" s="370"/>
    </row>
    <row r="6324" spans="1:14" s="347" customFormat="1" x14ac:dyDescent="0.25">
      <c r="A6324" s="503">
        <f>+A6323</f>
        <v>44526</v>
      </c>
      <c r="B6324" s="504">
        <f>+MONTH(A6324)</f>
        <v>11</v>
      </c>
      <c r="C6324" s="505">
        <v>3453</v>
      </c>
      <c r="D6324" s="504" t="str">
        <f>VLOOKUP(C6324,Plan!A$1:B$65542,2,0)</f>
        <v>Cajas de navidad</v>
      </c>
      <c r="E6324" s="506">
        <f>+F6324-G6324</f>
        <v>-64000</v>
      </c>
      <c r="F6324" s="508">
        <v>0</v>
      </c>
      <c r="G6324" s="512">
        <f>+F6323</f>
        <v>64000</v>
      </c>
      <c r="H6324" s="338" t="str">
        <f>+H6323</f>
        <v>Caja Navidad Carolina Javiera Cepeda Cubillos</v>
      </c>
      <c r="I6324" s="507" t="s">
        <v>296</v>
      </c>
      <c r="K6324" s="370"/>
      <c r="N6324" s="370"/>
    </row>
    <row r="6325" spans="1:14" s="347" customFormat="1" x14ac:dyDescent="0.25">
      <c r="A6325" s="369"/>
      <c r="E6325" s="396"/>
      <c r="F6325" s="396"/>
      <c r="G6325" s="396"/>
      <c r="K6325" s="370"/>
      <c r="N6325" s="370"/>
    </row>
    <row r="6326" spans="1:14" s="347" customFormat="1" x14ac:dyDescent="0.25">
      <c r="A6326" s="503">
        <v>44526</v>
      </c>
      <c r="B6326" s="504">
        <f>+MONTH(A6326)</f>
        <v>11</v>
      </c>
      <c r="C6326" s="505">
        <v>110</v>
      </c>
      <c r="D6326" s="504" t="str">
        <f>VLOOKUP(C6326,Plan!A$1:B$65542,2,0)</f>
        <v>Disponible Administración</v>
      </c>
      <c r="E6326" s="506">
        <f>+F6326-G6326</f>
        <v>10000</v>
      </c>
      <c r="F6326" s="508">
        <v>10000</v>
      </c>
      <c r="G6326" s="512">
        <v>0</v>
      </c>
      <c r="H6326" s="521" t="s">
        <v>2303</v>
      </c>
      <c r="I6326" s="507" t="s">
        <v>296</v>
      </c>
      <c r="K6326" s="370"/>
      <c r="N6326" s="370"/>
    </row>
    <row r="6327" spans="1:14" s="347" customFormat="1" x14ac:dyDescent="0.25">
      <c r="A6327" s="503">
        <f>+A6326</f>
        <v>44526</v>
      </c>
      <c r="B6327" s="504">
        <f>+MONTH(A6327)</f>
        <v>11</v>
      </c>
      <c r="C6327" s="505">
        <v>3350</v>
      </c>
      <c r="D6327" s="504" t="str">
        <f>VLOOKUP(C6327,Plan!A$1:B$65542,2,0)</f>
        <v>Bautizos</v>
      </c>
      <c r="E6327" s="506">
        <f>+F6327-G6327</f>
        <v>-10000</v>
      </c>
      <c r="F6327" s="508">
        <v>0</v>
      </c>
      <c r="G6327" s="512">
        <f>+F6326</f>
        <v>10000</v>
      </c>
      <c r="H6327" s="338" t="str">
        <f>+H6326</f>
        <v>Bautizo Carlos Eduardo Binder Echevarria</v>
      </c>
      <c r="I6327" s="507" t="s">
        <v>296</v>
      </c>
      <c r="K6327" s="370"/>
      <c r="N6327" s="370"/>
    </row>
    <row r="6328" spans="1:14" s="347" customFormat="1" x14ac:dyDescent="0.25">
      <c r="A6328" s="369"/>
      <c r="E6328" s="396"/>
      <c r="F6328" s="396"/>
      <c r="G6328" s="396"/>
      <c r="K6328" s="370"/>
      <c r="N6328" s="370"/>
    </row>
    <row r="6329" spans="1:14" s="347" customFormat="1" x14ac:dyDescent="0.25">
      <c r="A6329" s="503">
        <v>44529</v>
      </c>
      <c r="B6329" s="504">
        <f>+MONTH(A6329)</f>
        <v>11</v>
      </c>
      <c r="C6329" s="505">
        <v>110</v>
      </c>
      <c r="D6329" s="504" t="str">
        <f>VLOOKUP(C6329,Plan!A$1:B$65542,2,0)</f>
        <v>Disponible Administración</v>
      </c>
      <c r="E6329" s="506">
        <f>+F6329-G6329</f>
        <v>8000</v>
      </c>
      <c r="F6329" s="508">
        <v>8000</v>
      </c>
      <c r="G6329" s="512">
        <v>0</v>
      </c>
      <c r="H6329" s="521" t="s">
        <v>971</v>
      </c>
      <c r="I6329" s="507" t="s">
        <v>296</v>
      </c>
      <c r="K6329" s="370"/>
      <c r="N6329" s="370"/>
    </row>
    <row r="6330" spans="1:14" s="347" customFormat="1" x14ac:dyDescent="0.25">
      <c r="A6330" s="503">
        <f>+A6329</f>
        <v>44529</v>
      </c>
      <c r="B6330" s="504">
        <f>+MONTH(A6330)</f>
        <v>11</v>
      </c>
      <c r="C6330" s="505">
        <v>3110</v>
      </c>
      <c r="D6330" s="504" t="str">
        <f>VLOOKUP(C6330,Plan!A$1:B$65542,2,0)</f>
        <v>Colectas Normales</v>
      </c>
      <c r="E6330" s="506">
        <f>+F6330-G6330</f>
        <v>-8000</v>
      </c>
      <c r="F6330" s="508">
        <v>0</v>
      </c>
      <c r="G6330" s="512">
        <f>+F6329</f>
        <v>8000</v>
      </c>
      <c r="H6330" s="338" t="str">
        <f>+H6329</f>
        <v>Colecta Pablo Irarrazaval Mena</v>
      </c>
      <c r="I6330" s="507" t="s">
        <v>296</v>
      </c>
      <c r="K6330" s="370"/>
      <c r="N6330" s="370"/>
    </row>
    <row r="6331" spans="1:14" s="347" customFormat="1" x14ac:dyDescent="0.25">
      <c r="A6331" s="369"/>
      <c r="E6331" s="396"/>
      <c r="F6331" s="396"/>
      <c r="G6331" s="396"/>
      <c r="K6331" s="370"/>
      <c r="N6331" s="370"/>
    </row>
    <row r="6332" spans="1:14" s="347" customFormat="1" x14ac:dyDescent="0.25">
      <c r="A6332" s="503">
        <v>44529</v>
      </c>
      <c r="B6332" s="504">
        <f>+MONTH(A6332)</f>
        <v>11</v>
      </c>
      <c r="C6332" s="505">
        <v>110</v>
      </c>
      <c r="D6332" s="504" t="str">
        <f>VLOOKUP(C6332,Plan!A$1:B$65542,2,0)</f>
        <v>Disponible Administración</v>
      </c>
      <c r="E6332" s="506">
        <f>+F6332-G6332</f>
        <v>10000</v>
      </c>
      <c r="F6332" s="508">
        <v>10000</v>
      </c>
      <c r="G6332" s="512">
        <v>0</v>
      </c>
      <c r="H6332" s="521" t="s">
        <v>881</v>
      </c>
      <c r="I6332" s="507" t="s">
        <v>296</v>
      </c>
      <c r="K6332" s="370"/>
      <c r="N6332" s="370"/>
    </row>
    <row r="6333" spans="1:14" s="347" customFormat="1" x14ac:dyDescent="0.25">
      <c r="A6333" s="503">
        <f>+A6332</f>
        <v>44529</v>
      </c>
      <c r="B6333" s="504">
        <f>+MONTH(A6333)</f>
        <v>11</v>
      </c>
      <c r="C6333" s="505">
        <v>3110</v>
      </c>
      <c r="D6333" s="504" t="str">
        <f>VLOOKUP(C6333,Plan!A$1:B$65542,2,0)</f>
        <v>Colectas Normales</v>
      </c>
      <c r="E6333" s="506">
        <f>+F6333-G6333</f>
        <v>-10000</v>
      </c>
      <c r="F6333" s="508">
        <v>0</v>
      </c>
      <c r="G6333" s="512">
        <f>+F6332</f>
        <v>10000</v>
      </c>
      <c r="H6333" s="338" t="str">
        <f>+H6332</f>
        <v>Colecta Rafael Marin Jordan</v>
      </c>
      <c r="I6333" s="507" t="s">
        <v>296</v>
      </c>
      <c r="K6333" s="370"/>
      <c r="N6333" s="370"/>
    </row>
    <row r="6334" spans="1:14" s="347" customFormat="1" x14ac:dyDescent="0.25">
      <c r="A6334" s="369"/>
      <c r="E6334" s="396"/>
      <c r="F6334" s="396"/>
      <c r="G6334" s="396"/>
      <c r="K6334" s="370"/>
      <c r="N6334" s="370"/>
    </row>
    <row r="6335" spans="1:14" s="347" customFormat="1" x14ac:dyDescent="0.25">
      <c r="A6335" s="503">
        <v>44529</v>
      </c>
      <c r="B6335" s="504">
        <f>+MONTH(A6335)</f>
        <v>11</v>
      </c>
      <c r="C6335" s="505">
        <v>110</v>
      </c>
      <c r="D6335" s="504" t="str">
        <f>VLOOKUP(C6335,Plan!A$1:B$65542,2,0)</f>
        <v>Disponible Administración</v>
      </c>
      <c r="E6335" s="506">
        <f>+F6335-G6335</f>
        <v>20000</v>
      </c>
      <c r="F6335" s="508">
        <v>20000</v>
      </c>
      <c r="G6335" s="512">
        <v>0</v>
      </c>
      <c r="H6335" s="521" t="s">
        <v>2115</v>
      </c>
      <c r="I6335" s="507" t="s">
        <v>296</v>
      </c>
      <c r="K6335" s="370"/>
      <c r="N6335" s="370"/>
    </row>
    <row r="6336" spans="1:14" s="347" customFormat="1" x14ac:dyDescent="0.25">
      <c r="A6336" s="503">
        <f>+A6335</f>
        <v>44529</v>
      </c>
      <c r="B6336" s="504">
        <f>+MONTH(A6336)</f>
        <v>11</v>
      </c>
      <c r="C6336" s="505">
        <v>3110</v>
      </c>
      <c r="D6336" s="504" t="str">
        <f>VLOOKUP(C6336,Plan!A$1:B$65542,2,0)</f>
        <v>Colectas Normales</v>
      </c>
      <c r="E6336" s="506">
        <f>+F6336-G6336</f>
        <v>-20000</v>
      </c>
      <c r="F6336" s="508">
        <v>0</v>
      </c>
      <c r="G6336" s="512">
        <f>+F6335</f>
        <v>20000</v>
      </c>
      <c r="H6336" s="338" t="str">
        <f>+H6335</f>
        <v>Colecta Jorge Claude Bourdel</v>
      </c>
      <c r="I6336" s="507" t="s">
        <v>296</v>
      </c>
      <c r="K6336" s="370"/>
      <c r="N6336" s="370"/>
    </row>
    <row r="6337" spans="1:14" s="347" customFormat="1" x14ac:dyDescent="0.25">
      <c r="A6337" s="369"/>
      <c r="E6337" s="396"/>
      <c r="F6337" s="396"/>
      <c r="G6337" s="396"/>
      <c r="K6337" s="370"/>
      <c r="N6337" s="370"/>
    </row>
    <row r="6338" spans="1:14" s="347" customFormat="1" x14ac:dyDescent="0.25">
      <c r="A6338" s="503">
        <v>44529</v>
      </c>
      <c r="B6338" s="504">
        <f>+MONTH(A6338)</f>
        <v>11</v>
      </c>
      <c r="C6338" s="505">
        <v>110</v>
      </c>
      <c r="D6338" s="504" t="str">
        <f>VLOOKUP(C6338,Plan!A$1:B$65542,2,0)</f>
        <v>Disponible Administración</v>
      </c>
      <c r="E6338" s="506">
        <f>+F6338-G6338</f>
        <v>32000</v>
      </c>
      <c r="F6338" s="508">
        <v>32000</v>
      </c>
      <c r="G6338" s="512">
        <v>0</v>
      </c>
      <c r="H6338" s="521" t="s">
        <v>2304</v>
      </c>
      <c r="I6338" s="507" t="s">
        <v>296</v>
      </c>
      <c r="K6338" s="370"/>
      <c r="N6338" s="370"/>
    </row>
    <row r="6339" spans="1:14" s="347" customFormat="1" x14ac:dyDescent="0.25">
      <c r="A6339" s="503">
        <f>+A6338</f>
        <v>44529</v>
      </c>
      <c r="B6339" s="504">
        <f>+MONTH(A6339)</f>
        <v>11</v>
      </c>
      <c r="C6339" s="505">
        <v>3453</v>
      </c>
      <c r="D6339" s="504" t="str">
        <f>VLOOKUP(C6339,Plan!A$1:B$65542,2,0)</f>
        <v>Cajas de navidad</v>
      </c>
      <c r="E6339" s="506">
        <f>+F6339-G6339</f>
        <v>-32000</v>
      </c>
      <c r="F6339" s="508">
        <v>0</v>
      </c>
      <c r="G6339" s="512">
        <f>+F6338</f>
        <v>32000</v>
      </c>
      <c r="H6339" s="338" t="str">
        <f>+H6338</f>
        <v>Caja Navidad Magdalena</v>
      </c>
      <c r="I6339" s="507" t="s">
        <v>296</v>
      </c>
      <c r="K6339" s="370"/>
      <c r="N6339" s="370"/>
    </row>
    <row r="6340" spans="1:14" s="347" customFormat="1" x14ac:dyDescent="0.25">
      <c r="A6340" s="369"/>
      <c r="E6340" s="396"/>
      <c r="F6340" s="396"/>
      <c r="G6340" s="396"/>
      <c r="K6340" s="370"/>
      <c r="N6340" s="370"/>
    </row>
    <row r="6341" spans="1:14" s="347" customFormat="1" x14ac:dyDescent="0.25">
      <c r="A6341" s="503">
        <v>44529</v>
      </c>
      <c r="B6341" s="504">
        <f>+MONTH(A6341)</f>
        <v>11</v>
      </c>
      <c r="C6341" s="505">
        <v>110</v>
      </c>
      <c r="D6341" s="504" t="str">
        <f>VLOOKUP(C6341,Plan!A$1:B$65542,2,0)</f>
        <v>Disponible Administración</v>
      </c>
      <c r="E6341" s="506">
        <f>+F6341-G6341</f>
        <v>80000</v>
      </c>
      <c r="F6341" s="508">
        <v>80000</v>
      </c>
      <c r="G6341" s="512">
        <v>0</v>
      </c>
      <c r="H6341" s="521" t="s">
        <v>2305</v>
      </c>
      <c r="I6341" s="507" t="s">
        <v>296</v>
      </c>
      <c r="K6341" s="370"/>
      <c r="N6341" s="370"/>
    </row>
    <row r="6342" spans="1:14" s="347" customFormat="1" x14ac:dyDescent="0.25">
      <c r="A6342" s="503">
        <f>+A6341</f>
        <v>44529</v>
      </c>
      <c r="B6342" s="504">
        <f>+MONTH(A6342)</f>
        <v>11</v>
      </c>
      <c r="C6342" s="505">
        <v>3453</v>
      </c>
      <c r="D6342" s="504" t="str">
        <f>VLOOKUP(C6342,Plan!A$1:B$65542,2,0)</f>
        <v>Cajas de navidad</v>
      </c>
      <c r="E6342" s="506">
        <f>+F6342-G6342</f>
        <v>-80000</v>
      </c>
      <c r="F6342" s="508">
        <v>0</v>
      </c>
      <c r="G6342" s="512">
        <f>+F6341</f>
        <v>80000</v>
      </c>
      <c r="H6342" s="338" t="str">
        <f>+H6341</f>
        <v>Caja Navidad Carolina del Valle</v>
      </c>
      <c r="I6342" s="507" t="s">
        <v>296</v>
      </c>
      <c r="K6342" s="370"/>
      <c r="N6342" s="370"/>
    </row>
    <row r="6343" spans="1:14" s="347" customFormat="1" x14ac:dyDescent="0.25">
      <c r="A6343" s="369"/>
      <c r="E6343" s="396"/>
      <c r="F6343" s="396"/>
      <c r="G6343" s="396"/>
      <c r="K6343" s="370"/>
      <c r="N6343" s="370"/>
    </row>
    <row r="6344" spans="1:14" s="347" customFormat="1" x14ac:dyDescent="0.25">
      <c r="A6344" s="503">
        <v>44529</v>
      </c>
      <c r="B6344" s="504">
        <f>+MONTH(A6344)</f>
        <v>11</v>
      </c>
      <c r="C6344" s="505">
        <v>110</v>
      </c>
      <c r="D6344" s="504" t="str">
        <f>VLOOKUP(C6344,Plan!A$1:B$65542,2,0)</f>
        <v>Disponible Administración</v>
      </c>
      <c r="E6344" s="506">
        <f>+F6344-G6344</f>
        <v>20000</v>
      </c>
      <c r="F6344" s="508">
        <v>20000</v>
      </c>
      <c r="G6344" s="512">
        <v>0</v>
      </c>
      <c r="H6344" s="521" t="s">
        <v>2210</v>
      </c>
      <c r="I6344" s="507" t="s">
        <v>296</v>
      </c>
      <c r="K6344" s="370"/>
      <c r="N6344" s="370"/>
    </row>
    <row r="6345" spans="1:14" s="347" customFormat="1" x14ac:dyDescent="0.25">
      <c r="A6345" s="503">
        <f>+A6344</f>
        <v>44529</v>
      </c>
      <c r="B6345" s="504">
        <f>+MONTH(A6345)</f>
        <v>11</v>
      </c>
      <c r="C6345" s="505">
        <v>3453</v>
      </c>
      <c r="D6345" s="504" t="str">
        <f>VLOOKUP(C6345,Plan!A$1:B$65542,2,0)</f>
        <v>Cajas de navidad</v>
      </c>
      <c r="E6345" s="506">
        <f>+F6345-G6345</f>
        <v>-20000</v>
      </c>
      <c r="F6345" s="508">
        <v>0</v>
      </c>
      <c r="G6345" s="512">
        <f>+F6344</f>
        <v>20000</v>
      </c>
      <c r="H6345" s="338" t="str">
        <f>+H6344</f>
        <v>Caja Navidad Maria Josefina Jofre M</v>
      </c>
      <c r="I6345" s="507" t="s">
        <v>296</v>
      </c>
      <c r="K6345" s="370"/>
      <c r="N6345" s="370"/>
    </row>
    <row r="6346" spans="1:14" s="347" customFormat="1" x14ac:dyDescent="0.25">
      <c r="A6346" s="369"/>
      <c r="E6346" s="396"/>
      <c r="F6346" s="396"/>
      <c r="G6346" s="396"/>
      <c r="K6346" s="370"/>
      <c r="N6346" s="370"/>
    </row>
    <row r="6347" spans="1:14" s="347" customFormat="1" x14ac:dyDescent="0.25">
      <c r="A6347" s="503">
        <v>44529</v>
      </c>
      <c r="B6347" s="504">
        <f>+MONTH(A6347)</f>
        <v>11</v>
      </c>
      <c r="C6347" s="505">
        <v>110</v>
      </c>
      <c r="D6347" s="504" t="str">
        <f>VLOOKUP(C6347,Plan!A$1:B$65542,2,0)</f>
        <v>Disponible Administración</v>
      </c>
      <c r="E6347" s="506">
        <f>+F6347-G6347</f>
        <v>32000</v>
      </c>
      <c r="F6347" s="508">
        <v>32000</v>
      </c>
      <c r="G6347" s="512">
        <v>0</v>
      </c>
      <c r="H6347" s="521" t="s">
        <v>2306</v>
      </c>
      <c r="I6347" s="507" t="s">
        <v>296</v>
      </c>
      <c r="K6347" s="370"/>
      <c r="N6347" s="370"/>
    </row>
    <row r="6348" spans="1:14" s="347" customFormat="1" x14ac:dyDescent="0.25">
      <c r="A6348" s="503">
        <f>+A6347</f>
        <v>44529</v>
      </c>
      <c r="B6348" s="504">
        <f>+MONTH(A6348)</f>
        <v>11</v>
      </c>
      <c r="C6348" s="505">
        <v>3453</v>
      </c>
      <c r="D6348" s="504" t="str">
        <f>VLOOKUP(C6348,Plan!A$1:B$65542,2,0)</f>
        <v>Cajas de navidad</v>
      </c>
      <c r="E6348" s="506">
        <f>+F6348-G6348</f>
        <v>-32000</v>
      </c>
      <c r="F6348" s="508">
        <v>0</v>
      </c>
      <c r="G6348" s="512">
        <f>+F6347</f>
        <v>32000</v>
      </c>
      <c r="H6348" s="338" t="str">
        <f>+H6347</f>
        <v>Caja Navidad Francesca</v>
      </c>
      <c r="I6348" s="507" t="s">
        <v>296</v>
      </c>
      <c r="K6348" s="370"/>
      <c r="N6348" s="370"/>
    </row>
    <row r="6349" spans="1:14" s="347" customFormat="1" x14ac:dyDescent="0.25">
      <c r="A6349" s="369"/>
      <c r="E6349" s="396"/>
      <c r="F6349" s="396"/>
      <c r="G6349" s="396"/>
      <c r="K6349" s="370"/>
      <c r="N6349" s="370"/>
    </row>
    <row r="6350" spans="1:14" s="347" customFormat="1" x14ac:dyDescent="0.25">
      <c r="A6350" s="503">
        <v>44529</v>
      </c>
      <c r="B6350" s="504">
        <f>+MONTH(A6350)</f>
        <v>11</v>
      </c>
      <c r="C6350" s="505">
        <v>110</v>
      </c>
      <c r="D6350" s="504" t="str">
        <f>VLOOKUP(C6350,Plan!A$1:B$65542,2,0)</f>
        <v>Disponible Administración</v>
      </c>
      <c r="E6350" s="506">
        <f>+F6350-G6350</f>
        <v>32000</v>
      </c>
      <c r="F6350" s="508">
        <v>32000</v>
      </c>
      <c r="G6350" s="512">
        <v>0</v>
      </c>
      <c r="H6350" s="521" t="s">
        <v>2307</v>
      </c>
      <c r="I6350" s="507" t="s">
        <v>296</v>
      </c>
      <c r="K6350" s="370"/>
      <c r="N6350" s="370"/>
    </row>
    <row r="6351" spans="1:14" s="347" customFormat="1" x14ac:dyDescent="0.25">
      <c r="A6351" s="503">
        <f>+A6350</f>
        <v>44529</v>
      </c>
      <c r="B6351" s="504">
        <f>+MONTH(A6351)</f>
        <v>11</v>
      </c>
      <c r="C6351" s="505">
        <v>3453</v>
      </c>
      <c r="D6351" s="504" t="str">
        <f>VLOOKUP(C6351,Plan!A$1:B$65542,2,0)</f>
        <v>Cajas de navidad</v>
      </c>
      <c r="E6351" s="506">
        <f>+F6351-G6351</f>
        <v>-32000</v>
      </c>
      <c r="F6351" s="508">
        <v>0</v>
      </c>
      <c r="G6351" s="512">
        <f>+F6350</f>
        <v>32000</v>
      </c>
      <c r="H6351" s="338" t="str">
        <f>+H6350</f>
        <v>Caja Navidad Pedro Macaya Barrera</v>
      </c>
      <c r="I6351" s="507" t="s">
        <v>296</v>
      </c>
      <c r="K6351" s="370"/>
      <c r="N6351" s="370"/>
    </row>
    <row r="6352" spans="1:14" s="347" customFormat="1" x14ac:dyDescent="0.25">
      <c r="A6352" s="369"/>
      <c r="E6352" s="396"/>
      <c r="F6352" s="396"/>
      <c r="G6352" s="396"/>
      <c r="K6352" s="370"/>
      <c r="N6352" s="370"/>
    </row>
    <row r="6353" spans="1:14" s="347" customFormat="1" x14ac:dyDescent="0.25">
      <c r="A6353" s="503">
        <v>44529</v>
      </c>
      <c r="B6353" s="504">
        <f>+MONTH(A6353)</f>
        <v>11</v>
      </c>
      <c r="C6353" s="505">
        <v>110</v>
      </c>
      <c r="D6353" s="504" t="str">
        <f>VLOOKUP(C6353,Plan!A$1:B$65542,2,0)</f>
        <v>Disponible Administración</v>
      </c>
      <c r="E6353" s="506">
        <f>+F6353-G6353</f>
        <v>15000</v>
      </c>
      <c r="F6353" s="508">
        <v>15000</v>
      </c>
      <c r="G6353" s="512">
        <v>0</v>
      </c>
      <c r="H6353" s="521" t="s">
        <v>1184</v>
      </c>
      <c r="I6353" s="507" t="s">
        <v>296</v>
      </c>
      <c r="K6353" s="370"/>
      <c r="N6353" s="370"/>
    </row>
    <row r="6354" spans="1:14" s="347" customFormat="1" x14ac:dyDescent="0.25">
      <c r="A6354" s="503">
        <f>+A6353</f>
        <v>44529</v>
      </c>
      <c r="B6354" s="504">
        <f>+MONTH(A6354)</f>
        <v>11</v>
      </c>
      <c r="C6354" s="505">
        <v>3110</v>
      </c>
      <c r="D6354" s="504" t="str">
        <f>VLOOKUP(C6354,Plan!A$1:B$65542,2,0)</f>
        <v>Colectas Normales</v>
      </c>
      <c r="E6354" s="506">
        <f>+F6354-G6354</f>
        <v>-15000</v>
      </c>
      <c r="F6354" s="508">
        <v>0</v>
      </c>
      <c r="G6354" s="512">
        <f>+F6353</f>
        <v>15000</v>
      </c>
      <c r="H6354" s="338" t="str">
        <f>+H6353</f>
        <v>Colecta Maria Jose Urrutia Cruz</v>
      </c>
      <c r="I6354" s="507" t="s">
        <v>296</v>
      </c>
      <c r="K6354" s="370"/>
      <c r="N6354" s="370"/>
    </row>
    <row r="6355" spans="1:14" s="347" customFormat="1" x14ac:dyDescent="0.25">
      <c r="A6355" s="369"/>
      <c r="E6355" s="396"/>
      <c r="F6355" s="396"/>
      <c r="G6355" s="396"/>
      <c r="K6355" s="370"/>
      <c r="N6355" s="370"/>
    </row>
    <row r="6356" spans="1:14" s="347" customFormat="1" x14ac:dyDescent="0.25">
      <c r="A6356" s="503">
        <v>44529</v>
      </c>
      <c r="B6356" s="504">
        <f>+MONTH(A6356)</f>
        <v>11</v>
      </c>
      <c r="C6356" s="505">
        <v>110</v>
      </c>
      <c r="D6356" s="504" t="str">
        <f>VLOOKUP(C6356,Plan!A$1:B$65542,2,0)</f>
        <v>Disponible Administración</v>
      </c>
      <c r="E6356" s="506">
        <f>+F6356-G6356</f>
        <v>2000</v>
      </c>
      <c r="F6356" s="508">
        <v>2000</v>
      </c>
      <c r="G6356" s="512">
        <v>0</v>
      </c>
      <c r="H6356" s="521" t="s">
        <v>1216</v>
      </c>
      <c r="I6356" s="507" t="s">
        <v>296</v>
      </c>
      <c r="K6356" s="370"/>
      <c r="N6356" s="370"/>
    </row>
    <row r="6357" spans="1:14" s="347" customFormat="1" x14ac:dyDescent="0.25">
      <c r="A6357" s="503">
        <f>+A6356</f>
        <v>44529</v>
      </c>
      <c r="B6357" s="504">
        <f>+MONTH(A6357)</f>
        <v>11</v>
      </c>
      <c r="C6357" s="505">
        <v>3110</v>
      </c>
      <c r="D6357" s="504" t="str">
        <f>VLOOKUP(C6357,Plan!A$1:B$65542,2,0)</f>
        <v>Colectas Normales</v>
      </c>
      <c r="E6357" s="506">
        <f>+F6357-G6357</f>
        <v>-2000</v>
      </c>
      <c r="F6357" s="508">
        <v>0</v>
      </c>
      <c r="G6357" s="512">
        <f>+F6356</f>
        <v>2000</v>
      </c>
      <c r="H6357" s="338" t="str">
        <f>+H6356</f>
        <v>Colecta Trinidad Barriga Cruzat</v>
      </c>
      <c r="I6357" s="507" t="s">
        <v>296</v>
      </c>
      <c r="K6357" s="370"/>
      <c r="N6357" s="370"/>
    </row>
    <row r="6358" spans="1:14" s="347" customFormat="1" x14ac:dyDescent="0.25">
      <c r="A6358" s="369"/>
      <c r="E6358" s="396"/>
      <c r="F6358" s="396"/>
      <c r="G6358" s="396"/>
      <c r="K6358" s="370"/>
      <c r="N6358" s="370"/>
    </row>
    <row r="6359" spans="1:14" s="347" customFormat="1" x14ac:dyDescent="0.25">
      <c r="A6359" s="503">
        <v>44529</v>
      </c>
      <c r="B6359" s="504">
        <f>+MONTH(A6359)</f>
        <v>11</v>
      </c>
      <c r="C6359" s="505">
        <v>110</v>
      </c>
      <c r="D6359" s="504" t="str">
        <f>VLOOKUP(C6359,Plan!A$1:B$65542,2,0)</f>
        <v>Disponible Administración</v>
      </c>
      <c r="E6359" s="506">
        <f>+F6359-G6359</f>
        <v>63117</v>
      </c>
      <c r="F6359" s="508">
        <v>63117</v>
      </c>
      <c r="G6359" s="512">
        <v>0</v>
      </c>
      <c r="H6359" s="521" t="s">
        <v>2218</v>
      </c>
      <c r="I6359" s="507" t="s">
        <v>296</v>
      </c>
      <c r="K6359" s="370"/>
      <c r="N6359" s="370"/>
    </row>
    <row r="6360" spans="1:14" s="347" customFormat="1" x14ac:dyDescent="0.25">
      <c r="A6360" s="503">
        <f>+A6359</f>
        <v>44529</v>
      </c>
      <c r="B6360" s="504">
        <f>+MONTH(A6360)</f>
        <v>11</v>
      </c>
      <c r="C6360" s="505">
        <v>3453</v>
      </c>
      <c r="D6360" s="504" t="str">
        <f>VLOOKUP(C6360,Plan!A$1:B$65542,2,0)</f>
        <v>Cajas de navidad</v>
      </c>
      <c r="E6360" s="506">
        <f>+F6360-G6360</f>
        <v>-63117</v>
      </c>
      <c r="F6360" s="508">
        <v>0</v>
      </c>
      <c r="G6360" s="512">
        <f>+F6359</f>
        <v>63117</v>
      </c>
      <c r="H6360" s="338" t="str">
        <f>+H6359</f>
        <v>Caja Navidad POS</v>
      </c>
      <c r="I6360" s="507" t="s">
        <v>296</v>
      </c>
      <c r="K6360" s="370"/>
      <c r="N6360" s="370"/>
    </row>
    <row r="6361" spans="1:14" s="347" customFormat="1" x14ac:dyDescent="0.25">
      <c r="A6361" s="369"/>
      <c r="E6361" s="396"/>
      <c r="F6361" s="396"/>
      <c r="G6361" s="396"/>
      <c r="K6361" s="370"/>
      <c r="N6361" s="370"/>
    </row>
    <row r="6362" spans="1:14" s="347" customFormat="1" x14ac:dyDescent="0.25">
      <c r="A6362" s="503">
        <v>44529</v>
      </c>
      <c r="B6362" s="504">
        <f>+MONTH(A6362)</f>
        <v>11</v>
      </c>
      <c r="C6362" s="505">
        <v>110</v>
      </c>
      <c r="D6362" s="504" t="str">
        <f>VLOOKUP(C6362,Plan!A$1:B$65542,2,0)</f>
        <v>Disponible Administración</v>
      </c>
      <c r="E6362" s="506">
        <f>+F6362-G6362</f>
        <v>20000</v>
      </c>
      <c r="F6362" s="508">
        <v>20000</v>
      </c>
      <c r="G6362" s="512">
        <v>0</v>
      </c>
      <c r="H6362" s="521" t="s">
        <v>962</v>
      </c>
      <c r="I6362" s="507" t="s">
        <v>296</v>
      </c>
      <c r="K6362" s="370"/>
      <c r="N6362" s="370"/>
    </row>
    <row r="6363" spans="1:14" s="347" customFormat="1" x14ac:dyDescent="0.25">
      <c r="A6363" s="503">
        <f>+A6362</f>
        <v>44529</v>
      </c>
      <c r="B6363" s="504">
        <f>+MONTH(A6363)</f>
        <v>11</v>
      </c>
      <c r="C6363" s="505">
        <v>3110</v>
      </c>
      <c r="D6363" s="504" t="str">
        <f>VLOOKUP(C6363,Plan!A$1:B$65542,2,0)</f>
        <v>Colectas Normales</v>
      </c>
      <c r="E6363" s="506">
        <f>+F6363-G6363</f>
        <v>-20000</v>
      </c>
      <c r="F6363" s="508">
        <v>0</v>
      </c>
      <c r="G6363" s="512">
        <f>+F6362</f>
        <v>20000</v>
      </c>
      <c r="H6363" s="338" t="str">
        <f>+H6362</f>
        <v>Colecta Pablo Garcia</v>
      </c>
      <c r="I6363" s="507" t="s">
        <v>296</v>
      </c>
      <c r="K6363" s="370"/>
      <c r="N6363" s="370"/>
    </row>
    <row r="6364" spans="1:14" s="347" customFormat="1" x14ac:dyDescent="0.25">
      <c r="A6364" s="369"/>
      <c r="E6364" s="396"/>
      <c r="F6364" s="396"/>
      <c r="G6364" s="396"/>
      <c r="K6364" s="370"/>
      <c r="N6364" s="370"/>
    </row>
    <row r="6365" spans="1:14" s="347" customFormat="1" x14ac:dyDescent="0.25">
      <c r="A6365" s="503">
        <v>44529</v>
      </c>
      <c r="B6365" s="504">
        <f>+MONTH(A6365)</f>
        <v>11</v>
      </c>
      <c r="C6365" s="505">
        <v>110</v>
      </c>
      <c r="D6365" s="504" t="str">
        <f>VLOOKUP(C6365,Plan!A$1:B$65542,2,0)</f>
        <v>Disponible Administración</v>
      </c>
      <c r="E6365" s="506">
        <f>+F6365-G6365</f>
        <v>105000</v>
      </c>
      <c r="F6365" s="508">
        <v>105000</v>
      </c>
      <c r="G6365" s="512">
        <v>0</v>
      </c>
      <c r="H6365" s="521" t="s">
        <v>2222</v>
      </c>
      <c r="I6365" s="507" t="s">
        <v>296</v>
      </c>
      <c r="K6365" s="370"/>
      <c r="N6365" s="370"/>
    </row>
    <row r="6366" spans="1:14" s="347" customFormat="1" x14ac:dyDescent="0.25">
      <c r="A6366" s="503">
        <f>+A6365</f>
        <v>44529</v>
      </c>
      <c r="B6366" s="504">
        <f>+MONTH(A6366)</f>
        <v>11</v>
      </c>
      <c r="C6366" s="505">
        <v>3453</v>
      </c>
      <c r="D6366" s="504" t="str">
        <f>VLOOKUP(C6366,Plan!A$1:B$65542,2,0)</f>
        <v>Cajas de navidad</v>
      </c>
      <c r="E6366" s="506">
        <f>+F6366-G6366</f>
        <v>-105000</v>
      </c>
      <c r="F6366" s="508">
        <v>0</v>
      </c>
      <c r="G6366" s="512">
        <f>+F6365</f>
        <v>105000</v>
      </c>
      <c r="H6366" s="338" t="str">
        <f>+H6365</f>
        <v>Caja Navidad Juan Carlos Cornejo</v>
      </c>
      <c r="I6366" s="507" t="s">
        <v>296</v>
      </c>
      <c r="K6366" s="370"/>
      <c r="N6366" s="370"/>
    </row>
    <row r="6367" spans="1:14" s="347" customFormat="1" x14ac:dyDescent="0.25">
      <c r="A6367" s="369"/>
      <c r="E6367" s="396"/>
      <c r="F6367" s="396"/>
      <c r="G6367" s="396"/>
      <c r="K6367" s="370"/>
      <c r="N6367" s="370"/>
    </row>
    <row r="6368" spans="1:14" s="347" customFormat="1" x14ac:dyDescent="0.25">
      <c r="A6368" s="503">
        <v>44529</v>
      </c>
      <c r="B6368" s="504">
        <f>+MONTH(A6368)</f>
        <v>11</v>
      </c>
      <c r="C6368" s="505">
        <v>110</v>
      </c>
      <c r="D6368" s="504" t="str">
        <f>VLOOKUP(C6368,Plan!A$1:B$65542,2,0)</f>
        <v>Disponible Administración</v>
      </c>
      <c r="E6368" s="506">
        <f>+F6368-G6368</f>
        <v>40000</v>
      </c>
      <c r="F6368" s="508">
        <v>40000</v>
      </c>
      <c r="G6368" s="512">
        <v>0</v>
      </c>
      <c r="H6368" s="521" t="s">
        <v>1550</v>
      </c>
      <c r="I6368" s="507" t="s">
        <v>296</v>
      </c>
      <c r="K6368" s="370"/>
      <c r="N6368" s="370"/>
    </row>
    <row r="6369" spans="1:14" s="347" customFormat="1" x14ac:dyDescent="0.25">
      <c r="A6369" s="503">
        <f>+A6368</f>
        <v>44529</v>
      </c>
      <c r="B6369" s="504">
        <f>+MONTH(A6369)</f>
        <v>11</v>
      </c>
      <c r="C6369" s="505">
        <v>3110</v>
      </c>
      <c r="D6369" s="504" t="str">
        <f>VLOOKUP(C6369,Plan!A$1:B$65542,2,0)</f>
        <v>Colectas Normales</v>
      </c>
      <c r="E6369" s="506">
        <f>+F6369-G6369</f>
        <v>-40000</v>
      </c>
      <c r="F6369" s="508">
        <v>0</v>
      </c>
      <c r="G6369" s="512">
        <f>+F6368</f>
        <v>40000</v>
      </c>
      <c r="H6369" s="338" t="str">
        <f>+H6368</f>
        <v>Colecta Luis Ignacio Marin Jordan</v>
      </c>
      <c r="I6369" s="507" t="s">
        <v>296</v>
      </c>
      <c r="K6369" s="370"/>
      <c r="N6369" s="370"/>
    </row>
    <row r="6370" spans="1:14" s="347" customFormat="1" x14ac:dyDescent="0.25">
      <c r="A6370" s="369"/>
      <c r="E6370" s="396"/>
      <c r="F6370" s="396"/>
      <c r="G6370" s="396"/>
      <c r="K6370" s="370"/>
      <c r="N6370" s="370"/>
    </row>
    <row r="6371" spans="1:14" s="347" customFormat="1" x14ac:dyDescent="0.25">
      <c r="A6371" s="503">
        <v>44529</v>
      </c>
      <c r="B6371" s="504">
        <f>+MONTH(A6371)</f>
        <v>11</v>
      </c>
      <c r="C6371" s="505">
        <v>110</v>
      </c>
      <c r="D6371" s="504" t="str">
        <f>VLOOKUP(C6371,Plan!A$1:B$65542,2,0)</f>
        <v>Disponible Administración</v>
      </c>
      <c r="E6371" s="506">
        <f>+F6371-G6371</f>
        <v>64000</v>
      </c>
      <c r="F6371" s="508">
        <v>64000</v>
      </c>
      <c r="G6371" s="512">
        <v>0</v>
      </c>
      <c r="H6371" s="521" t="s">
        <v>2308</v>
      </c>
      <c r="I6371" s="507" t="s">
        <v>296</v>
      </c>
      <c r="K6371" s="370"/>
      <c r="N6371" s="370"/>
    </row>
    <row r="6372" spans="1:14" s="347" customFormat="1" x14ac:dyDescent="0.25">
      <c r="A6372" s="503">
        <f>+A6371</f>
        <v>44529</v>
      </c>
      <c r="B6372" s="504">
        <f>+MONTH(A6372)</f>
        <v>11</v>
      </c>
      <c r="C6372" s="505">
        <v>3453</v>
      </c>
      <c r="D6372" s="504" t="str">
        <f>VLOOKUP(C6372,Plan!A$1:B$65542,2,0)</f>
        <v>Cajas de navidad</v>
      </c>
      <c r="E6372" s="506">
        <f>+F6372-G6372</f>
        <v>-64000</v>
      </c>
      <c r="F6372" s="508">
        <v>0</v>
      </c>
      <c r="G6372" s="512">
        <f>+F6371</f>
        <v>64000</v>
      </c>
      <c r="H6372" s="338" t="str">
        <f>+H6371</f>
        <v>Caja Navidad Carolina Alejandr Cesped</v>
      </c>
      <c r="I6372" s="507" t="s">
        <v>296</v>
      </c>
      <c r="K6372" s="370"/>
      <c r="N6372" s="370"/>
    </row>
    <row r="6373" spans="1:14" s="347" customFormat="1" x14ac:dyDescent="0.25">
      <c r="A6373" s="369"/>
      <c r="E6373" s="396"/>
      <c r="F6373" s="396"/>
      <c r="G6373" s="396"/>
      <c r="K6373" s="370"/>
      <c r="N6373" s="370"/>
    </row>
    <row r="6374" spans="1:14" s="347" customFormat="1" x14ac:dyDescent="0.25">
      <c r="A6374" s="503">
        <v>44529</v>
      </c>
      <c r="B6374" s="504">
        <f>+MONTH(A6374)</f>
        <v>11</v>
      </c>
      <c r="C6374" s="505">
        <v>110</v>
      </c>
      <c r="D6374" s="504" t="str">
        <f>VLOOKUP(C6374,Plan!A$1:B$65542,2,0)</f>
        <v>Disponible Administración</v>
      </c>
      <c r="E6374" s="506">
        <f>+F6374-G6374</f>
        <v>5000</v>
      </c>
      <c r="F6374" s="508">
        <v>5000</v>
      </c>
      <c r="G6374" s="512">
        <v>0</v>
      </c>
      <c r="H6374" s="521" t="s">
        <v>2309</v>
      </c>
      <c r="I6374" s="507" t="s">
        <v>296</v>
      </c>
      <c r="K6374" s="370"/>
      <c r="N6374" s="370"/>
    </row>
    <row r="6375" spans="1:14" s="347" customFormat="1" x14ac:dyDescent="0.25">
      <c r="A6375" s="503">
        <f>+A6374</f>
        <v>44529</v>
      </c>
      <c r="B6375" s="504">
        <f>+MONTH(A6375)</f>
        <v>11</v>
      </c>
      <c r="C6375" s="505">
        <v>3350</v>
      </c>
      <c r="D6375" s="504" t="str">
        <f>VLOOKUP(C6375,Plan!A$1:B$65542,2,0)</f>
        <v>Bautizos</v>
      </c>
      <c r="E6375" s="506">
        <f>+F6375-G6375</f>
        <v>-5000</v>
      </c>
      <c r="F6375" s="508">
        <v>0</v>
      </c>
      <c r="G6375" s="512">
        <f>+F6374</f>
        <v>5000</v>
      </c>
      <c r="H6375" s="338" t="str">
        <f>+H6374</f>
        <v>Bautizo Carolina Baraona Arteaga</v>
      </c>
      <c r="I6375" s="507" t="s">
        <v>296</v>
      </c>
      <c r="K6375" s="370"/>
      <c r="N6375" s="370"/>
    </row>
    <row r="6376" spans="1:14" s="347" customFormat="1" x14ac:dyDescent="0.25">
      <c r="A6376" s="369"/>
      <c r="E6376" s="396"/>
      <c r="F6376" s="396"/>
      <c r="G6376" s="396"/>
      <c r="K6376" s="370"/>
      <c r="N6376" s="370"/>
    </row>
    <row r="6377" spans="1:14" s="347" customFormat="1" x14ac:dyDescent="0.25">
      <c r="A6377" s="503">
        <v>44529</v>
      </c>
      <c r="B6377" s="504">
        <f>+MONTH(A6377)</f>
        <v>11</v>
      </c>
      <c r="C6377" s="505">
        <v>110</v>
      </c>
      <c r="D6377" s="504" t="str">
        <f>VLOOKUP(C6377,Plan!A$1:B$65542,2,0)</f>
        <v>Disponible Administración</v>
      </c>
      <c r="E6377" s="506">
        <f>+F6377-G6377</f>
        <v>37000</v>
      </c>
      <c r="F6377" s="508">
        <v>37000</v>
      </c>
      <c r="G6377" s="512">
        <v>0</v>
      </c>
      <c r="H6377" s="521" t="s">
        <v>2310</v>
      </c>
      <c r="I6377" s="507" t="s">
        <v>296</v>
      </c>
      <c r="K6377" s="370"/>
      <c r="N6377" s="370"/>
    </row>
    <row r="6378" spans="1:14" s="347" customFormat="1" x14ac:dyDescent="0.25">
      <c r="A6378" s="503">
        <f>+A6377</f>
        <v>44529</v>
      </c>
      <c r="B6378" s="504">
        <f>+MONTH(A6378)</f>
        <v>11</v>
      </c>
      <c r="C6378" s="505">
        <v>3453</v>
      </c>
      <c r="D6378" s="504" t="str">
        <f>VLOOKUP(C6378,Plan!A$1:B$65542,2,0)</f>
        <v>Cajas de navidad</v>
      </c>
      <c r="E6378" s="506">
        <f>+F6378-G6378</f>
        <v>-37000</v>
      </c>
      <c r="F6378" s="508">
        <v>0</v>
      </c>
      <c r="G6378" s="512">
        <f>+F6377</f>
        <v>37000</v>
      </c>
      <c r="H6378" s="338" t="str">
        <f>+H6377</f>
        <v>Caja Navidad Jose Miguel Carafi</v>
      </c>
      <c r="I6378" s="507" t="s">
        <v>296</v>
      </c>
      <c r="K6378" s="370"/>
      <c r="N6378" s="370"/>
    </row>
    <row r="6379" spans="1:14" s="347" customFormat="1" x14ac:dyDescent="0.25">
      <c r="A6379" s="369"/>
      <c r="E6379" s="396"/>
      <c r="F6379" s="396"/>
      <c r="G6379" s="396"/>
      <c r="K6379" s="370"/>
      <c r="N6379" s="370"/>
    </row>
    <row r="6380" spans="1:14" s="347" customFormat="1" x14ac:dyDescent="0.25">
      <c r="A6380" s="503">
        <v>44529</v>
      </c>
      <c r="B6380" s="504">
        <f>+MONTH(A6380)</f>
        <v>11</v>
      </c>
      <c r="C6380" s="505">
        <v>110</v>
      </c>
      <c r="D6380" s="504" t="str">
        <f>VLOOKUP(C6380,Plan!A$1:B$65542,2,0)</f>
        <v>Disponible Administración</v>
      </c>
      <c r="E6380" s="506">
        <f>+F6380-G6380</f>
        <v>35000</v>
      </c>
      <c r="F6380" s="508">
        <v>35000</v>
      </c>
      <c r="G6380" s="512">
        <v>0</v>
      </c>
      <c r="H6380" s="521" t="s">
        <v>2311</v>
      </c>
      <c r="I6380" s="507" t="s">
        <v>296</v>
      </c>
      <c r="K6380" s="370"/>
      <c r="N6380" s="370"/>
    </row>
    <row r="6381" spans="1:14" s="347" customFormat="1" x14ac:dyDescent="0.25">
      <c r="A6381" s="503">
        <f>+A6380</f>
        <v>44529</v>
      </c>
      <c r="B6381" s="504">
        <f>+MONTH(A6381)</f>
        <v>11</v>
      </c>
      <c r="C6381" s="505">
        <v>3453</v>
      </c>
      <c r="D6381" s="504" t="str">
        <f>VLOOKUP(C6381,Plan!A$1:B$65542,2,0)</f>
        <v>Cajas de navidad</v>
      </c>
      <c r="E6381" s="506">
        <f>+F6381-G6381</f>
        <v>-35000</v>
      </c>
      <c r="F6381" s="508">
        <v>0</v>
      </c>
      <c r="G6381" s="512">
        <f>+F6380</f>
        <v>35000</v>
      </c>
      <c r="H6381" s="338" t="str">
        <f>+H6380</f>
        <v>Caja Navidad Dep. Oficina</v>
      </c>
      <c r="I6381" s="507" t="s">
        <v>296</v>
      </c>
      <c r="K6381" s="370"/>
      <c r="N6381" s="370"/>
    </row>
    <row r="6382" spans="1:14" s="347" customFormat="1" x14ac:dyDescent="0.25">
      <c r="A6382" s="369"/>
      <c r="E6382" s="396"/>
      <c r="F6382" s="396"/>
      <c r="G6382" s="396"/>
      <c r="K6382" s="370"/>
      <c r="N6382" s="370"/>
    </row>
    <row r="6383" spans="1:14" s="347" customFormat="1" x14ac:dyDescent="0.25">
      <c r="A6383" s="503">
        <v>44529</v>
      </c>
      <c r="B6383" s="504">
        <f>+MONTH(A6383)</f>
        <v>11</v>
      </c>
      <c r="C6383" s="505">
        <v>110</v>
      </c>
      <c r="D6383" s="504" t="str">
        <f>VLOOKUP(C6383,Plan!A$1:B$65542,2,0)</f>
        <v>Disponible Administración</v>
      </c>
      <c r="E6383" s="506">
        <f>+F6383-G6383</f>
        <v>782000</v>
      </c>
      <c r="F6383" s="508">
        <v>782000</v>
      </c>
      <c r="G6383" s="512">
        <v>0</v>
      </c>
      <c r="H6383" t="s">
        <v>2127</v>
      </c>
      <c r="I6383" s="507" t="s">
        <v>296</v>
      </c>
      <c r="K6383" s="370"/>
      <c r="N6383" s="370"/>
    </row>
    <row r="6384" spans="1:14" s="347" customFormat="1" x14ac:dyDescent="0.25">
      <c r="A6384" s="503">
        <f>+A6383</f>
        <v>44529</v>
      </c>
      <c r="B6384" s="504">
        <f>+MONTH(A6384)</f>
        <v>11</v>
      </c>
      <c r="C6384" s="505">
        <v>3110</v>
      </c>
      <c r="D6384" s="504" t="str">
        <f>VLOOKUP(C6384,Plan!A$1:B$65542,2,0)</f>
        <v>Colectas Normales</v>
      </c>
      <c r="E6384" s="506">
        <f>+F6384-G6384</f>
        <v>-782000</v>
      </c>
      <c r="F6384" s="508">
        <v>0</v>
      </c>
      <c r="G6384" s="512">
        <f>+F6383</f>
        <v>782000</v>
      </c>
      <c r="H6384" s="338" t="str">
        <f>+H6383</f>
        <v>Colecta Col.Cordillera y Cumbres</v>
      </c>
      <c r="I6384" s="507" t="s">
        <v>296</v>
      </c>
      <c r="K6384" s="370"/>
      <c r="N6384" s="370"/>
    </row>
    <row r="6385" spans="1:14" s="347" customFormat="1" x14ac:dyDescent="0.25">
      <c r="A6385" s="369"/>
      <c r="E6385" s="396"/>
      <c r="F6385" s="396"/>
      <c r="G6385" s="396"/>
      <c r="K6385" s="370"/>
      <c r="N6385" s="370"/>
    </row>
    <row r="6386" spans="1:14" s="347" customFormat="1" x14ac:dyDescent="0.25">
      <c r="A6386" s="503">
        <v>44529</v>
      </c>
      <c r="B6386" s="504">
        <f>+MONTH(A6386)</f>
        <v>11</v>
      </c>
      <c r="C6386" s="505">
        <v>110</v>
      </c>
      <c r="D6386" s="504" t="str">
        <f>VLOOKUP(C6386,Plan!A$1:B$65542,2,0)</f>
        <v>Disponible Administración</v>
      </c>
      <c r="E6386" s="506">
        <f>+F6386-G6386</f>
        <v>8290</v>
      </c>
      <c r="F6386" s="508">
        <v>8290</v>
      </c>
      <c r="G6386" s="512">
        <v>0</v>
      </c>
      <c r="H6386" t="s">
        <v>2127</v>
      </c>
      <c r="I6386" s="507" t="s">
        <v>296</v>
      </c>
      <c r="K6386" s="370"/>
      <c r="N6386" s="370"/>
    </row>
    <row r="6387" spans="1:14" s="347" customFormat="1" x14ac:dyDescent="0.25">
      <c r="A6387" s="503">
        <f>+A6386</f>
        <v>44529</v>
      </c>
      <c r="B6387" s="504">
        <f>+MONTH(A6387)</f>
        <v>11</v>
      </c>
      <c r="C6387" s="505">
        <v>3110</v>
      </c>
      <c r="D6387" s="504" t="str">
        <f>VLOOKUP(C6387,Plan!A$1:B$65542,2,0)</f>
        <v>Colectas Normales</v>
      </c>
      <c r="E6387" s="506">
        <f>+F6387-G6387</f>
        <v>-8290</v>
      </c>
      <c r="F6387" s="508">
        <v>0</v>
      </c>
      <c r="G6387" s="512">
        <f>+F6386</f>
        <v>8290</v>
      </c>
      <c r="H6387" s="338" t="str">
        <f>+H6386</f>
        <v>Colecta Col.Cordillera y Cumbres</v>
      </c>
      <c r="I6387" s="507" t="s">
        <v>296</v>
      </c>
      <c r="K6387" s="370"/>
      <c r="N6387" s="370"/>
    </row>
    <row r="6388" spans="1:14" s="347" customFormat="1" x14ac:dyDescent="0.25">
      <c r="A6388" s="369"/>
      <c r="E6388" s="396"/>
      <c r="F6388" s="396"/>
      <c r="G6388" s="396"/>
      <c r="K6388" s="370"/>
      <c r="N6388" s="370"/>
    </row>
    <row r="6389" spans="1:14" s="347" customFormat="1" x14ac:dyDescent="0.25">
      <c r="A6389" s="503">
        <v>44529</v>
      </c>
      <c r="B6389" s="504">
        <f>+MONTH(A6389)</f>
        <v>11</v>
      </c>
      <c r="C6389" s="505">
        <v>110</v>
      </c>
      <c r="D6389" s="504" t="str">
        <f>VLOOKUP(C6389,Plan!A$1:B$65542,2,0)</f>
        <v>Disponible Administración</v>
      </c>
      <c r="E6389" s="506">
        <f>+F6389-G6389</f>
        <v>32000</v>
      </c>
      <c r="F6389" s="508">
        <v>32000</v>
      </c>
      <c r="G6389" s="512">
        <v>0</v>
      </c>
      <c r="H6389" t="s">
        <v>2312</v>
      </c>
      <c r="I6389" s="507" t="s">
        <v>296</v>
      </c>
      <c r="K6389" s="370"/>
      <c r="N6389" s="370"/>
    </row>
    <row r="6390" spans="1:14" s="347" customFormat="1" x14ac:dyDescent="0.25">
      <c r="A6390" s="503">
        <f>+A6389</f>
        <v>44529</v>
      </c>
      <c r="B6390" s="504">
        <f>+MONTH(A6390)</f>
        <v>11</v>
      </c>
      <c r="C6390" s="505">
        <v>3453</v>
      </c>
      <c r="D6390" s="504" t="str">
        <f>VLOOKUP(C6390,Plan!A$1:B$65542,2,0)</f>
        <v>Cajas de navidad</v>
      </c>
      <c r="E6390" s="506">
        <f>+F6390-G6390</f>
        <v>-32000</v>
      </c>
      <c r="F6390" s="508">
        <v>0</v>
      </c>
      <c r="G6390" s="512">
        <f>+F6389</f>
        <v>32000</v>
      </c>
      <c r="H6390" s="338" t="str">
        <f>+H6389</f>
        <v>Caja Navidad Cristian Espinosa</v>
      </c>
      <c r="I6390" s="507" t="s">
        <v>296</v>
      </c>
      <c r="K6390" s="370"/>
      <c r="N6390" s="370"/>
    </row>
    <row r="6391" spans="1:14" s="347" customFormat="1" x14ac:dyDescent="0.25">
      <c r="A6391" s="369"/>
      <c r="E6391" s="396"/>
      <c r="F6391" s="396"/>
      <c r="G6391" s="396"/>
      <c r="K6391" s="370"/>
      <c r="N6391" s="370"/>
    </row>
    <row r="6392" spans="1:14" s="347" customFormat="1" x14ac:dyDescent="0.25">
      <c r="A6392" s="503">
        <v>44529</v>
      </c>
      <c r="B6392" s="504">
        <f>+MONTH(A6392)</f>
        <v>11</v>
      </c>
      <c r="C6392" s="505">
        <v>110</v>
      </c>
      <c r="D6392" s="504" t="str">
        <f>VLOOKUP(C6392,Plan!A$1:B$65542,2,0)</f>
        <v>Disponible Administración</v>
      </c>
      <c r="E6392" s="506">
        <f>+F6392-G6392</f>
        <v>5000</v>
      </c>
      <c r="F6392" s="508">
        <v>5000</v>
      </c>
      <c r="G6392" s="512">
        <v>0</v>
      </c>
      <c r="H6392" t="s">
        <v>2312</v>
      </c>
      <c r="I6392" s="507" t="s">
        <v>296</v>
      </c>
      <c r="K6392" s="370"/>
      <c r="N6392" s="370"/>
    </row>
    <row r="6393" spans="1:14" s="347" customFormat="1" x14ac:dyDescent="0.25">
      <c r="A6393" s="503">
        <f>+A6392</f>
        <v>44529</v>
      </c>
      <c r="B6393" s="504">
        <f>+MONTH(A6393)</f>
        <v>11</v>
      </c>
      <c r="C6393" s="505">
        <v>3453</v>
      </c>
      <c r="D6393" s="504" t="str">
        <f>VLOOKUP(C6393,Plan!A$1:B$65542,2,0)</f>
        <v>Cajas de navidad</v>
      </c>
      <c r="E6393" s="506">
        <f>+F6393-G6393</f>
        <v>-5000</v>
      </c>
      <c r="F6393" s="508">
        <v>0</v>
      </c>
      <c r="G6393" s="512">
        <f>+F6392</f>
        <v>5000</v>
      </c>
      <c r="H6393" s="338" t="str">
        <f>+H6392</f>
        <v>Caja Navidad Cristian Espinosa</v>
      </c>
      <c r="I6393" s="507" t="s">
        <v>296</v>
      </c>
      <c r="K6393" s="370"/>
      <c r="N6393" s="370"/>
    </row>
    <row r="6394" spans="1:14" s="347" customFormat="1" x14ac:dyDescent="0.25">
      <c r="A6394" s="369"/>
      <c r="E6394" s="396"/>
      <c r="F6394" s="396"/>
      <c r="G6394" s="396"/>
      <c r="K6394" s="370"/>
      <c r="N6394" s="370"/>
    </row>
    <row r="6395" spans="1:14" s="347" customFormat="1" x14ac:dyDescent="0.25">
      <c r="A6395" s="503">
        <v>44530</v>
      </c>
      <c r="B6395" s="504">
        <f>+MONTH(A6395)</f>
        <v>11</v>
      </c>
      <c r="C6395" s="505">
        <v>4680</v>
      </c>
      <c r="D6395" s="504" t="str">
        <f>VLOOKUP(C6395,Plan!A$1:B$65542,2,0)</f>
        <v>Pastoral Comunicacional</v>
      </c>
      <c r="E6395" s="506">
        <f>+F6395-G6395</f>
        <v>425803</v>
      </c>
      <c r="F6395" s="508">
        <v>425803</v>
      </c>
      <c r="G6395" s="512">
        <v>0</v>
      </c>
      <c r="H6395" t="s">
        <v>2313</v>
      </c>
      <c r="I6395" s="507" t="s">
        <v>296</v>
      </c>
      <c r="K6395" s="370"/>
      <c r="N6395" s="370"/>
    </row>
    <row r="6396" spans="1:14" s="347" customFormat="1" x14ac:dyDescent="0.25">
      <c r="A6396" s="503">
        <f>+A6395</f>
        <v>44530</v>
      </c>
      <c r="B6396" s="504">
        <f>+MONTH(A6396)</f>
        <v>11</v>
      </c>
      <c r="C6396" s="505">
        <v>110</v>
      </c>
      <c r="D6396" s="504" t="str">
        <f>VLOOKUP(C6396,Plan!A$1:B$65542,2,0)</f>
        <v>Disponible Administración</v>
      </c>
      <c r="E6396" s="506">
        <f>+F6396-G6396</f>
        <v>-425803</v>
      </c>
      <c r="F6396" s="508">
        <v>0</v>
      </c>
      <c r="G6396" s="512">
        <f>+F6395</f>
        <v>425803</v>
      </c>
      <c r="H6396" s="338" t="str">
        <f>+H6395</f>
        <v>F.848 Serv. Nov.21</v>
      </c>
      <c r="I6396" s="507" t="s">
        <v>296</v>
      </c>
      <c r="K6396" s="370"/>
      <c r="N6396" s="370"/>
    </row>
    <row r="6397" spans="1:14" s="347" customFormat="1" x14ac:dyDescent="0.25">
      <c r="A6397" s="369"/>
      <c r="E6397" s="396"/>
      <c r="F6397" s="396"/>
      <c r="G6397" s="396"/>
      <c r="K6397" s="370"/>
      <c r="N6397" s="370"/>
    </row>
    <row r="6398" spans="1:14" s="347" customFormat="1" x14ac:dyDescent="0.25">
      <c r="A6398" s="503">
        <v>44530</v>
      </c>
      <c r="B6398" s="504">
        <f>+MONTH(A6398)</f>
        <v>11</v>
      </c>
      <c r="C6398" s="505">
        <v>4822</v>
      </c>
      <c r="D6398" s="504" t="str">
        <f>VLOOKUP(C6398,Plan!A$1:B$65542,2,0)</f>
        <v>Caja de Navidad</v>
      </c>
      <c r="E6398" s="506">
        <f>+F6398-G6398</f>
        <v>59000</v>
      </c>
      <c r="F6398" s="508">
        <v>59000</v>
      </c>
      <c r="G6398" s="512">
        <v>0</v>
      </c>
      <c r="H6398" t="s">
        <v>2314</v>
      </c>
      <c r="I6398" s="507" t="s">
        <v>296</v>
      </c>
      <c r="K6398" s="370"/>
      <c r="N6398" s="370"/>
    </row>
    <row r="6399" spans="1:14" s="347" customFormat="1" x14ac:dyDescent="0.25">
      <c r="A6399" s="503">
        <f>+A6398</f>
        <v>44530</v>
      </c>
      <c r="B6399" s="504">
        <f>+MONTH(A6399)</f>
        <v>11</v>
      </c>
      <c r="C6399" s="505">
        <v>110</v>
      </c>
      <c r="D6399" s="504" t="str">
        <f>VLOOKUP(C6399,Plan!A$1:B$65542,2,0)</f>
        <v>Disponible Administración</v>
      </c>
      <c r="E6399" s="506">
        <f>+F6399-G6399</f>
        <v>-59000</v>
      </c>
      <c r="F6399" s="508">
        <v>0</v>
      </c>
      <c r="G6399" s="512">
        <f>+F6398</f>
        <v>59000</v>
      </c>
      <c r="H6399" s="338" t="str">
        <f>+H6398</f>
        <v>Compra Volantes CNH</v>
      </c>
      <c r="I6399" s="507" t="s">
        <v>296</v>
      </c>
      <c r="K6399" s="370"/>
      <c r="N6399" s="370"/>
    </row>
    <row r="6400" spans="1:14" s="347" customFormat="1" x14ac:dyDescent="0.25">
      <c r="A6400" s="369"/>
      <c r="E6400" s="396"/>
      <c r="F6400" s="396"/>
      <c r="G6400" s="396"/>
      <c r="K6400" s="370"/>
      <c r="N6400" s="370"/>
    </row>
    <row r="6401" spans="1:14" s="347" customFormat="1" x14ac:dyDescent="0.25">
      <c r="A6401" s="503">
        <v>44530</v>
      </c>
      <c r="B6401" s="504">
        <f>+MONTH(A6401)</f>
        <v>11</v>
      </c>
      <c r="C6401" s="505">
        <v>4641</v>
      </c>
      <c r="D6401" s="504" t="str">
        <f>VLOOKUP(C6401,Plan!A$1:B$65542,2,0)</f>
        <v xml:space="preserve">             Capellanías </v>
      </c>
      <c r="E6401" s="506">
        <f>+F6401-G6401</f>
        <v>50000</v>
      </c>
      <c r="F6401" s="508">
        <v>50000</v>
      </c>
      <c r="G6401" s="512">
        <v>0</v>
      </c>
      <c r="H6401" t="s">
        <v>2315</v>
      </c>
      <c r="I6401" s="507" t="s">
        <v>296</v>
      </c>
      <c r="K6401" s="370"/>
      <c r="N6401" s="370"/>
    </row>
    <row r="6402" spans="1:14" s="347" customFormat="1" x14ac:dyDescent="0.25">
      <c r="A6402" s="503">
        <f>+A6401</f>
        <v>44530</v>
      </c>
      <c r="B6402" s="504">
        <f>+MONTH(A6402)</f>
        <v>11</v>
      </c>
      <c r="C6402" s="505">
        <v>110</v>
      </c>
      <c r="D6402" s="504" t="str">
        <f>VLOOKUP(C6402,Plan!A$1:B$65542,2,0)</f>
        <v>Disponible Administración</v>
      </c>
      <c r="E6402" s="506">
        <f>+F6402-G6402</f>
        <v>-50000</v>
      </c>
      <c r="F6402" s="508">
        <v>0</v>
      </c>
      <c r="G6402" s="512">
        <f>+F6401</f>
        <v>50000</v>
      </c>
      <c r="H6402" s="338" t="str">
        <f>+H6401</f>
        <v>Capellanía Noviembre</v>
      </c>
      <c r="I6402" s="507" t="s">
        <v>296</v>
      </c>
      <c r="K6402" s="370"/>
      <c r="N6402" s="370"/>
    </row>
    <row r="6403" spans="1:14" s="347" customFormat="1" x14ac:dyDescent="0.25">
      <c r="A6403" s="369"/>
      <c r="E6403" s="396"/>
      <c r="F6403" s="396"/>
      <c r="G6403" s="396"/>
      <c r="K6403" s="370"/>
      <c r="N6403" s="370"/>
    </row>
    <row r="6404" spans="1:14" s="347" customFormat="1" x14ac:dyDescent="0.25">
      <c r="A6404" s="503">
        <v>44530</v>
      </c>
      <c r="B6404" s="504">
        <f>+MONTH(A6404)</f>
        <v>11</v>
      </c>
      <c r="C6404" s="505">
        <v>4641</v>
      </c>
      <c r="D6404" s="504" t="str">
        <f>VLOOKUP(C6404,Plan!A$1:B$65542,2,0)</f>
        <v xml:space="preserve">             Capellanías </v>
      </c>
      <c r="E6404" s="506">
        <f>+F6404-G6404</f>
        <v>30000</v>
      </c>
      <c r="F6404" s="508">
        <v>30000</v>
      </c>
      <c r="G6404" s="512">
        <v>0</v>
      </c>
      <c r="H6404" s="338" t="s">
        <v>2316</v>
      </c>
      <c r="I6404" s="507" t="s">
        <v>296</v>
      </c>
      <c r="K6404" s="370"/>
      <c r="N6404" s="370"/>
    </row>
    <row r="6405" spans="1:14" s="347" customFormat="1" x14ac:dyDescent="0.25">
      <c r="A6405" s="503">
        <f>+A6404</f>
        <v>44530</v>
      </c>
      <c r="B6405" s="504">
        <f>+MONTH(A6405)</f>
        <v>11</v>
      </c>
      <c r="C6405" s="505">
        <v>110</v>
      </c>
      <c r="D6405" s="504" t="str">
        <f>VLOOKUP(C6405,Plan!A$1:B$65542,2,0)</f>
        <v>Disponible Administración</v>
      </c>
      <c r="E6405" s="506">
        <f>+F6405-G6405</f>
        <v>-30000</v>
      </c>
      <c r="F6405" s="508">
        <v>0</v>
      </c>
      <c r="G6405" s="512">
        <f>+F6404</f>
        <v>30000</v>
      </c>
      <c r="H6405" s="338" t="str">
        <f>+H6404</f>
        <v>Capellania 2 Misas Nov/21</v>
      </c>
      <c r="I6405" s="507" t="s">
        <v>296</v>
      </c>
      <c r="K6405" s="370"/>
      <c r="N6405" s="370"/>
    </row>
    <row r="6406" spans="1:14" s="347" customFormat="1" x14ac:dyDescent="0.25">
      <c r="A6406" s="369"/>
      <c r="E6406" s="396"/>
      <c r="F6406" s="396"/>
      <c r="G6406" s="396"/>
      <c r="K6406" s="370"/>
      <c r="N6406" s="370"/>
    </row>
    <row r="6407" spans="1:14" s="347" customFormat="1" x14ac:dyDescent="0.25">
      <c r="A6407" s="503">
        <v>44530</v>
      </c>
      <c r="B6407" s="504">
        <f>+MONTH(A6407)</f>
        <v>11</v>
      </c>
      <c r="C6407" s="505">
        <v>4221</v>
      </c>
      <c r="D6407" s="504" t="str">
        <f>VLOOKUP(C6407,Plan!A$1:B$65542,2,0)</f>
        <v xml:space="preserve">          Contables-Administración</v>
      </c>
      <c r="E6407" s="506">
        <f>+F6407-G6407</f>
        <v>1200000</v>
      </c>
      <c r="F6407" s="508">
        <v>1200000</v>
      </c>
      <c r="G6407" s="512">
        <v>0</v>
      </c>
      <c r="H6407" s="338" t="s">
        <v>2317</v>
      </c>
      <c r="I6407" s="507" t="s">
        <v>296</v>
      </c>
      <c r="K6407" s="370"/>
      <c r="N6407" s="370"/>
    </row>
    <row r="6408" spans="1:14" s="347" customFormat="1" x14ac:dyDescent="0.25">
      <c r="A6408" s="503">
        <f>+A6407</f>
        <v>44530</v>
      </c>
      <c r="B6408" s="504">
        <f>+MONTH(A6408)</f>
        <v>11</v>
      </c>
      <c r="C6408" s="505">
        <v>110</v>
      </c>
      <c r="D6408" s="504" t="str">
        <f>VLOOKUP(C6408,Plan!A$1:B$65542,2,0)</f>
        <v>Disponible Administración</v>
      </c>
      <c r="E6408" s="506">
        <f>+F6408-G6408</f>
        <v>-1200000</v>
      </c>
      <c r="F6408" s="508">
        <v>0</v>
      </c>
      <c r="G6408" s="512">
        <f>+F6407</f>
        <v>1200000</v>
      </c>
      <c r="H6408" s="338" t="str">
        <f>+H6407</f>
        <v>F.155 del 27/10/21</v>
      </c>
      <c r="I6408" s="507" t="s">
        <v>296</v>
      </c>
      <c r="K6408" s="370"/>
      <c r="N6408" s="370"/>
    </row>
    <row r="6409" spans="1:14" s="347" customFormat="1" x14ac:dyDescent="0.25">
      <c r="A6409" s="369"/>
      <c r="E6409" s="396"/>
      <c r="F6409" s="396"/>
      <c r="G6409" s="396"/>
      <c r="K6409" s="370"/>
      <c r="N6409" s="370"/>
    </row>
    <row r="6410" spans="1:14" s="347" customFormat="1" x14ac:dyDescent="0.25">
      <c r="A6410" s="503">
        <v>44530</v>
      </c>
      <c r="B6410" s="504">
        <f>+MONTH(A6410)</f>
        <v>11</v>
      </c>
      <c r="C6410" s="505">
        <v>4643</v>
      </c>
      <c r="D6410" s="504" t="str">
        <f>VLOOKUP(C6410,Plan!A$1:B$65542,2,0)</f>
        <v xml:space="preserve">             Otros</v>
      </c>
      <c r="E6410" s="506">
        <f>+F6410-G6410</f>
        <v>240000</v>
      </c>
      <c r="F6410" s="508">
        <f>+G6411+G6412</f>
        <v>240000</v>
      </c>
      <c r="G6410" s="512">
        <v>0</v>
      </c>
      <c r="H6410" s="338" t="s">
        <v>2318</v>
      </c>
      <c r="I6410" s="507" t="s">
        <v>296</v>
      </c>
      <c r="K6410" s="370"/>
      <c r="N6410" s="370"/>
    </row>
    <row r="6411" spans="1:14" s="347" customFormat="1" x14ac:dyDescent="0.25">
      <c r="A6411" s="503">
        <f>+A6410</f>
        <v>44530</v>
      </c>
      <c r="B6411" s="504">
        <f>+MONTH(A6411)</f>
        <v>11</v>
      </c>
      <c r="C6411" s="505">
        <v>223</v>
      </c>
      <c r="D6411" s="504" t="str">
        <f>VLOOKUP(C6411,Plan!A$1:B$65542,2,0)</f>
        <v>Ret. Hon.  e Impto. Unico Administración</v>
      </c>
      <c r="E6411" s="506">
        <f>+F6411-G6411</f>
        <v>-27600</v>
      </c>
      <c r="F6411" s="508">
        <v>0</v>
      </c>
      <c r="G6411" s="512">
        <v>27600</v>
      </c>
      <c r="H6411" s="338" t="s">
        <v>2318</v>
      </c>
      <c r="I6411" s="507"/>
      <c r="J6411" s="340"/>
      <c r="K6411" s="209"/>
      <c r="L6411" s="340"/>
      <c r="N6411" s="370"/>
    </row>
    <row r="6412" spans="1:14" s="347" customFormat="1" x14ac:dyDescent="0.25">
      <c r="A6412" s="503">
        <f>+A6410</f>
        <v>44530</v>
      </c>
      <c r="B6412" s="504">
        <f>+MONTH(A6412)</f>
        <v>11</v>
      </c>
      <c r="C6412" s="505">
        <v>110</v>
      </c>
      <c r="D6412" s="504" t="str">
        <f>VLOOKUP(C6412,Plan!A$1:B$65542,2,0)</f>
        <v>Disponible Administración</v>
      </c>
      <c r="E6412" s="506">
        <f>+F6412-G6412</f>
        <v>-212400</v>
      </c>
      <c r="F6412" s="508">
        <v>0</v>
      </c>
      <c r="G6412" s="512">
        <v>212400</v>
      </c>
      <c r="H6412" s="338" t="str">
        <f>+H6411</f>
        <v>BTE-122 DORLLY CLARET CARDENAS LINDARTE</v>
      </c>
      <c r="I6412" s="507" t="s">
        <v>296</v>
      </c>
      <c r="K6412" s="370"/>
      <c r="N6412" s="370"/>
    </row>
    <row r="6413" spans="1:14" s="347" customFormat="1" x14ac:dyDescent="0.25">
      <c r="A6413" s="369"/>
      <c r="E6413" s="396"/>
      <c r="F6413" s="396"/>
      <c r="G6413" s="396"/>
      <c r="K6413" s="370"/>
      <c r="N6413" s="370"/>
    </row>
    <row r="6414" spans="1:14" s="347" customFormat="1" x14ac:dyDescent="0.25">
      <c r="A6414" s="503">
        <v>44530</v>
      </c>
      <c r="B6414" s="504">
        <f>+MONTH(A6414)</f>
        <v>11</v>
      </c>
      <c r="C6414" s="505">
        <v>4224</v>
      </c>
      <c r="D6414" s="504" t="str">
        <f>VLOOKUP(C6414,Plan!A$1:B$65542,2,0)</f>
        <v xml:space="preserve">         Jardinero</v>
      </c>
      <c r="E6414" s="506">
        <f>+F6414-G6414</f>
        <v>33898</v>
      </c>
      <c r="F6414" s="508">
        <f>+G6415+G6416</f>
        <v>33898</v>
      </c>
      <c r="G6414" s="512">
        <v>0</v>
      </c>
      <c r="H6414" s="338" t="s">
        <v>2319</v>
      </c>
      <c r="I6414" s="507" t="s">
        <v>296</v>
      </c>
      <c r="K6414" s="370"/>
      <c r="N6414" s="370"/>
    </row>
    <row r="6415" spans="1:14" s="347" customFormat="1" x14ac:dyDescent="0.25">
      <c r="A6415" s="503">
        <v>44530</v>
      </c>
      <c r="B6415" s="504">
        <f>+MONTH(A6415)</f>
        <v>11</v>
      </c>
      <c r="C6415" s="505">
        <v>223</v>
      </c>
      <c r="D6415" s="504" t="str">
        <f>VLOOKUP(C6415,Plan!A$1:B$65542,2,0)</f>
        <v>Ret. Hon.  e Impto. Unico Administración</v>
      </c>
      <c r="E6415" s="506">
        <f>+F6415-G6415</f>
        <v>-3898</v>
      </c>
      <c r="F6415" s="508">
        <v>0</v>
      </c>
      <c r="G6415" s="512">
        <v>3898</v>
      </c>
      <c r="H6415" s="338" t="s">
        <v>2319</v>
      </c>
      <c r="I6415" s="507" t="s">
        <v>296</v>
      </c>
      <c r="J6415" s="340"/>
      <c r="K6415" s="209"/>
      <c r="L6415" s="340"/>
      <c r="N6415" s="370"/>
    </row>
    <row r="6416" spans="1:14" s="347" customFormat="1" x14ac:dyDescent="0.25">
      <c r="A6416" s="503">
        <f>+A6414</f>
        <v>44530</v>
      </c>
      <c r="B6416" s="504">
        <f>+MONTH(A6416)</f>
        <v>11</v>
      </c>
      <c r="C6416" s="505">
        <v>110</v>
      </c>
      <c r="D6416" s="504" t="str">
        <f>VLOOKUP(C6416,Plan!A$1:B$65542,2,0)</f>
        <v>Disponible Administración</v>
      </c>
      <c r="E6416" s="506">
        <f>+F6416-G6416</f>
        <v>-30000</v>
      </c>
      <c r="F6416" s="508">
        <v>0</v>
      </c>
      <c r="G6416" s="512">
        <v>30000</v>
      </c>
      <c r="H6416" s="338" t="str">
        <f>+H6414</f>
        <v>BTE-123 EDUARDO ENRIQUE PLAZA RIVERA</v>
      </c>
      <c r="I6416" s="507" t="s">
        <v>296</v>
      </c>
      <c r="K6416" s="370"/>
      <c r="N6416" s="370"/>
    </row>
    <row r="6417" spans="1:14" s="347" customFormat="1" x14ac:dyDescent="0.25">
      <c r="A6417" s="369"/>
      <c r="E6417" s="396"/>
      <c r="F6417" s="396"/>
      <c r="G6417" s="396"/>
      <c r="K6417" s="370"/>
      <c r="N6417" s="370"/>
    </row>
    <row r="6418" spans="1:14" s="347" customFormat="1" x14ac:dyDescent="0.25">
      <c r="A6418" s="495">
        <v>44530</v>
      </c>
      <c r="B6418" s="496">
        <f>+MONTH(A6418)</f>
        <v>11</v>
      </c>
      <c r="C6418" s="491">
        <v>4231</v>
      </c>
      <c r="D6418" s="492" t="str">
        <f>VLOOKUP(C6418,Plan!A$1:B$65542,2,0)</f>
        <v>Auxiliares, secretarias y administración</v>
      </c>
      <c r="E6418" s="497">
        <f t="shared" ref="E6418:E6424" si="48">+F6418-G6418</f>
        <v>3059525</v>
      </c>
      <c r="F6418" s="493">
        <v>3059525</v>
      </c>
      <c r="G6418" s="502">
        <v>0</v>
      </c>
      <c r="H6418" s="494" t="s">
        <v>410</v>
      </c>
      <c r="I6418" s="499" t="s">
        <v>296</v>
      </c>
      <c r="K6418" s="370"/>
      <c r="N6418" s="370"/>
    </row>
    <row r="6419" spans="1:14" s="347" customFormat="1" x14ac:dyDescent="0.25">
      <c r="A6419" s="495">
        <f t="shared" ref="A6419:B6424" si="49">+A6418</f>
        <v>44530</v>
      </c>
      <c r="B6419" s="496">
        <f t="shared" si="49"/>
        <v>11</v>
      </c>
      <c r="C6419" s="491">
        <v>9011</v>
      </c>
      <c r="D6419" s="492" t="str">
        <f>VLOOKUP(C6419,Plan!A$1:B$65542,2,0)</f>
        <v>Sueldo Sacerdotes</v>
      </c>
      <c r="E6419" s="497">
        <f t="shared" si="48"/>
        <v>913611</v>
      </c>
      <c r="F6419" s="493">
        <v>913611</v>
      </c>
      <c r="G6419" s="502">
        <v>0</v>
      </c>
      <c r="H6419" s="491" t="s">
        <v>410</v>
      </c>
      <c r="I6419" s="499" t="s">
        <v>296</v>
      </c>
      <c r="K6419" s="370"/>
      <c r="N6419" s="370"/>
    </row>
    <row r="6420" spans="1:14" s="347" customFormat="1" x14ac:dyDescent="0.25">
      <c r="A6420" s="495">
        <f t="shared" si="49"/>
        <v>44530</v>
      </c>
      <c r="B6420" s="496">
        <f t="shared" si="49"/>
        <v>11</v>
      </c>
      <c r="C6420" s="491">
        <v>4231</v>
      </c>
      <c r="D6420" s="492" t="str">
        <f>VLOOKUP(C6420,Plan!A$1:B$65542,2,0)</f>
        <v>Auxiliares, secretarias y administración</v>
      </c>
      <c r="E6420" s="497">
        <f t="shared" si="48"/>
        <v>73364</v>
      </c>
      <c r="F6420" s="493">
        <v>73364</v>
      </c>
      <c r="G6420" s="502">
        <v>0</v>
      </c>
      <c r="H6420" s="491" t="s">
        <v>410</v>
      </c>
      <c r="I6420" s="499" t="s">
        <v>296</v>
      </c>
      <c r="K6420" s="370"/>
      <c r="N6420" s="370"/>
    </row>
    <row r="6421" spans="1:14" s="347" customFormat="1" x14ac:dyDescent="0.25">
      <c r="A6421" s="495">
        <f t="shared" si="49"/>
        <v>44530</v>
      </c>
      <c r="B6421" s="496">
        <f t="shared" si="49"/>
        <v>11</v>
      </c>
      <c r="C6421" s="491">
        <v>225</v>
      </c>
      <c r="D6421" s="492" t="str">
        <f>VLOOKUP(C6421,Plan!A$1:B$65542,2,0)</f>
        <v>Sueldos por Pagar</v>
      </c>
      <c r="E6421" s="497">
        <f t="shared" si="48"/>
        <v>-3398314</v>
      </c>
      <c r="F6421" s="493">
        <v>0</v>
      </c>
      <c r="G6421" s="502">
        <v>3398314</v>
      </c>
      <c r="H6421" s="491" t="s">
        <v>410</v>
      </c>
      <c r="I6421" s="499" t="s">
        <v>296</v>
      </c>
      <c r="K6421" s="370"/>
      <c r="N6421" s="370"/>
    </row>
    <row r="6422" spans="1:14" s="347" customFormat="1" x14ac:dyDescent="0.25">
      <c r="A6422" s="495">
        <f t="shared" si="49"/>
        <v>44530</v>
      </c>
      <c r="B6422" s="496">
        <f t="shared" si="49"/>
        <v>11</v>
      </c>
      <c r="C6422" s="491">
        <v>224</v>
      </c>
      <c r="D6422" s="492" t="str">
        <f>VLOOKUP(C6422,Plan!A$1:B$65542,2,0)</f>
        <v>Cotizaciones por Pagar</v>
      </c>
      <c r="E6422" s="497">
        <f t="shared" si="48"/>
        <v>-455867</v>
      </c>
      <c r="F6422" s="493">
        <v>0</v>
      </c>
      <c r="G6422" s="502">
        <v>455867</v>
      </c>
      <c r="H6422" s="491" t="s">
        <v>410</v>
      </c>
      <c r="I6422" s="499" t="s">
        <v>296</v>
      </c>
      <c r="K6422" s="370"/>
      <c r="N6422" s="370"/>
    </row>
    <row r="6423" spans="1:14" s="347" customFormat="1" x14ac:dyDescent="0.25">
      <c r="A6423" s="495">
        <f t="shared" si="49"/>
        <v>44530</v>
      </c>
      <c r="B6423" s="496">
        <f t="shared" si="49"/>
        <v>11</v>
      </c>
      <c r="C6423" s="491">
        <v>224</v>
      </c>
      <c r="D6423" s="492" t="str">
        <f>VLOOKUP(C6423,Plan!A$1:B$65542,2,0)</f>
        <v>Cotizaciones por Pagar</v>
      </c>
      <c r="E6423" s="497">
        <f t="shared" si="48"/>
        <v>-178611</v>
      </c>
      <c r="F6423" s="493">
        <v>0</v>
      </c>
      <c r="G6423" s="501">
        <v>178611</v>
      </c>
      <c r="H6423" s="491" t="s">
        <v>410</v>
      </c>
      <c r="I6423" s="499" t="s">
        <v>296</v>
      </c>
      <c r="K6423" s="370"/>
      <c r="N6423" s="370"/>
    </row>
    <row r="6424" spans="1:14" s="347" customFormat="1" x14ac:dyDescent="0.25">
      <c r="A6424" s="495">
        <f t="shared" si="49"/>
        <v>44530</v>
      </c>
      <c r="B6424" s="496">
        <f t="shared" si="49"/>
        <v>11</v>
      </c>
      <c r="C6424" s="491">
        <v>223</v>
      </c>
      <c r="D6424" s="492" t="str">
        <f>VLOOKUP(C6424,Plan!A$1:B$65542,2,0)</f>
        <v>Ret. Hon.  e Impto. Unico Administración</v>
      </c>
      <c r="E6424" s="497">
        <f t="shared" si="48"/>
        <v>-13708</v>
      </c>
      <c r="F6424" s="493">
        <v>0</v>
      </c>
      <c r="G6424" s="502">
        <v>13708</v>
      </c>
      <c r="H6424" s="491" t="s">
        <v>410</v>
      </c>
      <c r="I6424" s="499" t="s">
        <v>296</v>
      </c>
      <c r="K6424" s="370"/>
      <c r="N6424" s="370"/>
    </row>
    <row r="6425" spans="1:14" s="347" customFormat="1" x14ac:dyDescent="0.25">
      <c r="A6425" s="369"/>
      <c r="E6425" s="396"/>
      <c r="F6425" s="396"/>
      <c r="G6425" s="396"/>
      <c r="K6425" s="370"/>
      <c r="N6425" s="370"/>
    </row>
    <row r="6426" spans="1:14" s="347" customFormat="1" x14ac:dyDescent="0.25">
      <c r="A6426" s="495">
        <f>+A6424</f>
        <v>44530</v>
      </c>
      <c r="B6426" s="496">
        <f>+MONTH(A6426)</f>
        <v>11</v>
      </c>
      <c r="C6426" s="491">
        <v>225</v>
      </c>
      <c r="D6426" s="492" t="str">
        <f>VLOOKUP(C6426,Plan!A$1:B$65542,2,0)</f>
        <v>Sueldos por Pagar</v>
      </c>
      <c r="E6426" s="497">
        <f>+F6426-G6426</f>
        <v>735000</v>
      </c>
      <c r="F6426" s="493">
        <v>735000</v>
      </c>
      <c r="G6426" s="501">
        <v>0</v>
      </c>
      <c r="H6426" s="491" t="s">
        <v>2071</v>
      </c>
      <c r="I6426" s="499" t="s">
        <v>296</v>
      </c>
      <c r="K6426" s="370"/>
      <c r="N6426" s="370"/>
    </row>
    <row r="6427" spans="1:14" s="347" customFormat="1" x14ac:dyDescent="0.25">
      <c r="A6427" s="495">
        <f>+A6426</f>
        <v>44530</v>
      </c>
      <c r="B6427" s="496">
        <f>+MONTH(A6427)</f>
        <v>11</v>
      </c>
      <c r="C6427" s="491">
        <v>110</v>
      </c>
      <c r="D6427" s="492" t="str">
        <f>VLOOKUP(C6427,Plan!A$1:B$65542,2,0)</f>
        <v>Disponible Administración</v>
      </c>
      <c r="E6427" s="497">
        <f>+F6427-G6427</f>
        <v>-735000</v>
      </c>
      <c r="F6427" s="493">
        <v>0</v>
      </c>
      <c r="G6427" s="502">
        <f>+F6426</f>
        <v>735000</v>
      </c>
      <c r="H6427" s="491" t="str">
        <f>+H6426</f>
        <v>Remuneraciones Pedro Rios Dempster</v>
      </c>
      <c r="I6427" s="499" t="s">
        <v>296</v>
      </c>
      <c r="K6427" s="370"/>
      <c r="N6427" s="370"/>
    </row>
    <row r="6428" spans="1:14" s="347" customFormat="1" x14ac:dyDescent="0.25">
      <c r="A6428" s="500"/>
      <c r="B6428" s="492"/>
      <c r="C6428" s="492"/>
      <c r="D6428" s="492"/>
      <c r="E6428" s="498"/>
      <c r="F6428" s="498"/>
      <c r="G6428" s="498"/>
      <c r="H6428" s="492"/>
      <c r="I6428" s="492"/>
      <c r="K6428" s="370"/>
      <c r="N6428" s="370"/>
    </row>
    <row r="6429" spans="1:14" s="347" customFormat="1" x14ac:dyDescent="0.25">
      <c r="A6429" s="495">
        <f>+A6427</f>
        <v>44530</v>
      </c>
      <c r="B6429" s="496">
        <f>+MONTH(A6429)</f>
        <v>11</v>
      </c>
      <c r="C6429" s="491">
        <v>225</v>
      </c>
      <c r="D6429" s="492" t="str">
        <f>VLOOKUP(C6429,Plan!A$1:B$65542,2,0)</f>
        <v>Sueldos por Pagar</v>
      </c>
      <c r="E6429" s="497">
        <f>+F6429-G6429</f>
        <v>778582</v>
      </c>
      <c r="F6429" s="493">
        <v>778582</v>
      </c>
      <c r="G6429" s="501">
        <v>0</v>
      </c>
      <c r="H6429" s="491" t="s">
        <v>2072</v>
      </c>
      <c r="I6429" s="499" t="s">
        <v>296</v>
      </c>
      <c r="K6429" s="370"/>
      <c r="N6429" s="370"/>
    </row>
    <row r="6430" spans="1:14" s="347" customFormat="1" x14ac:dyDescent="0.25">
      <c r="A6430" s="495">
        <f>+A6429</f>
        <v>44530</v>
      </c>
      <c r="B6430" s="496">
        <f>+MONTH(A6430)</f>
        <v>11</v>
      </c>
      <c r="C6430" s="491">
        <v>110</v>
      </c>
      <c r="D6430" s="492" t="str">
        <f>VLOOKUP(C6430,Plan!A$1:B$65542,2,0)</f>
        <v>Disponible Administración</v>
      </c>
      <c r="E6430" s="497">
        <f>+F6430-G6430</f>
        <v>-778582</v>
      </c>
      <c r="F6430" s="493">
        <v>0</v>
      </c>
      <c r="G6430" s="502">
        <f>+F6429</f>
        <v>778582</v>
      </c>
      <c r="H6430" s="491" t="str">
        <f>+H6429</f>
        <v>Remuneraciones Veronica Arriagada Soto</v>
      </c>
      <c r="I6430" s="499" t="s">
        <v>296</v>
      </c>
      <c r="K6430" s="370"/>
      <c r="N6430" s="370"/>
    </row>
    <row r="6431" spans="1:14" s="347" customFormat="1" x14ac:dyDescent="0.25">
      <c r="A6431" s="500"/>
      <c r="B6431" s="492"/>
      <c r="C6431" s="492"/>
      <c r="D6431" s="492"/>
      <c r="E6431" s="498"/>
      <c r="F6431" s="498"/>
      <c r="G6431" s="498"/>
      <c r="H6431" s="492"/>
      <c r="I6431" s="492"/>
      <c r="K6431" s="370"/>
      <c r="N6431" s="370"/>
    </row>
    <row r="6432" spans="1:14" s="347" customFormat="1" x14ac:dyDescent="0.25">
      <c r="A6432" s="495">
        <f>+A6429</f>
        <v>44530</v>
      </c>
      <c r="B6432" s="496">
        <f>+MONTH(A6432)</f>
        <v>11</v>
      </c>
      <c r="C6432" s="491">
        <v>225</v>
      </c>
      <c r="D6432" s="492" t="str">
        <f>VLOOKUP(C6432,Plan!A$1:B$65542,2,0)</f>
        <v>Sueldos por Pagar</v>
      </c>
      <c r="E6432" s="497">
        <f>+F6432-G6432</f>
        <v>513580</v>
      </c>
      <c r="F6432" s="493">
        <v>513580</v>
      </c>
      <c r="G6432" s="501">
        <v>0</v>
      </c>
      <c r="H6432" s="491" t="s">
        <v>2073</v>
      </c>
      <c r="I6432" s="499" t="s">
        <v>296</v>
      </c>
      <c r="K6432" s="370"/>
      <c r="N6432" s="370"/>
    </row>
    <row r="6433" spans="1:14" s="347" customFormat="1" x14ac:dyDescent="0.25">
      <c r="A6433" s="495">
        <f>+A6432</f>
        <v>44530</v>
      </c>
      <c r="B6433" s="496">
        <f>+MONTH(A6433)</f>
        <v>11</v>
      </c>
      <c r="C6433" s="491">
        <v>110</v>
      </c>
      <c r="D6433" s="492" t="str">
        <f>VLOOKUP(C6433,Plan!A$1:B$65542,2,0)</f>
        <v>Disponible Administración</v>
      </c>
      <c r="E6433" s="497">
        <f>+F6433-G6433</f>
        <v>-513580</v>
      </c>
      <c r="F6433" s="493">
        <v>0</v>
      </c>
      <c r="G6433" s="502">
        <f>+F6432</f>
        <v>513580</v>
      </c>
      <c r="H6433" s="491" t="str">
        <f>+H6432</f>
        <v>Remuneraciones M.de los Angeles Renasco Mandiola</v>
      </c>
      <c r="I6433" s="499" t="s">
        <v>296</v>
      </c>
      <c r="K6433" s="370"/>
      <c r="N6433" s="370"/>
    </row>
    <row r="6434" spans="1:14" s="347" customFormat="1" x14ac:dyDescent="0.25">
      <c r="A6434" s="500"/>
      <c r="B6434" s="492"/>
      <c r="C6434" s="492"/>
      <c r="D6434" s="492"/>
      <c r="E6434" s="498"/>
      <c r="F6434" s="498"/>
      <c r="G6434" s="498"/>
      <c r="H6434" s="492"/>
      <c r="I6434" s="492"/>
      <c r="K6434" s="370"/>
      <c r="N6434" s="370"/>
    </row>
    <row r="6435" spans="1:14" s="347" customFormat="1" x14ac:dyDescent="0.25">
      <c r="A6435" s="495">
        <f>+A6433</f>
        <v>44530</v>
      </c>
      <c r="B6435" s="496">
        <f>+MONTH(A6435)</f>
        <v>11</v>
      </c>
      <c r="C6435" s="491">
        <v>225</v>
      </c>
      <c r="D6435" s="492" t="str">
        <f>VLOOKUP(C6435,Plan!A$1:B$65542,2,0)</f>
        <v>Sueldos por Pagar</v>
      </c>
      <c r="E6435" s="497">
        <f>+F6435-G6435</f>
        <v>255863</v>
      </c>
      <c r="F6435" s="493">
        <v>255863</v>
      </c>
      <c r="G6435" s="501">
        <v>0</v>
      </c>
      <c r="H6435" s="491" t="s">
        <v>2070</v>
      </c>
      <c r="I6435" s="499" t="s">
        <v>296</v>
      </c>
      <c r="K6435" s="370"/>
      <c r="N6435" s="370"/>
    </row>
    <row r="6436" spans="1:14" s="347" customFormat="1" x14ac:dyDescent="0.25">
      <c r="A6436" s="495">
        <f>+A6435</f>
        <v>44530</v>
      </c>
      <c r="B6436" s="496">
        <f>+MONTH(A6436)</f>
        <v>11</v>
      </c>
      <c r="C6436" s="491">
        <v>110</v>
      </c>
      <c r="D6436" s="492" t="str">
        <f>VLOOKUP(C6436,Plan!A$1:B$65542,2,0)</f>
        <v>Disponible Administración</v>
      </c>
      <c r="E6436" s="497">
        <f>+F6436-G6436</f>
        <v>-255863</v>
      </c>
      <c r="F6436" s="493">
        <v>0</v>
      </c>
      <c r="G6436" s="502">
        <f>+F6435</f>
        <v>255863</v>
      </c>
      <c r="H6436" s="491" t="str">
        <f>+H6435</f>
        <v>Remuneraciones Katherinne Farias Cuevas</v>
      </c>
      <c r="I6436" s="499" t="s">
        <v>296</v>
      </c>
      <c r="K6436" s="370"/>
      <c r="N6436" s="370"/>
    </row>
    <row r="6437" spans="1:14" s="347" customFormat="1" x14ac:dyDescent="0.25">
      <c r="A6437" s="500"/>
      <c r="B6437" s="492"/>
      <c r="C6437" s="492"/>
      <c r="D6437" s="492"/>
      <c r="E6437" s="498"/>
      <c r="F6437" s="498"/>
      <c r="G6437" s="498"/>
      <c r="H6437" s="492"/>
      <c r="I6437" s="492"/>
      <c r="K6437" s="370"/>
      <c r="N6437" s="370"/>
    </row>
    <row r="6438" spans="1:14" s="347" customFormat="1" x14ac:dyDescent="0.25">
      <c r="A6438" s="495">
        <f>+A6436</f>
        <v>44530</v>
      </c>
      <c r="B6438" s="496">
        <f>+MONTH(A6438)</f>
        <v>11</v>
      </c>
      <c r="C6438" s="491">
        <v>225</v>
      </c>
      <c r="D6438" s="492" t="str">
        <f>VLOOKUP(C6438,Plan!A$1:B$65542,2,0)</f>
        <v>Sueldos por Pagar</v>
      </c>
      <c r="E6438" s="497">
        <f>+F6438-G6438</f>
        <v>1115289</v>
      </c>
      <c r="F6438" s="493">
        <v>1115289</v>
      </c>
      <c r="G6438" s="501">
        <v>0</v>
      </c>
      <c r="H6438" s="491" t="s">
        <v>2069</v>
      </c>
      <c r="I6438" s="499" t="s">
        <v>296</v>
      </c>
      <c r="K6438" s="370"/>
      <c r="N6438" s="370"/>
    </row>
    <row r="6439" spans="1:14" s="347" customFormat="1" x14ac:dyDescent="0.25">
      <c r="A6439" s="495">
        <f>+A6438</f>
        <v>44530</v>
      </c>
      <c r="B6439" s="496">
        <f>+MONTH(A6439)</f>
        <v>11</v>
      </c>
      <c r="C6439" s="491">
        <v>110</v>
      </c>
      <c r="D6439" s="492" t="str">
        <f>VLOOKUP(C6439,Plan!A$1:B$65542,2,0)</f>
        <v>Disponible Administración</v>
      </c>
      <c r="E6439" s="497">
        <f>+F6439-G6439</f>
        <v>-1115289</v>
      </c>
      <c r="F6439" s="493">
        <v>0</v>
      </c>
      <c r="G6439" s="502">
        <f>+F6438</f>
        <v>1115289</v>
      </c>
      <c r="H6439" s="491" t="str">
        <f>+H6438</f>
        <v>Remuneraciones Rafael Valdes Searle</v>
      </c>
      <c r="I6439" s="499" t="s">
        <v>296</v>
      </c>
      <c r="K6439" s="370"/>
      <c r="N6439" s="370"/>
    </row>
    <row r="6440" spans="1:14" s="347" customFormat="1" x14ac:dyDescent="0.25">
      <c r="A6440" s="369"/>
      <c r="E6440" s="396"/>
      <c r="F6440" s="396"/>
      <c r="G6440" s="396"/>
      <c r="K6440" s="370"/>
      <c r="N6440" s="370"/>
    </row>
    <row r="6441" spans="1:14" s="347" customFormat="1" x14ac:dyDescent="0.25">
      <c r="A6441" s="503">
        <v>44530</v>
      </c>
      <c r="B6441" s="504">
        <f>+MONTH(A6441)</f>
        <v>11</v>
      </c>
      <c r="C6441" s="505">
        <v>110</v>
      </c>
      <c r="D6441" s="504" t="str">
        <f>VLOOKUP(C6441,Plan!A$1:B$65542,2,0)</f>
        <v>Disponible Administración</v>
      </c>
      <c r="E6441" s="506">
        <f>+F6441-G6441</f>
        <v>64000</v>
      </c>
      <c r="F6441" s="508">
        <v>64000</v>
      </c>
      <c r="G6441" s="512">
        <v>0</v>
      </c>
      <c r="H6441" t="s">
        <v>2320</v>
      </c>
      <c r="I6441" s="507" t="s">
        <v>296</v>
      </c>
      <c r="K6441" s="370"/>
      <c r="N6441" s="370"/>
    </row>
    <row r="6442" spans="1:14" s="347" customFormat="1" x14ac:dyDescent="0.25">
      <c r="A6442" s="503">
        <f>+A6441</f>
        <v>44530</v>
      </c>
      <c r="B6442" s="504">
        <f>+MONTH(A6442)</f>
        <v>11</v>
      </c>
      <c r="C6442" s="505">
        <v>3453</v>
      </c>
      <c r="D6442" s="504" t="str">
        <f>VLOOKUP(C6442,Plan!A$1:B$65542,2,0)</f>
        <v>Cajas de navidad</v>
      </c>
      <c r="E6442" s="506">
        <f>+F6442-G6442</f>
        <v>-64000</v>
      </c>
      <c r="F6442" s="508">
        <v>0</v>
      </c>
      <c r="G6442" s="512">
        <f>+F6441</f>
        <v>64000</v>
      </c>
      <c r="H6442" s="338" t="str">
        <f>+H6441</f>
        <v>Caja Navidad Ingrid Zaghira</v>
      </c>
      <c r="I6442" s="507" t="s">
        <v>296</v>
      </c>
      <c r="K6442" s="370"/>
      <c r="N6442" s="370"/>
    </row>
    <row r="6443" spans="1:14" s="347" customFormat="1" x14ac:dyDescent="0.25">
      <c r="A6443" s="369"/>
      <c r="E6443" s="396"/>
      <c r="F6443" s="396"/>
      <c r="G6443" s="396"/>
      <c r="K6443" s="370"/>
      <c r="N6443" s="370"/>
    </row>
    <row r="6444" spans="1:14" s="347" customFormat="1" x14ac:dyDescent="0.25">
      <c r="A6444" s="503">
        <v>44530</v>
      </c>
      <c r="B6444" s="504">
        <f>+MONTH(A6444)</f>
        <v>11</v>
      </c>
      <c r="C6444" s="505">
        <v>110</v>
      </c>
      <c r="D6444" s="504" t="str">
        <f>VLOOKUP(C6444,Plan!A$1:B$65542,2,0)</f>
        <v>Disponible Administración</v>
      </c>
      <c r="E6444" s="506">
        <f>+F6444-G6444</f>
        <v>64000</v>
      </c>
      <c r="F6444" s="508">
        <v>64000</v>
      </c>
      <c r="G6444" s="512">
        <v>0</v>
      </c>
      <c r="H6444" t="s">
        <v>2321</v>
      </c>
      <c r="I6444" s="507" t="s">
        <v>296</v>
      </c>
      <c r="K6444" s="370"/>
      <c r="N6444" s="370"/>
    </row>
    <row r="6445" spans="1:14" s="347" customFormat="1" x14ac:dyDescent="0.25">
      <c r="A6445" s="503">
        <f>+A6444</f>
        <v>44530</v>
      </c>
      <c r="B6445" s="504">
        <f>+MONTH(A6445)</f>
        <v>11</v>
      </c>
      <c r="C6445" s="505">
        <v>3453</v>
      </c>
      <c r="D6445" s="504" t="str">
        <f>VLOOKUP(C6445,Plan!A$1:B$65542,2,0)</f>
        <v>Cajas de navidad</v>
      </c>
      <c r="E6445" s="506">
        <f>+F6445-G6445</f>
        <v>-64000</v>
      </c>
      <c r="F6445" s="508">
        <v>0</v>
      </c>
      <c r="G6445" s="512">
        <f>+F6444</f>
        <v>64000</v>
      </c>
      <c r="H6445" s="338" t="str">
        <f>+H6444</f>
        <v>Caja Navidad Maria Cristina Ide</v>
      </c>
      <c r="I6445" s="507" t="s">
        <v>296</v>
      </c>
      <c r="K6445" s="370"/>
      <c r="N6445" s="370"/>
    </row>
    <row r="6446" spans="1:14" s="347" customFormat="1" x14ac:dyDescent="0.25">
      <c r="A6446" s="369"/>
      <c r="E6446" s="396"/>
      <c r="F6446" s="396"/>
      <c r="G6446" s="396"/>
      <c r="K6446" s="370"/>
      <c r="N6446" s="370"/>
    </row>
    <row r="6447" spans="1:14" s="347" customFormat="1" x14ac:dyDescent="0.25">
      <c r="A6447" s="503">
        <v>44530</v>
      </c>
      <c r="B6447" s="504">
        <f>+MONTH(A6447)</f>
        <v>11</v>
      </c>
      <c r="C6447" s="505">
        <v>110</v>
      </c>
      <c r="D6447" s="504" t="str">
        <f>VLOOKUP(C6447,Plan!A$1:B$65542,2,0)</f>
        <v>Disponible Administración</v>
      </c>
      <c r="E6447" s="506">
        <f>+F6447-G6447</f>
        <v>50000</v>
      </c>
      <c r="F6447" s="508">
        <v>50000</v>
      </c>
      <c r="G6447" s="512">
        <v>0</v>
      </c>
      <c r="H6447" t="s">
        <v>960</v>
      </c>
      <c r="I6447" s="507" t="s">
        <v>296</v>
      </c>
      <c r="K6447" s="370"/>
      <c r="N6447" s="370"/>
    </row>
    <row r="6448" spans="1:14" s="347" customFormat="1" x14ac:dyDescent="0.25">
      <c r="A6448" s="503">
        <f>+A6447</f>
        <v>44530</v>
      </c>
      <c r="B6448" s="504">
        <f>+MONTH(A6448)</f>
        <v>11</v>
      </c>
      <c r="C6448" s="505">
        <v>3110</v>
      </c>
      <c r="D6448" s="504" t="str">
        <f>VLOOKUP(C6448,Plan!A$1:B$65542,2,0)</f>
        <v>Colectas Normales</v>
      </c>
      <c r="E6448" s="506">
        <f>+F6448-G6448</f>
        <v>-50000</v>
      </c>
      <c r="F6448" s="508">
        <v>0</v>
      </c>
      <c r="G6448" s="512">
        <f>+F6447</f>
        <v>50000</v>
      </c>
      <c r="H6448" s="338" t="str">
        <f>+H6447</f>
        <v>Colecta Ximena Garcia</v>
      </c>
      <c r="I6448" s="507" t="s">
        <v>296</v>
      </c>
      <c r="K6448" s="370"/>
      <c r="N6448" s="370"/>
    </row>
    <row r="6449" spans="1:14" s="347" customFormat="1" x14ac:dyDescent="0.25">
      <c r="A6449" s="369"/>
      <c r="E6449" s="396"/>
      <c r="F6449" s="396"/>
      <c r="G6449" s="396"/>
      <c r="K6449" s="370"/>
      <c r="N6449" s="370"/>
    </row>
    <row r="6450" spans="1:14" s="347" customFormat="1" x14ac:dyDescent="0.25">
      <c r="A6450" s="503">
        <v>44530</v>
      </c>
      <c r="B6450" s="504">
        <f>+MONTH(A6450)</f>
        <v>11</v>
      </c>
      <c r="C6450" s="505">
        <v>110</v>
      </c>
      <c r="D6450" s="504" t="str">
        <f>VLOOKUP(C6450,Plan!A$1:B$65542,2,0)</f>
        <v>Disponible Administración</v>
      </c>
      <c r="E6450" s="506">
        <f>+F6450-G6450</f>
        <v>15000</v>
      </c>
      <c r="F6450" s="508">
        <v>15000</v>
      </c>
      <c r="G6450" s="512">
        <v>0</v>
      </c>
      <c r="H6450" t="s">
        <v>2117</v>
      </c>
      <c r="I6450" s="507" t="s">
        <v>296</v>
      </c>
      <c r="K6450" s="370"/>
      <c r="N6450" s="370"/>
    </row>
    <row r="6451" spans="1:14" s="347" customFormat="1" x14ac:dyDescent="0.25">
      <c r="A6451" s="503">
        <f>+A6450</f>
        <v>44530</v>
      </c>
      <c r="B6451" s="504">
        <f>+MONTH(A6451)</f>
        <v>11</v>
      </c>
      <c r="C6451" s="505">
        <v>3110</v>
      </c>
      <c r="D6451" s="504" t="str">
        <f>VLOOKUP(C6451,Plan!A$1:B$65542,2,0)</f>
        <v>Colectas Normales</v>
      </c>
      <c r="E6451" s="506">
        <f>+F6451-G6451</f>
        <v>-15000</v>
      </c>
      <c r="F6451" s="508">
        <v>0</v>
      </c>
      <c r="G6451" s="512">
        <f>+F6450</f>
        <v>15000</v>
      </c>
      <c r="H6451" s="338" t="str">
        <f>+H6450</f>
        <v>Colecta Maria Car Rios Ramirez</v>
      </c>
      <c r="I6451" s="507" t="s">
        <v>296</v>
      </c>
      <c r="K6451" s="370"/>
      <c r="N6451" s="370"/>
    </row>
    <row r="6452" spans="1:14" s="347" customFormat="1" x14ac:dyDescent="0.25">
      <c r="A6452" s="369"/>
      <c r="E6452" s="396"/>
      <c r="F6452" s="396"/>
      <c r="G6452" s="396"/>
      <c r="K6452" s="370"/>
      <c r="N6452" s="370"/>
    </row>
    <row r="6453" spans="1:14" s="347" customFormat="1" x14ac:dyDescent="0.25">
      <c r="A6453" s="503">
        <v>44530</v>
      </c>
      <c r="B6453" s="504">
        <f>+MONTH(A6453)</f>
        <v>11</v>
      </c>
      <c r="C6453" s="505">
        <v>110</v>
      </c>
      <c r="D6453" s="504" t="str">
        <f>VLOOKUP(C6453,Plan!A$1:B$65542,2,0)</f>
        <v>Disponible Administración</v>
      </c>
      <c r="E6453" s="506">
        <f>+F6453-G6453</f>
        <v>40000</v>
      </c>
      <c r="F6453" s="508">
        <v>40000</v>
      </c>
      <c r="G6453" s="512">
        <v>0</v>
      </c>
      <c r="H6453" t="s">
        <v>1631</v>
      </c>
      <c r="I6453" s="507" t="s">
        <v>296</v>
      </c>
      <c r="K6453" s="370"/>
      <c r="N6453" s="370"/>
    </row>
    <row r="6454" spans="1:14" s="347" customFormat="1" x14ac:dyDescent="0.25">
      <c r="A6454" s="503">
        <f>+A6453</f>
        <v>44530</v>
      </c>
      <c r="B6454" s="504">
        <f>+MONTH(A6454)</f>
        <v>11</v>
      </c>
      <c r="C6454" s="505">
        <v>215</v>
      </c>
      <c r="D6454" s="504" t="str">
        <f>VLOOKUP(C6454,Plan!A$1:B$65542,2,0)</f>
        <v>Cuenta por Pagar a Cali</v>
      </c>
      <c r="E6454" s="506">
        <f>+F6454-G6454</f>
        <v>-40000</v>
      </c>
      <c r="F6454" s="508">
        <v>0</v>
      </c>
      <c r="G6454" s="512">
        <f>+F6453</f>
        <v>40000</v>
      </c>
      <c r="H6454" s="338" t="str">
        <f>+H6453</f>
        <v>Eduardo Castro de la Barra / 249</v>
      </c>
      <c r="I6454" s="507" t="s">
        <v>296</v>
      </c>
      <c r="K6454" s="370"/>
      <c r="N6454" s="370"/>
    </row>
    <row r="6455" spans="1:14" s="347" customFormat="1" x14ac:dyDescent="0.25">
      <c r="A6455" s="369"/>
      <c r="E6455" s="396"/>
      <c r="F6455" s="396"/>
      <c r="G6455" s="396"/>
      <c r="K6455" s="370"/>
      <c r="N6455" s="370"/>
    </row>
    <row r="6456" spans="1:14" s="347" customFormat="1" x14ac:dyDescent="0.25">
      <c r="A6456" s="503">
        <v>44530</v>
      </c>
      <c r="B6456" s="504">
        <f>+MONTH(A6456)</f>
        <v>11</v>
      </c>
      <c r="C6456" s="505">
        <v>110</v>
      </c>
      <c r="D6456" s="504" t="str">
        <f>VLOOKUP(C6456,Plan!A$1:B$65542,2,0)</f>
        <v>Disponible Administración</v>
      </c>
      <c r="E6456" s="506">
        <f>+F6456-G6456</f>
        <v>865977</v>
      </c>
      <c r="F6456" s="508">
        <v>865977</v>
      </c>
      <c r="G6456" s="512">
        <v>0</v>
      </c>
      <c r="H6456" t="s">
        <v>2218</v>
      </c>
      <c r="I6456" s="507" t="s">
        <v>296</v>
      </c>
      <c r="K6456" s="370"/>
      <c r="N6456" s="370"/>
    </row>
    <row r="6457" spans="1:14" s="347" customFormat="1" x14ac:dyDescent="0.25">
      <c r="A6457" s="503">
        <f>+A6456</f>
        <v>44530</v>
      </c>
      <c r="B6457" s="504">
        <f>+MONTH(A6457)</f>
        <v>11</v>
      </c>
      <c r="C6457" s="505">
        <v>3453</v>
      </c>
      <c r="D6457" s="504" t="str">
        <f>VLOOKUP(C6457,Plan!A$1:B$65542,2,0)</f>
        <v>Cajas de navidad</v>
      </c>
      <c r="E6457" s="506">
        <f>+F6457-G6457</f>
        <v>-865977</v>
      </c>
      <c r="F6457" s="508">
        <v>0</v>
      </c>
      <c r="G6457" s="512">
        <f>+F6456</f>
        <v>865977</v>
      </c>
      <c r="H6457" s="338" t="str">
        <f>+H6456</f>
        <v>Caja Navidad POS</v>
      </c>
      <c r="I6457" s="507" t="s">
        <v>296</v>
      </c>
      <c r="K6457" s="370"/>
      <c r="N6457" s="370"/>
    </row>
    <row r="6458" spans="1:14" s="347" customFormat="1" x14ac:dyDescent="0.25">
      <c r="A6458" s="369"/>
      <c r="E6458" s="396"/>
      <c r="F6458" s="396"/>
      <c r="G6458" s="396"/>
      <c r="K6458" s="370"/>
      <c r="N6458" s="370"/>
    </row>
    <row r="6459" spans="1:14" s="347" customFormat="1" x14ac:dyDescent="0.25">
      <c r="A6459" s="503">
        <v>44530</v>
      </c>
      <c r="B6459" s="504">
        <f>+MONTH(A6459)</f>
        <v>11</v>
      </c>
      <c r="C6459" s="505">
        <v>110</v>
      </c>
      <c r="D6459" s="504" t="str">
        <f>VLOOKUP(C6459,Plan!A$1:B$65542,2,0)</f>
        <v>Disponible Administración</v>
      </c>
      <c r="E6459" s="506">
        <f>+F6459-G6459</f>
        <v>96794</v>
      </c>
      <c r="F6459" s="508">
        <v>96794</v>
      </c>
      <c r="G6459" s="512">
        <v>0</v>
      </c>
      <c r="H6459" t="s">
        <v>1934</v>
      </c>
      <c r="I6459" s="507" t="s">
        <v>296</v>
      </c>
      <c r="K6459" s="370"/>
      <c r="N6459" s="370"/>
    </row>
    <row r="6460" spans="1:14" s="347" customFormat="1" x14ac:dyDescent="0.25">
      <c r="A6460" s="503">
        <f>+A6459</f>
        <v>44530</v>
      </c>
      <c r="B6460" s="504">
        <f>+MONTH(A6460)</f>
        <v>11</v>
      </c>
      <c r="C6460" s="505">
        <v>3110</v>
      </c>
      <c r="D6460" s="504" t="str">
        <f>VLOOKUP(C6460,Plan!A$1:B$65542,2,0)</f>
        <v>Colectas Normales</v>
      </c>
      <c r="E6460" s="506">
        <f>+F6460-G6460</f>
        <v>-96794</v>
      </c>
      <c r="F6460" s="508">
        <v>0</v>
      </c>
      <c r="G6460" s="512">
        <f>+F6459</f>
        <v>96794</v>
      </c>
      <c r="H6460" s="338" t="str">
        <f>+H6459</f>
        <v>Colecta POS</v>
      </c>
      <c r="I6460" s="507" t="s">
        <v>296</v>
      </c>
      <c r="K6460" s="370"/>
      <c r="N6460" s="370"/>
    </row>
    <row r="6461" spans="1:14" s="347" customFormat="1" x14ac:dyDescent="0.25">
      <c r="A6461" s="369"/>
      <c r="E6461" s="396"/>
      <c r="F6461" s="396"/>
      <c r="G6461" s="396"/>
      <c r="K6461" s="370"/>
      <c r="N6461" s="370"/>
    </row>
    <row r="6462" spans="1:14" s="347" customFormat="1" x14ac:dyDescent="0.25">
      <c r="A6462" s="503">
        <v>44530</v>
      </c>
      <c r="B6462" s="504">
        <f>+MONTH(A6462)</f>
        <v>11</v>
      </c>
      <c r="C6462" s="505">
        <v>110</v>
      </c>
      <c r="D6462" s="504" t="str">
        <f>VLOOKUP(C6462,Plan!A$1:B$65542,2,0)</f>
        <v>Disponible Administración</v>
      </c>
      <c r="E6462" s="506">
        <f>+F6462-G6462</f>
        <v>20000</v>
      </c>
      <c r="F6462" s="508">
        <v>20000</v>
      </c>
      <c r="G6462" s="512">
        <v>0</v>
      </c>
      <c r="H6462" t="s">
        <v>961</v>
      </c>
      <c r="I6462" s="507" t="s">
        <v>296</v>
      </c>
      <c r="K6462" s="370"/>
      <c r="N6462" s="370"/>
    </row>
    <row r="6463" spans="1:14" s="347" customFormat="1" x14ac:dyDescent="0.25">
      <c r="A6463" s="503">
        <f>+A6462</f>
        <v>44530</v>
      </c>
      <c r="B6463" s="504">
        <f>+MONTH(A6463)</f>
        <v>11</v>
      </c>
      <c r="C6463" s="505">
        <v>3110</v>
      </c>
      <c r="D6463" s="504" t="str">
        <f>VLOOKUP(C6463,Plan!A$1:B$65542,2,0)</f>
        <v>Colectas Normales</v>
      </c>
      <c r="E6463" s="506">
        <f>+F6463-G6463</f>
        <v>-20000</v>
      </c>
      <c r="F6463" s="508">
        <v>0</v>
      </c>
      <c r="G6463" s="512">
        <f>+F6462</f>
        <v>20000</v>
      </c>
      <c r="H6463" s="338" t="str">
        <f>+H6462</f>
        <v>Colecta Jose Luis Bustamante G</v>
      </c>
      <c r="I6463" s="507" t="s">
        <v>296</v>
      </c>
      <c r="K6463" s="370"/>
      <c r="N6463" s="370"/>
    </row>
    <row r="6464" spans="1:14" s="347" customFormat="1" x14ac:dyDescent="0.25">
      <c r="A6464" s="369"/>
      <c r="E6464" s="396"/>
      <c r="F6464" s="396"/>
      <c r="G6464" s="396"/>
      <c r="K6464" s="370"/>
      <c r="N6464" s="370"/>
    </row>
    <row r="6465" spans="1:16" s="347" customFormat="1" x14ac:dyDescent="0.25">
      <c r="A6465" s="503">
        <v>44530</v>
      </c>
      <c r="B6465" s="504">
        <f>+MONTH(A6465)</f>
        <v>11</v>
      </c>
      <c r="C6465" s="505">
        <v>110</v>
      </c>
      <c r="D6465" s="504" t="str">
        <f>VLOOKUP(C6465,Plan!A$1:B$65542,2,0)</f>
        <v>Disponible Administración</v>
      </c>
      <c r="E6465" s="506">
        <f>+F6465-G6465</f>
        <v>20000</v>
      </c>
      <c r="F6465" s="508">
        <v>20000</v>
      </c>
      <c r="G6465" s="512">
        <v>0</v>
      </c>
      <c r="H6465" t="s">
        <v>2322</v>
      </c>
      <c r="I6465" s="507" t="s">
        <v>296</v>
      </c>
      <c r="K6465" s="370"/>
      <c r="N6465" s="370"/>
    </row>
    <row r="6466" spans="1:16" s="347" customFormat="1" x14ac:dyDescent="0.25">
      <c r="A6466" s="503">
        <f>+A6465</f>
        <v>44530</v>
      </c>
      <c r="B6466" s="504">
        <f>+MONTH(A6466)</f>
        <v>11</v>
      </c>
      <c r="C6466" s="505">
        <v>3110</v>
      </c>
      <c r="D6466" s="504" t="str">
        <f>VLOOKUP(C6466,Plan!A$1:B$65542,2,0)</f>
        <v>Colectas Normales</v>
      </c>
      <c r="E6466" s="506">
        <f>+F6466-G6466</f>
        <v>-20000</v>
      </c>
      <c r="F6466" s="508">
        <v>0</v>
      </c>
      <c r="G6466" s="512">
        <f>+F6465</f>
        <v>20000</v>
      </c>
      <c r="H6466" s="338" t="str">
        <f>+H6465</f>
        <v>Bautizo Magdalena Brahn Smart</v>
      </c>
      <c r="I6466" s="507" t="s">
        <v>296</v>
      </c>
      <c r="K6466" s="370"/>
      <c r="N6466" s="370"/>
    </row>
    <row r="6467" spans="1:16" s="347" customFormat="1" x14ac:dyDescent="0.25">
      <c r="A6467" s="369"/>
      <c r="E6467" s="396"/>
      <c r="F6467" s="396"/>
      <c r="G6467" s="396"/>
      <c r="K6467" s="370"/>
      <c r="N6467" s="370"/>
    </row>
    <row r="6468" spans="1:16" s="347" customFormat="1" x14ac:dyDescent="0.25">
      <c r="A6468" s="503">
        <v>44530</v>
      </c>
      <c r="B6468" s="504">
        <f>+MONTH(A6468)</f>
        <v>11</v>
      </c>
      <c r="C6468" s="505">
        <v>110</v>
      </c>
      <c r="D6468" s="504" t="str">
        <f>VLOOKUP(C6468,Plan!A$1:B$65542,2,0)</f>
        <v>Disponible Administración</v>
      </c>
      <c r="E6468" s="506">
        <f>+F6468-G6468</f>
        <v>30000</v>
      </c>
      <c r="F6468" s="508">
        <v>30000</v>
      </c>
      <c r="G6468" s="512">
        <v>0</v>
      </c>
      <c r="H6468" t="s">
        <v>903</v>
      </c>
      <c r="I6468" s="507" t="s">
        <v>296</v>
      </c>
      <c r="K6468" s="370"/>
      <c r="N6468" s="370"/>
    </row>
    <row r="6469" spans="1:16" s="347" customFormat="1" x14ac:dyDescent="0.25">
      <c r="A6469" s="503">
        <f>+A6468</f>
        <v>44530</v>
      </c>
      <c r="B6469" s="504">
        <f>+MONTH(A6469)</f>
        <v>11</v>
      </c>
      <c r="C6469" s="505">
        <v>3110</v>
      </c>
      <c r="D6469" s="504" t="str">
        <f>VLOOKUP(C6469,Plan!A$1:B$65542,2,0)</f>
        <v>Colectas Normales</v>
      </c>
      <c r="E6469" s="506">
        <f>+F6469-G6469</f>
        <v>-30000</v>
      </c>
      <c r="F6469" s="508">
        <v>0</v>
      </c>
      <c r="G6469" s="512">
        <f>+F6468</f>
        <v>30000</v>
      </c>
      <c r="H6469" s="338" t="str">
        <f>+H6468</f>
        <v>Colecta Jose Miguel Carafi</v>
      </c>
      <c r="I6469" s="507" t="s">
        <v>296</v>
      </c>
      <c r="K6469" s="370"/>
      <c r="N6469" s="370"/>
    </row>
    <row r="6470" spans="1:16" s="347" customFormat="1" x14ac:dyDescent="0.25">
      <c r="A6470" s="369"/>
      <c r="E6470" s="396"/>
      <c r="F6470" s="396"/>
      <c r="G6470" s="396"/>
      <c r="K6470" s="370"/>
      <c r="N6470" s="370"/>
    </row>
    <row r="6471" spans="1:16" s="347" customFormat="1" x14ac:dyDescent="0.25">
      <c r="A6471" s="503">
        <v>44530</v>
      </c>
      <c r="B6471" s="504">
        <f>+MONTH(A6471)</f>
        <v>11</v>
      </c>
      <c r="C6471" s="505">
        <v>215</v>
      </c>
      <c r="D6471" s="504" t="str">
        <f>VLOOKUP(C6471,Plan!A$1:B$65542,2,0)</f>
        <v>Cuenta por Pagar a Cali</v>
      </c>
      <c r="E6471" s="506">
        <f>+F6471-G6471</f>
        <v>64000</v>
      </c>
      <c r="F6471" s="508">
        <v>64000</v>
      </c>
      <c r="G6471" s="512">
        <v>0</v>
      </c>
      <c r="H6471" t="s">
        <v>2334</v>
      </c>
      <c r="I6471" s="507" t="s">
        <v>296</v>
      </c>
      <c r="K6471" s="370"/>
      <c r="N6471" s="370"/>
      <c r="O6471"/>
      <c r="P6471" s="264"/>
    </row>
    <row r="6472" spans="1:16" s="347" customFormat="1" x14ac:dyDescent="0.25">
      <c r="A6472" s="503">
        <v>44530</v>
      </c>
      <c r="B6472" s="504">
        <f t="shared" ref="B6472:B6487" si="50">+MONTH(A6472)</f>
        <v>11</v>
      </c>
      <c r="C6472" s="505">
        <v>215</v>
      </c>
      <c r="D6472" s="504" t="str">
        <f>VLOOKUP(C6472,Plan!A$1:B$65542,2,0)</f>
        <v>Cuenta por Pagar a Cali</v>
      </c>
      <c r="E6472" s="506">
        <f t="shared" ref="E6472:E6478" si="51">+F6472-G6472</f>
        <v>65967</v>
      </c>
      <c r="F6472" s="508">
        <v>65967</v>
      </c>
      <c r="G6472" s="512">
        <v>0</v>
      </c>
      <c r="H6472" t="s">
        <v>2271</v>
      </c>
      <c r="I6472" s="507" t="s">
        <v>296</v>
      </c>
      <c r="K6472" s="370"/>
      <c r="N6472" s="370"/>
      <c r="O6472"/>
      <c r="P6472" s="264"/>
    </row>
    <row r="6473" spans="1:16" s="347" customFormat="1" x14ac:dyDescent="0.25">
      <c r="A6473" s="503">
        <v>44530</v>
      </c>
      <c r="B6473" s="504">
        <f t="shared" si="50"/>
        <v>11</v>
      </c>
      <c r="C6473" s="505">
        <v>215</v>
      </c>
      <c r="D6473" s="504" t="str">
        <f>VLOOKUP(C6473,Plan!A$1:B$65542,2,0)</f>
        <v>Cuenta por Pagar a Cali</v>
      </c>
      <c r="E6473" s="506">
        <f t="shared" si="51"/>
        <v>94229</v>
      </c>
      <c r="F6473" s="508">
        <v>94229</v>
      </c>
      <c r="G6473" s="512">
        <v>0</v>
      </c>
      <c r="H6473" t="s">
        <v>2218</v>
      </c>
      <c r="I6473" s="507" t="s">
        <v>296</v>
      </c>
      <c r="K6473" s="370"/>
      <c r="N6473" s="370"/>
      <c r="O6473"/>
      <c r="P6473" s="264"/>
    </row>
    <row r="6474" spans="1:16" s="347" customFormat="1" x14ac:dyDescent="0.25">
      <c r="A6474" s="503">
        <v>44530</v>
      </c>
      <c r="B6474" s="504">
        <f t="shared" si="50"/>
        <v>11</v>
      </c>
      <c r="C6474" s="505">
        <v>215</v>
      </c>
      <c r="D6474" s="504" t="str">
        <f>VLOOKUP(C6474,Plan!A$1:B$65542,2,0)</f>
        <v>Cuenta por Pagar a Cali</v>
      </c>
      <c r="E6474" s="506">
        <f t="shared" si="51"/>
        <v>64000</v>
      </c>
      <c r="F6474" s="508">
        <v>64000</v>
      </c>
      <c r="G6474" s="512">
        <v>0</v>
      </c>
      <c r="H6474" t="s">
        <v>2339</v>
      </c>
      <c r="I6474" s="507" t="s">
        <v>296</v>
      </c>
      <c r="K6474" s="370"/>
      <c r="N6474" s="370"/>
      <c r="O6474"/>
      <c r="P6474" s="264"/>
    </row>
    <row r="6475" spans="1:16" s="347" customFormat="1" x14ac:dyDescent="0.25">
      <c r="A6475" s="503">
        <v>44530</v>
      </c>
      <c r="B6475" s="504">
        <f t="shared" si="50"/>
        <v>11</v>
      </c>
      <c r="C6475" s="505">
        <v>3453</v>
      </c>
      <c r="D6475" s="504" t="str">
        <f>VLOOKUP(C6475,Plan!A$1:B$65542,2,0)</f>
        <v>Cajas de navidad</v>
      </c>
      <c r="E6475" s="506">
        <f t="shared" si="51"/>
        <v>-64000</v>
      </c>
      <c r="F6475" s="508">
        <v>0</v>
      </c>
      <c r="G6475" s="512">
        <v>64000</v>
      </c>
      <c r="H6475" t="s">
        <v>2334</v>
      </c>
      <c r="I6475" s="507" t="s">
        <v>296</v>
      </c>
      <c r="K6475" s="370"/>
      <c r="N6475" s="370"/>
    </row>
    <row r="6476" spans="1:16" s="347" customFormat="1" x14ac:dyDescent="0.25">
      <c r="A6476" s="503">
        <v>44530</v>
      </c>
      <c r="B6476" s="504">
        <f t="shared" si="50"/>
        <v>11</v>
      </c>
      <c r="C6476" s="505">
        <v>3453</v>
      </c>
      <c r="D6476" s="504" t="str">
        <f>VLOOKUP(C6476,Plan!A$1:B$65542,2,0)</f>
        <v>Cajas de navidad</v>
      </c>
      <c r="E6476" s="506">
        <f t="shared" si="51"/>
        <v>-65967</v>
      </c>
      <c r="F6476" s="508">
        <v>0</v>
      </c>
      <c r="G6476" s="512">
        <v>65967</v>
      </c>
      <c r="H6476" t="s">
        <v>2271</v>
      </c>
      <c r="I6476" s="507" t="s">
        <v>296</v>
      </c>
      <c r="K6476" s="370"/>
      <c r="N6476" s="370"/>
    </row>
    <row r="6477" spans="1:16" s="347" customFormat="1" x14ac:dyDescent="0.25">
      <c r="A6477" s="503">
        <v>44530</v>
      </c>
      <c r="B6477" s="504">
        <f t="shared" si="50"/>
        <v>11</v>
      </c>
      <c r="C6477" s="505">
        <v>3453</v>
      </c>
      <c r="D6477" s="504" t="str">
        <f>VLOOKUP(C6477,Plan!A$1:B$65542,2,0)</f>
        <v>Cajas de navidad</v>
      </c>
      <c r="E6477" s="506">
        <f t="shared" si="51"/>
        <v>-94229</v>
      </c>
      <c r="F6477" s="508">
        <v>0</v>
      </c>
      <c r="G6477" s="512">
        <v>94229</v>
      </c>
      <c r="H6477" t="s">
        <v>2218</v>
      </c>
      <c r="I6477" s="507" t="s">
        <v>296</v>
      </c>
      <c r="K6477" s="370"/>
      <c r="N6477" s="370"/>
    </row>
    <row r="6478" spans="1:16" s="347" customFormat="1" x14ac:dyDescent="0.25">
      <c r="A6478" s="503">
        <v>44530</v>
      </c>
      <c r="B6478" s="504">
        <f t="shared" si="50"/>
        <v>11</v>
      </c>
      <c r="C6478" s="505">
        <v>3453</v>
      </c>
      <c r="D6478" s="504" t="str">
        <f>VLOOKUP(C6478,Plan!A$1:B$65542,2,0)</f>
        <v>Cajas de navidad</v>
      </c>
      <c r="E6478" s="506">
        <f t="shared" si="51"/>
        <v>-64000</v>
      </c>
      <c r="F6478" s="508">
        <v>0</v>
      </c>
      <c r="G6478" s="512">
        <v>64000</v>
      </c>
      <c r="H6478" t="s">
        <v>2339</v>
      </c>
      <c r="I6478" s="507" t="s">
        <v>296</v>
      </c>
      <c r="K6478" s="370"/>
      <c r="N6478" s="370"/>
    </row>
    <row r="6479" spans="1:16" s="347" customFormat="1" x14ac:dyDescent="0.25">
      <c r="A6479" s="369"/>
      <c r="E6479" s="396"/>
      <c r="F6479" s="396"/>
      <c r="G6479" s="396"/>
      <c r="K6479" s="370"/>
      <c r="N6479" s="370"/>
    </row>
    <row r="6480" spans="1:16" s="347" customFormat="1" x14ac:dyDescent="0.25">
      <c r="A6480" s="503">
        <v>44530</v>
      </c>
      <c r="B6480" s="504">
        <f t="shared" si="50"/>
        <v>11</v>
      </c>
      <c r="C6480" s="505">
        <v>215</v>
      </c>
      <c r="D6480" s="504" t="str">
        <f>VLOOKUP(C6480,Plan!A$1:B$65542,2,0)</f>
        <v>Cuenta por Pagar a Cali</v>
      </c>
      <c r="E6480" s="506">
        <f t="shared" ref="E6480:E6485" si="52">+F6480-G6480</f>
        <v>15000</v>
      </c>
      <c r="F6480" s="508">
        <v>15000</v>
      </c>
      <c r="G6480" s="512">
        <v>0</v>
      </c>
      <c r="H6480" t="s">
        <v>982</v>
      </c>
      <c r="I6480" s="507" t="s">
        <v>296</v>
      </c>
      <c r="K6480" s="370"/>
      <c r="N6480" s="370"/>
    </row>
    <row r="6481" spans="1:16" s="347" customFormat="1" x14ac:dyDescent="0.25">
      <c r="A6481" s="503">
        <v>44530</v>
      </c>
      <c r="B6481" s="504">
        <f t="shared" si="50"/>
        <v>11</v>
      </c>
      <c r="C6481" s="505">
        <v>215</v>
      </c>
      <c r="D6481" s="504" t="str">
        <f>VLOOKUP(C6481,Plan!A$1:B$65542,2,0)</f>
        <v>Cuenta por Pagar a Cali</v>
      </c>
      <c r="E6481" s="506">
        <f t="shared" si="52"/>
        <v>6000</v>
      </c>
      <c r="F6481" s="508">
        <v>6000</v>
      </c>
      <c r="G6481" s="512">
        <v>0</v>
      </c>
      <c r="H6481" t="s">
        <v>1010</v>
      </c>
      <c r="I6481" s="507" t="s">
        <v>296</v>
      </c>
      <c r="K6481" s="370"/>
      <c r="N6481" s="370"/>
    </row>
    <row r="6482" spans="1:16" s="347" customFormat="1" x14ac:dyDescent="0.25">
      <c r="A6482" s="503">
        <v>44530</v>
      </c>
      <c r="B6482" s="504">
        <f t="shared" si="50"/>
        <v>11</v>
      </c>
      <c r="C6482" s="505">
        <v>215</v>
      </c>
      <c r="D6482" s="504" t="str">
        <f>VLOOKUP(C6482,Plan!A$1:B$65542,2,0)</f>
        <v>Cuenta por Pagar a Cali</v>
      </c>
      <c r="E6482" s="506">
        <f t="shared" si="52"/>
        <v>5000</v>
      </c>
      <c r="F6482" s="508">
        <v>5000</v>
      </c>
      <c r="G6482" s="512">
        <v>0</v>
      </c>
      <c r="H6482" t="s">
        <v>1861</v>
      </c>
      <c r="I6482" s="507" t="s">
        <v>296</v>
      </c>
      <c r="K6482" s="370"/>
      <c r="N6482" s="370"/>
      <c r="O6482"/>
      <c r="P6482" s="264"/>
    </row>
    <row r="6483" spans="1:16" s="347" customFormat="1" x14ac:dyDescent="0.25">
      <c r="A6483" s="503">
        <v>44530</v>
      </c>
      <c r="B6483" s="504">
        <f t="shared" si="50"/>
        <v>11</v>
      </c>
      <c r="C6483" s="505">
        <v>3110</v>
      </c>
      <c r="D6483" s="504" t="str">
        <f>VLOOKUP(C6483,Plan!A$1:B$65542,2,0)</f>
        <v>Colectas Normales</v>
      </c>
      <c r="E6483" s="506">
        <f t="shared" si="52"/>
        <v>-15000</v>
      </c>
      <c r="F6483" s="508">
        <v>0</v>
      </c>
      <c r="G6483" s="512">
        <v>15000</v>
      </c>
      <c r="H6483" t="s">
        <v>982</v>
      </c>
      <c r="I6483" s="507" t="s">
        <v>296</v>
      </c>
      <c r="K6483" s="370"/>
      <c r="N6483" s="370"/>
      <c r="O6483"/>
      <c r="P6483" s="264"/>
    </row>
    <row r="6484" spans="1:16" s="347" customFormat="1" x14ac:dyDescent="0.25">
      <c r="A6484" s="503">
        <v>44530</v>
      </c>
      <c r="B6484" s="504">
        <f t="shared" si="50"/>
        <v>11</v>
      </c>
      <c r="C6484" s="505">
        <v>3110</v>
      </c>
      <c r="D6484" s="504" t="str">
        <f>VLOOKUP(C6484,Plan!A$1:B$65542,2,0)</f>
        <v>Colectas Normales</v>
      </c>
      <c r="E6484" s="506">
        <f t="shared" si="52"/>
        <v>-6000</v>
      </c>
      <c r="F6484" s="508">
        <v>0</v>
      </c>
      <c r="G6484" s="512">
        <v>6000</v>
      </c>
      <c r="H6484" t="s">
        <v>1010</v>
      </c>
      <c r="I6484" s="507" t="s">
        <v>296</v>
      </c>
      <c r="K6484" s="370"/>
      <c r="N6484" s="370"/>
      <c r="O6484"/>
      <c r="P6484" s="264"/>
    </row>
    <row r="6485" spans="1:16" s="347" customFormat="1" x14ac:dyDescent="0.25">
      <c r="A6485" s="503">
        <v>44530</v>
      </c>
      <c r="B6485" s="504">
        <f t="shared" si="50"/>
        <v>11</v>
      </c>
      <c r="C6485" s="505">
        <v>3110</v>
      </c>
      <c r="D6485" s="504" t="str">
        <f>VLOOKUP(C6485,Plan!A$1:B$65542,2,0)</f>
        <v>Colectas Normales</v>
      </c>
      <c r="E6485" s="506">
        <f t="shared" si="52"/>
        <v>-5000</v>
      </c>
      <c r="F6485" s="508">
        <v>0</v>
      </c>
      <c r="G6485" s="512">
        <v>5000</v>
      </c>
      <c r="H6485" t="s">
        <v>1861</v>
      </c>
      <c r="I6485" s="507" t="s">
        <v>296</v>
      </c>
      <c r="K6485" s="370"/>
      <c r="N6485" s="370"/>
    </row>
    <row r="6486" spans="1:16" s="347" customFormat="1" x14ac:dyDescent="0.25">
      <c r="A6486" s="503">
        <v>44530</v>
      </c>
      <c r="B6486" s="504">
        <f t="shared" si="50"/>
        <v>11</v>
      </c>
      <c r="C6486" s="505">
        <v>215</v>
      </c>
      <c r="D6486" s="504" t="str">
        <f>VLOOKUP(C6486,Plan!A$1:B$65542,2,0)</f>
        <v>Cuenta por Pagar a Cali</v>
      </c>
      <c r="E6486" s="506">
        <f>+F6486-G6486</f>
        <v>85000</v>
      </c>
      <c r="F6486" s="396">
        <v>85000</v>
      </c>
      <c r="G6486" s="396"/>
      <c r="H6486" t="s">
        <v>986</v>
      </c>
      <c r="I6486" s="507" t="s">
        <v>296</v>
      </c>
      <c r="K6486" s="370"/>
      <c r="N6486" s="370"/>
    </row>
    <row r="6487" spans="1:16" s="347" customFormat="1" x14ac:dyDescent="0.25">
      <c r="A6487" s="503">
        <v>44530</v>
      </c>
      <c r="B6487" s="504">
        <f t="shared" si="50"/>
        <v>11</v>
      </c>
      <c r="C6487" s="505">
        <v>3110</v>
      </c>
      <c r="D6487" s="504" t="str">
        <f>VLOOKUP(C6487,Plan!A$1:B$65542,2,0)</f>
        <v>Colectas Normales</v>
      </c>
      <c r="E6487" s="506">
        <f>+F6487-G6487</f>
        <v>-85000</v>
      </c>
      <c r="F6487" s="396"/>
      <c r="G6487" s="396">
        <v>85000</v>
      </c>
      <c r="H6487" s="338" t="str">
        <f>+H6486</f>
        <v>Colecta Ignacio Ureta L.</v>
      </c>
      <c r="I6487" s="507" t="s">
        <v>296</v>
      </c>
      <c r="K6487" s="370"/>
      <c r="N6487" s="370"/>
    </row>
    <row r="6488" spans="1:16" s="347" customFormat="1" x14ac:dyDescent="0.25">
      <c r="A6488" s="369"/>
      <c r="E6488" s="396"/>
      <c r="F6488" s="396"/>
      <c r="G6488" s="396"/>
      <c r="K6488" s="370"/>
      <c r="N6488" s="370"/>
    </row>
    <row r="6489" spans="1:16" s="347" customFormat="1" x14ac:dyDescent="0.25">
      <c r="A6489" s="503">
        <v>44530</v>
      </c>
      <c r="B6489" s="504">
        <f t="shared" ref="B6489:B6490" si="53">+MONTH(A6489)</f>
        <v>11</v>
      </c>
      <c r="C6489" s="505">
        <v>231</v>
      </c>
      <c r="D6489" s="504" t="str">
        <f>VLOOKUP(C6489,Plan!A$1:B$65542,2,0)</f>
        <v xml:space="preserve"> Fondos Pastoral Social</v>
      </c>
      <c r="E6489" s="506">
        <f t="shared" ref="E6489:E6494" si="54">+F6489-G6489</f>
        <v>420000</v>
      </c>
      <c r="F6489" s="396">
        <v>420000</v>
      </c>
      <c r="G6489" s="396">
        <v>0</v>
      </c>
      <c r="H6489" t="s">
        <v>2365</v>
      </c>
      <c r="I6489" s="507" t="s">
        <v>296</v>
      </c>
      <c r="K6489" s="370"/>
      <c r="N6489" s="370"/>
    </row>
    <row r="6490" spans="1:16" s="347" customFormat="1" x14ac:dyDescent="0.25">
      <c r="A6490" s="503">
        <v>44530</v>
      </c>
      <c r="B6490" s="504">
        <f t="shared" si="53"/>
        <v>11</v>
      </c>
      <c r="C6490" s="505">
        <v>231</v>
      </c>
      <c r="D6490" s="504" t="str">
        <f>VLOOKUP(C6490,Plan!A$1:B$65542,2,0)</f>
        <v xml:space="preserve"> Fondos Pastoral Social</v>
      </c>
      <c r="E6490" s="506">
        <f t="shared" si="54"/>
        <v>150000</v>
      </c>
      <c r="F6490" s="396">
        <v>150000</v>
      </c>
      <c r="G6490" s="396">
        <v>0</v>
      </c>
      <c r="H6490" s="338" t="str">
        <f>+H6489</f>
        <v xml:space="preserve">Reclasifica y reduce provision </v>
      </c>
      <c r="I6490" s="507" t="s">
        <v>296</v>
      </c>
      <c r="K6490" s="370"/>
      <c r="N6490" s="370"/>
    </row>
    <row r="6491" spans="1:16" s="347" customFormat="1" x14ac:dyDescent="0.25">
      <c r="A6491" s="503">
        <v>44530</v>
      </c>
      <c r="B6491" s="504">
        <f t="shared" ref="B6491:B6492" si="55">+MONTH(A6491)</f>
        <v>11</v>
      </c>
      <c r="C6491" s="505">
        <v>231</v>
      </c>
      <c r="D6491" s="504" t="str">
        <f>VLOOKUP(C6491,Plan!A$1:B$65542,2,0)</f>
        <v xml:space="preserve"> Fondos Pastoral Social</v>
      </c>
      <c r="E6491" s="506">
        <f t="shared" si="54"/>
        <v>1506559</v>
      </c>
      <c r="F6491" s="396">
        <v>1506559</v>
      </c>
      <c r="G6491" s="396">
        <v>0</v>
      </c>
      <c r="H6491" s="338" t="str">
        <f t="shared" ref="H6491:H6494" si="56">+H6490</f>
        <v xml:space="preserve">Reclasifica y reduce provision </v>
      </c>
      <c r="I6491" s="507" t="s">
        <v>296</v>
      </c>
      <c r="K6491" s="370"/>
      <c r="N6491" s="370"/>
    </row>
    <row r="6492" spans="1:16" s="347" customFormat="1" x14ac:dyDescent="0.25">
      <c r="A6492" s="503">
        <v>44530</v>
      </c>
      <c r="B6492" s="504">
        <f t="shared" si="55"/>
        <v>11</v>
      </c>
      <c r="C6492" s="505">
        <v>4650</v>
      </c>
      <c r="D6492" s="504" t="str">
        <f>VLOOKUP(C6492,Plan!A$1:B$65542,2,0)</f>
        <v>Pastoral Social</v>
      </c>
      <c r="E6492" s="506">
        <f t="shared" si="54"/>
        <v>-420000</v>
      </c>
      <c r="F6492" s="396">
        <v>0</v>
      </c>
      <c r="G6492" s="396">
        <v>420000</v>
      </c>
      <c r="H6492" s="338" t="str">
        <f t="shared" si="56"/>
        <v xml:space="preserve">Reclasifica y reduce provision </v>
      </c>
      <c r="I6492" s="507" t="s">
        <v>296</v>
      </c>
      <c r="K6492" s="370"/>
      <c r="N6492" s="370"/>
    </row>
    <row r="6493" spans="1:16" s="347" customFormat="1" x14ac:dyDescent="0.25">
      <c r="A6493" s="503">
        <v>44530</v>
      </c>
      <c r="B6493" s="504">
        <f t="shared" ref="B6493:B6494" si="57">+MONTH(A6493)</f>
        <v>11</v>
      </c>
      <c r="C6493" s="505">
        <v>4650</v>
      </c>
      <c r="D6493" s="504" t="str">
        <f>VLOOKUP(C6493,Plan!A$1:B$65542,2,0)</f>
        <v>Pastoral Social</v>
      </c>
      <c r="E6493" s="506">
        <f t="shared" si="54"/>
        <v>-150000</v>
      </c>
      <c r="F6493" s="396">
        <v>0</v>
      </c>
      <c r="G6493" s="396">
        <v>150000</v>
      </c>
      <c r="H6493" s="338" t="str">
        <f t="shared" si="56"/>
        <v xml:space="preserve">Reclasifica y reduce provision </v>
      </c>
      <c r="I6493" s="507" t="s">
        <v>296</v>
      </c>
      <c r="K6493" s="370"/>
      <c r="N6493" s="370"/>
    </row>
    <row r="6494" spans="1:16" s="347" customFormat="1" x14ac:dyDescent="0.25">
      <c r="A6494" s="503">
        <v>44530</v>
      </c>
      <c r="B6494" s="504">
        <f t="shared" si="57"/>
        <v>11</v>
      </c>
      <c r="C6494" s="505">
        <v>4650</v>
      </c>
      <c r="D6494" s="504" t="str">
        <f>VLOOKUP(C6494,Plan!A$1:B$65542,2,0)</f>
        <v>Pastoral Social</v>
      </c>
      <c r="E6494" s="506">
        <f t="shared" si="54"/>
        <v>-1506559</v>
      </c>
      <c r="F6494" s="396">
        <v>0</v>
      </c>
      <c r="G6494" s="396">
        <v>1506559</v>
      </c>
      <c r="H6494" s="338" t="str">
        <f t="shared" si="56"/>
        <v xml:space="preserve">Reclasifica y reduce provision </v>
      </c>
      <c r="I6494" s="507" t="s">
        <v>296</v>
      </c>
      <c r="K6494" s="370"/>
      <c r="N6494" s="370"/>
    </row>
    <row r="6495" spans="1:16" s="347" customFormat="1" x14ac:dyDescent="0.25">
      <c r="A6495" s="369"/>
      <c r="E6495" s="396"/>
      <c r="F6495" s="396"/>
      <c r="G6495" s="396"/>
      <c r="K6495" s="370"/>
      <c r="N6495" s="370"/>
    </row>
    <row r="6496" spans="1:16" s="347" customFormat="1" x14ac:dyDescent="0.25">
      <c r="A6496" s="503">
        <v>44531</v>
      </c>
      <c r="B6496" s="504">
        <f>+MONTH(A6496)</f>
        <v>12</v>
      </c>
      <c r="C6496" s="505">
        <v>110</v>
      </c>
      <c r="D6496" s="504" t="str">
        <f>VLOOKUP(C6496,Plan!A$1:B$65542,2,0)</f>
        <v>Disponible Administración</v>
      </c>
      <c r="E6496" s="506">
        <f>+F6496-G6496</f>
        <v>100000</v>
      </c>
      <c r="F6496" s="508">
        <v>100000</v>
      </c>
      <c r="G6496" s="512">
        <v>0</v>
      </c>
      <c r="H6496" t="s">
        <v>2408</v>
      </c>
      <c r="I6496" s="507" t="s">
        <v>296</v>
      </c>
      <c r="K6496" s="370"/>
      <c r="N6496" s="370"/>
    </row>
    <row r="6497" spans="1:14" s="347" customFormat="1" x14ac:dyDescent="0.25">
      <c r="A6497" s="503">
        <f>+A6496</f>
        <v>44531</v>
      </c>
      <c r="B6497" s="504">
        <f>+MONTH(A6497)</f>
        <v>12</v>
      </c>
      <c r="C6497" s="505">
        <v>3453</v>
      </c>
      <c r="D6497" s="504" t="str">
        <f>VLOOKUP(C6497,Plan!A$1:B$65542,2,0)</f>
        <v>Cajas de navidad</v>
      </c>
      <c r="E6497" s="506">
        <f>+F6497-G6497</f>
        <v>-100000</v>
      </c>
      <c r="F6497" s="508">
        <v>0</v>
      </c>
      <c r="G6497" s="512">
        <f>+F6496</f>
        <v>100000</v>
      </c>
      <c r="H6497" s="338" t="str">
        <f>+H6496</f>
        <v>Caja Navidad Maria Victoria Matassi</v>
      </c>
      <c r="I6497" s="507" t="s">
        <v>296</v>
      </c>
      <c r="K6497" s="370"/>
      <c r="N6497" s="370"/>
    </row>
    <row r="6498" spans="1:14" s="347" customFormat="1" x14ac:dyDescent="0.25">
      <c r="A6498" s="369"/>
      <c r="E6498" s="396"/>
      <c r="F6498" s="396"/>
      <c r="G6498" s="396"/>
      <c r="K6498" s="370"/>
      <c r="N6498" s="370"/>
    </row>
    <row r="6499" spans="1:14" s="347" customFormat="1" x14ac:dyDescent="0.25">
      <c r="A6499" s="503">
        <v>44531</v>
      </c>
      <c r="B6499" s="504">
        <f>+MONTH(A6499)</f>
        <v>12</v>
      </c>
      <c r="C6499" s="505">
        <v>110</v>
      </c>
      <c r="D6499" s="504" t="str">
        <f>VLOOKUP(C6499,Plan!A$1:B$65542,2,0)</f>
        <v>Disponible Administración</v>
      </c>
      <c r="E6499" s="506">
        <f>+F6499-G6499</f>
        <v>10000</v>
      </c>
      <c r="F6499" s="508">
        <v>10000</v>
      </c>
      <c r="G6499" s="512">
        <v>0</v>
      </c>
      <c r="H6499" t="s">
        <v>1218</v>
      </c>
      <c r="I6499" s="507" t="s">
        <v>296</v>
      </c>
      <c r="K6499" s="370"/>
      <c r="N6499" s="370"/>
    </row>
    <row r="6500" spans="1:14" s="347" customFormat="1" x14ac:dyDescent="0.25">
      <c r="A6500" s="503">
        <f>+A6499</f>
        <v>44531</v>
      </c>
      <c r="B6500" s="504">
        <f>+MONTH(A6500)</f>
        <v>12</v>
      </c>
      <c r="C6500" s="505">
        <v>3110</v>
      </c>
      <c r="D6500" s="504" t="str">
        <f>VLOOKUP(C6500,Plan!A$1:B$65542,2,0)</f>
        <v>Colectas Normales</v>
      </c>
      <c r="E6500" s="506">
        <f>+F6500-G6500</f>
        <v>-10000</v>
      </c>
      <c r="F6500" s="508">
        <v>0</v>
      </c>
      <c r="G6500" s="512">
        <f>+F6499</f>
        <v>10000</v>
      </c>
      <c r="H6500" s="338" t="str">
        <f>+H6499</f>
        <v>Colecta Mercedes Cisternas Perez</v>
      </c>
      <c r="I6500" s="507" t="s">
        <v>296</v>
      </c>
      <c r="K6500" s="370"/>
      <c r="N6500" s="370"/>
    </row>
    <row r="6501" spans="1:14" s="347" customFormat="1" x14ac:dyDescent="0.25">
      <c r="A6501" s="369"/>
      <c r="E6501" s="396"/>
      <c r="F6501" s="396"/>
      <c r="G6501" s="396"/>
      <c r="K6501" s="370"/>
      <c r="N6501" s="370"/>
    </row>
    <row r="6502" spans="1:14" s="347" customFormat="1" x14ac:dyDescent="0.25">
      <c r="A6502" s="503">
        <v>44531</v>
      </c>
      <c r="B6502" s="504">
        <f>+MONTH(A6502)</f>
        <v>12</v>
      </c>
      <c r="C6502" s="505">
        <v>110</v>
      </c>
      <c r="D6502" s="504" t="str">
        <f>VLOOKUP(C6502,Plan!A$1:B$65542,2,0)</f>
        <v>Disponible Administración</v>
      </c>
      <c r="E6502" s="506">
        <f>+F6502-G6502</f>
        <v>20000</v>
      </c>
      <c r="F6502" s="508">
        <v>20000</v>
      </c>
      <c r="G6502" s="512">
        <v>0</v>
      </c>
      <c r="H6502" t="s">
        <v>2409</v>
      </c>
      <c r="I6502" s="507" t="s">
        <v>296</v>
      </c>
      <c r="K6502" s="370"/>
      <c r="N6502" s="370"/>
    </row>
    <row r="6503" spans="1:14" s="347" customFormat="1" x14ac:dyDescent="0.25">
      <c r="A6503" s="503">
        <f>+A6502</f>
        <v>44531</v>
      </c>
      <c r="B6503" s="504">
        <f>+MONTH(A6503)</f>
        <v>12</v>
      </c>
      <c r="C6503" s="505">
        <v>3350</v>
      </c>
      <c r="D6503" s="504" t="str">
        <f>VLOOKUP(C6503,Plan!A$1:B$65542,2,0)</f>
        <v>Bautizos</v>
      </c>
      <c r="E6503" s="506">
        <f>+F6503-G6503</f>
        <v>-20000</v>
      </c>
      <c r="F6503" s="508">
        <v>0</v>
      </c>
      <c r="G6503" s="512">
        <f>+F6502</f>
        <v>20000</v>
      </c>
      <c r="H6503" s="338" t="str">
        <f>+H6502</f>
        <v>Bautizo Maria Jesus Lamarca</v>
      </c>
      <c r="I6503" s="507" t="s">
        <v>296</v>
      </c>
      <c r="K6503" s="370"/>
      <c r="N6503" s="370"/>
    </row>
    <row r="6504" spans="1:14" s="347" customFormat="1" x14ac:dyDescent="0.25">
      <c r="A6504" s="369"/>
      <c r="E6504" s="396"/>
      <c r="F6504" s="396"/>
      <c r="G6504" s="396"/>
      <c r="K6504" s="370"/>
      <c r="N6504" s="370"/>
    </row>
    <row r="6505" spans="1:14" s="347" customFormat="1" x14ac:dyDescent="0.25">
      <c r="A6505" s="503">
        <v>44531</v>
      </c>
      <c r="B6505" s="504">
        <f>+MONTH(A6505)</f>
        <v>12</v>
      </c>
      <c r="C6505" s="505">
        <v>110</v>
      </c>
      <c r="D6505" s="504" t="str">
        <f>VLOOKUP(C6505,Plan!A$1:B$65542,2,0)</f>
        <v>Disponible Administración</v>
      </c>
      <c r="E6505" s="506">
        <f>+F6505-G6505</f>
        <v>20000</v>
      </c>
      <c r="F6505" s="508">
        <v>20000</v>
      </c>
      <c r="G6505" s="512">
        <v>0</v>
      </c>
      <c r="H6505" t="s">
        <v>2410</v>
      </c>
      <c r="I6505" s="507" t="s">
        <v>296</v>
      </c>
      <c r="K6505" s="370"/>
      <c r="N6505" s="370"/>
    </row>
    <row r="6506" spans="1:14" s="347" customFormat="1" x14ac:dyDescent="0.25">
      <c r="A6506" s="503">
        <f>+A6505</f>
        <v>44531</v>
      </c>
      <c r="B6506" s="504">
        <f>+MONTH(A6506)</f>
        <v>12</v>
      </c>
      <c r="C6506" s="505">
        <v>3350</v>
      </c>
      <c r="D6506" s="504" t="str">
        <f>VLOOKUP(C6506,Plan!A$1:B$65542,2,0)</f>
        <v>Bautizos</v>
      </c>
      <c r="E6506" s="506">
        <f>+F6506-G6506</f>
        <v>-20000</v>
      </c>
      <c r="F6506" s="508">
        <v>0</v>
      </c>
      <c r="G6506" s="512">
        <f>+F6505</f>
        <v>20000</v>
      </c>
      <c r="H6506" s="338" t="str">
        <f>+H6505</f>
        <v>Bautizo Magdalena Szederkenyl</v>
      </c>
      <c r="I6506" s="507" t="s">
        <v>296</v>
      </c>
      <c r="K6506" s="370"/>
      <c r="N6506" s="370"/>
    </row>
    <row r="6507" spans="1:14" s="347" customFormat="1" x14ac:dyDescent="0.25">
      <c r="A6507" s="369"/>
      <c r="E6507" s="396"/>
      <c r="F6507" s="396"/>
      <c r="G6507" s="396"/>
      <c r="K6507" s="370"/>
      <c r="N6507" s="370"/>
    </row>
    <row r="6508" spans="1:14" s="347" customFormat="1" x14ac:dyDescent="0.25">
      <c r="A6508" s="503">
        <v>44531</v>
      </c>
      <c r="B6508" s="504">
        <f>+MONTH(A6508)</f>
        <v>12</v>
      </c>
      <c r="C6508" s="505">
        <v>110</v>
      </c>
      <c r="D6508" s="504" t="str">
        <f>VLOOKUP(C6508,Plan!A$1:B$65542,2,0)</f>
        <v>Disponible Administración</v>
      </c>
      <c r="E6508" s="506">
        <f>+F6508-G6508</f>
        <v>32000</v>
      </c>
      <c r="F6508" s="508">
        <v>32000</v>
      </c>
      <c r="G6508" s="512">
        <v>0</v>
      </c>
      <c r="H6508" t="s">
        <v>2411</v>
      </c>
      <c r="I6508" s="507" t="s">
        <v>296</v>
      </c>
      <c r="K6508" s="370"/>
      <c r="N6508" s="370"/>
    </row>
    <row r="6509" spans="1:14" s="347" customFormat="1" x14ac:dyDescent="0.25">
      <c r="A6509" s="503">
        <f>+A6508</f>
        <v>44531</v>
      </c>
      <c r="B6509" s="504">
        <f>+MONTH(A6509)</f>
        <v>12</v>
      </c>
      <c r="C6509" s="505">
        <v>3453</v>
      </c>
      <c r="D6509" s="504" t="str">
        <f>VLOOKUP(C6509,Plan!A$1:B$65542,2,0)</f>
        <v>Cajas de navidad</v>
      </c>
      <c r="E6509" s="506">
        <f>+F6509-G6509</f>
        <v>-32000</v>
      </c>
      <c r="F6509" s="508">
        <v>0</v>
      </c>
      <c r="G6509" s="512">
        <f>+F6508</f>
        <v>32000</v>
      </c>
      <c r="H6509" s="338" t="str">
        <f>+H6508</f>
        <v>Caja Navidad Cyril Hodgson Larrain</v>
      </c>
      <c r="I6509" s="507" t="s">
        <v>296</v>
      </c>
      <c r="K6509" s="370"/>
      <c r="N6509" s="370"/>
    </row>
    <row r="6510" spans="1:14" s="347" customFormat="1" x14ac:dyDescent="0.25">
      <c r="A6510" s="369"/>
      <c r="B6510" s="340"/>
      <c r="D6510" s="340"/>
      <c r="E6510" s="341"/>
      <c r="F6510" s="396"/>
      <c r="G6510" s="396"/>
      <c r="I6510" s="340"/>
      <c r="K6510" s="370"/>
      <c r="N6510" s="370"/>
    </row>
    <row r="6511" spans="1:14" s="347" customFormat="1" x14ac:dyDescent="0.25">
      <c r="A6511" s="503">
        <v>44531</v>
      </c>
      <c r="B6511" s="504">
        <f>+MONTH(A6511)</f>
        <v>12</v>
      </c>
      <c r="C6511" s="505">
        <v>110</v>
      </c>
      <c r="D6511" s="504" t="str">
        <f>VLOOKUP(C6511,Plan!A$1:B$65542,2,0)</f>
        <v>Disponible Administración</v>
      </c>
      <c r="E6511" s="506">
        <f>+F6511-G6511</f>
        <v>64000</v>
      </c>
      <c r="F6511" s="508">
        <v>64000</v>
      </c>
      <c r="G6511" s="512">
        <v>0</v>
      </c>
      <c r="H6511" s="338" t="s">
        <v>2412</v>
      </c>
      <c r="I6511" s="507" t="s">
        <v>296</v>
      </c>
      <c r="K6511" s="370"/>
      <c r="N6511" s="370"/>
    </row>
    <row r="6512" spans="1:14" s="347" customFormat="1" x14ac:dyDescent="0.25">
      <c r="A6512" s="503">
        <f>+A6511</f>
        <v>44531</v>
      </c>
      <c r="B6512" s="504">
        <f>+MONTH(A6512)</f>
        <v>12</v>
      </c>
      <c r="C6512" s="505">
        <v>3453</v>
      </c>
      <c r="D6512" s="504" t="str">
        <f>VLOOKUP(C6512,Plan!A$1:B$65542,2,0)</f>
        <v>Cajas de navidad</v>
      </c>
      <c r="E6512" s="506">
        <f>+F6512-G6512</f>
        <v>-64000</v>
      </c>
      <c r="F6512" s="508">
        <v>0</v>
      </c>
      <c r="G6512" s="512">
        <f>+F6511</f>
        <v>64000</v>
      </c>
      <c r="H6512" s="338" t="str">
        <f>+H6511</f>
        <v>Caja Navidad Paola Honorato</v>
      </c>
      <c r="I6512" s="507" t="s">
        <v>296</v>
      </c>
      <c r="K6512" s="370"/>
      <c r="N6512" s="370"/>
    </row>
    <row r="6513" spans="1:14" s="347" customFormat="1" x14ac:dyDescent="0.25">
      <c r="A6513" s="369"/>
      <c r="E6513" s="396"/>
      <c r="F6513" s="396"/>
      <c r="G6513" s="396"/>
      <c r="K6513" s="370"/>
      <c r="N6513" s="370"/>
    </row>
    <row r="6514" spans="1:14" s="347" customFormat="1" x14ac:dyDescent="0.25">
      <c r="A6514" s="503">
        <v>44531</v>
      </c>
      <c r="B6514" s="504">
        <f>+MONTH(A6514)</f>
        <v>12</v>
      </c>
      <c r="C6514" s="505">
        <v>110</v>
      </c>
      <c r="D6514" s="504" t="str">
        <f>VLOOKUP(C6514,Plan!A$1:B$65542,2,0)</f>
        <v>Disponible Administración</v>
      </c>
      <c r="E6514" s="506">
        <f>+F6514-G6514</f>
        <v>100000</v>
      </c>
      <c r="F6514" s="508">
        <v>100000</v>
      </c>
      <c r="G6514" s="512">
        <v>0</v>
      </c>
      <c r="H6514" s="338" t="s">
        <v>887</v>
      </c>
      <c r="I6514" s="507" t="s">
        <v>296</v>
      </c>
      <c r="K6514" s="370"/>
      <c r="N6514" s="370"/>
    </row>
    <row r="6515" spans="1:14" s="347" customFormat="1" x14ac:dyDescent="0.25">
      <c r="A6515" s="503">
        <f>+A6514</f>
        <v>44531</v>
      </c>
      <c r="B6515" s="504">
        <f>+MONTH(A6515)</f>
        <v>12</v>
      </c>
      <c r="C6515" s="505">
        <v>3110</v>
      </c>
      <c r="D6515" s="504" t="str">
        <f>VLOOKUP(C6515,Plan!A$1:B$65542,2,0)</f>
        <v>Colectas Normales</v>
      </c>
      <c r="E6515" s="506">
        <f>+F6515-G6515</f>
        <v>-100000</v>
      </c>
      <c r="F6515" s="508">
        <v>0</v>
      </c>
      <c r="G6515" s="512">
        <f>+F6514</f>
        <v>100000</v>
      </c>
      <c r="H6515" s="338" t="str">
        <f>+H6514</f>
        <v>Colecta Fernando Varela</v>
      </c>
      <c r="I6515" s="507" t="s">
        <v>296</v>
      </c>
      <c r="K6515" s="370"/>
      <c r="N6515" s="370"/>
    </row>
    <row r="6516" spans="1:14" s="347" customFormat="1" x14ac:dyDescent="0.25">
      <c r="A6516" s="369"/>
      <c r="E6516" s="396"/>
      <c r="F6516" s="396"/>
      <c r="G6516" s="396"/>
      <c r="K6516" s="370"/>
      <c r="N6516" s="370"/>
    </row>
    <row r="6517" spans="1:14" s="347" customFormat="1" x14ac:dyDescent="0.25">
      <c r="A6517" s="503">
        <v>44531</v>
      </c>
      <c r="B6517" s="504">
        <f>+MONTH(A6517)</f>
        <v>12</v>
      </c>
      <c r="C6517" s="505">
        <v>110</v>
      </c>
      <c r="D6517" s="504" t="str">
        <f>VLOOKUP(C6517,Plan!A$1:B$65542,2,0)</f>
        <v>Disponible Administración</v>
      </c>
      <c r="E6517" s="506">
        <f>+F6517-G6517</f>
        <v>12000</v>
      </c>
      <c r="F6517" s="508">
        <v>12000</v>
      </c>
      <c r="G6517" s="512">
        <v>0</v>
      </c>
      <c r="H6517" s="338" t="s">
        <v>1163</v>
      </c>
      <c r="I6517" s="507" t="s">
        <v>296</v>
      </c>
      <c r="K6517" s="370"/>
      <c r="N6517" s="370"/>
    </row>
    <row r="6518" spans="1:14" s="347" customFormat="1" x14ac:dyDescent="0.25">
      <c r="A6518" s="503">
        <f>+A6517</f>
        <v>44531</v>
      </c>
      <c r="B6518" s="504">
        <f>+MONTH(A6518)</f>
        <v>12</v>
      </c>
      <c r="C6518" s="505">
        <v>3110</v>
      </c>
      <c r="D6518" s="504" t="str">
        <f>VLOOKUP(C6518,Plan!A$1:B$65542,2,0)</f>
        <v>Colectas Normales</v>
      </c>
      <c r="E6518" s="506">
        <f>+F6518-G6518</f>
        <v>-12000</v>
      </c>
      <c r="F6518" s="508">
        <v>0</v>
      </c>
      <c r="G6518" s="512">
        <f>+F6517</f>
        <v>12000</v>
      </c>
      <c r="H6518" s="338" t="str">
        <f>+H6517</f>
        <v>Colecta Ricardo Cañas Cambiaso</v>
      </c>
      <c r="I6518" s="507" t="s">
        <v>296</v>
      </c>
      <c r="K6518" s="370"/>
      <c r="N6518" s="370"/>
    </row>
    <row r="6519" spans="1:14" s="347" customFormat="1" x14ac:dyDescent="0.25">
      <c r="A6519" s="369"/>
      <c r="E6519" s="396"/>
      <c r="F6519" s="396"/>
      <c r="G6519" s="396"/>
      <c r="K6519" s="370"/>
      <c r="N6519" s="370"/>
    </row>
    <row r="6520" spans="1:14" s="347" customFormat="1" x14ac:dyDescent="0.25">
      <c r="A6520" s="503">
        <v>44531</v>
      </c>
      <c r="B6520" s="504">
        <f>+MONTH(A6520)</f>
        <v>12</v>
      </c>
      <c r="C6520" s="505">
        <v>110</v>
      </c>
      <c r="D6520" s="504" t="str">
        <f>VLOOKUP(C6520,Plan!A$1:B$65542,2,0)</f>
        <v>Disponible Administración</v>
      </c>
      <c r="E6520" s="506">
        <f>+F6520-G6520</f>
        <v>128000</v>
      </c>
      <c r="F6520" s="508">
        <v>128000</v>
      </c>
      <c r="G6520" s="512">
        <v>0</v>
      </c>
      <c r="H6520" s="338" t="s">
        <v>2413</v>
      </c>
      <c r="I6520" s="507" t="s">
        <v>296</v>
      </c>
      <c r="K6520" s="370"/>
      <c r="N6520" s="370"/>
    </row>
    <row r="6521" spans="1:14" s="347" customFormat="1" x14ac:dyDescent="0.25">
      <c r="A6521" s="503">
        <f>+A6520</f>
        <v>44531</v>
      </c>
      <c r="B6521" s="504">
        <f>+MONTH(A6521)</f>
        <v>12</v>
      </c>
      <c r="C6521" s="505">
        <v>3453</v>
      </c>
      <c r="D6521" s="504" t="str">
        <f>VLOOKUP(C6521,Plan!A$1:B$65542,2,0)</f>
        <v>Cajas de navidad</v>
      </c>
      <c r="E6521" s="506">
        <f>+F6521-G6521</f>
        <v>-128000</v>
      </c>
      <c r="F6521" s="508">
        <v>0</v>
      </c>
      <c r="G6521" s="512">
        <f>+F6520</f>
        <v>128000</v>
      </c>
      <c r="H6521" s="338" t="str">
        <f>+H6520</f>
        <v>Caja Navidad Javiera Carreño</v>
      </c>
      <c r="I6521" s="507" t="s">
        <v>296</v>
      </c>
      <c r="K6521" s="370"/>
      <c r="N6521" s="370"/>
    </row>
    <row r="6522" spans="1:14" s="347" customFormat="1" x14ac:dyDescent="0.25">
      <c r="A6522" s="369"/>
      <c r="E6522" s="396"/>
      <c r="F6522" s="396"/>
      <c r="G6522" s="396"/>
      <c r="K6522" s="370"/>
      <c r="N6522" s="370"/>
    </row>
    <row r="6523" spans="1:14" s="347" customFormat="1" x14ac:dyDescent="0.25">
      <c r="A6523" s="503">
        <v>44531</v>
      </c>
      <c r="B6523" s="504">
        <f>+MONTH(A6523)</f>
        <v>12</v>
      </c>
      <c r="C6523" s="505">
        <v>110</v>
      </c>
      <c r="D6523" s="504" t="str">
        <f>VLOOKUP(C6523,Plan!A$1:B$65542,2,0)</f>
        <v>Disponible Administración</v>
      </c>
      <c r="E6523" s="506">
        <f>+F6523-G6523</f>
        <v>94748</v>
      </c>
      <c r="F6523" s="508">
        <v>94748</v>
      </c>
      <c r="G6523" s="512">
        <v>0</v>
      </c>
      <c r="H6523" s="338" t="s">
        <v>2271</v>
      </c>
      <c r="I6523" s="507" t="s">
        <v>296</v>
      </c>
      <c r="K6523" s="370"/>
      <c r="N6523" s="370"/>
    </row>
    <row r="6524" spans="1:14" s="347" customFormat="1" x14ac:dyDescent="0.25">
      <c r="A6524" s="503">
        <f>+A6523</f>
        <v>44531</v>
      </c>
      <c r="B6524" s="504">
        <f>+MONTH(A6524)</f>
        <v>12</v>
      </c>
      <c r="C6524" s="505">
        <v>3453</v>
      </c>
      <c r="D6524" s="504" t="str">
        <f>VLOOKUP(C6524,Plan!A$1:B$65542,2,0)</f>
        <v>Cajas de navidad</v>
      </c>
      <c r="E6524" s="506">
        <f>+F6524-G6524</f>
        <v>-94748</v>
      </c>
      <c r="F6524" s="508">
        <v>0</v>
      </c>
      <c r="G6524" s="512">
        <f>+F6523</f>
        <v>94748</v>
      </c>
      <c r="H6524" s="338" t="str">
        <f>+H6523</f>
        <v>Caja Navidad DCT</v>
      </c>
      <c r="I6524" s="507" t="s">
        <v>296</v>
      </c>
      <c r="K6524" s="370"/>
      <c r="N6524" s="370"/>
    </row>
    <row r="6525" spans="1:14" s="347" customFormat="1" x14ac:dyDescent="0.25">
      <c r="A6525" s="369"/>
      <c r="E6525" s="396"/>
      <c r="F6525" s="396"/>
      <c r="G6525" s="396"/>
      <c r="K6525" s="370"/>
      <c r="N6525" s="370"/>
    </row>
    <row r="6526" spans="1:14" s="347" customFormat="1" x14ac:dyDescent="0.25">
      <c r="A6526" s="503">
        <v>44531</v>
      </c>
      <c r="B6526" s="504">
        <f>+MONTH(A6526)</f>
        <v>12</v>
      </c>
      <c r="C6526" s="505">
        <v>110</v>
      </c>
      <c r="D6526" s="504" t="str">
        <f>VLOOKUP(C6526,Plan!A$1:B$65542,2,0)</f>
        <v>Disponible Administración</v>
      </c>
      <c r="E6526" s="506">
        <f>+F6526-G6526</f>
        <v>4</v>
      </c>
      <c r="F6526" s="508">
        <v>4</v>
      </c>
      <c r="G6526" s="512">
        <v>0</v>
      </c>
      <c r="H6526" s="338" t="s">
        <v>897</v>
      </c>
      <c r="I6526" s="507" t="s">
        <v>296</v>
      </c>
      <c r="K6526" s="370"/>
      <c r="N6526" s="370"/>
    </row>
    <row r="6527" spans="1:14" s="347" customFormat="1" x14ac:dyDescent="0.25">
      <c r="A6527" s="503">
        <f>+A6526</f>
        <v>44531</v>
      </c>
      <c r="B6527" s="504">
        <f>+MONTH(A6527)</f>
        <v>12</v>
      </c>
      <c r="C6527" s="505">
        <v>3110</v>
      </c>
      <c r="D6527" s="504" t="str">
        <f>VLOOKUP(C6527,Plan!A$1:B$65542,2,0)</f>
        <v>Colectas Normales</v>
      </c>
      <c r="E6527" s="506">
        <f>+F6527-G6527</f>
        <v>-4</v>
      </c>
      <c r="F6527" s="508">
        <v>0</v>
      </c>
      <c r="G6527" s="512">
        <f>+F6526</f>
        <v>4</v>
      </c>
      <c r="H6527" s="338" t="str">
        <f>+H6526</f>
        <v>Colecta DCT</v>
      </c>
      <c r="I6527" s="507" t="s">
        <v>296</v>
      </c>
      <c r="K6527" s="370"/>
      <c r="N6527" s="370"/>
    </row>
    <row r="6528" spans="1:14" s="347" customFormat="1" x14ac:dyDescent="0.25">
      <c r="A6528" s="369"/>
      <c r="E6528" s="396"/>
      <c r="F6528" s="396"/>
      <c r="G6528" s="396"/>
      <c r="K6528" s="370"/>
      <c r="N6528" s="370"/>
    </row>
    <row r="6529" spans="1:14" s="347" customFormat="1" x14ac:dyDescent="0.25">
      <c r="A6529" s="503">
        <v>44531</v>
      </c>
      <c r="B6529" s="504">
        <f>+MONTH(A6529)</f>
        <v>12</v>
      </c>
      <c r="C6529" s="505">
        <v>110</v>
      </c>
      <c r="D6529" s="504" t="str">
        <f>VLOOKUP(C6529,Plan!A$1:B$65542,2,0)</f>
        <v>Disponible Administración</v>
      </c>
      <c r="E6529" s="506">
        <f>+F6529-G6529</f>
        <v>1531348</v>
      </c>
      <c r="F6529" s="508">
        <v>1531348</v>
      </c>
      <c r="G6529" s="512">
        <v>0</v>
      </c>
      <c r="H6529" s="338" t="s">
        <v>2218</v>
      </c>
      <c r="I6529" s="507" t="s">
        <v>296</v>
      </c>
      <c r="K6529" s="370"/>
      <c r="N6529" s="370"/>
    </row>
    <row r="6530" spans="1:14" s="347" customFormat="1" x14ac:dyDescent="0.25">
      <c r="A6530" s="503">
        <f>+A6529</f>
        <v>44531</v>
      </c>
      <c r="B6530" s="504">
        <f>+MONTH(A6530)</f>
        <v>12</v>
      </c>
      <c r="C6530" s="505">
        <v>3453</v>
      </c>
      <c r="D6530" s="504" t="str">
        <f>VLOOKUP(C6530,Plan!A$1:B$65542,2,0)</f>
        <v>Cajas de navidad</v>
      </c>
      <c r="E6530" s="506">
        <f>+F6530-G6530</f>
        <v>-1531348</v>
      </c>
      <c r="F6530" s="508">
        <v>0</v>
      </c>
      <c r="G6530" s="512">
        <f>+F6529</f>
        <v>1531348</v>
      </c>
      <c r="H6530" s="338" t="str">
        <f>+H6529</f>
        <v>Caja Navidad POS</v>
      </c>
      <c r="I6530" s="507" t="s">
        <v>296</v>
      </c>
      <c r="K6530" s="370"/>
      <c r="N6530" s="370"/>
    </row>
    <row r="6531" spans="1:14" s="347" customFormat="1" x14ac:dyDescent="0.25">
      <c r="A6531" s="369"/>
      <c r="E6531" s="396"/>
      <c r="F6531" s="396"/>
      <c r="G6531" s="396"/>
      <c r="K6531" s="370"/>
      <c r="N6531" s="370"/>
    </row>
    <row r="6532" spans="1:14" s="347" customFormat="1" x14ac:dyDescent="0.25">
      <c r="A6532" s="503">
        <v>44531</v>
      </c>
      <c r="B6532" s="504">
        <f>+MONTH(A6532)</f>
        <v>12</v>
      </c>
      <c r="C6532" s="505">
        <v>110</v>
      </c>
      <c r="D6532" s="504" t="str">
        <f>VLOOKUP(C6532,Plan!A$1:B$65542,2,0)</f>
        <v>Disponible Administración</v>
      </c>
      <c r="E6532" s="506">
        <f>+F6532-G6532</f>
        <v>15000</v>
      </c>
      <c r="F6532" s="508">
        <v>15000</v>
      </c>
      <c r="G6532" s="512">
        <v>0</v>
      </c>
      <c r="H6532" s="338" t="s">
        <v>888</v>
      </c>
      <c r="I6532" s="507" t="s">
        <v>296</v>
      </c>
      <c r="K6532" s="370"/>
      <c r="N6532" s="370"/>
    </row>
    <row r="6533" spans="1:14" s="347" customFormat="1" x14ac:dyDescent="0.25">
      <c r="A6533" s="503">
        <f>+A6532</f>
        <v>44531</v>
      </c>
      <c r="B6533" s="504">
        <f>+MONTH(A6533)</f>
        <v>12</v>
      </c>
      <c r="C6533" s="505">
        <v>3110</v>
      </c>
      <c r="D6533" s="504" t="str">
        <f>VLOOKUP(C6533,Plan!A$1:B$65542,2,0)</f>
        <v>Colectas Normales</v>
      </c>
      <c r="E6533" s="506">
        <f>+F6533-G6533</f>
        <v>-15000</v>
      </c>
      <c r="F6533" s="508">
        <v>0</v>
      </c>
      <c r="G6533" s="512">
        <f>+F6532</f>
        <v>15000</v>
      </c>
      <c r="H6533" s="338" t="str">
        <f>+H6532</f>
        <v>Colecta Gonzalo Contardo M</v>
      </c>
      <c r="I6533" s="507" t="s">
        <v>296</v>
      </c>
      <c r="K6533" s="370"/>
      <c r="N6533" s="370"/>
    </row>
    <row r="6534" spans="1:14" s="347" customFormat="1" x14ac:dyDescent="0.25">
      <c r="A6534" s="369"/>
      <c r="E6534" s="396"/>
      <c r="F6534" s="396"/>
      <c r="G6534" s="396"/>
      <c r="K6534" s="370"/>
      <c r="N6534" s="370"/>
    </row>
    <row r="6535" spans="1:14" s="347" customFormat="1" x14ac:dyDescent="0.25">
      <c r="A6535" s="503">
        <v>44531</v>
      </c>
      <c r="B6535" s="504">
        <f>+MONTH(A6535)</f>
        <v>12</v>
      </c>
      <c r="C6535" s="505">
        <v>110</v>
      </c>
      <c r="D6535" s="504" t="str">
        <f>VLOOKUP(C6535,Plan!A$1:B$65542,2,0)</f>
        <v>Disponible Administración</v>
      </c>
      <c r="E6535" s="506">
        <f>+F6535-G6535</f>
        <v>64000</v>
      </c>
      <c r="F6535" s="508">
        <v>64000</v>
      </c>
      <c r="G6535" s="512">
        <v>0</v>
      </c>
      <c r="H6535" s="338" t="s">
        <v>2414</v>
      </c>
      <c r="I6535" s="507" t="s">
        <v>296</v>
      </c>
      <c r="K6535" s="370"/>
      <c r="N6535" s="370"/>
    </row>
    <row r="6536" spans="1:14" s="347" customFormat="1" x14ac:dyDescent="0.25">
      <c r="A6536" s="503">
        <f>+A6535</f>
        <v>44531</v>
      </c>
      <c r="B6536" s="504">
        <f>+MONTH(A6536)</f>
        <v>12</v>
      </c>
      <c r="C6536" s="505">
        <v>3453</v>
      </c>
      <c r="D6536" s="504" t="str">
        <f>VLOOKUP(C6536,Plan!A$1:B$65542,2,0)</f>
        <v>Cajas de navidad</v>
      </c>
      <c r="E6536" s="506">
        <f>+F6536-G6536</f>
        <v>-64000</v>
      </c>
      <c r="F6536" s="508">
        <v>0</v>
      </c>
      <c r="G6536" s="512">
        <f>+F6535</f>
        <v>64000</v>
      </c>
      <c r="H6536" s="338" t="str">
        <f>+H6535</f>
        <v>Caja Navidad Constanza Venegas</v>
      </c>
      <c r="I6536" s="507" t="s">
        <v>296</v>
      </c>
      <c r="K6536" s="370"/>
      <c r="N6536" s="370"/>
    </row>
    <row r="6537" spans="1:14" s="347" customFormat="1" x14ac:dyDescent="0.25">
      <c r="A6537" s="369"/>
      <c r="E6537" s="396"/>
      <c r="F6537" s="396"/>
      <c r="G6537" s="396"/>
      <c r="K6537" s="370"/>
      <c r="N6537" s="370"/>
    </row>
    <row r="6538" spans="1:14" s="347" customFormat="1" x14ac:dyDescent="0.25">
      <c r="A6538" s="503">
        <v>44532</v>
      </c>
      <c r="B6538" s="504">
        <f>+MONTH(A6538)</f>
        <v>12</v>
      </c>
      <c r="C6538" s="505">
        <v>110</v>
      </c>
      <c r="D6538" s="504" t="str">
        <f>VLOOKUP(C6538,Plan!A$1:B$65542,2,0)</f>
        <v>Disponible Administración</v>
      </c>
      <c r="E6538" s="506">
        <f>+F6538-G6538</f>
        <v>50000</v>
      </c>
      <c r="F6538" s="508">
        <v>50000</v>
      </c>
      <c r="G6538" s="512">
        <v>0</v>
      </c>
      <c r="H6538" s="338" t="s">
        <v>1122</v>
      </c>
      <c r="I6538" s="507" t="s">
        <v>296</v>
      </c>
      <c r="K6538" s="370"/>
      <c r="N6538" s="370"/>
    </row>
    <row r="6539" spans="1:14" s="347" customFormat="1" x14ac:dyDescent="0.25">
      <c r="A6539" s="503">
        <f>+A6538</f>
        <v>44532</v>
      </c>
      <c r="B6539" s="504">
        <f>+MONTH(A6539)</f>
        <v>12</v>
      </c>
      <c r="C6539" s="505">
        <v>3110</v>
      </c>
      <c r="D6539" s="504" t="str">
        <f>VLOOKUP(C6539,Plan!A$1:B$65542,2,0)</f>
        <v>Colectas Normales</v>
      </c>
      <c r="E6539" s="506">
        <f>+F6539-G6539</f>
        <v>-50000</v>
      </c>
      <c r="F6539" s="508">
        <v>0</v>
      </c>
      <c r="G6539" s="512">
        <f>+F6538</f>
        <v>50000</v>
      </c>
      <c r="H6539" s="338" t="str">
        <f>+H6538</f>
        <v>Colecta Juan Muzio Muzio</v>
      </c>
      <c r="I6539" s="507" t="s">
        <v>296</v>
      </c>
      <c r="K6539" s="370"/>
      <c r="N6539" s="370"/>
    </row>
    <row r="6540" spans="1:14" s="347" customFormat="1" x14ac:dyDescent="0.25">
      <c r="A6540" s="369"/>
      <c r="E6540" s="396"/>
      <c r="F6540" s="396"/>
      <c r="G6540" s="396"/>
      <c r="K6540" s="370"/>
      <c r="N6540" s="370"/>
    </row>
    <row r="6541" spans="1:14" s="347" customFormat="1" x14ac:dyDescent="0.25">
      <c r="A6541" s="503">
        <v>44532</v>
      </c>
      <c r="B6541" s="504">
        <f>+MONTH(A6541)</f>
        <v>12</v>
      </c>
      <c r="C6541" s="505">
        <v>110</v>
      </c>
      <c r="D6541" s="504" t="str">
        <f>VLOOKUP(C6541,Plan!A$1:B$65542,2,0)</f>
        <v>Disponible Administración</v>
      </c>
      <c r="E6541" s="506">
        <f>+F6541-G6541</f>
        <v>64000</v>
      </c>
      <c r="F6541" s="508">
        <v>64000</v>
      </c>
      <c r="G6541" s="512">
        <v>0</v>
      </c>
      <c r="H6541" s="338" t="s">
        <v>2415</v>
      </c>
      <c r="I6541" s="507" t="s">
        <v>296</v>
      </c>
      <c r="K6541" s="370"/>
      <c r="N6541" s="370"/>
    </row>
    <row r="6542" spans="1:14" s="347" customFormat="1" x14ac:dyDescent="0.25">
      <c r="A6542" s="503">
        <f>+A6541</f>
        <v>44532</v>
      </c>
      <c r="B6542" s="504">
        <f>+MONTH(A6542)</f>
        <v>12</v>
      </c>
      <c r="C6542" s="505">
        <v>3453</v>
      </c>
      <c r="D6542" s="504" t="str">
        <f>VLOOKUP(C6542,Plan!A$1:B$65542,2,0)</f>
        <v>Cajas de navidad</v>
      </c>
      <c r="E6542" s="506">
        <f>+F6542-G6542</f>
        <v>-64000</v>
      </c>
      <c r="F6542" s="508">
        <v>0</v>
      </c>
      <c r="G6542" s="512">
        <f>+F6541</f>
        <v>64000</v>
      </c>
      <c r="H6542" s="338" t="str">
        <f>+H6541</f>
        <v>Caja Navidad Juan Muzio Muzio</v>
      </c>
      <c r="I6542" s="507" t="s">
        <v>296</v>
      </c>
      <c r="K6542" s="370"/>
      <c r="N6542" s="370"/>
    </row>
    <row r="6543" spans="1:14" s="347" customFormat="1" x14ac:dyDescent="0.25">
      <c r="A6543" s="369"/>
      <c r="E6543" s="396"/>
      <c r="F6543" s="396"/>
      <c r="G6543" s="396"/>
      <c r="K6543" s="370"/>
      <c r="N6543" s="370"/>
    </row>
    <row r="6544" spans="1:14" s="347" customFormat="1" x14ac:dyDescent="0.25">
      <c r="A6544" s="503">
        <v>44532</v>
      </c>
      <c r="B6544" s="504">
        <f>+MONTH(A6544)</f>
        <v>12</v>
      </c>
      <c r="C6544" s="505">
        <v>110</v>
      </c>
      <c r="D6544" s="504" t="str">
        <f>VLOOKUP(C6544,Plan!A$1:B$65542,2,0)</f>
        <v>Disponible Administración</v>
      </c>
      <c r="E6544" s="506">
        <f>+F6544-G6544</f>
        <v>120000</v>
      </c>
      <c r="F6544" s="508">
        <v>120000</v>
      </c>
      <c r="G6544" s="512">
        <v>0</v>
      </c>
      <c r="H6544" s="338" t="s">
        <v>1128</v>
      </c>
      <c r="I6544" s="507" t="s">
        <v>296</v>
      </c>
      <c r="K6544" s="370"/>
      <c r="N6544" s="370"/>
    </row>
    <row r="6545" spans="1:14" s="347" customFormat="1" x14ac:dyDescent="0.25">
      <c r="A6545" s="503">
        <f>+A6544</f>
        <v>44532</v>
      </c>
      <c r="B6545" s="504">
        <f>+MONTH(A6545)</f>
        <v>12</v>
      </c>
      <c r="C6545" s="505">
        <v>3110</v>
      </c>
      <c r="D6545" s="504" t="str">
        <f>VLOOKUP(C6545,Plan!A$1:B$65542,2,0)</f>
        <v>Colectas Normales</v>
      </c>
      <c r="E6545" s="506">
        <f>+F6545-G6545</f>
        <v>-120000</v>
      </c>
      <c r="F6545" s="508">
        <v>0</v>
      </c>
      <c r="G6545" s="512">
        <f>+F6544</f>
        <v>120000</v>
      </c>
      <c r="H6545" s="338" t="str">
        <f>+H6544</f>
        <v>Colecta Ximena Suspichiatti</v>
      </c>
      <c r="I6545" s="507" t="s">
        <v>296</v>
      </c>
      <c r="K6545" s="370"/>
      <c r="N6545" s="370"/>
    </row>
    <row r="6546" spans="1:14" s="347" customFormat="1" x14ac:dyDescent="0.25">
      <c r="A6546" s="369"/>
      <c r="E6546" s="396"/>
      <c r="F6546" s="396"/>
      <c r="G6546" s="396"/>
      <c r="K6546" s="370"/>
      <c r="N6546" s="370"/>
    </row>
    <row r="6547" spans="1:14" s="347" customFormat="1" x14ac:dyDescent="0.25">
      <c r="A6547" s="503">
        <v>44532</v>
      </c>
      <c r="B6547" s="504">
        <f>+MONTH(A6547)</f>
        <v>12</v>
      </c>
      <c r="C6547" s="505">
        <v>110</v>
      </c>
      <c r="D6547" s="504" t="str">
        <f>VLOOKUP(C6547,Plan!A$1:B$65542,2,0)</f>
        <v>Disponible Administración</v>
      </c>
      <c r="E6547" s="506">
        <f>+F6547-G6547</f>
        <v>10000</v>
      </c>
      <c r="F6547" s="508">
        <v>10000</v>
      </c>
      <c r="G6547" s="512">
        <v>0</v>
      </c>
      <c r="H6547" s="338" t="s">
        <v>1637</v>
      </c>
      <c r="I6547" s="507" t="s">
        <v>296</v>
      </c>
      <c r="K6547" s="370"/>
      <c r="N6547" s="370"/>
    </row>
    <row r="6548" spans="1:14" s="347" customFormat="1" x14ac:dyDescent="0.25">
      <c r="A6548" s="503">
        <f>+A6547</f>
        <v>44532</v>
      </c>
      <c r="B6548" s="504">
        <f>+MONTH(A6548)</f>
        <v>12</v>
      </c>
      <c r="C6548" s="505">
        <v>3340</v>
      </c>
      <c r="D6548" s="504" t="str">
        <f>VLOOKUP(C6548,Plan!A$1:B$65542,2,0)</f>
        <v>Misas</v>
      </c>
      <c r="E6548" s="506">
        <f>+F6548-G6548</f>
        <v>-10000</v>
      </c>
      <c r="F6548" s="508">
        <v>0</v>
      </c>
      <c r="G6548" s="512">
        <f>+F6547</f>
        <v>10000</v>
      </c>
      <c r="H6548" s="338" t="str">
        <f>+H6547</f>
        <v>Misa Rodrigo Carrasco</v>
      </c>
      <c r="I6548" s="507" t="s">
        <v>296</v>
      </c>
      <c r="K6548" s="370"/>
      <c r="N6548" s="370"/>
    </row>
    <row r="6549" spans="1:14" s="347" customFormat="1" x14ac:dyDescent="0.25">
      <c r="A6549" s="369"/>
      <c r="E6549" s="396"/>
      <c r="F6549" s="396"/>
      <c r="G6549" s="396"/>
      <c r="K6549" s="370"/>
      <c r="N6549" s="370"/>
    </row>
    <row r="6550" spans="1:14" s="347" customFormat="1" x14ac:dyDescent="0.25">
      <c r="A6550" s="503">
        <v>44532</v>
      </c>
      <c r="B6550" s="504">
        <f>+MONTH(A6550)</f>
        <v>12</v>
      </c>
      <c r="C6550" s="505">
        <v>110</v>
      </c>
      <c r="D6550" s="504" t="str">
        <f>VLOOKUP(C6550,Plan!A$1:B$65542,2,0)</f>
        <v>Disponible Administración</v>
      </c>
      <c r="E6550" s="506">
        <f>+F6550-G6550</f>
        <v>345237</v>
      </c>
      <c r="F6550" s="508">
        <v>345237</v>
      </c>
      <c r="G6550" s="512">
        <v>0</v>
      </c>
      <c r="H6550" s="338" t="s">
        <v>2218</v>
      </c>
      <c r="I6550" s="507" t="s">
        <v>296</v>
      </c>
      <c r="K6550" s="370"/>
      <c r="N6550" s="370"/>
    </row>
    <row r="6551" spans="1:14" s="347" customFormat="1" x14ac:dyDescent="0.25">
      <c r="A6551" s="503">
        <f>+A6550</f>
        <v>44532</v>
      </c>
      <c r="B6551" s="504">
        <f>+MONTH(A6551)</f>
        <v>12</v>
      </c>
      <c r="C6551" s="505">
        <v>3453</v>
      </c>
      <c r="D6551" s="504" t="str">
        <f>VLOOKUP(C6551,Plan!A$1:B$65542,2,0)</f>
        <v>Cajas de navidad</v>
      </c>
      <c r="E6551" s="506">
        <f>+F6551-G6551</f>
        <v>-345237</v>
      </c>
      <c r="F6551" s="508">
        <v>0</v>
      </c>
      <c r="G6551" s="512">
        <f>+F6550</f>
        <v>345237</v>
      </c>
      <c r="H6551" s="338" t="str">
        <f>+H6550</f>
        <v>Caja Navidad POS</v>
      </c>
      <c r="I6551" s="507" t="s">
        <v>296</v>
      </c>
      <c r="K6551" s="370"/>
      <c r="N6551" s="370"/>
    </row>
    <row r="6552" spans="1:14" s="347" customFormat="1" x14ac:dyDescent="0.25">
      <c r="A6552" s="369"/>
      <c r="E6552" s="396"/>
      <c r="F6552" s="396"/>
      <c r="G6552" s="396"/>
      <c r="K6552" s="370"/>
      <c r="N6552" s="370"/>
    </row>
    <row r="6553" spans="1:14" s="347" customFormat="1" x14ac:dyDescent="0.25">
      <c r="A6553" s="503">
        <v>44532</v>
      </c>
      <c r="B6553" s="504">
        <f>+MONTH(A6553)</f>
        <v>12</v>
      </c>
      <c r="C6553" s="505">
        <v>110</v>
      </c>
      <c r="D6553" s="504" t="str">
        <f>VLOOKUP(C6553,Plan!A$1:B$65542,2,0)</f>
        <v>Disponible Administración</v>
      </c>
      <c r="E6553" s="506">
        <f>+F6553-G6553</f>
        <v>199800</v>
      </c>
      <c r="F6553" s="508">
        <v>199800</v>
      </c>
      <c r="G6553" s="512">
        <v>0</v>
      </c>
      <c r="H6553" s="338" t="s">
        <v>2416</v>
      </c>
      <c r="I6553" s="507" t="s">
        <v>296</v>
      </c>
      <c r="K6553" s="370"/>
      <c r="N6553" s="370"/>
    </row>
    <row r="6554" spans="1:14" s="347" customFormat="1" x14ac:dyDescent="0.25">
      <c r="A6554" s="503">
        <f>+A6553</f>
        <v>44532</v>
      </c>
      <c r="B6554" s="504">
        <f>+MONTH(A6554)</f>
        <v>12</v>
      </c>
      <c r="C6554" s="505">
        <v>3453</v>
      </c>
      <c r="D6554" s="504" t="str">
        <f>VLOOKUP(C6554,Plan!A$1:B$65542,2,0)</f>
        <v>Cajas de navidad</v>
      </c>
      <c r="E6554" s="506">
        <f>+F6554-G6554</f>
        <v>-199800</v>
      </c>
      <c r="F6554" s="508">
        <v>0</v>
      </c>
      <c r="G6554" s="512">
        <f>+F6553</f>
        <v>199800</v>
      </c>
      <c r="H6554" s="338" t="str">
        <f>+H6553</f>
        <v>Caja Navidad Javiera Teresa Carreno Rojas</v>
      </c>
      <c r="I6554" s="507" t="s">
        <v>296</v>
      </c>
      <c r="K6554" s="370"/>
      <c r="N6554" s="370"/>
    </row>
    <row r="6555" spans="1:14" s="347" customFormat="1" x14ac:dyDescent="0.25">
      <c r="A6555" s="369"/>
      <c r="E6555" s="396"/>
      <c r="F6555" s="396"/>
      <c r="G6555" s="396"/>
      <c r="K6555" s="370"/>
      <c r="N6555" s="370"/>
    </row>
    <row r="6556" spans="1:14" s="347" customFormat="1" x14ac:dyDescent="0.25">
      <c r="A6556" s="503">
        <v>44533</v>
      </c>
      <c r="B6556" s="504">
        <f>+MONTH(A6556)</f>
        <v>12</v>
      </c>
      <c r="C6556" s="505">
        <v>110</v>
      </c>
      <c r="D6556" s="504" t="str">
        <f>VLOOKUP(C6556,Plan!A$1:B$65542,2,0)</f>
        <v>Disponible Administración</v>
      </c>
      <c r="E6556" s="506">
        <f>+F6556-G6556</f>
        <v>72000</v>
      </c>
      <c r="F6556" s="508">
        <v>72000</v>
      </c>
      <c r="G6556" s="512">
        <v>0</v>
      </c>
      <c r="H6556" s="338" t="s">
        <v>2417</v>
      </c>
      <c r="I6556" s="507" t="s">
        <v>296</v>
      </c>
      <c r="K6556" s="370"/>
      <c r="N6556" s="370"/>
    </row>
    <row r="6557" spans="1:14" s="347" customFormat="1" x14ac:dyDescent="0.25">
      <c r="A6557" s="503">
        <f>+A6556</f>
        <v>44533</v>
      </c>
      <c r="B6557" s="504">
        <f>+MONTH(A6557)</f>
        <v>12</v>
      </c>
      <c r="C6557" s="505">
        <v>3110</v>
      </c>
      <c r="D6557" s="504" t="str">
        <f>VLOOKUP(C6557,Plan!A$1:B$65542,2,0)</f>
        <v>Colectas Normales</v>
      </c>
      <c r="E6557" s="506">
        <f>+F6557-G6557</f>
        <v>-72000</v>
      </c>
      <c r="F6557" s="508">
        <v>0</v>
      </c>
      <c r="G6557" s="512">
        <f>+F6556</f>
        <v>72000</v>
      </c>
      <c r="H6557" s="338" t="str">
        <f>+H6556</f>
        <v>Colecta Capilla U.de Los Andes (Nov.21)</v>
      </c>
      <c r="I6557" s="507" t="s">
        <v>296</v>
      </c>
      <c r="K6557" s="370"/>
      <c r="N6557" s="370"/>
    </row>
    <row r="6558" spans="1:14" s="347" customFormat="1" x14ac:dyDescent="0.25">
      <c r="A6558" s="369"/>
      <c r="E6558" s="396"/>
      <c r="F6558" s="396"/>
      <c r="G6558" s="396"/>
      <c r="K6558" s="370"/>
      <c r="N6558" s="370"/>
    </row>
    <row r="6559" spans="1:14" s="347" customFormat="1" x14ac:dyDescent="0.25">
      <c r="A6559" s="503">
        <v>44533</v>
      </c>
      <c r="B6559" s="504">
        <f>+MONTH(A6559)</f>
        <v>12</v>
      </c>
      <c r="C6559" s="505">
        <v>4322</v>
      </c>
      <c r="D6559" s="504" t="str">
        <f>VLOOKUP(C6559,Plan!A$1:B$65542,2,0)</f>
        <v>Agua</v>
      </c>
      <c r="E6559" s="506">
        <f>+F6559-G6559</f>
        <v>32317</v>
      </c>
      <c r="F6559" s="508">
        <v>32317</v>
      </c>
      <c r="G6559" s="512">
        <v>0</v>
      </c>
      <c r="H6559" s="338" t="s">
        <v>1456</v>
      </c>
      <c r="I6559" s="507" t="s">
        <v>296</v>
      </c>
      <c r="K6559" s="370"/>
      <c r="N6559" s="370"/>
    </row>
    <row r="6560" spans="1:14" s="347" customFormat="1" x14ac:dyDescent="0.25">
      <c r="A6560" s="503">
        <f>+A6559</f>
        <v>44533</v>
      </c>
      <c r="B6560" s="504">
        <f>+MONTH(A6560)</f>
        <v>12</v>
      </c>
      <c r="C6560" s="505">
        <v>110</v>
      </c>
      <c r="D6560" s="504" t="str">
        <f>VLOOKUP(C6560,Plan!A$1:B$65542,2,0)</f>
        <v>Disponible Administración</v>
      </c>
      <c r="E6560" s="506">
        <f>+F6560-G6560</f>
        <v>-32317</v>
      </c>
      <c r="F6560" s="508">
        <v>0</v>
      </c>
      <c r="G6560" s="512">
        <f>+F6559</f>
        <v>32317</v>
      </c>
      <c r="H6560" s="338" t="str">
        <f>+H6559</f>
        <v>PAC Aguas Cordillera Oficina</v>
      </c>
      <c r="I6560" s="507" t="s">
        <v>296</v>
      </c>
      <c r="K6560" s="370"/>
      <c r="N6560" s="370"/>
    </row>
    <row r="6561" spans="1:14" s="347" customFormat="1" x14ac:dyDescent="0.25">
      <c r="A6561" s="369"/>
      <c r="E6561" s="396"/>
      <c r="F6561" s="396"/>
      <c r="G6561" s="396"/>
      <c r="K6561" s="370"/>
      <c r="N6561" s="370"/>
    </row>
    <row r="6562" spans="1:14" s="347" customFormat="1" x14ac:dyDescent="0.25">
      <c r="A6562" s="503">
        <v>44533</v>
      </c>
      <c r="B6562" s="504">
        <f>+MONTH(A6562)</f>
        <v>12</v>
      </c>
      <c r="C6562" s="505">
        <v>110</v>
      </c>
      <c r="D6562" s="504" t="str">
        <f>VLOOKUP(C6562,Plan!A$1:B$65542,2,0)</f>
        <v>Disponible Administración</v>
      </c>
      <c r="E6562" s="506">
        <f>+F6562-G6562</f>
        <v>30000</v>
      </c>
      <c r="F6562" s="508">
        <v>30000</v>
      </c>
      <c r="G6562" s="512">
        <v>0</v>
      </c>
      <c r="H6562" s="338" t="s">
        <v>1641</v>
      </c>
      <c r="I6562" s="507" t="s">
        <v>296</v>
      </c>
      <c r="K6562" s="370"/>
      <c r="N6562" s="370"/>
    </row>
    <row r="6563" spans="1:14" s="347" customFormat="1" x14ac:dyDescent="0.25">
      <c r="A6563" s="503">
        <f>+A6562</f>
        <v>44533</v>
      </c>
      <c r="B6563" s="504">
        <f>+MONTH(A6563)</f>
        <v>12</v>
      </c>
      <c r="C6563" s="505">
        <v>215</v>
      </c>
      <c r="D6563" s="504" t="str">
        <f>VLOOKUP(C6563,Plan!A$1:B$65542,2,0)</f>
        <v>Cuenta por Pagar a Cali</v>
      </c>
      <c r="E6563" s="506">
        <f>+F6563-G6563</f>
        <v>-30000</v>
      </c>
      <c r="F6563" s="508">
        <v>0</v>
      </c>
      <c r="G6563" s="512">
        <f>+F6562</f>
        <v>30000</v>
      </c>
      <c r="H6563" s="338" t="str">
        <f>+H6562</f>
        <v>Ana María Allende Zañartu/ 248</v>
      </c>
      <c r="I6563" s="507" t="s">
        <v>296</v>
      </c>
      <c r="K6563" s="370"/>
      <c r="N6563" s="370"/>
    </row>
    <row r="6564" spans="1:14" s="347" customFormat="1" x14ac:dyDescent="0.25">
      <c r="A6564" s="369"/>
      <c r="E6564" s="396"/>
      <c r="F6564" s="396"/>
      <c r="G6564" s="396"/>
      <c r="K6564" s="370"/>
      <c r="N6564" s="370"/>
    </row>
    <row r="6565" spans="1:14" s="347" customFormat="1" x14ac:dyDescent="0.25">
      <c r="A6565" s="503">
        <v>44533</v>
      </c>
      <c r="B6565" s="504">
        <f>+MONTH(A6565)</f>
        <v>12</v>
      </c>
      <c r="C6565" s="505">
        <v>110</v>
      </c>
      <c r="D6565" s="504" t="str">
        <f>VLOOKUP(C6565,Plan!A$1:B$65542,2,0)</f>
        <v>Disponible Administración</v>
      </c>
      <c r="E6565" s="506">
        <f>+F6565-G6565</f>
        <v>64000</v>
      </c>
      <c r="F6565" s="508">
        <v>64000</v>
      </c>
      <c r="G6565" s="512">
        <v>0</v>
      </c>
      <c r="H6565" s="338" t="s">
        <v>2418</v>
      </c>
      <c r="I6565" s="507" t="s">
        <v>296</v>
      </c>
      <c r="K6565" s="370"/>
      <c r="N6565" s="370"/>
    </row>
    <row r="6566" spans="1:14" s="347" customFormat="1" x14ac:dyDescent="0.25">
      <c r="A6566" s="503">
        <f>+A6565</f>
        <v>44533</v>
      </c>
      <c r="B6566" s="504">
        <f>+MONTH(A6566)</f>
        <v>12</v>
      </c>
      <c r="C6566" s="505">
        <v>3453</v>
      </c>
      <c r="D6566" s="504" t="str">
        <f>VLOOKUP(C6566,Plan!A$1:B$65542,2,0)</f>
        <v>Cajas de navidad</v>
      </c>
      <c r="E6566" s="506">
        <f>+F6566-G6566</f>
        <v>-64000</v>
      </c>
      <c r="F6566" s="508">
        <v>0</v>
      </c>
      <c r="G6566" s="512">
        <f>+F6565</f>
        <v>64000</v>
      </c>
      <c r="H6566" s="338" t="str">
        <f>+H6565</f>
        <v>Caja Navidad Valentina Paz Gaete Momberg</v>
      </c>
      <c r="I6566" s="507" t="s">
        <v>296</v>
      </c>
      <c r="K6566" s="370"/>
      <c r="N6566" s="370"/>
    </row>
    <row r="6567" spans="1:14" s="347" customFormat="1" x14ac:dyDescent="0.25">
      <c r="A6567" s="369"/>
      <c r="E6567" s="396"/>
      <c r="F6567" s="396"/>
      <c r="G6567" s="396"/>
      <c r="K6567" s="370"/>
      <c r="N6567" s="370"/>
    </row>
    <row r="6568" spans="1:14" s="347" customFormat="1" x14ac:dyDescent="0.25">
      <c r="A6568" s="503">
        <v>44533</v>
      </c>
      <c r="B6568" s="504">
        <f>+MONTH(A6568)</f>
        <v>12</v>
      </c>
      <c r="C6568" s="505">
        <v>110</v>
      </c>
      <c r="D6568" s="504" t="str">
        <f>VLOOKUP(C6568,Plan!A$1:B$65542,2,0)</f>
        <v>Disponible Administración</v>
      </c>
      <c r="E6568" s="506">
        <f>+F6568-G6568</f>
        <v>20000</v>
      </c>
      <c r="F6568" s="508">
        <v>20000</v>
      </c>
      <c r="G6568" s="512">
        <v>0</v>
      </c>
      <c r="H6568" s="338" t="s">
        <v>906</v>
      </c>
      <c r="I6568" s="507" t="s">
        <v>296</v>
      </c>
      <c r="K6568" s="370"/>
      <c r="N6568" s="370"/>
    </row>
    <row r="6569" spans="1:14" s="347" customFormat="1" x14ac:dyDescent="0.25">
      <c r="A6569" s="503">
        <f>+A6568</f>
        <v>44533</v>
      </c>
      <c r="B6569" s="504">
        <f>+MONTH(A6569)</f>
        <v>12</v>
      </c>
      <c r="C6569" s="505">
        <v>3110</v>
      </c>
      <c r="D6569" s="504" t="str">
        <f>VLOOKUP(C6569,Plan!A$1:B$65542,2,0)</f>
        <v>Colectas Normales</v>
      </c>
      <c r="E6569" s="506">
        <f>+F6569-G6569</f>
        <v>-20000</v>
      </c>
      <c r="F6569" s="508">
        <v>0</v>
      </c>
      <c r="G6569" s="512">
        <f>+F6568</f>
        <v>20000</v>
      </c>
      <c r="H6569" s="338" t="str">
        <f>+H6568</f>
        <v>Colecta Carmen Barañao</v>
      </c>
      <c r="I6569" s="507" t="s">
        <v>296</v>
      </c>
      <c r="K6569" s="370"/>
      <c r="N6569" s="370"/>
    </row>
    <row r="6570" spans="1:14" s="347" customFormat="1" x14ac:dyDescent="0.25">
      <c r="A6570" s="515"/>
      <c r="B6570" s="517"/>
      <c r="C6570" s="518"/>
      <c r="D6570" s="517"/>
      <c r="E6570" s="341"/>
      <c r="F6570" s="345"/>
      <c r="G6570" s="519"/>
      <c r="H6570" s="338"/>
      <c r="I6570" s="520"/>
      <c r="J6570" s="340"/>
      <c r="K6570" s="209"/>
      <c r="L6570" s="340"/>
      <c r="N6570" s="370"/>
    </row>
    <row r="6571" spans="1:14" s="347" customFormat="1" x14ac:dyDescent="0.25">
      <c r="A6571" s="503">
        <v>44533</v>
      </c>
      <c r="B6571" s="504">
        <f>+MONTH(A6571)</f>
        <v>12</v>
      </c>
      <c r="C6571" s="505">
        <v>110</v>
      </c>
      <c r="D6571" s="504" t="str">
        <f>VLOOKUP(C6571,Plan!A$1:B$65542,2,0)</f>
        <v>Disponible Administración</v>
      </c>
      <c r="E6571" s="506">
        <f>+F6571-G6571</f>
        <v>4837</v>
      </c>
      <c r="F6571" s="508">
        <v>4837</v>
      </c>
      <c r="G6571" s="512">
        <v>0</v>
      </c>
      <c r="H6571" s="338" t="s">
        <v>1338</v>
      </c>
      <c r="I6571" s="507" t="s">
        <v>296</v>
      </c>
      <c r="J6571" s="340"/>
      <c r="K6571" s="209"/>
      <c r="L6571" s="340"/>
      <c r="N6571" s="370"/>
    </row>
    <row r="6572" spans="1:14" s="347" customFormat="1" x14ac:dyDescent="0.25">
      <c r="A6572" s="503">
        <f>+A6571</f>
        <v>44533</v>
      </c>
      <c r="B6572" s="504">
        <f>+MONTH(A6572)</f>
        <v>12</v>
      </c>
      <c r="C6572" s="505">
        <v>3340</v>
      </c>
      <c r="D6572" s="504" t="str">
        <f>VLOOKUP(C6572,Plan!A$1:B$65542,2,0)</f>
        <v>Misas</v>
      </c>
      <c r="E6572" s="506">
        <f>+F6572-G6572</f>
        <v>-4837</v>
      </c>
      <c r="F6572" s="508">
        <v>0</v>
      </c>
      <c r="G6572" s="512">
        <f>+F6571</f>
        <v>4837</v>
      </c>
      <c r="H6572" s="338" t="str">
        <f>+H6571</f>
        <v>Misa DCT</v>
      </c>
      <c r="I6572" s="507" t="s">
        <v>296</v>
      </c>
      <c r="J6572" s="340"/>
      <c r="K6572" s="209"/>
      <c r="L6572" s="340"/>
      <c r="N6572" s="370"/>
    </row>
    <row r="6573" spans="1:14" s="347" customFormat="1" x14ac:dyDescent="0.25">
      <c r="A6573" s="369"/>
      <c r="E6573" s="396"/>
      <c r="F6573" s="396"/>
      <c r="G6573" s="396"/>
      <c r="K6573" s="370"/>
      <c r="N6573" s="370"/>
    </row>
    <row r="6574" spans="1:14" s="347" customFormat="1" x14ac:dyDescent="0.25">
      <c r="A6574" s="503">
        <v>44533</v>
      </c>
      <c r="B6574" s="504">
        <f>+MONTH(A6574)</f>
        <v>12</v>
      </c>
      <c r="C6574" s="505">
        <v>110</v>
      </c>
      <c r="D6574" s="504" t="str">
        <f>VLOOKUP(C6574,Plan!A$1:B$65542,2,0)</f>
        <v>Disponible Administración</v>
      </c>
      <c r="E6574" s="506">
        <f>+F6574-G6574</f>
        <v>32000</v>
      </c>
      <c r="F6574" s="508">
        <v>32000</v>
      </c>
      <c r="G6574" s="512">
        <v>0</v>
      </c>
      <c r="H6574" s="338" t="s">
        <v>2419</v>
      </c>
      <c r="I6574" s="507" t="s">
        <v>296</v>
      </c>
      <c r="K6574" s="370"/>
      <c r="N6574" s="370"/>
    </row>
    <row r="6575" spans="1:14" s="347" customFormat="1" x14ac:dyDescent="0.25">
      <c r="A6575" s="503">
        <f>+A6574</f>
        <v>44533</v>
      </c>
      <c r="B6575" s="504">
        <f>+MONTH(A6575)</f>
        <v>12</v>
      </c>
      <c r="C6575" s="505">
        <v>3453</v>
      </c>
      <c r="D6575" s="504" t="str">
        <f>VLOOKUP(C6575,Plan!A$1:B$65542,2,0)</f>
        <v>Cajas de navidad</v>
      </c>
      <c r="E6575" s="506">
        <f>+F6575-G6575</f>
        <v>-32000</v>
      </c>
      <c r="F6575" s="508">
        <v>0</v>
      </c>
      <c r="G6575" s="512">
        <f>+F6574</f>
        <v>32000</v>
      </c>
      <c r="H6575" s="338" t="str">
        <f>+H6574</f>
        <v>Caja Navidad Juan Pablo Albornoz</v>
      </c>
      <c r="I6575" s="507" t="s">
        <v>296</v>
      </c>
      <c r="K6575" s="370"/>
      <c r="N6575" s="370"/>
    </row>
    <row r="6576" spans="1:14" s="347" customFormat="1" x14ac:dyDescent="0.25">
      <c r="A6576" s="369"/>
      <c r="E6576" s="396"/>
      <c r="F6576" s="396"/>
      <c r="G6576" s="396"/>
      <c r="K6576" s="370"/>
      <c r="N6576" s="370"/>
    </row>
    <row r="6577" spans="1:14" s="347" customFormat="1" x14ac:dyDescent="0.25">
      <c r="A6577" s="503">
        <v>44533</v>
      </c>
      <c r="B6577" s="504">
        <f>+MONTH(A6577)</f>
        <v>12</v>
      </c>
      <c r="C6577" s="505">
        <v>110</v>
      </c>
      <c r="D6577" s="504" t="str">
        <f>VLOOKUP(C6577,Plan!A$1:B$65542,2,0)</f>
        <v>Disponible Administración</v>
      </c>
      <c r="E6577" s="506">
        <f>+F6577-G6577</f>
        <v>96000</v>
      </c>
      <c r="F6577" s="508">
        <v>96000</v>
      </c>
      <c r="G6577" s="512">
        <v>0</v>
      </c>
      <c r="H6577" s="338" t="s">
        <v>2420</v>
      </c>
      <c r="I6577" s="507" t="s">
        <v>296</v>
      </c>
      <c r="K6577" s="370"/>
      <c r="N6577" s="370"/>
    </row>
    <row r="6578" spans="1:14" s="347" customFormat="1" x14ac:dyDescent="0.25">
      <c r="A6578" s="503">
        <f>+A6577</f>
        <v>44533</v>
      </c>
      <c r="B6578" s="504">
        <f>+MONTH(A6578)</f>
        <v>12</v>
      </c>
      <c r="C6578" s="505">
        <v>3453</v>
      </c>
      <c r="D6578" s="504" t="str">
        <f>VLOOKUP(C6578,Plan!A$1:B$65542,2,0)</f>
        <v>Cajas de navidad</v>
      </c>
      <c r="E6578" s="506">
        <f>+F6578-G6578</f>
        <v>-96000</v>
      </c>
      <c r="F6578" s="508">
        <v>0</v>
      </c>
      <c r="G6578" s="512">
        <f>+F6577</f>
        <v>96000</v>
      </c>
      <c r="H6578" s="338" t="str">
        <f>+H6577</f>
        <v>Caja Navidad Tomas Alcalde Herrera</v>
      </c>
      <c r="I6578" s="507" t="s">
        <v>296</v>
      </c>
      <c r="K6578" s="370"/>
      <c r="N6578" s="370"/>
    </row>
    <row r="6579" spans="1:14" s="347" customFormat="1" x14ac:dyDescent="0.25">
      <c r="A6579" s="369"/>
      <c r="E6579" s="396"/>
      <c r="F6579" s="396"/>
      <c r="G6579" s="396"/>
      <c r="K6579" s="370"/>
      <c r="N6579" s="370"/>
    </row>
    <row r="6580" spans="1:14" s="347" customFormat="1" x14ac:dyDescent="0.25">
      <c r="A6580" s="503">
        <v>44536</v>
      </c>
      <c r="B6580" s="504">
        <f>+MONTH(A6580)</f>
        <v>12</v>
      </c>
      <c r="C6580" s="505">
        <v>110</v>
      </c>
      <c r="D6580" s="504" t="str">
        <f>VLOOKUP(C6580,Plan!A$1:B$65542,2,0)</f>
        <v>Disponible Administración</v>
      </c>
      <c r="E6580" s="506">
        <f>+F6580-G6580</f>
        <v>64000</v>
      </c>
      <c r="F6580" s="508">
        <v>64000</v>
      </c>
      <c r="G6580" s="512">
        <v>0</v>
      </c>
      <c r="H6580" s="338" t="s">
        <v>2421</v>
      </c>
      <c r="I6580" s="507" t="s">
        <v>296</v>
      </c>
      <c r="K6580" s="370"/>
      <c r="N6580" s="370"/>
    </row>
    <row r="6581" spans="1:14" s="347" customFormat="1" x14ac:dyDescent="0.25">
      <c r="A6581" s="503">
        <f>+A6580</f>
        <v>44536</v>
      </c>
      <c r="B6581" s="504">
        <f>+MONTH(A6581)</f>
        <v>12</v>
      </c>
      <c r="C6581" s="505">
        <v>3453</v>
      </c>
      <c r="D6581" s="504" t="str">
        <f>VLOOKUP(C6581,Plan!A$1:B$65542,2,0)</f>
        <v>Cajas de navidad</v>
      </c>
      <c r="E6581" s="506">
        <f>+F6581-G6581</f>
        <v>-64000</v>
      </c>
      <c r="F6581" s="508">
        <v>0</v>
      </c>
      <c r="G6581" s="512">
        <f>+F6580</f>
        <v>64000</v>
      </c>
      <c r="H6581" s="338" t="str">
        <f>+H6580</f>
        <v>Caja Navidad Eduardo Andres Herrera Ahlers</v>
      </c>
      <c r="I6581" s="507" t="s">
        <v>296</v>
      </c>
      <c r="K6581" s="370"/>
      <c r="N6581" s="370"/>
    </row>
    <row r="6582" spans="1:14" s="347" customFormat="1" x14ac:dyDescent="0.25">
      <c r="A6582" s="369"/>
      <c r="E6582" s="396"/>
      <c r="F6582" s="396"/>
      <c r="G6582" s="396"/>
      <c r="K6582" s="370"/>
      <c r="N6582" s="370"/>
    </row>
    <row r="6583" spans="1:14" s="347" customFormat="1" x14ac:dyDescent="0.25">
      <c r="A6583" s="503">
        <v>44536</v>
      </c>
      <c r="B6583" s="504">
        <f>+MONTH(A6583)</f>
        <v>12</v>
      </c>
      <c r="C6583" s="505">
        <v>110</v>
      </c>
      <c r="D6583" s="504" t="str">
        <f>VLOOKUP(C6583,Plan!A$1:B$65542,2,0)</f>
        <v>Disponible Administración</v>
      </c>
      <c r="E6583" s="506">
        <f>+F6583-G6583</f>
        <v>30000</v>
      </c>
      <c r="F6583" s="508">
        <v>30000</v>
      </c>
      <c r="G6583" s="512">
        <v>0</v>
      </c>
      <c r="H6583" s="338" t="s">
        <v>2416</v>
      </c>
      <c r="I6583" s="507" t="s">
        <v>296</v>
      </c>
      <c r="K6583" s="370"/>
      <c r="N6583" s="370"/>
    </row>
    <row r="6584" spans="1:14" s="347" customFormat="1" x14ac:dyDescent="0.25">
      <c r="A6584" s="503">
        <f>+A6583</f>
        <v>44536</v>
      </c>
      <c r="B6584" s="504">
        <f>+MONTH(A6584)</f>
        <v>12</v>
      </c>
      <c r="C6584" s="505">
        <v>3453</v>
      </c>
      <c r="D6584" s="504" t="str">
        <f>VLOOKUP(C6584,Plan!A$1:B$65542,2,0)</f>
        <v>Cajas de navidad</v>
      </c>
      <c r="E6584" s="506">
        <f>+F6584-G6584</f>
        <v>-30000</v>
      </c>
      <c r="F6584" s="508">
        <v>0</v>
      </c>
      <c r="G6584" s="512">
        <f>+F6583</f>
        <v>30000</v>
      </c>
      <c r="H6584" s="338" t="str">
        <f>+H6583</f>
        <v>Caja Navidad Javiera Teresa Carreno Rojas</v>
      </c>
      <c r="I6584" s="507" t="s">
        <v>296</v>
      </c>
      <c r="K6584" s="370"/>
      <c r="N6584" s="370"/>
    </row>
    <row r="6585" spans="1:14" s="347" customFormat="1" x14ac:dyDescent="0.25">
      <c r="A6585" s="369"/>
      <c r="E6585" s="396"/>
      <c r="F6585" s="396"/>
      <c r="G6585" s="396"/>
      <c r="K6585" s="370"/>
      <c r="N6585" s="370"/>
    </row>
    <row r="6586" spans="1:14" s="347" customFormat="1" x14ac:dyDescent="0.25">
      <c r="A6586" s="503">
        <v>44536</v>
      </c>
      <c r="B6586" s="504">
        <f>+MONTH(A6586)</f>
        <v>12</v>
      </c>
      <c r="C6586" s="505">
        <v>110</v>
      </c>
      <c r="D6586" s="504" t="str">
        <f>VLOOKUP(C6586,Plan!A$1:B$65542,2,0)</f>
        <v>Disponible Administración</v>
      </c>
      <c r="E6586" s="506">
        <f>+F6586-G6586</f>
        <v>30000</v>
      </c>
      <c r="F6586" s="508">
        <v>30000</v>
      </c>
      <c r="G6586" s="512">
        <v>0</v>
      </c>
      <c r="H6586" s="338" t="s">
        <v>951</v>
      </c>
      <c r="I6586" s="507" t="s">
        <v>296</v>
      </c>
      <c r="K6586" s="370"/>
      <c r="N6586" s="370"/>
    </row>
    <row r="6587" spans="1:14" s="347" customFormat="1" x14ac:dyDescent="0.25">
      <c r="A6587" s="503">
        <f>+A6586</f>
        <v>44536</v>
      </c>
      <c r="B6587" s="504">
        <f>+MONTH(A6587)</f>
        <v>12</v>
      </c>
      <c r="C6587" s="505">
        <v>3110</v>
      </c>
      <c r="D6587" s="504" t="str">
        <f>VLOOKUP(C6587,Plan!A$1:B$65542,2,0)</f>
        <v>Colectas Normales</v>
      </c>
      <c r="E6587" s="506">
        <f>+F6587-G6587</f>
        <v>-30000</v>
      </c>
      <c r="F6587" s="508">
        <v>0</v>
      </c>
      <c r="G6587" s="512">
        <f>+F6586</f>
        <v>30000</v>
      </c>
      <c r="H6587" s="338" t="str">
        <f>+H6586</f>
        <v>Colecta Cyril Hodgson Larrain</v>
      </c>
      <c r="I6587" s="507" t="s">
        <v>296</v>
      </c>
      <c r="K6587" s="370"/>
      <c r="N6587" s="370"/>
    </row>
    <row r="6588" spans="1:14" s="347" customFormat="1" x14ac:dyDescent="0.25">
      <c r="A6588" s="369"/>
      <c r="E6588" s="396"/>
      <c r="F6588" s="396"/>
      <c r="G6588" s="396"/>
      <c r="K6588" s="370"/>
      <c r="N6588" s="370"/>
    </row>
    <row r="6589" spans="1:14" s="347" customFormat="1" x14ac:dyDescent="0.25">
      <c r="A6589" s="503">
        <v>44536</v>
      </c>
      <c r="B6589" s="504">
        <f>+MONTH(A6589)</f>
        <v>12</v>
      </c>
      <c r="C6589" s="505">
        <v>110</v>
      </c>
      <c r="D6589" s="504" t="str">
        <f>VLOOKUP(C6589,Plan!A$1:B$65542,2,0)</f>
        <v>Disponible Administración</v>
      </c>
      <c r="E6589" s="506">
        <f>+F6589-G6589</f>
        <v>72000</v>
      </c>
      <c r="F6589" s="508">
        <v>72000</v>
      </c>
      <c r="G6589" s="512">
        <v>0</v>
      </c>
      <c r="H6589" s="338" t="s">
        <v>2416</v>
      </c>
      <c r="I6589" s="507" t="s">
        <v>296</v>
      </c>
      <c r="K6589" s="370"/>
      <c r="N6589" s="370"/>
    </row>
    <row r="6590" spans="1:14" s="347" customFormat="1" x14ac:dyDescent="0.25">
      <c r="A6590" s="503">
        <f>+A6589</f>
        <v>44536</v>
      </c>
      <c r="B6590" s="504">
        <f>+MONTH(A6590)</f>
        <v>12</v>
      </c>
      <c r="C6590" s="505">
        <v>3453</v>
      </c>
      <c r="D6590" s="504" t="str">
        <f>VLOOKUP(C6590,Plan!A$1:B$65542,2,0)</f>
        <v>Cajas de navidad</v>
      </c>
      <c r="E6590" s="506">
        <f>+F6590-G6590</f>
        <v>-72000</v>
      </c>
      <c r="F6590" s="508">
        <v>0</v>
      </c>
      <c r="G6590" s="512">
        <f>+F6589</f>
        <v>72000</v>
      </c>
      <c r="H6590" s="338" t="str">
        <f>+H6589</f>
        <v>Caja Navidad Javiera Teresa Carreno Rojas</v>
      </c>
      <c r="I6590" s="507" t="s">
        <v>296</v>
      </c>
      <c r="K6590" s="370"/>
      <c r="N6590" s="370"/>
    </row>
    <row r="6591" spans="1:14" s="347" customFormat="1" x14ac:dyDescent="0.25">
      <c r="A6591" s="369"/>
      <c r="E6591" s="396"/>
      <c r="F6591" s="396"/>
      <c r="G6591" s="396"/>
      <c r="K6591" s="370"/>
      <c r="N6591" s="370"/>
    </row>
    <row r="6592" spans="1:14" s="347" customFormat="1" x14ac:dyDescent="0.25">
      <c r="A6592" s="503">
        <v>44536</v>
      </c>
      <c r="B6592" s="504">
        <f>+MONTH(A6592)</f>
        <v>12</v>
      </c>
      <c r="C6592" s="505">
        <v>4340</v>
      </c>
      <c r="D6592" s="504" t="str">
        <f>VLOOKUP(C6592,Plan!A$1:B$65542,2,0)</f>
        <v>Caja Chica</v>
      </c>
      <c r="E6592" s="506">
        <f>+F6592-G6592</f>
        <v>259008</v>
      </c>
      <c r="F6592" s="508">
        <v>259008</v>
      </c>
      <c r="G6592" s="512">
        <v>0</v>
      </c>
      <c r="H6592" s="370" t="s">
        <v>2028</v>
      </c>
      <c r="I6592" s="507" t="s">
        <v>296</v>
      </c>
      <c r="K6592" s="370"/>
      <c r="N6592" s="370"/>
    </row>
    <row r="6593" spans="1:14" s="347" customFormat="1" x14ac:dyDescent="0.25">
      <c r="A6593" s="503">
        <f>+A6592</f>
        <v>44536</v>
      </c>
      <c r="B6593" s="504">
        <f>+MONTH(A6593)</f>
        <v>12</v>
      </c>
      <c r="C6593" s="505">
        <v>110</v>
      </c>
      <c r="D6593" s="504" t="str">
        <f>VLOOKUP(C6593,Plan!A$1:B$65542,2,0)</f>
        <v>Disponible Administración</v>
      </c>
      <c r="E6593" s="506">
        <f>+F6593-G6593</f>
        <v>-259008</v>
      </c>
      <c r="F6593" s="508">
        <v>0</v>
      </c>
      <c r="G6593" s="512">
        <f>+F6592</f>
        <v>259008</v>
      </c>
      <c r="H6593" s="338" t="str">
        <f>+H6592</f>
        <v>Rend.Caja Chica Abr-Jul</v>
      </c>
      <c r="I6593" s="507" t="s">
        <v>296</v>
      </c>
      <c r="K6593" s="370"/>
      <c r="N6593" s="370"/>
    </row>
    <row r="6594" spans="1:14" s="347" customFormat="1" x14ac:dyDescent="0.25">
      <c r="A6594" s="369"/>
      <c r="E6594" s="396"/>
      <c r="F6594" s="396"/>
      <c r="G6594" s="396"/>
      <c r="K6594" s="370"/>
      <c r="N6594" s="370"/>
    </row>
    <row r="6595" spans="1:14" s="347" customFormat="1" x14ac:dyDescent="0.25">
      <c r="A6595" s="503">
        <v>44536</v>
      </c>
      <c r="B6595" s="504">
        <f>+MONTH(A6595)</f>
        <v>12</v>
      </c>
      <c r="C6595" s="505">
        <v>110</v>
      </c>
      <c r="D6595" s="504" t="str">
        <f>VLOOKUP(C6595,Plan!A$1:B$65542,2,0)</f>
        <v>Disponible Administración</v>
      </c>
      <c r="E6595" s="506">
        <f>+F6595-G6595</f>
        <v>32000</v>
      </c>
      <c r="F6595" s="508">
        <v>32000</v>
      </c>
      <c r="G6595" s="512">
        <v>0</v>
      </c>
      <c r="H6595" s="370" t="s">
        <v>2422</v>
      </c>
      <c r="I6595" s="507" t="s">
        <v>296</v>
      </c>
      <c r="K6595" s="370"/>
      <c r="N6595" s="370"/>
    </row>
    <row r="6596" spans="1:14" s="347" customFormat="1" x14ac:dyDescent="0.25">
      <c r="A6596" s="503">
        <f>+A6595</f>
        <v>44536</v>
      </c>
      <c r="B6596" s="504">
        <f>+MONTH(A6596)</f>
        <v>12</v>
      </c>
      <c r="C6596" s="505">
        <v>3453</v>
      </c>
      <c r="D6596" s="504" t="str">
        <f>VLOOKUP(C6596,Plan!A$1:B$65542,2,0)</f>
        <v>Cajas de navidad</v>
      </c>
      <c r="E6596" s="506">
        <f>+F6596-G6596</f>
        <v>-32000</v>
      </c>
      <c r="F6596" s="508">
        <v>0</v>
      </c>
      <c r="G6596" s="512">
        <f>+F6595</f>
        <v>32000</v>
      </c>
      <c r="H6596" s="338" t="str">
        <f>+H6595</f>
        <v>Caja Navidad Blanca Caprioli</v>
      </c>
      <c r="I6596" s="507" t="s">
        <v>296</v>
      </c>
      <c r="K6596" s="370"/>
      <c r="N6596" s="370"/>
    </row>
    <row r="6597" spans="1:14" s="347" customFormat="1" x14ac:dyDescent="0.25">
      <c r="A6597" s="369"/>
      <c r="E6597" s="396"/>
      <c r="F6597" s="396"/>
      <c r="G6597" s="396"/>
      <c r="K6597" s="370"/>
      <c r="N6597" s="370"/>
    </row>
    <row r="6598" spans="1:14" s="347" customFormat="1" x14ac:dyDescent="0.25">
      <c r="A6598" s="503">
        <v>44536</v>
      </c>
      <c r="B6598" s="504">
        <f>+MONTH(A6598)</f>
        <v>12</v>
      </c>
      <c r="C6598" s="505">
        <v>110</v>
      </c>
      <c r="D6598" s="504" t="str">
        <f>VLOOKUP(C6598,Plan!A$1:B$65542,2,0)</f>
        <v>Disponible Administración</v>
      </c>
      <c r="E6598" s="506">
        <f>+F6598-G6598</f>
        <v>160000</v>
      </c>
      <c r="F6598" s="508">
        <v>160000</v>
      </c>
      <c r="G6598" s="512">
        <v>0</v>
      </c>
      <c r="H6598" s="370" t="s">
        <v>2423</v>
      </c>
      <c r="I6598" s="507" t="s">
        <v>296</v>
      </c>
      <c r="K6598" s="370"/>
      <c r="N6598" s="370"/>
    </row>
    <row r="6599" spans="1:14" s="347" customFormat="1" x14ac:dyDescent="0.25">
      <c r="A6599" s="503">
        <f>+A6598</f>
        <v>44536</v>
      </c>
      <c r="B6599" s="504">
        <f>+MONTH(A6599)</f>
        <v>12</v>
      </c>
      <c r="C6599" s="505">
        <v>3453</v>
      </c>
      <c r="D6599" s="504" t="str">
        <f>VLOOKUP(C6599,Plan!A$1:B$65542,2,0)</f>
        <v>Cajas de navidad</v>
      </c>
      <c r="E6599" s="506">
        <f>+F6599-G6599</f>
        <v>-160000</v>
      </c>
      <c r="F6599" s="508">
        <v>0</v>
      </c>
      <c r="G6599" s="512">
        <f>+F6598</f>
        <v>160000</v>
      </c>
      <c r="H6599" s="338" t="str">
        <f>+H6598</f>
        <v>Caja Navidad Eduardo Calvimontes</v>
      </c>
      <c r="I6599" s="507" t="s">
        <v>296</v>
      </c>
      <c r="K6599" s="370"/>
      <c r="N6599" s="370"/>
    </row>
    <row r="6600" spans="1:14" s="347" customFormat="1" x14ac:dyDescent="0.25">
      <c r="A6600" s="369"/>
      <c r="E6600" s="396"/>
      <c r="F6600" s="396"/>
      <c r="G6600" s="396"/>
      <c r="K6600" s="370"/>
      <c r="N6600" s="370"/>
    </row>
    <row r="6601" spans="1:14" s="347" customFormat="1" x14ac:dyDescent="0.25">
      <c r="A6601" s="503">
        <v>44536</v>
      </c>
      <c r="B6601" s="504">
        <f>+MONTH(A6601)</f>
        <v>12</v>
      </c>
      <c r="C6601" s="505">
        <v>110</v>
      </c>
      <c r="D6601" s="504" t="str">
        <f>VLOOKUP(C6601,Plan!A$1:B$65542,2,0)</f>
        <v>Disponible Administración</v>
      </c>
      <c r="E6601" s="506">
        <f>+F6601-G6601</f>
        <v>40000</v>
      </c>
      <c r="F6601" s="508">
        <v>40000</v>
      </c>
      <c r="G6601" s="512">
        <v>0</v>
      </c>
      <c r="H6601" s="370" t="s">
        <v>2424</v>
      </c>
      <c r="I6601" s="507" t="s">
        <v>296</v>
      </c>
      <c r="K6601" s="370"/>
      <c r="N6601" s="370"/>
    </row>
    <row r="6602" spans="1:14" s="347" customFormat="1" x14ac:dyDescent="0.25">
      <c r="A6602" s="503">
        <f>+A6601</f>
        <v>44536</v>
      </c>
      <c r="B6602" s="504">
        <f>+MONTH(A6602)</f>
        <v>12</v>
      </c>
      <c r="C6602" s="505">
        <v>3110</v>
      </c>
      <c r="D6602" s="504" t="str">
        <f>VLOOKUP(C6602,Plan!A$1:B$65542,2,0)</f>
        <v>Colectas Normales</v>
      </c>
      <c r="E6602" s="506">
        <f>+F6602-G6602</f>
        <v>-40000</v>
      </c>
      <c r="F6602" s="508">
        <v>0</v>
      </c>
      <c r="G6602" s="512">
        <f>+F6601</f>
        <v>40000</v>
      </c>
      <c r="H6602" s="338" t="str">
        <f>+H6601</f>
        <v>Colecta Patricia Lorca</v>
      </c>
      <c r="I6602" s="507" t="s">
        <v>296</v>
      </c>
      <c r="K6602" s="370"/>
      <c r="N6602" s="370"/>
    </row>
    <row r="6603" spans="1:14" s="347" customFormat="1" x14ac:dyDescent="0.25">
      <c r="A6603" s="369"/>
      <c r="E6603" s="396"/>
      <c r="F6603" s="396"/>
      <c r="G6603" s="396"/>
      <c r="K6603" s="370"/>
      <c r="N6603" s="370"/>
    </row>
    <row r="6604" spans="1:14" s="347" customFormat="1" x14ac:dyDescent="0.25">
      <c r="A6604" s="503">
        <v>44536</v>
      </c>
      <c r="B6604" s="504">
        <f>+MONTH(A6604)</f>
        <v>12</v>
      </c>
      <c r="C6604" s="505">
        <v>110</v>
      </c>
      <c r="D6604" s="504" t="str">
        <f>VLOOKUP(C6604,Plan!A$1:B$65542,2,0)</f>
        <v>Disponible Administración</v>
      </c>
      <c r="E6604" s="506">
        <f>+F6604-G6604</f>
        <v>20000</v>
      </c>
      <c r="F6604" s="508">
        <v>20000</v>
      </c>
      <c r="G6604" s="512">
        <v>0</v>
      </c>
      <c r="H6604" s="370" t="s">
        <v>2425</v>
      </c>
      <c r="I6604" s="507" t="s">
        <v>296</v>
      </c>
      <c r="K6604" s="370"/>
      <c r="N6604" s="370"/>
    </row>
    <row r="6605" spans="1:14" s="347" customFormat="1" x14ac:dyDescent="0.25">
      <c r="A6605" s="503">
        <f>+A6604</f>
        <v>44536</v>
      </c>
      <c r="B6605" s="504">
        <f>+MONTH(A6605)</f>
        <v>12</v>
      </c>
      <c r="C6605" s="505">
        <v>3350</v>
      </c>
      <c r="D6605" s="504" t="str">
        <f>VLOOKUP(C6605,Plan!A$1:B$65542,2,0)</f>
        <v>Bautizos</v>
      </c>
      <c r="E6605" s="506">
        <f>+F6605-G6605</f>
        <v>-20000</v>
      </c>
      <c r="F6605" s="508">
        <v>0</v>
      </c>
      <c r="G6605" s="512">
        <f>+F6604</f>
        <v>20000</v>
      </c>
      <c r="H6605" s="338" t="str">
        <f>+H6604</f>
        <v xml:space="preserve">Bautizo María del Pilar Otaegui </v>
      </c>
      <c r="I6605" s="507" t="s">
        <v>296</v>
      </c>
      <c r="K6605" s="370"/>
      <c r="N6605" s="370"/>
    </row>
    <row r="6606" spans="1:14" s="347" customFormat="1" x14ac:dyDescent="0.25">
      <c r="A6606" s="369"/>
      <c r="E6606" s="396"/>
      <c r="F6606" s="396"/>
      <c r="G6606" s="396"/>
      <c r="K6606" s="370"/>
      <c r="N6606" s="370"/>
    </row>
    <row r="6607" spans="1:14" s="347" customFormat="1" x14ac:dyDescent="0.25">
      <c r="A6607" s="503">
        <v>44536</v>
      </c>
      <c r="B6607" s="504">
        <f>+MONTH(A6607)</f>
        <v>12</v>
      </c>
      <c r="C6607" s="505">
        <v>110</v>
      </c>
      <c r="D6607" s="504" t="str">
        <f>VLOOKUP(C6607,Plan!A$1:B$65542,2,0)</f>
        <v>Disponible Administración</v>
      </c>
      <c r="E6607" s="506">
        <f>+F6607-G6607</f>
        <v>30000</v>
      </c>
      <c r="F6607" s="508">
        <v>30000</v>
      </c>
      <c r="G6607" s="512">
        <v>0</v>
      </c>
      <c r="H6607" s="370" t="s">
        <v>2426</v>
      </c>
      <c r="I6607" s="507" t="s">
        <v>296</v>
      </c>
      <c r="K6607" s="370"/>
      <c r="N6607" s="370"/>
    </row>
    <row r="6608" spans="1:14" s="347" customFormat="1" x14ac:dyDescent="0.25">
      <c r="A6608" s="503">
        <f>+A6607</f>
        <v>44536</v>
      </c>
      <c r="B6608" s="504">
        <f>+MONTH(A6608)</f>
        <v>12</v>
      </c>
      <c r="C6608" s="505">
        <v>3453</v>
      </c>
      <c r="D6608" s="504" t="str">
        <f>VLOOKUP(C6608,Plan!A$1:B$65542,2,0)</f>
        <v>Cajas de navidad</v>
      </c>
      <c r="E6608" s="506">
        <f>+F6608-G6608</f>
        <v>-30000</v>
      </c>
      <c r="F6608" s="508">
        <v>0</v>
      </c>
      <c r="G6608" s="512">
        <f>+F6607</f>
        <v>30000</v>
      </c>
      <c r="H6608" s="338" t="str">
        <f>+H6607</f>
        <v>Caja Navidad Rita Vasquez Godoy</v>
      </c>
      <c r="I6608" s="507" t="s">
        <v>296</v>
      </c>
      <c r="K6608" s="370"/>
      <c r="N6608" s="370"/>
    </row>
    <row r="6609" spans="1:14" s="347" customFormat="1" x14ac:dyDescent="0.25">
      <c r="A6609" s="369"/>
      <c r="E6609" s="396"/>
      <c r="F6609" s="396"/>
      <c r="G6609" s="396"/>
      <c r="K6609" s="370"/>
      <c r="N6609" s="370"/>
    </row>
    <row r="6610" spans="1:14" s="347" customFormat="1" x14ac:dyDescent="0.25">
      <c r="A6610" s="503">
        <v>44536</v>
      </c>
      <c r="B6610" s="504">
        <f>+MONTH(A6610)</f>
        <v>12</v>
      </c>
      <c r="C6610" s="505">
        <v>110</v>
      </c>
      <c r="D6610" s="504" t="str">
        <f>VLOOKUP(C6610,Plan!A$1:B$65542,2,0)</f>
        <v>Disponible Administración</v>
      </c>
      <c r="E6610" s="506">
        <f>+F6610-G6610</f>
        <v>40000</v>
      </c>
      <c r="F6610" s="508">
        <v>40000</v>
      </c>
      <c r="G6610" s="512">
        <v>0</v>
      </c>
      <c r="H6610" s="370" t="s">
        <v>2427</v>
      </c>
      <c r="I6610" s="507" t="s">
        <v>296</v>
      </c>
      <c r="K6610" s="370"/>
      <c r="N6610" s="370"/>
    </row>
    <row r="6611" spans="1:14" s="347" customFormat="1" x14ac:dyDescent="0.25">
      <c r="A6611" s="503">
        <f>+A6610</f>
        <v>44536</v>
      </c>
      <c r="B6611" s="504">
        <f>+MONTH(A6611)</f>
        <v>12</v>
      </c>
      <c r="C6611" s="505">
        <v>3453</v>
      </c>
      <c r="D6611" s="504" t="str">
        <f>VLOOKUP(C6611,Plan!A$1:B$65542,2,0)</f>
        <v>Cajas de navidad</v>
      </c>
      <c r="E6611" s="506">
        <f>+F6611-G6611</f>
        <v>-40000</v>
      </c>
      <c r="F6611" s="508">
        <v>0</v>
      </c>
      <c r="G6611" s="512">
        <f>+F6610</f>
        <v>40000</v>
      </c>
      <c r="H6611" s="338" t="str">
        <f>+H6610</f>
        <v>Caja Navidad Rita Barría Vasquez</v>
      </c>
      <c r="I6611" s="507" t="s">
        <v>296</v>
      </c>
      <c r="K6611" s="370"/>
      <c r="N6611" s="370"/>
    </row>
    <row r="6612" spans="1:14" s="347" customFormat="1" x14ac:dyDescent="0.25">
      <c r="A6612" s="369"/>
      <c r="E6612" s="396"/>
      <c r="F6612" s="396"/>
      <c r="G6612" s="396"/>
      <c r="K6612" s="370"/>
      <c r="N6612" s="370"/>
    </row>
    <row r="6613" spans="1:14" s="347" customFormat="1" x14ac:dyDescent="0.25">
      <c r="A6613" s="503">
        <v>44536</v>
      </c>
      <c r="B6613" s="504">
        <f>+MONTH(A6613)</f>
        <v>12</v>
      </c>
      <c r="C6613" s="505">
        <v>110</v>
      </c>
      <c r="D6613" s="504" t="str">
        <f>VLOOKUP(C6613,Plan!A$1:B$65542,2,0)</f>
        <v>Disponible Administración</v>
      </c>
      <c r="E6613" s="506">
        <f>+F6613-G6613</f>
        <v>10000</v>
      </c>
      <c r="F6613" s="508">
        <v>10000</v>
      </c>
      <c r="G6613" s="512">
        <v>0</v>
      </c>
      <c r="H6613" s="370" t="s">
        <v>881</v>
      </c>
      <c r="I6613" s="507" t="s">
        <v>296</v>
      </c>
      <c r="K6613" s="370"/>
      <c r="N6613" s="370"/>
    </row>
    <row r="6614" spans="1:14" s="347" customFormat="1" x14ac:dyDescent="0.25">
      <c r="A6614" s="503">
        <f>+A6613</f>
        <v>44536</v>
      </c>
      <c r="B6614" s="504">
        <f>+MONTH(A6614)</f>
        <v>12</v>
      </c>
      <c r="C6614" s="505">
        <v>3110</v>
      </c>
      <c r="D6614" s="504" t="str">
        <f>VLOOKUP(C6614,Plan!A$1:B$65542,2,0)</f>
        <v>Colectas Normales</v>
      </c>
      <c r="E6614" s="506">
        <f>+F6614-G6614</f>
        <v>-10000</v>
      </c>
      <c r="F6614" s="508">
        <v>0</v>
      </c>
      <c r="G6614" s="512">
        <f>+F6613</f>
        <v>10000</v>
      </c>
      <c r="H6614" s="338" t="str">
        <f>+H6613</f>
        <v>Colecta Rafael Marin Jordan</v>
      </c>
      <c r="I6614" s="507" t="s">
        <v>296</v>
      </c>
      <c r="K6614" s="370"/>
      <c r="N6614" s="370"/>
    </row>
    <row r="6615" spans="1:14" s="347" customFormat="1" x14ac:dyDescent="0.25">
      <c r="A6615" s="369"/>
      <c r="E6615" s="396"/>
      <c r="F6615" s="396"/>
      <c r="G6615" s="396"/>
      <c r="K6615" s="370"/>
      <c r="N6615" s="370"/>
    </row>
    <row r="6616" spans="1:14" s="347" customFormat="1" x14ac:dyDescent="0.25">
      <c r="A6616" s="503">
        <v>44536</v>
      </c>
      <c r="B6616" s="504">
        <f>+MONTH(A6616)</f>
        <v>12</v>
      </c>
      <c r="C6616" s="505">
        <v>110</v>
      </c>
      <c r="D6616" s="504" t="str">
        <f>VLOOKUP(C6616,Plan!A$1:B$65542,2,0)</f>
        <v>Disponible Administración</v>
      </c>
      <c r="E6616" s="506">
        <f>+F6616-G6616</f>
        <v>32000</v>
      </c>
      <c r="F6616" s="508">
        <v>32000</v>
      </c>
      <c r="G6616" s="512">
        <v>0</v>
      </c>
      <c r="H6616" s="370" t="s">
        <v>2428</v>
      </c>
      <c r="I6616" s="507" t="s">
        <v>296</v>
      </c>
      <c r="K6616" s="370"/>
      <c r="N6616" s="370"/>
    </row>
    <row r="6617" spans="1:14" s="347" customFormat="1" x14ac:dyDescent="0.25">
      <c r="A6617" s="503">
        <f>+A6616</f>
        <v>44536</v>
      </c>
      <c r="B6617" s="504">
        <f>+MONTH(A6617)</f>
        <v>12</v>
      </c>
      <c r="C6617" s="505">
        <v>3453</v>
      </c>
      <c r="D6617" s="504" t="str">
        <f>VLOOKUP(C6617,Plan!A$1:B$65542,2,0)</f>
        <v>Cajas de navidad</v>
      </c>
      <c r="E6617" s="506">
        <f>+F6617-G6617</f>
        <v>-32000</v>
      </c>
      <c r="F6617" s="508">
        <v>0</v>
      </c>
      <c r="G6617" s="512">
        <f>+F6616</f>
        <v>32000</v>
      </c>
      <c r="H6617" s="338" t="str">
        <f>+H6616</f>
        <v>Caja Navidad Sofia de Leon</v>
      </c>
      <c r="I6617" s="507" t="s">
        <v>296</v>
      </c>
      <c r="K6617" s="370"/>
      <c r="N6617" s="370"/>
    </row>
    <row r="6618" spans="1:14" s="347" customFormat="1" x14ac:dyDescent="0.25">
      <c r="A6618" s="369"/>
      <c r="E6618" s="396"/>
      <c r="F6618" s="396"/>
      <c r="G6618" s="396"/>
      <c r="K6618" s="370"/>
      <c r="N6618" s="370"/>
    </row>
    <row r="6619" spans="1:14" s="347" customFormat="1" x14ac:dyDescent="0.25">
      <c r="A6619" s="503">
        <v>44536</v>
      </c>
      <c r="B6619" s="504">
        <f>+MONTH(A6619)</f>
        <v>12</v>
      </c>
      <c r="C6619" s="505">
        <v>110</v>
      </c>
      <c r="D6619" s="504" t="str">
        <f>VLOOKUP(C6619,Plan!A$1:B$65542,2,0)</f>
        <v>Disponible Administración</v>
      </c>
      <c r="E6619" s="506">
        <f>+F6619-G6619</f>
        <v>10000</v>
      </c>
      <c r="F6619" s="508">
        <v>10000</v>
      </c>
      <c r="G6619" s="512">
        <v>0</v>
      </c>
      <c r="H6619" s="370" t="s">
        <v>2124</v>
      </c>
      <c r="I6619" s="507" t="s">
        <v>296</v>
      </c>
      <c r="K6619" s="370"/>
      <c r="N6619" s="370"/>
    </row>
    <row r="6620" spans="1:14" s="347" customFormat="1" x14ac:dyDescent="0.25">
      <c r="A6620" s="503">
        <f>+A6619</f>
        <v>44536</v>
      </c>
      <c r="B6620" s="504">
        <f>+MONTH(A6620)</f>
        <v>12</v>
      </c>
      <c r="C6620" s="505">
        <v>3110</v>
      </c>
      <c r="D6620" s="504" t="str">
        <f>VLOOKUP(C6620,Plan!A$1:B$65542,2,0)</f>
        <v>Colectas Normales</v>
      </c>
      <c r="E6620" s="506">
        <f>+F6620-G6620</f>
        <v>-10000</v>
      </c>
      <c r="F6620" s="508">
        <v>0</v>
      </c>
      <c r="G6620" s="512">
        <f>+F6619</f>
        <v>10000</v>
      </c>
      <c r="H6620" s="338" t="str">
        <f>+H6619</f>
        <v>Colecta Pablo Irarrázaval Mena</v>
      </c>
      <c r="I6620" s="507" t="s">
        <v>296</v>
      </c>
      <c r="K6620" s="370"/>
      <c r="N6620" s="370"/>
    </row>
    <row r="6621" spans="1:14" s="347" customFormat="1" x14ac:dyDescent="0.25">
      <c r="A6621" s="369"/>
      <c r="E6621" s="396"/>
      <c r="F6621" s="396"/>
      <c r="G6621" s="396"/>
      <c r="K6621" s="370"/>
      <c r="N6621" s="370"/>
    </row>
    <row r="6622" spans="1:14" s="347" customFormat="1" x14ac:dyDescent="0.25">
      <c r="A6622" s="503">
        <v>44536</v>
      </c>
      <c r="B6622" s="504">
        <f>+MONTH(A6622)</f>
        <v>12</v>
      </c>
      <c r="C6622" s="505">
        <v>110</v>
      </c>
      <c r="D6622" s="504" t="str">
        <f>VLOOKUP(C6622,Plan!A$1:B$65542,2,0)</f>
        <v>Disponible Administración</v>
      </c>
      <c r="E6622" s="506">
        <f>+F6622-G6622</f>
        <v>3000</v>
      </c>
      <c r="F6622" s="508">
        <v>3000</v>
      </c>
      <c r="G6622" s="512">
        <v>0</v>
      </c>
      <c r="H6622" s="370" t="s">
        <v>1106</v>
      </c>
      <c r="I6622" s="507" t="s">
        <v>296</v>
      </c>
      <c r="K6622" s="370"/>
      <c r="N6622" s="370"/>
    </row>
    <row r="6623" spans="1:14" s="347" customFormat="1" x14ac:dyDescent="0.25">
      <c r="A6623" s="503">
        <f>+A6622</f>
        <v>44536</v>
      </c>
      <c r="B6623" s="504">
        <f>+MONTH(A6623)</f>
        <v>12</v>
      </c>
      <c r="C6623" s="505">
        <v>3110</v>
      </c>
      <c r="D6623" s="504" t="str">
        <f>VLOOKUP(C6623,Plan!A$1:B$65542,2,0)</f>
        <v>Colectas Normales</v>
      </c>
      <c r="E6623" s="506">
        <f>+F6623-G6623</f>
        <v>-3000</v>
      </c>
      <c r="F6623" s="508">
        <v>0</v>
      </c>
      <c r="G6623" s="512">
        <f>+F6622</f>
        <v>3000</v>
      </c>
      <c r="H6623" s="338" t="str">
        <f>+H6622</f>
        <v>Colecta José Miguel Pérez de Castro Z.</v>
      </c>
      <c r="I6623" s="507" t="s">
        <v>296</v>
      </c>
      <c r="K6623" s="370"/>
      <c r="N6623" s="370"/>
    </row>
    <row r="6624" spans="1:14" s="347" customFormat="1" x14ac:dyDescent="0.25">
      <c r="A6624" s="369"/>
      <c r="E6624" s="396"/>
      <c r="F6624" s="396"/>
      <c r="G6624" s="396"/>
      <c r="K6624" s="370"/>
      <c r="N6624" s="370"/>
    </row>
    <row r="6625" spans="1:14" s="347" customFormat="1" x14ac:dyDescent="0.25">
      <c r="A6625" s="503">
        <v>44536</v>
      </c>
      <c r="B6625" s="504">
        <f>+MONTH(A6625)</f>
        <v>12</v>
      </c>
      <c r="C6625" s="505">
        <v>110</v>
      </c>
      <c r="D6625" s="504" t="str">
        <f>VLOOKUP(C6625,Plan!A$1:B$65542,2,0)</f>
        <v>Disponible Administración</v>
      </c>
      <c r="E6625" s="506">
        <f>+F6625-G6625</f>
        <v>32000</v>
      </c>
      <c r="F6625" s="508">
        <v>32000</v>
      </c>
      <c r="G6625" s="512">
        <v>0</v>
      </c>
      <c r="H6625" s="370" t="s">
        <v>2429</v>
      </c>
      <c r="I6625" s="507" t="s">
        <v>296</v>
      </c>
      <c r="K6625" s="370"/>
      <c r="N6625" s="370"/>
    </row>
    <row r="6626" spans="1:14" s="347" customFormat="1" x14ac:dyDescent="0.25">
      <c r="A6626" s="503">
        <f>+A6625</f>
        <v>44536</v>
      </c>
      <c r="B6626" s="504">
        <f>+MONTH(A6626)</f>
        <v>12</v>
      </c>
      <c r="C6626" s="505">
        <v>3453</v>
      </c>
      <c r="D6626" s="504" t="str">
        <f>VLOOKUP(C6626,Plan!A$1:B$65542,2,0)</f>
        <v>Cajas de navidad</v>
      </c>
      <c r="E6626" s="506">
        <f>+F6626-G6626</f>
        <v>-32000</v>
      </c>
      <c r="F6626" s="508">
        <v>0</v>
      </c>
      <c r="G6626" s="512">
        <f>+F6625</f>
        <v>32000</v>
      </c>
      <c r="H6626" s="338" t="str">
        <f>+H6625</f>
        <v>Caja Navidad Patricia Lorca</v>
      </c>
      <c r="I6626" s="507" t="s">
        <v>296</v>
      </c>
      <c r="K6626" s="370"/>
      <c r="N6626" s="370"/>
    </row>
    <row r="6627" spans="1:14" s="347" customFormat="1" x14ac:dyDescent="0.25">
      <c r="A6627" s="369"/>
      <c r="E6627" s="396"/>
      <c r="F6627" s="396"/>
      <c r="G6627" s="396"/>
      <c r="K6627" s="370"/>
      <c r="N6627" s="370"/>
    </row>
    <row r="6628" spans="1:14" s="347" customFormat="1" x14ac:dyDescent="0.25">
      <c r="A6628" s="503">
        <v>44536</v>
      </c>
      <c r="B6628" s="504">
        <f>+MONTH(A6628)</f>
        <v>12</v>
      </c>
      <c r="C6628" s="505">
        <v>110</v>
      </c>
      <c r="D6628" s="504" t="str">
        <f>VLOOKUP(C6628,Plan!A$1:B$65542,2,0)</f>
        <v>Disponible Administración</v>
      </c>
      <c r="E6628" s="506">
        <f>+F6628-G6628</f>
        <v>50000</v>
      </c>
      <c r="F6628" s="508">
        <v>50000</v>
      </c>
      <c r="G6628" s="512">
        <v>0</v>
      </c>
      <c r="H6628" s="370" t="s">
        <v>733</v>
      </c>
      <c r="I6628" s="507" t="s">
        <v>296</v>
      </c>
      <c r="K6628" s="370"/>
      <c r="N6628" s="370"/>
    </row>
    <row r="6629" spans="1:14" s="347" customFormat="1" x14ac:dyDescent="0.25">
      <c r="A6629" s="503">
        <f>+A6628</f>
        <v>44536</v>
      </c>
      <c r="B6629" s="504">
        <f>+MONTH(A6629)</f>
        <v>12</v>
      </c>
      <c r="C6629" s="505">
        <v>215</v>
      </c>
      <c r="D6629" s="504" t="str">
        <f>VLOOKUP(C6629,Plan!A$1:B$65542,2,0)</f>
        <v>Cuenta por Pagar a Cali</v>
      </c>
      <c r="E6629" s="506">
        <f>+F6629-G6629</f>
        <v>-50000</v>
      </c>
      <c r="F6629" s="508">
        <v>0</v>
      </c>
      <c r="G6629" s="512">
        <f>+F6628</f>
        <v>50000</v>
      </c>
      <c r="H6629" s="338" t="str">
        <f>+H6628</f>
        <v>Hilda Dougnac Rodríguez / Azul</v>
      </c>
      <c r="I6629" s="507" t="s">
        <v>296</v>
      </c>
      <c r="K6629" s="370"/>
      <c r="N6629" s="370"/>
    </row>
    <row r="6630" spans="1:14" s="347" customFormat="1" x14ac:dyDescent="0.25">
      <c r="A6630" s="369"/>
      <c r="E6630" s="396"/>
      <c r="F6630" s="396"/>
      <c r="G6630" s="396"/>
      <c r="K6630" s="370"/>
      <c r="N6630" s="370"/>
    </row>
    <row r="6631" spans="1:14" s="347" customFormat="1" x14ac:dyDescent="0.25">
      <c r="A6631" s="503">
        <v>44536</v>
      </c>
      <c r="B6631" s="504">
        <f>+MONTH(A6631)</f>
        <v>12</v>
      </c>
      <c r="C6631" s="505">
        <v>110</v>
      </c>
      <c r="D6631" s="504" t="str">
        <f>VLOOKUP(C6631,Plan!A$1:B$65542,2,0)</f>
        <v>Disponible Administración</v>
      </c>
      <c r="E6631" s="506">
        <f>+F6631-G6631</f>
        <v>10000</v>
      </c>
      <c r="F6631" s="508">
        <v>10000</v>
      </c>
      <c r="G6631" s="512">
        <v>0</v>
      </c>
      <c r="H6631" s="370" t="s">
        <v>1314</v>
      </c>
      <c r="I6631" s="507" t="s">
        <v>296</v>
      </c>
      <c r="K6631" s="370"/>
      <c r="N6631" s="370"/>
    </row>
    <row r="6632" spans="1:14" s="347" customFormat="1" x14ac:dyDescent="0.25">
      <c r="A6632" s="503">
        <f>+A6631</f>
        <v>44536</v>
      </c>
      <c r="B6632" s="504">
        <f>+MONTH(A6632)</f>
        <v>12</v>
      </c>
      <c r="C6632" s="505">
        <v>3110</v>
      </c>
      <c r="D6632" s="504" t="str">
        <f>VLOOKUP(C6632,Plan!A$1:B$65542,2,0)</f>
        <v>Colectas Normales</v>
      </c>
      <c r="E6632" s="506">
        <f>+F6632-G6632</f>
        <v>-10000</v>
      </c>
      <c r="F6632" s="508">
        <v>0</v>
      </c>
      <c r="G6632" s="512">
        <f>+F6631</f>
        <v>10000</v>
      </c>
      <c r="H6632" s="338" t="str">
        <f>+H6631</f>
        <v>Colecta Juan Arnaiz</v>
      </c>
      <c r="I6632" s="507" t="s">
        <v>296</v>
      </c>
      <c r="K6632" s="370"/>
      <c r="N6632" s="370"/>
    </row>
    <row r="6633" spans="1:14" s="347" customFormat="1" x14ac:dyDescent="0.25">
      <c r="A6633" s="369"/>
      <c r="E6633" s="396"/>
      <c r="F6633" s="396"/>
      <c r="G6633" s="396"/>
      <c r="K6633" s="370"/>
      <c r="N6633" s="370"/>
    </row>
    <row r="6634" spans="1:14" s="347" customFormat="1" x14ac:dyDescent="0.25">
      <c r="A6634" s="503">
        <v>44536</v>
      </c>
      <c r="B6634" s="504">
        <f>+MONTH(A6634)</f>
        <v>12</v>
      </c>
      <c r="C6634" s="505">
        <v>110</v>
      </c>
      <c r="D6634" s="504" t="str">
        <f>VLOOKUP(C6634,Plan!A$1:B$65542,2,0)</f>
        <v>Disponible Administración</v>
      </c>
      <c r="E6634" s="506">
        <f>+F6634-G6634</f>
        <v>20000</v>
      </c>
      <c r="F6634" s="508">
        <v>20000</v>
      </c>
      <c r="G6634" s="512">
        <v>0</v>
      </c>
      <c r="H6634" s="370" t="s">
        <v>1457</v>
      </c>
      <c r="I6634" s="507" t="s">
        <v>296</v>
      </c>
      <c r="K6634" s="370"/>
      <c r="N6634" s="370"/>
    </row>
    <row r="6635" spans="1:14" s="347" customFormat="1" x14ac:dyDescent="0.25">
      <c r="A6635" s="503">
        <f>+A6634</f>
        <v>44536</v>
      </c>
      <c r="B6635" s="504">
        <f>+MONTH(A6635)</f>
        <v>12</v>
      </c>
      <c r="C6635" s="505">
        <v>215</v>
      </c>
      <c r="D6635" s="504" t="str">
        <f>VLOOKUP(C6635,Plan!A$1:B$65542,2,0)</f>
        <v>Cuenta por Pagar a Cali</v>
      </c>
      <c r="E6635" s="506">
        <f>+F6635-G6635</f>
        <v>-20000</v>
      </c>
      <c r="F6635" s="508">
        <v>0</v>
      </c>
      <c r="G6635" s="512">
        <f>+F6634</f>
        <v>20000</v>
      </c>
      <c r="H6635" s="338" t="str">
        <f>+H6634</f>
        <v>Eduardo Calvimontes Candia/Azul</v>
      </c>
      <c r="I6635" s="507" t="s">
        <v>296</v>
      </c>
      <c r="K6635" s="370"/>
      <c r="N6635" s="370"/>
    </row>
    <row r="6636" spans="1:14" s="347" customFormat="1" x14ac:dyDescent="0.25">
      <c r="A6636" s="369"/>
      <c r="E6636" s="396"/>
      <c r="F6636" s="396"/>
      <c r="G6636" s="396"/>
      <c r="K6636" s="370"/>
      <c r="N6636" s="370"/>
    </row>
    <row r="6637" spans="1:14" s="347" customFormat="1" x14ac:dyDescent="0.25">
      <c r="A6637" s="503">
        <v>44536</v>
      </c>
      <c r="B6637" s="504">
        <f>+MONTH(A6637)</f>
        <v>12</v>
      </c>
      <c r="C6637" s="505">
        <v>110</v>
      </c>
      <c r="D6637" s="504" t="str">
        <f>VLOOKUP(C6637,Plan!A$1:B$65542,2,0)</f>
        <v>Disponible Administración</v>
      </c>
      <c r="E6637" s="506">
        <f>+F6637-G6637</f>
        <v>25000</v>
      </c>
      <c r="F6637" s="508">
        <v>25000</v>
      </c>
      <c r="G6637" s="512">
        <v>0</v>
      </c>
      <c r="H6637" s="370" t="s">
        <v>2036</v>
      </c>
      <c r="I6637" s="507" t="s">
        <v>296</v>
      </c>
      <c r="K6637" s="370"/>
      <c r="N6637" s="370"/>
    </row>
    <row r="6638" spans="1:14" s="347" customFormat="1" x14ac:dyDescent="0.25">
      <c r="A6638" s="503">
        <f>+A6637</f>
        <v>44536</v>
      </c>
      <c r="B6638" s="504">
        <f>+MONTH(A6638)</f>
        <v>12</v>
      </c>
      <c r="C6638" s="505">
        <v>3110</v>
      </c>
      <c r="D6638" s="504" t="str">
        <f>VLOOKUP(C6638,Plan!A$1:B$65542,2,0)</f>
        <v>Colectas Normales</v>
      </c>
      <c r="E6638" s="506">
        <f>+F6638-G6638</f>
        <v>-25000</v>
      </c>
      <c r="F6638" s="508">
        <v>0</v>
      </c>
      <c r="G6638" s="512">
        <f>+F6637</f>
        <v>25000</v>
      </c>
      <c r="H6638" s="338" t="str">
        <f>+H6637</f>
        <v>Colecta Eduardo Calvimontes</v>
      </c>
      <c r="I6638" s="507" t="s">
        <v>296</v>
      </c>
      <c r="K6638" s="370"/>
      <c r="N6638" s="370"/>
    </row>
    <row r="6639" spans="1:14" s="347" customFormat="1" x14ac:dyDescent="0.25">
      <c r="A6639" s="369"/>
      <c r="E6639" s="396"/>
      <c r="F6639" s="396"/>
      <c r="G6639" s="396"/>
      <c r="K6639" s="370"/>
      <c r="N6639" s="370"/>
    </row>
    <row r="6640" spans="1:14" s="347" customFormat="1" x14ac:dyDescent="0.25">
      <c r="A6640" s="503">
        <v>44536</v>
      </c>
      <c r="B6640" s="504">
        <f>+MONTH(A6640)</f>
        <v>12</v>
      </c>
      <c r="C6640" s="505">
        <v>110</v>
      </c>
      <c r="D6640" s="504" t="str">
        <f>VLOOKUP(C6640,Plan!A$1:B$65542,2,0)</f>
        <v>Disponible Administración</v>
      </c>
      <c r="E6640" s="506">
        <f>+F6640-G6640</f>
        <v>21000</v>
      </c>
      <c r="F6640" s="508">
        <v>21000</v>
      </c>
      <c r="G6640" s="512">
        <v>0</v>
      </c>
      <c r="H6640" s="370" t="s">
        <v>1938</v>
      </c>
      <c r="I6640" s="507" t="s">
        <v>296</v>
      </c>
      <c r="K6640" s="370"/>
      <c r="N6640" s="370"/>
    </row>
    <row r="6641" spans="1:14" s="347" customFormat="1" x14ac:dyDescent="0.25">
      <c r="A6641" s="503">
        <f>+A6640</f>
        <v>44536</v>
      </c>
      <c r="B6641" s="504">
        <f>+MONTH(A6641)</f>
        <v>12</v>
      </c>
      <c r="C6641" s="505">
        <v>215</v>
      </c>
      <c r="D6641" s="504" t="str">
        <f>VLOOKUP(C6641,Plan!A$1:B$65542,2,0)</f>
        <v>Cuenta por Pagar a Cali</v>
      </c>
      <c r="E6641" s="506">
        <f>+F6641-G6641</f>
        <v>-21000</v>
      </c>
      <c r="F6641" s="508">
        <v>0</v>
      </c>
      <c r="G6641" s="512">
        <f>+F6640</f>
        <v>21000</v>
      </c>
      <c r="H6641" s="338" t="str">
        <f>+H6640</f>
        <v>María Cristina Herrera Peralta/248</v>
      </c>
      <c r="I6641" s="507" t="s">
        <v>296</v>
      </c>
      <c r="K6641" s="370"/>
      <c r="N6641" s="370"/>
    </row>
    <row r="6642" spans="1:14" s="347" customFormat="1" x14ac:dyDescent="0.25">
      <c r="A6642" s="369"/>
      <c r="E6642" s="396"/>
      <c r="F6642" s="396"/>
      <c r="G6642" s="396"/>
      <c r="K6642" s="370"/>
      <c r="N6642" s="370"/>
    </row>
    <row r="6643" spans="1:14" s="347" customFormat="1" x14ac:dyDescent="0.25">
      <c r="A6643" s="503">
        <v>44536</v>
      </c>
      <c r="B6643" s="504">
        <f>+MONTH(A6643)</f>
        <v>12</v>
      </c>
      <c r="C6643" s="505">
        <v>110</v>
      </c>
      <c r="D6643" s="504" t="str">
        <f>VLOOKUP(C6643,Plan!A$1:B$65542,2,0)</f>
        <v>Disponible Administración</v>
      </c>
      <c r="E6643" s="506">
        <f>+F6643-G6643</f>
        <v>2000</v>
      </c>
      <c r="F6643" s="508">
        <v>2000</v>
      </c>
      <c r="G6643" s="512">
        <v>0</v>
      </c>
      <c r="H6643" s="370" t="s">
        <v>1216</v>
      </c>
      <c r="I6643" s="507" t="s">
        <v>296</v>
      </c>
      <c r="K6643" s="370"/>
      <c r="N6643" s="370"/>
    </row>
    <row r="6644" spans="1:14" s="347" customFormat="1" x14ac:dyDescent="0.25">
      <c r="A6644" s="503">
        <f>+A6643</f>
        <v>44536</v>
      </c>
      <c r="B6644" s="504">
        <f>+MONTH(A6644)</f>
        <v>12</v>
      </c>
      <c r="C6644" s="505">
        <v>3110</v>
      </c>
      <c r="D6644" s="504" t="str">
        <f>VLOOKUP(C6644,Plan!A$1:B$65542,2,0)</f>
        <v>Colectas Normales</v>
      </c>
      <c r="E6644" s="506">
        <f>+F6644-G6644</f>
        <v>-2000</v>
      </c>
      <c r="F6644" s="508">
        <v>0</v>
      </c>
      <c r="G6644" s="512">
        <f>+F6643</f>
        <v>2000</v>
      </c>
      <c r="H6644" s="338" t="str">
        <f>+H6643</f>
        <v>Colecta Trinidad Barriga Cruzat</v>
      </c>
      <c r="I6644" s="507" t="s">
        <v>296</v>
      </c>
      <c r="K6644" s="370"/>
      <c r="N6644" s="370"/>
    </row>
    <row r="6645" spans="1:14" s="347" customFormat="1" x14ac:dyDescent="0.25">
      <c r="A6645" s="369"/>
      <c r="E6645" s="396"/>
      <c r="F6645" s="396"/>
      <c r="G6645" s="396"/>
      <c r="K6645" s="370"/>
      <c r="N6645" s="370"/>
    </row>
    <row r="6646" spans="1:14" s="347" customFormat="1" x14ac:dyDescent="0.25">
      <c r="A6646" s="503">
        <v>44536</v>
      </c>
      <c r="B6646" s="504">
        <f>+MONTH(A6646)</f>
        <v>12</v>
      </c>
      <c r="C6646" s="505">
        <v>110</v>
      </c>
      <c r="D6646" s="504" t="str">
        <f>VLOOKUP(C6646,Plan!A$1:B$65542,2,0)</f>
        <v>Disponible Administración</v>
      </c>
      <c r="E6646" s="506">
        <f>+F6646-G6646</f>
        <v>20000</v>
      </c>
      <c r="F6646" s="508">
        <v>20000</v>
      </c>
      <c r="G6646" s="512">
        <v>0</v>
      </c>
      <c r="H6646" s="370" t="s">
        <v>2430</v>
      </c>
      <c r="I6646" s="507" t="s">
        <v>296</v>
      </c>
      <c r="K6646" s="370"/>
      <c r="N6646" s="370"/>
    </row>
    <row r="6647" spans="1:14" s="347" customFormat="1" x14ac:dyDescent="0.25">
      <c r="A6647" s="503">
        <f>+A6646</f>
        <v>44536</v>
      </c>
      <c r="B6647" s="504">
        <f>+MONTH(A6647)</f>
        <v>12</v>
      </c>
      <c r="C6647" s="505">
        <v>3453</v>
      </c>
      <c r="D6647" s="504" t="str">
        <f>VLOOKUP(C6647,Plan!A$1:B$65542,2,0)</f>
        <v>Cajas de navidad</v>
      </c>
      <c r="E6647" s="506">
        <f>+F6647-G6647</f>
        <v>-20000</v>
      </c>
      <c r="F6647" s="508">
        <v>0</v>
      </c>
      <c r="G6647" s="512">
        <f>+F6646</f>
        <v>20000</v>
      </c>
      <c r="H6647" s="338" t="str">
        <f>+H6646</f>
        <v>Caja Navidad Ernesto Hevia</v>
      </c>
      <c r="I6647" s="507" t="s">
        <v>296</v>
      </c>
      <c r="K6647" s="370"/>
      <c r="N6647" s="370"/>
    </row>
    <row r="6648" spans="1:14" s="347" customFormat="1" x14ac:dyDescent="0.25">
      <c r="A6648" s="369"/>
      <c r="E6648" s="396"/>
      <c r="F6648" s="396"/>
      <c r="G6648" s="396"/>
      <c r="K6648" s="370"/>
      <c r="N6648" s="370"/>
    </row>
    <row r="6649" spans="1:14" s="347" customFormat="1" x14ac:dyDescent="0.25">
      <c r="A6649" s="503">
        <v>44536</v>
      </c>
      <c r="B6649" s="504">
        <f>+MONTH(A6649)</f>
        <v>12</v>
      </c>
      <c r="C6649" s="505">
        <v>110</v>
      </c>
      <c r="D6649" s="504" t="str">
        <f>VLOOKUP(C6649,Plan!A$1:B$65542,2,0)</f>
        <v>Disponible Administración</v>
      </c>
      <c r="E6649" s="506">
        <f>+F6649-G6649</f>
        <v>31631</v>
      </c>
      <c r="F6649" s="508">
        <v>31631</v>
      </c>
      <c r="G6649" s="512">
        <v>0</v>
      </c>
      <c r="H6649" s="370" t="s">
        <v>2271</v>
      </c>
      <c r="I6649" s="507" t="s">
        <v>296</v>
      </c>
      <c r="K6649" s="370"/>
      <c r="N6649" s="370"/>
    </row>
    <row r="6650" spans="1:14" s="347" customFormat="1" x14ac:dyDescent="0.25">
      <c r="A6650" s="503">
        <f>+A6649</f>
        <v>44536</v>
      </c>
      <c r="B6650" s="504">
        <f>+MONTH(A6650)</f>
        <v>12</v>
      </c>
      <c r="C6650" s="505">
        <v>3453</v>
      </c>
      <c r="D6650" s="504" t="str">
        <f>VLOOKUP(C6650,Plan!A$1:B$65542,2,0)</f>
        <v>Cajas de navidad</v>
      </c>
      <c r="E6650" s="506">
        <f>+F6650-G6650</f>
        <v>-31631</v>
      </c>
      <c r="F6650" s="508">
        <v>0</v>
      </c>
      <c r="G6650" s="512">
        <f>+F6649</f>
        <v>31631</v>
      </c>
      <c r="H6650" s="338" t="str">
        <f>+H6649</f>
        <v>Caja Navidad DCT</v>
      </c>
      <c r="I6650" s="507" t="s">
        <v>296</v>
      </c>
      <c r="K6650" s="370"/>
      <c r="N6650" s="370"/>
    </row>
    <row r="6651" spans="1:14" s="347" customFormat="1" x14ac:dyDescent="0.25">
      <c r="A6651" s="369"/>
      <c r="E6651" s="396"/>
      <c r="F6651" s="396"/>
      <c r="G6651" s="396"/>
      <c r="K6651" s="370"/>
      <c r="N6651" s="370"/>
    </row>
    <row r="6652" spans="1:14" s="347" customFormat="1" x14ac:dyDescent="0.25">
      <c r="A6652" s="503">
        <v>44536</v>
      </c>
      <c r="B6652" s="504">
        <f>+MONTH(A6652)</f>
        <v>12</v>
      </c>
      <c r="C6652" s="505">
        <v>110</v>
      </c>
      <c r="D6652" s="504" t="str">
        <f>VLOOKUP(C6652,Plan!A$1:B$65542,2,0)</f>
        <v>Disponible Administración</v>
      </c>
      <c r="E6652" s="506">
        <f>+F6652-G6652</f>
        <v>29472</v>
      </c>
      <c r="F6652" s="508">
        <v>29472</v>
      </c>
      <c r="G6652" s="512">
        <v>0</v>
      </c>
      <c r="H6652" s="370" t="s">
        <v>2431</v>
      </c>
      <c r="I6652" s="507" t="s">
        <v>296</v>
      </c>
      <c r="K6652" s="370"/>
      <c r="N6652" s="370"/>
    </row>
    <row r="6653" spans="1:14" s="347" customFormat="1" x14ac:dyDescent="0.25">
      <c r="A6653" s="503">
        <f>+A6652</f>
        <v>44536</v>
      </c>
      <c r="B6653" s="504">
        <f>+MONTH(A6653)</f>
        <v>12</v>
      </c>
      <c r="C6653" s="505">
        <v>215</v>
      </c>
      <c r="D6653" s="504" t="str">
        <f>VLOOKUP(C6653,Plan!A$1:B$65542,2,0)</f>
        <v>Cuenta por Pagar a Cali</v>
      </c>
      <c r="E6653" s="506">
        <f>+F6653-G6653</f>
        <v>-29472</v>
      </c>
      <c r="F6653" s="508">
        <v>0</v>
      </c>
      <c r="G6653" s="512">
        <f>+F6652</f>
        <v>29472</v>
      </c>
      <c r="H6653" s="338" t="str">
        <f>+H6652</f>
        <v>Juan Pablo Guzmán Bauzá ($30000)</v>
      </c>
      <c r="I6653" s="507" t="s">
        <v>296</v>
      </c>
      <c r="K6653" s="370"/>
      <c r="N6653" s="370"/>
    </row>
    <row r="6654" spans="1:14" s="347" customFormat="1" x14ac:dyDescent="0.25">
      <c r="A6654" s="369"/>
      <c r="E6654" s="396"/>
      <c r="F6654" s="396"/>
      <c r="G6654" s="396"/>
      <c r="K6654" s="370"/>
      <c r="N6654" s="370"/>
    </row>
    <row r="6655" spans="1:14" s="347" customFormat="1" x14ac:dyDescent="0.25">
      <c r="A6655" s="503">
        <v>44536</v>
      </c>
      <c r="B6655" s="504">
        <f>+MONTH(A6655)</f>
        <v>12</v>
      </c>
      <c r="C6655" s="505">
        <v>110</v>
      </c>
      <c r="D6655" s="504" t="str">
        <f>VLOOKUP(C6655,Plan!A$1:B$65542,2,0)</f>
        <v>Disponible Administración</v>
      </c>
      <c r="E6655" s="506">
        <f>+F6655-G6655</f>
        <v>5000</v>
      </c>
      <c r="F6655" s="508">
        <v>5000</v>
      </c>
      <c r="G6655" s="512">
        <v>0</v>
      </c>
      <c r="H6655" s="370" t="s">
        <v>1381</v>
      </c>
      <c r="I6655" s="507" t="s">
        <v>296</v>
      </c>
      <c r="K6655" s="370"/>
      <c r="N6655" s="370"/>
    </row>
    <row r="6656" spans="1:14" s="347" customFormat="1" x14ac:dyDescent="0.25">
      <c r="A6656" s="503">
        <f>+A6655</f>
        <v>44536</v>
      </c>
      <c r="B6656" s="504">
        <f>+MONTH(A6656)</f>
        <v>12</v>
      </c>
      <c r="C6656" s="505">
        <v>3110</v>
      </c>
      <c r="D6656" s="504" t="str">
        <f>VLOOKUP(C6656,Plan!A$1:B$65542,2,0)</f>
        <v>Colectas Normales</v>
      </c>
      <c r="E6656" s="506">
        <f>+F6656-G6656</f>
        <v>-5000</v>
      </c>
      <c r="F6656" s="508">
        <v>0</v>
      </c>
      <c r="G6656" s="512">
        <f>+F6655</f>
        <v>5000</v>
      </c>
      <c r="H6656" s="338" t="str">
        <f>+H6655</f>
        <v>Colecta Ingrid Maria Nielsen Galli</v>
      </c>
      <c r="I6656" s="507" t="s">
        <v>296</v>
      </c>
      <c r="K6656" s="370"/>
      <c r="N6656" s="370"/>
    </row>
    <row r="6657" spans="1:14" s="347" customFormat="1" x14ac:dyDescent="0.25">
      <c r="A6657" s="369"/>
      <c r="E6657" s="396"/>
      <c r="F6657" s="396"/>
      <c r="G6657" s="396"/>
      <c r="K6657" s="370"/>
      <c r="N6657" s="370"/>
    </row>
    <row r="6658" spans="1:14" s="347" customFormat="1" x14ac:dyDescent="0.25">
      <c r="A6658" s="503">
        <v>44536</v>
      </c>
      <c r="B6658" s="504">
        <f>+MONTH(A6658)</f>
        <v>12</v>
      </c>
      <c r="C6658" s="505">
        <v>110</v>
      </c>
      <c r="D6658" s="504" t="str">
        <f>VLOOKUP(C6658,Plan!A$1:B$65542,2,0)</f>
        <v>Disponible Administración</v>
      </c>
      <c r="E6658" s="506">
        <f>+F6658-G6658</f>
        <v>15000</v>
      </c>
      <c r="F6658" s="508">
        <v>15000</v>
      </c>
      <c r="G6658" s="512">
        <v>0</v>
      </c>
      <c r="H6658" s="370" t="s">
        <v>1440</v>
      </c>
      <c r="I6658" s="507" t="s">
        <v>296</v>
      </c>
      <c r="K6658" s="370"/>
      <c r="N6658" s="370"/>
    </row>
    <row r="6659" spans="1:14" s="347" customFormat="1" x14ac:dyDescent="0.25">
      <c r="A6659" s="503">
        <f>+A6658</f>
        <v>44536</v>
      </c>
      <c r="B6659" s="504">
        <f>+MONTH(A6659)</f>
        <v>12</v>
      </c>
      <c r="C6659" s="505">
        <v>215</v>
      </c>
      <c r="D6659" s="504" t="str">
        <f>VLOOKUP(C6659,Plan!A$1:B$65542,2,0)</f>
        <v>Cuenta por Pagar a Cali</v>
      </c>
      <c r="E6659" s="506">
        <f>+F6659-G6659</f>
        <v>-15000</v>
      </c>
      <c r="F6659" s="508">
        <v>0</v>
      </c>
      <c r="G6659" s="512">
        <f>+F6658</f>
        <v>15000</v>
      </c>
      <c r="H6659" s="338" t="str">
        <f>+H6658</f>
        <v xml:space="preserve">Ingrid María Nielsen Galli/Azul </v>
      </c>
      <c r="I6659" s="507" t="s">
        <v>296</v>
      </c>
      <c r="K6659" s="370"/>
      <c r="N6659" s="370"/>
    </row>
    <row r="6660" spans="1:14" s="347" customFormat="1" x14ac:dyDescent="0.25">
      <c r="A6660" s="369"/>
      <c r="E6660" s="396"/>
      <c r="F6660" s="396"/>
      <c r="G6660" s="396"/>
      <c r="K6660" s="370"/>
      <c r="N6660" s="370"/>
    </row>
    <row r="6661" spans="1:14" s="347" customFormat="1" x14ac:dyDescent="0.25">
      <c r="A6661" s="503">
        <v>44536</v>
      </c>
      <c r="B6661" s="504">
        <f>+MONTH(A6661)</f>
        <v>12</v>
      </c>
      <c r="C6661" s="505">
        <v>110</v>
      </c>
      <c r="D6661" s="504" t="str">
        <f>VLOOKUP(C6661,Plan!A$1:B$65542,2,0)</f>
        <v>Disponible Administración</v>
      </c>
      <c r="E6661" s="506">
        <f>+F6661-G6661</f>
        <v>32000</v>
      </c>
      <c r="F6661" s="508">
        <v>32000</v>
      </c>
      <c r="G6661" s="512">
        <v>0</v>
      </c>
      <c r="H6661" s="370" t="s">
        <v>2432</v>
      </c>
      <c r="I6661" s="507" t="s">
        <v>296</v>
      </c>
      <c r="K6661" s="370"/>
      <c r="N6661" s="370"/>
    </row>
    <row r="6662" spans="1:14" s="347" customFormat="1" x14ac:dyDescent="0.25">
      <c r="A6662" s="503">
        <f>+A6661</f>
        <v>44536</v>
      </c>
      <c r="B6662" s="504">
        <f>+MONTH(A6662)</f>
        <v>12</v>
      </c>
      <c r="C6662" s="505">
        <v>3453</v>
      </c>
      <c r="D6662" s="504" t="str">
        <f>VLOOKUP(C6662,Plan!A$1:B$65542,2,0)</f>
        <v>Cajas de navidad</v>
      </c>
      <c r="E6662" s="506">
        <f>+F6662-G6662</f>
        <v>-32000</v>
      </c>
      <c r="F6662" s="508">
        <v>0</v>
      </c>
      <c r="G6662" s="512">
        <f>+F6661</f>
        <v>32000</v>
      </c>
      <c r="H6662" s="338" t="str">
        <f>+H6661</f>
        <v>Caja Navidad Jurgen Grollmus</v>
      </c>
      <c r="I6662" s="507" t="s">
        <v>296</v>
      </c>
      <c r="K6662" s="370"/>
      <c r="N6662" s="370"/>
    </row>
    <row r="6663" spans="1:14" s="347" customFormat="1" x14ac:dyDescent="0.25">
      <c r="A6663" s="369"/>
      <c r="E6663" s="396"/>
      <c r="F6663" s="396"/>
      <c r="G6663" s="396"/>
      <c r="K6663" s="370"/>
      <c r="N6663" s="370"/>
    </row>
    <row r="6664" spans="1:14" s="347" customFormat="1" x14ac:dyDescent="0.25">
      <c r="A6664" s="503">
        <v>44536</v>
      </c>
      <c r="B6664" s="504">
        <f>+MONTH(A6664)</f>
        <v>12</v>
      </c>
      <c r="C6664" s="505">
        <v>110</v>
      </c>
      <c r="D6664" s="504" t="str">
        <f>VLOOKUP(C6664,Plan!A$1:B$65542,2,0)</f>
        <v>Disponible Administración</v>
      </c>
      <c r="E6664" s="506">
        <f>+F6664-G6664</f>
        <v>143000</v>
      </c>
      <c r="F6664" s="508">
        <v>143000</v>
      </c>
      <c r="G6664" s="512">
        <v>0</v>
      </c>
      <c r="H6664" s="370" t="s">
        <v>2311</v>
      </c>
      <c r="I6664" s="507" t="s">
        <v>296</v>
      </c>
      <c r="K6664" s="370"/>
      <c r="N6664" s="370"/>
    </row>
    <row r="6665" spans="1:14" s="347" customFormat="1" x14ac:dyDescent="0.25">
      <c r="A6665" s="503">
        <f>+A6664</f>
        <v>44536</v>
      </c>
      <c r="B6665" s="504">
        <f>+MONTH(A6665)</f>
        <v>12</v>
      </c>
      <c r="C6665" s="505">
        <v>3453</v>
      </c>
      <c r="D6665" s="504" t="str">
        <f>VLOOKUP(C6665,Plan!A$1:B$65542,2,0)</f>
        <v>Cajas de navidad</v>
      </c>
      <c r="E6665" s="506">
        <f>+F6665-G6665</f>
        <v>-143000</v>
      </c>
      <c r="F6665" s="508">
        <v>0</v>
      </c>
      <c r="G6665" s="512">
        <f>+F6664</f>
        <v>143000</v>
      </c>
      <c r="H6665" s="338" t="str">
        <f>+H6664</f>
        <v>Caja Navidad Dep. Oficina</v>
      </c>
      <c r="I6665" s="507" t="s">
        <v>296</v>
      </c>
      <c r="K6665" s="370"/>
      <c r="N6665" s="370"/>
    </row>
    <row r="6666" spans="1:14" s="347" customFormat="1" x14ac:dyDescent="0.25">
      <c r="A6666" s="369"/>
      <c r="E6666" s="396"/>
      <c r="F6666" s="396"/>
      <c r="G6666" s="396"/>
      <c r="K6666" s="370"/>
      <c r="N6666" s="370"/>
    </row>
    <row r="6667" spans="1:14" s="347" customFormat="1" x14ac:dyDescent="0.25">
      <c r="A6667" s="503">
        <v>44536</v>
      </c>
      <c r="B6667" s="504">
        <f>+MONTH(A6667)</f>
        <v>12</v>
      </c>
      <c r="C6667" s="505">
        <v>110</v>
      </c>
      <c r="D6667" s="504" t="str">
        <f>VLOOKUP(C6667,Plan!A$1:B$65542,2,0)</f>
        <v>Disponible Administración</v>
      </c>
      <c r="E6667" s="506">
        <f>+F6667-G6667</f>
        <v>25000</v>
      </c>
      <c r="F6667" s="508">
        <v>25000</v>
      </c>
      <c r="G6667" s="512">
        <v>0</v>
      </c>
      <c r="H6667" s="370" t="s">
        <v>2433</v>
      </c>
      <c r="I6667" s="507" t="s">
        <v>296</v>
      </c>
      <c r="K6667" s="370"/>
      <c r="N6667" s="370"/>
    </row>
    <row r="6668" spans="1:14" s="347" customFormat="1" x14ac:dyDescent="0.25">
      <c r="A6668" s="503">
        <f>+A6667</f>
        <v>44536</v>
      </c>
      <c r="B6668" s="504">
        <f>+MONTH(A6668)</f>
        <v>12</v>
      </c>
      <c r="C6668" s="505">
        <v>3360</v>
      </c>
      <c r="D6668" s="504" t="str">
        <f>VLOOKUP(C6668,Plan!A$1:B$65542,2,0)</f>
        <v>Otros</v>
      </c>
      <c r="E6668" s="506">
        <f>+F6668-G6668</f>
        <v>-25000</v>
      </c>
      <c r="F6668" s="508">
        <v>0</v>
      </c>
      <c r="G6668" s="512">
        <f>+F6667</f>
        <v>25000</v>
      </c>
      <c r="H6668" s="338" t="str">
        <f>+H6667</f>
        <v>Curso Biblia Vivian Edith Araya Jofré</v>
      </c>
      <c r="I6668" s="507" t="s">
        <v>296</v>
      </c>
      <c r="K6668" s="370"/>
      <c r="N6668" s="370"/>
    </row>
    <row r="6669" spans="1:14" s="347" customFormat="1" x14ac:dyDescent="0.25">
      <c r="A6669" s="369"/>
      <c r="E6669" s="396"/>
      <c r="F6669" s="396"/>
      <c r="G6669" s="396"/>
      <c r="K6669" s="370"/>
      <c r="N6669" s="370"/>
    </row>
    <row r="6670" spans="1:14" s="347" customFormat="1" x14ac:dyDescent="0.25">
      <c r="A6670" s="503">
        <v>44536</v>
      </c>
      <c r="B6670" s="504">
        <f>+MONTH(A6670)</f>
        <v>12</v>
      </c>
      <c r="C6670" s="505">
        <v>110</v>
      </c>
      <c r="D6670" s="504" t="str">
        <f>VLOOKUP(C6670,Plan!A$1:B$65542,2,0)</f>
        <v>Disponible Administración</v>
      </c>
      <c r="E6670" s="506">
        <f>+F6670-G6670</f>
        <v>832947</v>
      </c>
      <c r="F6670" s="508">
        <v>832947</v>
      </c>
      <c r="G6670" s="512">
        <v>0</v>
      </c>
      <c r="H6670" t="s">
        <v>2127</v>
      </c>
      <c r="I6670" s="507" t="s">
        <v>296</v>
      </c>
      <c r="K6670" s="370"/>
      <c r="N6670" s="370"/>
    </row>
    <row r="6671" spans="1:14" s="347" customFormat="1" x14ac:dyDescent="0.25">
      <c r="A6671" s="503">
        <f>+A6670</f>
        <v>44536</v>
      </c>
      <c r="B6671" s="504">
        <f>+MONTH(A6671)</f>
        <v>12</v>
      </c>
      <c r="C6671" s="505">
        <v>3110</v>
      </c>
      <c r="D6671" s="504" t="str">
        <f>VLOOKUP(C6671,Plan!A$1:B$65542,2,0)</f>
        <v>Colectas Normales</v>
      </c>
      <c r="E6671" s="506">
        <f>+F6671-G6671</f>
        <v>-832947</v>
      </c>
      <c r="F6671" s="508">
        <v>0</v>
      </c>
      <c r="G6671" s="512">
        <f>+F6670</f>
        <v>832947</v>
      </c>
      <c r="H6671" s="338" t="str">
        <f>+H6670</f>
        <v>Colecta Col.Cordillera y Cumbres</v>
      </c>
      <c r="I6671" s="507" t="s">
        <v>296</v>
      </c>
      <c r="K6671" s="370"/>
      <c r="N6671" s="370"/>
    </row>
    <row r="6672" spans="1:14" s="347" customFormat="1" x14ac:dyDescent="0.25">
      <c r="A6672" s="369"/>
      <c r="E6672" s="396"/>
      <c r="F6672" s="396"/>
      <c r="G6672" s="396"/>
      <c r="K6672" s="370"/>
      <c r="N6672" s="370"/>
    </row>
    <row r="6673" spans="1:14" s="347" customFormat="1" x14ac:dyDescent="0.25">
      <c r="A6673" s="503">
        <v>44536</v>
      </c>
      <c r="B6673" s="504">
        <f>+MONTH(A6673)</f>
        <v>12</v>
      </c>
      <c r="C6673" s="505">
        <v>110</v>
      </c>
      <c r="D6673" s="504" t="str">
        <f>VLOOKUP(C6673,Plan!A$1:B$65542,2,0)</f>
        <v>Disponible Administración</v>
      </c>
      <c r="E6673" s="506">
        <f>+F6673-G6673</f>
        <v>25000</v>
      </c>
      <c r="F6673" s="508">
        <v>25000</v>
      </c>
      <c r="G6673" s="512">
        <v>0</v>
      </c>
      <c r="H6673" t="s">
        <v>1181</v>
      </c>
      <c r="I6673" s="507" t="s">
        <v>296</v>
      </c>
      <c r="K6673" s="370"/>
      <c r="N6673" s="370"/>
    </row>
    <row r="6674" spans="1:14" s="347" customFormat="1" x14ac:dyDescent="0.25">
      <c r="A6674" s="503">
        <f>+A6673</f>
        <v>44536</v>
      </c>
      <c r="B6674" s="504">
        <f>+MONTH(A6674)</f>
        <v>12</v>
      </c>
      <c r="C6674" s="505">
        <v>3360</v>
      </c>
      <c r="D6674" s="504" t="str">
        <f>VLOOKUP(C6674,Plan!A$1:B$65542,2,0)</f>
        <v>Otros</v>
      </c>
      <c r="E6674" s="506">
        <f>+F6674-G6674</f>
        <v>-25000</v>
      </c>
      <c r="F6674" s="508">
        <v>0</v>
      </c>
      <c r="G6674" s="512">
        <f>+F6673</f>
        <v>25000</v>
      </c>
      <c r="H6674" s="338" t="str">
        <f>+H6673</f>
        <v>Curso Biblia Sofia Vives Ekdahl</v>
      </c>
      <c r="I6674" s="507" t="s">
        <v>296</v>
      </c>
      <c r="K6674" s="370"/>
      <c r="N6674" s="370"/>
    </row>
    <row r="6675" spans="1:14" s="347" customFormat="1" x14ac:dyDescent="0.25">
      <c r="A6675" s="369"/>
      <c r="E6675" s="396"/>
      <c r="F6675" s="396"/>
      <c r="G6675" s="396"/>
      <c r="K6675" s="370"/>
      <c r="N6675" s="370"/>
    </row>
    <row r="6676" spans="1:14" s="347" customFormat="1" x14ac:dyDescent="0.25">
      <c r="A6676" s="503">
        <v>44536</v>
      </c>
      <c r="B6676" s="504">
        <f>+MONTH(A6676)</f>
        <v>12</v>
      </c>
      <c r="C6676" s="505">
        <v>110</v>
      </c>
      <c r="D6676" s="504" t="str">
        <f>VLOOKUP(C6676,Plan!A$1:B$65542,2,0)</f>
        <v>Disponible Administración</v>
      </c>
      <c r="E6676" s="506">
        <f>+F6676-G6676</f>
        <v>20000</v>
      </c>
      <c r="F6676" s="508">
        <v>20000</v>
      </c>
      <c r="G6676" s="512">
        <v>0</v>
      </c>
      <c r="H6676" t="s">
        <v>913</v>
      </c>
      <c r="I6676" s="507" t="s">
        <v>296</v>
      </c>
      <c r="K6676" s="370"/>
      <c r="N6676" s="370"/>
    </row>
    <row r="6677" spans="1:14" s="347" customFormat="1" x14ac:dyDescent="0.25">
      <c r="A6677" s="503">
        <f>+A6676</f>
        <v>44536</v>
      </c>
      <c r="B6677" s="504">
        <f>+MONTH(A6677)</f>
        <v>12</v>
      </c>
      <c r="C6677" s="505">
        <v>3110</v>
      </c>
      <c r="D6677" s="504" t="str">
        <f>VLOOKUP(C6677,Plan!A$1:B$65542,2,0)</f>
        <v>Colectas Normales</v>
      </c>
      <c r="E6677" s="506">
        <f>+F6677-G6677</f>
        <v>-20000</v>
      </c>
      <c r="F6677" s="508">
        <v>0</v>
      </c>
      <c r="G6677" s="512">
        <f>+F6676</f>
        <v>20000</v>
      </c>
      <c r="H6677" s="338" t="str">
        <f>+H6676</f>
        <v>Colecta Sofia Vives Ekdahl</v>
      </c>
      <c r="I6677" s="507" t="s">
        <v>296</v>
      </c>
      <c r="K6677" s="370"/>
      <c r="N6677" s="370"/>
    </row>
    <row r="6678" spans="1:14" s="347" customFormat="1" x14ac:dyDescent="0.25">
      <c r="A6678" s="369"/>
      <c r="E6678" s="396"/>
      <c r="F6678" s="396"/>
      <c r="G6678" s="396"/>
      <c r="K6678" s="370"/>
      <c r="N6678" s="370"/>
    </row>
    <row r="6679" spans="1:14" s="347" customFormat="1" x14ac:dyDescent="0.25">
      <c r="A6679" s="503">
        <v>44536</v>
      </c>
      <c r="B6679" s="504">
        <f>+MONTH(A6679)</f>
        <v>12</v>
      </c>
      <c r="C6679" s="505">
        <v>110</v>
      </c>
      <c r="D6679" s="504" t="str">
        <f>VLOOKUP(C6679,Plan!A$1:B$65542,2,0)</f>
        <v>Disponible Administración</v>
      </c>
      <c r="E6679" s="506">
        <f>+F6679-G6679</f>
        <v>32000</v>
      </c>
      <c r="F6679" s="508">
        <v>32000</v>
      </c>
      <c r="G6679" s="512">
        <v>0</v>
      </c>
      <c r="H6679" t="s">
        <v>2434</v>
      </c>
      <c r="I6679" s="507" t="s">
        <v>296</v>
      </c>
      <c r="K6679" s="370"/>
      <c r="N6679" s="370"/>
    </row>
    <row r="6680" spans="1:14" s="347" customFormat="1" x14ac:dyDescent="0.25">
      <c r="A6680" s="503">
        <f>+A6679</f>
        <v>44536</v>
      </c>
      <c r="B6680" s="504">
        <f>+MONTH(A6680)</f>
        <v>12</v>
      </c>
      <c r="C6680" s="505">
        <v>3453</v>
      </c>
      <c r="D6680" s="504" t="str">
        <f>VLOOKUP(C6680,Plan!A$1:B$65542,2,0)</f>
        <v>Cajas de navidad</v>
      </c>
      <c r="E6680" s="506">
        <f>+F6680-G6680</f>
        <v>-32000</v>
      </c>
      <c r="F6680" s="508">
        <v>0</v>
      </c>
      <c r="G6680" s="512">
        <f>+F6679</f>
        <v>32000</v>
      </c>
      <c r="H6680" s="338" t="str">
        <f>+H6679</f>
        <v>Caja Navidad Sofia Vives Ekdahl</v>
      </c>
      <c r="I6680" s="507" t="s">
        <v>296</v>
      </c>
      <c r="K6680" s="370"/>
      <c r="N6680" s="370"/>
    </row>
    <row r="6681" spans="1:14" s="347" customFormat="1" x14ac:dyDescent="0.25">
      <c r="A6681" s="369"/>
      <c r="E6681" s="396"/>
      <c r="F6681" s="396"/>
      <c r="G6681" s="396"/>
      <c r="K6681" s="370"/>
      <c r="N6681" s="370"/>
    </row>
    <row r="6682" spans="1:14" s="347" customFormat="1" x14ac:dyDescent="0.25">
      <c r="A6682" s="503">
        <v>44537</v>
      </c>
      <c r="B6682" s="504">
        <f>+MONTH(A6682)</f>
        <v>12</v>
      </c>
      <c r="C6682" s="505">
        <v>110</v>
      </c>
      <c r="D6682" s="504" t="str">
        <f>VLOOKUP(C6682,Plan!A$1:B$65542,2,0)</f>
        <v>Disponible Administración</v>
      </c>
      <c r="E6682" s="506">
        <f>+F6682-G6682</f>
        <v>32000</v>
      </c>
      <c r="F6682" s="508">
        <v>32000</v>
      </c>
      <c r="G6682" s="512">
        <v>0</v>
      </c>
      <c r="H6682" t="s">
        <v>2435</v>
      </c>
      <c r="I6682" s="507" t="s">
        <v>296</v>
      </c>
      <c r="K6682" s="370"/>
      <c r="N6682" s="370"/>
    </row>
    <row r="6683" spans="1:14" s="347" customFormat="1" x14ac:dyDescent="0.25">
      <c r="A6683" s="503">
        <f>+A6682</f>
        <v>44537</v>
      </c>
      <c r="B6683" s="504">
        <f>+MONTH(A6683)</f>
        <v>12</v>
      </c>
      <c r="C6683" s="505">
        <v>3453</v>
      </c>
      <c r="D6683" s="504" t="str">
        <f>VLOOKUP(C6683,Plan!A$1:B$65542,2,0)</f>
        <v>Cajas de navidad</v>
      </c>
      <c r="E6683" s="506">
        <f>+F6683-G6683</f>
        <v>-32000</v>
      </c>
      <c r="F6683" s="508">
        <v>0</v>
      </c>
      <c r="G6683" s="512">
        <f>+F6682</f>
        <v>32000</v>
      </c>
      <c r="H6683" s="338" t="str">
        <f>+H6682</f>
        <v>Caja Navidad Andrea De Pol</v>
      </c>
      <c r="I6683" s="507" t="s">
        <v>296</v>
      </c>
      <c r="K6683" s="370"/>
      <c r="N6683" s="370"/>
    </row>
    <row r="6684" spans="1:14" s="347" customFormat="1" x14ac:dyDescent="0.25">
      <c r="A6684" s="369"/>
      <c r="E6684" s="396"/>
      <c r="F6684" s="396"/>
      <c r="G6684" s="396"/>
      <c r="K6684" s="370"/>
      <c r="N6684" s="370"/>
    </row>
    <row r="6685" spans="1:14" s="347" customFormat="1" x14ac:dyDescent="0.25">
      <c r="A6685" s="503">
        <v>44537</v>
      </c>
      <c r="B6685" s="504">
        <f>+MONTH(A6685)</f>
        <v>12</v>
      </c>
      <c r="C6685" s="505">
        <v>110</v>
      </c>
      <c r="D6685" s="504" t="str">
        <f>VLOOKUP(C6685,Plan!A$1:B$65542,2,0)</f>
        <v>Disponible Administración</v>
      </c>
      <c r="E6685" s="506">
        <f>+F6685-G6685</f>
        <v>115112</v>
      </c>
      <c r="F6685" s="508">
        <v>115112</v>
      </c>
      <c r="G6685" s="512">
        <v>0</v>
      </c>
      <c r="H6685" t="s">
        <v>2436</v>
      </c>
      <c r="I6685" s="507" t="s">
        <v>296</v>
      </c>
      <c r="K6685" s="370"/>
      <c r="N6685" s="370"/>
    </row>
    <row r="6686" spans="1:14" s="347" customFormat="1" x14ac:dyDescent="0.25">
      <c r="A6686" s="503">
        <f>+A6685</f>
        <v>44537</v>
      </c>
      <c r="B6686" s="504">
        <f>+MONTH(A6686)</f>
        <v>12</v>
      </c>
      <c r="C6686" s="505">
        <v>3453</v>
      </c>
      <c r="D6686" s="504" t="str">
        <f>VLOOKUP(C6686,Plan!A$1:B$65542,2,0)</f>
        <v>Cajas de navidad</v>
      </c>
      <c r="E6686" s="506">
        <f>+F6686-G6686</f>
        <v>-115112</v>
      </c>
      <c r="F6686" s="508">
        <v>0</v>
      </c>
      <c r="G6686" s="512">
        <f>+F6685</f>
        <v>115112</v>
      </c>
      <c r="H6686" s="338" t="str">
        <f>+H6685</f>
        <v>Caja Navidad Maria</v>
      </c>
      <c r="I6686" s="507" t="s">
        <v>296</v>
      </c>
      <c r="K6686" s="370"/>
      <c r="N6686" s="370"/>
    </row>
    <row r="6687" spans="1:14" s="347" customFormat="1" x14ac:dyDescent="0.25">
      <c r="A6687" s="369"/>
      <c r="E6687" s="396"/>
      <c r="F6687" s="396"/>
      <c r="G6687" s="396"/>
      <c r="K6687" s="370"/>
      <c r="N6687" s="370"/>
    </row>
    <row r="6688" spans="1:14" s="347" customFormat="1" x14ac:dyDescent="0.25">
      <c r="A6688" s="503">
        <v>44537</v>
      </c>
      <c r="B6688" s="504">
        <f>+MONTH(A6688)</f>
        <v>12</v>
      </c>
      <c r="C6688" s="505">
        <v>110</v>
      </c>
      <c r="D6688" s="504" t="str">
        <f>VLOOKUP(C6688,Plan!A$1:B$65542,2,0)</f>
        <v>Disponible Administración</v>
      </c>
      <c r="E6688" s="506">
        <f>+F6688-G6688</f>
        <v>60000</v>
      </c>
      <c r="F6688" s="508">
        <v>60000</v>
      </c>
      <c r="G6688" s="512">
        <v>0</v>
      </c>
      <c r="H6688" t="s">
        <v>2437</v>
      </c>
      <c r="I6688" s="507" t="s">
        <v>296</v>
      </c>
      <c r="K6688" s="370"/>
      <c r="N6688" s="370"/>
    </row>
    <row r="6689" spans="1:14" s="347" customFormat="1" x14ac:dyDescent="0.25">
      <c r="A6689" s="503">
        <f>+A6688</f>
        <v>44537</v>
      </c>
      <c r="B6689" s="504">
        <f>+MONTH(A6689)</f>
        <v>12</v>
      </c>
      <c r="C6689" s="505">
        <v>3453</v>
      </c>
      <c r="D6689" s="504" t="str">
        <f>VLOOKUP(C6689,Plan!A$1:B$65542,2,0)</f>
        <v>Cajas de navidad</v>
      </c>
      <c r="E6689" s="506">
        <f>+F6689-G6689</f>
        <v>-60000</v>
      </c>
      <c r="F6689" s="508">
        <v>0</v>
      </c>
      <c r="G6689" s="512">
        <f>+F6688</f>
        <v>60000</v>
      </c>
      <c r="H6689" s="338" t="str">
        <f>+H6688</f>
        <v>Caja Navidad Jorge Garnham M</v>
      </c>
      <c r="I6689" s="507" t="s">
        <v>296</v>
      </c>
      <c r="K6689" s="370"/>
      <c r="N6689" s="370"/>
    </row>
    <row r="6690" spans="1:14" s="347" customFormat="1" x14ac:dyDescent="0.25">
      <c r="A6690" s="369"/>
      <c r="E6690" s="396"/>
      <c r="F6690" s="396"/>
      <c r="G6690" s="396"/>
      <c r="K6690" s="370"/>
      <c r="N6690" s="370"/>
    </row>
    <row r="6691" spans="1:14" s="347" customFormat="1" x14ac:dyDescent="0.25">
      <c r="A6691" s="503">
        <v>44537</v>
      </c>
      <c r="B6691" s="504">
        <f>+MONTH(A6691)</f>
        <v>12</v>
      </c>
      <c r="C6691" s="505">
        <v>110</v>
      </c>
      <c r="D6691" s="504" t="str">
        <f>VLOOKUP(C6691,Plan!A$1:B$65542,2,0)</f>
        <v>Disponible Administración</v>
      </c>
      <c r="E6691" s="506">
        <f>+F6691-G6691</f>
        <v>320000</v>
      </c>
      <c r="F6691" s="508">
        <v>320000</v>
      </c>
      <c r="G6691" s="512">
        <v>0</v>
      </c>
      <c r="H6691" t="s">
        <v>2229</v>
      </c>
      <c r="I6691" s="507" t="s">
        <v>296</v>
      </c>
      <c r="K6691" s="370"/>
      <c r="N6691" s="370"/>
    </row>
    <row r="6692" spans="1:14" s="347" customFormat="1" x14ac:dyDescent="0.25">
      <c r="A6692" s="503">
        <f>+A6691</f>
        <v>44537</v>
      </c>
      <c r="B6692" s="504">
        <f>+MONTH(A6692)</f>
        <v>12</v>
      </c>
      <c r="C6692" s="505">
        <v>3453</v>
      </c>
      <c r="D6692" s="504" t="str">
        <f>VLOOKUP(C6692,Plan!A$1:B$65542,2,0)</f>
        <v>Cajas de navidad</v>
      </c>
      <c r="E6692" s="506">
        <f>+F6692-G6692</f>
        <v>-320000</v>
      </c>
      <c r="F6692" s="508">
        <v>0</v>
      </c>
      <c r="G6692" s="512">
        <f>+F6691</f>
        <v>320000</v>
      </c>
      <c r="H6692" s="338" t="str">
        <f>+H6691</f>
        <v>Caja Navidad Ana Maria Toro Irarrazaval</v>
      </c>
      <c r="I6692" s="507" t="s">
        <v>296</v>
      </c>
      <c r="K6692" s="370"/>
      <c r="N6692" s="370"/>
    </row>
    <row r="6693" spans="1:14" s="347" customFormat="1" x14ac:dyDescent="0.25">
      <c r="A6693" s="369"/>
      <c r="E6693" s="396"/>
      <c r="F6693" s="396"/>
      <c r="G6693" s="396"/>
      <c r="K6693" s="370"/>
      <c r="N6693" s="370"/>
    </row>
    <row r="6694" spans="1:14" s="347" customFormat="1" x14ac:dyDescent="0.25">
      <c r="A6694" s="503">
        <v>44537</v>
      </c>
      <c r="B6694" s="504">
        <f>+MONTH(A6694)</f>
        <v>12</v>
      </c>
      <c r="C6694" s="505">
        <v>110</v>
      </c>
      <c r="D6694" s="504" t="str">
        <f>VLOOKUP(C6694,Plan!A$1:B$65542,2,0)</f>
        <v>Disponible Administración</v>
      </c>
      <c r="E6694" s="506">
        <f>+F6694-G6694</f>
        <v>3000000</v>
      </c>
      <c r="F6694" s="508">
        <v>3000000</v>
      </c>
      <c r="G6694" s="512">
        <v>0</v>
      </c>
      <c r="H6694" t="s">
        <v>2438</v>
      </c>
      <c r="I6694" s="507" t="s">
        <v>296</v>
      </c>
      <c r="K6694" s="370"/>
      <c r="N6694" s="370"/>
    </row>
    <row r="6695" spans="1:14" s="347" customFormat="1" x14ac:dyDescent="0.25">
      <c r="A6695" s="503">
        <f>+A6694</f>
        <v>44537</v>
      </c>
      <c r="B6695" s="504">
        <f>+MONTH(A6695)</f>
        <v>12</v>
      </c>
      <c r="C6695" s="505">
        <v>215</v>
      </c>
      <c r="D6695" s="504" t="str">
        <f>VLOOKUP(C6695,Plan!A$1:B$65542,2,0)</f>
        <v>Cuenta por Pagar a Cali</v>
      </c>
      <c r="E6695" s="506">
        <f>+F6695-G6695</f>
        <v>-3000000</v>
      </c>
      <c r="F6695" s="508">
        <v>0</v>
      </c>
      <c r="G6695" s="512">
        <f>+F6694</f>
        <v>3000000</v>
      </c>
      <c r="H6695" s="338" t="str">
        <f>+H6694</f>
        <v>Ana María Toro Irarrázaval / Azul</v>
      </c>
      <c r="I6695" s="507" t="s">
        <v>296</v>
      </c>
      <c r="K6695" s="370"/>
      <c r="N6695" s="370"/>
    </row>
    <row r="6696" spans="1:14" s="347" customFormat="1" x14ac:dyDescent="0.25">
      <c r="A6696" s="369"/>
      <c r="E6696" s="396"/>
      <c r="F6696" s="396"/>
      <c r="G6696" s="396"/>
      <c r="K6696" s="370"/>
      <c r="N6696" s="370"/>
    </row>
    <row r="6697" spans="1:14" s="347" customFormat="1" x14ac:dyDescent="0.25">
      <c r="A6697" s="503">
        <v>44537</v>
      </c>
      <c r="B6697" s="504">
        <f>+MONTH(A6697)</f>
        <v>12</v>
      </c>
      <c r="C6697" s="505">
        <v>110</v>
      </c>
      <c r="D6697" s="504" t="str">
        <f>VLOOKUP(C6697,Plan!A$1:B$65542,2,0)</f>
        <v>Disponible Administración</v>
      </c>
      <c r="E6697" s="506">
        <f>+F6697-G6697</f>
        <v>5000</v>
      </c>
      <c r="F6697" s="508">
        <v>5000</v>
      </c>
      <c r="G6697" s="512">
        <v>0</v>
      </c>
      <c r="H6697" t="s">
        <v>1376</v>
      </c>
      <c r="I6697" s="507" t="s">
        <v>296</v>
      </c>
      <c r="K6697" s="370"/>
      <c r="N6697" s="370"/>
    </row>
    <row r="6698" spans="1:14" s="347" customFormat="1" x14ac:dyDescent="0.25">
      <c r="A6698" s="503">
        <f>+A6697</f>
        <v>44537</v>
      </c>
      <c r="B6698" s="504">
        <f>+MONTH(A6698)</f>
        <v>12</v>
      </c>
      <c r="C6698" s="505">
        <v>3110</v>
      </c>
      <c r="D6698" s="504" t="str">
        <f>VLOOKUP(C6698,Plan!A$1:B$65542,2,0)</f>
        <v>Colectas Normales</v>
      </c>
      <c r="E6698" s="506">
        <f>+F6698-G6698</f>
        <v>-5000</v>
      </c>
      <c r="F6698" s="508">
        <v>0</v>
      </c>
      <c r="G6698" s="512">
        <f>+F6697</f>
        <v>5000</v>
      </c>
      <c r="H6698" s="338" t="str">
        <f>+H6697</f>
        <v>Colecta Ana Gloria Awad Yazigi</v>
      </c>
      <c r="I6698" s="507" t="s">
        <v>296</v>
      </c>
      <c r="K6698" s="370"/>
      <c r="N6698" s="370"/>
    </row>
    <row r="6699" spans="1:14" s="347" customFormat="1" x14ac:dyDescent="0.25">
      <c r="A6699" s="369"/>
      <c r="E6699" s="396"/>
      <c r="F6699" s="396"/>
      <c r="G6699" s="396"/>
      <c r="K6699" s="370"/>
      <c r="N6699" s="370"/>
    </row>
    <row r="6700" spans="1:14" s="347" customFormat="1" x14ac:dyDescent="0.25">
      <c r="A6700" s="503">
        <v>44537</v>
      </c>
      <c r="B6700" s="504">
        <f>+MONTH(A6700)</f>
        <v>12</v>
      </c>
      <c r="C6700" s="505">
        <v>110</v>
      </c>
      <c r="D6700" s="504" t="str">
        <f>VLOOKUP(C6700,Plan!A$1:B$65542,2,0)</f>
        <v>Disponible Administración</v>
      </c>
      <c r="E6700" s="506">
        <f>+F6700-G6700</f>
        <v>50000</v>
      </c>
      <c r="F6700" s="508">
        <v>50000</v>
      </c>
      <c r="G6700" s="512">
        <v>0</v>
      </c>
      <c r="H6700" t="s">
        <v>1376</v>
      </c>
      <c r="I6700" s="507" t="s">
        <v>296</v>
      </c>
      <c r="K6700" s="370"/>
      <c r="N6700" s="370"/>
    </row>
    <row r="6701" spans="1:14" s="347" customFormat="1" x14ac:dyDescent="0.25">
      <c r="A6701" s="503">
        <f>+A6700</f>
        <v>44537</v>
      </c>
      <c r="B6701" s="504">
        <f>+MONTH(A6701)</f>
        <v>12</v>
      </c>
      <c r="C6701" s="505">
        <v>3110</v>
      </c>
      <c r="D6701" s="504" t="str">
        <f>VLOOKUP(C6701,Plan!A$1:B$65542,2,0)</f>
        <v>Colectas Normales</v>
      </c>
      <c r="E6701" s="506">
        <f>+F6701-G6701</f>
        <v>-50000</v>
      </c>
      <c r="F6701" s="508">
        <v>0</v>
      </c>
      <c r="G6701" s="512">
        <f>+F6700</f>
        <v>50000</v>
      </c>
      <c r="H6701" s="338" t="str">
        <f>+H6700</f>
        <v>Colecta Ana Gloria Awad Yazigi</v>
      </c>
      <c r="I6701" s="507" t="s">
        <v>296</v>
      </c>
      <c r="K6701" s="370"/>
      <c r="N6701" s="370"/>
    </row>
    <row r="6702" spans="1:14" s="347" customFormat="1" x14ac:dyDescent="0.25">
      <c r="A6702" s="369"/>
      <c r="E6702" s="396"/>
      <c r="F6702" s="396"/>
      <c r="G6702" s="396"/>
      <c r="K6702" s="370"/>
      <c r="N6702" s="370"/>
    </row>
    <row r="6703" spans="1:14" s="347" customFormat="1" x14ac:dyDescent="0.25">
      <c r="A6703" s="503">
        <v>44537</v>
      </c>
      <c r="B6703" s="504">
        <f>+MONTH(A6703)</f>
        <v>12</v>
      </c>
      <c r="C6703" s="505">
        <v>110</v>
      </c>
      <c r="D6703" s="504" t="str">
        <f>VLOOKUP(C6703,Plan!A$1:B$65542,2,0)</f>
        <v>Disponible Administración</v>
      </c>
      <c r="E6703" s="506">
        <f>+F6703-G6703</f>
        <v>4912</v>
      </c>
      <c r="F6703" s="508">
        <v>4912</v>
      </c>
      <c r="G6703" s="512">
        <v>0</v>
      </c>
      <c r="H6703" t="s">
        <v>1338</v>
      </c>
      <c r="I6703" s="507" t="s">
        <v>296</v>
      </c>
      <c r="K6703" s="370"/>
      <c r="N6703" s="370"/>
    </row>
    <row r="6704" spans="1:14" s="347" customFormat="1" x14ac:dyDescent="0.25">
      <c r="A6704" s="503">
        <f>+A6703</f>
        <v>44537</v>
      </c>
      <c r="B6704" s="504">
        <f>+MONTH(A6704)</f>
        <v>12</v>
      </c>
      <c r="C6704" s="505">
        <v>3340</v>
      </c>
      <c r="D6704" s="504" t="str">
        <f>VLOOKUP(C6704,Plan!A$1:B$65542,2,0)</f>
        <v>Misas</v>
      </c>
      <c r="E6704" s="506">
        <f>+F6704-G6704</f>
        <v>-4912</v>
      </c>
      <c r="F6704" s="508">
        <v>0</v>
      </c>
      <c r="G6704" s="512">
        <f>+F6703</f>
        <v>4912</v>
      </c>
      <c r="H6704" s="338" t="str">
        <f>+H6703</f>
        <v>Misa DCT</v>
      </c>
      <c r="I6704" s="507" t="s">
        <v>296</v>
      </c>
      <c r="K6704" s="370"/>
      <c r="N6704" s="370"/>
    </row>
    <row r="6705" spans="1:14" s="347" customFormat="1" x14ac:dyDescent="0.25">
      <c r="A6705" s="369"/>
      <c r="E6705" s="396"/>
      <c r="F6705" s="396"/>
      <c r="G6705" s="396"/>
      <c r="K6705" s="370"/>
      <c r="N6705" s="370"/>
    </row>
    <row r="6706" spans="1:14" s="347" customFormat="1" x14ac:dyDescent="0.25">
      <c r="A6706" s="503">
        <v>44537</v>
      </c>
      <c r="B6706" s="504">
        <f>+MONTH(A6706)</f>
        <v>12</v>
      </c>
      <c r="C6706" s="505">
        <v>110</v>
      </c>
      <c r="D6706" s="504" t="str">
        <f>VLOOKUP(C6706,Plan!A$1:B$65542,2,0)</f>
        <v>Disponible Administración</v>
      </c>
      <c r="E6706" s="506">
        <f>+F6706-G6706</f>
        <v>249011</v>
      </c>
      <c r="F6706" s="508">
        <v>249011</v>
      </c>
      <c r="G6706" s="512">
        <v>0</v>
      </c>
      <c r="H6706" t="s">
        <v>2271</v>
      </c>
      <c r="I6706" s="507" t="s">
        <v>296</v>
      </c>
      <c r="K6706" s="370"/>
      <c r="N6706" s="370"/>
    </row>
    <row r="6707" spans="1:14" s="347" customFormat="1" x14ac:dyDescent="0.25">
      <c r="A6707" s="503">
        <f>+A6706</f>
        <v>44537</v>
      </c>
      <c r="B6707" s="504">
        <f>+MONTH(A6707)</f>
        <v>12</v>
      </c>
      <c r="C6707" s="505">
        <v>3453</v>
      </c>
      <c r="D6707" s="504" t="str">
        <f>VLOOKUP(C6707,Plan!A$1:B$65542,2,0)</f>
        <v>Cajas de navidad</v>
      </c>
      <c r="E6707" s="506">
        <f>+F6707-G6707</f>
        <v>-249011</v>
      </c>
      <c r="F6707" s="508">
        <v>0</v>
      </c>
      <c r="G6707" s="512">
        <f>+F6706</f>
        <v>249011</v>
      </c>
      <c r="H6707" s="338" t="str">
        <f>+H6706</f>
        <v>Caja Navidad DCT</v>
      </c>
      <c r="I6707" s="507" t="s">
        <v>296</v>
      </c>
      <c r="K6707" s="370"/>
      <c r="N6707" s="370"/>
    </row>
    <row r="6708" spans="1:14" s="347" customFormat="1" x14ac:dyDescent="0.25">
      <c r="A6708" s="369"/>
      <c r="E6708" s="396"/>
      <c r="F6708" s="396"/>
      <c r="G6708" s="396"/>
      <c r="K6708" s="370"/>
      <c r="N6708" s="370"/>
    </row>
    <row r="6709" spans="1:14" s="347" customFormat="1" x14ac:dyDescent="0.25">
      <c r="A6709" s="503">
        <v>44537</v>
      </c>
      <c r="B6709" s="504">
        <f>+MONTH(A6709)</f>
        <v>12</v>
      </c>
      <c r="C6709" s="505">
        <v>110</v>
      </c>
      <c r="D6709" s="504" t="str">
        <f>VLOOKUP(C6709,Plan!A$1:B$65542,2,0)</f>
        <v>Disponible Administración</v>
      </c>
      <c r="E6709" s="506">
        <f>+F6709-G6709</f>
        <v>727947</v>
      </c>
      <c r="F6709" s="508">
        <v>727947</v>
      </c>
      <c r="G6709" s="512">
        <v>0</v>
      </c>
      <c r="H6709" t="s">
        <v>2218</v>
      </c>
      <c r="I6709" s="507" t="s">
        <v>296</v>
      </c>
      <c r="K6709" s="370"/>
      <c r="N6709" s="370"/>
    </row>
    <row r="6710" spans="1:14" s="347" customFormat="1" x14ac:dyDescent="0.25">
      <c r="A6710" s="503">
        <f>+A6709</f>
        <v>44537</v>
      </c>
      <c r="B6710" s="504">
        <f>+MONTH(A6710)</f>
        <v>12</v>
      </c>
      <c r="C6710" s="505">
        <v>3453</v>
      </c>
      <c r="D6710" s="504" t="str">
        <f>VLOOKUP(C6710,Plan!A$1:B$65542,2,0)</f>
        <v>Cajas de navidad</v>
      </c>
      <c r="E6710" s="506">
        <f>+F6710-G6710</f>
        <v>-727947</v>
      </c>
      <c r="F6710" s="508">
        <v>0</v>
      </c>
      <c r="G6710" s="512">
        <f>+F6709</f>
        <v>727947</v>
      </c>
      <c r="H6710" s="338" t="str">
        <f>+H6709</f>
        <v>Caja Navidad POS</v>
      </c>
      <c r="I6710" s="507" t="s">
        <v>296</v>
      </c>
      <c r="K6710" s="370"/>
      <c r="N6710" s="370"/>
    </row>
    <row r="6711" spans="1:14" s="347" customFormat="1" x14ac:dyDescent="0.25">
      <c r="A6711" s="369"/>
      <c r="E6711" s="396"/>
      <c r="F6711" s="396"/>
      <c r="G6711" s="396"/>
      <c r="K6711" s="370"/>
      <c r="N6711" s="370"/>
    </row>
    <row r="6712" spans="1:14" s="347" customFormat="1" x14ac:dyDescent="0.25">
      <c r="A6712" s="503">
        <v>44537</v>
      </c>
      <c r="B6712" s="504">
        <f>+MONTH(A6712)</f>
        <v>12</v>
      </c>
      <c r="C6712" s="505">
        <v>110</v>
      </c>
      <c r="D6712" s="504" t="str">
        <f>VLOOKUP(C6712,Plan!A$1:B$65542,2,0)</f>
        <v>Disponible Administración</v>
      </c>
      <c r="E6712" s="506">
        <f>+F6712-G6712</f>
        <v>7860</v>
      </c>
      <c r="F6712" s="508">
        <v>7860</v>
      </c>
      <c r="G6712" s="512">
        <v>0</v>
      </c>
      <c r="H6712" t="s">
        <v>2439</v>
      </c>
      <c r="I6712" s="507" t="s">
        <v>296</v>
      </c>
      <c r="K6712" s="370"/>
      <c r="N6712" s="370"/>
    </row>
    <row r="6713" spans="1:14" s="347" customFormat="1" x14ac:dyDescent="0.25">
      <c r="A6713" s="503">
        <f>+A6712</f>
        <v>44537</v>
      </c>
      <c r="B6713" s="504">
        <f>+MONTH(A6713)</f>
        <v>12</v>
      </c>
      <c r="C6713" s="505">
        <v>215</v>
      </c>
      <c r="D6713" s="504" t="str">
        <f>VLOOKUP(C6713,Plan!A$1:B$65542,2,0)</f>
        <v>Cuenta por Pagar a Cali</v>
      </c>
      <c r="E6713" s="506">
        <f>+F6713-G6713</f>
        <v>-7860</v>
      </c>
      <c r="F6713" s="508">
        <v>0</v>
      </c>
      <c r="G6713" s="512">
        <f>+F6712</f>
        <v>7860</v>
      </c>
      <c r="H6713" s="338" t="str">
        <f>+H6712</f>
        <v>Daniel Campos S. ($8.000)</v>
      </c>
      <c r="I6713" s="507" t="s">
        <v>296</v>
      </c>
      <c r="K6713" s="370"/>
      <c r="N6713" s="370"/>
    </row>
    <row r="6714" spans="1:14" s="347" customFormat="1" x14ac:dyDescent="0.25">
      <c r="A6714" s="369"/>
      <c r="E6714" s="396"/>
      <c r="F6714" s="396"/>
      <c r="G6714" s="396"/>
      <c r="K6714" s="370"/>
      <c r="N6714" s="370"/>
    </row>
    <row r="6715" spans="1:14" s="347" customFormat="1" x14ac:dyDescent="0.25">
      <c r="A6715" s="503">
        <v>44537</v>
      </c>
      <c r="B6715" s="504">
        <f>+MONTH(A6715)</f>
        <v>12</v>
      </c>
      <c r="C6715" s="505">
        <v>110</v>
      </c>
      <c r="D6715" s="504" t="str">
        <f>VLOOKUP(C6715,Plan!A$1:B$65542,2,0)</f>
        <v>Disponible Administración</v>
      </c>
      <c r="E6715" s="506">
        <f>+F6715-G6715</f>
        <v>29804</v>
      </c>
      <c r="F6715" s="508">
        <v>29804</v>
      </c>
      <c r="G6715" s="512">
        <v>0</v>
      </c>
      <c r="H6715" s="156" t="s">
        <v>897</v>
      </c>
      <c r="I6715" s="507" t="s">
        <v>296</v>
      </c>
      <c r="K6715" s="370"/>
      <c r="N6715" s="370"/>
    </row>
    <row r="6716" spans="1:14" s="347" customFormat="1" x14ac:dyDescent="0.25">
      <c r="A6716" s="503">
        <f>+A6715</f>
        <v>44537</v>
      </c>
      <c r="B6716" s="504">
        <f>+MONTH(A6716)</f>
        <v>12</v>
      </c>
      <c r="C6716" s="505">
        <v>3110</v>
      </c>
      <c r="D6716" s="504" t="str">
        <f>VLOOKUP(C6716,Plan!A$1:B$65542,2,0)</f>
        <v>Colectas Normales</v>
      </c>
      <c r="E6716" s="506">
        <f>+F6716-G6716</f>
        <v>-29804</v>
      </c>
      <c r="F6716" s="508">
        <v>0</v>
      </c>
      <c r="G6716" s="512">
        <f>+F6715</f>
        <v>29804</v>
      </c>
      <c r="H6716" s="338" t="str">
        <f>+H6715</f>
        <v>Colecta DCT</v>
      </c>
      <c r="I6716" s="507" t="s">
        <v>296</v>
      </c>
      <c r="K6716" s="370"/>
      <c r="N6716" s="370"/>
    </row>
    <row r="6717" spans="1:14" s="347" customFormat="1" x14ac:dyDescent="0.25">
      <c r="A6717" s="369"/>
      <c r="E6717" s="396"/>
      <c r="F6717" s="396"/>
      <c r="G6717" s="396"/>
      <c r="K6717" s="370"/>
      <c r="N6717" s="370"/>
    </row>
    <row r="6718" spans="1:14" s="347" customFormat="1" x14ac:dyDescent="0.25">
      <c r="A6718" s="503">
        <v>44537</v>
      </c>
      <c r="B6718" s="504">
        <f>+MONTH(A6718)</f>
        <v>12</v>
      </c>
      <c r="C6718" s="505">
        <v>4310</v>
      </c>
      <c r="D6718" s="504" t="str">
        <f>VLOOKUP(C6718,Plan!A$1:B$65542,2,0)</f>
        <v>Arriendos / Dividendos</v>
      </c>
      <c r="E6718" s="506">
        <f>+F6718-G6718</f>
        <v>821027</v>
      </c>
      <c r="F6718" s="508">
        <v>821027</v>
      </c>
      <c r="G6718" s="512">
        <v>0</v>
      </c>
      <c r="H6718" s="156" t="s">
        <v>2440</v>
      </c>
      <c r="I6718" s="507" t="s">
        <v>296</v>
      </c>
      <c r="K6718" s="370"/>
      <c r="N6718" s="370"/>
    </row>
    <row r="6719" spans="1:14" s="347" customFormat="1" x14ac:dyDescent="0.25">
      <c r="A6719" s="503">
        <f>+A6718</f>
        <v>44537</v>
      </c>
      <c r="B6719" s="504">
        <f>+MONTH(A6719)</f>
        <v>12</v>
      </c>
      <c r="C6719" s="505">
        <v>110</v>
      </c>
      <c r="D6719" s="504" t="str">
        <f>VLOOKUP(C6719,Plan!A$1:B$65542,2,0)</f>
        <v>Disponible Administración</v>
      </c>
      <c r="E6719" s="506">
        <f>+F6719-G6719</f>
        <v>-821027</v>
      </c>
      <c r="F6719" s="508">
        <v>0</v>
      </c>
      <c r="G6719" s="512">
        <f>+F6718</f>
        <v>821027</v>
      </c>
      <c r="H6719" s="338" t="str">
        <f>+H6718</f>
        <v>Claudio Cortes Arriagada Arriendo Noviembre 2021</v>
      </c>
      <c r="I6719" s="507" t="s">
        <v>296</v>
      </c>
      <c r="K6719" s="370"/>
      <c r="N6719" s="370"/>
    </row>
    <row r="6720" spans="1:14" s="347" customFormat="1" x14ac:dyDescent="0.25">
      <c r="A6720" s="369"/>
      <c r="E6720" s="396"/>
      <c r="F6720" s="396"/>
      <c r="G6720" s="396"/>
      <c r="K6720" s="370"/>
      <c r="N6720" s="370"/>
    </row>
    <row r="6721" spans="1:14" s="347" customFormat="1" x14ac:dyDescent="0.25">
      <c r="A6721" s="495">
        <v>44537</v>
      </c>
      <c r="B6721" s="496">
        <f>+MONTH(A6721)</f>
        <v>12</v>
      </c>
      <c r="C6721" s="491">
        <v>223</v>
      </c>
      <c r="D6721" s="492" t="str">
        <f>VLOOKUP(C6721,Plan!A$1:B$65542,2,0)</f>
        <v>Ret. Hon.  e Impto. Unico Administración</v>
      </c>
      <c r="E6721" s="497">
        <f>+F6721-G6721</f>
        <v>122483</v>
      </c>
      <c r="F6721" s="493">
        <v>122483</v>
      </c>
      <c r="G6721" s="501">
        <v>0</v>
      </c>
      <c r="H6721" s="156" t="s">
        <v>2441</v>
      </c>
      <c r="I6721" s="499" t="s">
        <v>296</v>
      </c>
      <c r="K6721" s="370"/>
      <c r="N6721" s="370"/>
    </row>
    <row r="6722" spans="1:14" s="347" customFormat="1" x14ac:dyDescent="0.25">
      <c r="A6722" s="495">
        <f>+A6721</f>
        <v>44537</v>
      </c>
      <c r="B6722" s="496">
        <f>+MONTH(A6722)</f>
        <v>12</v>
      </c>
      <c r="C6722" s="491">
        <v>215</v>
      </c>
      <c r="D6722" s="492" t="str">
        <f>VLOOKUP(C6722,Plan!A$1:B$65542,2,0)</f>
        <v>Cuenta por Pagar a Cali</v>
      </c>
      <c r="E6722" s="497">
        <f>+F6722-G6722</f>
        <v>46739</v>
      </c>
      <c r="F6722" s="493">
        <v>46739</v>
      </c>
      <c r="G6722" s="501">
        <v>0</v>
      </c>
      <c r="H6722" t="str">
        <f>+H6721</f>
        <v>Impto.Ret Adm. Noviembre/2021</v>
      </c>
      <c r="I6722" s="499" t="s">
        <v>296</v>
      </c>
      <c r="K6722" s="370"/>
      <c r="N6722" s="370"/>
    </row>
    <row r="6723" spans="1:14" s="347" customFormat="1" x14ac:dyDescent="0.25">
      <c r="A6723" s="503">
        <f>+A6721</f>
        <v>44537</v>
      </c>
      <c r="B6723" s="504">
        <f>+MONTH(A6723)</f>
        <v>12</v>
      </c>
      <c r="C6723" s="505">
        <v>110</v>
      </c>
      <c r="D6723" s="504" t="str">
        <f>VLOOKUP(C6723,Plan!A$1:B$65542,2,0)</f>
        <v>Disponible Administración</v>
      </c>
      <c r="E6723" s="506">
        <f>+F6723-G6723</f>
        <v>-169222</v>
      </c>
      <c r="F6723" s="508">
        <v>0</v>
      </c>
      <c r="G6723" s="509">
        <v>169222</v>
      </c>
      <c r="H6723" s="505" t="str">
        <f>+H6721</f>
        <v>Impto.Ret Adm. Noviembre/2021</v>
      </c>
      <c r="I6723" s="507" t="s">
        <v>296</v>
      </c>
      <c r="K6723" s="370"/>
      <c r="N6723" s="370"/>
    </row>
    <row r="6724" spans="1:14" s="347" customFormat="1" x14ac:dyDescent="0.25">
      <c r="A6724" s="369"/>
      <c r="E6724" s="396"/>
      <c r="F6724" s="396"/>
      <c r="G6724" s="396"/>
      <c r="K6724" s="370"/>
      <c r="N6724" s="370"/>
    </row>
    <row r="6725" spans="1:14" s="347" customFormat="1" x14ac:dyDescent="0.25">
      <c r="A6725" s="495">
        <v>44537</v>
      </c>
      <c r="B6725" s="496">
        <f>+MONTH(A6725)</f>
        <v>12</v>
      </c>
      <c r="C6725" s="491">
        <v>224</v>
      </c>
      <c r="D6725" s="492" t="str">
        <f>VLOOKUP(C6725,Plan!A$1:B$65542,2,0)</f>
        <v>Cotizaciones por Pagar</v>
      </c>
      <c r="E6725" s="497">
        <f>+F6725-G6725</f>
        <v>178611</v>
      </c>
      <c r="F6725" s="493">
        <v>178611</v>
      </c>
      <c r="G6725" s="501">
        <v>0</v>
      </c>
      <c r="H6725" t="s">
        <v>1566</v>
      </c>
      <c r="I6725" s="499" t="s">
        <v>296</v>
      </c>
      <c r="K6725" s="370"/>
      <c r="N6725" s="370"/>
    </row>
    <row r="6726" spans="1:14" s="347" customFormat="1" x14ac:dyDescent="0.25">
      <c r="A6726" s="495">
        <f>+A6725</f>
        <v>44537</v>
      </c>
      <c r="B6726" s="496">
        <f>+MONTH(A6726)</f>
        <v>12</v>
      </c>
      <c r="C6726" s="491">
        <v>110</v>
      </c>
      <c r="D6726" s="492" t="str">
        <f>VLOOKUP(C6726,Plan!A$1:B$65542,2,0)</f>
        <v>Disponible Administración</v>
      </c>
      <c r="E6726" s="497">
        <f>+F6726-G6726</f>
        <v>-178611</v>
      </c>
      <c r="F6726" s="493">
        <v>0</v>
      </c>
      <c r="G6726" s="501">
        <f>+F6725</f>
        <v>178611</v>
      </c>
      <c r="H6726" t="str">
        <f>+H6725</f>
        <v>Previsión P.Pedro</v>
      </c>
      <c r="I6726" s="499" t="s">
        <v>296</v>
      </c>
      <c r="K6726" s="370"/>
      <c r="N6726" s="370"/>
    </row>
    <row r="6727" spans="1:14" s="347" customFormat="1" x14ac:dyDescent="0.25">
      <c r="A6727" s="369"/>
      <c r="E6727" s="396"/>
      <c r="F6727" s="396"/>
      <c r="G6727" s="396"/>
      <c r="K6727" s="370"/>
      <c r="N6727" s="370"/>
    </row>
    <row r="6728" spans="1:14" s="347" customFormat="1" x14ac:dyDescent="0.25">
      <c r="A6728" s="495">
        <f>+A6726</f>
        <v>44537</v>
      </c>
      <c r="B6728" s="496">
        <f>+MONTH(A6728)</f>
        <v>12</v>
      </c>
      <c r="C6728" s="491">
        <v>224</v>
      </c>
      <c r="D6728" s="492" t="str">
        <f>VLOOKUP(C6728,Plan!A$1:B$65542,2,0)</f>
        <v>Cotizaciones por Pagar</v>
      </c>
      <c r="E6728" s="497">
        <f>+F6728-G6728</f>
        <v>415263</v>
      </c>
      <c r="F6728" s="493">
        <v>415263</v>
      </c>
      <c r="G6728" s="501">
        <v>0</v>
      </c>
      <c r="H6728" t="s">
        <v>1565</v>
      </c>
      <c r="I6728" s="499" t="s">
        <v>296</v>
      </c>
      <c r="K6728" s="370"/>
      <c r="N6728" s="370"/>
    </row>
    <row r="6729" spans="1:14" s="347" customFormat="1" x14ac:dyDescent="0.25">
      <c r="A6729" s="495">
        <f>+A6728</f>
        <v>44537</v>
      </c>
      <c r="B6729" s="496">
        <f>+MONTH(A6729)</f>
        <v>12</v>
      </c>
      <c r="C6729" s="491">
        <v>110</v>
      </c>
      <c r="D6729" s="492" t="str">
        <f>VLOOKUP(C6729,Plan!A$1:B$65542,2,0)</f>
        <v>Disponible Administración</v>
      </c>
      <c r="E6729" s="497">
        <f>+F6729-G6729</f>
        <v>-415263</v>
      </c>
      <c r="F6729" s="493">
        <v>0</v>
      </c>
      <c r="G6729" s="501">
        <f>+F6728</f>
        <v>415263</v>
      </c>
      <c r="H6729" t="str">
        <f>+H6728</f>
        <v>Previsión EE.PSAH</v>
      </c>
      <c r="I6729" s="499" t="s">
        <v>296</v>
      </c>
      <c r="K6729" s="370"/>
      <c r="N6729" s="370"/>
    </row>
    <row r="6730" spans="1:14" s="347" customFormat="1" x14ac:dyDescent="0.25">
      <c r="A6730" s="369"/>
      <c r="E6730" s="396"/>
      <c r="F6730" s="396"/>
      <c r="G6730" s="396"/>
      <c r="K6730" s="370"/>
      <c r="N6730" s="370"/>
    </row>
    <row r="6731" spans="1:14" s="347" customFormat="1" x14ac:dyDescent="0.25">
      <c r="A6731" s="495">
        <f>+A6729</f>
        <v>44537</v>
      </c>
      <c r="B6731" s="496">
        <f>+MONTH(A6731)</f>
        <v>12</v>
      </c>
      <c r="C6731" s="491">
        <v>110</v>
      </c>
      <c r="D6731" s="492" t="str">
        <f>VLOOKUP(C6731,Plan!A$1:B$65542,2,0)</f>
        <v>Disponible Administración</v>
      </c>
      <c r="E6731" s="497">
        <f>+F6731-G6731</f>
        <v>10000</v>
      </c>
      <c r="F6731" s="493">
        <v>10000</v>
      </c>
      <c r="G6731" s="501">
        <v>0</v>
      </c>
      <c r="H6731" s="156" t="s">
        <v>1310</v>
      </c>
      <c r="I6731" s="499" t="s">
        <v>296</v>
      </c>
      <c r="K6731" s="370"/>
      <c r="N6731" s="370"/>
    </row>
    <row r="6732" spans="1:14" s="347" customFormat="1" x14ac:dyDescent="0.25">
      <c r="A6732" s="495">
        <f>+A6731</f>
        <v>44537</v>
      </c>
      <c r="B6732" s="496">
        <f>+MONTH(A6732)</f>
        <v>12</v>
      </c>
      <c r="C6732" s="491">
        <v>3340</v>
      </c>
      <c r="D6732" s="492" t="str">
        <f>VLOOKUP(C6732,Plan!A$1:B$65542,2,0)</f>
        <v>Misas</v>
      </c>
      <c r="E6732" s="497">
        <f>+F6732-G6732</f>
        <v>-10000</v>
      </c>
      <c r="F6732" s="493">
        <v>0</v>
      </c>
      <c r="G6732" s="501">
        <f>+F6731</f>
        <v>10000</v>
      </c>
      <c r="H6732" t="str">
        <f>+H6731</f>
        <v>Misa Veronica Rojas</v>
      </c>
      <c r="I6732" s="499" t="s">
        <v>296</v>
      </c>
      <c r="K6732" s="370"/>
      <c r="N6732" s="370"/>
    </row>
    <row r="6733" spans="1:14" s="347" customFormat="1" x14ac:dyDescent="0.25">
      <c r="A6733" s="369"/>
      <c r="E6733" s="396"/>
      <c r="F6733" s="396"/>
      <c r="G6733" s="396"/>
      <c r="K6733" s="370"/>
      <c r="N6733" s="370"/>
    </row>
    <row r="6734" spans="1:14" s="347" customFormat="1" x14ac:dyDescent="0.25">
      <c r="A6734" s="495">
        <f>+A6732</f>
        <v>44537</v>
      </c>
      <c r="B6734" s="496">
        <f>+MONTH(A6734)</f>
        <v>12</v>
      </c>
      <c r="C6734" s="491">
        <v>110</v>
      </c>
      <c r="D6734" s="492" t="str">
        <f>VLOOKUP(C6734,Plan!A$1:B$65542,2,0)</f>
        <v>Disponible Administración</v>
      </c>
      <c r="E6734" s="497">
        <f>+F6734-G6734</f>
        <v>64000</v>
      </c>
      <c r="F6734" s="493">
        <v>64000</v>
      </c>
      <c r="G6734" s="501">
        <v>0</v>
      </c>
      <c r="H6734" s="156" t="s">
        <v>2442</v>
      </c>
      <c r="I6734" s="499" t="s">
        <v>296</v>
      </c>
      <c r="K6734" s="370"/>
      <c r="N6734" s="370"/>
    </row>
    <row r="6735" spans="1:14" s="347" customFormat="1" x14ac:dyDescent="0.25">
      <c r="A6735" s="495">
        <f>+A6734</f>
        <v>44537</v>
      </c>
      <c r="B6735" s="496">
        <f>+MONTH(A6735)</f>
        <v>12</v>
      </c>
      <c r="C6735" s="491">
        <v>3453</v>
      </c>
      <c r="D6735" s="492" t="str">
        <f>VLOOKUP(C6735,Plan!A$1:B$65542,2,0)</f>
        <v>Cajas de navidad</v>
      </c>
      <c r="E6735" s="497">
        <f>+F6735-G6735</f>
        <v>-64000</v>
      </c>
      <c r="F6735" s="493">
        <v>0</v>
      </c>
      <c r="G6735" s="501">
        <f>+F6734</f>
        <v>64000</v>
      </c>
      <c r="H6735" t="str">
        <f>+H6734</f>
        <v>Caja Navidad Elenna Ines Jordan</v>
      </c>
      <c r="I6735" s="499" t="s">
        <v>296</v>
      </c>
      <c r="K6735" s="370"/>
      <c r="N6735" s="370"/>
    </row>
    <row r="6736" spans="1:14" s="347" customFormat="1" x14ac:dyDescent="0.25">
      <c r="A6736" s="369"/>
      <c r="E6736" s="396"/>
      <c r="F6736" s="396"/>
      <c r="G6736" s="396"/>
      <c r="K6736" s="370"/>
      <c r="N6736" s="370"/>
    </row>
    <row r="6737" spans="1:14" s="347" customFormat="1" x14ac:dyDescent="0.25">
      <c r="A6737" s="495">
        <f>+A6735</f>
        <v>44537</v>
      </c>
      <c r="B6737" s="496">
        <f>+MONTH(A6737)</f>
        <v>12</v>
      </c>
      <c r="C6737" s="491">
        <v>110</v>
      </c>
      <c r="D6737" s="492" t="str">
        <f>VLOOKUP(C6737,Plan!A$1:B$65542,2,0)</f>
        <v>Disponible Administración</v>
      </c>
      <c r="E6737" s="497">
        <f>+F6737-G6737</f>
        <v>12000</v>
      </c>
      <c r="F6737" s="493">
        <v>12000</v>
      </c>
      <c r="G6737" s="501">
        <v>0</v>
      </c>
      <c r="H6737" s="156" t="s">
        <v>1318</v>
      </c>
      <c r="I6737" s="499" t="s">
        <v>296</v>
      </c>
      <c r="K6737" s="370"/>
      <c r="N6737" s="370"/>
    </row>
    <row r="6738" spans="1:14" s="347" customFormat="1" x14ac:dyDescent="0.25">
      <c r="A6738" s="495">
        <f>+A6737</f>
        <v>44537</v>
      </c>
      <c r="B6738" s="496">
        <f>+MONTH(A6738)</f>
        <v>12</v>
      </c>
      <c r="C6738" s="491">
        <v>3110</v>
      </c>
      <c r="D6738" s="492" t="str">
        <f>VLOOKUP(C6738,Plan!A$1:B$65542,2,0)</f>
        <v>Colectas Normales</v>
      </c>
      <c r="E6738" s="497">
        <f>+F6738-G6738</f>
        <v>-12000</v>
      </c>
      <c r="F6738" s="493">
        <v>0</v>
      </c>
      <c r="G6738" s="501">
        <f>+F6737</f>
        <v>12000</v>
      </c>
      <c r="H6738" t="str">
        <f>+H6737</f>
        <v>Colecta Jaime Andres Court Viviani</v>
      </c>
      <c r="I6738" s="499" t="s">
        <v>296</v>
      </c>
      <c r="K6738" s="370"/>
      <c r="N6738" s="370"/>
    </row>
    <row r="6739" spans="1:14" s="347" customFormat="1" x14ac:dyDescent="0.25">
      <c r="A6739" s="369"/>
      <c r="E6739" s="396"/>
      <c r="F6739" s="396"/>
      <c r="G6739" s="396"/>
      <c r="K6739" s="370"/>
      <c r="N6739" s="370"/>
    </row>
    <row r="6740" spans="1:14" s="347" customFormat="1" x14ac:dyDescent="0.25">
      <c r="A6740" s="495">
        <f>+A6738</f>
        <v>44537</v>
      </c>
      <c r="B6740" s="496">
        <f>+MONTH(A6740)</f>
        <v>12</v>
      </c>
      <c r="C6740" s="491">
        <v>110</v>
      </c>
      <c r="D6740" s="492" t="str">
        <f>VLOOKUP(C6740,Plan!A$1:B$65542,2,0)</f>
        <v>Disponible Administración</v>
      </c>
      <c r="E6740" s="497">
        <f>+F6740-G6740</f>
        <v>30000</v>
      </c>
      <c r="F6740" s="493">
        <v>30000</v>
      </c>
      <c r="G6740" s="501">
        <v>0</v>
      </c>
      <c r="H6740" s="156" t="s">
        <v>2443</v>
      </c>
      <c r="I6740" s="499" t="s">
        <v>296</v>
      </c>
      <c r="K6740" s="370"/>
      <c r="N6740" s="370"/>
    </row>
    <row r="6741" spans="1:14" s="347" customFormat="1" x14ac:dyDescent="0.25">
      <c r="A6741" s="495">
        <f>+A6740</f>
        <v>44537</v>
      </c>
      <c r="B6741" s="496">
        <f>+MONTH(A6741)</f>
        <v>12</v>
      </c>
      <c r="C6741" s="491">
        <v>215</v>
      </c>
      <c r="D6741" s="492" t="str">
        <f>VLOOKUP(C6741,Plan!A$1:B$65542,2,0)</f>
        <v>Cuenta por Pagar a Cali</v>
      </c>
      <c r="E6741" s="497">
        <f>+F6741-G6741</f>
        <v>-30000</v>
      </c>
      <c r="F6741" s="493">
        <v>0</v>
      </c>
      <c r="G6741" s="501">
        <f>+F6740</f>
        <v>30000</v>
      </c>
      <c r="H6741" t="str">
        <f>+H6740</f>
        <v>Jaime Andrés Court Viviani /249</v>
      </c>
      <c r="I6741" s="499" t="s">
        <v>296</v>
      </c>
      <c r="K6741" s="370"/>
      <c r="N6741" s="370"/>
    </row>
    <row r="6742" spans="1:14" s="347" customFormat="1" x14ac:dyDescent="0.25">
      <c r="A6742" s="369"/>
      <c r="E6742" s="396"/>
      <c r="F6742" s="396"/>
      <c r="G6742" s="396"/>
      <c r="K6742" s="370"/>
      <c r="N6742" s="370"/>
    </row>
    <row r="6743" spans="1:14" s="347" customFormat="1" x14ac:dyDescent="0.25">
      <c r="A6743" s="495">
        <v>44539</v>
      </c>
      <c r="B6743" s="496">
        <f>+MONTH(A6743)</f>
        <v>12</v>
      </c>
      <c r="C6743" s="491">
        <v>4324</v>
      </c>
      <c r="D6743" s="492" t="str">
        <f>VLOOKUP(C6743,Plan!A$1:B$65542,2,0)</f>
        <v>Gas</v>
      </c>
      <c r="E6743" s="497">
        <f>+F6743-G6743</f>
        <v>3433</v>
      </c>
      <c r="F6743" s="493">
        <v>3433</v>
      </c>
      <c r="G6743" s="501">
        <v>0</v>
      </c>
      <c r="H6743" t="s">
        <v>741</v>
      </c>
      <c r="I6743" s="499" t="s">
        <v>296</v>
      </c>
      <c r="K6743" s="370"/>
      <c r="N6743" s="370"/>
    </row>
    <row r="6744" spans="1:14" s="347" customFormat="1" x14ac:dyDescent="0.25">
      <c r="A6744" s="495">
        <f>+A6743</f>
        <v>44539</v>
      </c>
      <c r="B6744" s="496">
        <f>+MONTH(A6744)</f>
        <v>12</v>
      </c>
      <c r="C6744" s="491">
        <v>110</v>
      </c>
      <c r="D6744" s="492" t="str">
        <f>VLOOKUP(C6744,Plan!A$1:B$65542,2,0)</f>
        <v>Disponible Administración</v>
      </c>
      <c r="E6744" s="497">
        <f>+F6744-G6744</f>
        <v>-3433</v>
      </c>
      <c r="F6744" s="493">
        <v>0</v>
      </c>
      <c r="G6744" s="501">
        <f>+F6743</f>
        <v>3433</v>
      </c>
      <c r="H6744" t="str">
        <f>+H6743</f>
        <v>PAC Metrogas Oficina</v>
      </c>
      <c r="I6744" s="499" t="s">
        <v>296</v>
      </c>
      <c r="K6744" s="370"/>
      <c r="N6744" s="370"/>
    </row>
    <row r="6745" spans="1:14" s="347" customFormat="1" x14ac:dyDescent="0.25">
      <c r="A6745" s="369"/>
      <c r="E6745" s="396"/>
      <c r="F6745" s="396"/>
      <c r="G6745" s="396"/>
      <c r="K6745" s="370"/>
      <c r="N6745" s="370"/>
    </row>
    <row r="6746" spans="1:14" s="347" customFormat="1" x14ac:dyDescent="0.25">
      <c r="A6746" s="495">
        <v>44539</v>
      </c>
      <c r="B6746" s="496">
        <f>+MONTH(A6746)</f>
        <v>12</v>
      </c>
      <c r="C6746" s="491">
        <v>110</v>
      </c>
      <c r="D6746" s="492" t="str">
        <f>VLOOKUP(C6746,Plan!A$1:B$65542,2,0)</f>
        <v>Disponible Administración</v>
      </c>
      <c r="E6746" s="497">
        <f>+F6746-G6746</f>
        <v>60000</v>
      </c>
      <c r="F6746" s="493">
        <v>60000</v>
      </c>
      <c r="G6746" s="501">
        <v>0</v>
      </c>
      <c r="H6746" t="s">
        <v>2217</v>
      </c>
      <c r="I6746" s="499" t="s">
        <v>296</v>
      </c>
      <c r="K6746" s="370"/>
      <c r="N6746" s="370"/>
    </row>
    <row r="6747" spans="1:14" s="347" customFormat="1" x14ac:dyDescent="0.25">
      <c r="A6747" s="495">
        <f>+A6746</f>
        <v>44539</v>
      </c>
      <c r="B6747" s="496">
        <f>+MONTH(A6747)</f>
        <v>12</v>
      </c>
      <c r="C6747" s="491">
        <v>215</v>
      </c>
      <c r="D6747" s="492" t="str">
        <f>VLOOKUP(C6747,Plan!A$1:B$65542,2,0)</f>
        <v>Cuenta por Pagar a Cali</v>
      </c>
      <c r="E6747" s="497">
        <f>+F6747-G6747</f>
        <v>-60000</v>
      </c>
      <c r="F6747" s="493">
        <v>0</v>
      </c>
      <c r="G6747" s="501">
        <f>+F6746</f>
        <v>60000</v>
      </c>
      <c r="H6747" t="str">
        <f>+H6746</f>
        <v>Ricardo Fernández Oyarzún / 249</v>
      </c>
      <c r="I6747" s="499" t="s">
        <v>296</v>
      </c>
      <c r="K6747" s="370"/>
      <c r="N6747" s="370"/>
    </row>
    <row r="6748" spans="1:14" s="347" customFormat="1" x14ac:dyDescent="0.25">
      <c r="A6748" s="369"/>
      <c r="E6748" s="396"/>
      <c r="F6748" s="396"/>
      <c r="G6748" s="396"/>
      <c r="K6748" s="370"/>
      <c r="N6748" s="370"/>
    </row>
    <row r="6749" spans="1:14" s="347" customFormat="1" x14ac:dyDescent="0.25">
      <c r="A6749" s="495">
        <v>44539</v>
      </c>
      <c r="B6749" s="496">
        <f>+MONTH(A6749)</f>
        <v>12</v>
      </c>
      <c r="C6749" s="491">
        <v>110</v>
      </c>
      <c r="D6749" s="492" t="str">
        <f>VLOOKUP(C6749,Plan!A$1:B$65542,2,0)</f>
        <v>Disponible Administración</v>
      </c>
      <c r="E6749" s="497">
        <f>+F6749-G6749</f>
        <v>25000</v>
      </c>
      <c r="F6749" s="493">
        <v>25000</v>
      </c>
      <c r="G6749" s="501">
        <v>0</v>
      </c>
      <c r="H6749" s="156" t="s">
        <v>2444</v>
      </c>
      <c r="I6749" s="499" t="s">
        <v>296</v>
      </c>
      <c r="K6749" s="370"/>
      <c r="N6749" s="370"/>
    </row>
    <row r="6750" spans="1:14" s="347" customFormat="1" x14ac:dyDescent="0.25">
      <c r="A6750" s="495">
        <f>+A6749</f>
        <v>44539</v>
      </c>
      <c r="B6750" s="496">
        <f>+MONTH(A6750)</f>
        <v>12</v>
      </c>
      <c r="C6750" s="491">
        <v>3360</v>
      </c>
      <c r="D6750" s="492" t="str">
        <f>VLOOKUP(C6750,Plan!A$1:B$65542,2,0)</f>
        <v>Otros</v>
      </c>
      <c r="E6750" s="497">
        <f>+F6750-G6750</f>
        <v>-25000</v>
      </c>
      <c r="F6750" s="493">
        <v>0</v>
      </c>
      <c r="G6750" s="501">
        <f>+F6749</f>
        <v>25000</v>
      </c>
      <c r="H6750" t="str">
        <f>+H6749</f>
        <v>Curso María Soledad Toso Loyola</v>
      </c>
      <c r="I6750" s="499" t="s">
        <v>296</v>
      </c>
      <c r="K6750" s="370"/>
      <c r="N6750" s="370"/>
    </row>
    <row r="6751" spans="1:14" s="347" customFormat="1" x14ac:dyDescent="0.25">
      <c r="A6751" s="369"/>
      <c r="E6751" s="396"/>
      <c r="F6751" s="396"/>
      <c r="G6751" s="396"/>
      <c r="K6751" s="370"/>
      <c r="N6751" s="370"/>
    </row>
    <row r="6752" spans="1:14" s="347" customFormat="1" x14ac:dyDescent="0.25">
      <c r="A6752" s="495">
        <v>44539</v>
      </c>
      <c r="B6752" s="496">
        <f>+MONTH(A6752)</f>
        <v>12</v>
      </c>
      <c r="C6752" s="491">
        <v>110</v>
      </c>
      <c r="D6752" s="492" t="str">
        <f>VLOOKUP(C6752,Plan!A$1:B$65542,2,0)</f>
        <v>Disponible Administración</v>
      </c>
      <c r="E6752" s="497">
        <f>+F6752-G6752</f>
        <v>15000</v>
      </c>
      <c r="F6752" s="493">
        <v>15000</v>
      </c>
      <c r="G6752" s="501">
        <v>0</v>
      </c>
      <c r="H6752" s="156" t="s">
        <v>2445</v>
      </c>
      <c r="I6752" s="499" t="s">
        <v>296</v>
      </c>
      <c r="K6752" s="370"/>
      <c r="N6752" s="370"/>
    </row>
    <row r="6753" spans="1:14" s="347" customFormat="1" x14ac:dyDescent="0.25">
      <c r="A6753" s="495">
        <f>+A6752</f>
        <v>44539</v>
      </c>
      <c r="B6753" s="496">
        <f>+MONTH(A6753)</f>
        <v>12</v>
      </c>
      <c r="C6753" s="491">
        <v>3110</v>
      </c>
      <c r="D6753" s="492" t="str">
        <f>VLOOKUP(C6753,Plan!A$1:B$65542,2,0)</f>
        <v>Colectas Normales</v>
      </c>
      <c r="E6753" s="497">
        <f>+F6753-G6753</f>
        <v>-15000</v>
      </c>
      <c r="F6753" s="493">
        <v>0</v>
      </c>
      <c r="G6753" s="501">
        <f>+F6752</f>
        <v>15000</v>
      </c>
      <c r="H6753" t="str">
        <f>+H6752</f>
        <v>Maria Jose Urrutia Cruz</v>
      </c>
      <c r="I6753" s="499" t="s">
        <v>296</v>
      </c>
      <c r="K6753" s="370"/>
      <c r="N6753" s="370"/>
    </row>
    <row r="6754" spans="1:14" s="347" customFormat="1" x14ac:dyDescent="0.25">
      <c r="A6754" s="369"/>
      <c r="E6754" s="396"/>
      <c r="F6754" s="396"/>
      <c r="G6754" s="396"/>
      <c r="K6754" s="370"/>
      <c r="N6754" s="370"/>
    </row>
    <row r="6755" spans="1:14" s="347" customFormat="1" x14ac:dyDescent="0.25">
      <c r="A6755" s="495">
        <v>44539</v>
      </c>
      <c r="B6755" s="496">
        <f>+MONTH(A6755)</f>
        <v>12</v>
      </c>
      <c r="C6755" s="491">
        <v>110</v>
      </c>
      <c r="D6755" s="492" t="str">
        <f>VLOOKUP(C6755,Plan!A$1:B$65542,2,0)</f>
        <v>Disponible Administración</v>
      </c>
      <c r="E6755" s="497">
        <f>+F6755-G6755</f>
        <v>15000</v>
      </c>
      <c r="F6755" s="493">
        <v>15000</v>
      </c>
      <c r="G6755" s="501">
        <v>0</v>
      </c>
      <c r="H6755" s="156" t="s">
        <v>688</v>
      </c>
      <c r="I6755" s="499" t="s">
        <v>296</v>
      </c>
      <c r="K6755" s="370"/>
      <c r="N6755" s="370"/>
    </row>
    <row r="6756" spans="1:14" s="347" customFormat="1" x14ac:dyDescent="0.25">
      <c r="A6756" s="495">
        <f>+A6755</f>
        <v>44539</v>
      </c>
      <c r="B6756" s="496">
        <f>+MONTH(A6756)</f>
        <v>12</v>
      </c>
      <c r="C6756" s="491">
        <v>215</v>
      </c>
      <c r="D6756" s="492" t="str">
        <f>VLOOKUP(C6756,Plan!A$1:B$65542,2,0)</f>
        <v>Cuenta por Pagar a Cali</v>
      </c>
      <c r="E6756" s="497">
        <f>+F6756-G6756</f>
        <v>-15000</v>
      </c>
      <c r="F6756" s="493">
        <v>0</v>
      </c>
      <c r="G6756" s="501">
        <f>+F6755</f>
        <v>15000</v>
      </c>
      <c r="H6756" t="str">
        <f>+H6755</f>
        <v>María Elena de Castro Espinosa/249</v>
      </c>
      <c r="I6756" s="499" t="s">
        <v>296</v>
      </c>
      <c r="K6756" s="370"/>
      <c r="N6756" s="370"/>
    </row>
    <row r="6757" spans="1:14" s="347" customFormat="1" x14ac:dyDescent="0.25">
      <c r="A6757" s="369"/>
      <c r="E6757" s="396"/>
      <c r="F6757" s="396"/>
      <c r="G6757" s="396"/>
      <c r="K6757" s="370"/>
      <c r="N6757" s="370"/>
    </row>
    <row r="6758" spans="1:14" s="347" customFormat="1" x14ac:dyDescent="0.25">
      <c r="A6758" s="495">
        <v>44539</v>
      </c>
      <c r="B6758" s="496">
        <f>+MONTH(A6758)</f>
        <v>12</v>
      </c>
      <c r="C6758" s="491">
        <v>110</v>
      </c>
      <c r="D6758" s="492" t="str">
        <f>VLOOKUP(C6758,Plan!A$1:B$65542,2,0)</f>
        <v>Disponible Administración</v>
      </c>
      <c r="E6758" s="497">
        <f>+F6758-G6758</f>
        <v>2000</v>
      </c>
      <c r="F6758" s="493">
        <v>2000</v>
      </c>
      <c r="G6758" s="501">
        <v>0</v>
      </c>
      <c r="H6758" s="156" t="s">
        <v>1010</v>
      </c>
      <c r="I6758" s="499" t="s">
        <v>296</v>
      </c>
      <c r="K6758" s="370"/>
      <c r="N6758" s="370"/>
    </row>
    <row r="6759" spans="1:14" s="347" customFormat="1" x14ac:dyDescent="0.25">
      <c r="A6759" s="495">
        <f>+A6758</f>
        <v>44539</v>
      </c>
      <c r="B6759" s="496">
        <f>+MONTH(A6759)</f>
        <v>12</v>
      </c>
      <c r="C6759" s="491">
        <v>3110</v>
      </c>
      <c r="D6759" s="492" t="str">
        <f>VLOOKUP(C6759,Plan!A$1:B$65542,2,0)</f>
        <v>Colectas Normales</v>
      </c>
      <c r="E6759" s="497">
        <f>+F6759-G6759</f>
        <v>-2000</v>
      </c>
      <c r="F6759" s="493">
        <v>0</v>
      </c>
      <c r="G6759" s="501">
        <f>+F6758</f>
        <v>2000</v>
      </c>
      <c r="H6759" t="str">
        <f>+H6758</f>
        <v>Colecta Raimundo Barros</v>
      </c>
      <c r="I6759" s="499" t="s">
        <v>296</v>
      </c>
      <c r="K6759" s="370"/>
      <c r="N6759" s="370"/>
    </row>
    <row r="6760" spans="1:14" s="347" customFormat="1" x14ac:dyDescent="0.25">
      <c r="A6760" s="369"/>
      <c r="E6760" s="396"/>
      <c r="F6760" s="396"/>
      <c r="G6760" s="396"/>
      <c r="K6760" s="370"/>
      <c r="N6760" s="370"/>
    </row>
    <row r="6761" spans="1:14" s="347" customFormat="1" x14ac:dyDescent="0.25">
      <c r="A6761" s="495">
        <v>44539</v>
      </c>
      <c r="B6761" s="496">
        <f>+MONTH(A6761)</f>
        <v>12</v>
      </c>
      <c r="C6761" s="491">
        <v>110</v>
      </c>
      <c r="D6761" s="492" t="str">
        <f>VLOOKUP(C6761,Plan!A$1:B$65542,2,0)</f>
        <v>Disponible Administración</v>
      </c>
      <c r="E6761" s="497">
        <f>+F6761-G6761</f>
        <v>64000</v>
      </c>
      <c r="F6761" s="493">
        <v>64000</v>
      </c>
      <c r="G6761" s="501">
        <v>0</v>
      </c>
      <c r="H6761" s="156" t="s">
        <v>2446</v>
      </c>
      <c r="I6761" s="499" t="s">
        <v>296</v>
      </c>
      <c r="K6761" s="370"/>
      <c r="N6761" s="370"/>
    </row>
    <row r="6762" spans="1:14" s="347" customFormat="1" x14ac:dyDescent="0.25">
      <c r="A6762" s="495">
        <f>+A6761</f>
        <v>44539</v>
      </c>
      <c r="B6762" s="496">
        <f>+MONTH(A6762)</f>
        <v>12</v>
      </c>
      <c r="C6762" s="491">
        <v>3453</v>
      </c>
      <c r="D6762" s="492" t="str">
        <f>VLOOKUP(C6762,Plan!A$1:B$65542,2,0)</f>
        <v>Cajas de navidad</v>
      </c>
      <c r="E6762" s="497">
        <f>+F6762-G6762</f>
        <v>-64000</v>
      </c>
      <c r="F6762" s="493">
        <v>0</v>
      </c>
      <c r="G6762" s="501">
        <f>+F6761</f>
        <v>64000</v>
      </c>
      <c r="H6762" t="str">
        <f>+H6761</f>
        <v>Caja Navidad Maria Fca. Llona</v>
      </c>
      <c r="I6762" s="499" t="s">
        <v>296</v>
      </c>
      <c r="K6762" s="370"/>
      <c r="N6762" s="370"/>
    </row>
    <row r="6763" spans="1:14" s="347" customFormat="1" x14ac:dyDescent="0.25">
      <c r="A6763" s="369"/>
      <c r="E6763" s="396"/>
      <c r="F6763" s="396"/>
      <c r="G6763" s="396"/>
      <c r="K6763" s="370"/>
      <c r="N6763" s="370"/>
    </row>
    <row r="6764" spans="1:14" s="347" customFormat="1" x14ac:dyDescent="0.25">
      <c r="A6764" s="495">
        <v>44539</v>
      </c>
      <c r="B6764" s="496">
        <f>+MONTH(A6764)</f>
        <v>12</v>
      </c>
      <c r="C6764" s="491">
        <v>110</v>
      </c>
      <c r="D6764" s="492" t="str">
        <f>VLOOKUP(C6764,Plan!A$1:B$65542,2,0)</f>
        <v>Disponible Administración</v>
      </c>
      <c r="E6764" s="497">
        <f>+F6764-G6764</f>
        <v>100000</v>
      </c>
      <c r="F6764" s="493">
        <v>100000</v>
      </c>
      <c r="G6764" s="501">
        <v>0</v>
      </c>
      <c r="H6764" s="156" t="s">
        <v>1321</v>
      </c>
      <c r="I6764" s="499" t="s">
        <v>296</v>
      </c>
      <c r="K6764" s="370"/>
      <c r="N6764" s="370"/>
    </row>
    <row r="6765" spans="1:14" s="347" customFormat="1" x14ac:dyDescent="0.25">
      <c r="A6765" s="495">
        <f>+A6764</f>
        <v>44539</v>
      </c>
      <c r="B6765" s="496">
        <f>+MONTH(A6765)</f>
        <v>12</v>
      </c>
      <c r="C6765" s="491">
        <v>3450</v>
      </c>
      <c r="D6765" s="492" t="str">
        <f>VLOOKUP(C6765,Plan!A$1:B$65542,2,0)</f>
        <v>Pastoral Social</v>
      </c>
      <c r="E6765" s="497">
        <f>+F6765-G6765</f>
        <v>-100000</v>
      </c>
      <c r="F6765" s="493">
        <v>0</v>
      </c>
      <c r="G6765" s="501">
        <f>+F6764</f>
        <v>100000</v>
      </c>
      <c r="H6765" t="str">
        <f>+H6764</f>
        <v>Canastas SERVICIOS E INVERSIONES VARIOS SPA</v>
      </c>
      <c r="I6765" s="499" t="s">
        <v>296</v>
      </c>
      <c r="K6765" s="370"/>
      <c r="N6765" s="370"/>
    </row>
    <row r="6766" spans="1:14" s="347" customFormat="1" x14ac:dyDescent="0.25">
      <c r="A6766" s="369"/>
      <c r="E6766" s="396"/>
      <c r="F6766" s="396"/>
      <c r="G6766" s="396"/>
      <c r="K6766" s="370"/>
      <c r="N6766" s="370"/>
    </row>
    <row r="6767" spans="1:14" s="347" customFormat="1" x14ac:dyDescent="0.25">
      <c r="A6767" s="495">
        <v>44539</v>
      </c>
      <c r="B6767" s="496">
        <f>+MONTH(A6767)</f>
        <v>12</v>
      </c>
      <c r="C6767" s="491">
        <v>110</v>
      </c>
      <c r="D6767" s="492" t="str">
        <f>VLOOKUP(C6767,Plan!A$1:B$65542,2,0)</f>
        <v>Disponible Administración</v>
      </c>
      <c r="E6767" s="497">
        <f>+F6767-G6767</f>
        <v>70000</v>
      </c>
      <c r="F6767" s="493">
        <v>70000</v>
      </c>
      <c r="G6767" s="501">
        <v>0</v>
      </c>
      <c r="H6767" s="156" t="s">
        <v>892</v>
      </c>
      <c r="I6767" s="499" t="s">
        <v>296</v>
      </c>
      <c r="K6767" s="370"/>
      <c r="N6767" s="370"/>
    </row>
    <row r="6768" spans="1:14" s="347" customFormat="1" x14ac:dyDescent="0.25">
      <c r="A6768" s="495">
        <f>+A6767</f>
        <v>44539</v>
      </c>
      <c r="B6768" s="496">
        <f>+MONTH(A6768)</f>
        <v>12</v>
      </c>
      <c r="C6768" s="491">
        <v>3110</v>
      </c>
      <c r="D6768" s="492" t="str">
        <f>VLOOKUP(C6768,Plan!A$1:B$65542,2,0)</f>
        <v>Colectas Normales</v>
      </c>
      <c r="E6768" s="497">
        <f>+F6768-G6768</f>
        <v>-70000</v>
      </c>
      <c r="F6768" s="493">
        <v>0</v>
      </c>
      <c r="G6768" s="501">
        <f>+F6767</f>
        <v>70000</v>
      </c>
      <c r="H6768" t="str">
        <f>+H6767</f>
        <v>Colecta SERVICIOS E INVERSIONES VARIOS SPA</v>
      </c>
      <c r="I6768" s="499" t="s">
        <v>296</v>
      </c>
      <c r="K6768" s="370"/>
      <c r="N6768" s="370"/>
    </row>
    <row r="6769" spans="1:14" s="347" customFormat="1" x14ac:dyDescent="0.25">
      <c r="A6769" s="369"/>
      <c r="E6769" s="396"/>
      <c r="F6769" s="396"/>
      <c r="G6769" s="396"/>
      <c r="K6769" s="370"/>
      <c r="N6769" s="370"/>
    </row>
    <row r="6770" spans="1:14" s="347" customFormat="1" x14ac:dyDescent="0.25">
      <c r="A6770" s="495">
        <v>44539</v>
      </c>
      <c r="B6770" s="496">
        <f>+MONTH(A6770)</f>
        <v>12</v>
      </c>
      <c r="C6770" s="491">
        <v>110</v>
      </c>
      <c r="D6770" s="492" t="str">
        <f>VLOOKUP(C6770,Plan!A$1:B$65542,2,0)</f>
        <v>Disponible Administración</v>
      </c>
      <c r="E6770" s="497">
        <f>+F6770-G6770</f>
        <v>4835</v>
      </c>
      <c r="F6770" s="493">
        <v>4835</v>
      </c>
      <c r="G6770" s="501">
        <v>0</v>
      </c>
      <c r="H6770" s="156" t="s">
        <v>1338</v>
      </c>
      <c r="I6770" s="499" t="s">
        <v>296</v>
      </c>
      <c r="K6770" s="370"/>
      <c r="N6770" s="370"/>
    </row>
    <row r="6771" spans="1:14" s="347" customFormat="1" x14ac:dyDescent="0.25">
      <c r="A6771" s="495">
        <f>+A6770</f>
        <v>44539</v>
      </c>
      <c r="B6771" s="496">
        <f>+MONTH(A6771)</f>
        <v>12</v>
      </c>
      <c r="C6771" s="491">
        <v>3340</v>
      </c>
      <c r="D6771" s="492" t="str">
        <f>VLOOKUP(C6771,Plan!A$1:B$65542,2,0)</f>
        <v>Misas</v>
      </c>
      <c r="E6771" s="497">
        <f>+F6771-G6771</f>
        <v>-4835</v>
      </c>
      <c r="F6771" s="493">
        <v>0</v>
      </c>
      <c r="G6771" s="501">
        <f>+F6770</f>
        <v>4835</v>
      </c>
      <c r="H6771" t="str">
        <f>+H6770</f>
        <v>Misa DCT</v>
      </c>
      <c r="I6771" s="499" t="s">
        <v>296</v>
      </c>
      <c r="K6771" s="370"/>
      <c r="N6771" s="370"/>
    </row>
    <row r="6772" spans="1:14" s="347" customFormat="1" x14ac:dyDescent="0.25">
      <c r="A6772" s="369"/>
      <c r="E6772" s="396"/>
      <c r="F6772" s="396"/>
      <c r="G6772" s="396"/>
      <c r="K6772" s="370"/>
      <c r="N6772" s="370"/>
    </row>
    <row r="6773" spans="1:14" s="347" customFormat="1" x14ac:dyDescent="0.25">
      <c r="A6773" s="495">
        <v>44539</v>
      </c>
      <c r="B6773" s="496">
        <f>+MONTH(A6773)</f>
        <v>12</v>
      </c>
      <c r="C6773" s="491">
        <v>110</v>
      </c>
      <c r="D6773" s="492" t="str">
        <f>VLOOKUP(C6773,Plan!A$1:B$65542,2,0)</f>
        <v>Disponible Administración</v>
      </c>
      <c r="E6773" s="497">
        <f>+F6773-G6773</f>
        <v>207104</v>
      </c>
      <c r="F6773" s="493">
        <v>207104</v>
      </c>
      <c r="G6773" s="501">
        <v>0</v>
      </c>
      <c r="H6773" s="156" t="s">
        <v>2271</v>
      </c>
      <c r="I6773" s="499" t="s">
        <v>296</v>
      </c>
      <c r="K6773" s="370"/>
      <c r="N6773" s="370"/>
    </row>
    <row r="6774" spans="1:14" s="347" customFormat="1" x14ac:dyDescent="0.25">
      <c r="A6774" s="495">
        <f>+A6773</f>
        <v>44539</v>
      </c>
      <c r="B6774" s="496">
        <f>+MONTH(A6774)</f>
        <v>12</v>
      </c>
      <c r="C6774" s="491">
        <v>3453</v>
      </c>
      <c r="D6774" s="492" t="str">
        <f>VLOOKUP(C6774,Plan!A$1:B$65542,2,0)</f>
        <v>Cajas de navidad</v>
      </c>
      <c r="E6774" s="497">
        <f>+F6774-G6774</f>
        <v>-207104</v>
      </c>
      <c r="F6774" s="493">
        <v>0</v>
      </c>
      <c r="G6774" s="501">
        <f>+F6773</f>
        <v>207104</v>
      </c>
      <c r="H6774" t="str">
        <f>+H6773</f>
        <v>Caja Navidad DCT</v>
      </c>
      <c r="I6774" s="499" t="s">
        <v>296</v>
      </c>
      <c r="K6774" s="370"/>
      <c r="N6774" s="370"/>
    </row>
    <row r="6775" spans="1:14" s="347" customFormat="1" x14ac:dyDescent="0.25">
      <c r="A6775" s="369"/>
      <c r="E6775" s="396"/>
      <c r="F6775" s="396"/>
      <c r="G6775" s="396"/>
      <c r="K6775" s="370"/>
      <c r="N6775" s="370"/>
    </row>
    <row r="6776" spans="1:14" s="347" customFormat="1" x14ac:dyDescent="0.25">
      <c r="A6776" s="495">
        <v>44539</v>
      </c>
      <c r="B6776" s="496">
        <f>+MONTH(A6776)</f>
        <v>12</v>
      </c>
      <c r="C6776" s="491">
        <v>110</v>
      </c>
      <c r="D6776" s="492" t="str">
        <f>VLOOKUP(C6776,Plan!A$1:B$65542,2,0)</f>
        <v>Disponible Administración</v>
      </c>
      <c r="E6776" s="497">
        <f>+F6776-G6776</f>
        <v>1108765</v>
      </c>
      <c r="F6776" s="493">
        <v>1108765</v>
      </c>
      <c r="G6776" s="501">
        <v>0</v>
      </c>
      <c r="H6776" s="156" t="s">
        <v>2218</v>
      </c>
      <c r="I6776" s="499" t="s">
        <v>296</v>
      </c>
      <c r="K6776" s="370"/>
      <c r="N6776" s="370"/>
    </row>
    <row r="6777" spans="1:14" s="347" customFormat="1" x14ac:dyDescent="0.25">
      <c r="A6777" s="495">
        <f>+A6776</f>
        <v>44539</v>
      </c>
      <c r="B6777" s="496">
        <f>+MONTH(A6777)</f>
        <v>12</v>
      </c>
      <c r="C6777" s="491">
        <v>3453</v>
      </c>
      <c r="D6777" s="492" t="str">
        <f>VLOOKUP(C6777,Plan!A$1:B$65542,2,0)</f>
        <v>Cajas de navidad</v>
      </c>
      <c r="E6777" s="497">
        <f>+F6777-G6777</f>
        <v>-1108765</v>
      </c>
      <c r="F6777" s="493">
        <v>0</v>
      </c>
      <c r="G6777" s="501">
        <f>+F6776</f>
        <v>1108765</v>
      </c>
      <c r="H6777" t="str">
        <f>+H6776</f>
        <v>Caja Navidad POS</v>
      </c>
      <c r="I6777" s="499" t="s">
        <v>296</v>
      </c>
      <c r="K6777" s="370"/>
      <c r="N6777" s="370"/>
    </row>
    <row r="6778" spans="1:14" s="347" customFormat="1" x14ac:dyDescent="0.25">
      <c r="A6778" s="369"/>
      <c r="E6778" s="396"/>
      <c r="F6778" s="396"/>
      <c r="G6778" s="396"/>
      <c r="K6778" s="370"/>
      <c r="N6778" s="370"/>
    </row>
    <row r="6779" spans="1:14" s="347" customFormat="1" x14ac:dyDescent="0.25">
      <c r="A6779" s="495">
        <v>44539</v>
      </c>
      <c r="B6779" s="496">
        <f>+MONTH(A6779)</f>
        <v>12</v>
      </c>
      <c r="C6779" s="491">
        <v>110</v>
      </c>
      <c r="D6779" s="492" t="str">
        <f>VLOOKUP(C6779,Plan!A$1:B$65542,2,0)</f>
        <v>Disponible Administración</v>
      </c>
      <c r="E6779" s="497">
        <f>+F6779-G6779</f>
        <v>32000</v>
      </c>
      <c r="F6779" s="493">
        <v>32000</v>
      </c>
      <c r="G6779" s="501">
        <v>0</v>
      </c>
      <c r="H6779" s="156" t="s">
        <v>2218</v>
      </c>
      <c r="I6779" s="499" t="s">
        <v>296</v>
      </c>
      <c r="K6779" s="370"/>
      <c r="N6779" s="370"/>
    </row>
    <row r="6780" spans="1:14" s="347" customFormat="1" x14ac:dyDescent="0.25">
      <c r="A6780" s="495">
        <f>+A6779</f>
        <v>44539</v>
      </c>
      <c r="B6780" s="496">
        <f>+MONTH(A6780)</f>
        <v>12</v>
      </c>
      <c r="C6780" s="491">
        <v>3453</v>
      </c>
      <c r="D6780" s="492" t="str">
        <f>VLOOKUP(C6780,Plan!A$1:B$65542,2,0)</f>
        <v>Cajas de navidad</v>
      </c>
      <c r="E6780" s="497">
        <f>+F6780-G6780</f>
        <v>-32000</v>
      </c>
      <c r="F6780" s="493">
        <v>0</v>
      </c>
      <c r="G6780" s="501">
        <f>+F6779</f>
        <v>32000</v>
      </c>
      <c r="H6780" t="str">
        <f>+H6779</f>
        <v>Caja Navidad POS</v>
      </c>
      <c r="I6780" s="499" t="s">
        <v>296</v>
      </c>
      <c r="K6780" s="370"/>
      <c r="N6780" s="370"/>
    </row>
    <row r="6781" spans="1:14" s="347" customFormat="1" x14ac:dyDescent="0.25">
      <c r="A6781" s="369"/>
      <c r="E6781" s="396"/>
      <c r="F6781" s="396"/>
      <c r="G6781" s="396"/>
      <c r="K6781" s="370"/>
      <c r="N6781" s="370"/>
    </row>
    <row r="6782" spans="1:14" s="347" customFormat="1" x14ac:dyDescent="0.25">
      <c r="A6782" s="495">
        <v>44539</v>
      </c>
      <c r="B6782" s="496">
        <f>+MONTH(A6782)</f>
        <v>12</v>
      </c>
      <c r="C6782" s="491">
        <v>110</v>
      </c>
      <c r="D6782" s="492" t="str">
        <f>VLOOKUP(C6782,Plan!A$1:B$65542,2,0)</f>
        <v>Disponible Administración</v>
      </c>
      <c r="E6782" s="497">
        <f>+F6782-G6782</f>
        <v>85000</v>
      </c>
      <c r="F6782" s="493">
        <v>85000</v>
      </c>
      <c r="G6782" s="501">
        <v>0</v>
      </c>
      <c r="H6782" s="156" t="s">
        <v>1133</v>
      </c>
      <c r="I6782" s="499" t="s">
        <v>296</v>
      </c>
      <c r="K6782" s="370"/>
      <c r="N6782" s="370"/>
    </row>
    <row r="6783" spans="1:14" s="347" customFormat="1" x14ac:dyDescent="0.25">
      <c r="A6783" s="495">
        <f>+A6782</f>
        <v>44539</v>
      </c>
      <c r="B6783" s="496">
        <f>+MONTH(A6783)</f>
        <v>12</v>
      </c>
      <c r="C6783" s="491">
        <v>3110</v>
      </c>
      <c r="D6783" s="492" t="str">
        <f>VLOOKUP(C6783,Plan!A$1:B$65542,2,0)</f>
        <v>Colectas Normales</v>
      </c>
      <c r="E6783" s="497">
        <f>+F6783-G6783</f>
        <v>-85000</v>
      </c>
      <c r="F6783" s="493">
        <v>0</v>
      </c>
      <c r="G6783" s="501">
        <f>+F6782</f>
        <v>85000</v>
      </c>
      <c r="H6783" t="str">
        <f>+H6782</f>
        <v>Colecta IGNACIO URETA LARENAS</v>
      </c>
      <c r="I6783" s="499" t="s">
        <v>296</v>
      </c>
      <c r="K6783" s="370"/>
      <c r="N6783" s="370"/>
    </row>
    <row r="6784" spans="1:14" s="347" customFormat="1" x14ac:dyDescent="0.25">
      <c r="A6784" s="515"/>
      <c r="B6784" s="517"/>
      <c r="C6784" s="518"/>
      <c r="D6784" s="517"/>
      <c r="E6784" s="341"/>
      <c r="F6784" s="345"/>
      <c r="G6784" s="519"/>
      <c r="H6784" s="338"/>
      <c r="I6784" s="520"/>
      <c r="J6784" s="340"/>
      <c r="K6784" s="209"/>
      <c r="L6784" s="340"/>
      <c r="N6784" s="370"/>
    </row>
    <row r="6785" spans="1:14" s="347" customFormat="1" x14ac:dyDescent="0.25">
      <c r="A6785" s="495">
        <v>44539</v>
      </c>
      <c r="B6785" s="496">
        <f>+MONTH(A6785)</f>
        <v>12</v>
      </c>
      <c r="C6785" s="491">
        <v>110</v>
      </c>
      <c r="D6785" s="492" t="str">
        <f>VLOOKUP(C6785,Plan!A$1:B$65542,2,0)</f>
        <v>Disponible Administración</v>
      </c>
      <c r="E6785" s="497">
        <f>+F6785-G6785</f>
        <v>25000</v>
      </c>
      <c r="F6785" s="493">
        <v>25000</v>
      </c>
      <c r="G6785" s="501">
        <v>0</v>
      </c>
      <c r="H6785" s="156" t="s">
        <v>1442</v>
      </c>
      <c r="I6785" s="499" t="s">
        <v>296</v>
      </c>
      <c r="K6785" s="370"/>
      <c r="N6785" s="370"/>
    </row>
    <row r="6786" spans="1:14" s="347" customFormat="1" x14ac:dyDescent="0.25">
      <c r="A6786" s="495">
        <f>+A6785</f>
        <v>44539</v>
      </c>
      <c r="B6786" s="496">
        <f>+MONTH(A6786)</f>
        <v>12</v>
      </c>
      <c r="C6786" s="491">
        <v>3360</v>
      </c>
      <c r="D6786" s="492" t="str">
        <f>VLOOKUP(C6786,Plan!A$1:B$65542,2,0)</f>
        <v>Otros</v>
      </c>
      <c r="E6786" s="497">
        <f>+F6786-G6786</f>
        <v>-25000</v>
      </c>
      <c r="F6786" s="493">
        <v>0</v>
      </c>
      <c r="G6786" s="501">
        <f>+F6785</f>
        <v>25000</v>
      </c>
      <c r="H6786" t="str">
        <f>+H6785</f>
        <v>Curso Jorge Larrañaga</v>
      </c>
      <c r="I6786" s="499" t="s">
        <v>296</v>
      </c>
      <c r="J6786" s="340"/>
      <c r="K6786" s="209"/>
      <c r="L6786" s="340"/>
      <c r="N6786" s="370"/>
    </row>
    <row r="6787" spans="1:14" s="347" customFormat="1" x14ac:dyDescent="0.25">
      <c r="A6787" s="369"/>
      <c r="B6787" s="340"/>
      <c r="D6787" s="340"/>
      <c r="E6787" s="341"/>
      <c r="F6787" s="396"/>
      <c r="G6787" s="396"/>
      <c r="I6787" s="340"/>
      <c r="J6787" s="340"/>
      <c r="K6787" s="209"/>
      <c r="L6787" s="340"/>
      <c r="N6787" s="370"/>
    </row>
    <row r="6788" spans="1:14" s="347" customFormat="1" x14ac:dyDescent="0.25">
      <c r="A6788" s="495">
        <v>44539</v>
      </c>
      <c r="B6788" s="496">
        <f>+MONTH(A6788)</f>
        <v>12</v>
      </c>
      <c r="C6788" s="491">
        <v>110</v>
      </c>
      <c r="D6788" s="492" t="str">
        <f>VLOOKUP(C6788,Plan!A$1:B$65542,2,0)</f>
        <v>Disponible Administración</v>
      </c>
      <c r="E6788" s="497">
        <f>+F6788-G6788</f>
        <v>697000</v>
      </c>
      <c r="F6788" s="493">
        <v>697000</v>
      </c>
      <c r="G6788" s="501">
        <v>0</v>
      </c>
      <c r="H6788" t="s">
        <v>2127</v>
      </c>
      <c r="I6788" s="499" t="s">
        <v>296</v>
      </c>
      <c r="K6788" s="370"/>
      <c r="N6788" s="370"/>
    </row>
    <row r="6789" spans="1:14" s="347" customFormat="1" x14ac:dyDescent="0.25">
      <c r="A6789" s="495">
        <f>+A6788</f>
        <v>44539</v>
      </c>
      <c r="B6789" s="496">
        <f>+MONTH(A6789)</f>
        <v>12</v>
      </c>
      <c r="C6789" s="491">
        <v>3110</v>
      </c>
      <c r="D6789" s="492" t="str">
        <f>VLOOKUP(C6789,Plan!A$1:B$65542,2,0)</f>
        <v>Colectas Normales</v>
      </c>
      <c r="E6789" s="497">
        <f>+F6789-G6789</f>
        <v>-697000</v>
      </c>
      <c r="F6789" s="493">
        <v>0</v>
      </c>
      <c r="G6789" s="501">
        <f>+F6788</f>
        <v>697000</v>
      </c>
      <c r="H6789" t="str">
        <f>+H6788</f>
        <v>Colecta Col.Cordillera y Cumbres</v>
      </c>
      <c r="I6789" s="499" t="s">
        <v>296</v>
      </c>
      <c r="K6789" s="370"/>
      <c r="N6789" s="370"/>
    </row>
    <row r="6790" spans="1:14" s="347" customFormat="1" x14ac:dyDescent="0.25">
      <c r="A6790" s="369"/>
      <c r="E6790" s="396"/>
      <c r="F6790" s="396"/>
      <c r="G6790" s="396"/>
      <c r="K6790" s="370"/>
      <c r="N6790" s="370"/>
    </row>
    <row r="6791" spans="1:14" s="347" customFormat="1" x14ac:dyDescent="0.25">
      <c r="A6791" s="495">
        <v>44539</v>
      </c>
      <c r="B6791" s="496">
        <f>+MONTH(A6791)</f>
        <v>12</v>
      </c>
      <c r="C6791" s="491">
        <v>110</v>
      </c>
      <c r="D6791" s="492" t="str">
        <f>VLOOKUP(C6791,Plan!A$1:B$65542,2,0)</f>
        <v>Disponible Administración</v>
      </c>
      <c r="E6791" s="497">
        <f>+F6791-G6791</f>
        <v>12970</v>
      </c>
      <c r="F6791" s="493">
        <v>12970</v>
      </c>
      <c r="G6791" s="501">
        <v>0</v>
      </c>
      <c r="H6791" t="s">
        <v>2127</v>
      </c>
      <c r="I6791" s="499" t="s">
        <v>296</v>
      </c>
      <c r="K6791" s="370"/>
      <c r="N6791" s="370"/>
    </row>
    <row r="6792" spans="1:14" s="347" customFormat="1" x14ac:dyDescent="0.25">
      <c r="A6792" s="495">
        <f>+A6791</f>
        <v>44539</v>
      </c>
      <c r="B6792" s="496">
        <f>+MONTH(A6792)</f>
        <v>12</v>
      </c>
      <c r="C6792" s="491">
        <v>3110</v>
      </c>
      <c r="D6792" s="492" t="str">
        <f>VLOOKUP(C6792,Plan!A$1:B$65542,2,0)</f>
        <v>Colectas Normales</v>
      </c>
      <c r="E6792" s="497">
        <f>+F6792-G6792</f>
        <v>-12970</v>
      </c>
      <c r="F6792" s="493">
        <v>0</v>
      </c>
      <c r="G6792" s="501">
        <f>+F6791</f>
        <v>12970</v>
      </c>
      <c r="H6792" t="str">
        <f>+H6791</f>
        <v>Colecta Col.Cordillera y Cumbres</v>
      </c>
      <c r="I6792" s="499" t="s">
        <v>296</v>
      </c>
      <c r="K6792" s="370"/>
      <c r="N6792" s="370"/>
    </row>
    <row r="6793" spans="1:14" s="347" customFormat="1" x14ac:dyDescent="0.25">
      <c r="A6793" s="369"/>
      <c r="E6793" s="396"/>
      <c r="F6793" s="396"/>
      <c r="G6793" s="396"/>
      <c r="K6793" s="370"/>
      <c r="N6793" s="370"/>
    </row>
    <row r="6794" spans="1:14" s="347" customFormat="1" x14ac:dyDescent="0.25">
      <c r="A6794" s="495">
        <v>44540</v>
      </c>
      <c r="B6794" s="496">
        <f>+MONTH(A6794)</f>
        <v>12</v>
      </c>
      <c r="C6794" s="491">
        <v>110</v>
      </c>
      <c r="D6794" s="492" t="str">
        <f>VLOOKUP(C6794,Plan!A$1:B$65542,2,0)</f>
        <v>Disponible Administración</v>
      </c>
      <c r="E6794" s="497">
        <f>+F6794-G6794</f>
        <v>32000</v>
      </c>
      <c r="F6794" s="493">
        <v>32000</v>
      </c>
      <c r="G6794" s="501">
        <v>0</v>
      </c>
      <c r="H6794" t="s">
        <v>2447</v>
      </c>
      <c r="I6794" s="499" t="s">
        <v>296</v>
      </c>
      <c r="K6794" s="370"/>
      <c r="N6794" s="370"/>
    </row>
    <row r="6795" spans="1:14" s="347" customFormat="1" x14ac:dyDescent="0.25">
      <c r="A6795" s="495">
        <f>+A6794</f>
        <v>44540</v>
      </c>
      <c r="B6795" s="496">
        <f>+MONTH(A6795)</f>
        <v>12</v>
      </c>
      <c r="C6795" s="491">
        <v>3453</v>
      </c>
      <c r="D6795" s="492" t="str">
        <f>VLOOKUP(C6795,Plan!A$1:B$65542,2,0)</f>
        <v>Cajas de navidad</v>
      </c>
      <c r="E6795" s="497">
        <f>+F6795-G6795</f>
        <v>-32000</v>
      </c>
      <c r="F6795" s="493">
        <v>0</v>
      </c>
      <c r="G6795" s="501">
        <f>+F6794</f>
        <v>32000</v>
      </c>
      <c r="H6795" t="str">
        <f>+H6794</f>
        <v>Caja Navidad Macarena Del Real Squella</v>
      </c>
      <c r="I6795" s="499" t="s">
        <v>296</v>
      </c>
      <c r="K6795" s="370"/>
      <c r="N6795" s="370"/>
    </row>
    <row r="6796" spans="1:14" s="347" customFormat="1" x14ac:dyDescent="0.25">
      <c r="A6796" s="369"/>
      <c r="E6796" s="396"/>
      <c r="F6796" s="396"/>
      <c r="G6796" s="396"/>
      <c r="K6796" s="370"/>
      <c r="N6796" s="370"/>
    </row>
    <row r="6797" spans="1:14" s="347" customFormat="1" x14ac:dyDescent="0.25">
      <c r="A6797" s="495">
        <v>44540</v>
      </c>
      <c r="B6797" s="496">
        <f>+MONTH(A6797)</f>
        <v>12</v>
      </c>
      <c r="C6797" s="491">
        <v>110</v>
      </c>
      <c r="D6797" s="492" t="str">
        <f>VLOOKUP(C6797,Plan!A$1:B$65542,2,0)</f>
        <v>Disponible Administración</v>
      </c>
      <c r="E6797" s="497">
        <f>+F6797-G6797</f>
        <v>3000</v>
      </c>
      <c r="F6797" s="493">
        <v>3000</v>
      </c>
      <c r="G6797" s="501">
        <v>0</v>
      </c>
      <c r="H6797" t="s">
        <v>2448</v>
      </c>
      <c r="I6797" s="499" t="s">
        <v>296</v>
      </c>
      <c r="K6797" s="370"/>
      <c r="N6797" s="370"/>
    </row>
    <row r="6798" spans="1:14" s="347" customFormat="1" x14ac:dyDescent="0.25">
      <c r="A6798" s="495">
        <f>+A6797</f>
        <v>44540</v>
      </c>
      <c r="B6798" s="496">
        <f>+MONTH(A6798)</f>
        <v>12</v>
      </c>
      <c r="C6798" s="491">
        <v>3453</v>
      </c>
      <c r="D6798" s="492" t="str">
        <f>VLOOKUP(C6798,Plan!A$1:B$65542,2,0)</f>
        <v>Cajas de navidad</v>
      </c>
      <c r="E6798" s="497">
        <f>+F6798-G6798</f>
        <v>-3000</v>
      </c>
      <c r="F6798" s="493">
        <v>0</v>
      </c>
      <c r="G6798" s="501">
        <f>+F6797</f>
        <v>3000</v>
      </c>
      <c r="H6798" t="str">
        <f>+H6797</f>
        <v>Caja Navidad Carmen Gloria Rios Rivas</v>
      </c>
      <c r="I6798" s="499" t="s">
        <v>296</v>
      </c>
      <c r="K6798" s="370"/>
      <c r="N6798" s="370"/>
    </row>
    <row r="6799" spans="1:14" s="347" customFormat="1" x14ac:dyDescent="0.25">
      <c r="A6799" s="369"/>
      <c r="E6799" s="396"/>
      <c r="F6799" s="396"/>
      <c r="G6799" s="396"/>
      <c r="K6799" s="370"/>
      <c r="N6799" s="370"/>
    </row>
    <row r="6800" spans="1:14" s="347" customFormat="1" x14ac:dyDescent="0.25">
      <c r="A6800" s="495">
        <v>44540</v>
      </c>
      <c r="B6800" s="496">
        <f>+MONTH(A6800)</f>
        <v>12</v>
      </c>
      <c r="C6800" s="491">
        <v>110</v>
      </c>
      <c r="D6800" s="492" t="str">
        <f>VLOOKUP(C6800,Plan!A$1:B$65542,2,0)</f>
        <v>Disponible Administración</v>
      </c>
      <c r="E6800" s="497">
        <f>+F6800-G6800</f>
        <v>160000</v>
      </c>
      <c r="F6800" s="493">
        <v>160000</v>
      </c>
      <c r="G6800" s="501">
        <v>0</v>
      </c>
      <c r="H6800" t="s">
        <v>2449</v>
      </c>
      <c r="I6800" s="499" t="s">
        <v>296</v>
      </c>
      <c r="K6800" s="370"/>
      <c r="N6800" s="370"/>
    </row>
    <row r="6801" spans="1:14" s="347" customFormat="1" x14ac:dyDescent="0.25">
      <c r="A6801" s="495">
        <f>+A6800</f>
        <v>44540</v>
      </c>
      <c r="B6801" s="496">
        <f>+MONTH(A6801)</f>
        <v>12</v>
      </c>
      <c r="C6801" s="491">
        <v>3453</v>
      </c>
      <c r="D6801" s="492" t="str">
        <f>VLOOKUP(C6801,Plan!A$1:B$65542,2,0)</f>
        <v>Cajas de navidad</v>
      </c>
      <c r="E6801" s="497">
        <f>+F6801-G6801</f>
        <v>-160000</v>
      </c>
      <c r="F6801" s="493">
        <v>0</v>
      </c>
      <c r="G6801" s="501">
        <f>+F6800</f>
        <v>160000</v>
      </c>
      <c r="H6801" t="str">
        <f>+H6800</f>
        <v>Caja Navidad Karla Andrea Benavides Barreau</v>
      </c>
      <c r="I6801" s="499" t="s">
        <v>296</v>
      </c>
      <c r="K6801" s="370"/>
      <c r="N6801" s="370"/>
    </row>
    <row r="6802" spans="1:14" s="347" customFormat="1" x14ac:dyDescent="0.25">
      <c r="A6802" s="369"/>
      <c r="E6802" s="396"/>
      <c r="F6802" s="396"/>
      <c r="G6802" s="396"/>
      <c r="K6802" s="370"/>
      <c r="N6802" s="370"/>
    </row>
    <row r="6803" spans="1:14" s="347" customFormat="1" x14ac:dyDescent="0.25">
      <c r="A6803" s="495">
        <v>44540</v>
      </c>
      <c r="B6803" s="496">
        <f>+MONTH(A6803)</f>
        <v>12</v>
      </c>
      <c r="C6803" s="491">
        <v>4323</v>
      </c>
      <c r="D6803" s="492" t="str">
        <f>VLOOKUP(C6803,Plan!A$1:B$65542,2,0)</f>
        <v>Telefonía, Internet (VTR, Entel)</v>
      </c>
      <c r="E6803" s="497">
        <f>+F6803-G6803</f>
        <v>35956</v>
      </c>
      <c r="F6803" s="493">
        <v>35956</v>
      </c>
      <c r="G6803" s="501">
        <v>0</v>
      </c>
      <c r="H6803" t="s">
        <v>1483</v>
      </c>
      <c r="I6803" s="499" t="s">
        <v>296</v>
      </c>
      <c r="K6803" s="370"/>
      <c r="N6803" s="370"/>
    </row>
    <row r="6804" spans="1:14" s="347" customFormat="1" x14ac:dyDescent="0.25">
      <c r="A6804" s="495">
        <f>+A6803</f>
        <v>44540</v>
      </c>
      <c r="B6804" s="496">
        <f>+MONTH(A6804)</f>
        <v>12</v>
      </c>
      <c r="C6804" s="491">
        <v>110</v>
      </c>
      <c r="D6804" s="492" t="str">
        <f>VLOOKUP(C6804,Plan!A$1:B$65542,2,0)</f>
        <v>Disponible Administración</v>
      </c>
      <c r="E6804" s="497">
        <f>+F6804-G6804</f>
        <v>-35956</v>
      </c>
      <c r="F6804" s="493">
        <v>0</v>
      </c>
      <c r="G6804" s="501">
        <f>+F6803</f>
        <v>35956</v>
      </c>
      <c r="H6804" t="str">
        <f>+H6803</f>
        <v>PAC VTR</v>
      </c>
      <c r="I6804" s="499" t="s">
        <v>296</v>
      </c>
      <c r="K6804" s="370"/>
      <c r="N6804" s="370"/>
    </row>
    <row r="6805" spans="1:14" s="347" customFormat="1" x14ac:dyDescent="0.25">
      <c r="A6805" s="369"/>
      <c r="E6805" s="396"/>
      <c r="F6805" s="396"/>
      <c r="G6805" s="396"/>
      <c r="K6805" s="370"/>
      <c r="N6805" s="370"/>
    </row>
    <row r="6806" spans="1:14" s="347" customFormat="1" x14ac:dyDescent="0.25">
      <c r="A6806" s="495">
        <v>44540</v>
      </c>
      <c r="B6806" s="496">
        <f>+MONTH(A6806)</f>
        <v>12</v>
      </c>
      <c r="C6806" s="491">
        <v>110</v>
      </c>
      <c r="D6806" s="492" t="str">
        <f>VLOOKUP(C6806,Plan!A$1:B$65542,2,0)</f>
        <v>Disponible Administración</v>
      </c>
      <c r="E6806" s="497">
        <f>+F6806-G6806</f>
        <v>50000</v>
      </c>
      <c r="F6806" s="493">
        <v>50000</v>
      </c>
      <c r="G6806" s="501">
        <v>0</v>
      </c>
      <c r="H6806" t="s">
        <v>743</v>
      </c>
      <c r="I6806" s="499" t="s">
        <v>296</v>
      </c>
      <c r="K6806" s="370"/>
      <c r="N6806" s="370"/>
    </row>
    <row r="6807" spans="1:14" s="347" customFormat="1" x14ac:dyDescent="0.25">
      <c r="A6807" s="495">
        <f>+A6806</f>
        <v>44540</v>
      </c>
      <c r="B6807" s="496">
        <f>+MONTH(A6807)</f>
        <v>12</v>
      </c>
      <c r="C6807" s="491">
        <v>215</v>
      </c>
      <c r="D6807" s="492" t="str">
        <f>VLOOKUP(C6807,Plan!A$1:B$65542,2,0)</f>
        <v>Cuenta por Pagar a Cali</v>
      </c>
      <c r="E6807" s="497">
        <f>+F6807-G6807</f>
        <v>-50000</v>
      </c>
      <c r="F6807" s="493">
        <v>0</v>
      </c>
      <c r="G6807" s="501">
        <f>+F6806</f>
        <v>50000</v>
      </c>
      <c r="H6807" t="str">
        <f>+H6806</f>
        <v>Hugo Rosende Álvarez / 249</v>
      </c>
      <c r="I6807" s="499" t="s">
        <v>296</v>
      </c>
      <c r="K6807" s="370"/>
      <c r="N6807" s="370"/>
    </row>
    <row r="6808" spans="1:14" s="347" customFormat="1" x14ac:dyDescent="0.25">
      <c r="A6808" s="369"/>
      <c r="E6808" s="396"/>
      <c r="F6808" s="396"/>
      <c r="G6808" s="396"/>
      <c r="K6808" s="370"/>
      <c r="N6808" s="370"/>
    </row>
    <row r="6809" spans="1:14" s="347" customFormat="1" x14ac:dyDescent="0.25">
      <c r="A6809" s="495">
        <v>44540</v>
      </c>
      <c r="B6809" s="496">
        <f>+MONTH(A6809)</f>
        <v>12</v>
      </c>
      <c r="C6809" s="491">
        <v>110</v>
      </c>
      <c r="D6809" s="492" t="str">
        <f>VLOOKUP(C6809,Plan!A$1:B$65542,2,0)</f>
        <v>Disponible Administración</v>
      </c>
      <c r="E6809" s="497">
        <f>+F6809-G6809</f>
        <v>1061190</v>
      </c>
      <c r="F6809" s="493">
        <v>1061190</v>
      </c>
      <c r="G6809" s="501">
        <v>0</v>
      </c>
      <c r="H6809" t="s">
        <v>2271</v>
      </c>
      <c r="I6809" s="499" t="s">
        <v>296</v>
      </c>
      <c r="K6809" s="370"/>
      <c r="N6809" s="370"/>
    </row>
    <row r="6810" spans="1:14" s="347" customFormat="1" x14ac:dyDescent="0.25">
      <c r="A6810" s="495">
        <f>+A6809</f>
        <v>44540</v>
      </c>
      <c r="B6810" s="496">
        <f>+MONTH(A6810)</f>
        <v>12</v>
      </c>
      <c r="C6810" s="491">
        <v>3453</v>
      </c>
      <c r="D6810" s="492" t="str">
        <f>VLOOKUP(C6810,Plan!A$1:B$65542,2,0)</f>
        <v>Cajas de navidad</v>
      </c>
      <c r="E6810" s="497">
        <f>+F6810-G6810</f>
        <v>-1061190</v>
      </c>
      <c r="F6810" s="493">
        <v>0</v>
      </c>
      <c r="G6810" s="501">
        <f>+F6809</f>
        <v>1061190</v>
      </c>
      <c r="H6810" t="str">
        <f>+H6809</f>
        <v>Caja Navidad DCT</v>
      </c>
      <c r="I6810" s="499" t="s">
        <v>296</v>
      </c>
      <c r="K6810" s="370"/>
      <c r="N6810" s="370"/>
    </row>
    <row r="6811" spans="1:14" s="347" customFormat="1" x14ac:dyDescent="0.25">
      <c r="A6811" s="369"/>
      <c r="E6811" s="396"/>
      <c r="F6811" s="396"/>
      <c r="G6811" s="396"/>
      <c r="K6811" s="370"/>
      <c r="N6811" s="370"/>
    </row>
    <row r="6812" spans="1:14" s="347" customFormat="1" x14ac:dyDescent="0.25">
      <c r="A6812" s="495">
        <v>44540</v>
      </c>
      <c r="B6812" s="496">
        <f>+MONTH(A6812)</f>
        <v>12</v>
      </c>
      <c r="C6812" s="491">
        <v>110</v>
      </c>
      <c r="D6812" s="492" t="str">
        <f>VLOOKUP(C6812,Plan!A$1:B$65542,2,0)</f>
        <v>Disponible Administración</v>
      </c>
      <c r="E6812" s="497">
        <f>+F6812-G6812</f>
        <v>525575</v>
      </c>
      <c r="F6812" s="493">
        <v>525575</v>
      </c>
      <c r="G6812" s="501">
        <v>0</v>
      </c>
      <c r="H6812" t="s">
        <v>2218</v>
      </c>
      <c r="I6812" s="499" t="s">
        <v>296</v>
      </c>
      <c r="K6812" s="370"/>
      <c r="N6812" s="370"/>
    </row>
    <row r="6813" spans="1:14" s="347" customFormat="1" x14ac:dyDescent="0.25">
      <c r="A6813" s="495">
        <f>+A6812</f>
        <v>44540</v>
      </c>
      <c r="B6813" s="496">
        <f>+MONTH(A6813)</f>
        <v>12</v>
      </c>
      <c r="C6813" s="491">
        <v>3453</v>
      </c>
      <c r="D6813" s="492" t="str">
        <f>VLOOKUP(C6813,Plan!A$1:B$65542,2,0)</f>
        <v>Cajas de navidad</v>
      </c>
      <c r="E6813" s="497">
        <f>+F6813-G6813</f>
        <v>-525575</v>
      </c>
      <c r="F6813" s="493">
        <v>0</v>
      </c>
      <c r="G6813" s="501">
        <f>+F6812</f>
        <v>525575</v>
      </c>
      <c r="H6813" t="str">
        <f>+H6812</f>
        <v>Caja Navidad POS</v>
      </c>
      <c r="I6813" s="499" t="s">
        <v>296</v>
      </c>
      <c r="K6813" s="370"/>
      <c r="N6813" s="370"/>
    </row>
    <row r="6814" spans="1:14" s="347" customFormat="1" x14ac:dyDescent="0.25">
      <c r="A6814" s="369"/>
      <c r="E6814" s="396"/>
      <c r="F6814" s="396"/>
      <c r="G6814" s="396"/>
      <c r="K6814" s="370"/>
      <c r="N6814" s="370"/>
    </row>
    <row r="6815" spans="1:14" s="347" customFormat="1" x14ac:dyDescent="0.25">
      <c r="A6815" s="495">
        <v>44540</v>
      </c>
      <c r="B6815" s="496">
        <f>+MONTH(A6815)</f>
        <v>12</v>
      </c>
      <c r="C6815" s="491">
        <v>110</v>
      </c>
      <c r="D6815" s="492" t="str">
        <f>VLOOKUP(C6815,Plan!A$1:B$65542,2,0)</f>
        <v>Disponible Administración</v>
      </c>
      <c r="E6815" s="497">
        <f>+F6815-G6815</f>
        <v>32000</v>
      </c>
      <c r="F6815" s="493">
        <v>32000</v>
      </c>
      <c r="G6815" s="501">
        <v>0</v>
      </c>
      <c r="H6815" t="s">
        <v>2450</v>
      </c>
      <c r="I6815" s="499" t="s">
        <v>296</v>
      </c>
      <c r="K6815" s="370"/>
      <c r="N6815" s="370"/>
    </row>
    <row r="6816" spans="1:14" s="347" customFormat="1" x14ac:dyDescent="0.25">
      <c r="A6816" s="495">
        <f>+A6815</f>
        <v>44540</v>
      </c>
      <c r="B6816" s="496">
        <f>+MONTH(A6816)</f>
        <v>12</v>
      </c>
      <c r="C6816" s="491">
        <v>3453</v>
      </c>
      <c r="D6816" s="492" t="str">
        <f>VLOOKUP(C6816,Plan!A$1:B$65542,2,0)</f>
        <v>Cajas de navidad</v>
      </c>
      <c r="E6816" s="497">
        <f>+F6816-G6816</f>
        <v>-32000</v>
      </c>
      <c r="F6816" s="493">
        <v>0</v>
      </c>
      <c r="G6816" s="501">
        <f>+F6815</f>
        <v>32000</v>
      </c>
      <c r="H6816" t="str">
        <f>+H6815</f>
        <v>Caja Navidad Maria Macarena Sotomayor Valenzuela</v>
      </c>
      <c r="I6816" s="499" t="s">
        <v>296</v>
      </c>
      <c r="K6816" s="370"/>
      <c r="N6816" s="370"/>
    </row>
    <row r="6817" spans="1:14" s="347" customFormat="1" x14ac:dyDescent="0.25">
      <c r="A6817" s="369"/>
      <c r="E6817" s="396"/>
      <c r="F6817" s="396"/>
      <c r="G6817" s="396"/>
      <c r="K6817" s="370"/>
      <c r="N6817" s="370"/>
    </row>
    <row r="6818" spans="1:14" s="347" customFormat="1" x14ac:dyDescent="0.25">
      <c r="A6818" s="495">
        <v>44540</v>
      </c>
      <c r="B6818" s="496">
        <f>+MONTH(A6818)</f>
        <v>12</v>
      </c>
      <c r="C6818" s="491">
        <v>110</v>
      </c>
      <c r="D6818" s="492" t="str">
        <f>VLOOKUP(C6818,Plan!A$1:B$65542,2,0)</f>
        <v>Disponible Administración</v>
      </c>
      <c r="E6818" s="497">
        <f>+F6818-G6818</f>
        <v>20000</v>
      </c>
      <c r="F6818" s="493">
        <v>20000</v>
      </c>
      <c r="G6818" s="501">
        <v>0</v>
      </c>
      <c r="H6818" t="s">
        <v>2451</v>
      </c>
      <c r="I6818" s="499" t="s">
        <v>296</v>
      </c>
      <c r="K6818" s="370"/>
      <c r="N6818" s="370"/>
    </row>
    <row r="6819" spans="1:14" s="347" customFormat="1" x14ac:dyDescent="0.25">
      <c r="A6819" s="495">
        <f>+A6818</f>
        <v>44540</v>
      </c>
      <c r="B6819" s="496">
        <f>+MONTH(A6819)</f>
        <v>12</v>
      </c>
      <c r="C6819" s="491">
        <v>3350</v>
      </c>
      <c r="D6819" s="492" t="str">
        <f>VLOOKUP(C6819,Plan!A$1:B$65542,2,0)</f>
        <v>Bautizos</v>
      </c>
      <c r="E6819" s="497">
        <f>+F6819-G6819</f>
        <v>-20000</v>
      </c>
      <c r="F6819" s="493">
        <v>0</v>
      </c>
      <c r="G6819" s="501">
        <f>+F6818</f>
        <v>20000</v>
      </c>
      <c r="H6819" t="str">
        <f>+H6818</f>
        <v>Bautizo Catalina Venegas</v>
      </c>
      <c r="I6819" s="499" t="s">
        <v>296</v>
      </c>
      <c r="K6819" s="370"/>
      <c r="N6819" s="370"/>
    </row>
    <row r="6820" spans="1:14" s="347" customFormat="1" x14ac:dyDescent="0.25">
      <c r="A6820" s="369"/>
      <c r="E6820" s="396"/>
      <c r="F6820" s="396"/>
      <c r="G6820" s="396"/>
      <c r="K6820" s="370"/>
      <c r="N6820" s="370"/>
    </row>
    <row r="6821" spans="1:14" s="347" customFormat="1" x14ac:dyDescent="0.25">
      <c r="A6821" s="536">
        <v>44543</v>
      </c>
      <c r="B6821" s="499">
        <f>+MONTH(A6821)</f>
        <v>12</v>
      </c>
      <c r="C6821" s="494">
        <v>110</v>
      </c>
      <c r="D6821" s="492" t="str">
        <f>VLOOKUP(C6821,Plan!A$1:B$65542,2,0)</f>
        <v>Disponible Administración</v>
      </c>
      <c r="E6821" s="542">
        <f>+F6821-G6821</f>
        <v>75000</v>
      </c>
      <c r="F6821" s="543">
        <v>75000</v>
      </c>
      <c r="G6821" s="501">
        <v>0</v>
      </c>
      <c r="H6821" s="494" t="s">
        <v>1560</v>
      </c>
      <c r="I6821" s="499" t="s">
        <v>296</v>
      </c>
      <c r="K6821" s="370"/>
      <c r="N6821" s="370"/>
    </row>
    <row r="6822" spans="1:14" s="347" customFormat="1" x14ac:dyDescent="0.25">
      <c r="A6822" s="536">
        <f>+A6821</f>
        <v>44543</v>
      </c>
      <c r="B6822" s="499">
        <f>+MONTH(A6822)</f>
        <v>12</v>
      </c>
      <c r="C6822" s="494">
        <v>3360</v>
      </c>
      <c r="D6822" s="492" t="str">
        <f>VLOOKUP(C6822,Plan!A$1:B$65542,2,0)</f>
        <v>Otros</v>
      </c>
      <c r="E6822" s="542">
        <f>+F6822-G6822</f>
        <v>-75000</v>
      </c>
      <c r="F6822" s="543">
        <v>0</v>
      </c>
      <c r="G6822" s="501">
        <f>+F6821</f>
        <v>75000</v>
      </c>
      <c r="H6822" s="494" t="str">
        <f>+H6821</f>
        <v>Curso Maria Luisa Toso Loyola</v>
      </c>
      <c r="I6822" s="499" t="s">
        <v>296</v>
      </c>
      <c r="K6822" s="370"/>
      <c r="N6822" s="370"/>
    </row>
    <row r="6823" spans="1:14" s="347" customFormat="1" x14ac:dyDescent="0.25">
      <c r="A6823" s="541"/>
      <c r="B6823" s="537"/>
      <c r="C6823" s="537"/>
      <c r="D6823" s="537"/>
      <c r="E6823" s="540"/>
      <c r="F6823" s="540"/>
      <c r="G6823" s="540"/>
      <c r="H6823" s="537"/>
      <c r="I6823" s="537"/>
      <c r="K6823" s="370"/>
      <c r="N6823" s="370"/>
    </row>
    <row r="6824" spans="1:14" s="347" customFormat="1" x14ac:dyDescent="0.25">
      <c r="A6824" s="536">
        <v>44543</v>
      </c>
      <c r="B6824" s="499">
        <f>+MONTH(A6824)</f>
        <v>12</v>
      </c>
      <c r="C6824" s="494">
        <v>4321</v>
      </c>
      <c r="D6824" s="492" t="str">
        <f>VLOOKUP(C6824,Plan!A$1:B$65542,2,0)</f>
        <v>Electricidad</v>
      </c>
      <c r="E6824" s="542">
        <f>+F6824-G6824</f>
        <v>6504</v>
      </c>
      <c r="F6824" s="543">
        <v>6504</v>
      </c>
      <c r="G6824" s="501">
        <v>0</v>
      </c>
      <c r="H6824" s="494" t="s">
        <v>2145</v>
      </c>
      <c r="I6824" s="499" t="s">
        <v>296</v>
      </c>
      <c r="K6824" s="370"/>
      <c r="N6824" s="370"/>
    </row>
    <row r="6825" spans="1:14" s="347" customFormat="1" x14ac:dyDescent="0.25">
      <c r="A6825" s="536">
        <f>+A6824</f>
        <v>44543</v>
      </c>
      <c r="B6825" s="499">
        <f>+MONTH(A6825)</f>
        <v>12</v>
      </c>
      <c r="C6825" s="494">
        <v>110</v>
      </c>
      <c r="D6825" s="492" t="str">
        <f>VLOOKUP(C6825,Plan!A$1:B$65542,2,0)</f>
        <v>Disponible Administración</v>
      </c>
      <c r="E6825" s="542">
        <f>+F6825-G6825</f>
        <v>-6504</v>
      </c>
      <c r="F6825" s="543">
        <v>0</v>
      </c>
      <c r="G6825" s="501">
        <f>+F6824</f>
        <v>6504</v>
      </c>
      <c r="H6825" s="494" t="str">
        <f>+H6824</f>
        <v>PAC Enel Oficina</v>
      </c>
      <c r="I6825" s="499" t="s">
        <v>296</v>
      </c>
      <c r="K6825" s="370"/>
      <c r="N6825" s="370"/>
    </row>
    <row r="6826" spans="1:14" s="347" customFormat="1" x14ac:dyDescent="0.25">
      <c r="A6826" s="541"/>
      <c r="B6826" s="537"/>
      <c r="C6826" s="537"/>
      <c r="D6826" s="537"/>
      <c r="E6826" s="540"/>
      <c r="F6826" s="540"/>
      <c r="G6826" s="540"/>
      <c r="H6826" s="537"/>
      <c r="I6826" s="537"/>
      <c r="K6826" s="370"/>
      <c r="N6826" s="370"/>
    </row>
    <row r="6827" spans="1:14" s="347" customFormat="1" x14ac:dyDescent="0.25">
      <c r="A6827" s="536">
        <v>44543</v>
      </c>
      <c r="B6827" s="499">
        <f>+MONTH(A6827)</f>
        <v>12</v>
      </c>
      <c r="C6827" s="494">
        <v>110</v>
      </c>
      <c r="D6827" s="492" t="str">
        <f>VLOOKUP(C6827,Plan!A$1:B$65542,2,0)</f>
        <v>Disponible Administración</v>
      </c>
      <c r="E6827" s="542">
        <f>+F6827-G6827</f>
        <v>10000</v>
      </c>
      <c r="F6827" s="543">
        <v>10000</v>
      </c>
      <c r="G6827" s="501">
        <v>0</v>
      </c>
      <c r="H6827" s="494" t="s">
        <v>881</v>
      </c>
      <c r="I6827" s="499" t="s">
        <v>296</v>
      </c>
      <c r="K6827" s="370"/>
      <c r="N6827" s="370"/>
    </row>
    <row r="6828" spans="1:14" s="347" customFormat="1" x14ac:dyDescent="0.25">
      <c r="A6828" s="536">
        <f>+A6827</f>
        <v>44543</v>
      </c>
      <c r="B6828" s="499">
        <f>+MONTH(A6828)</f>
        <v>12</v>
      </c>
      <c r="C6828" s="494">
        <v>3110</v>
      </c>
      <c r="D6828" s="492" t="str">
        <f>VLOOKUP(C6828,Plan!A$1:B$65542,2,0)</f>
        <v>Colectas Normales</v>
      </c>
      <c r="E6828" s="542">
        <f>+F6828-G6828</f>
        <v>-10000</v>
      </c>
      <c r="F6828" s="543">
        <v>0</v>
      </c>
      <c r="G6828" s="501">
        <f>+F6827</f>
        <v>10000</v>
      </c>
      <c r="H6828" s="494" t="str">
        <f>+H6827</f>
        <v>Colecta Rafael Marin Jordan</v>
      </c>
      <c r="I6828" s="499" t="s">
        <v>296</v>
      </c>
      <c r="K6828" s="370"/>
      <c r="N6828" s="370"/>
    </row>
    <row r="6829" spans="1:14" s="347" customFormat="1" x14ac:dyDescent="0.25">
      <c r="A6829" s="541"/>
      <c r="B6829" s="537"/>
      <c r="C6829" s="537"/>
      <c r="D6829" s="537"/>
      <c r="E6829" s="540"/>
      <c r="F6829" s="540"/>
      <c r="G6829" s="540"/>
      <c r="H6829" s="537"/>
      <c r="I6829" s="537"/>
      <c r="K6829" s="370"/>
      <c r="N6829" s="370"/>
    </row>
    <row r="6830" spans="1:14" s="347" customFormat="1" x14ac:dyDescent="0.25">
      <c r="A6830" s="536">
        <v>44543</v>
      </c>
      <c r="B6830" s="499">
        <f>+MONTH(A6830)</f>
        <v>12</v>
      </c>
      <c r="C6830" s="494">
        <v>110</v>
      </c>
      <c r="D6830" s="492" t="str">
        <f>VLOOKUP(C6830,Plan!A$1:B$65542,2,0)</f>
        <v>Disponible Administración</v>
      </c>
      <c r="E6830" s="542">
        <f>+F6830-G6830</f>
        <v>3000</v>
      </c>
      <c r="F6830" s="543">
        <v>3000</v>
      </c>
      <c r="G6830" s="501">
        <v>0</v>
      </c>
      <c r="H6830" s="494" t="s">
        <v>1584</v>
      </c>
      <c r="I6830" s="499" t="s">
        <v>296</v>
      </c>
      <c r="K6830" s="370"/>
      <c r="N6830" s="370"/>
    </row>
    <row r="6831" spans="1:14" s="347" customFormat="1" x14ac:dyDescent="0.25">
      <c r="A6831" s="536">
        <f>+A6830</f>
        <v>44543</v>
      </c>
      <c r="B6831" s="499">
        <f>+MONTH(A6831)</f>
        <v>12</v>
      </c>
      <c r="C6831" s="494">
        <v>3110</v>
      </c>
      <c r="D6831" s="492" t="str">
        <f>VLOOKUP(C6831,Plan!A$1:B$65542,2,0)</f>
        <v>Colectas Normales</v>
      </c>
      <c r="E6831" s="542">
        <f>+F6831-G6831</f>
        <v>-3000</v>
      </c>
      <c r="F6831" s="543">
        <v>0</v>
      </c>
      <c r="G6831" s="501">
        <f>+F6830</f>
        <v>3000</v>
      </c>
      <c r="H6831" s="494" t="str">
        <f>+H6830</f>
        <v>Colecta Jose Miguel Perez de Castro Z.</v>
      </c>
      <c r="I6831" s="499" t="s">
        <v>296</v>
      </c>
      <c r="K6831" s="370"/>
      <c r="N6831" s="370"/>
    </row>
    <row r="6832" spans="1:14" s="347" customFormat="1" x14ac:dyDescent="0.25">
      <c r="A6832" s="541"/>
      <c r="B6832" s="537"/>
      <c r="C6832" s="537"/>
      <c r="D6832" s="537"/>
      <c r="E6832" s="540"/>
      <c r="F6832" s="540"/>
      <c r="G6832" s="540"/>
      <c r="H6832" s="537"/>
      <c r="I6832" s="537"/>
      <c r="K6832" s="370"/>
      <c r="N6832" s="370"/>
    </row>
    <row r="6833" spans="1:14" s="347" customFormat="1" x14ac:dyDescent="0.25">
      <c r="A6833" s="536">
        <v>44543</v>
      </c>
      <c r="B6833" s="499">
        <f>+MONTH(A6833)</f>
        <v>12</v>
      </c>
      <c r="C6833" s="494">
        <v>110</v>
      </c>
      <c r="D6833" s="492" t="str">
        <f>VLOOKUP(C6833,Plan!A$1:B$65542,2,0)</f>
        <v>Disponible Administración</v>
      </c>
      <c r="E6833" s="542">
        <f>+F6833-G6833</f>
        <v>8000</v>
      </c>
      <c r="F6833" s="543">
        <v>8000</v>
      </c>
      <c r="G6833" s="501">
        <v>0</v>
      </c>
      <c r="H6833" s="494" t="s">
        <v>971</v>
      </c>
      <c r="I6833" s="499" t="s">
        <v>296</v>
      </c>
      <c r="K6833" s="370"/>
      <c r="N6833" s="370"/>
    </row>
    <row r="6834" spans="1:14" s="347" customFormat="1" x14ac:dyDescent="0.25">
      <c r="A6834" s="536">
        <f>+A6833</f>
        <v>44543</v>
      </c>
      <c r="B6834" s="499">
        <f>+MONTH(A6834)</f>
        <v>12</v>
      </c>
      <c r="C6834" s="494">
        <v>3110</v>
      </c>
      <c r="D6834" s="492" t="str">
        <f>VLOOKUP(C6834,Plan!A$1:B$65542,2,0)</f>
        <v>Colectas Normales</v>
      </c>
      <c r="E6834" s="542">
        <f>+F6834-G6834</f>
        <v>-8000</v>
      </c>
      <c r="F6834" s="543">
        <v>0</v>
      </c>
      <c r="G6834" s="501">
        <f>+F6833</f>
        <v>8000</v>
      </c>
      <c r="H6834" s="494" t="str">
        <f>+H6833</f>
        <v>Colecta Pablo Irarrazaval Mena</v>
      </c>
      <c r="I6834" s="499" t="s">
        <v>296</v>
      </c>
      <c r="K6834" s="370"/>
      <c r="N6834" s="370"/>
    </row>
    <row r="6835" spans="1:14" s="347" customFormat="1" x14ac:dyDescent="0.25">
      <c r="A6835" s="541"/>
      <c r="B6835" s="537"/>
      <c r="C6835" s="537"/>
      <c r="D6835" s="537"/>
      <c r="E6835" s="540"/>
      <c r="F6835" s="540"/>
      <c r="G6835" s="540"/>
      <c r="H6835" s="537"/>
      <c r="I6835" s="537"/>
      <c r="K6835" s="370"/>
      <c r="N6835" s="370"/>
    </row>
    <row r="6836" spans="1:14" s="347" customFormat="1" x14ac:dyDescent="0.25">
      <c r="A6836" s="536">
        <v>44543</v>
      </c>
      <c r="B6836" s="499">
        <f>+MONTH(A6836)</f>
        <v>12</v>
      </c>
      <c r="C6836" s="494">
        <v>110</v>
      </c>
      <c r="D6836" s="492" t="str">
        <f>VLOOKUP(C6836,Plan!A$1:B$65542,2,0)</f>
        <v>Disponible Administración</v>
      </c>
      <c r="E6836" s="542">
        <f>+F6836-G6836</f>
        <v>100000</v>
      </c>
      <c r="F6836" s="543">
        <v>100000</v>
      </c>
      <c r="G6836" s="501">
        <v>0</v>
      </c>
      <c r="H6836" s="494" t="s">
        <v>2452</v>
      </c>
      <c r="I6836" s="499" t="s">
        <v>296</v>
      </c>
      <c r="K6836" s="370"/>
      <c r="N6836" s="370"/>
    </row>
    <row r="6837" spans="1:14" s="347" customFormat="1" x14ac:dyDescent="0.25">
      <c r="A6837" s="536">
        <f>+A6836</f>
        <v>44543</v>
      </c>
      <c r="B6837" s="499">
        <f>+MONTH(A6837)</f>
        <v>12</v>
      </c>
      <c r="C6837" s="494">
        <v>3453</v>
      </c>
      <c r="D6837" s="492" t="str">
        <f>VLOOKUP(C6837,Plan!A$1:B$65542,2,0)</f>
        <v>Cajas de navidad</v>
      </c>
      <c r="E6837" s="542">
        <f>+F6837-G6837</f>
        <v>-100000</v>
      </c>
      <c r="F6837" s="543">
        <v>0</v>
      </c>
      <c r="G6837" s="501">
        <f>+F6836</f>
        <v>100000</v>
      </c>
      <c r="H6837" s="494" t="str">
        <f>+H6836</f>
        <v>Caja Navidad Roberto Lecaros Price</v>
      </c>
      <c r="I6837" s="499" t="s">
        <v>296</v>
      </c>
      <c r="K6837" s="370"/>
      <c r="N6837" s="370"/>
    </row>
    <row r="6838" spans="1:14" s="347" customFormat="1" x14ac:dyDescent="0.25">
      <c r="A6838" s="541"/>
      <c r="B6838" s="537"/>
      <c r="C6838" s="537"/>
      <c r="D6838" s="537"/>
      <c r="E6838" s="540"/>
      <c r="F6838" s="540"/>
      <c r="G6838" s="540"/>
      <c r="H6838" s="537"/>
      <c r="I6838" s="537"/>
      <c r="K6838" s="370"/>
      <c r="N6838" s="370"/>
    </row>
    <row r="6839" spans="1:14" s="347" customFormat="1" x14ac:dyDescent="0.25">
      <c r="A6839" s="536">
        <v>44543</v>
      </c>
      <c r="B6839" s="499">
        <f>+MONTH(A6839)</f>
        <v>12</v>
      </c>
      <c r="C6839" s="494">
        <v>110</v>
      </c>
      <c r="D6839" s="492" t="str">
        <f>VLOOKUP(C6839,Plan!A$1:B$65542,2,0)</f>
        <v>Disponible Administración</v>
      </c>
      <c r="E6839" s="542">
        <f>+F6839-G6839</f>
        <v>2000</v>
      </c>
      <c r="F6839" s="543">
        <v>2000</v>
      </c>
      <c r="G6839" s="501">
        <v>0</v>
      </c>
      <c r="H6839" s="494" t="s">
        <v>1216</v>
      </c>
      <c r="I6839" s="499" t="s">
        <v>296</v>
      </c>
      <c r="K6839" s="370"/>
      <c r="N6839" s="370"/>
    </row>
    <row r="6840" spans="1:14" s="347" customFormat="1" x14ac:dyDescent="0.25">
      <c r="A6840" s="536">
        <f>+A6839</f>
        <v>44543</v>
      </c>
      <c r="B6840" s="499">
        <f>+MONTH(A6840)</f>
        <v>12</v>
      </c>
      <c r="C6840" s="494">
        <v>3110</v>
      </c>
      <c r="D6840" s="492" t="str">
        <f>VLOOKUP(C6840,Plan!A$1:B$65542,2,0)</f>
        <v>Colectas Normales</v>
      </c>
      <c r="E6840" s="542">
        <f>+F6840-G6840</f>
        <v>-2000</v>
      </c>
      <c r="F6840" s="543">
        <v>0</v>
      </c>
      <c r="G6840" s="501">
        <f>+F6839</f>
        <v>2000</v>
      </c>
      <c r="H6840" s="494" t="str">
        <f>+H6839</f>
        <v>Colecta Trinidad Barriga Cruzat</v>
      </c>
      <c r="I6840" s="499" t="s">
        <v>296</v>
      </c>
      <c r="K6840" s="370"/>
      <c r="N6840" s="370"/>
    </row>
    <row r="6841" spans="1:14" s="347" customFormat="1" x14ac:dyDescent="0.25">
      <c r="A6841" s="541"/>
      <c r="B6841" s="537"/>
      <c r="C6841" s="537"/>
      <c r="D6841" s="537"/>
      <c r="E6841" s="540"/>
      <c r="F6841" s="540"/>
      <c r="G6841" s="540"/>
      <c r="H6841" s="537"/>
      <c r="I6841" s="537"/>
      <c r="K6841" s="370"/>
      <c r="N6841" s="370"/>
    </row>
    <row r="6842" spans="1:14" s="347" customFormat="1" x14ac:dyDescent="0.25">
      <c r="A6842" s="536">
        <v>44543</v>
      </c>
      <c r="B6842" s="499">
        <f>+MONTH(A6842)</f>
        <v>12</v>
      </c>
      <c r="C6842" s="494">
        <v>110</v>
      </c>
      <c r="D6842" s="492" t="str">
        <f>VLOOKUP(C6842,Plan!A$1:B$65542,2,0)</f>
        <v>Disponible Administración</v>
      </c>
      <c r="E6842" s="542">
        <f>+F6842-G6842</f>
        <v>308634</v>
      </c>
      <c r="F6842" s="543">
        <v>308634</v>
      </c>
      <c r="G6842" s="501">
        <v>0</v>
      </c>
      <c r="H6842" s="494" t="s">
        <v>2218</v>
      </c>
      <c r="I6842" s="499" t="s">
        <v>296</v>
      </c>
      <c r="K6842" s="370"/>
      <c r="N6842" s="370"/>
    </row>
    <row r="6843" spans="1:14" s="347" customFormat="1" x14ac:dyDescent="0.25">
      <c r="A6843" s="536">
        <f>+A6842</f>
        <v>44543</v>
      </c>
      <c r="B6843" s="499">
        <f>+MONTH(A6843)</f>
        <v>12</v>
      </c>
      <c r="C6843" s="494">
        <v>3110</v>
      </c>
      <c r="D6843" s="492" t="str">
        <f>VLOOKUP(C6843,Plan!A$1:B$65542,2,0)</f>
        <v>Colectas Normales</v>
      </c>
      <c r="E6843" s="542">
        <f>+F6843-G6843</f>
        <v>-308634</v>
      </c>
      <c r="F6843" s="543">
        <v>0</v>
      </c>
      <c r="G6843" s="501">
        <f>+F6842</f>
        <v>308634</v>
      </c>
      <c r="H6843" s="494" t="str">
        <f>+H6842</f>
        <v>Caja Navidad POS</v>
      </c>
      <c r="I6843" s="499" t="s">
        <v>296</v>
      </c>
      <c r="K6843" s="370"/>
      <c r="N6843" s="370"/>
    </row>
    <row r="6844" spans="1:14" s="347" customFormat="1" x14ac:dyDescent="0.25">
      <c r="A6844" s="541"/>
      <c r="B6844" s="537"/>
      <c r="C6844" s="537"/>
      <c r="D6844" s="537"/>
      <c r="E6844" s="540"/>
      <c r="F6844" s="540"/>
      <c r="G6844" s="540"/>
      <c r="H6844" s="537"/>
      <c r="I6844" s="537"/>
      <c r="K6844" s="370"/>
      <c r="N6844" s="370"/>
    </row>
    <row r="6845" spans="1:14" s="347" customFormat="1" x14ac:dyDescent="0.25">
      <c r="A6845" s="536">
        <v>44543</v>
      </c>
      <c r="B6845" s="499">
        <f>+MONTH(A6845)</f>
        <v>12</v>
      </c>
      <c r="C6845" s="494">
        <v>110</v>
      </c>
      <c r="D6845" s="492" t="str">
        <f>VLOOKUP(C6845,Plan!A$1:B$65542,2,0)</f>
        <v>Disponible Administración</v>
      </c>
      <c r="E6845" s="542">
        <f>+F6845-G6845</f>
        <v>4912</v>
      </c>
      <c r="F6845" s="543">
        <v>4912</v>
      </c>
      <c r="G6845" s="501">
        <v>0</v>
      </c>
      <c r="H6845" s="494" t="s">
        <v>1338</v>
      </c>
      <c r="I6845" s="499" t="s">
        <v>296</v>
      </c>
      <c r="K6845" s="370"/>
      <c r="N6845" s="370"/>
    </row>
    <row r="6846" spans="1:14" s="347" customFormat="1" x14ac:dyDescent="0.25">
      <c r="A6846" s="536">
        <f>+A6845</f>
        <v>44543</v>
      </c>
      <c r="B6846" s="499">
        <f>+MONTH(A6846)</f>
        <v>12</v>
      </c>
      <c r="C6846" s="494">
        <v>3340</v>
      </c>
      <c r="D6846" s="492" t="str">
        <f>VLOOKUP(C6846,Plan!A$1:B$65542,2,0)</f>
        <v>Misas</v>
      </c>
      <c r="E6846" s="542">
        <f>+F6846-G6846</f>
        <v>-4912</v>
      </c>
      <c r="F6846" s="543">
        <v>0</v>
      </c>
      <c r="G6846" s="501">
        <f>+F6845</f>
        <v>4912</v>
      </c>
      <c r="H6846" s="494" t="str">
        <f>+H6845</f>
        <v>Misa DCT</v>
      </c>
      <c r="I6846" s="499" t="s">
        <v>296</v>
      </c>
      <c r="K6846" s="370"/>
      <c r="N6846" s="370"/>
    </row>
    <row r="6847" spans="1:14" s="347" customFormat="1" x14ac:dyDescent="0.25">
      <c r="A6847" s="541"/>
      <c r="B6847" s="537"/>
      <c r="C6847" s="537"/>
      <c r="D6847" s="537"/>
      <c r="E6847" s="540"/>
      <c r="F6847" s="540"/>
      <c r="G6847" s="540"/>
      <c r="H6847" s="537"/>
      <c r="I6847" s="537"/>
      <c r="K6847" s="370"/>
      <c r="N6847" s="370"/>
    </row>
    <row r="6848" spans="1:14" s="347" customFormat="1" x14ac:dyDescent="0.25">
      <c r="A6848" s="536">
        <v>44543</v>
      </c>
      <c r="B6848" s="499">
        <f>+MONTH(A6848)</f>
        <v>12</v>
      </c>
      <c r="C6848" s="494">
        <v>110</v>
      </c>
      <c r="D6848" s="492" t="str">
        <f>VLOOKUP(C6848,Plan!A$1:B$65542,2,0)</f>
        <v>Disponible Administración</v>
      </c>
      <c r="E6848" s="542">
        <f>+F6848-G6848</f>
        <v>40000</v>
      </c>
      <c r="F6848" s="543">
        <v>40000</v>
      </c>
      <c r="G6848" s="501">
        <v>0</v>
      </c>
      <c r="H6848" s="494" t="s">
        <v>1213</v>
      </c>
      <c r="I6848" s="499" t="s">
        <v>296</v>
      </c>
      <c r="K6848" s="370"/>
      <c r="N6848" s="370"/>
    </row>
    <row r="6849" spans="1:14" s="347" customFormat="1" x14ac:dyDescent="0.25">
      <c r="A6849" s="536">
        <f>+A6848</f>
        <v>44543</v>
      </c>
      <c r="B6849" s="499">
        <f>+MONTH(A6849)</f>
        <v>12</v>
      </c>
      <c r="C6849" s="494">
        <v>3110</v>
      </c>
      <c r="D6849" s="492" t="str">
        <f>VLOOKUP(C6849,Plan!A$1:B$65542,2,0)</f>
        <v>Colectas Normales</v>
      </c>
      <c r="E6849" s="542">
        <f>+F6849-G6849</f>
        <v>-40000</v>
      </c>
      <c r="F6849" s="543">
        <v>0</v>
      </c>
      <c r="G6849" s="501">
        <f>+F6848</f>
        <v>40000</v>
      </c>
      <c r="H6849" s="494" t="str">
        <f>+H6848</f>
        <v>Colecta Rosita Silva</v>
      </c>
      <c r="I6849" s="499" t="s">
        <v>296</v>
      </c>
      <c r="K6849" s="370"/>
      <c r="N6849" s="370"/>
    </row>
    <row r="6850" spans="1:14" s="347" customFormat="1" x14ac:dyDescent="0.25">
      <c r="A6850" s="541"/>
      <c r="B6850" s="537"/>
      <c r="C6850" s="537"/>
      <c r="D6850" s="537"/>
      <c r="E6850" s="540"/>
      <c r="F6850" s="540"/>
      <c r="G6850" s="540"/>
      <c r="H6850" s="537"/>
      <c r="I6850" s="537"/>
      <c r="K6850" s="370"/>
      <c r="N6850" s="370"/>
    </row>
    <row r="6851" spans="1:14" s="347" customFormat="1" x14ac:dyDescent="0.25">
      <c r="A6851" s="536">
        <v>44543</v>
      </c>
      <c r="B6851" s="499">
        <f>+MONTH(A6851)</f>
        <v>12</v>
      </c>
      <c r="C6851" s="494">
        <v>110</v>
      </c>
      <c r="D6851" s="492" t="str">
        <f>VLOOKUP(C6851,Plan!A$1:B$65542,2,0)</f>
        <v>Disponible Administración</v>
      </c>
      <c r="E6851" s="542">
        <f>+F6851-G6851</f>
        <v>52600</v>
      </c>
      <c r="F6851" s="543">
        <v>52600</v>
      </c>
      <c r="G6851" s="501">
        <v>0</v>
      </c>
      <c r="H6851" s="494" t="s">
        <v>2453</v>
      </c>
      <c r="I6851" s="499" t="s">
        <v>296</v>
      </c>
      <c r="K6851" s="370"/>
      <c r="N6851" s="370"/>
    </row>
    <row r="6852" spans="1:14" s="347" customFormat="1" x14ac:dyDescent="0.25">
      <c r="A6852" s="536">
        <f>+A6851</f>
        <v>44543</v>
      </c>
      <c r="B6852" s="499">
        <f>+MONTH(A6852)</f>
        <v>12</v>
      </c>
      <c r="C6852" s="494">
        <v>3453</v>
      </c>
      <c r="D6852" s="492" t="str">
        <f>VLOOKUP(C6852,Plan!A$1:B$65542,2,0)</f>
        <v>Cajas de navidad</v>
      </c>
      <c r="E6852" s="542">
        <f>+F6852-G6852</f>
        <v>-52600</v>
      </c>
      <c r="F6852" s="543">
        <v>0</v>
      </c>
      <c r="G6852" s="501">
        <f>+F6851</f>
        <v>52600</v>
      </c>
      <c r="H6852" s="494" t="str">
        <f>+H6851</f>
        <v>Dep. Oficiina</v>
      </c>
      <c r="I6852" s="499" t="s">
        <v>296</v>
      </c>
      <c r="K6852" s="370"/>
      <c r="N6852" s="370"/>
    </row>
    <row r="6853" spans="1:14" s="347" customFormat="1" x14ac:dyDescent="0.25">
      <c r="A6853" s="541"/>
      <c r="B6853" s="537"/>
      <c r="C6853" s="537"/>
      <c r="D6853" s="537"/>
      <c r="E6853" s="540"/>
      <c r="F6853" s="540"/>
      <c r="G6853" s="540"/>
      <c r="H6853" s="537"/>
      <c r="I6853" s="537"/>
      <c r="K6853" s="370"/>
      <c r="N6853" s="370"/>
    </row>
    <row r="6854" spans="1:14" s="347" customFormat="1" x14ac:dyDescent="0.25">
      <c r="A6854" s="536">
        <v>44543</v>
      </c>
      <c r="B6854" s="499">
        <f>+MONTH(A6854)</f>
        <v>12</v>
      </c>
      <c r="C6854" s="494">
        <v>110</v>
      </c>
      <c r="D6854" s="492" t="str">
        <f>VLOOKUP(C6854,Plan!A$1:B$65542,2,0)</f>
        <v>Disponible Administración</v>
      </c>
      <c r="E6854" s="542">
        <f>+F6854-G6854</f>
        <v>10000</v>
      </c>
      <c r="F6854" s="543">
        <v>10000</v>
      </c>
      <c r="G6854" s="501">
        <v>0</v>
      </c>
      <c r="H6854" s="494" t="s">
        <v>2454</v>
      </c>
      <c r="I6854" s="499" t="s">
        <v>296</v>
      </c>
      <c r="K6854" s="370"/>
      <c r="N6854" s="370"/>
    </row>
    <row r="6855" spans="1:14" s="347" customFormat="1" x14ac:dyDescent="0.25">
      <c r="A6855" s="536">
        <f>+A6854</f>
        <v>44543</v>
      </c>
      <c r="B6855" s="499">
        <f>+MONTH(A6855)</f>
        <v>12</v>
      </c>
      <c r="C6855" s="494">
        <v>3340</v>
      </c>
      <c r="D6855" s="492" t="str">
        <f>VLOOKUP(C6855,Plan!A$1:B$65542,2,0)</f>
        <v>Misas</v>
      </c>
      <c r="E6855" s="542">
        <f>+F6855-G6855</f>
        <v>-10000</v>
      </c>
      <c r="F6855" s="543">
        <v>0</v>
      </c>
      <c r="G6855" s="501">
        <f>+F6854</f>
        <v>10000</v>
      </c>
      <c r="H6855" s="494" t="str">
        <f>+H6854</f>
        <v>Misa Catalina Gana</v>
      </c>
      <c r="I6855" s="499" t="s">
        <v>296</v>
      </c>
      <c r="K6855" s="370"/>
      <c r="N6855" s="370"/>
    </row>
    <row r="6856" spans="1:14" s="347" customFormat="1" x14ac:dyDescent="0.25">
      <c r="A6856" s="541"/>
      <c r="B6856" s="537"/>
      <c r="C6856" s="537"/>
      <c r="D6856" s="537"/>
      <c r="E6856" s="540"/>
      <c r="F6856" s="540"/>
      <c r="G6856" s="540"/>
      <c r="H6856" s="537"/>
      <c r="I6856" s="537"/>
      <c r="K6856" s="370"/>
      <c r="N6856" s="370"/>
    </row>
    <row r="6857" spans="1:14" s="347" customFormat="1" x14ac:dyDescent="0.25">
      <c r="A6857" s="536">
        <v>44543</v>
      </c>
      <c r="B6857" s="499">
        <f>+MONTH(A6857)</f>
        <v>12</v>
      </c>
      <c r="C6857" s="494">
        <v>110</v>
      </c>
      <c r="D6857" s="492" t="str">
        <f>VLOOKUP(C6857,Plan!A$1:B$65542,2,0)</f>
        <v>Disponible Administración</v>
      </c>
      <c r="E6857" s="542">
        <f>+F6857-G6857</f>
        <v>968000</v>
      </c>
      <c r="F6857" s="543">
        <v>968000</v>
      </c>
      <c r="G6857" s="501">
        <v>0</v>
      </c>
      <c r="H6857" s="494" t="s">
        <v>2127</v>
      </c>
      <c r="I6857" s="499" t="s">
        <v>296</v>
      </c>
      <c r="K6857" s="370"/>
      <c r="N6857" s="370"/>
    </row>
    <row r="6858" spans="1:14" s="347" customFormat="1" x14ac:dyDescent="0.25">
      <c r="A6858" s="536">
        <f>+A6857</f>
        <v>44543</v>
      </c>
      <c r="B6858" s="499">
        <f>+MONTH(A6858)</f>
        <v>12</v>
      </c>
      <c r="C6858" s="494">
        <v>3110</v>
      </c>
      <c r="D6858" s="492" t="str">
        <f>VLOOKUP(C6858,Plan!A$1:B$65542,2,0)</f>
        <v>Colectas Normales</v>
      </c>
      <c r="E6858" s="542">
        <f>+F6858-G6858</f>
        <v>-968000</v>
      </c>
      <c r="F6858" s="543">
        <v>0</v>
      </c>
      <c r="G6858" s="501">
        <f>+F6857</f>
        <v>968000</v>
      </c>
      <c r="H6858" s="494" t="str">
        <f>+H6857</f>
        <v>Colecta Col.Cordillera y Cumbres</v>
      </c>
      <c r="I6858" s="499" t="s">
        <v>296</v>
      </c>
      <c r="K6858" s="370"/>
      <c r="N6858" s="370"/>
    </row>
    <row r="6859" spans="1:14" s="347" customFormat="1" x14ac:dyDescent="0.25">
      <c r="A6859" s="541"/>
      <c r="B6859" s="537"/>
      <c r="C6859" s="537"/>
      <c r="D6859" s="537"/>
      <c r="E6859" s="540"/>
      <c r="F6859" s="540"/>
      <c r="G6859" s="540"/>
      <c r="H6859" s="537"/>
      <c r="I6859" s="537"/>
      <c r="K6859" s="370"/>
      <c r="N6859" s="370"/>
    </row>
    <row r="6860" spans="1:14" s="347" customFormat="1" x14ac:dyDescent="0.25">
      <c r="A6860" s="536">
        <v>44543</v>
      </c>
      <c r="B6860" s="499">
        <f>+MONTH(A6860)</f>
        <v>12</v>
      </c>
      <c r="C6860" s="494">
        <v>110</v>
      </c>
      <c r="D6860" s="492" t="str">
        <f>VLOOKUP(C6860,Plan!A$1:B$65542,2,0)</f>
        <v>Disponible Administración</v>
      </c>
      <c r="E6860" s="542">
        <f>+F6860-G6860</f>
        <v>10760</v>
      </c>
      <c r="F6860" s="543">
        <v>10760</v>
      </c>
      <c r="G6860" s="501">
        <v>0</v>
      </c>
      <c r="H6860" s="494" t="s">
        <v>2127</v>
      </c>
      <c r="I6860" s="499" t="s">
        <v>296</v>
      </c>
      <c r="K6860" s="370"/>
      <c r="N6860" s="370"/>
    </row>
    <row r="6861" spans="1:14" s="347" customFormat="1" x14ac:dyDescent="0.25">
      <c r="A6861" s="536">
        <f>+A6860</f>
        <v>44543</v>
      </c>
      <c r="B6861" s="499">
        <f>+MONTH(A6861)</f>
        <v>12</v>
      </c>
      <c r="C6861" s="494">
        <v>3110</v>
      </c>
      <c r="D6861" s="492" t="str">
        <f>VLOOKUP(C6861,Plan!A$1:B$65542,2,0)</f>
        <v>Colectas Normales</v>
      </c>
      <c r="E6861" s="542">
        <f>+F6861-G6861</f>
        <v>-10760</v>
      </c>
      <c r="F6861" s="543">
        <v>0</v>
      </c>
      <c r="G6861" s="501">
        <f>+F6860</f>
        <v>10760</v>
      </c>
      <c r="H6861" s="494" t="str">
        <f>+H6860</f>
        <v>Colecta Col.Cordillera y Cumbres</v>
      </c>
      <c r="I6861" s="499" t="s">
        <v>296</v>
      </c>
      <c r="K6861" s="370"/>
      <c r="N6861" s="370"/>
    </row>
    <row r="6862" spans="1:14" s="347" customFormat="1" x14ac:dyDescent="0.25">
      <c r="A6862" s="541"/>
      <c r="B6862" s="537"/>
      <c r="C6862" s="537"/>
      <c r="D6862" s="537"/>
      <c r="E6862" s="540"/>
      <c r="F6862" s="540"/>
      <c r="G6862" s="540"/>
      <c r="H6862" s="537"/>
      <c r="I6862" s="537"/>
      <c r="K6862" s="370"/>
      <c r="N6862" s="370"/>
    </row>
    <row r="6863" spans="1:14" s="347" customFormat="1" x14ac:dyDescent="0.25">
      <c r="A6863" s="536">
        <v>44544</v>
      </c>
      <c r="B6863" s="499">
        <f>+MONTH(A6863)</f>
        <v>12</v>
      </c>
      <c r="C6863" s="494">
        <v>110</v>
      </c>
      <c r="D6863" s="492" t="str">
        <f>VLOOKUP(C6863,Plan!A$1:B$65542,2,0)</f>
        <v>Disponible Administración</v>
      </c>
      <c r="E6863" s="542">
        <f>+F6863-G6863</f>
        <v>539329</v>
      </c>
      <c r="F6863" s="543">
        <v>539329</v>
      </c>
      <c r="G6863" s="501">
        <v>0</v>
      </c>
      <c r="H6863" s="494" t="s">
        <v>2218</v>
      </c>
      <c r="I6863" s="499" t="s">
        <v>296</v>
      </c>
      <c r="K6863" s="370"/>
      <c r="N6863" s="370"/>
    </row>
    <row r="6864" spans="1:14" s="347" customFormat="1" x14ac:dyDescent="0.25">
      <c r="A6864" s="536">
        <f>+A6863</f>
        <v>44544</v>
      </c>
      <c r="B6864" s="499">
        <f>+MONTH(A6864)</f>
        <v>12</v>
      </c>
      <c r="C6864" s="494">
        <v>3453</v>
      </c>
      <c r="D6864" s="492" t="str">
        <f>VLOOKUP(C6864,Plan!A$1:B$65542,2,0)</f>
        <v>Cajas de navidad</v>
      </c>
      <c r="E6864" s="542">
        <f>+F6864-G6864</f>
        <v>-539329</v>
      </c>
      <c r="F6864" s="543">
        <v>0</v>
      </c>
      <c r="G6864" s="501">
        <f>+F6863</f>
        <v>539329</v>
      </c>
      <c r="H6864" s="494" t="str">
        <f>+H6863</f>
        <v>Caja Navidad POS</v>
      </c>
      <c r="I6864" s="499" t="s">
        <v>296</v>
      </c>
      <c r="K6864" s="370"/>
      <c r="N6864" s="370"/>
    </row>
    <row r="6865" spans="1:14" s="347" customFormat="1" x14ac:dyDescent="0.25">
      <c r="A6865" s="541"/>
      <c r="B6865" s="537"/>
      <c r="C6865" s="537"/>
      <c r="D6865" s="537"/>
      <c r="E6865" s="540"/>
      <c r="F6865" s="540"/>
      <c r="G6865" s="540"/>
      <c r="H6865" s="537"/>
      <c r="I6865" s="537"/>
      <c r="K6865" s="370"/>
      <c r="N6865" s="370"/>
    </row>
    <row r="6866" spans="1:14" s="347" customFormat="1" x14ac:dyDescent="0.25">
      <c r="A6866" s="536">
        <v>44544</v>
      </c>
      <c r="B6866" s="499">
        <f>+MONTH(A6866)</f>
        <v>12</v>
      </c>
      <c r="C6866" s="494">
        <v>110</v>
      </c>
      <c r="D6866" s="492" t="str">
        <f>VLOOKUP(C6866,Plan!A$1:B$65542,2,0)</f>
        <v>Disponible Administración</v>
      </c>
      <c r="E6866" s="542">
        <f>+F6866-G6866</f>
        <v>63262</v>
      </c>
      <c r="F6866" s="543">
        <v>63262</v>
      </c>
      <c r="G6866" s="501">
        <v>0</v>
      </c>
      <c r="H6866" s="494" t="s">
        <v>2271</v>
      </c>
      <c r="I6866" s="499" t="s">
        <v>296</v>
      </c>
      <c r="K6866" s="370"/>
      <c r="N6866" s="370"/>
    </row>
    <row r="6867" spans="1:14" s="347" customFormat="1" x14ac:dyDescent="0.25">
      <c r="A6867" s="536">
        <f>+A6866</f>
        <v>44544</v>
      </c>
      <c r="B6867" s="499">
        <f>+MONTH(A6867)</f>
        <v>12</v>
      </c>
      <c r="C6867" s="494">
        <v>3453</v>
      </c>
      <c r="D6867" s="492" t="str">
        <f>VLOOKUP(C6867,Plan!A$1:B$65542,2,0)</f>
        <v>Cajas de navidad</v>
      </c>
      <c r="E6867" s="542">
        <f>+F6867-G6867</f>
        <v>-63262</v>
      </c>
      <c r="F6867" s="543">
        <v>0</v>
      </c>
      <c r="G6867" s="501">
        <f>+F6866</f>
        <v>63262</v>
      </c>
      <c r="H6867" s="494" t="str">
        <f>+H6866</f>
        <v>Caja Navidad DCT</v>
      </c>
      <c r="I6867" s="499" t="s">
        <v>296</v>
      </c>
      <c r="K6867" s="370"/>
      <c r="N6867" s="370"/>
    </row>
    <row r="6868" spans="1:14" s="347" customFormat="1" x14ac:dyDescent="0.25">
      <c r="A6868" s="541"/>
      <c r="B6868" s="537"/>
      <c r="C6868" s="537"/>
      <c r="D6868" s="537"/>
      <c r="E6868" s="540"/>
      <c r="F6868" s="540"/>
      <c r="G6868" s="540"/>
      <c r="H6868" s="537"/>
      <c r="I6868" s="537"/>
      <c r="K6868" s="370"/>
      <c r="N6868" s="370"/>
    </row>
    <row r="6869" spans="1:14" s="347" customFormat="1" x14ac:dyDescent="0.25">
      <c r="A6869" s="536">
        <v>44544</v>
      </c>
      <c r="B6869" s="499">
        <f>+MONTH(A6869)</f>
        <v>12</v>
      </c>
      <c r="C6869" s="494">
        <v>110</v>
      </c>
      <c r="D6869" s="492" t="str">
        <f>VLOOKUP(C6869,Plan!A$1:B$65542,2,0)</f>
        <v>Disponible Administración</v>
      </c>
      <c r="E6869" s="542">
        <f>+F6869-G6869</f>
        <v>50000</v>
      </c>
      <c r="F6869" s="543">
        <v>50000</v>
      </c>
      <c r="G6869" s="501">
        <v>0</v>
      </c>
      <c r="H6869" s="494" t="s">
        <v>2455</v>
      </c>
      <c r="I6869" s="499" t="s">
        <v>296</v>
      </c>
      <c r="K6869" s="370"/>
      <c r="N6869" s="370"/>
    </row>
    <row r="6870" spans="1:14" s="347" customFormat="1" x14ac:dyDescent="0.25">
      <c r="A6870" s="536">
        <f>+A6869</f>
        <v>44544</v>
      </c>
      <c r="B6870" s="499">
        <f>+MONTH(A6870)</f>
        <v>12</v>
      </c>
      <c r="C6870" s="494">
        <v>3340</v>
      </c>
      <c r="D6870" s="492" t="str">
        <f>VLOOKUP(C6870,Plan!A$1:B$65542,2,0)</f>
        <v>Misas</v>
      </c>
      <c r="E6870" s="542">
        <f>+F6870-G6870</f>
        <v>-50000</v>
      </c>
      <c r="F6870" s="543">
        <v>0</v>
      </c>
      <c r="G6870" s="501">
        <f>+F6869</f>
        <v>50000</v>
      </c>
      <c r="H6870" s="494" t="str">
        <f>+H6869</f>
        <v>Misa Macarena Del Real Squella</v>
      </c>
      <c r="I6870" s="499" t="s">
        <v>296</v>
      </c>
      <c r="K6870" s="370"/>
      <c r="N6870" s="370"/>
    </row>
    <row r="6871" spans="1:14" s="347" customFormat="1" x14ac:dyDescent="0.25">
      <c r="A6871" s="541"/>
      <c r="B6871" s="537"/>
      <c r="C6871" s="537"/>
      <c r="D6871" s="537"/>
      <c r="E6871" s="540"/>
      <c r="F6871" s="540"/>
      <c r="G6871" s="540"/>
      <c r="H6871" s="537"/>
      <c r="I6871" s="537"/>
      <c r="K6871" s="370"/>
      <c r="N6871" s="370"/>
    </row>
    <row r="6872" spans="1:14" s="347" customFormat="1" x14ac:dyDescent="0.25">
      <c r="A6872" s="536">
        <v>44545</v>
      </c>
      <c r="B6872" s="499">
        <f>+MONTH(A6872)</f>
        <v>12</v>
      </c>
      <c r="C6872" s="494">
        <v>110</v>
      </c>
      <c r="D6872" s="492" t="str">
        <f>VLOOKUP(C6872,Plan!A$1:B$65542,2,0)</f>
        <v>Disponible Administración</v>
      </c>
      <c r="E6872" s="542">
        <f>+F6872-G6872</f>
        <v>25000</v>
      </c>
      <c r="F6872" s="543">
        <v>25000</v>
      </c>
      <c r="G6872" s="501">
        <v>0</v>
      </c>
      <c r="H6872" s="494" t="s">
        <v>1425</v>
      </c>
      <c r="I6872" s="499" t="s">
        <v>296</v>
      </c>
      <c r="K6872" s="370"/>
      <c r="N6872" s="370"/>
    </row>
    <row r="6873" spans="1:14" s="347" customFormat="1" x14ac:dyDescent="0.25">
      <c r="A6873" s="536">
        <f>+A6872</f>
        <v>44545</v>
      </c>
      <c r="B6873" s="499">
        <f>+MONTH(A6873)</f>
        <v>12</v>
      </c>
      <c r="C6873" s="494">
        <v>3360</v>
      </c>
      <c r="D6873" s="492" t="str">
        <f>VLOOKUP(C6873,Plan!A$1:B$65542,2,0)</f>
        <v>Otros</v>
      </c>
      <c r="E6873" s="542">
        <f>+F6873-G6873</f>
        <v>-25000</v>
      </c>
      <c r="F6873" s="543">
        <v>0</v>
      </c>
      <c r="G6873" s="501">
        <f>+F6872</f>
        <v>25000</v>
      </c>
      <c r="H6873" s="494" t="str">
        <f>+H6872</f>
        <v>Curso Maria Soledad Toso Loyola</v>
      </c>
      <c r="I6873" s="499" t="s">
        <v>296</v>
      </c>
      <c r="K6873" s="370"/>
      <c r="N6873" s="370"/>
    </row>
    <row r="6874" spans="1:14" s="347" customFormat="1" x14ac:dyDescent="0.25">
      <c r="A6874" s="541"/>
      <c r="B6874" s="499"/>
      <c r="C6874" s="537"/>
      <c r="D6874" s="499"/>
      <c r="E6874" s="538"/>
      <c r="F6874" s="540"/>
      <c r="G6874" s="540"/>
      <c r="H6874" s="537"/>
      <c r="I6874" s="499"/>
      <c r="K6874" s="370"/>
      <c r="N6874" s="370"/>
    </row>
    <row r="6875" spans="1:14" s="347" customFormat="1" x14ac:dyDescent="0.25">
      <c r="A6875" s="536">
        <v>44545</v>
      </c>
      <c r="B6875" s="499">
        <f>+MONTH(A6875)</f>
        <v>12</v>
      </c>
      <c r="C6875" s="494">
        <v>110</v>
      </c>
      <c r="D6875" s="492" t="str">
        <f>VLOOKUP(C6875,Plan!A$1:B$65542,2,0)</f>
        <v>Disponible Administración</v>
      </c>
      <c r="E6875" s="542">
        <f>+F6875-G6875</f>
        <v>20000</v>
      </c>
      <c r="F6875" s="543">
        <v>20000</v>
      </c>
      <c r="G6875" s="544">
        <v>0</v>
      </c>
      <c r="H6875" s="494" t="s">
        <v>2456</v>
      </c>
      <c r="I6875" s="499" t="s">
        <v>296</v>
      </c>
      <c r="K6875" s="370"/>
      <c r="N6875" s="370"/>
    </row>
    <row r="6876" spans="1:14" s="347" customFormat="1" x14ac:dyDescent="0.25">
      <c r="A6876" s="536">
        <f>+A6875</f>
        <v>44545</v>
      </c>
      <c r="B6876" s="499">
        <f>+MONTH(A6876)</f>
        <v>12</v>
      </c>
      <c r="C6876" s="494">
        <v>3110</v>
      </c>
      <c r="D6876" s="492" t="str">
        <f>VLOOKUP(C6876,Plan!A$1:B$65542,2,0)</f>
        <v>Colectas Normales</v>
      </c>
      <c r="E6876" s="542">
        <f>+F6876-G6876</f>
        <v>-20000</v>
      </c>
      <c r="F6876" s="543">
        <v>0</v>
      </c>
      <c r="G6876" s="501">
        <f>+F6875</f>
        <v>20000</v>
      </c>
      <c r="H6876" s="494" t="str">
        <f>+H6875</f>
        <v>Colecta Maria Beatriz Eliana Tobar Cuadra</v>
      </c>
      <c r="I6876" s="499" t="s">
        <v>296</v>
      </c>
      <c r="K6876" s="370"/>
      <c r="N6876" s="370"/>
    </row>
    <row r="6877" spans="1:14" s="347" customFormat="1" x14ac:dyDescent="0.25">
      <c r="A6877" s="541"/>
      <c r="B6877" s="537"/>
      <c r="C6877" s="537"/>
      <c r="D6877" s="537"/>
      <c r="E6877" s="540"/>
      <c r="F6877" s="540"/>
      <c r="G6877" s="540"/>
      <c r="H6877" s="537"/>
      <c r="I6877" s="537"/>
      <c r="K6877" s="370"/>
      <c r="N6877" s="370"/>
    </row>
    <row r="6878" spans="1:14" s="347" customFormat="1" x14ac:dyDescent="0.25">
      <c r="A6878" s="536">
        <v>44545</v>
      </c>
      <c r="B6878" s="499">
        <f>+MONTH(A6878)</f>
        <v>12</v>
      </c>
      <c r="C6878" s="494">
        <v>110</v>
      </c>
      <c r="D6878" s="492" t="str">
        <f>VLOOKUP(C6878,Plan!A$1:B$65542,2,0)</f>
        <v>Disponible Administración</v>
      </c>
      <c r="E6878" s="542">
        <f>+F6878-G6878</f>
        <v>32000</v>
      </c>
      <c r="F6878" s="543">
        <v>32000</v>
      </c>
      <c r="G6878" s="544">
        <v>0</v>
      </c>
      <c r="H6878" s="494" t="s">
        <v>2457</v>
      </c>
      <c r="I6878" s="499" t="s">
        <v>296</v>
      </c>
      <c r="K6878" s="370"/>
      <c r="N6878" s="370"/>
    </row>
    <row r="6879" spans="1:14" s="347" customFormat="1" x14ac:dyDescent="0.25">
      <c r="A6879" s="536">
        <f>+A6878</f>
        <v>44545</v>
      </c>
      <c r="B6879" s="499">
        <f>+MONTH(A6879)</f>
        <v>12</v>
      </c>
      <c r="C6879" s="494">
        <v>3453</v>
      </c>
      <c r="D6879" s="492" t="str">
        <f>VLOOKUP(C6879,Plan!A$1:B$65542,2,0)</f>
        <v>Cajas de navidad</v>
      </c>
      <c r="E6879" s="542">
        <f>+F6879-G6879</f>
        <v>-32000</v>
      </c>
      <c r="F6879" s="543">
        <v>0</v>
      </c>
      <c r="G6879" s="501">
        <f>+F6878</f>
        <v>32000</v>
      </c>
      <c r="H6879" s="494" t="str">
        <f>+H6878</f>
        <v>Caja Navidad Maria Beatriz Eliana Tobar Cuadra</v>
      </c>
      <c r="I6879" s="499" t="s">
        <v>296</v>
      </c>
      <c r="K6879" s="370"/>
      <c r="N6879" s="370"/>
    </row>
    <row r="6880" spans="1:14" s="347" customFormat="1" x14ac:dyDescent="0.25">
      <c r="A6880" s="541"/>
      <c r="B6880" s="537"/>
      <c r="C6880" s="537"/>
      <c r="D6880" s="537"/>
      <c r="E6880" s="540"/>
      <c r="F6880" s="540"/>
      <c r="G6880" s="540"/>
      <c r="H6880" s="537"/>
      <c r="I6880" s="537"/>
      <c r="K6880" s="370"/>
      <c r="N6880" s="370"/>
    </row>
    <row r="6881" spans="1:14" s="347" customFormat="1" x14ac:dyDescent="0.25">
      <c r="A6881" s="536">
        <v>44545</v>
      </c>
      <c r="B6881" s="499">
        <f>+MONTH(A6881)</f>
        <v>12</v>
      </c>
      <c r="C6881" s="494">
        <v>4325</v>
      </c>
      <c r="D6881" s="492" t="str">
        <f>VLOOKUP(C6881,Plan!A$1:B$65542,2,0)</f>
        <v>Alarma (ADT)</v>
      </c>
      <c r="E6881" s="542">
        <f>+F6881-G6881</f>
        <v>44933</v>
      </c>
      <c r="F6881" s="543">
        <v>44933</v>
      </c>
      <c r="G6881" s="544">
        <v>0</v>
      </c>
      <c r="H6881" s="494" t="s">
        <v>750</v>
      </c>
      <c r="I6881" s="499" t="s">
        <v>296</v>
      </c>
      <c r="K6881" s="370"/>
      <c r="N6881" s="370"/>
    </row>
    <row r="6882" spans="1:14" s="347" customFormat="1" x14ac:dyDescent="0.25">
      <c r="A6882" s="536">
        <f>+A6881</f>
        <v>44545</v>
      </c>
      <c r="B6882" s="499">
        <f>+MONTH(A6882)</f>
        <v>12</v>
      </c>
      <c r="C6882" s="494">
        <v>110</v>
      </c>
      <c r="D6882" s="492" t="str">
        <f>VLOOKUP(C6882,Plan!A$1:B$65542,2,0)</f>
        <v>Disponible Administración</v>
      </c>
      <c r="E6882" s="542">
        <f>+F6882-G6882</f>
        <v>-44933</v>
      </c>
      <c r="F6882" s="543">
        <v>0</v>
      </c>
      <c r="G6882" s="501">
        <f>+F6881</f>
        <v>44933</v>
      </c>
      <c r="H6882" s="494" t="str">
        <f>+H6881</f>
        <v>PAC ADT</v>
      </c>
      <c r="I6882" s="499" t="s">
        <v>296</v>
      </c>
      <c r="K6882" s="370"/>
      <c r="N6882" s="370"/>
    </row>
    <row r="6883" spans="1:14" s="347" customFormat="1" x14ac:dyDescent="0.25">
      <c r="A6883" s="541"/>
      <c r="B6883" s="537"/>
      <c r="C6883" s="537"/>
      <c r="D6883" s="537"/>
      <c r="E6883" s="540"/>
      <c r="F6883" s="540"/>
      <c r="G6883" s="540"/>
      <c r="H6883" s="537"/>
      <c r="I6883" s="537"/>
      <c r="K6883" s="370"/>
      <c r="N6883" s="370"/>
    </row>
    <row r="6884" spans="1:14" s="347" customFormat="1" x14ac:dyDescent="0.25">
      <c r="A6884" s="536">
        <v>44545</v>
      </c>
      <c r="B6884" s="499">
        <f>+MONTH(A6884)</f>
        <v>12</v>
      </c>
      <c r="C6884" s="494">
        <v>4323</v>
      </c>
      <c r="D6884" s="492" t="str">
        <f>VLOOKUP(C6884,Plan!A$1:B$65542,2,0)</f>
        <v>Telefonía, Internet (VTR, Entel)</v>
      </c>
      <c r="E6884" s="542">
        <f>+F6884-G6884</f>
        <v>20990</v>
      </c>
      <c r="F6884" s="543">
        <v>20990</v>
      </c>
      <c r="G6884" s="544">
        <v>0</v>
      </c>
      <c r="H6884" s="494" t="s">
        <v>2145</v>
      </c>
      <c r="I6884" s="499" t="s">
        <v>296</v>
      </c>
      <c r="K6884" s="370"/>
      <c r="N6884" s="370"/>
    </row>
    <row r="6885" spans="1:14" s="347" customFormat="1" x14ac:dyDescent="0.25">
      <c r="A6885" s="536">
        <f>+A6884</f>
        <v>44545</v>
      </c>
      <c r="B6885" s="499">
        <f>+MONTH(A6885)</f>
        <v>12</v>
      </c>
      <c r="C6885" s="494">
        <v>110</v>
      </c>
      <c r="D6885" s="492" t="str">
        <f>VLOOKUP(C6885,Plan!A$1:B$65542,2,0)</f>
        <v>Disponible Administración</v>
      </c>
      <c r="E6885" s="542">
        <f>+F6885-G6885</f>
        <v>-20990</v>
      </c>
      <c r="F6885" s="543">
        <v>0</v>
      </c>
      <c r="G6885" s="501">
        <f>+F6884</f>
        <v>20990</v>
      </c>
      <c r="H6885" s="494" t="str">
        <f>+H6884</f>
        <v>PAC Enel Oficina</v>
      </c>
      <c r="I6885" s="499" t="s">
        <v>296</v>
      </c>
      <c r="K6885" s="370"/>
      <c r="N6885" s="370"/>
    </row>
    <row r="6886" spans="1:14" s="347" customFormat="1" x14ac:dyDescent="0.25">
      <c r="A6886" s="541"/>
      <c r="B6886" s="537"/>
      <c r="C6886" s="537"/>
      <c r="D6886" s="537"/>
      <c r="E6886" s="540"/>
      <c r="F6886" s="540"/>
      <c r="G6886" s="540"/>
      <c r="H6886" s="537"/>
      <c r="I6886" s="537"/>
      <c r="K6886" s="370"/>
      <c r="N6886" s="370"/>
    </row>
    <row r="6887" spans="1:14" s="347" customFormat="1" x14ac:dyDescent="0.25">
      <c r="A6887" s="536">
        <v>44545</v>
      </c>
      <c r="B6887" s="499">
        <f>+MONTH(A6887)</f>
        <v>12</v>
      </c>
      <c r="C6887" s="494">
        <v>110</v>
      </c>
      <c r="D6887" s="492" t="str">
        <f>VLOOKUP(C6887,Plan!A$1:B$65542,2,0)</f>
        <v>Disponible Administración</v>
      </c>
      <c r="E6887" s="542">
        <f>+F6887-G6887</f>
        <v>11610</v>
      </c>
      <c r="F6887" s="543">
        <v>11610</v>
      </c>
      <c r="G6887" s="544">
        <v>0</v>
      </c>
      <c r="H6887" s="494" t="s">
        <v>897</v>
      </c>
      <c r="I6887" s="499" t="s">
        <v>296</v>
      </c>
      <c r="K6887" s="370"/>
      <c r="N6887" s="370"/>
    </row>
    <row r="6888" spans="1:14" s="347" customFormat="1" x14ac:dyDescent="0.25">
      <c r="A6888" s="536">
        <f>+A6887</f>
        <v>44545</v>
      </c>
      <c r="B6888" s="499">
        <f>+MONTH(A6888)</f>
        <v>12</v>
      </c>
      <c r="C6888" s="494">
        <v>3110</v>
      </c>
      <c r="D6888" s="492" t="str">
        <f>VLOOKUP(C6888,Plan!A$1:B$65542,2,0)</f>
        <v>Colectas Normales</v>
      </c>
      <c r="E6888" s="542">
        <f>+F6888-G6888</f>
        <v>-11610</v>
      </c>
      <c r="F6888" s="543">
        <v>0</v>
      </c>
      <c r="G6888" s="501">
        <f>+F6887</f>
        <v>11610</v>
      </c>
      <c r="H6888" s="494" t="str">
        <f>+H6887</f>
        <v>Colecta DCT</v>
      </c>
      <c r="I6888" s="499" t="s">
        <v>296</v>
      </c>
      <c r="K6888" s="370"/>
      <c r="N6888" s="370"/>
    </row>
    <row r="6889" spans="1:14" s="347" customFormat="1" x14ac:dyDescent="0.25">
      <c r="A6889" s="541"/>
      <c r="B6889" s="537"/>
      <c r="C6889" s="537"/>
      <c r="D6889" s="537"/>
      <c r="E6889" s="540"/>
      <c r="F6889" s="540"/>
      <c r="G6889" s="540"/>
      <c r="H6889" s="537"/>
      <c r="I6889" s="537"/>
      <c r="K6889" s="370"/>
      <c r="N6889" s="370"/>
    </row>
    <row r="6890" spans="1:14" s="347" customFormat="1" x14ac:dyDescent="0.25">
      <c r="A6890" s="536">
        <v>44545</v>
      </c>
      <c r="B6890" s="499">
        <f>+MONTH(A6890)</f>
        <v>12</v>
      </c>
      <c r="C6890" s="494">
        <v>110</v>
      </c>
      <c r="D6890" s="492" t="str">
        <f>VLOOKUP(C6890,Plan!A$1:B$65542,2,0)</f>
        <v>Disponible Administración</v>
      </c>
      <c r="E6890" s="542">
        <f>+F6890-G6890</f>
        <v>88758</v>
      </c>
      <c r="F6890" s="543">
        <v>88758</v>
      </c>
      <c r="G6890" s="544">
        <v>0</v>
      </c>
      <c r="H6890" s="494" t="s">
        <v>2271</v>
      </c>
      <c r="I6890" s="499" t="s">
        <v>296</v>
      </c>
      <c r="K6890" s="370"/>
      <c r="N6890" s="370"/>
    </row>
    <row r="6891" spans="1:14" s="347" customFormat="1" x14ac:dyDescent="0.25">
      <c r="A6891" s="536">
        <f>+A6890</f>
        <v>44545</v>
      </c>
      <c r="B6891" s="499">
        <f>+MONTH(A6891)</f>
        <v>12</v>
      </c>
      <c r="C6891" s="494">
        <v>3453</v>
      </c>
      <c r="D6891" s="492" t="str">
        <f>VLOOKUP(C6891,Plan!A$1:B$65542,2,0)</f>
        <v>Cajas de navidad</v>
      </c>
      <c r="E6891" s="542">
        <f>+F6891-G6891</f>
        <v>-88758</v>
      </c>
      <c r="F6891" s="543">
        <v>0</v>
      </c>
      <c r="G6891" s="501">
        <f>+F6890</f>
        <v>88758</v>
      </c>
      <c r="H6891" s="494" t="str">
        <f>+H6890</f>
        <v>Caja Navidad DCT</v>
      </c>
      <c r="I6891" s="499" t="s">
        <v>296</v>
      </c>
      <c r="K6891" s="370"/>
      <c r="N6891" s="370"/>
    </row>
    <row r="6892" spans="1:14" s="347" customFormat="1" x14ac:dyDescent="0.25">
      <c r="A6892" s="541"/>
      <c r="B6892" s="537"/>
      <c r="C6892" s="537"/>
      <c r="D6892" s="537"/>
      <c r="E6892" s="540"/>
      <c r="F6892" s="540"/>
      <c r="G6892" s="540"/>
      <c r="H6892" s="537"/>
      <c r="I6892" s="537"/>
      <c r="K6892" s="370"/>
      <c r="N6892" s="370"/>
    </row>
    <row r="6893" spans="1:14" s="347" customFormat="1" x14ac:dyDescent="0.25">
      <c r="A6893" s="536">
        <v>44545</v>
      </c>
      <c r="B6893" s="499">
        <f>+MONTH(A6893)</f>
        <v>12</v>
      </c>
      <c r="C6893" s="494">
        <v>110</v>
      </c>
      <c r="D6893" s="492" t="str">
        <f>VLOOKUP(C6893,Plan!A$1:B$65542,2,0)</f>
        <v>Disponible Administración</v>
      </c>
      <c r="E6893" s="542">
        <f>+F6893-G6893</f>
        <v>694975</v>
      </c>
      <c r="F6893" s="543">
        <v>694975</v>
      </c>
      <c r="G6893" s="544">
        <v>0</v>
      </c>
      <c r="H6893" s="494" t="s">
        <v>2218</v>
      </c>
      <c r="I6893" s="499" t="s">
        <v>296</v>
      </c>
      <c r="K6893" s="370"/>
      <c r="N6893" s="370"/>
    </row>
    <row r="6894" spans="1:14" s="347" customFormat="1" x14ac:dyDescent="0.25">
      <c r="A6894" s="536">
        <f>+A6893</f>
        <v>44545</v>
      </c>
      <c r="B6894" s="499">
        <f>+MONTH(A6894)</f>
        <v>12</v>
      </c>
      <c r="C6894" s="494">
        <v>3453</v>
      </c>
      <c r="D6894" s="492" t="str">
        <f>VLOOKUP(C6894,Plan!A$1:B$65542,2,0)</f>
        <v>Cajas de navidad</v>
      </c>
      <c r="E6894" s="542">
        <f>+F6894-G6894</f>
        <v>-694975</v>
      </c>
      <c r="F6894" s="543">
        <v>0</v>
      </c>
      <c r="G6894" s="501">
        <f>+F6893</f>
        <v>694975</v>
      </c>
      <c r="H6894" s="494" t="str">
        <f>+H6893</f>
        <v>Caja Navidad POS</v>
      </c>
      <c r="I6894" s="499" t="s">
        <v>296</v>
      </c>
      <c r="K6894" s="370"/>
      <c r="N6894" s="370"/>
    </row>
    <row r="6895" spans="1:14" s="347" customFormat="1" x14ac:dyDescent="0.25">
      <c r="A6895" s="541"/>
      <c r="B6895" s="537"/>
      <c r="C6895" s="537"/>
      <c r="D6895" s="537"/>
      <c r="E6895" s="540"/>
      <c r="F6895" s="540"/>
      <c r="G6895" s="540"/>
      <c r="H6895" s="537"/>
      <c r="I6895" s="537"/>
      <c r="K6895" s="370"/>
      <c r="N6895" s="370"/>
    </row>
    <row r="6896" spans="1:14" s="347" customFormat="1" x14ac:dyDescent="0.25">
      <c r="A6896" s="536">
        <v>44545</v>
      </c>
      <c r="B6896" s="499">
        <f>+MONTH(A6896)</f>
        <v>12</v>
      </c>
      <c r="C6896" s="494">
        <v>110</v>
      </c>
      <c r="D6896" s="492" t="str">
        <f>VLOOKUP(C6896,Plan!A$1:B$65542,2,0)</f>
        <v>Disponible Administración</v>
      </c>
      <c r="E6896" s="542">
        <f>+F6896-G6896</f>
        <v>30000</v>
      </c>
      <c r="F6896" s="543">
        <v>30000</v>
      </c>
      <c r="G6896" s="544">
        <v>0</v>
      </c>
      <c r="H6896" s="494" t="s">
        <v>2458</v>
      </c>
      <c r="I6896" s="499" t="s">
        <v>296</v>
      </c>
      <c r="K6896" s="370"/>
      <c r="N6896" s="370"/>
    </row>
    <row r="6897" spans="1:14" s="347" customFormat="1" x14ac:dyDescent="0.25">
      <c r="A6897" s="536">
        <f>+A6896</f>
        <v>44545</v>
      </c>
      <c r="B6897" s="499">
        <f>+MONTH(A6897)</f>
        <v>12</v>
      </c>
      <c r="C6897" s="494">
        <v>3110</v>
      </c>
      <c r="D6897" s="492" t="str">
        <f>VLOOKUP(C6897,Plan!A$1:B$65542,2,0)</f>
        <v>Colectas Normales</v>
      </c>
      <c r="E6897" s="542">
        <f>+F6897-G6897</f>
        <v>-30000</v>
      </c>
      <c r="F6897" s="543">
        <v>0</v>
      </c>
      <c r="G6897" s="501">
        <f>+F6896</f>
        <v>30000</v>
      </c>
      <c r="H6897" s="494" t="str">
        <f>+H6896</f>
        <v>Colecta Keryma Andrea Felmer Echeverria</v>
      </c>
      <c r="I6897" s="499" t="s">
        <v>296</v>
      </c>
      <c r="K6897" s="370"/>
      <c r="N6897" s="370"/>
    </row>
    <row r="6898" spans="1:14" s="347" customFormat="1" x14ac:dyDescent="0.25">
      <c r="A6898" s="541"/>
      <c r="B6898" s="537"/>
      <c r="C6898" s="537"/>
      <c r="D6898" s="537"/>
      <c r="E6898" s="540"/>
      <c r="F6898" s="540"/>
      <c r="G6898" s="540"/>
      <c r="H6898" s="537"/>
      <c r="I6898" s="537"/>
      <c r="K6898" s="370"/>
      <c r="N6898" s="370"/>
    </row>
    <row r="6899" spans="1:14" s="347" customFormat="1" x14ac:dyDescent="0.25">
      <c r="A6899" s="536">
        <v>44545</v>
      </c>
      <c r="B6899" s="499">
        <f>+MONTH(A6899)</f>
        <v>12</v>
      </c>
      <c r="C6899" s="494">
        <v>110</v>
      </c>
      <c r="D6899" s="492" t="str">
        <f>VLOOKUP(C6899,Plan!A$1:B$65542,2,0)</f>
        <v>Disponible Administración</v>
      </c>
      <c r="E6899" s="542">
        <f>+F6899-G6899</f>
        <v>17000</v>
      </c>
      <c r="F6899" s="543">
        <v>17000</v>
      </c>
      <c r="G6899" s="544">
        <v>0</v>
      </c>
      <c r="H6899" s="494" t="s">
        <v>2123</v>
      </c>
      <c r="I6899" s="499" t="s">
        <v>296</v>
      </c>
      <c r="K6899" s="370"/>
      <c r="N6899" s="370"/>
    </row>
    <row r="6900" spans="1:14" s="347" customFormat="1" x14ac:dyDescent="0.25">
      <c r="A6900" s="536">
        <f>+A6899</f>
        <v>44545</v>
      </c>
      <c r="B6900" s="499">
        <f>+MONTH(A6900)</f>
        <v>12</v>
      </c>
      <c r="C6900" s="494">
        <v>215</v>
      </c>
      <c r="D6900" s="492" t="str">
        <f>VLOOKUP(C6900,Plan!A$1:B$65542,2,0)</f>
        <v>Cuenta por Pagar a Cali</v>
      </c>
      <c r="E6900" s="542">
        <f>+F6900-G6900</f>
        <v>-17000</v>
      </c>
      <c r="F6900" s="543">
        <v>0</v>
      </c>
      <c r="G6900" s="501">
        <f>+F6899</f>
        <v>17000</v>
      </c>
      <c r="H6900" s="494" t="str">
        <f>+H6899</f>
        <v>Keryma Felmer Echeverria / 249</v>
      </c>
      <c r="I6900" s="499" t="s">
        <v>296</v>
      </c>
      <c r="K6900" s="370"/>
      <c r="N6900" s="370"/>
    </row>
    <row r="6901" spans="1:14" s="347" customFormat="1" x14ac:dyDescent="0.25">
      <c r="A6901" s="541"/>
      <c r="B6901" s="537"/>
      <c r="C6901" s="537"/>
      <c r="D6901" s="537"/>
      <c r="E6901" s="540"/>
      <c r="F6901" s="540"/>
      <c r="G6901" s="540"/>
      <c r="H6901" s="537"/>
      <c r="I6901" s="537"/>
      <c r="K6901" s="370"/>
      <c r="N6901" s="370"/>
    </row>
    <row r="6902" spans="1:14" s="347" customFormat="1" x14ac:dyDescent="0.25">
      <c r="A6902" s="536">
        <v>44545</v>
      </c>
      <c r="B6902" s="499">
        <f>+MONTH(A6902)</f>
        <v>12</v>
      </c>
      <c r="C6902" s="494">
        <v>4860</v>
      </c>
      <c r="D6902" s="492" t="str">
        <f>VLOOKUP(C6902,Plan!A$1:B$65542,2,0)</f>
        <v>Otros</v>
      </c>
      <c r="E6902" s="542">
        <f>+F6902-G6902</f>
        <v>1098</v>
      </c>
      <c r="F6902" s="543">
        <v>1098</v>
      </c>
      <c r="G6902" s="544">
        <v>0</v>
      </c>
      <c r="H6902" s="494" t="s">
        <v>1005</v>
      </c>
      <c r="I6902" s="499" t="s">
        <v>296</v>
      </c>
      <c r="K6902" s="370"/>
      <c r="N6902" s="370"/>
    </row>
    <row r="6903" spans="1:14" s="347" customFormat="1" x14ac:dyDescent="0.25">
      <c r="A6903" s="536">
        <f>+A6902</f>
        <v>44545</v>
      </c>
      <c r="B6903" s="499">
        <f>+MONTH(A6903)</f>
        <v>12</v>
      </c>
      <c r="C6903" s="494">
        <v>110</v>
      </c>
      <c r="D6903" s="492" t="str">
        <f>VLOOKUP(C6903,Plan!A$1:B$65542,2,0)</f>
        <v>Disponible Administración</v>
      </c>
      <c r="E6903" s="542">
        <f>+F6903-G6903</f>
        <v>-1098</v>
      </c>
      <c r="F6903" s="543">
        <v>0</v>
      </c>
      <c r="G6903" s="544">
        <f>+F6902</f>
        <v>1098</v>
      </c>
      <c r="H6903" s="494" t="str">
        <f>+H6902</f>
        <v>Com.Bco.Chile</v>
      </c>
      <c r="I6903" s="499" t="s">
        <v>296</v>
      </c>
      <c r="K6903" s="370"/>
      <c r="N6903" s="370"/>
    </row>
    <row r="6904" spans="1:14" s="347" customFormat="1" x14ac:dyDescent="0.25">
      <c r="A6904" s="541"/>
      <c r="B6904" s="499"/>
      <c r="C6904" s="537"/>
      <c r="D6904" s="499"/>
      <c r="E6904" s="538"/>
      <c r="F6904" s="540"/>
      <c r="G6904" s="540"/>
      <c r="H6904" s="537"/>
      <c r="I6904" s="499"/>
      <c r="K6904" s="370"/>
      <c r="N6904" s="370"/>
    </row>
    <row r="6905" spans="1:14" s="347" customFormat="1" x14ac:dyDescent="0.25">
      <c r="A6905" s="536">
        <v>44545</v>
      </c>
      <c r="B6905" s="499">
        <f>+MONTH(A6905)</f>
        <v>12</v>
      </c>
      <c r="C6905" s="494">
        <v>4860</v>
      </c>
      <c r="D6905" s="492" t="str">
        <f>VLOOKUP(C6905,Plan!A$1:B$65542,2,0)</f>
        <v>Otros</v>
      </c>
      <c r="E6905" s="542">
        <f>+F6905-G6905</f>
        <v>3295</v>
      </c>
      <c r="F6905" s="543">
        <v>3295</v>
      </c>
      <c r="G6905" s="544">
        <v>0</v>
      </c>
      <c r="H6905" s="494" t="s">
        <v>1005</v>
      </c>
      <c r="I6905" s="499" t="s">
        <v>296</v>
      </c>
      <c r="K6905" s="370"/>
      <c r="N6905" s="370"/>
    </row>
    <row r="6906" spans="1:14" s="347" customFormat="1" x14ac:dyDescent="0.25">
      <c r="A6906" s="536">
        <f>+A6905</f>
        <v>44545</v>
      </c>
      <c r="B6906" s="499">
        <f>+MONTH(A6906)</f>
        <v>12</v>
      </c>
      <c r="C6906" s="494">
        <v>110</v>
      </c>
      <c r="D6906" s="492" t="str">
        <f>VLOOKUP(C6906,Plan!A$1:B$65542,2,0)</f>
        <v>Disponible Administración</v>
      </c>
      <c r="E6906" s="542">
        <f>+F6906-G6906</f>
        <v>-3295</v>
      </c>
      <c r="F6906" s="543">
        <v>0</v>
      </c>
      <c r="G6906" s="544">
        <f>+F6905</f>
        <v>3295</v>
      </c>
      <c r="H6906" s="494" t="str">
        <f>+H6905</f>
        <v>Com.Bco.Chile</v>
      </c>
      <c r="I6906" s="499" t="s">
        <v>296</v>
      </c>
      <c r="K6906" s="370"/>
      <c r="N6906" s="370"/>
    </row>
    <row r="6907" spans="1:14" s="347" customFormat="1" x14ac:dyDescent="0.25">
      <c r="A6907" s="541"/>
      <c r="B6907" s="537"/>
      <c r="C6907" s="537"/>
      <c r="D6907" s="537"/>
      <c r="E6907" s="540"/>
      <c r="F6907" s="540"/>
      <c r="G6907" s="540"/>
      <c r="H6907" s="537"/>
      <c r="I6907" s="537"/>
      <c r="K6907" s="370"/>
      <c r="N6907" s="370"/>
    </row>
    <row r="6908" spans="1:14" s="347" customFormat="1" x14ac:dyDescent="0.25">
      <c r="A6908" s="536">
        <v>44546</v>
      </c>
      <c r="B6908" s="499">
        <f>+MONTH(A6908)</f>
        <v>12</v>
      </c>
      <c r="C6908" s="494">
        <v>110</v>
      </c>
      <c r="D6908" s="492" t="str">
        <f>VLOOKUP(C6908,Plan!A$1:B$65542,2,0)</f>
        <v>Disponible Administración</v>
      </c>
      <c r="E6908" s="542">
        <f>+F6908-G6908</f>
        <v>9824</v>
      </c>
      <c r="F6908" s="543">
        <v>9824</v>
      </c>
      <c r="G6908" s="544">
        <v>0</v>
      </c>
      <c r="H6908" s="494" t="s">
        <v>2198</v>
      </c>
      <c r="I6908" s="499" t="s">
        <v>296</v>
      </c>
      <c r="K6908" s="370"/>
      <c r="N6908" s="370"/>
    </row>
    <row r="6909" spans="1:14" s="347" customFormat="1" x14ac:dyDescent="0.25">
      <c r="A6909" s="536">
        <f>+A6908</f>
        <v>44546</v>
      </c>
      <c r="B6909" s="499">
        <f>+MONTH(A6909)</f>
        <v>12</v>
      </c>
      <c r="C6909" s="494">
        <v>215</v>
      </c>
      <c r="D6909" s="492" t="str">
        <f>VLOOKUP(C6909,Plan!A$1:B$65542,2,0)</f>
        <v>Cuenta por Pagar a Cali</v>
      </c>
      <c r="E6909" s="542">
        <f>+F6909-G6909</f>
        <v>-9824</v>
      </c>
      <c r="F6909" s="543">
        <v>0</v>
      </c>
      <c r="G6909" s="544">
        <f>+F6908</f>
        <v>9824</v>
      </c>
      <c r="H6909" s="494" t="str">
        <f>+H6908</f>
        <v>Patricia Honorato Valdés ($10000) /249</v>
      </c>
      <c r="I6909" s="499" t="s">
        <v>296</v>
      </c>
      <c r="K6909" s="370"/>
      <c r="N6909" s="370"/>
    </row>
    <row r="6910" spans="1:14" s="347" customFormat="1" x14ac:dyDescent="0.25">
      <c r="A6910" s="541"/>
      <c r="B6910" s="537"/>
      <c r="C6910" s="537"/>
      <c r="D6910" s="537"/>
      <c r="E6910" s="540"/>
      <c r="F6910" s="540"/>
      <c r="G6910" s="540"/>
      <c r="H6910" s="537"/>
      <c r="I6910" s="537"/>
      <c r="K6910" s="370"/>
      <c r="N6910" s="370"/>
    </row>
    <row r="6911" spans="1:14" s="347" customFormat="1" x14ac:dyDescent="0.25">
      <c r="A6911" s="536">
        <v>44546</v>
      </c>
      <c r="B6911" s="499">
        <f>+MONTH(A6911)</f>
        <v>12</v>
      </c>
      <c r="C6911" s="494">
        <v>110</v>
      </c>
      <c r="D6911" s="492" t="str">
        <f>VLOOKUP(C6911,Plan!A$1:B$65542,2,0)</f>
        <v>Disponible Administración</v>
      </c>
      <c r="E6911" s="542">
        <f>+F6911-G6911</f>
        <v>9824</v>
      </c>
      <c r="F6911" s="543">
        <v>9824</v>
      </c>
      <c r="G6911" s="544">
        <v>0</v>
      </c>
      <c r="H6911" s="494" t="s">
        <v>2459</v>
      </c>
      <c r="I6911" s="499" t="s">
        <v>296</v>
      </c>
      <c r="K6911" s="370"/>
      <c r="N6911" s="370"/>
    </row>
    <row r="6912" spans="1:14" s="347" customFormat="1" x14ac:dyDescent="0.25">
      <c r="A6912" s="536">
        <f>+A6911</f>
        <v>44546</v>
      </c>
      <c r="B6912" s="499">
        <f>+MONTH(A6912)</f>
        <v>12</v>
      </c>
      <c r="C6912" s="494">
        <v>215</v>
      </c>
      <c r="D6912" s="492" t="str">
        <f>VLOOKUP(C6912,Plan!A$1:B$65542,2,0)</f>
        <v>Cuenta por Pagar a Cali</v>
      </c>
      <c r="E6912" s="542">
        <f>+F6912-G6912</f>
        <v>-9824</v>
      </c>
      <c r="F6912" s="543">
        <v>0</v>
      </c>
      <c r="G6912" s="544">
        <f>+F6911</f>
        <v>9824</v>
      </c>
      <c r="H6912" s="494" t="str">
        <f>+H6911</f>
        <v>Rita Vasquez Godoy ($10000) /249</v>
      </c>
      <c r="I6912" s="499" t="s">
        <v>296</v>
      </c>
      <c r="K6912" s="370"/>
      <c r="N6912" s="370"/>
    </row>
    <row r="6913" spans="1:14" s="347" customFormat="1" x14ac:dyDescent="0.25">
      <c r="A6913" s="541"/>
      <c r="B6913" s="537"/>
      <c r="C6913" s="537"/>
      <c r="D6913" s="537"/>
      <c r="E6913" s="540"/>
      <c r="F6913" s="540"/>
      <c r="G6913" s="540"/>
      <c r="H6913" s="537"/>
      <c r="I6913" s="537"/>
      <c r="K6913" s="370"/>
      <c r="N6913" s="370"/>
    </row>
    <row r="6914" spans="1:14" s="347" customFormat="1" x14ac:dyDescent="0.25">
      <c r="A6914" s="536">
        <v>44546</v>
      </c>
      <c r="B6914" s="499">
        <f>+MONTH(A6914)</f>
        <v>12</v>
      </c>
      <c r="C6914" s="494">
        <v>110</v>
      </c>
      <c r="D6914" s="492" t="str">
        <f>VLOOKUP(C6914,Plan!A$1:B$65542,2,0)</f>
        <v>Disponible Administración</v>
      </c>
      <c r="E6914" s="542">
        <f>+F6914-G6914</f>
        <v>16700</v>
      </c>
      <c r="F6914" s="543">
        <v>16700</v>
      </c>
      <c r="G6914" s="544">
        <v>0</v>
      </c>
      <c r="H6914" s="494" t="s">
        <v>2460</v>
      </c>
      <c r="I6914" s="499" t="s">
        <v>296</v>
      </c>
      <c r="K6914" s="370"/>
      <c r="N6914" s="370"/>
    </row>
    <row r="6915" spans="1:14" s="347" customFormat="1" x14ac:dyDescent="0.25">
      <c r="A6915" s="536">
        <f>+A6914</f>
        <v>44546</v>
      </c>
      <c r="B6915" s="499">
        <f>+MONTH(A6915)</f>
        <v>12</v>
      </c>
      <c r="C6915" s="494">
        <v>215</v>
      </c>
      <c r="D6915" s="492" t="str">
        <f>VLOOKUP(C6915,Plan!A$1:B$65542,2,0)</f>
        <v>Cuenta por Pagar a Cali</v>
      </c>
      <c r="E6915" s="542">
        <f>+F6915-G6915</f>
        <v>-16700</v>
      </c>
      <c r="F6915" s="543">
        <v>0</v>
      </c>
      <c r="G6915" s="544">
        <f>+F6914</f>
        <v>16700</v>
      </c>
      <c r="H6915" s="494" t="str">
        <f>+H6914</f>
        <v>Maria Carolina Reyes Detmer ($17000) /249</v>
      </c>
      <c r="I6915" s="499" t="s">
        <v>296</v>
      </c>
      <c r="K6915" s="370"/>
      <c r="N6915" s="370"/>
    </row>
    <row r="6916" spans="1:14" s="347" customFormat="1" x14ac:dyDescent="0.25">
      <c r="A6916" s="541"/>
      <c r="B6916" s="537"/>
      <c r="C6916" s="537"/>
      <c r="D6916" s="537"/>
      <c r="E6916" s="540"/>
      <c r="F6916" s="540"/>
      <c r="G6916" s="540"/>
      <c r="H6916" s="537"/>
      <c r="I6916" s="537"/>
      <c r="K6916" s="370"/>
      <c r="N6916" s="370"/>
    </row>
    <row r="6917" spans="1:14" s="347" customFormat="1" x14ac:dyDescent="0.25">
      <c r="A6917" s="536">
        <v>44546</v>
      </c>
      <c r="B6917" s="499">
        <f>+MONTH(A6917)</f>
        <v>12</v>
      </c>
      <c r="C6917" s="494">
        <v>110</v>
      </c>
      <c r="D6917" s="492" t="str">
        <f>VLOOKUP(C6917,Plan!A$1:B$65542,2,0)</f>
        <v>Disponible Administración</v>
      </c>
      <c r="E6917" s="542">
        <f>+F6917-G6917</f>
        <v>9824</v>
      </c>
      <c r="F6917" s="543">
        <v>9824</v>
      </c>
      <c r="G6917" s="544">
        <v>0</v>
      </c>
      <c r="H6917" s="494" t="s">
        <v>2461</v>
      </c>
      <c r="I6917" s="499" t="s">
        <v>296</v>
      </c>
      <c r="K6917" s="370"/>
      <c r="N6917" s="370"/>
    </row>
    <row r="6918" spans="1:14" s="347" customFormat="1" x14ac:dyDescent="0.25">
      <c r="A6918" s="536">
        <f>+A6917</f>
        <v>44546</v>
      </c>
      <c r="B6918" s="499">
        <f>+MONTH(A6918)</f>
        <v>12</v>
      </c>
      <c r="C6918" s="494">
        <v>215</v>
      </c>
      <c r="D6918" s="492" t="str">
        <f>VLOOKUP(C6918,Plan!A$1:B$65542,2,0)</f>
        <v>Cuenta por Pagar a Cali</v>
      </c>
      <c r="E6918" s="542">
        <f>+F6918-G6918</f>
        <v>-9824</v>
      </c>
      <c r="F6918" s="543">
        <v>0</v>
      </c>
      <c r="G6918" s="544">
        <f>+F6917</f>
        <v>9824</v>
      </c>
      <c r="H6918" s="494" t="str">
        <f>+H6917</f>
        <v>María Olga Rodríguez Olivos ($10000) /249</v>
      </c>
      <c r="I6918" s="499" t="s">
        <v>296</v>
      </c>
      <c r="K6918" s="370"/>
      <c r="N6918" s="370"/>
    </row>
    <row r="6919" spans="1:14" s="347" customFormat="1" x14ac:dyDescent="0.25">
      <c r="A6919" s="541"/>
      <c r="B6919" s="537"/>
      <c r="C6919" s="537"/>
      <c r="D6919" s="537"/>
      <c r="E6919" s="540"/>
      <c r="F6919" s="540"/>
      <c r="G6919" s="540"/>
      <c r="H6919" s="537"/>
      <c r="I6919" s="537"/>
      <c r="K6919" s="370"/>
      <c r="N6919" s="370"/>
    </row>
    <row r="6920" spans="1:14" s="347" customFormat="1" x14ac:dyDescent="0.25">
      <c r="A6920" s="536">
        <v>44546</v>
      </c>
      <c r="B6920" s="499">
        <f>+MONTH(A6920)</f>
        <v>12</v>
      </c>
      <c r="C6920" s="494">
        <v>110</v>
      </c>
      <c r="D6920" s="492" t="str">
        <f>VLOOKUP(C6920,Plan!A$1:B$65542,2,0)</f>
        <v>Disponible Administración</v>
      </c>
      <c r="E6920" s="542">
        <f>+F6920-G6920</f>
        <v>49119</v>
      </c>
      <c r="F6920" s="543">
        <v>49119</v>
      </c>
      <c r="G6920" s="544">
        <v>0</v>
      </c>
      <c r="H6920" s="494" t="s">
        <v>2462</v>
      </c>
      <c r="I6920" s="499" t="s">
        <v>296</v>
      </c>
      <c r="K6920" s="370"/>
      <c r="N6920" s="370"/>
    </row>
    <row r="6921" spans="1:14" s="347" customFormat="1" x14ac:dyDescent="0.25">
      <c r="A6921" s="536">
        <f>+A6920</f>
        <v>44546</v>
      </c>
      <c r="B6921" s="499">
        <f>+MONTH(A6921)</f>
        <v>12</v>
      </c>
      <c r="C6921" s="494">
        <v>215</v>
      </c>
      <c r="D6921" s="492" t="str">
        <f>VLOOKUP(C6921,Plan!A$1:B$65542,2,0)</f>
        <v>Cuenta por Pagar a Cali</v>
      </c>
      <c r="E6921" s="542">
        <f>+F6921-G6921</f>
        <v>-49119</v>
      </c>
      <c r="F6921" s="543">
        <v>0</v>
      </c>
      <c r="G6921" s="544">
        <f>+F6920</f>
        <v>49119</v>
      </c>
      <c r="H6921" s="494" t="str">
        <f>+H6920</f>
        <v>María Sofía Wulf Le May ($50.000) /249</v>
      </c>
      <c r="I6921" s="499" t="s">
        <v>296</v>
      </c>
      <c r="K6921" s="370"/>
      <c r="N6921" s="370"/>
    </row>
    <row r="6922" spans="1:14" s="347" customFormat="1" x14ac:dyDescent="0.25">
      <c r="A6922" s="541"/>
      <c r="B6922" s="537"/>
      <c r="C6922" s="537"/>
      <c r="D6922" s="537"/>
      <c r="E6922" s="540"/>
      <c r="F6922" s="540"/>
      <c r="G6922" s="540"/>
      <c r="H6922" s="537"/>
      <c r="I6922" s="537"/>
      <c r="K6922" s="370"/>
      <c r="N6922" s="370"/>
    </row>
    <row r="6923" spans="1:14" s="347" customFormat="1" x14ac:dyDescent="0.25">
      <c r="A6923" s="536">
        <v>44546</v>
      </c>
      <c r="B6923" s="499">
        <f>+MONTH(A6923)</f>
        <v>12</v>
      </c>
      <c r="C6923" s="494">
        <v>110</v>
      </c>
      <c r="D6923" s="492" t="str">
        <f>VLOOKUP(C6923,Plan!A$1:B$65542,2,0)</f>
        <v>Disponible Administración</v>
      </c>
      <c r="E6923" s="542">
        <f>+F6923-G6923</f>
        <v>75000</v>
      </c>
      <c r="F6923" s="543">
        <v>75000</v>
      </c>
      <c r="G6923" s="544">
        <v>0</v>
      </c>
      <c r="H6923" s="494" t="s">
        <v>1560</v>
      </c>
      <c r="I6923" s="499" t="s">
        <v>296</v>
      </c>
      <c r="K6923" s="370"/>
      <c r="N6923" s="370"/>
    </row>
    <row r="6924" spans="1:14" s="347" customFormat="1" x14ac:dyDescent="0.25">
      <c r="A6924" s="536">
        <f>+A6923</f>
        <v>44546</v>
      </c>
      <c r="B6924" s="499">
        <f>+MONTH(A6924)</f>
        <v>12</v>
      </c>
      <c r="C6924" s="494">
        <v>3360</v>
      </c>
      <c r="D6924" s="492" t="str">
        <f>VLOOKUP(C6924,Plan!A$1:B$65542,2,0)</f>
        <v>Otros</v>
      </c>
      <c r="E6924" s="542">
        <f>+F6924-G6924</f>
        <v>-75000</v>
      </c>
      <c r="F6924" s="543">
        <v>0</v>
      </c>
      <c r="G6924" s="544">
        <f>+F6923</f>
        <v>75000</v>
      </c>
      <c r="H6924" s="494" t="str">
        <f>+H6923</f>
        <v>Curso Maria Luisa Toso Loyola</v>
      </c>
      <c r="I6924" s="499" t="s">
        <v>296</v>
      </c>
      <c r="K6924" s="370"/>
      <c r="N6924" s="370"/>
    </row>
    <row r="6925" spans="1:14" s="347" customFormat="1" x14ac:dyDescent="0.25">
      <c r="A6925" s="541"/>
      <c r="B6925" s="537"/>
      <c r="C6925" s="537"/>
      <c r="D6925" s="537"/>
      <c r="E6925" s="540"/>
      <c r="F6925" s="540"/>
      <c r="G6925" s="540"/>
      <c r="H6925" s="537"/>
      <c r="I6925" s="537"/>
      <c r="K6925" s="370"/>
      <c r="N6925" s="370"/>
    </row>
    <row r="6926" spans="1:14" s="347" customFormat="1" x14ac:dyDescent="0.25">
      <c r="A6926" s="536">
        <v>44546</v>
      </c>
      <c r="B6926" s="499">
        <f>+MONTH(A6926)</f>
        <v>12</v>
      </c>
      <c r="C6926" s="494">
        <v>110</v>
      </c>
      <c r="D6926" s="492" t="str">
        <f>VLOOKUP(C6926,Plan!A$1:B$65542,2,0)</f>
        <v>Disponible Administración</v>
      </c>
      <c r="E6926" s="542">
        <f>+F6926-G6926</f>
        <v>32000</v>
      </c>
      <c r="F6926" s="543">
        <v>32000</v>
      </c>
      <c r="G6926" s="544">
        <v>0</v>
      </c>
      <c r="H6926" s="494" t="s">
        <v>2463</v>
      </c>
      <c r="I6926" s="499" t="s">
        <v>296</v>
      </c>
      <c r="K6926" s="370"/>
      <c r="N6926" s="370"/>
    </row>
    <row r="6927" spans="1:14" s="347" customFormat="1" x14ac:dyDescent="0.25">
      <c r="A6927" s="536">
        <f>+A6926</f>
        <v>44546</v>
      </c>
      <c r="B6927" s="499">
        <f>+MONTH(A6927)</f>
        <v>12</v>
      </c>
      <c r="C6927" s="494">
        <v>3453</v>
      </c>
      <c r="D6927" s="492" t="str">
        <f>VLOOKUP(C6927,Plan!A$1:B$65542,2,0)</f>
        <v>Cajas de navidad</v>
      </c>
      <c r="E6927" s="542">
        <f>+F6927-G6927</f>
        <v>-32000</v>
      </c>
      <c r="F6927" s="543">
        <v>0</v>
      </c>
      <c r="G6927" s="544">
        <f>+F6926</f>
        <v>32000</v>
      </c>
      <c r="H6927" s="494" t="str">
        <f>+H6926</f>
        <v xml:space="preserve">Caja Navidad Bernardita Veronica Rodriguez </v>
      </c>
      <c r="I6927" s="499" t="s">
        <v>296</v>
      </c>
      <c r="K6927" s="370"/>
      <c r="N6927" s="370"/>
    </row>
    <row r="6928" spans="1:14" s="347" customFormat="1" x14ac:dyDescent="0.25">
      <c r="A6928" s="541"/>
      <c r="B6928" s="537"/>
      <c r="C6928" s="537"/>
      <c r="D6928" s="537"/>
      <c r="E6928" s="540"/>
      <c r="F6928" s="540"/>
      <c r="G6928" s="540"/>
      <c r="H6928" s="537"/>
      <c r="I6928" s="537"/>
      <c r="K6928" s="370"/>
      <c r="N6928" s="370"/>
    </row>
    <row r="6929" spans="1:14" s="347" customFormat="1" x14ac:dyDescent="0.25">
      <c r="A6929" s="536">
        <v>44546</v>
      </c>
      <c r="B6929" s="499">
        <f>+MONTH(A6929)</f>
        <v>12</v>
      </c>
      <c r="C6929" s="494">
        <v>110</v>
      </c>
      <c r="D6929" s="492" t="str">
        <f>VLOOKUP(C6929,Plan!A$1:B$65542,2,0)</f>
        <v>Disponible Administración</v>
      </c>
      <c r="E6929" s="542">
        <f>+F6929-G6929</f>
        <v>20000</v>
      </c>
      <c r="F6929" s="543">
        <v>20000</v>
      </c>
      <c r="G6929" s="544">
        <v>0</v>
      </c>
      <c r="H6929" s="494" t="s">
        <v>2464</v>
      </c>
      <c r="I6929" s="499" t="s">
        <v>296</v>
      </c>
      <c r="K6929" s="370"/>
      <c r="N6929" s="370"/>
    </row>
    <row r="6930" spans="1:14" s="347" customFormat="1" x14ac:dyDescent="0.25">
      <c r="A6930" s="536">
        <f>+A6929</f>
        <v>44546</v>
      </c>
      <c r="B6930" s="499">
        <f>+MONTH(A6930)</f>
        <v>12</v>
      </c>
      <c r="C6930" s="494">
        <v>3350</v>
      </c>
      <c r="D6930" s="492" t="str">
        <f>VLOOKUP(C6930,Plan!A$1:B$65542,2,0)</f>
        <v>Bautizos</v>
      </c>
      <c r="E6930" s="542">
        <f>+F6930-G6930</f>
        <v>-20000</v>
      </c>
      <c r="F6930" s="543">
        <v>0</v>
      </c>
      <c r="G6930" s="544">
        <f>+F6929</f>
        <v>20000</v>
      </c>
      <c r="H6930" s="494" t="str">
        <f>+H6929</f>
        <v>Bautizo Maria Ignacia Faz</v>
      </c>
      <c r="I6930" s="499" t="s">
        <v>296</v>
      </c>
      <c r="K6930" s="370"/>
      <c r="N6930" s="370"/>
    </row>
    <row r="6931" spans="1:14" s="347" customFormat="1" x14ac:dyDescent="0.25">
      <c r="A6931" s="541"/>
      <c r="B6931" s="537"/>
      <c r="C6931" s="537"/>
      <c r="D6931" s="537"/>
      <c r="E6931" s="540"/>
      <c r="F6931" s="540"/>
      <c r="G6931" s="540"/>
      <c r="H6931" s="537"/>
      <c r="I6931" s="537"/>
      <c r="K6931" s="370"/>
      <c r="N6931" s="370"/>
    </row>
    <row r="6932" spans="1:14" s="347" customFormat="1" x14ac:dyDescent="0.25">
      <c r="A6932" s="536">
        <v>44547</v>
      </c>
      <c r="B6932" s="499">
        <f>+MONTH(A6932)</f>
        <v>12</v>
      </c>
      <c r="C6932" s="494">
        <v>4223</v>
      </c>
      <c r="D6932" s="492" t="str">
        <f>VLOOKUP(C6932,Plan!A$1:B$65542,2,0)</f>
        <v xml:space="preserve">         Comunicaciones</v>
      </c>
      <c r="E6932" s="542">
        <f>+F6932-G6932</f>
        <v>338983</v>
      </c>
      <c r="F6932" s="543">
        <f>+G6933+G6934</f>
        <v>338983</v>
      </c>
      <c r="G6932" s="544">
        <v>0</v>
      </c>
      <c r="H6932" s="494" t="s">
        <v>2465</v>
      </c>
      <c r="I6932" s="499" t="s">
        <v>296</v>
      </c>
      <c r="K6932" s="370"/>
      <c r="N6932" s="370"/>
    </row>
    <row r="6933" spans="1:14" s="347" customFormat="1" x14ac:dyDescent="0.25">
      <c r="A6933" s="536">
        <f>+A6932</f>
        <v>44547</v>
      </c>
      <c r="B6933" s="499">
        <f>+MONTH(A6933)</f>
        <v>12</v>
      </c>
      <c r="C6933" s="494">
        <v>223</v>
      </c>
      <c r="D6933" s="492" t="str">
        <f>VLOOKUP(C6933,Plan!A$1:B$65542,2,0)</f>
        <v>Ret. Hon.  e Impto. Unico Administración</v>
      </c>
      <c r="E6933" s="542">
        <f>+F6933-G6933</f>
        <v>-38983</v>
      </c>
      <c r="F6933" s="543">
        <v>0</v>
      </c>
      <c r="G6933" s="544">
        <v>38983</v>
      </c>
      <c r="H6933" s="494" t="str">
        <f>+H6932</f>
        <v>BE-34 Maria Ines Jara Lama</v>
      </c>
      <c r="I6933" s="499" t="s">
        <v>296</v>
      </c>
      <c r="K6933" s="370"/>
      <c r="N6933" s="370"/>
    </row>
    <row r="6934" spans="1:14" s="347" customFormat="1" x14ac:dyDescent="0.25">
      <c r="A6934" s="536">
        <f>+A6933</f>
        <v>44547</v>
      </c>
      <c r="B6934" s="499">
        <f>+MONTH(A6934)</f>
        <v>12</v>
      </c>
      <c r="C6934" s="494">
        <v>110</v>
      </c>
      <c r="D6934" s="492" t="str">
        <f>VLOOKUP(C6934,Plan!A$1:B$65542,2,0)</f>
        <v>Disponible Administración</v>
      </c>
      <c r="E6934" s="542">
        <f>+F6934-G6934</f>
        <v>-300000</v>
      </c>
      <c r="F6934" s="543">
        <v>0</v>
      </c>
      <c r="G6934" s="544">
        <v>300000</v>
      </c>
      <c r="H6934" s="494" t="str">
        <f>+H6933</f>
        <v>BE-34 Maria Ines Jara Lama</v>
      </c>
      <c r="I6934" s="499" t="s">
        <v>296</v>
      </c>
      <c r="K6934" s="370"/>
      <c r="N6934" s="370"/>
    </row>
    <row r="6935" spans="1:14" s="347" customFormat="1" x14ac:dyDescent="0.25">
      <c r="A6935" s="541"/>
      <c r="B6935" s="537"/>
      <c r="C6935" s="537"/>
      <c r="D6935" s="537"/>
      <c r="E6935" s="540"/>
      <c r="F6935" s="540"/>
      <c r="G6935" s="540"/>
      <c r="H6935" s="537"/>
      <c r="I6935" s="537"/>
      <c r="K6935" s="370"/>
      <c r="N6935" s="370"/>
    </row>
    <row r="6936" spans="1:14" s="347" customFormat="1" x14ac:dyDescent="0.25">
      <c r="A6936" s="536">
        <v>44547</v>
      </c>
      <c r="B6936" s="499">
        <f>+MONTH(A6936)</f>
        <v>12</v>
      </c>
      <c r="C6936" s="494">
        <v>4643</v>
      </c>
      <c r="D6936" s="492" t="str">
        <f>VLOOKUP(C6936,Plan!A$1:B$65542,2,0)</f>
        <v xml:space="preserve">             Otros</v>
      </c>
      <c r="E6936" s="542">
        <f>+F6936-G6936</f>
        <v>260000</v>
      </c>
      <c r="F6936" s="543">
        <f>+G6937+G6938</f>
        <v>260000</v>
      </c>
      <c r="G6936" s="544">
        <v>0</v>
      </c>
      <c r="H6936" s="494" t="s">
        <v>2468</v>
      </c>
      <c r="I6936" s="499" t="s">
        <v>296</v>
      </c>
      <c r="K6936" s="370"/>
      <c r="N6936" s="370"/>
    </row>
    <row r="6937" spans="1:14" s="347" customFormat="1" x14ac:dyDescent="0.25">
      <c r="A6937" s="536">
        <f>+A6936</f>
        <v>44547</v>
      </c>
      <c r="B6937" s="499">
        <f>+MONTH(A6937)</f>
        <v>12</v>
      </c>
      <c r="C6937" s="494">
        <v>223</v>
      </c>
      <c r="D6937" s="492" t="str">
        <f>VLOOKUP(C6937,Plan!A$1:B$65542,2,0)</f>
        <v>Ret. Hon.  e Impto. Unico Administración</v>
      </c>
      <c r="E6937" s="542">
        <f>+F6937-G6937</f>
        <v>-29900</v>
      </c>
      <c r="F6937" s="543">
        <v>0</v>
      </c>
      <c r="G6937" s="544">
        <v>29900</v>
      </c>
      <c r="H6937" s="494" t="str">
        <f>+H6936</f>
        <v>BTE-124 DORLLY CLARET CARDENAS LINDARTE</v>
      </c>
      <c r="I6937" s="499" t="str">
        <f>+I6936</f>
        <v>Administración</v>
      </c>
      <c r="K6937" s="370"/>
      <c r="N6937" s="370"/>
    </row>
    <row r="6938" spans="1:14" s="347" customFormat="1" x14ac:dyDescent="0.25">
      <c r="A6938" s="536">
        <f>+A6936</f>
        <v>44547</v>
      </c>
      <c r="B6938" s="499">
        <f>+MONTH(A6938)</f>
        <v>12</v>
      </c>
      <c r="C6938" s="494">
        <v>110</v>
      </c>
      <c r="D6938" s="492" t="str">
        <f>VLOOKUP(C6938,Plan!A$1:B$65542,2,0)</f>
        <v>Disponible Administración</v>
      </c>
      <c r="E6938" s="542">
        <f>+F6938-G6938</f>
        <v>-230100</v>
      </c>
      <c r="F6938" s="543">
        <v>0</v>
      </c>
      <c r="G6938" s="544">
        <v>230100</v>
      </c>
      <c r="H6938" s="494" t="str">
        <f>+H6937</f>
        <v>BTE-124 DORLLY CLARET CARDENAS LINDARTE</v>
      </c>
      <c r="I6938" s="499" t="s">
        <v>296</v>
      </c>
      <c r="K6938" s="370"/>
      <c r="N6938" s="370"/>
    </row>
    <row r="6939" spans="1:14" s="347" customFormat="1" x14ac:dyDescent="0.25">
      <c r="A6939" s="541"/>
      <c r="B6939" s="537"/>
      <c r="C6939" s="537"/>
      <c r="D6939" s="537"/>
      <c r="E6939" s="540"/>
      <c r="F6939" s="540"/>
      <c r="G6939" s="540"/>
      <c r="H6939" s="537"/>
      <c r="I6939" s="537"/>
      <c r="K6939" s="370"/>
      <c r="N6939" s="370"/>
    </row>
    <row r="6940" spans="1:14" s="347" customFormat="1" x14ac:dyDescent="0.25">
      <c r="A6940" s="536">
        <v>44547</v>
      </c>
      <c r="B6940" s="499">
        <f>+MONTH(A6940)</f>
        <v>12</v>
      </c>
      <c r="C6940" s="494">
        <v>4223</v>
      </c>
      <c r="D6940" s="492" t="str">
        <f>VLOOKUP(C6940,Plan!A$1:B$65542,2,0)</f>
        <v xml:space="preserve">         Comunicaciones</v>
      </c>
      <c r="E6940" s="538">
        <f>+F6940-G6940</f>
        <v>112994</v>
      </c>
      <c r="F6940" s="539">
        <f>+G6941+G6942</f>
        <v>112994</v>
      </c>
      <c r="G6940" s="540">
        <v>0</v>
      </c>
      <c r="H6940" s="494" t="s">
        <v>2469</v>
      </c>
      <c r="I6940" s="499" t="s">
        <v>296</v>
      </c>
      <c r="K6940" s="370"/>
      <c r="N6940" s="370"/>
    </row>
    <row r="6941" spans="1:14" s="347" customFormat="1" x14ac:dyDescent="0.25">
      <c r="A6941" s="536">
        <f>+A6940</f>
        <v>44547</v>
      </c>
      <c r="B6941" s="499">
        <f>+MONTH(A6941)</f>
        <v>12</v>
      </c>
      <c r="C6941" s="494">
        <v>223</v>
      </c>
      <c r="D6941" s="492" t="str">
        <f>VLOOKUP(C6941,Plan!A$1:B$65542,2,0)</f>
        <v>Ret. Hon.  e Impto. Unico Administración</v>
      </c>
      <c r="E6941" s="538">
        <f>+F6941-G6941</f>
        <v>-12994</v>
      </c>
      <c r="F6941" s="539">
        <v>0</v>
      </c>
      <c r="G6941" s="540">
        <v>12994</v>
      </c>
      <c r="H6941" s="494" t="str">
        <f>+H6940</f>
        <v>BE-15 RAIMUNDO RODRIGUEZ POZO</v>
      </c>
      <c r="I6941" s="499" t="s">
        <v>296</v>
      </c>
      <c r="K6941" s="370"/>
      <c r="N6941" s="370"/>
    </row>
    <row r="6942" spans="1:14" s="347" customFormat="1" x14ac:dyDescent="0.25">
      <c r="A6942" s="536">
        <f>+A6941</f>
        <v>44547</v>
      </c>
      <c r="B6942" s="499">
        <f>+MONTH(A6942)</f>
        <v>12</v>
      </c>
      <c r="C6942" s="494">
        <v>110</v>
      </c>
      <c r="D6942" s="492" t="str">
        <f>VLOOKUP(C6942,Plan!A$1:B$65542,2,0)</f>
        <v>Disponible Administración</v>
      </c>
      <c r="E6942" s="538">
        <f>+F6942-G6942</f>
        <v>-100000</v>
      </c>
      <c r="F6942" s="539">
        <v>0</v>
      </c>
      <c r="G6942" s="540">
        <v>100000</v>
      </c>
      <c r="H6942" s="494" t="str">
        <f>+H6941</f>
        <v>BE-15 RAIMUNDO RODRIGUEZ POZO</v>
      </c>
      <c r="I6942" s="499" t="s">
        <v>296</v>
      </c>
      <c r="K6942" s="370"/>
      <c r="N6942" s="370"/>
    </row>
    <row r="6943" spans="1:14" s="347" customFormat="1" x14ac:dyDescent="0.25">
      <c r="A6943" s="541"/>
      <c r="B6943" s="537"/>
      <c r="C6943" s="537"/>
      <c r="D6943" s="537"/>
      <c r="E6943" s="540"/>
      <c r="F6943" s="540"/>
      <c r="G6943" s="540"/>
      <c r="H6943" s="537"/>
      <c r="I6943" s="537"/>
      <c r="K6943" s="370"/>
      <c r="N6943" s="370"/>
    </row>
    <row r="6944" spans="1:14" s="347" customFormat="1" x14ac:dyDescent="0.25">
      <c r="A6944" s="536">
        <v>44547</v>
      </c>
      <c r="B6944" s="499">
        <f>+MONTH(A6944)</f>
        <v>12</v>
      </c>
      <c r="C6944" s="494">
        <v>4221</v>
      </c>
      <c r="D6944" s="492" t="str">
        <f>VLOOKUP(C6944,Plan!A$1:B$65542,2,0)</f>
        <v xml:space="preserve">          Contables-Administración</v>
      </c>
      <c r="E6944" s="538">
        <f>+F6944-G6944</f>
        <v>600000</v>
      </c>
      <c r="F6944" s="539">
        <v>600000</v>
      </c>
      <c r="G6944" s="540">
        <v>0</v>
      </c>
      <c r="H6944" s="494" t="s">
        <v>2470</v>
      </c>
      <c r="I6944" s="499" t="s">
        <v>296</v>
      </c>
      <c r="K6944" s="370"/>
      <c r="N6944" s="370"/>
    </row>
    <row r="6945" spans="1:14" s="347" customFormat="1" x14ac:dyDescent="0.25">
      <c r="A6945" s="536">
        <f>+A6944</f>
        <v>44547</v>
      </c>
      <c r="B6945" s="499">
        <f>+MONTH(A6945)</f>
        <v>12</v>
      </c>
      <c r="C6945" s="494">
        <v>110</v>
      </c>
      <c r="D6945" s="492" t="str">
        <f>VLOOKUP(C6945,Plan!A$1:B$65542,2,0)</f>
        <v>Disponible Administración</v>
      </c>
      <c r="E6945" s="538">
        <f>+F6945-G6945</f>
        <v>-600000</v>
      </c>
      <c r="F6945" s="539">
        <v>0</v>
      </c>
      <c r="G6945" s="540">
        <f>+F6944</f>
        <v>600000</v>
      </c>
      <c r="H6945" s="494" t="str">
        <f>+H6944</f>
        <v>F.157 del 15/12/21</v>
      </c>
      <c r="I6945" s="499" t="s">
        <v>296</v>
      </c>
      <c r="K6945" s="370"/>
      <c r="N6945" s="370"/>
    </row>
    <row r="6946" spans="1:14" s="347" customFormat="1" x14ac:dyDescent="0.25">
      <c r="A6946" s="541"/>
      <c r="B6946" s="537"/>
      <c r="C6946" s="537"/>
      <c r="D6946" s="537"/>
      <c r="E6946" s="540"/>
      <c r="F6946" s="540"/>
      <c r="G6946" s="540"/>
      <c r="H6946" s="537"/>
      <c r="I6946" s="537"/>
      <c r="K6946" s="370"/>
      <c r="N6946" s="370"/>
    </row>
    <row r="6947" spans="1:14" s="347" customFormat="1" x14ac:dyDescent="0.25">
      <c r="A6947" s="536">
        <v>44547</v>
      </c>
      <c r="B6947" s="499">
        <f>+MONTH(A6947)</f>
        <v>12</v>
      </c>
      <c r="C6947" s="494">
        <v>4430</v>
      </c>
      <c r="D6947" s="492" t="str">
        <f>VLOOKUP(C6947,Plan!A$1:B$65542,2,0)</f>
        <v>Varios</v>
      </c>
      <c r="E6947" s="538">
        <f>+F6947-G6947</f>
        <v>329990</v>
      </c>
      <c r="F6947" s="539">
        <v>329990</v>
      </c>
      <c r="G6947" s="540">
        <v>0</v>
      </c>
      <c r="H6947" s="494" t="s">
        <v>2471</v>
      </c>
      <c r="I6947" s="499" t="s">
        <v>296</v>
      </c>
      <c r="K6947" s="370"/>
      <c r="N6947" s="370"/>
    </row>
    <row r="6948" spans="1:14" s="347" customFormat="1" x14ac:dyDescent="0.25">
      <c r="A6948" s="536">
        <f>+A6947</f>
        <v>44547</v>
      </c>
      <c r="B6948" s="499">
        <f>+MONTH(A6948)</f>
        <v>12</v>
      </c>
      <c r="C6948" s="494">
        <v>110</v>
      </c>
      <c r="D6948" s="492" t="str">
        <f>VLOOKUP(C6948,Plan!A$1:B$65542,2,0)</f>
        <v>Disponible Administración</v>
      </c>
      <c r="E6948" s="538">
        <f>+F6948-G6948</f>
        <v>-329990</v>
      </c>
      <c r="F6948" s="539">
        <v>0</v>
      </c>
      <c r="G6948" s="540">
        <f>+F6947</f>
        <v>329990</v>
      </c>
      <c r="H6948" s="494" t="str">
        <f>+H6947</f>
        <v>Compra NB Lenovo S145C13/4G</v>
      </c>
      <c r="I6948" s="499" t="s">
        <v>296</v>
      </c>
      <c r="K6948" s="370"/>
      <c r="N6948" s="370"/>
    </row>
    <row r="6949" spans="1:14" s="347" customFormat="1" x14ac:dyDescent="0.25">
      <c r="A6949" s="541"/>
      <c r="B6949" s="537"/>
      <c r="C6949" s="537"/>
      <c r="D6949" s="537"/>
      <c r="E6949" s="540"/>
      <c r="F6949" s="540"/>
      <c r="G6949" s="540"/>
      <c r="H6949" s="537"/>
      <c r="I6949" s="537"/>
      <c r="K6949" s="370"/>
      <c r="N6949" s="370"/>
    </row>
    <row r="6950" spans="1:14" s="347" customFormat="1" x14ac:dyDescent="0.25">
      <c r="A6950" s="536">
        <v>44547</v>
      </c>
      <c r="B6950" s="499">
        <f>+MONTH(A6950)</f>
        <v>12</v>
      </c>
      <c r="C6950" s="494">
        <v>222</v>
      </c>
      <c r="D6950" s="492" t="str">
        <f>VLOOKUP(C6950,Plan!A$1:B$65542,2,0)</f>
        <v>Honorarios por pagar Administración</v>
      </c>
      <c r="E6950" s="538">
        <f>+F6950-G6950</f>
        <v>80000</v>
      </c>
      <c r="F6950" s="539">
        <v>80000</v>
      </c>
      <c r="G6950" s="540">
        <v>0</v>
      </c>
      <c r="H6950" s="494" t="s">
        <v>2472</v>
      </c>
      <c r="I6950" s="499" t="s">
        <v>296</v>
      </c>
      <c r="K6950" s="370"/>
      <c r="N6950" s="370"/>
    </row>
    <row r="6951" spans="1:14" s="347" customFormat="1" x14ac:dyDescent="0.25">
      <c r="A6951" s="536">
        <f>+A6950</f>
        <v>44547</v>
      </c>
      <c r="B6951" s="499">
        <f>+MONTH(A6951)</f>
        <v>12</v>
      </c>
      <c r="C6951" s="494">
        <v>110</v>
      </c>
      <c r="D6951" s="492" t="str">
        <f>VLOOKUP(C6951,Plan!A$1:B$65542,2,0)</f>
        <v>Disponible Administración</v>
      </c>
      <c r="E6951" s="538">
        <f>+F6951-G6951</f>
        <v>-80000</v>
      </c>
      <c r="F6951" s="539">
        <v>0</v>
      </c>
      <c r="G6951" s="540">
        <f>+F6950</f>
        <v>80000</v>
      </c>
      <c r="H6951" s="494" t="str">
        <f>+H6950</f>
        <v>Anticipo Miguel Angel Yañes Reparacion Ptas.Casa Pastoral</v>
      </c>
      <c r="I6951" s="499" t="s">
        <v>296</v>
      </c>
      <c r="K6951" s="370"/>
      <c r="N6951" s="370"/>
    </row>
    <row r="6952" spans="1:14" s="347" customFormat="1" x14ac:dyDescent="0.25">
      <c r="A6952" s="541"/>
      <c r="B6952" s="537"/>
      <c r="C6952" s="537"/>
      <c r="D6952" s="537"/>
      <c r="E6952" s="540"/>
      <c r="F6952" s="540"/>
      <c r="G6952" s="540"/>
      <c r="H6952" s="537"/>
      <c r="I6952" s="537"/>
      <c r="K6952" s="370"/>
      <c r="N6952" s="370"/>
    </row>
    <row r="6953" spans="1:14" s="347" customFormat="1" x14ac:dyDescent="0.25">
      <c r="A6953" s="536">
        <v>44547</v>
      </c>
      <c r="B6953" s="499">
        <f>+MONTH(A6953)</f>
        <v>12</v>
      </c>
      <c r="C6953" s="494">
        <v>110</v>
      </c>
      <c r="D6953" s="492" t="str">
        <f>VLOOKUP(C6953,Plan!A$1:B$65542,2,0)</f>
        <v>Disponible Administración</v>
      </c>
      <c r="E6953" s="538">
        <f>+F6953-G6953</f>
        <v>31436</v>
      </c>
      <c r="F6953" s="539">
        <v>31436</v>
      </c>
      <c r="G6953" s="540">
        <v>0</v>
      </c>
      <c r="H6953" s="494" t="s">
        <v>2218</v>
      </c>
      <c r="I6953" s="499" t="s">
        <v>296</v>
      </c>
      <c r="K6953" s="370"/>
      <c r="N6953" s="370"/>
    </row>
    <row r="6954" spans="1:14" s="347" customFormat="1" x14ac:dyDescent="0.25">
      <c r="A6954" s="536">
        <f>+A6953</f>
        <v>44547</v>
      </c>
      <c r="B6954" s="499">
        <f>+MONTH(A6954)</f>
        <v>12</v>
      </c>
      <c r="C6954" s="494">
        <v>3453</v>
      </c>
      <c r="D6954" s="492" t="str">
        <f>VLOOKUP(C6954,Plan!A$1:B$65542,2,0)</f>
        <v>Cajas de navidad</v>
      </c>
      <c r="E6954" s="538">
        <f>+F6954-G6954</f>
        <v>-31436</v>
      </c>
      <c r="F6954" s="539">
        <v>0</v>
      </c>
      <c r="G6954" s="540">
        <f>+F6953</f>
        <v>31436</v>
      </c>
      <c r="H6954" s="494" t="str">
        <f>+H6953</f>
        <v>Caja Navidad POS</v>
      </c>
      <c r="I6954" s="499" t="s">
        <v>296</v>
      </c>
      <c r="K6954" s="370"/>
      <c r="N6954" s="370"/>
    </row>
    <row r="6955" spans="1:14" s="347" customFormat="1" x14ac:dyDescent="0.25">
      <c r="A6955" s="541"/>
      <c r="B6955" s="537"/>
      <c r="C6955" s="537"/>
      <c r="D6955" s="537"/>
      <c r="E6955" s="540"/>
      <c r="F6955" s="540"/>
      <c r="G6955" s="540"/>
      <c r="H6955" s="537"/>
      <c r="I6955" s="537"/>
      <c r="K6955" s="370"/>
      <c r="N6955" s="370"/>
    </row>
    <row r="6956" spans="1:14" s="347" customFormat="1" x14ac:dyDescent="0.25">
      <c r="A6956" s="536">
        <v>44547</v>
      </c>
      <c r="B6956" s="499">
        <f>+MONTH(A6956)</f>
        <v>12</v>
      </c>
      <c r="C6956" s="494">
        <v>110</v>
      </c>
      <c r="D6956" s="492" t="str">
        <f>VLOOKUP(C6956,Plan!A$1:B$65542,2,0)</f>
        <v>Disponible Administración</v>
      </c>
      <c r="E6956" s="538">
        <f>+F6956-G6956</f>
        <v>30000</v>
      </c>
      <c r="F6956" s="539">
        <v>30000</v>
      </c>
      <c r="G6956" s="540">
        <v>0</v>
      </c>
      <c r="H6956" s="494" t="s">
        <v>1599</v>
      </c>
      <c r="I6956" s="499" t="s">
        <v>296</v>
      </c>
      <c r="K6956" s="370"/>
      <c r="N6956" s="370"/>
    </row>
    <row r="6957" spans="1:14" s="347" customFormat="1" x14ac:dyDescent="0.25">
      <c r="A6957" s="536">
        <f>+A6956</f>
        <v>44547</v>
      </c>
      <c r="B6957" s="499">
        <f>+MONTH(A6957)</f>
        <v>12</v>
      </c>
      <c r="C6957" s="494">
        <v>3110</v>
      </c>
      <c r="D6957" s="492" t="str">
        <f>VLOOKUP(C6957,Plan!A$1:B$65542,2,0)</f>
        <v>Colectas Normales</v>
      </c>
      <c r="E6957" s="538">
        <f>+F6957-G6957</f>
        <v>-30000</v>
      </c>
      <c r="F6957" s="539">
        <v>0</v>
      </c>
      <c r="G6957" s="540">
        <f>+F6956</f>
        <v>30000</v>
      </c>
      <c r="H6957" s="494" t="str">
        <f>+H6956</f>
        <v>Colecta Yolanda Haase Baeza</v>
      </c>
      <c r="I6957" s="499" t="s">
        <v>296</v>
      </c>
      <c r="K6957" s="370"/>
      <c r="N6957" s="370"/>
    </row>
    <row r="6958" spans="1:14" s="347" customFormat="1" x14ac:dyDescent="0.25">
      <c r="A6958" s="541"/>
      <c r="B6958" s="537"/>
      <c r="C6958" s="537"/>
      <c r="D6958" s="537"/>
      <c r="E6958" s="540"/>
      <c r="F6958" s="540"/>
      <c r="G6958" s="540"/>
      <c r="H6958" s="537"/>
      <c r="I6958" s="537"/>
      <c r="K6958" s="370"/>
      <c r="N6958" s="370"/>
    </row>
    <row r="6959" spans="1:14" s="347" customFormat="1" x14ac:dyDescent="0.25">
      <c r="A6959" s="536">
        <v>44547</v>
      </c>
      <c r="B6959" s="499">
        <f>+MONTH(A6959)</f>
        <v>12</v>
      </c>
      <c r="C6959" s="494">
        <v>110</v>
      </c>
      <c r="D6959" s="492" t="str">
        <f>VLOOKUP(C6959,Plan!A$1:B$65542,2,0)</f>
        <v>Disponible Administración</v>
      </c>
      <c r="E6959" s="538">
        <f>+F6959-G6959</f>
        <v>30000</v>
      </c>
      <c r="F6959" s="539">
        <v>30000</v>
      </c>
      <c r="G6959" s="540">
        <v>0</v>
      </c>
      <c r="H6959" s="494" t="s">
        <v>2299</v>
      </c>
      <c r="I6959" s="499" t="s">
        <v>296</v>
      </c>
      <c r="K6959" s="370"/>
      <c r="N6959" s="370"/>
    </row>
    <row r="6960" spans="1:14" s="347" customFormat="1" x14ac:dyDescent="0.25">
      <c r="A6960" s="536">
        <f>+A6959</f>
        <v>44547</v>
      </c>
      <c r="B6960" s="499">
        <f>+MONTH(A6960)</f>
        <v>12</v>
      </c>
      <c r="C6960" s="494">
        <v>3453</v>
      </c>
      <c r="D6960" s="492" t="str">
        <f>VLOOKUP(C6960,Plan!A$1:B$65542,2,0)</f>
        <v>Cajas de navidad</v>
      </c>
      <c r="E6960" s="538">
        <f>+F6960-G6960</f>
        <v>-30000</v>
      </c>
      <c r="F6960" s="539">
        <v>0</v>
      </c>
      <c r="G6960" s="540">
        <f>+F6959</f>
        <v>30000</v>
      </c>
      <c r="H6960" s="494" t="str">
        <f>+H6959</f>
        <v>Caja Navidad Yolanda Haase Baeza</v>
      </c>
      <c r="I6960" s="499" t="s">
        <v>296</v>
      </c>
      <c r="K6960" s="370"/>
      <c r="N6960" s="370"/>
    </row>
    <row r="6961" spans="1:14" s="347" customFormat="1" x14ac:dyDescent="0.25">
      <c r="A6961" s="541"/>
      <c r="B6961" s="537"/>
      <c r="C6961" s="537"/>
      <c r="D6961" s="537"/>
      <c r="E6961" s="540"/>
      <c r="F6961" s="540"/>
      <c r="G6961" s="540"/>
      <c r="H6961" s="537"/>
      <c r="I6961" s="537"/>
      <c r="K6961" s="370"/>
      <c r="N6961" s="370"/>
    </row>
    <row r="6962" spans="1:14" s="347" customFormat="1" x14ac:dyDescent="0.25">
      <c r="A6962" s="536">
        <v>44547</v>
      </c>
      <c r="B6962" s="499">
        <f>+MONTH(A6962)</f>
        <v>12</v>
      </c>
      <c r="C6962" s="494">
        <v>110</v>
      </c>
      <c r="D6962" s="492" t="str">
        <f>VLOOKUP(C6962,Plan!A$1:B$65542,2,0)</f>
        <v>Disponible Administración</v>
      </c>
      <c r="E6962" s="538">
        <f>+F6962-G6962</f>
        <v>30000</v>
      </c>
      <c r="F6962" s="539">
        <v>30000</v>
      </c>
      <c r="G6962" s="540">
        <v>0</v>
      </c>
      <c r="H6962" s="494" t="s">
        <v>675</v>
      </c>
      <c r="I6962" s="499" t="s">
        <v>296</v>
      </c>
      <c r="K6962" s="370"/>
      <c r="N6962" s="370"/>
    </row>
    <row r="6963" spans="1:14" s="347" customFormat="1" x14ac:dyDescent="0.25">
      <c r="A6963" s="536">
        <f>+A6962</f>
        <v>44547</v>
      </c>
      <c r="B6963" s="499">
        <f>+MONTH(A6963)</f>
        <v>12</v>
      </c>
      <c r="C6963" s="494">
        <v>215</v>
      </c>
      <c r="D6963" s="492" t="str">
        <f>VLOOKUP(C6963,Plan!A$1:B$65542,2,0)</f>
        <v>Cuenta por Pagar a Cali</v>
      </c>
      <c r="E6963" s="538">
        <f>+F6963-G6963</f>
        <v>-30000</v>
      </c>
      <c r="F6963" s="539">
        <v>0</v>
      </c>
      <c r="G6963" s="540">
        <f>+F6962</f>
        <v>30000</v>
      </c>
      <c r="H6963" s="494" t="str">
        <f>+H6962</f>
        <v>Yolanda Haase Baeza / 249</v>
      </c>
      <c r="I6963" s="499" t="s">
        <v>296</v>
      </c>
      <c r="K6963" s="370"/>
      <c r="N6963" s="370"/>
    </row>
    <row r="6964" spans="1:14" s="347" customFormat="1" x14ac:dyDescent="0.25">
      <c r="A6964" s="541"/>
      <c r="B6964" s="537"/>
      <c r="C6964" s="537"/>
      <c r="D6964" s="537"/>
      <c r="E6964" s="540"/>
      <c r="F6964" s="540"/>
      <c r="G6964" s="540"/>
      <c r="H6964" s="537"/>
      <c r="I6964" s="537"/>
      <c r="K6964" s="370"/>
      <c r="N6964" s="370"/>
    </row>
    <row r="6965" spans="1:14" s="347" customFormat="1" x14ac:dyDescent="0.25">
      <c r="A6965" s="536">
        <v>44547</v>
      </c>
      <c r="B6965" s="499">
        <f>+MONTH(A6965)</f>
        <v>12</v>
      </c>
      <c r="C6965" s="494">
        <v>110</v>
      </c>
      <c r="D6965" s="492" t="str">
        <f>VLOOKUP(C6965,Plan!A$1:B$65542,2,0)</f>
        <v>Disponible Administración</v>
      </c>
      <c r="E6965" s="538">
        <f>+F6965-G6965</f>
        <v>10000</v>
      </c>
      <c r="F6965" s="539">
        <v>10000</v>
      </c>
      <c r="G6965" s="540">
        <v>0</v>
      </c>
      <c r="H6965" s="494" t="s">
        <v>2473</v>
      </c>
      <c r="I6965" s="499" t="s">
        <v>296</v>
      </c>
      <c r="K6965" s="370"/>
      <c r="N6965" s="370"/>
    </row>
    <row r="6966" spans="1:14" s="347" customFormat="1" x14ac:dyDescent="0.25">
      <c r="A6966" s="536">
        <f>+A6965</f>
        <v>44547</v>
      </c>
      <c r="B6966" s="499">
        <f>+MONTH(A6966)</f>
        <v>12</v>
      </c>
      <c r="C6966" s="494">
        <v>3453</v>
      </c>
      <c r="D6966" s="492" t="str">
        <f>VLOOKUP(C6966,Plan!A$1:B$65542,2,0)</f>
        <v>Cajas de navidad</v>
      </c>
      <c r="E6966" s="538">
        <f>+F6966-G6966</f>
        <v>-10000</v>
      </c>
      <c r="F6966" s="539">
        <v>0</v>
      </c>
      <c r="G6966" s="540">
        <f>+F6965</f>
        <v>10000</v>
      </c>
      <c r="H6966" s="494" t="str">
        <f>+H6965</f>
        <v>Caja Navidad Daniela Elena Schmidt-hebbel Busch</v>
      </c>
      <c r="I6966" s="499" t="s">
        <v>296</v>
      </c>
      <c r="K6966" s="370"/>
      <c r="N6966" s="370"/>
    </row>
    <row r="6967" spans="1:14" s="347" customFormat="1" x14ac:dyDescent="0.25">
      <c r="A6967" s="541"/>
      <c r="B6967" s="537"/>
      <c r="C6967" s="537"/>
      <c r="D6967" s="537"/>
      <c r="E6967" s="540"/>
      <c r="F6967" s="540"/>
      <c r="G6967" s="540"/>
      <c r="H6967" s="537"/>
      <c r="I6967" s="537"/>
      <c r="K6967" s="370"/>
      <c r="N6967" s="370"/>
    </row>
    <row r="6968" spans="1:14" s="347" customFormat="1" x14ac:dyDescent="0.25">
      <c r="A6968" s="536">
        <v>44547</v>
      </c>
      <c r="B6968" s="499">
        <f>+MONTH(A6968)</f>
        <v>12</v>
      </c>
      <c r="C6968" s="494">
        <v>110</v>
      </c>
      <c r="D6968" s="492" t="str">
        <f>VLOOKUP(C6968,Plan!A$1:B$65542,2,0)</f>
        <v>Disponible Administración</v>
      </c>
      <c r="E6968" s="538">
        <f>+F6968-G6968</f>
        <v>20000</v>
      </c>
      <c r="F6968" s="539">
        <v>20000</v>
      </c>
      <c r="G6968" s="540">
        <v>0</v>
      </c>
      <c r="H6968" s="494" t="s">
        <v>2474</v>
      </c>
      <c r="I6968" s="499" t="s">
        <v>296</v>
      </c>
      <c r="K6968" s="370"/>
      <c r="N6968" s="370"/>
    </row>
    <row r="6969" spans="1:14" s="347" customFormat="1" x14ac:dyDescent="0.25">
      <c r="A6969" s="536">
        <f>+A6968</f>
        <v>44547</v>
      </c>
      <c r="B6969" s="499">
        <f>+MONTH(A6969)</f>
        <v>12</v>
      </c>
      <c r="C6969" s="494">
        <v>3110</v>
      </c>
      <c r="D6969" s="492" t="str">
        <f>VLOOKUP(C6969,Plan!A$1:B$65542,2,0)</f>
        <v>Colectas Normales</v>
      </c>
      <c r="E6969" s="538">
        <f>+F6969-G6969</f>
        <v>-20000</v>
      </c>
      <c r="F6969" s="539">
        <v>0</v>
      </c>
      <c r="G6969" s="540">
        <f>+F6968</f>
        <v>20000</v>
      </c>
      <c r="H6969" s="494" t="str">
        <f>+H6968</f>
        <v>Colecta Jose Manuel Poblete Vicuna</v>
      </c>
      <c r="I6969" s="499" t="s">
        <v>296</v>
      </c>
      <c r="K6969" s="370"/>
      <c r="N6969" s="370"/>
    </row>
    <row r="6970" spans="1:14" s="347" customFormat="1" x14ac:dyDescent="0.25">
      <c r="A6970" s="369"/>
      <c r="E6970" s="396"/>
      <c r="F6970" s="396"/>
      <c r="G6970" s="396"/>
      <c r="K6970" s="370"/>
      <c r="N6970" s="370"/>
    </row>
    <row r="6971" spans="1:14" s="347" customFormat="1" x14ac:dyDescent="0.25">
      <c r="A6971" s="536">
        <v>44550</v>
      </c>
      <c r="B6971" s="499">
        <f>+MONTH(A6971)</f>
        <v>12</v>
      </c>
      <c r="C6971" s="494">
        <v>110</v>
      </c>
      <c r="D6971" s="492" t="str">
        <f>VLOOKUP(C6971,Plan!A$1:B$65542,2,0)</f>
        <v>Disponible Administración</v>
      </c>
      <c r="E6971" s="538">
        <f>+F6971-G6971</f>
        <v>40000</v>
      </c>
      <c r="F6971" s="539">
        <v>40000</v>
      </c>
      <c r="G6971" s="540">
        <v>0</v>
      </c>
      <c r="H6971" s="494" t="s">
        <v>2475</v>
      </c>
      <c r="I6971" s="499" t="s">
        <v>296</v>
      </c>
      <c r="K6971" s="370"/>
      <c r="N6971" s="370"/>
    </row>
    <row r="6972" spans="1:14" s="347" customFormat="1" x14ac:dyDescent="0.25">
      <c r="A6972" s="536">
        <f>+A6971</f>
        <v>44550</v>
      </c>
      <c r="B6972" s="499">
        <f>+MONTH(A6972)</f>
        <v>12</v>
      </c>
      <c r="C6972" s="494">
        <v>3453</v>
      </c>
      <c r="D6972" s="492" t="str">
        <f>VLOOKUP(C6972,Plan!A$1:B$65542,2,0)</f>
        <v>Cajas de navidad</v>
      </c>
      <c r="E6972" s="538">
        <f>+F6972-G6972</f>
        <v>-40000</v>
      </c>
      <c r="F6972" s="539">
        <v>0</v>
      </c>
      <c r="G6972" s="540">
        <f>+F6971</f>
        <v>40000</v>
      </c>
      <c r="H6972" s="494" t="str">
        <f>+H6971</f>
        <v>Caja Navidad Blanca Josefina Browne Puga</v>
      </c>
      <c r="I6972" s="499" t="s">
        <v>296</v>
      </c>
      <c r="K6972" s="370"/>
      <c r="N6972" s="370"/>
    </row>
    <row r="6973" spans="1:14" s="347" customFormat="1" x14ac:dyDescent="0.25">
      <c r="A6973" s="541"/>
      <c r="B6973" s="537"/>
      <c r="C6973" s="537"/>
      <c r="D6973" s="537"/>
      <c r="E6973" s="540"/>
      <c r="F6973" s="540"/>
      <c r="G6973" s="540"/>
      <c r="H6973" s="537"/>
      <c r="I6973" s="537"/>
      <c r="K6973" s="370"/>
      <c r="N6973" s="370"/>
    </row>
    <row r="6974" spans="1:14" s="347" customFormat="1" x14ac:dyDescent="0.25">
      <c r="A6974" s="536">
        <v>44550</v>
      </c>
      <c r="B6974" s="499">
        <f>+MONTH(A6974)</f>
        <v>12</v>
      </c>
      <c r="C6974" s="494">
        <v>110</v>
      </c>
      <c r="D6974" s="492" t="str">
        <f>VLOOKUP(C6974,Plan!A$1:B$65542,2,0)</f>
        <v>Disponible Administración</v>
      </c>
      <c r="E6974" s="538">
        <f>+F6974-G6974</f>
        <v>150000</v>
      </c>
      <c r="F6974" s="539">
        <v>150000</v>
      </c>
      <c r="G6974" s="540">
        <v>0</v>
      </c>
      <c r="H6974" s="494" t="s">
        <v>1107</v>
      </c>
      <c r="I6974" s="499" t="s">
        <v>296</v>
      </c>
      <c r="K6974" s="370"/>
      <c r="N6974" s="370"/>
    </row>
    <row r="6975" spans="1:14" s="347" customFormat="1" x14ac:dyDescent="0.25">
      <c r="A6975" s="536">
        <f>+A6974</f>
        <v>44550</v>
      </c>
      <c r="B6975" s="499">
        <f>+MONTH(A6975)</f>
        <v>12</v>
      </c>
      <c r="C6975" s="494">
        <v>3110</v>
      </c>
      <c r="D6975" s="492" t="str">
        <f>VLOOKUP(C6975,Plan!A$1:B$65542,2,0)</f>
        <v>Colectas Normales</v>
      </c>
      <c r="E6975" s="538">
        <f>+F6975-G6975</f>
        <v>-150000</v>
      </c>
      <c r="F6975" s="539">
        <v>0</v>
      </c>
      <c r="G6975" s="540">
        <f>+F6974</f>
        <v>150000</v>
      </c>
      <c r="H6975" s="494" t="str">
        <f>+H6974</f>
        <v>Colecta Francisco Guillen</v>
      </c>
      <c r="I6975" s="499" t="s">
        <v>296</v>
      </c>
      <c r="K6975" s="370"/>
      <c r="N6975" s="370"/>
    </row>
    <row r="6976" spans="1:14" s="347" customFormat="1" x14ac:dyDescent="0.25">
      <c r="A6976" s="541"/>
      <c r="B6976" s="537"/>
      <c r="C6976" s="537"/>
      <c r="D6976" s="537"/>
      <c r="E6976" s="540"/>
      <c r="F6976" s="540"/>
      <c r="G6976" s="540"/>
      <c r="H6976" s="537"/>
      <c r="I6976" s="537"/>
      <c r="K6976" s="370"/>
      <c r="N6976" s="370"/>
    </row>
    <row r="6977" spans="1:14" s="347" customFormat="1" x14ac:dyDescent="0.25">
      <c r="A6977" s="536">
        <v>44550</v>
      </c>
      <c r="B6977" s="499">
        <f>+MONTH(A6977)</f>
        <v>12</v>
      </c>
      <c r="C6977" s="494">
        <v>110</v>
      </c>
      <c r="D6977" s="492" t="str">
        <f>VLOOKUP(C6977,Plan!A$1:B$65542,2,0)</f>
        <v>Disponible Administración</v>
      </c>
      <c r="E6977" s="538">
        <f>+F6977-G6977</f>
        <v>75000</v>
      </c>
      <c r="F6977" s="539">
        <v>75000</v>
      </c>
      <c r="G6977" s="540">
        <v>0</v>
      </c>
      <c r="H6977" s="494" t="s">
        <v>1560</v>
      </c>
      <c r="I6977" s="499" t="s">
        <v>296</v>
      </c>
      <c r="K6977" s="370"/>
      <c r="N6977" s="370"/>
    </row>
    <row r="6978" spans="1:14" s="347" customFormat="1" x14ac:dyDescent="0.25">
      <c r="A6978" s="536">
        <f>+A6977</f>
        <v>44550</v>
      </c>
      <c r="B6978" s="499">
        <f>+MONTH(A6978)</f>
        <v>12</v>
      </c>
      <c r="C6978" s="494">
        <v>3360</v>
      </c>
      <c r="D6978" s="492" t="str">
        <f>VLOOKUP(C6978,Plan!A$1:B$65542,2,0)</f>
        <v>Otros</v>
      </c>
      <c r="E6978" s="538">
        <f>+F6978-G6978</f>
        <v>-75000</v>
      </c>
      <c r="F6978" s="539">
        <v>0</v>
      </c>
      <c r="G6978" s="540">
        <f>+F6977</f>
        <v>75000</v>
      </c>
      <c r="H6978" s="494" t="str">
        <f>+H6977</f>
        <v>Curso Maria Luisa Toso Loyola</v>
      </c>
      <c r="I6978" s="499" t="s">
        <v>296</v>
      </c>
      <c r="K6978" s="370"/>
      <c r="N6978" s="370"/>
    </row>
    <row r="6979" spans="1:14" s="347" customFormat="1" x14ac:dyDescent="0.25">
      <c r="A6979" s="541"/>
      <c r="B6979" s="537"/>
      <c r="C6979" s="537"/>
      <c r="D6979" s="537"/>
      <c r="E6979" s="540"/>
      <c r="F6979" s="540"/>
      <c r="G6979" s="540"/>
      <c r="H6979" s="537"/>
      <c r="I6979" s="537"/>
      <c r="K6979" s="370"/>
      <c r="N6979" s="370"/>
    </row>
    <row r="6980" spans="1:14" s="347" customFormat="1" x14ac:dyDescent="0.25">
      <c r="A6980" s="536">
        <v>44550</v>
      </c>
      <c r="B6980" s="499">
        <f>+MONTH(A6980)</f>
        <v>12</v>
      </c>
      <c r="C6980" s="494">
        <v>110</v>
      </c>
      <c r="D6980" s="492" t="str">
        <f>VLOOKUP(C6980,Plan!A$1:B$65542,2,0)</f>
        <v>Disponible Administración</v>
      </c>
      <c r="E6980" s="538">
        <f>+F6980-G6980</f>
        <v>32000</v>
      </c>
      <c r="F6980" s="539">
        <v>32000</v>
      </c>
      <c r="G6980" s="540">
        <v>0</v>
      </c>
      <c r="H6980" s="494" t="s">
        <v>2476</v>
      </c>
      <c r="I6980" s="499" t="s">
        <v>296</v>
      </c>
      <c r="K6980" s="370"/>
      <c r="N6980" s="370"/>
    </row>
    <row r="6981" spans="1:14" s="347" customFormat="1" x14ac:dyDescent="0.25">
      <c r="A6981" s="536">
        <f>+A6980</f>
        <v>44550</v>
      </c>
      <c r="B6981" s="499">
        <f>+MONTH(A6981)</f>
        <v>12</v>
      </c>
      <c r="C6981" s="494">
        <v>3453</v>
      </c>
      <c r="D6981" s="492" t="str">
        <f>VLOOKUP(C6981,Plan!A$1:B$65542,2,0)</f>
        <v>Cajas de navidad</v>
      </c>
      <c r="E6981" s="538">
        <f>+F6981-G6981</f>
        <v>-32000</v>
      </c>
      <c r="F6981" s="539">
        <v>0</v>
      </c>
      <c r="G6981" s="540">
        <f>+F6980</f>
        <v>32000</v>
      </c>
      <c r="H6981" s="494" t="str">
        <f>+H6980</f>
        <v>Caja Navidad Maria Teresa Lily Santelices Puelma</v>
      </c>
      <c r="I6981" s="499" t="s">
        <v>296</v>
      </c>
      <c r="K6981" s="370"/>
      <c r="N6981" s="370"/>
    </row>
    <row r="6982" spans="1:14" s="347" customFormat="1" x14ac:dyDescent="0.25">
      <c r="A6982" s="541"/>
      <c r="B6982" s="537"/>
      <c r="C6982" s="537"/>
      <c r="D6982" s="537"/>
      <c r="E6982" s="540"/>
      <c r="F6982" s="540"/>
      <c r="G6982" s="540"/>
      <c r="H6982" s="537"/>
      <c r="I6982" s="537"/>
      <c r="K6982" s="370"/>
      <c r="N6982" s="370"/>
    </row>
    <row r="6983" spans="1:14" s="347" customFormat="1" x14ac:dyDescent="0.25">
      <c r="A6983" s="536">
        <v>44550</v>
      </c>
      <c r="B6983" s="499">
        <f>+MONTH(A6983)</f>
        <v>12</v>
      </c>
      <c r="C6983" s="494">
        <v>110</v>
      </c>
      <c r="D6983" s="492" t="str">
        <f>VLOOKUP(C6983,Plan!A$1:B$65542,2,0)</f>
        <v>Disponible Administración</v>
      </c>
      <c r="E6983" s="538">
        <f>+F6983-G6983</f>
        <v>32000</v>
      </c>
      <c r="F6983" s="539">
        <v>32000</v>
      </c>
      <c r="G6983" s="540">
        <v>0</v>
      </c>
      <c r="H6983" s="494" t="s">
        <v>2477</v>
      </c>
      <c r="I6983" s="499" t="s">
        <v>296</v>
      </c>
      <c r="K6983" s="370"/>
      <c r="N6983" s="370"/>
    </row>
    <row r="6984" spans="1:14" s="347" customFormat="1" x14ac:dyDescent="0.25">
      <c r="A6984" s="536">
        <f>+A6983</f>
        <v>44550</v>
      </c>
      <c r="B6984" s="499">
        <f>+MONTH(A6984)</f>
        <v>12</v>
      </c>
      <c r="C6984" s="494">
        <v>3453</v>
      </c>
      <c r="D6984" s="492" t="str">
        <f>VLOOKUP(C6984,Plan!A$1:B$65542,2,0)</f>
        <v>Cajas de navidad</v>
      </c>
      <c r="E6984" s="538">
        <f>+F6984-G6984</f>
        <v>-32000</v>
      </c>
      <c r="F6984" s="539">
        <v>0</v>
      </c>
      <c r="G6984" s="540">
        <f>+F6983</f>
        <v>32000</v>
      </c>
      <c r="H6984" s="494" t="str">
        <f>+H6983</f>
        <v>Caja Navidad Carmen Gloria Gomez Perez</v>
      </c>
      <c r="I6984" s="499" t="s">
        <v>296</v>
      </c>
      <c r="K6984" s="370"/>
      <c r="N6984" s="370"/>
    </row>
    <row r="6985" spans="1:14" s="347" customFormat="1" x14ac:dyDescent="0.25">
      <c r="A6985" s="541"/>
      <c r="B6985" s="537"/>
      <c r="C6985" s="537"/>
      <c r="D6985" s="537"/>
      <c r="E6985" s="540"/>
      <c r="F6985" s="540"/>
      <c r="G6985" s="540"/>
      <c r="H6985" s="537"/>
      <c r="I6985" s="537"/>
      <c r="K6985" s="370"/>
      <c r="N6985" s="370"/>
    </row>
    <row r="6986" spans="1:14" s="347" customFormat="1" x14ac:dyDescent="0.25">
      <c r="A6986" s="536">
        <v>44550</v>
      </c>
      <c r="B6986" s="499">
        <f>+MONTH(A6986)</f>
        <v>12</v>
      </c>
      <c r="C6986" s="494">
        <v>110</v>
      </c>
      <c r="D6986" s="492" t="str">
        <f>VLOOKUP(C6986,Plan!A$1:B$65542,2,0)</f>
        <v>Disponible Administración</v>
      </c>
      <c r="E6986" s="538">
        <f>+F6986-G6986</f>
        <v>10000</v>
      </c>
      <c r="F6986" s="539">
        <v>10000</v>
      </c>
      <c r="G6986" s="540">
        <v>0</v>
      </c>
      <c r="H6986" s="494" t="s">
        <v>881</v>
      </c>
      <c r="I6986" s="499" t="s">
        <v>296</v>
      </c>
      <c r="K6986" s="370"/>
      <c r="N6986" s="370"/>
    </row>
    <row r="6987" spans="1:14" s="347" customFormat="1" x14ac:dyDescent="0.25">
      <c r="A6987" s="536">
        <f>+A6986</f>
        <v>44550</v>
      </c>
      <c r="B6987" s="499">
        <f>+MONTH(A6987)</f>
        <v>12</v>
      </c>
      <c r="C6987" s="494">
        <v>3110</v>
      </c>
      <c r="D6987" s="492" t="str">
        <f>VLOOKUP(C6987,Plan!A$1:B$65542,2,0)</f>
        <v>Colectas Normales</v>
      </c>
      <c r="E6987" s="538">
        <f>+F6987-G6987</f>
        <v>-10000</v>
      </c>
      <c r="F6987" s="539">
        <v>0</v>
      </c>
      <c r="G6987" s="540">
        <f>+F6986</f>
        <v>10000</v>
      </c>
      <c r="H6987" s="494" t="str">
        <f>+H6986</f>
        <v>Colecta Rafael Marin Jordan</v>
      </c>
      <c r="I6987" s="499" t="s">
        <v>296</v>
      </c>
      <c r="K6987" s="370"/>
      <c r="N6987" s="370"/>
    </row>
    <row r="6988" spans="1:14" s="347" customFormat="1" x14ac:dyDescent="0.25">
      <c r="A6988" s="541"/>
      <c r="B6988" s="537"/>
      <c r="C6988" s="537"/>
      <c r="D6988" s="537"/>
      <c r="E6988" s="540"/>
      <c r="F6988" s="540"/>
      <c r="G6988" s="540"/>
      <c r="H6988" s="537"/>
      <c r="I6988" s="537"/>
      <c r="K6988" s="370"/>
      <c r="N6988" s="370"/>
    </row>
    <row r="6989" spans="1:14" s="347" customFormat="1" x14ac:dyDescent="0.25">
      <c r="A6989" s="536">
        <v>44550</v>
      </c>
      <c r="B6989" s="499">
        <f>+MONTH(A6989)</f>
        <v>12</v>
      </c>
      <c r="C6989" s="494">
        <v>110</v>
      </c>
      <c r="D6989" s="492" t="str">
        <f>VLOOKUP(C6989,Plan!A$1:B$65542,2,0)</f>
        <v>Disponible Administración</v>
      </c>
      <c r="E6989" s="538">
        <f>+F6989-G6989</f>
        <v>10000</v>
      </c>
      <c r="F6989" s="539">
        <v>10000</v>
      </c>
      <c r="G6989" s="540">
        <v>0</v>
      </c>
      <c r="H6989" s="494" t="s">
        <v>2478</v>
      </c>
      <c r="I6989" s="499" t="s">
        <v>296</v>
      </c>
      <c r="K6989" s="370"/>
      <c r="N6989" s="370"/>
    </row>
    <row r="6990" spans="1:14" s="347" customFormat="1" x14ac:dyDescent="0.25">
      <c r="A6990" s="536">
        <f>+A6989</f>
        <v>44550</v>
      </c>
      <c r="B6990" s="499">
        <f>+MONTH(A6990)</f>
        <v>12</v>
      </c>
      <c r="C6990" s="494">
        <v>3320</v>
      </c>
      <c r="D6990" s="492" t="str">
        <f>VLOOKUP(C6990,Plan!A$1:B$65542,2,0)</f>
        <v>Matrimonios</v>
      </c>
      <c r="E6990" s="538">
        <f>+F6990-G6990</f>
        <v>-10000</v>
      </c>
      <c r="F6990" s="539">
        <v>0</v>
      </c>
      <c r="G6990" s="540">
        <f>+F6989</f>
        <v>10000</v>
      </c>
      <c r="H6990" s="494" t="str">
        <f>+H6989</f>
        <v>Matrimonio Francisco Javier Albornoz Cruz</v>
      </c>
      <c r="I6990" s="499" t="s">
        <v>296</v>
      </c>
      <c r="K6990" s="370"/>
      <c r="N6990" s="370"/>
    </row>
    <row r="6991" spans="1:14" s="347" customFormat="1" x14ac:dyDescent="0.25">
      <c r="A6991" s="541"/>
      <c r="B6991" s="537"/>
      <c r="C6991" s="537"/>
      <c r="D6991" s="537"/>
      <c r="E6991" s="540"/>
      <c r="F6991" s="540"/>
      <c r="G6991" s="540"/>
      <c r="H6991" s="537"/>
      <c r="I6991" s="537"/>
      <c r="K6991" s="370"/>
      <c r="N6991" s="370"/>
    </row>
    <row r="6992" spans="1:14" s="347" customFormat="1" x14ac:dyDescent="0.25">
      <c r="A6992" s="536">
        <v>44550</v>
      </c>
      <c r="B6992" s="499">
        <f>+MONTH(A6992)</f>
        <v>12</v>
      </c>
      <c r="C6992" s="494">
        <v>110</v>
      </c>
      <c r="D6992" s="492" t="str">
        <f>VLOOKUP(C6992,Plan!A$1:B$65542,2,0)</f>
        <v>Disponible Administración</v>
      </c>
      <c r="E6992" s="538">
        <f>+F6992-G6992</f>
        <v>2000</v>
      </c>
      <c r="F6992" s="539">
        <v>2000</v>
      </c>
      <c r="G6992" s="540">
        <v>0</v>
      </c>
      <c r="H6992" s="494" t="s">
        <v>1216</v>
      </c>
      <c r="I6992" s="499" t="s">
        <v>296</v>
      </c>
      <c r="K6992" s="370"/>
      <c r="N6992" s="370"/>
    </row>
    <row r="6993" spans="1:14" s="347" customFormat="1" x14ac:dyDescent="0.25">
      <c r="A6993" s="536">
        <f>+A6992</f>
        <v>44550</v>
      </c>
      <c r="B6993" s="499">
        <f>+MONTH(A6993)</f>
        <v>12</v>
      </c>
      <c r="C6993" s="494">
        <v>3110</v>
      </c>
      <c r="D6993" s="492" t="str">
        <f>VLOOKUP(C6993,Plan!A$1:B$65542,2,0)</f>
        <v>Colectas Normales</v>
      </c>
      <c r="E6993" s="538">
        <f>+F6993-G6993</f>
        <v>-2000</v>
      </c>
      <c r="F6993" s="539">
        <v>0</v>
      </c>
      <c r="G6993" s="540">
        <f>+F6992</f>
        <v>2000</v>
      </c>
      <c r="H6993" s="494" t="str">
        <f>+H6992</f>
        <v>Colecta Trinidad Barriga Cruzat</v>
      </c>
      <c r="I6993" s="499" t="s">
        <v>296</v>
      </c>
      <c r="K6993" s="370"/>
      <c r="N6993" s="370"/>
    </row>
    <row r="6994" spans="1:14" s="347" customFormat="1" x14ac:dyDescent="0.25">
      <c r="A6994" s="541"/>
      <c r="B6994" s="537"/>
      <c r="C6994" s="537"/>
      <c r="D6994" s="537"/>
      <c r="E6994" s="540"/>
      <c r="F6994" s="540"/>
      <c r="G6994" s="540"/>
      <c r="H6994" s="537"/>
      <c r="I6994" s="537"/>
      <c r="K6994" s="370"/>
      <c r="N6994" s="370"/>
    </row>
    <row r="6995" spans="1:14" s="347" customFormat="1" x14ac:dyDescent="0.25">
      <c r="A6995" s="536">
        <v>44550</v>
      </c>
      <c r="B6995" s="499">
        <f>+MONTH(A6995)</f>
        <v>12</v>
      </c>
      <c r="C6995" s="494">
        <v>110</v>
      </c>
      <c r="D6995" s="492" t="str">
        <f>VLOOKUP(C6995,Plan!A$1:B$65542,2,0)</f>
        <v>Disponible Administración</v>
      </c>
      <c r="E6995" s="538">
        <f>+F6995-G6995</f>
        <v>34176</v>
      </c>
      <c r="F6995" s="539">
        <v>34176</v>
      </c>
      <c r="G6995" s="540">
        <v>0</v>
      </c>
      <c r="H6995" s="494" t="s">
        <v>897</v>
      </c>
      <c r="I6995" s="499" t="s">
        <v>296</v>
      </c>
      <c r="K6995" s="370"/>
      <c r="N6995" s="370"/>
    </row>
    <row r="6996" spans="1:14" s="347" customFormat="1" x14ac:dyDescent="0.25">
      <c r="A6996" s="536">
        <f>+A6995</f>
        <v>44550</v>
      </c>
      <c r="B6996" s="499">
        <f>+MONTH(A6996)</f>
        <v>12</v>
      </c>
      <c r="C6996" s="494">
        <v>3110</v>
      </c>
      <c r="D6996" s="492" t="str">
        <f>VLOOKUP(C6996,Plan!A$1:B$65542,2,0)</f>
        <v>Colectas Normales</v>
      </c>
      <c r="E6996" s="538">
        <f>+F6996-G6996</f>
        <v>-34176</v>
      </c>
      <c r="F6996" s="539">
        <v>0</v>
      </c>
      <c r="G6996" s="540">
        <f>+F6995</f>
        <v>34176</v>
      </c>
      <c r="H6996" s="494" t="str">
        <f>+H6995</f>
        <v>Colecta DCT</v>
      </c>
      <c r="I6996" s="499" t="s">
        <v>296</v>
      </c>
      <c r="K6996" s="370"/>
      <c r="N6996" s="370"/>
    </row>
    <row r="6997" spans="1:14" s="347" customFormat="1" x14ac:dyDescent="0.25">
      <c r="A6997" s="541"/>
      <c r="B6997" s="537"/>
      <c r="C6997" s="537"/>
      <c r="D6997" s="537"/>
      <c r="E6997" s="540"/>
      <c r="F6997" s="540"/>
      <c r="G6997" s="540"/>
      <c r="H6997" s="537"/>
      <c r="I6997" s="537"/>
      <c r="K6997" s="370"/>
      <c r="N6997" s="370"/>
    </row>
    <row r="6998" spans="1:14" s="347" customFormat="1" x14ac:dyDescent="0.25">
      <c r="A6998" s="536">
        <v>44551</v>
      </c>
      <c r="B6998" s="499">
        <f>+MONTH(A6998)</f>
        <v>12</v>
      </c>
      <c r="C6998" s="494">
        <v>110</v>
      </c>
      <c r="D6998" s="492" t="str">
        <f>VLOOKUP(C6998,Plan!A$1:B$65542,2,0)</f>
        <v>Disponible Administración</v>
      </c>
      <c r="E6998" s="538">
        <f>+F6998-G6998</f>
        <v>30000</v>
      </c>
      <c r="F6998" s="539">
        <v>30000</v>
      </c>
      <c r="G6998" s="540">
        <v>0</v>
      </c>
      <c r="H6998" s="494" t="s">
        <v>2479</v>
      </c>
      <c r="I6998" s="499" t="s">
        <v>296</v>
      </c>
      <c r="K6998" s="370"/>
      <c r="N6998" s="370"/>
    </row>
    <row r="6999" spans="1:14" s="347" customFormat="1" x14ac:dyDescent="0.25">
      <c r="A6999" s="536">
        <f>+A6998</f>
        <v>44551</v>
      </c>
      <c r="B6999" s="499">
        <f>+MONTH(A6999)</f>
        <v>12</v>
      </c>
      <c r="C6999" s="494">
        <v>3360</v>
      </c>
      <c r="D6999" s="492" t="str">
        <f>VLOOKUP(C6999,Plan!A$1:B$65542,2,0)</f>
        <v>Otros</v>
      </c>
      <c r="E6999" s="538">
        <f>+F6999-G6999</f>
        <v>-30000</v>
      </c>
      <c r="F6999" s="539">
        <v>0</v>
      </c>
      <c r="G6999" s="540">
        <f>+F6998</f>
        <v>30000</v>
      </c>
      <c r="H6999" s="494" t="str">
        <f>+H6998</f>
        <v>Curso Carmen Gloria Rios Rivas</v>
      </c>
      <c r="I6999" s="499" t="s">
        <v>296</v>
      </c>
      <c r="K6999" s="370"/>
      <c r="N6999" s="370"/>
    </row>
    <row r="7000" spans="1:14" s="347" customFormat="1" x14ac:dyDescent="0.25">
      <c r="A7000" s="541"/>
      <c r="B7000" s="537"/>
      <c r="C7000" s="537"/>
      <c r="D7000" s="537"/>
      <c r="E7000" s="540"/>
      <c r="F7000" s="540"/>
      <c r="G7000" s="540"/>
      <c r="H7000" s="537"/>
      <c r="I7000" s="537"/>
      <c r="K7000" s="370"/>
      <c r="N7000" s="370"/>
    </row>
    <row r="7001" spans="1:14" s="347" customFormat="1" x14ac:dyDescent="0.25">
      <c r="A7001" s="536">
        <v>44551</v>
      </c>
      <c r="B7001" s="499">
        <f>+MONTH(A7001)</f>
        <v>12</v>
      </c>
      <c r="C7001" s="494">
        <v>110</v>
      </c>
      <c r="D7001" s="492" t="str">
        <f>VLOOKUP(C7001,Plan!A$1:B$65542,2,0)</f>
        <v>Disponible Administración</v>
      </c>
      <c r="E7001" s="538">
        <f>+F7001-G7001</f>
        <v>60000</v>
      </c>
      <c r="F7001" s="539">
        <v>60000</v>
      </c>
      <c r="G7001" s="540">
        <v>0</v>
      </c>
      <c r="H7001" s="494" t="s">
        <v>2480</v>
      </c>
      <c r="I7001" s="499" t="s">
        <v>296</v>
      </c>
      <c r="K7001" s="370"/>
      <c r="N7001" s="370"/>
    </row>
    <row r="7002" spans="1:14" s="347" customFormat="1" x14ac:dyDescent="0.25">
      <c r="A7002" s="536">
        <f>+A7001</f>
        <v>44551</v>
      </c>
      <c r="B7002" s="499">
        <f>+MONTH(A7002)</f>
        <v>12</v>
      </c>
      <c r="C7002" s="494">
        <v>3453</v>
      </c>
      <c r="D7002" s="492" t="str">
        <f>VLOOKUP(C7002,Plan!A$1:B$65542,2,0)</f>
        <v>Cajas de navidad</v>
      </c>
      <c r="E7002" s="538">
        <f>+F7002-G7002</f>
        <v>-60000</v>
      </c>
      <c r="F7002" s="539">
        <v>0</v>
      </c>
      <c r="G7002" s="540">
        <f>+F7001</f>
        <v>60000</v>
      </c>
      <c r="H7002" s="494" t="str">
        <f>+H7001</f>
        <v xml:space="preserve">Caja Navidad Juan Carlos Cornejo (Dep .error CNH) </v>
      </c>
      <c r="I7002" s="499" t="s">
        <v>296</v>
      </c>
      <c r="K7002" s="370"/>
      <c r="N7002" s="370"/>
    </row>
    <row r="7003" spans="1:14" s="347" customFormat="1" x14ac:dyDescent="0.25">
      <c r="A7003" s="541"/>
      <c r="B7003" s="537"/>
      <c r="C7003" s="537"/>
      <c r="D7003" s="537"/>
      <c r="E7003" s="540"/>
      <c r="F7003" s="540"/>
      <c r="G7003" s="540"/>
      <c r="H7003" s="537"/>
      <c r="I7003" s="537"/>
      <c r="K7003" s="370"/>
      <c r="N7003" s="370"/>
    </row>
    <row r="7004" spans="1:14" s="347" customFormat="1" x14ac:dyDescent="0.25">
      <c r="A7004" s="536">
        <v>44551</v>
      </c>
      <c r="B7004" s="499">
        <f>+MONTH(A7004)</f>
        <v>12</v>
      </c>
      <c r="C7004" s="494">
        <v>110</v>
      </c>
      <c r="D7004" s="492" t="str">
        <f>VLOOKUP(C7004,Plan!A$1:B$65542,2,0)</f>
        <v>Disponible Administración</v>
      </c>
      <c r="E7004" s="538">
        <f>+F7004-G7004</f>
        <v>32000</v>
      </c>
      <c r="F7004" s="539">
        <v>32000</v>
      </c>
      <c r="G7004" s="540">
        <v>0</v>
      </c>
      <c r="H7004" s="494" t="s">
        <v>2481</v>
      </c>
      <c r="I7004" s="499" t="s">
        <v>296</v>
      </c>
      <c r="K7004" s="370"/>
      <c r="N7004" s="370"/>
    </row>
    <row r="7005" spans="1:14" s="347" customFormat="1" x14ac:dyDescent="0.25">
      <c r="A7005" s="536">
        <f>+A7004</f>
        <v>44551</v>
      </c>
      <c r="B7005" s="499">
        <f>+MONTH(A7005)</f>
        <v>12</v>
      </c>
      <c r="C7005" s="494">
        <v>3453</v>
      </c>
      <c r="D7005" s="492" t="str">
        <f>VLOOKUP(C7005,Plan!A$1:B$65542,2,0)</f>
        <v>Cajas de navidad</v>
      </c>
      <c r="E7005" s="538">
        <f>+F7005-G7005</f>
        <v>-32000</v>
      </c>
      <c r="F7005" s="539">
        <v>0</v>
      </c>
      <c r="G7005" s="540">
        <f>+F7004</f>
        <v>32000</v>
      </c>
      <c r="H7005" s="494" t="str">
        <f>+H7004</f>
        <v>Caja Navidad Andrea Paulina Leon Gonzalez</v>
      </c>
      <c r="I7005" s="499" t="s">
        <v>296</v>
      </c>
      <c r="K7005" s="370"/>
      <c r="N7005" s="370"/>
    </row>
    <row r="7006" spans="1:14" s="347" customFormat="1" x14ac:dyDescent="0.25">
      <c r="A7006" s="541"/>
      <c r="B7006" s="537"/>
      <c r="C7006" s="537"/>
      <c r="D7006" s="537"/>
      <c r="E7006" s="540"/>
      <c r="F7006" s="540"/>
      <c r="G7006" s="540"/>
      <c r="H7006" s="537"/>
      <c r="I7006" s="537"/>
      <c r="K7006" s="370"/>
      <c r="N7006" s="370"/>
    </row>
    <row r="7007" spans="1:14" s="347" customFormat="1" x14ac:dyDescent="0.25">
      <c r="A7007" s="536">
        <v>44551</v>
      </c>
      <c r="B7007" s="499">
        <f>+MONTH(A7007)</f>
        <v>12</v>
      </c>
      <c r="C7007" s="494">
        <v>110</v>
      </c>
      <c r="D7007" s="492" t="str">
        <f>VLOOKUP(C7007,Plan!A$1:B$65542,2,0)</f>
        <v>Disponible Administración</v>
      </c>
      <c r="E7007" s="538">
        <f>+F7007-G7007</f>
        <v>15000</v>
      </c>
      <c r="F7007" s="539">
        <v>15000</v>
      </c>
      <c r="G7007" s="540">
        <v>0</v>
      </c>
      <c r="H7007" s="494" t="s">
        <v>2482</v>
      </c>
      <c r="I7007" s="499" t="s">
        <v>296</v>
      </c>
      <c r="K7007" s="370"/>
      <c r="N7007" s="370"/>
    </row>
    <row r="7008" spans="1:14" s="347" customFormat="1" x14ac:dyDescent="0.25">
      <c r="A7008" s="536">
        <f>+A7007</f>
        <v>44551</v>
      </c>
      <c r="B7008" s="499">
        <f>+MONTH(A7008)</f>
        <v>12</v>
      </c>
      <c r="C7008" s="494">
        <v>3110</v>
      </c>
      <c r="D7008" s="492" t="str">
        <f>VLOOKUP(C7008,Plan!A$1:B$65542,2,0)</f>
        <v>Colectas Normales</v>
      </c>
      <c r="E7008" s="538">
        <f>+F7008-G7008</f>
        <v>-15000</v>
      </c>
      <c r="F7008" s="539">
        <v>0</v>
      </c>
      <c r="G7008" s="540">
        <f>+F7007</f>
        <v>15000</v>
      </c>
      <c r="H7008" s="494" t="str">
        <f>+H7007</f>
        <v>Colecta Carolina Guridi Gubbins</v>
      </c>
      <c r="I7008" s="499" t="s">
        <v>296</v>
      </c>
      <c r="K7008" s="370"/>
      <c r="N7008" s="370"/>
    </row>
    <row r="7009" spans="1:14" s="347" customFormat="1" x14ac:dyDescent="0.25">
      <c r="A7009" s="541"/>
      <c r="B7009" s="537"/>
      <c r="C7009" s="537"/>
      <c r="D7009" s="537"/>
      <c r="E7009" s="540"/>
      <c r="F7009" s="540"/>
      <c r="G7009" s="540"/>
      <c r="H7009" s="537"/>
      <c r="I7009" s="537"/>
      <c r="K7009" s="370"/>
      <c r="N7009" s="370"/>
    </row>
    <row r="7010" spans="1:14" s="347" customFormat="1" x14ac:dyDescent="0.25">
      <c r="A7010" s="536">
        <v>44551</v>
      </c>
      <c r="B7010" s="499">
        <f>+MONTH(A7010)</f>
        <v>12</v>
      </c>
      <c r="C7010" s="494">
        <v>110</v>
      </c>
      <c r="D7010" s="492" t="str">
        <f>VLOOKUP(C7010,Plan!A$1:B$65542,2,0)</f>
        <v>Disponible Administración</v>
      </c>
      <c r="E7010" s="538">
        <f>+F7010-G7010</f>
        <v>169812</v>
      </c>
      <c r="F7010" s="539">
        <v>169812</v>
      </c>
      <c r="G7010" s="540">
        <v>0</v>
      </c>
      <c r="H7010" s="494" t="s">
        <v>2271</v>
      </c>
      <c r="I7010" s="499" t="s">
        <v>296</v>
      </c>
      <c r="K7010" s="370"/>
      <c r="N7010" s="370"/>
    </row>
    <row r="7011" spans="1:14" s="347" customFormat="1" x14ac:dyDescent="0.25">
      <c r="A7011" s="536">
        <f>+A7010</f>
        <v>44551</v>
      </c>
      <c r="B7011" s="499">
        <f>+MONTH(A7011)</f>
        <v>12</v>
      </c>
      <c r="C7011" s="494">
        <v>3453</v>
      </c>
      <c r="D7011" s="492" t="str">
        <f>VLOOKUP(C7011,Plan!A$1:B$65542,2,0)</f>
        <v>Cajas de navidad</v>
      </c>
      <c r="E7011" s="538">
        <f>+F7011-G7011</f>
        <v>-169812</v>
      </c>
      <c r="F7011" s="539">
        <v>0</v>
      </c>
      <c r="G7011" s="540">
        <f>+F7010</f>
        <v>169812</v>
      </c>
      <c r="H7011" s="494" t="str">
        <f>+H7010</f>
        <v>Caja Navidad DCT</v>
      </c>
      <c r="I7011" s="499" t="s">
        <v>296</v>
      </c>
      <c r="K7011" s="370"/>
      <c r="N7011" s="370"/>
    </row>
    <row r="7012" spans="1:14" s="347" customFormat="1" x14ac:dyDescent="0.25">
      <c r="A7012" s="541"/>
      <c r="B7012" s="537"/>
      <c r="C7012" s="537"/>
      <c r="D7012" s="537"/>
      <c r="E7012" s="540"/>
      <c r="F7012" s="540"/>
      <c r="G7012" s="540"/>
      <c r="H7012" s="537"/>
      <c r="I7012" s="537"/>
      <c r="K7012" s="370"/>
      <c r="N7012" s="370"/>
    </row>
    <row r="7013" spans="1:14" s="347" customFormat="1" x14ac:dyDescent="0.25">
      <c r="A7013" s="536">
        <v>44551</v>
      </c>
      <c r="B7013" s="499">
        <f>+MONTH(A7013)</f>
        <v>12</v>
      </c>
      <c r="C7013" s="494">
        <v>110</v>
      </c>
      <c r="D7013" s="492" t="str">
        <f>VLOOKUP(C7013,Plan!A$1:B$65542,2,0)</f>
        <v>Disponible Administración</v>
      </c>
      <c r="E7013" s="538">
        <f>+F7013-G7013</f>
        <v>387000</v>
      </c>
      <c r="F7013" s="539">
        <v>387000</v>
      </c>
      <c r="G7013" s="540">
        <v>0</v>
      </c>
      <c r="H7013" s="494" t="s">
        <v>2127</v>
      </c>
      <c r="I7013" s="499" t="s">
        <v>296</v>
      </c>
      <c r="K7013" s="370"/>
      <c r="N7013" s="370"/>
    </row>
    <row r="7014" spans="1:14" s="347" customFormat="1" x14ac:dyDescent="0.25">
      <c r="A7014" s="536">
        <f>+A7013</f>
        <v>44551</v>
      </c>
      <c r="B7014" s="499">
        <f>+MONTH(A7014)</f>
        <v>12</v>
      </c>
      <c r="C7014" s="494">
        <v>3110</v>
      </c>
      <c r="D7014" s="492" t="str">
        <f>VLOOKUP(C7014,Plan!A$1:B$65542,2,0)</f>
        <v>Colectas Normales</v>
      </c>
      <c r="E7014" s="538">
        <f>+F7014-G7014</f>
        <v>-387000</v>
      </c>
      <c r="F7014" s="539">
        <v>0</v>
      </c>
      <c r="G7014" s="540">
        <f>+F7013</f>
        <v>387000</v>
      </c>
      <c r="H7014" s="494" t="str">
        <f>+H7013</f>
        <v>Colecta Col.Cordillera y Cumbres</v>
      </c>
      <c r="I7014" s="499" t="s">
        <v>296</v>
      </c>
      <c r="K7014" s="370"/>
      <c r="N7014" s="370"/>
    </row>
    <row r="7015" spans="1:14" s="347" customFormat="1" x14ac:dyDescent="0.25">
      <c r="A7015" s="541"/>
      <c r="B7015" s="537"/>
      <c r="C7015" s="537"/>
      <c r="D7015" s="537"/>
      <c r="E7015" s="540"/>
      <c r="F7015" s="540"/>
      <c r="G7015" s="540"/>
      <c r="H7015" s="537"/>
      <c r="I7015" s="537"/>
      <c r="K7015" s="370"/>
      <c r="N7015" s="370"/>
    </row>
    <row r="7016" spans="1:14" s="347" customFormat="1" x14ac:dyDescent="0.25">
      <c r="A7016" s="536">
        <v>44551</v>
      </c>
      <c r="B7016" s="499">
        <f>+MONTH(A7016)</f>
        <v>12</v>
      </c>
      <c r="C7016" s="494">
        <v>110</v>
      </c>
      <c r="D7016" s="492" t="str">
        <f>VLOOKUP(C7016,Plan!A$1:B$65542,2,0)</f>
        <v>Disponible Administración</v>
      </c>
      <c r="E7016" s="538">
        <f>+F7016-G7016</f>
        <v>8120</v>
      </c>
      <c r="F7016" s="539">
        <v>8120</v>
      </c>
      <c r="G7016" s="540">
        <v>0</v>
      </c>
      <c r="H7016" s="494" t="s">
        <v>2127</v>
      </c>
      <c r="I7016" s="499" t="s">
        <v>296</v>
      </c>
      <c r="K7016" s="370"/>
      <c r="N7016" s="370"/>
    </row>
    <row r="7017" spans="1:14" s="347" customFormat="1" x14ac:dyDescent="0.25">
      <c r="A7017" s="536">
        <f>+A7016</f>
        <v>44551</v>
      </c>
      <c r="B7017" s="499">
        <f>+MONTH(A7017)</f>
        <v>12</v>
      </c>
      <c r="C7017" s="494">
        <v>3110</v>
      </c>
      <c r="D7017" s="492" t="str">
        <f>VLOOKUP(C7017,Plan!A$1:B$65542,2,0)</f>
        <v>Colectas Normales</v>
      </c>
      <c r="E7017" s="538">
        <f>+F7017-G7017</f>
        <v>-8120</v>
      </c>
      <c r="F7017" s="539">
        <v>0</v>
      </c>
      <c r="G7017" s="540">
        <f>+F7016</f>
        <v>8120</v>
      </c>
      <c r="H7017" s="494" t="str">
        <f>+H7016</f>
        <v>Colecta Col.Cordillera y Cumbres</v>
      </c>
      <c r="I7017" s="499" t="s">
        <v>296</v>
      </c>
      <c r="K7017" s="370"/>
      <c r="N7017" s="370"/>
    </row>
    <row r="7018" spans="1:14" s="347" customFormat="1" x14ac:dyDescent="0.25">
      <c r="A7018" s="541"/>
      <c r="B7018" s="537"/>
      <c r="C7018" s="537"/>
      <c r="D7018" s="537"/>
      <c r="E7018" s="540"/>
      <c r="F7018" s="540"/>
      <c r="G7018" s="540"/>
      <c r="H7018" s="537"/>
      <c r="I7018" s="537"/>
      <c r="K7018" s="370"/>
      <c r="N7018" s="370"/>
    </row>
    <row r="7019" spans="1:14" s="347" customFormat="1" x14ac:dyDescent="0.25">
      <c r="A7019" s="536">
        <v>44551</v>
      </c>
      <c r="B7019" s="499">
        <f>+MONTH(A7019)</f>
        <v>12</v>
      </c>
      <c r="C7019" s="494">
        <v>110</v>
      </c>
      <c r="D7019" s="492" t="str">
        <f>VLOOKUP(C7019,Plan!A$1:B$65542,2,0)</f>
        <v>Disponible Administración</v>
      </c>
      <c r="E7019" s="538">
        <f>+F7019-G7019</f>
        <v>604670</v>
      </c>
      <c r="F7019" s="539">
        <v>604670</v>
      </c>
      <c r="G7019" s="540">
        <v>0</v>
      </c>
      <c r="H7019" s="494" t="s">
        <v>2127</v>
      </c>
      <c r="I7019" s="499" t="s">
        <v>296</v>
      </c>
      <c r="K7019" s="370"/>
      <c r="N7019" s="370"/>
    </row>
    <row r="7020" spans="1:14" s="347" customFormat="1" x14ac:dyDescent="0.25">
      <c r="A7020" s="536">
        <f>+A7019</f>
        <v>44551</v>
      </c>
      <c r="B7020" s="499">
        <f>+MONTH(A7020)</f>
        <v>12</v>
      </c>
      <c r="C7020" s="494">
        <v>3110</v>
      </c>
      <c r="D7020" s="492" t="str">
        <f>VLOOKUP(C7020,Plan!A$1:B$65542,2,0)</f>
        <v>Colectas Normales</v>
      </c>
      <c r="E7020" s="538">
        <f>+F7020-G7020</f>
        <v>-604670</v>
      </c>
      <c r="F7020" s="539">
        <v>0</v>
      </c>
      <c r="G7020" s="540">
        <f>+F7019</f>
        <v>604670</v>
      </c>
      <c r="H7020" s="494" t="str">
        <f>+H7019</f>
        <v>Colecta Col.Cordillera y Cumbres</v>
      </c>
      <c r="I7020" s="499" t="s">
        <v>296</v>
      </c>
      <c r="K7020" s="370"/>
      <c r="N7020" s="370"/>
    </row>
    <row r="7021" spans="1:14" s="347" customFormat="1" x14ac:dyDescent="0.25">
      <c r="A7021" s="541"/>
      <c r="B7021" s="537"/>
      <c r="C7021" s="537"/>
      <c r="D7021" s="537"/>
      <c r="E7021" s="540"/>
      <c r="F7021" s="540"/>
      <c r="G7021" s="540"/>
      <c r="H7021" s="537"/>
      <c r="I7021" s="537"/>
      <c r="K7021" s="370"/>
      <c r="N7021" s="370"/>
    </row>
    <row r="7022" spans="1:14" s="347" customFormat="1" x14ac:dyDescent="0.25">
      <c r="A7022" s="536">
        <v>44552</v>
      </c>
      <c r="B7022" s="499">
        <f>+MONTH(A7022)</f>
        <v>12</v>
      </c>
      <c r="C7022" s="494">
        <v>110</v>
      </c>
      <c r="D7022" s="492" t="str">
        <f>VLOOKUP(C7022,Plan!A$1:B$65542,2,0)</f>
        <v>Disponible Administración</v>
      </c>
      <c r="E7022" s="538">
        <f>+F7022-G7022</f>
        <v>20000</v>
      </c>
      <c r="F7022" s="539">
        <v>20000</v>
      </c>
      <c r="G7022" s="540">
        <v>0</v>
      </c>
      <c r="H7022" s="494" t="s">
        <v>2483</v>
      </c>
      <c r="I7022" s="499" t="s">
        <v>296</v>
      </c>
      <c r="K7022" s="370"/>
      <c r="N7022" s="370"/>
    </row>
    <row r="7023" spans="1:14" s="347" customFormat="1" x14ac:dyDescent="0.25">
      <c r="A7023" s="536">
        <f>+A7022</f>
        <v>44552</v>
      </c>
      <c r="B7023" s="499">
        <f>+MONTH(A7023)</f>
        <v>12</v>
      </c>
      <c r="C7023" s="494">
        <v>3110</v>
      </c>
      <c r="D7023" s="492" t="str">
        <f>VLOOKUP(C7023,Plan!A$1:B$65542,2,0)</f>
        <v>Colectas Normales</v>
      </c>
      <c r="E7023" s="538">
        <f>+F7023-G7023</f>
        <v>-20000</v>
      </c>
      <c r="F7023" s="539">
        <v>0</v>
      </c>
      <c r="G7023" s="540">
        <f>+F7022</f>
        <v>20000</v>
      </c>
      <c r="H7023" s="494" t="str">
        <f>+H7022</f>
        <v>Colecta Carmen Gloria Ríos Rivas</v>
      </c>
      <c r="I7023" s="499" t="s">
        <v>296</v>
      </c>
      <c r="K7023" s="370"/>
      <c r="N7023" s="370"/>
    </row>
    <row r="7024" spans="1:14" s="347" customFormat="1" x14ac:dyDescent="0.25">
      <c r="A7024" s="541"/>
      <c r="B7024" s="537"/>
      <c r="C7024" s="537"/>
      <c r="D7024" s="537"/>
      <c r="E7024" s="540"/>
      <c r="F7024" s="540"/>
      <c r="G7024" s="540"/>
      <c r="H7024" s="537"/>
      <c r="I7024" s="537"/>
      <c r="K7024" s="370"/>
      <c r="N7024" s="370"/>
    </row>
    <row r="7025" spans="1:14" s="347" customFormat="1" x14ac:dyDescent="0.25">
      <c r="A7025" s="536">
        <v>44552</v>
      </c>
      <c r="B7025" s="499">
        <f>+MONTH(A7025)</f>
        <v>12</v>
      </c>
      <c r="C7025" s="494">
        <v>110</v>
      </c>
      <c r="D7025" s="492" t="str">
        <f>VLOOKUP(C7025,Plan!A$1:B$65542,2,0)</f>
        <v>Disponible Administración</v>
      </c>
      <c r="E7025" s="538">
        <f>+F7025-G7025</f>
        <v>158009</v>
      </c>
      <c r="F7025" s="539">
        <v>158009</v>
      </c>
      <c r="G7025" s="540">
        <v>0</v>
      </c>
      <c r="H7025" s="494" t="s">
        <v>2271</v>
      </c>
      <c r="I7025" s="499" t="s">
        <v>296</v>
      </c>
      <c r="K7025" s="370"/>
      <c r="N7025" s="370"/>
    </row>
    <row r="7026" spans="1:14" s="347" customFormat="1" x14ac:dyDescent="0.25">
      <c r="A7026" s="536">
        <f>+A7025</f>
        <v>44552</v>
      </c>
      <c r="B7026" s="499">
        <f>+MONTH(A7026)</f>
        <v>12</v>
      </c>
      <c r="C7026" s="494">
        <v>3453</v>
      </c>
      <c r="D7026" s="492" t="str">
        <f>VLOOKUP(C7026,Plan!A$1:B$65542,2,0)</f>
        <v>Cajas de navidad</v>
      </c>
      <c r="E7026" s="538">
        <f>+F7026-G7026</f>
        <v>-158009</v>
      </c>
      <c r="F7026" s="539">
        <v>0</v>
      </c>
      <c r="G7026" s="540">
        <f>+F7025</f>
        <v>158009</v>
      </c>
      <c r="H7026" s="494" t="str">
        <f>+H7025</f>
        <v>Caja Navidad DCT</v>
      </c>
      <c r="I7026" s="499" t="s">
        <v>296</v>
      </c>
      <c r="K7026" s="370"/>
      <c r="N7026" s="370"/>
    </row>
    <row r="7027" spans="1:14" s="347" customFormat="1" x14ac:dyDescent="0.25">
      <c r="A7027" s="541"/>
      <c r="B7027" s="537"/>
      <c r="C7027" s="537"/>
      <c r="D7027" s="537"/>
      <c r="E7027" s="540"/>
      <c r="F7027" s="540"/>
      <c r="G7027" s="540"/>
      <c r="H7027" s="537"/>
      <c r="I7027" s="537"/>
      <c r="K7027" s="370"/>
      <c r="N7027" s="370"/>
    </row>
    <row r="7028" spans="1:14" s="347" customFormat="1" x14ac:dyDescent="0.25">
      <c r="A7028" s="536">
        <v>44552</v>
      </c>
      <c r="B7028" s="499">
        <f>+MONTH(A7028)</f>
        <v>12</v>
      </c>
      <c r="C7028" s="494">
        <v>4223</v>
      </c>
      <c r="D7028" s="492" t="str">
        <f>VLOOKUP(C7028,Plan!A$1:B$65542,2,0)</f>
        <v xml:space="preserve">         Comunicaciones</v>
      </c>
      <c r="E7028" s="538">
        <f>+F7028-G7028</f>
        <v>255000</v>
      </c>
      <c r="F7028" s="539">
        <v>255000</v>
      </c>
      <c r="G7028" s="540">
        <v>0</v>
      </c>
      <c r="H7028" s="494" t="s">
        <v>2484</v>
      </c>
      <c r="I7028" s="499" t="s">
        <v>296</v>
      </c>
      <c r="K7028" s="370"/>
      <c r="N7028" s="370"/>
    </row>
    <row r="7029" spans="1:14" s="347" customFormat="1" x14ac:dyDescent="0.25">
      <c r="A7029" s="536">
        <f>+A7028</f>
        <v>44552</v>
      </c>
      <c r="B7029" s="499">
        <f>+MONTH(A7029)</f>
        <v>12</v>
      </c>
      <c r="C7029" s="494">
        <v>110</v>
      </c>
      <c r="D7029" s="492" t="str">
        <f>VLOOKUP(C7029,Plan!A$1:B$65542,2,0)</f>
        <v>Disponible Administración</v>
      </c>
      <c r="E7029" s="538">
        <f>+F7029-G7029</f>
        <v>-255000</v>
      </c>
      <c r="F7029" s="539">
        <v>0</v>
      </c>
      <c r="G7029" s="540">
        <f>+F7028</f>
        <v>255000</v>
      </c>
      <c r="H7029" s="494" t="str">
        <f>+H7028</f>
        <v>Compra Afiches e Impresos</v>
      </c>
      <c r="I7029" s="499" t="s">
        <v>296</v>
      </c>
      <c r="K7029" s="370"/>
      <c r="N7029" s="370"/>
    </row>
    <row r="7030" spans="1:14" s="347" customFormat="1" x14ac:dyDescent="0.25">
      <c r="A7030" s="541"/>
      <c r="B7030" s="537"/>
      <c r="C7030" s="537"/>
      <c r="D7030" s="537"/>
      <c r="E7030" s="540"/>
      <c r="F7030" s="540"/>
      <c r="G7030" s="540"/>
      <c r="H7030" s="537"/>
      <c r="I7030" s="537"/>
      <c r="K7030" s="370"/>
      <c r="N7030" s="370"/>
    </row>
    <row r="7031" spans="1:14" s="347" customFormat="1" x14ac:dyDescent="0.25">
      <c r="A7031" s="536">
        <v>44552</v>
      </c>
      <c r="B7031" s="499">
        <f>+MONTH(A7031)</f>
        <v>12</v>
      </c>
      <c r="C7031" s="494">
        <v>4822</v>
      </c>
      <c r="D7031" s="492" t="str">
        <f>VLOOKUP(C7031,Plan!A$1:B$65542,2,0)</f>
        <v>Caja de Navidad</v>
      </c>
      <c r="E7031" s="538">
        <f>+F7031-G7031</f>
        <v>14368000</v>
      </c>
      <c r="F7031" s="539">
        <v>14368000</v>
      </c>
      <c r="G7031" s="540">
        <v>0</v>
      </c>
      <c r="H7031" s="494" t="s">
        <v>2485</v>
      </c>
      <c r="I7031" s="499" t="s">
        <v>296</v>
      </c>
      <c r="K7031" s="370"/>
      <c r="N7031" s="370"/>
    </row>
    <row r="7032" spans="1:14" s="347" customFormat="1" x14ac:dyDescent="0.25">
      <c r="A7032" s="536">
        <f>+A7031</f>
        <v>44552</v>
      </c>
      <c r="B7032" s="499">
        <f>+MONTH(A7032)</f>
        <v>12</v>
      </c>
      <c r="C7032" s="494">
        <v>110</v>
      </c>
      <c r="D7032" s="492" t="str">
        <f>VLOOKUP(C7032,Plan!A$1:B$65542,2,0)</f>
        <v>Disponible Administración</v>
      </c>
      <c r="E7032" s="538">
        <f>+F7032-G7032</f>
        <v>-14368000</v>
      </c>
      <c r="F7032" s="539">
        <v>0</v>
      </c>
      <c r="G7032" s="540">
        <f>+F7031</f>
        <v>14368000</v>
      </c>
      <c r="H7032" s="494" t="str">
        <f>+H7031</f>
        <v>449 CNH C.Navia,Pte.Alto Las Cabras</v>
      </c>
      <c r="I7032" s="499" t="s">
        <v>296</v>
      </c>
      <c r="K7032" s="370"/>
      <c r="N7032" s="370"/>
    </row>
    <row r="7033" spans="1:14" s="347" customFormat="1" x14ac:dyDescent="0.25">
      <c r="A7033" s="541"/>
      <c r="B7033" s="537"/>
      <c r="C7033" s="537"/>
      <c r="D7033" s="537"/>
      <c r="E7033" s="540"/>
      <c r="F7033" s="540"/>
      <c r="G7033" s="540"/>
      <c r="H7033" s="537"/>
      <c r="I7033" s="537"/>
      <c r="K7033" s="370"/>
      <c r="N7033" s="370"/>
    </row>
    <row r="7034" spans="1:14" s="347" customFormat="1" x14ac:dyDescent="0.25">
      <c r="A7034" s="536">
        <v>44552</v>
      </c>
      <c r="B7034" s="499">
        <f>+MONTH(A7034)</f>
        <v>12</v>
      </c>
      <c r="C7034" s="494">
        <v>4822</v>
      </c>
      <c r="D7034" s="492" t="str">
        <f>VLOOKUP(C7034,Plan!A$1:B$65542,2,0)</f>
        <v>Caja de Navidad</v>
      </c>
      <c r="E7034" s="538">
        <f>+F7034-G7034</f>
        <v>3000000</v>
      </c>
      <c r="F7034" s="539">
        <v>3000000</v>
      </c>
      <c r="G7034" s="540">
        <v>0</v>
      </c>
      <c r="H7034" s="494" t="s">
        <v>2486</v>
      </c>
      <c r="I7034" s="499" t="s">
        <v>296</v>
      </c>
      <c r="K7034" s="370"/>
      <c r="N7034" s="370"/>
    </row>
    <row r="7035" spans="1:14" s="347" customFormat="1" x14ac:dyDescent="0.25">
      <c r="A7035" s="536">
        <f>+A7034</f>
        <v>44552</v>
      </c>
      <c r="B7035" s="499">
        <f>+MONTH(A7035)</f>
        <v>12</v>
      </c>
      <c r="C7035" s="494">
        <v>110</v>
      </c>
      <c r="D7035" s="492" t="str">
        <f>VLOOKUP(C7035,Plan!A$1:B$65542,2,0)</f>
        <v>Disponible Administración</v>
      </c>
      <c r="E7035" s="538">
        <f>+F7035-G7035</f>
        <v>-3000000</v>
      </c>
      <c r="F7035" s="539">
        <v>0</v>
      </c>
      <c r="G7035" s="540">
        <f>+F7034</f>
        <v>3000000</v>
      </c>
      <c r="H7035" s="494" t="str">
        <f>+H7034</f>
        <v>Donación para Cenas de Navidad</v>
      </c>
      <c r="I7035" s="499" t="s">
        <v>296</v>
      </c>
      <c r="K7035" s="370"/>
      <c r="N7035" s="370"/>
    </row>
    <row r="7036" spans="1:14" s="347" customFormat="1" x14ac:dyDescent="0.25">
      <c r="A7036" s="541"/>
      <c r="B7036" s="537"/>
      <c r="C7036" s="537"/>
      <c r="D7036" s="537"/>
      <c r="E7036" s="540"/>
      <c r="F7036" s="540"/>
      <c r="G7036" s="540"/>
      <c r="H7036" s="537"/>
      <c r="I7036" s="537"/>
      <c r="K7036" s="370"/>
      <c r="N7036" s="370"/>
    </row>
    <row r="7037" spans="1:14" s="347" customFormat="1" x14ac:dyDescent="0.25">
      <c r="A7037" s="536">
        <v>44552</v>
      </c>
      <c r="B7037" s="499">
        <f>+MONTH(A7037)</f>
        <v>12</v>
      </c>
      <c r="C7037" s="494">
        <v>4822</v>
      </c>
      <c r="D7037" s="492" t="str">
        <f>VLOOKUP(C7037,Plan!A$1:B$65542,2,0)</f>
        <v>Caja de Navidad</v>
      </c>
      <c r="E7037" s="538">
        <f>+F7037-G7037</f>
        <v>2400000</v>
      </c>
      <c r="F7037" s="539">
        <v>2400000</v>
      </c>
      <c r="G7037" s="540">
        <v>0</v>
      </c>
      <c r="H7037" s="494" t="s">
        <v>2487</v>
      </c>
      <c r="I7037" s="499" t="s">
        <v>296</v>
      </c>
      <c r="K7037" s="370"/>
      <c r="N7037" s="370"/>
    </row>
    <row r="7038" spans="1:14" s="347" customFormat="1" x14ac:dyDescent="0.25">
      <c r="A7038" s="536">
        <f>+A7037</f>
        <v>44552</v>
      </c>
      <c r="B7038" s="499">
        <f>+MONTH(A7038)</f>
        <v>12</v>
      </c>
      <c r="C7038" s="494">
        <v>110</v>
      </c>
      <c r="D7038" s="492" t="str">
        <f>VLOOKUP(C7038,Plan!A$1:B$65542,2,0)</f>
        <v>Disponible Administración</v>
      </c>
      <c r="E7038" s="538">
        <f>+F7038-G7038</f>
        <v>-2400000</v>
      </c>
      <c r="F7038" s="539">
        <v>0</v>
      </c>
      <c r="G7038" s="540">
        <f>+F7037</f>
        <v>2400000</v>
      </c>
      <c r="H7038" s="494" t="str">
        <f>+H7037</f>
        <v>Donación excedentes CNH 2021</v>
      </c>
      <c r="I7038" s="499" t="s">
        <v>296</v>
      </c>
      <c r="K7038" s="370"/>
      <c r="N7038" s="370"/>
    </row>
    <row r="7039" spans="1:14" s="347" customFormat="1" x14ac:dyDescent="0.25">
      <c r="A7039" s="541"/>
      <c r="B7039" s="537"/>
      <c r="C7039" s="537"/>
      <c r="D7039" s="537"/>
      <c r="E7039" s="540"/>
      <c r="F7039" s="540"/>
      <c r="G7039" s="540"/>
      <c r="H7039" s="537"/>
      <c r="I7039" s="537"/>
      <c r="K7039" s="370"/>
      <c r="N7039" s="370"/>
    </row>
    <row r="7040" spans="1:14" s="347" customFormat="1" x14ac:dyDescent="0.25">
      <c r="A7040" s="536">
        <v>44552</v>
      </c>
      <c r="B7040" s="499">
        <f>+MONTH(A7040)</f>
        <v>12</v>
      </c>
      <c r="C7040" s="494">
        <v>4510</v>
      </c>
      <c r="D7040" s="492" t="str">
        <f>VLOOKUP(C7040,Plan!A$1:B$65542,2,0)</f>
        <v>Oficina Parroquial</v>
      </c>
      <c r="E7040" s="538">
        <f>+F7040-G7040</f>
        <v>180791</v>
      </c>
      <c r="F7040" s="539">
        <f>+G7041+G7042</f>
        <v>180791</v>
      </c>
      <c r="G7040" s="540">
        <v>0</v>
      </c>
      <c r="H7040" s="494" t="s">
        <v>2488</v>
      </c>
      <c r="I7040" s="499" t="s">
        <v>296</v>
      </c>
      <c r="K7040" s="370"/>
      <c r="N7040" s="370"/>
    </row>
    <row r="7041" spans="1:14" s="347" customFormat="1" x14ac:dyDescent="0.25">
      <c r="A7041" s="536">
        <f>+A7040</f>
        <v>44552</v>
      </c>
      <c r="B7041" s="499">
        <f>+MONTH(A7041)</f>
        <v>12</v>
      </c>
      <c r="C7041" s="494">
        <v>222</v>
      </c>
      <c r="D7041" s="492" t="str">
        <f>VLOOKUP(C7041,Plan!A$1:B$65542,2,0)</f>
        <v>Honorarios por pagar Administración</v>
      </c>
      <c r="E7041" s="538">
        <f>+F7041-G7041</f>
        <v>-160000</v>
      </c>
      <c r="F7041" s="539">
        <v>0</v>
      </c>
      <c r="G7041" s="540">
        <v>160000</v>
      </c>
      <c r="H7041" s="494" t="str">
        <f>+H7040</f>
        <v>Bte.125 Miguel Angel Yañez Millán</v>
      </c>
      <c r="I7041" s="499" t="s">
        <v>296</v>
      </c>
      <c r="K7041" s="370"/>
      <c r="N7041" s="370"/>
    </row>
    <row r="7042" spans="1:14" s="347" customFormat="1" x14ac:dyDescent="0.25">
      <c r="A7042" s="536">
        <f>+A7041</f>
        <v>44552</v>
      </c>
      <c r="B7042" s="499">
        <f>+MONTH(A7042)</f>
        <v>12</v>
      </c>
      <c r="C7042" s="494">
        <v>223</v>
      </c>
      <c r="D7042" s="492" t="str">
        <f>VLOOKUP(C7042,Plan!A$1:B$65542,2,0)</f>
        <v>Ret. Hon.  e Impto. Unico Administración</v>
      </c>
      <c r="E7042" s="538">
        <f>+F7042-G7042</f>
        <v>-20791</v>
      </c>
      <c r="F7042" s="539">
        <v>0</v>
      </c>
      <c r="G7042" s="540">
        <v>20791</v>
      </c>
      <c r="H7042" s="494" t="str">
        <f>+H7041</f>
        <v>Bte.125 Miguel Angel Yañez Millán</v>
      </c>
      <c r="I7042" s="499" t="s">
        <v>296</v>
      </c>
      <c r="K7042" s="370"/>
      <c r="N7042" s="370"/>
    </row>
    <row r="7043" spans="1:14" s="347" customFormat="1" x14ac:dyDescent="0.25">
      <c r="A7043" s="541"/>
      <c r="B7043" s="537"/>
      <c r="C7043" s="537"/>
      <c r="D7043" s="537"/>
      <c r="E7043" s="540"/>
      <c r="F7043" s="540"/>
      <c r="G7043" s="540"/>
      <c r="H7043" s="537"/>
      <c r="I7043" s="537"/>
      <c r="K7043" s="370"/>
      <c r="N7043" s="370"/>
    </row>
    <row r="7044" spans="1:14" s="347" customFormat="1" x14ac:dyDescent="0.25">
      <c r="A7044" s="536">
        <v>44553</v>
      </c>
      <c r="B7044" s="499">
        <f>+MONTH(A7044)</f>
        <v>12</v>
      </c>
      <c r="C7044" s="494">
        <v>222</v>
      </c>
      <c r="D7044" s="537" t="str">
        <f>VLOOKUP(C7044,Plan!A$1:B$65542,2,0)</f>
        <v>Honorarios por pagar Administración</v>
      </c>
      <c r="E7044" s="542">
        <f>+F7044-G7044</f>
        <v>80000</v>
      </c>
      <c r="F7044" s="543">
        <v>80000</v>
      </c>
      <c r="G7044" s="545">
        <v>0</v>
      </c>
      <c r="H7044" s="494" t="s">
        <v>2488</v>
      </c>
      <c r="I7044" s="499" t="s">
        <v>296</v>
      </c>
      <c r="J7044" s="494"/>
      <c r="K7044" s="499"/>
      <c r="N7044" s="370"/>
    </row>
    <row r="7045" spans="1:14" s="347" customFormat="1" x14ac:dyDescent="0.25">
      <c r="A7045" s="536">
        <f>+A7044</f>
        <v>44553</v>
      </c>
      <c r="B7045" s="499">
        <f>+MONTH(A7045)</f>
        <v>12</v>
      </c>
      <c r="C7045" s="494">
        <v>110</v>
      </c>
      <c r="D7045" s="537" t="str">
        <f>VLOOKUP(C7045,Plan!A$1:B$65542,2,0)</f>
        <v>Disponible Administración</v>
      </c>
      <c r="E7045" s="542">
        <f>+F7045-G7045</f>
        <v>-80000</v>
      </c>
      <c r="F7045" s="543">
        <v>0</v>
      </c>
      <c r="G7045" s="545">
        <f>+F7044</f>
        <v>80000</v>
      </c>
      <c r="H7045" s="494" t="str">
        <f>+H7044</f>
        <v>Bte.125 Miguel Angel Yañez Millán</v>
      </c>
      <c r="I7045" s="499" t="s">
        <v>296</v>
      </c>
      <c r="J7045" s="494"/>
      <c r="K7045" s="499"/>
      <c r="N7045" s="370"/>
    </row>
    <row r="7046" spans="1:14" s="347" customFormat="1" x14ac:dyDescent="0.25">
      <c r="A7046" s="541"/>
      <c r="B7046" s="537"/>
      <c r="C7046" s="537"/>
      <c r="D7046" s="537"/>
      <c r="E7046" s="545"/>
      <c r="F7046" s="545"/>
      <c r="G7046" s="545"/>
      <c r="H7046" s="537"/>
      <c r="I7046" s="537"/>
      <c r="J7046" s="537"/>
      <c r="K7046" s="537"/>
      <c r="N7046" s="370"/>
    </row>
    <row r="7047" spans="1:14" s="347" customFormat="1" x14ac:dyDescent="0.25">
      <c r="A7047" s="536">
        <v>44557</v>
      </c>
      <c r="B7047" s="499">
        <f>+MONTH(A7047)</f>
        <v>12</v>
      </c>
      <c r="C7047" s="494">
        <v>4820</v>
      </c>
      <c r="D7047" s="537" t="str">
        <f>VLOOKUP(C7047,Plan!A$1:B$65542,2,0)</f>
        <v>Navidad</v>
      </c>
      <c r="E7047" s="542">
        <f>+F7047-G7047</f>
        <v>535500</v>
      </c>
      <c r="F7047" s="543">
        <v>535500</v>
      </c>
      <c r="G7047" s="545">
        <v>0</v>
      </c>
      <c r="H7047" s="494" t="s">
        <v>2535</v>
      </c>
      <c r="I7047" s="499" t="s">
        <v>296</v>
      </c>
      <c r="J7047" s="494"/>
      <c r="K7047" s="499"/>
      <c r="N7047" s="370"/>
    </row>
    <row r="7048" spans="1:14" s="347" customFormat="1" x14ac:dyDescent="0.25">
      <c r="A7048" s="536">
        <f>+A7047</f>
        <v>44557</v>
      </c>
      <c r="B7048" s="499">
        <f>+MONTH(A7048)</f>
        <v>12</v>
      </c>
      <c r="C7048" s="494">
        <v>230</v>
      </c>
      <c r="D7048" s="537" t="str">
        <f>VLOOKUP(C7048,Plan!A$1:B$65542,2,0)</f>
        <v>Proveedores Administración</v>
      </c>
      <c r="E7048" s="542">
        <f>+F7048-G7048</f>
        <v>-535500</v>
      </c>
      <c r="F7048" s="543">
        <v>0</v>
      </c>
      <c r="G7048" s="545">
        <f>+F7047</f>
        <v>535500</v>
      </c>
      <c r="H7048" s="494" t="str">
        <f>+H7047</f>
        <v>Sociedad Alvarez Fact. 480, Aseo Misa Navidad</v>
      </c>
      <c r="I7048" s="499" t="s">
        <v>296</v>
      </c>
      <c r="J7048" s="494"/>
      <c r="K7048" s="499"/>
      <c r="N7048" s="370"/>
    </row>
    <row r="7049" spans="1:14" s="347" customFormat="1" x14ac:dyDescent="0.25">
      <c r="A7049" s="570"/>
      <c r="B7049" s="507"/>
      <c r="C7049" s="562"/>
      <c r="D7049" s="507"/>
      <c r="E7049" s="571"/>
      <c r="F7049" s="572"/>
      <c r="G7049" s="572"/>
      <c r="H7049" s="562"/>
      <c r="I7049" s="507"/>
      <c r="J7049" s="507"/>
      <c r="K7049" s="499"/>
      <c r="L7049" s="340"/>
      <c r="N7049" s="370"/>
    </row>
    <row r="7050" spans="1:14" s="347" customFormat="1" x14ac:dyDescent="0.25">
      <c r="A7050" s="536">
        <v>44553</v>
      </c>
      <c r="B7050" s="499">
        <f>+MONTH(A7050)</f>
        <v>12</v>
      </c>
      <c r="C7050" s="494">
        <v>230</v>
      </c>
      <c r="D7050" s="537" t="str">
        <f>VLOOKUP(C7050,Plan!A$1:B$65542,2,0)</f>
        <v>Proveedores Administración</v>
      </c>
      <c r="E7050" s="542">
        <f>+F7050-G7050</f>
        <v>225000</v>
      </c>
      <c r="F7050" s="543">
        <v>225000</v>
      </c>
      <c r="G7050" s="545">
        <v>0</v>
      </c>
      <c r="H7050" s="494" t="s">
        <v>2536</v>
      </c>
      <c r="I7050" s="499" t="s">
        <v>296</v>
      </c>
      <c r="J7050" s="494"/>
      <c r="K7050" s="499"/>
      <c r="N7050" s="370"/>
    </row>
    <row r="7051" spans="1:14" s="347" customFormat="1" x14ac:dyDescent="0.25">
      <c r="A7051" s="536">
        <f>+A7050</f>
        <v>44553</v>
      </c>
      <c r="B7051" s="499">
        <f>+MONTH(A7051)</f>
        <v>12</v>
      </c>
      <c r="C7051" s="494">
        <v>110</v>
      </c>
      <c r="D7051" s="537" t="str">
        <f>VLOOKUP(C7051,Plan!A$1:B$65542,2,0)</f>
        <v>Disponible Administración</v>
      </c>
      <c r="E7051" s="542">
        <f>+F7051-G7051</f>
        <v>-225000</v>
      </c>
      <c r="F7051" s="543">
        <v>0</v>
      </c>
      <c r="G7051" s="545">
        <f>+F7050</f>
        <v>225000</v>
      </c>
      <c r="H7051" s="494" t="str">
        <f>+H7050</f>
        <v>Anticipo Serv.Aseo Misa Navidad, Spcoedad Alvarez Fact. 480</v>
      </c>
      <c r="I7051" s="499" t="s">
        <v>296</v>
      </c>
      <c r="J7051" s="494"/>
      <c r="K7051" s="499"/>
      <c r="N7051" s="370"/>
    </row>
    <row r="7052" spans="1:14" s="347" customFormat="1" x14ac:dyDescent="0.25">
      <c r="A7052" s="541"/>
      <c r="B7052" s="537"/>
      <c r="C7052" s="537"/>
      <c r="D7052" s="537"/>
      <c r="E7052" s="545"/>
      <c r="F7052" s="545"/>
      <c r="G7052" s="545"/>
      <c r="H7052" s="537"/>
      <c r="I7052" s="537"/>
      <c r="J7052" s="537"/>
      <c r="K7052" s="537"/>
      <c r="N7052" s="370"/>
    </row>
    <row r="7053" spans="1:14" s="347" customFormat="1" x14ac:dyDescent="0.25">
      <c r="A7053" s="536">
        <v>44553</v>
      </c>
      <c r="B7053" s="499">
        <f>+MONTH(A7053)</f>
        <v>12</v>
      </c>
      <c r="C7053" s="494">
        <v>4510</v>
      </c>
      <c r="D7053" s="537" t="str">
        <f>VLOOKUP(C7053,Plan!A$1:B$65542,2,0)</f>
        <v>Oficina Parroquial</v>
      </c>
      <c r="E7053" s="542">
        <f>+F7053-G7053</f>
        <v>279970</v>
      </c>
      <c r="F7053" s="543">
        <v>279970</v>
      </c>
      <c r="G7053" s="545">
        <v>0</v>
      </c>
      <c r="H7053" s="494" t="s">
        <v>2500</v>
      </c>
      <c r="I7053" s="499" t="s">
        <v>296</v>
      </c>
      <c r="J7053" s="494"/>
      <c r="K7053" s="499"/>
      <c r="N7053" s="370"/>
    </row>
    <row r="7054" spans="1:14" s="347" customFormat="1" x14ac:dyDescent="0.25">
      <c r="A7054" s="536">
        <f>+A7053</f>
        <v>44553</v>
      </c>
      <c r="B7054" s="499">
        <f>+MONTH(A7054)</f>
        <v>12</v>
      </c>
      <c r="C7054" s="494">
        <v>110</v>
      </c>
      <c r="D7054" s="537" t="str">
        <f>VLOOKUP(C7054,Plan!A$1:B$65542,2,0)</f>
        <v>Disponible Administración</v>
      </c>
      <c r="E7054" s="542">
        <f>+F7054-G7054</f>
        <v>-279970</v>
      </c>
      <c r="F7054" s="543">
        <v>0</v>
      </c>
      <c r="G7054" s="545">
        <f>+F7053</f>
        <v>279970</v>
      </c>
      <c r="H7054" s="494" t="str">
        <f>+H7053</f>
        <v>BH163 Instalacion Citofono y Enchufes</v>
      </c>
      <c r="I7054" s="499" t="s">
        <v>296</v>
      </c>
      <c r="J7054" s="494"/>
      <c r="K7054" s="499"/>
      <c r="N7054" s="370"/>
    </row>
    <row r="7055" spans="1:14" s="347" customFormat="1" x14ac:dyDescent="0.25">
      <c r="A7055" s="541"/>
      <c r="B7055" s="537"/>
      <c r="C7055" s="537"/>
      <c r="D7055" s="537"/>
      <c r="E7055" s="545"/>
      <c r="F7055" s="545"/>
      <c r="G7055" s="545"/>
      <c r="H7055" s="537"/>
      <c r="I7055" s="537"/>
      <c r="J7055" s="537"/>
      <c r="K7055" s="537"/>
      <c r="N7055" s="370"/>
    </row>
    <row r="7056" spans="1:14" s="347" customFormat="1" x14ac:dyDescent="0.25">
      <c r="A7056" s="536">
        <v>44553</v>
      </c>
      <c r="B7056" s="499">
        <f>+MONTH(A7056)</f>
        <v>12</v>
      </c>
      <c r="C7056" s="494">
        <v>110</v>
      </c>
      <c r="D7056" s="537" t="str">
        <f>VLOOKUP(C7056,Plan!A$1:B$65542,2,0)</f>
        <v>Disponible Administración</v>
      </c>
      <c r="E7056" s="542">
        <f>+F7056-G7056</f>
        <v>20000</v>
      </c>
      <c r="F7056" s="543">
        <v>20000</v>
      </c>
      <c r="G7056" s="545">
        <v>0</v>
      </c>
      <c r="H7056" s="494" t="s">
        <v>906</v>
      </c>
      <c r="I7056" s="499" t="s">
        <v>296</v>
      </c>
      <c r="J7056" s="494"/>
      <c r="K7056" s="499"/>
      <c r="N7056" s="370"/>
    </row>
    <row r="7057" spans="1:14" s="347" customFormat="1" x14ac:dyDescent="0.25">
      <c r="A7057" s="536">
        <f>+A7056</f>
        <v>44553</v>
      </c>
      <c r="B7057" s="499">
        <f>+MONTH(A7057)</f>
        <v>12</v>
      </c>
      <c r="C7057" s="494">
        <v>3110</v>
      </c>
      <c r="D7057" s="537" t="str">
        <f>VLOOKUP(C7057,Plan!A$1:B$65542,2,0)</f>
        <v>Colectas Normales</v>
      </c>
      <c r="E7057" s="542">
        <f>+F7057-G7057</f>
        <v>-20000</v>
      </c>
      <c r="F7057" s="543">
        <v>0</v>
      </c>
      <c r="G7057" s="545">
        <f>+F7056</f>
        <v>20000</v>
      </c>
      <c r="H7057" s="494" t="str">
        <f>+H7056</f>
        <v>Colecta Carmen Barañao</v>
      </c>
      <c r="I7057" s="499" t="s">
        <v>296</v>
      </c>
      <c r="J7057" s="494"/>
      <c r="K7057" s="499"/>
      <c r="N7057" s="370"/>
    </row>
    <row r="7058" spans="1:14" s="347" customFormat="1" x14ac:dyDescent="0.25">
      <c r="A7058" s="541"/>
      <c r="B7058" s="537"/>
      <c r="C7058" s="537"/>
      <c r="D7058" s="537"/>
      <c r="E7058" s="545"/>
      <c r="F7058" s="545"/>
      <c r="G7058" s="545"/>
      <c r="H7058" s="537"/>
      <c r="I7058" s="537"/>
      <c r="J7058" s="537"/>
      <c r="K7058" s="537"/>
      <c r="N7058" s="370"/>
    </row>
    <row r="7059" spans="1:14" s="347" customFormat="1" x14ac:dyDescent="0.25">
      <c r="A7059" s="536">
        <v>44553</v>
      </c>
      <c r="B7059" s="499">
        <f>+MONTH(A7059)</f>
        <v>12</v>
      </c>
      <c r="C7059" s="494">
        <v>110</v>
      </c>
      <c r="D7059" s="537" t="str">
        <f>VLOOKUP(C7059,Plan!A$1:B$65542,2,0)</f>
        <v>Disponible Administración</v>
      </c>
      <c r="E7059" s="542">
        <f>+F7059-G7059</f>
        <v>100000</v>
      </c>
      <c r="F7059" s="543">
        <v>100000</v>
      </c>
      <c r="G7059" s="545">
        <v>0</v>
      </c>
      <c r="H7059" s="494" t="s">
        <v>2501</v>
      </c>
      <c r="I7059" s="499" t="s">
        <v>296</v>
      </c>
      <c r="J7059" s="494"/>
      <c r="K7059" s="499"/>
      <c r="N7059" s="370"/>
    </row>
    <row r="7060" spans="1:14" s="347" customFormat="1" x14ac:dyDescent="0.25">
      <c r="A7060" s="536">
        <f>+A7059</f>
        <v>44553</v>
      </c>
      <c r="B7060" s="499">
        <f>+MONTH(A7060)</f>
        <v>12</v>
      </c>
      <c r="C7060" s="494">
        <v>215</v>
      </c>
      <c r="D7060" s="537" t="str">
        <f>VLOOKUP(C7060,Plan!A$1:B$65542,2,0)</f>
        <v>Cuenta por Pagar a Cali</v>
      </c>
      <c r="E7060" s="542">
        <f>+F7060-G7060</f>
        <v>-100000</v>
      </c>
      <c r="F7060" s="543">
        <v>0</v>
      </c>
      <c r="G7060" s="545">
        <f>+F7059</f>
        <v>100000</v>
      </c>
      <c r="H7060" s="494" t="str">
        <f>+H7059</f>
        <v>Patricio Walker Cruchaga / Azul</v>
      </c>
      <c r="I7060" s="499" t="s">
        <v>296</v>
      </c>
      <c r="J7060" s="494"/>
      <c r="K7060" s="499"/>
      <c r="N7060" s="370"/>
    </row>
    <row r="7061" spans="1:14" s="347" customFormat="1" x14ac:dyDescent="0.25">
      <c r="A7061" s="541"/>
      <c r="B7061" s="537"/>
      <c r="C7061" s="537"/>
      <c r="D7061" s="537"/>
      <c r="E7061" s="545"/>
      <c r="F7061" s="545"/>
      <c r="G7061" s="545"/>
      <c r="H7061" s="537"/>
      <c r="I7061" s="537"/>
      <c r="J7061" s="537"/>
      <c r="K7061" s="537"/>
      <c r="N7061" s="370"/>
    </row>
    <row r="7062" spans="1:14" s="347" customFormat="1" x14ac:dyDescent="0.25">
      <c r="A7062" s="536">
        <v>44553</v>
      </c>
      <c r="B7062" s="499">
        <f>+MONTH(A7062)</f>
        <v>12</v>
      </c>
      <c r="C7062" s="494">
        <v>110</v>
      </c>
      <c r="D7062" s="537" t="str">
        <f>VLOOKUP(C7062,Plan!A$1:B$65542,2,0)</f>
        <v>Disponible Administración</v>
      </c>
      <c r="E7062" s="542">
        <f>+F7062-G7062</f>
        <v>28085</v>
      </c>
      <c r="F7062" s="543">
        <v>28085</v>
      </c>
      <c r="G7062" s="545">
        <v>0</v>
      </c>
      <c r="H7062" s="494" t="s">
        <v>897</v>
      </c>
      <c r="I7062" s="499" t="s">
        <v>296</v>
      </c>
      <c r="J7062" s="494"/>
      <c r="K7062" s="499"/>
      <c r="N7062" s="370"/>
    </row>
    <row r="7063" spans="1:14" s="347" customFormat="1" x14ac:dyDescent="0.25">
      <c r="A7063" s="536">
        <f>+A7062</f>
        <v>44553</v>
      </c>
      <c r="B7063" s="499">
        <f>+MONTH(A7063)</f>
        <v>12</v>
      </c>
      <c r="C7063" s="494">
        <v>3110</v>
      </c>
      <c r="D7063" s="537" t="str">
        <f>VLOOKUP(C7063,Plan!A$1:B$65542,2,0)</f>
        <v>Colectas Normales</v>
      </c>
      <c r="E7063" s="542">
        <f>+F7063-G7063</f>
        <v>-28085</v>
      </c>
      <c r="F7063" s="543">
        <v>0</v>
      </c>
      <c r="G7063" s="545">
        <f>+F7062</f>
        <v>28085</v>
      </c>
      <c r="H7063" s="494" t="str">
        <f>+H7062</f>
        <v>Colecta DCT</v>
      </c>
      <c r="I7063" s="499" t="s">
        <v>296</v>
      </c>
      <c r="J7063" s="494"/>
      <c r="K7063" s="499"/>
      <c r="N7063" s="370"/>
    </row>
    <row r="7064" spans="1:14" s="347" customFormat="1" x14ac:dyDescent="0.25">
      <c r="A7064" s="541"/>
      <c r="B7064" s="537"/>
      <c r="C7064" s="537"/>
      <c r="D7064" s="537"/>
      <c r="E7064" s="545"/>
      <c r="F7064" s="545"/>
      <c r="G7064" s="545"/>
      <c r="H7064" s="537"/>
      <c r="I7064" s="537"/>
      <c r="J7064" s="537"/>
      <c r="K7064" s="537"/>
      <c r="N7064" s="370"/>
    </row>
    <row r="7065" spans="1:14" s="347" customFormat="1" x14ac:dyDescent="0.25">
      <c r="A7065" s="536">
        <v>44554</v>
      </c>
      <c r="B7065" s="499">
        <f>+MONTH(A7065)</f>
        <v>12</v>
      </c>
      <c r="C7065" s="494">
        <v>4820</v>
      </c>
      <c r="D7065" s="537" t="str">
        <f>VLOOKUP(C7065,Plan!A$1:B$65542,2,0)</f>
        <v>Navidad</v>
      </c>
      <c r="E7065" s="542">
        <f>+F7065-G7065</f>
        <v>163625</v>
      </c>
      <c r="F7065" s="543">
        <v>163625</v>
      </c>
      <c r="G7065" s="545">
        <v>0</v>
      </c>
      <c r="H7065" s="494" t="s">
        <v>2502</v>
      </c>
      <c r="I7065" s="499" t="s">
        <v>296</v>
      </c>
      <c r="J7065" s="494"/>
      <c r="K7065" s="499"/>
      <c r="N7065" s="370"/>
    </row>
    <row r="7066" spans="1:14" s="347" customFormat="1" x14ac:dyDescent="0.25">
      <c r="A7066" s="536">
        <f>+A7065</f>
        <v>44554</v>
      </c>
      <c r="B7066" s="499">
        <f>+MONTH(A7066)</f>
        <v>12</v>
      </c>
      <c r="C7066" s="494">
        <v>110</v>
      </c>
      <c r="D7066" s="537" t="str">
        <f>VLOOKUP(C7066,Plan!A$1:B$65542,2,0)</f>
        <v>Disponible Administración</v>
      </c>
      <c r="E7066" s="542">
        <f>+F7066-G7066</f>
        <v>-163625</v>
      </c>
      <c r="F7066" s="543">
        <v>0</v>
      </c>
      <c r="G7066" s="545">
        <f>+F7065</f>
        <v>163625</v>
      </c>
      <c r="H7066" s="494" t="str">
        <f>+H7065</f>
        <v>F.9364; Entradas Misa Navidad</v>
      </c>
      <c r="I7066" s="499" t="s">
        <v>296</v>
      </c>
      <c r="J7066" s="494"/>
      <c r="K7066" s="499"/>
      <c r="N7066" s="370"/>
    </row>
    <row r="7067" spans="1:14" s="347" customFormat="1" x14ac:dyDescent="0.25">
      <c r="A7067" s="541"/>
      <c r="B7067" s="537"/>
      <c r="C7067" s="537"/>
      <c r="D7067" s="537"/>
      <c r="E7067" s="545"/>
      <c r="F7067" s="545"/>
      <c r="G7067" s="545"/>
      <c r="H7067" s="537"/>
      <c r="I7067" s="537"/>
      <c r="J7067" s="537"/>
      <c r="K7067" s="537"/>
      <c r="N7067" s="370"/>
    </row>
    <row r="7068" spans="1:14" s="347" customFormat="1" x14ac:dyDescent="0.25">
      <c r="A7068" s="536">
        <v>44554</v>
      </c>
      <c r="B7068" s="499">
        <f>+MONTH(A7068)</f>
        <v>12</v>
      </c>
      <c r="C7068" s="494">
        <v>110</v>
      </c>
      <c r="D7068" s="537" t="str">
        <f>VLOOKUP(C7068,Plan!A$1:B$65542,2,0)</f>
        <v>Disponible Administración</v>
      </c>
      <c r="E7068" s="542">
        <f>+F7068-G7068</f>
        <v>60000</v>
      </c>
      <c r="F7068" s="543">
        <v>60000</v>
      </c>
      <c r="G7068" s="545">
        <v>0</v>
      </c>
      <c r="H7068" s="494" t="s">
        <v>1122</v>
      </c>
      <c r="I7068" s="499" t="s">
        <v>296</v>
      </c>
      <c r="J7068" s="494"/>
      <c r="K7068" s="499"/>
      <c r="N7068" s="370"/>
    </row>
    <row r="7069" spans="1:14" s="347" customFormat="1" x14ac:dyDescent="0.25">
      <c r="A7069" s="536">
        <f>+A7068</f>
        <v>44554</v>
      </c>
      <c r="B7069" s="499">
        <f>+MONTH(A7069)</f>
        <v>12</v>
      </c>
      <c r="C7069" s="494">
        <v>3110</v>
      </c>
      <c r="D7069" s="537" t="str">
        <f>VLOOKUP(C7069,Plan!A$1:B$65542,2,0)</f>
        <v>Colectas Normales</v>
      </c>
      <c r="E7069" s="542">
        <f>+F7069-G7069</f>
        <v>-60000</v>
      </c>
      <c r="F7069" s="543">
        <v>0</v>
      </c>
      <c r="G7069" s="545">
        <f>+F7068</f>
        <v>60000</v>
      </c>
      <c r="H7069" s="494" t="str">
        <f>+H7068</f>
        <v>Colecta Juan Muzio Muzio</v>
      </c>
      <c r="I7069" s="499" t="s">
        <v>296</v>
      </c>
      <c r="J7069" s="494"/>
      <c r="K7069" s="499"/>
      <c r="N7069" s="370"/>
    </row>
    <row r="7070" spans="1:14" s="347" customFormat="1" x14ac:dyDescent="0.25">
      <c r="A7070" s="541"/>
      <c r="B7070" s="537"/>
      <c r="C7070" s="537"/>
      <c r="D7070" s="537"/>
      <c r="E7070" s="545"/>
      <c r="F7070" s="545"/>
      <c r="G7070" s="545"/>
      <c r="H7070" s="537"/>
      <c r="I7070" s="537"/>
      <c r="J7070" s="537"/>
      <c r="K7070" s="537"/>
      <c r="N7070" s="370"/>
    </row>
    <row r="7071" spans="1:14" s="347" customFormat="1" x14ac:dyDescent="0.25">
      <c r="A7071" s="536">
        <v>44557</v>
      </c>
      <c r="B7071" s="499">
        <f>+MONTH(A7071)</f>
        <v>12</v>
      </c>
      <c r="C7071" s="494">
        <v>110</v>
      </c>
      <c r="D7071" s="537" t="str">
        <f>VLOOKUP(C7071,Plan!A$1:B$65542,2,0)</f>
        <v>Disponible Administración</v>
      </c>
      <c r="E7071" s="542">
        <f>+F7071-G7071</f>
        <v>1000</v>
      </c>
      <c r="F7071" s="543">
        <v>1000</v>
      </c>
      <c r="G7071" s="545">
        <v>0</v>
      </c>
      <c r="H7071" s="494" t="s">
        <v>2503</v>
      </c>
      <c r="I7071" s="499" t="s">
        <v>296</v>
      </c>
      <c r="J7071" s="494"/>
      <c r="K7071" s="499"/>
      <c r="N7071" s="370"/>
    </row>
    <row r="7072" spans="1:14" s="347" customFormat="1" x14ac:dyDescent="0.25">
      <c r="A7072" s="536">
        <f>+A7071</f>
        <v>44557</v>
      </c>
      <c r="B7072" s="499">
        <f>+MONTH(A7072)</f>
        <v>12</v>
      </c>
      <c r="C7072" s="494">
        <v>3110</v>
      </c>
      <c r="D7072" s="537" t="str">
        <f>VLOOKUP(C7072,Plan!A$1:B$65542,2,0)</f>
        <v>Colectas Normales</v>
      </c>
      <c r="E7072" s="542">
        <f>+F7072-G7072</f>
        <v>-1000</v>
      </c>
      <c r="F7072" s="543">
        <v>0</v>
      </c>
      <c r="G7072" s="545">
        <f>+F7071</f>
        <v>1000</v>
      </c>
      <c r="H7072" s="494" t="str">
        <f>+H7071</f>
        <v>Colecta Fernando Leon</v>
      </c>
      <c r="I7072" s="499" t="s">
        <v>296</v>
      </c>
      <c r="J7072" s="494"/>
      <c r="K7072" s="499"/>
      <c r="N7072" s="370"/>
    </row>
    <row r="7073" spans="1:14" s="347" customFormat="1" x14ac:dyDescent="0.25">
      <c r="A7073" s="541"/>
      <c r="B7073" s="537"/>
      <c r="C7073" s="537"/>
      <c r="D7073" s="537"/>
      <c r="E7073" s="545"/>
      <c r="F7073" s="545"/>
      <c r="G7073" s="545"/>
      <c r="H7073" s="537"/>
      <c r="I7073" s="537"/>
      <c r="J7073" s="537"/>
      <c r="K7073" s="537"/>
      <c r="N7073" s="370"/>
    </row>
    <row r="7074" spans="1:14" s="347" customFormat="1" x14ac:dyDescent="0.25">
      <c r="A7074" s="536">
        <v>44557</v>
      </c>
      <c r="B7074" s="499">
        <f>+MONTH(A7074)</f>
        <v>12</v>
      </c>
      <c r="C7074" s="494">
        <v>110</v>
      </c>
      <c r="D7074" s="537" t="str">
        <f>VLOOKUP(C7074,Plan!A$1:B$65542,2,0)</f>
        <v>Disponible Administración</v>
      </c>
      <c r="E7074" s="542">
        <f>+F7074-G7074</f>
        <v>20000</v>
      </c>
      <c r="F7074" s="543">
        <v>20000</v>
      </c>
      <c r="G7074" s="545">
        <v>0</v>
      </c>
      <c r="H7074" s="494" t="s">
        <v>880</v>
      </c>
      <c r="I7074" s="499" t="s">
        <v>296</v>
      </c>
      <c r="J7074" s="494"/>
      <c r="K7074" s="499"/>
      <c r="N7074" s="370"/>
    </row>
    <row r="7075" spans="1:14" s="347" customFormat="1" x14ac:dyDescent="0.25">
      <c r="A7075" s="536">
        <f>+A7074</f>
        <v>44557</v>
      </c>
      <c r="B7075" s="499">
        <f>+MONTH(A7075)</f>
        <v>12</v>
      </c>
      <c r="C7075" s="494">
        <v>3110</v>
      </c>
      <c r="D7075" s="537" t="str">
        <f>VLOOKUP(C7075,Plan!A$1:B$65542,2,0)</f>
        <v>Colectas Normales</v>
      </c>
      <c r="E7075" s="542">
        <f>+F7075-G7075</f>
        <v>-20000</v>
      </c>
      <c r="F7075" s="543">
        <v>0</v>
      </c>
      <c r="G7075" s="545">
        <f>+F7074</f>
        <v>20000</v>
      </c>
      <c r="H7075" s="494" t="str">
        <f>+H7074</f>
        <v>Colecta Sebastian Rios</v>
      </c>
      <c r="I7075" s="499" t="s">
        <v>296</v>
      </c>
      <c r="J7075" s="494"/>
      <c r="K7075" s="499"/>
      <c r="N7075" s="370"/>
    </row>
    <row r="7076" spans="1:14" s="347" customFormat="1" x14ac:dyDescent="0.25">
      <c r="A7076" s="541"/>
      <c r="B7076" s="537"/>
      <c r="C7076" s="537"/>
      <c r="D7076" s="537"/>
      <c r="E7076" s="545"/>
      <c r="F7076" s="545"/>
      <c r="G7076" s="545"/>
      <c r="H7076" s="537"/>
      <c r="I7076" s="537"/>
      <c r="J7076" s="537"/>
      <c r="K7076" s="537"/>
      <c r="N7076" s="370"/>
    </row>
    <row r="7077" spans="1:14" s="347" customFormat="1" x14ac:dyDescent="0.25">
      <c r="A7077" s="536">
        <v>44557</v>
      </c>
      <c r="B7077" s="499">
        <f>+MONTH(A7077)</f>
        <v>12</v>
      </c>
      <c r="C7077" s="494">
        <v>4326</v>
      </c>
      <c r="D7077" s="537" t="str">
        <f>VLOOKUP(C7077,Plan!A$1:B$65542,2,0)</f>
        <v>Seguros</v>
      </c>
      <c r="E7077" s="542">
        <f>+F7077-G7077</f>
        <v>53183</v>
      </c>
      <c r="F7077" s="543">
        <v>53183</v>
      </c>
      <c r="G7077" s="545">
        <v>0</v>
      </c>
      <c r="H7077" s="494" t="s">
        <v>950</v>
      </c>
      <c r="I7077" s="499" t="s">
        <v>296</v>
      </c>
      <c r="J7077" s="494"/>
      <c r="K7077" s="499"/>
      <c r="N7077" s="370"/>
    </row>
    <row r="7078" spans="1:14" s="347" customFormat="1" x14ac:dyDescent="0.25">
      <c r="A7078" s="536">
        <f>+A7077</f>
        <v>44557</v>
      </c>
      <c r="B7078" s="499">
        <f>+MONTH(A7078)</f>
        <v>12</v>
      </c>
      <c r="C7078" s="494">
        <v>110</v>
      </c>
      <c r="D7078" s="537" t="str">
        <f>VLOOKUP(C7078,Plan!A$1:B$65542,2,0)</f>
        <v>Disponible Administración</v>
      </c>
      <c r="E7078" s="542">
        <f>+F7078-G7078</f>
        <v>-53183</v>
      </c>
      <c r="F7078" s="543">
        <v>0</v>
      </c>
      <c r="G7078" s="545">
        <f>+F7077</f>
        <v>53183</v>
      </c>
      <c r="H7078" s="494" t="str">
        <f>+H7077</f>
        <v>PAC Porvenir</v>
      </c>
      <c r="I7078" s="499" t="s">
        <v>296</v>
      </c>
      <c r="J7078" s="494"/>
      <c r="K7078" s="499"/>
      <c r="N7078" s="370"/>
    </row>
    <row r="7079" spans="1:14" s="347" customFormat="1" x14ac:dyDescent="0.25">
      <c r="A7079" s="541"/>
      <c r="B7079" s="537"/>
      <c r="C7079" s="537"/>
      <c r="D7079" s="537"/>
      <c r="E7079" s="545"/>
      <c r="F7079" s="545"/>
      <c r="G7079" s="545"/>
      <c r="H7079" s="537"/>
      <c r="I7079" s="537"/>
      <c r="J7079" s="537"/>
      <c r="K7079" s="537"/>
      <c r="N7079" s="370"/>
    </row>
    <row r="7080" spans="1:14" s="347" customFormat="1" x14ac:dyDescent="0.25">
      <c r="A7080" s="536">
        <v>44557</v>
      </c>
      <c r="B7080" s="499">
        <f>+MONTH(A7080)</f>
        <v>12</v>
      </c>
      <c r="C7080" s="494">
        <v>110</v>
      </c>
      <c r="D7080" s="537" t="str">
        <f>VLOOKUP(C7080,Plan!A$1:B$65542,2,0)</f>
        <v>Disponible Administración</v>
      </c>
      <c r="E7080" s="542">
        <f>+F7080-G7080</f>
        <v>10000</v>
      </c>
      <c r="F7080" s="543">
        <v>10000</v>
      </c>
      <c r="G7080" s="545">
        <v>0</v>
      </c>
      <c r="H7080" s="494" t="s">
        <v>881</v>
      </c>
      <c r="I7080" s="499" t="s">
        <v>296</v>
      </c>
      <c r="J7080" s="494"/>
      <c r="K7080" s="499"/>
      <c r="N7080" s="370"/>
    </row>
    <row r="7081" spans="1:14" s="347" customFormat="1" x14ac:dyDescent="0.25">
      <c r="A7081" s="536">
        <f>+A7080</f>
        <v>44557</v>
      </c>
      <c r="B7081" s="499">
        <f>+MONTH(A7081)</f>
        <v>12</v>
      </c>
      <c r="C7081" s="494">
        <v>3110</v>
      </c>
      <c r="D7081" s="537" t="str">
        <f>VLOOKUP(C7081,Plan!A$1:B$65542,2,0)</f>
        <v>Colectas Normales</v>
      </c>
      <c r="E7081" s="542">
        <f>+F7081-G7081</f>
        <v>-10000</v>
      </c>
      <c r="F7081" s="543">
        <v>0</v>
      </c>
      <c r="G7081" s="545">
        <f>+F7080</f>
        <v>10000</v>
      </c>
      <c r="H7081" s="494" t="str">
        <f>+H7080</f>
        <v>Colecta Rafael Marin Jordan</v>
      </c>
      <c r="I7081" s="499" t="s">
        <v>296</v>
      </c>
      <c r="J7081" s="494"/>
      <c r="K7081" s="499"/>
      <c r="N7081" s="370"/>
    </row>
    <row r="7082" spans="1:14" s="347" customFormat="1" x14ac:dyDescent="0.25">
      <c r="A7082" s="541"/>
      <c r="B7082" s="537"/>
      <c r="C7082" s="537"/>
      <c r="D7082" s="537"/>
      <c r="E7082" s="545"/>
      <c r="F7082" s="545"/>
      <c r="G7082" s="545"/>
      <c r="H7082" s="537"/>
      <c r="I7082" s="537"/>
      <c r="J7082" s="537"/>
      <c r="K7082" s="537"/>
      <c r="N7082" s="370"/>
    </row>
    <row r="7083" spans="1:14" s="347" customFormat="1" x14ac:dyDescent="0.25">
      <c r="A7083" s="536">
        <v>44557</v>
      </c>
      <c r="B7083" s="499">
        <f>+MONTH(A7083)</f>
        <v>12</v>
      </c>
      <c r="C7083" s="494">
        <v>110</v>
      </c>
      <c r="D7083" s="537" t="str">
        <f>VLOOKUP(C7083,Plan!A$1:B$65542,2,0)</f>
        <v>Disponible Administración</v>
      </c>
      <c r="E7083" s="542">
        <f>+F7083-G7083</f>
        <v>40000</v>
      </c>
      <c r="F7083" s="543">
        <v>40000</v>
      </c>
      <c r="G7083" s="545">
        <v>0</v>
      </c>
      <c r="H7083" s="494" t="s">
        <v>1550</v>
      </c>
      <c r="I7083" s="499" t="s">
        <v>296</v>
      </c>
      <c r="J7083" s="494"/>
      <c r="K7083" s="499"/>
      <c r="N7083" s="370"/>
    </row>
    <row r="7084" spans="1:14" s="347" customFormat="1" x14ac:dyDescent="0.25">
      <c r="A7084" s="536">
        <f>+A7083</f>
        <v>44557</v>
      </c>
      <c r="B7084" s="499">
        <f>+MONTH(A7084)</f>
        <v>12</v>
      </c>
      <c r="C7084" s="494">
        <v>3110</v>
      </c>
      <c r="D7084" s="537" t="str">
        <f>VLOOKUP(C7084,Plan!A$1:B$65542,2,0)</f>
        <v>Colectas Normales</v>
      </c>
      <c r="E7084" s="542">
        <f>+F7084-G7084</f>
        <v>-40000</v>
      </c>
      <c r="F7084" s="543">
        <v>0</v>
      </c>
      <c r="G7084" s="545">
        <f>+F7083</f>
        <v>40000</v>
      </c>
      <c r="H7084" s="494" t="str">
        <f>+H7083</f>
        <v>Colecta Luis Ignacio Marin Jordan</v>
      </c>
      <c r="I7084" s="499" t="s">
        <v>296</v>
      </c>
      <c r="J7084" s="494"/>
      <c r="K7084" s="499"/>
      <c r="N7084" s="370"/>
    </row>
    <row r="7085" spans="1:14" s="347" customFormat="1" x14ac:dyDescent="0.25">
      <c r="A7085" s="541"/>
      <c r="B7085" s="537"/>
      <c r="C7085" s="537"/>
      <c r="D7085" s="537"/>
      <c r="E7085" s="545"/>
      <c r="F7085" s="545"/>
      <c r="G7085" s="545"/>
      <c r="H7085" s="537"/>
      <c r="I7085" s="537"/>
      <c r="J7085" s="537"/>
      <c r="K7085" s="537"/>
      <c r="N7085" s="370"/>
    </row>
    <row r="7086" spans="1:14" s="347" customFormat="1" x14ac:dyDescent="0.25">
      <c r="A7086" s="536">
        <v>44557</v>
      </c>
      <c r="B7086" s="499">
        <f>+MONTH(A7086)</f>
        <v>12</v>
      </c>
      <c r="C7086" s="494">
        <v>110</v>
      </c>
      <c r="D7086" s="537" t="str">
        <f>VLOOKUP(C7086,Plan!A$1:B$65542,2,0)</f>
        <v>Disponible Administración</v>
      </c>
      <c r="E7086" s="542">
        <f>+F7086-G7086</f>
        <v>20000</v>
      </c>
      <c r="F7086" s="543">
        <v>20000</v>
      </c>
      <c r="G7086" s="545">
        <v>0</v>
      </c>
      <c r="H7086" s="494" t="s">
        <v>880</v>
      </c>
      <c r="I7086" s="499" t="s">
        <v>296</v>
      </c>
      <c r="J7086" s="494"/>
      <c r="K7086" s="499"/>
      <c r="N7086" s="370"/>
    </row>
    <row r="7087" spans="1:14" s="347" customFormat="1" x14ac:dyDescent="0.25">
      <c r="A7087" s="536">
        <f>+A7086</f>
        <v>44557</v>
      </c>
      <c r="B7087" s="499">
        <f>+MONTH(A7087)</f>
        <v>12</v>
      </c>
      <c r="C7087" s="494">
        <v>3110</v>
      </c>
      <c r="D7087" s="537" t="str">
        <f>VLOOKUP(C7087,Plan!A$1:B$65542,2,0)</f>
        <v>Colectas Normales</v>
      </c>
      <c r="E7087" s="542">
        <f>+F7087-G7087</f>
        <v>-20000</v>
      </c>
      <c r="F7087" s="543">
        <v>0</v>
      </c>
      <c r="G7087" s="545">
        <f>+F7086</f>
        <v>20000</v>
      </c>
      <c r="H7087" s="494" t="str">
        <f>+H7086</f>
        <v>Colecta Sebastian Rios</v>
      </c>
      <c r="I7087" s="499" t="s">
        <v>296</v>
      </c>
      <c r="J7087" s="494"/>
      <c r="K7087" s="499"/>
      <c r="N7087" s="370"/>
    </row>
    <row r="7088" spans="1:14" s="347" customFormat="1" x14ac:dyDescent="0.25">
      <c r="A7088" s="541"/>
      <c r="B7088" s="537"/>
      <c r="C7088" s="537"/>
      <c r="D7088" s="537"/>
      <c r="E7088" s="545"/>
      <c r="F7088" s="545"/>
      <c r="G7088" s="545"/>
      <c r="H7088" s="537"/>
      <c r="I7088" s="537"/>
      <c r="J7088" s="537"/>
      <c r="K7088" s="537"/>
      <c r="N7088" s="370"/>
    </row>
    <row r="7089" spans="1:14" s="347" customFormat="1" x14ac:dyDescent="0.25">
      <c r="A7089" s="536">
        <v>44557</v>
      </c>
      <c r="B7089" s="499">
        <f>+MONTH(A7089)</f>
        <v>12</v>
      </c>
      <c r="C7089" s="494">
        <v>110</v>
      </c>
      <c r="D7089" s="537" t="str">
        <f>VLOOKUP(C7089,Plan!A$1:B$65542,2,0)</f>
        <v>Disponible Administración</v>
      </c>
      <c r="E7089" s="542">
        <f>+F7089-G7089</f>
        <v>2000</v>
      </c>
      <c r="F7089" s="543">
        <v>2000</v>
      </c>
      <c r="G7089" s="545">
        <v>0</v>
      </c>
      <c r="H7089" s="494" t="s">
        <v>1216</v>
      </c>
      <c r="I7089" s="499" t="s">
        <v>296</v>
      </c>
      <c r="J7089" s="494"/>
      <c r="K7089" s="499"/>
      <c r="N7089" s="370"/>
    </row>
    <row r="7090" spans="1:14" s="347" customFormat="1" x14ac:dyDescent="0.25">
      <c r="A7090" s="536">
        <f>+A7089</f>
        <v>44557</v>
      </c>
      <c r="B7090" s="499">
        <f>+MONTH(A7090)</f>
        <v>12</v>
      </c>
      <c r="C7090" s="494">
        <v>3110</v>
      </c>
      <c r="D7090" s="537" t="str">
        <f>VLOOKUP(C7090,Plan!A$1:B$65542,2,0)</f>
        <v>Colectas Normales</v>
      </c>
      <c r="E7090" s="542">
        <f>+F7090-G7090</f>
        <v>-2000</v>
      </c>
      <c r="F7090" s="543">
        <v>0</v>
      </c>
      <c r="G7090" s="545">
        <f>+F7089</f>
        <v>2000</v>
      </c>
      <c r="H7090" s="494" t="str">
        <f>+H7089</f>
        <v>Colecta Trinidad Barriga Cruzat</v>
      </c>
      <c r="I7090" s="499" t="s">
        <v>296</v>
      </c>
      <c r="J7090" s="494"/>
      <c r="K7090" s="499"/>
      <c r="N7090" s="370"/>
    </row>
    <row r="7091" spans="1:14" s="347" customFormat="1" x14ac:dyDescent="0.25">
      <c r="A7091" s="541"/>
      <c r="B7091" s="537"/>
      <c r="C7091" s="537"/>
      <c r="D7091" s="537"/>
      <c r="E7091" s="545"/>
      <c r="F7091" s="545"/>
      <c r="G7091" s="545"/>
      <c r="H7091" s="537"/>
      <c r="I7091" s="537"/>
      <c r="J7091" s="537"/>
      <c r="K7091" s="537"/>
      <c r="N7091" s="370"/>
    </row>
    <row r="7092" spans="1:14" s="347" customFormat="1" x14ac:dyDescent="0.25">
      <c r="A7092" s="536">
        <v>44557</v>
      </c>
      <c r="B7092" s="499">
        <f>+MONTH(A7092)</f>
        <v>12</v>
      </c>
      <c r="C7092" s="494">
        <v>110</v>
      </c>
      <c r="D7092" s="537" t="str">
        <f>VLOOKUP(C7092,Plan!A$1:B$65542,2,0)</f>
        <v>Disponible Administración</v>
      </c>
      <c r="E7092" s="542">
        <f>+F7092-G7092</f>
        <v>15000</v>
      </c>
      <c r="F7092" s="543">
        <v>15000</v>
      </c>
      <c r="G7092" s="545">
        <v>0</v>
      </c>
      <c r="H7092" s="494" t="s">
        <v>2117</v>
      </c>
      <c r="I7092" s="499" t="s">
        <v>296</v>
      </c>
      <c r="J7092" s="494"/>
      <c r="K7092" s="499"/>
      <c r="N7092" s="370"/>
    </row>
    <row r="7093" spans="1:14" s="347" customFormat="1" x14ac:dyDescent="0.25">
      <c r="A7093" s="536">
        <f>+A7092</f>
        <v>44557</v>
      </c>
      <c r="B7093" s="499">
        <f>+MONTH(A7093)</f>
        <v>12</v>
      </c>
      <c r="C7093" s="494">
        <v>3110</v>
      </c>
      <c r="D7093" s="537" t="str">
        <f>VLOOKUP(C7093,Plan!A$1:B$65542,2,0)</f>
        <v>Colectas Normales</v>
      </c>
      <c r="E7093" s="542">
        <f>+F7093-G7093</f>
        <v>-15000</v>
      </c>
      <c r="F7093" s="543">
        <v>0</v>
      </c>
      <c r="G7093" s="545">
        <f>+F7092</f>
        <v>15000</v>
      </c>
      <c r="H7093" s="494" t="str">
        <f>+H7092</f>
        <v>Colecta Maria Car Rios Ramirez</v>
      </c>
      <c r="I7093" s="499" t="s">
        <v>296</v>
      </c>
      <c r="J7093" s="494"/>
      <c r="K7093" s="499"/>
      <c r="N7093" s="370"/>
    </row>
    <row r="7094" spans="1:14" s="347" customFormat="1" x14ac:dyDescent="0.25">
      <c r="A7094" s="541"/>
      <c r="B7094" s="537"/>
      <c r="C7094" s="537"/>
      <c r="D7094" s="537"/>
      <c r="E7094" s="545"/>
      <c r="F7094" s="545"/>
      <c r="G7094" s="545"/>
      <c r="H7094" s="537"/>
      <c r="I7094" s="537"/>
      <c r="J7094" s="537"/>
      <c r="K7094" s="537"/>
      <c r="N7094" s="370"/>
    </row>
    <row r="7095" spans="1:14" s="347" customFormat="1" x14ac:dyDescent="0.25">
      <c r="A7095" s="536">
        <v>44557</v>
      </c>
      <c r="B7095" s="499">
        <f>+MONTH(A7095)</f>
        <v>12</v>
      </c>
      <c r="C7095" s="494">
        <v>110</v>
      </c>
      <c r="D7095" s="537" t="str">
        <f>VLOOKUP(C7095,Plan!A$1:B$65542,2,0)</f>
        <v>Disponible Administración</v>
      </c>
      <c r="E7095" s="542">
        <f>+F7095-G7095</f>
        <v>15000</v>
      </c>
      <c r="F7095" s="543">
        <v>15000</v>
      </c>
      <c r="G7095" s="545">
        <v>0</v>
      </c>
      <c r="H7095" s="494" t="s">
        <v>2504</v>
      </c>
      <c r="I7095" s="499" t="s">
        <v>296</v>
      </c>
      <c r="J7095" s="494"/>
      <c r="K7095" s="499"/>
      <c r="N7095" s="370"/>
    </row>
    <row r="7096" spans="1:14" s="347" customFormat="1" x14ac:dyDescent="0.25">
      <c r="A7096" s="536">
        <f>+A7095</f>
        <v>44557</v>
      </c>
      <c r="B7096" s="499">
        <f>+MONTH(A7096)</f>
        <v>12</v>
      </c>
      <c r="C7096" s="494">
        <v>3110</v>
      </c>
      <c r="D7096" s="537" t="str">
        <f>VLOOKUP(C7096,Plan!A$1:B$65542,2,0)</f>
        <v>Colectas Normales</v>
      </c>
      <c r="E7096" s="542">
        <f>+F7096-G7096</f>
        <v>-15000</v>
      </c>
      <c r="F7096" s="543">
        <v>0</v>
      </c>
      <c r="G7096" s="545">
        <f>+F7095</f>
        <v>15000</v>
      </c>
      <c r="H7096" s="494" t="str">
        <f>+H7095</f>
        <v>Colecta Jose Binimelis De Dios</v>
      </c>
      <c r="I7096" s="499" t="s">
        <v>296</v>
      </c>
      <c r="J7096" s="494"/>
      <c r="K7096" s="499"/>
      <c r="N7096" s="370"/>
    </row>
    <row r="7097" spans="1:14" s="347" customFormat="1" x14ac:dyDescent="0.25">
      <c r="A7097" s="541"/>
      <c r="B7097" s="537"/>
      <c r="C7097" s="537"/>
      <c r="D7097" s="537"/>
      <c r="E7097" s="545"/>
      <c r="F7097" s="545"/>
      <c r="G7097" s="545"/>
      <c r="H7097" s="537"/>
      <c r="I7097" s="537"/>
      <c r="J7097" s="537"/>
      <c r="K7097" s="537"/>
      <c r="N7097" s="370"/>
    </row>
    <row r="7098" spans="1:14" s="347" customFormat="1" x14ac:dyDescent="0.25">
      <c r="A7098" s="536">
        <v>44558</v>
      </c>
      <c r="B7098" s="499">
        <f>+MONTH(A7098)</f>
        <v>12</v>
      </c>
      <c r="C7098" s="494">
        <v>110</v>
      </c>
      <c r="D7098" s="537" t="str">
        <f>VLOOKUP(C7098,Plan!A$1:B$65542,2,0)</f>
        <v>Disponible Administración</v>
      </c>
      <c r="E7098" s="542">
        <f>+F7098-G7098</f>
        <v>20000</v>
      </c>
      <c r="F7098" s="543">
        <v>20000</v>
      </c>
      <c r="G7098" s="545">
        <v>0</v>
      </c>
      <c r="H7098" s="494" t="s">
        <v>2505</v>
      </c>
      <c r="I7098" s="499" t="s">
        <v>296</v>
      </c>
      <c r="J7098" s="494"/>
      <c r="K7098" s="499"/>
      <c r="N7098" s="370"/>
    </row>
    <row r="7099" spans="1:14" s="347" customFormat="1" x14ac:dyDescent="0.25">
      <c r="A7099" s="536">
        <f>+A7098</f>
        <v>44558</v>
      </c>
      <c r="B7099" s="499">
        <f>+MONTH(A7099)</f>
        <v>12</v>
      </c>
      <c r="C7099" s="494">
        <v>3110</v>
      </c>
      <c r="D7099" s="537" t="str">
        <f>VLOOKUP(C7099,Plan!A$1:B$65542,2,0)</f>
        <v>Colectas Normales</v>
      </c>
      <c r="E7099" s="542">
        <f>+F7099-G7099</f>
        <v>-20000</v>
      </c>
      <c r="F7099" s="543">
        <v>0</v>
      </c>
      <c r="G7099" s="545">
        <f>+F7098</f>
        <v>20000</v>
      </c>
      <c r="H7099" s="494" t="str">
        <f>+H7098</f>
        <v>Coelcta Jorge Claude Bourdel</v>
      </c>
      <c r="I7099" s="499" t="s">
        <v>296</v>
      </c>
      <c r="J7099" s="494"/>
      <c r="K7099" s="499"/>
      <c r="N7099" s="370"/>
    </row>
    <row r="7100" spans="1:14" s="347" customFormat="1" x14ac:dyDescent="0.25">
      <c r="A7100" s="541"/>
      <c r="B7100" s="537"/>
      <c r="C7100" s="537"/>
      <c r="D7100" s="537"/>
      <c r="E7100" s="545"/>
      <c r="F7100" s="545"/>
      <c r="G7100" s="545"/>
      <c r="H7100" s="537"/>
      <c r="I7100" s="537"/>
      <c r="J7100" s="537"/>
      <c r="K7100" s="537"/>
      <c r="N7100" s="370"/>
    </row>
    <row r="7101" spans="1:14" s="347" customFormat="1" x14ac:dyDescent="0.25">
      <c r="A7101" s="536">
        <v>44558</v>
      </c>
      <c r="B7101" s="499">
        <f>+MONTH(A7101)</f>
        <v>12</v>
      </c>
      <c r="C7101" s="494">
        <v>110</v>
      </c>
      <c r="D7101" s="537" t="str">
        <f>VLOOKUP(C7101,Plan!A$1:B$65542,2,0)</f>
        <v>Disponible Administración</v>
      </c>
      <c r="E7101" s="542">
        <f>+F7101-G7101</f>
        <v>678649</v>
      </c>
      <c r="F7101" s="543">
        <v>678649</v>
      </c>
      <c r="G7101" s="545">
        <v>0</v>
      </c>
      <c r="H7101" s="494" t="s">
        <v>897</v>
      </c>
      <c r="I7101" s="499" t="s">
        <v>296</v>
      </c>
      <c r="J7101" s="494"/>
      <c r="K7101" s="499"/>
      <c r="N7101" s="370"/>
    </row>
    <row r="7102" spans="1:14" s="347" customFormat="1" x14ac:dyDescent="0.25">
      <c r="A7102" s="536">
        <f>+A7101</f>
        <v>44558</v>
      </c>
      <c r="B7102" s="499">
        <f>+MONTH(A7102)</f>
        <v>12</v>
      </c>
      <c r="C7102" s="494">
        <v>3110</v>
      </c>
      <c r="D7102" s="537" t="str">
        <f>VLOOKUP(C7102,Plan!A$1:B$65542,2,0)</f>
        <v>Colectas Normales</v>
      </c>
      <c r="E7102" s="542">
        <f>+F7102-G7102</f>
        <v>-678649</v>
      </c>
      <c r="F7102" s="543">
        <v>0</v>
      </c>
      <c r="G7102" s="545">
        <f>+F7101</f>
        <v>678649</v>
      </c>
      <c r="H7102" s="494" t="str">
        <f>+H7101</f>
        <v>Colecta DCT</v>
      </c>
      <c r="I7102" s="499" t="s">
        <v>296</v>
      </c>
      <c r="J7102" s="494"/>
      <c r="K7102" s="499"/>
      <c r="N7102" s="370"/>
    </row>
    <row r="7103" spans="1:14" s="347" customFormat="1" x14ac:dyDescent="0.25">
      <c r="A7103" s="541"/>
      <c r="B7103" s="537"/>
      <c r="C7103" s="537"/>
      <c r="D7103" s="537"/>
      <c r="E7103" s="545"/>
      <c r="F7103" s="545"/>
      <c r="G7103" s="545"/>
      <c r="H7103" s="537"/>
      <c r="I7103" s="537"/>
      <c r="J7103" s="537"/>
      <c r="K7103" s="537"/>
      <c r="N7103" s="370"/>
    </row>
    <row r="7104" spans="1:14" s="347" customFormat="1" x14ac:dyDescent="0.25">
      <c r="A7104" s="536">
        <v>44558</v>
      </c>
      <c r="B7104" s="499">
        <f>+MONTH(A7104)</f>
        <v>12</v>
      </c>
      <c r="C7104" s="494">
        <v>110</v>
      </c>
      <c r="D7104" s="537" t="str">
        <f>VLOOKUP(C7104,Plan!A$1:B$65542,2,0)</f>
        <v>Disponible Administración</v>
      </c>
      <c r="E7104" s="542">
        <f>+F7104-G7104</f>
        <v>19648</v>
      </c>
      <c r="F7104" s="543">
        <v>19648</v>
      </c>
      <c r="G7104" s="545">
        <v>0</v>
      </c>
      <c r="H7104" s="494" t="s">
        <v>2506</v>
      </c>
      <c r="I7104" s="499" t="s">
        <v>296</v>
      </c>
      <c r="J7104" s="494"/>
      <c r="K7104" s="499"/>
      <c r="N7104" s="370"/>
    </row>
    <row r="7105" spans="1:14" s="347" customFormat="1" x14ac:dyDescent="0.25">
      <c r="A7105" s="536">
        <f>+A7104</f>
        <v>44558</v>
      </c>
      <c r="B7105" s="499">
        <f>+MONTH(A7105)</f>
        <v>12</v>
      </c>
      <c r="C7105" s="494">
        <v>215</v>
      </c>
      <c r="D7105" s="537" t="str">
        <f>VLOOKUP(C7105,Plan!A$1:B$65542,2,0)</f>
        <v>Cuenta por Pagar a Cali</v>
      </c>
      <c r="E7105" s="542">
        <f>+F7105-G7105</f>
        <v>-19648</v>
      </c>
      <c r="F7105" s="543">
        <v>0</v>
      </c>
      <c r="G7105" s="545">
        <f>+F7104</f>
        <v>19648</v>
      </c>
      <c r="H7105" s="494" t="str">
        <f>+H7104</f>
        <v>Magdalena Fernández. ($20.000)</v>
      </c>
      <c r="I7105" s="499" t="s">
        <v>296</v>
      </c>
      <c r="J7105" s="494"/>
      <c r="K7105" s="499"/>
      <c r="N7105" s="370"/>
    </row>
    <row r="7106" spans="1:14" s="347" customFormat="1" x14ac:dyDescent="0.25">
      <c r="A7106" s="541"/>
      <c r="B7106" s="537"/>
      <c r="C7106" s="537"/>
      <c r="D7106" s="537"/>
      <c r="E7106" s="545"/>
      <c r="F7106" s="545"/>
      <c r="G7106" s="545"/>
      <c r="H7106" s="537"/>
      <c r="I7106" s="537"/>
      <c r="J7106" s="537"/>
      <c r="K7106" s="537"/>
      <c r="N7106" s="370"/>
    </row>
    <row r="7107" spans="1:14" s="347" customFormat="1" x14ac:dyDescent="0.25">
      <c r="A7107" s="536">
        <v>44558</v>
      </c>
      <c r="B7107" s="499">
        <f>+MONTH(A7107)</f>
        <v>12</v>
      </c>
      <c r="C7107" s="494">
        <v>110</v>
      </c>
      <c r="D7107" s="537" t="str">
        <f>VLOOKUP(C7107,Plan!A$1:B$65542,2,0)</f>
        <v>Disponible Administración</v>
      </c>
      <c r="E7107" s="542">
        <f>+F7107-G7107</f>
        <v>20000</v>
      </c>
      <c r="F7107" s="543">
        <v>20000</v>
      </c>
      <c r="G7107" s="545">
        <v>0</v>
      </c>
      <c r="H7107" s="494" t="s">
        <v>2507</v>
      </c>
      <c r="I7107" s="499" t="s">
        <v>296</v>
      </c>
      <c r="J7107" s="494"/>
      <c r="K7107" s="499"/>
      <c r="N7107" s="370"/>
    </row>
    <row r="7108" spans="1:14" s="347" customFormat="1" x14ac:dyDescent="0.25">
      <c r="A7108" s="536">
        <f>+A7107</f>
        <v>44558</v>
      </c>
      <c r="B7108" s="499">
        <f>+MONTH(A7108)</f>
        <v>12</v>
      </c>
      <c r="C7108" s="494">
        <v>3110</v>
      </c>
      <c r="D7108" s="537" t="str">
        <f>VLOOKUP(C7108,Plan!A$1:B$65542,2,0)</f>
        <v>Colectas Normales</v>
      </c>
      <c r="E7108" s="542">
        <f>+F7108-G7108</f>
        <v>-20000</v>
      </c>
      <c r="F7108" s="543">
        <v>0</v>
      </c>
      <c r="G7108" s="545">
        <f>+F7107</f>
        <v>20000</v>
      </c>
      <c r="H7108" s="494" t="str">
        <f>+H7107</f>
        <v>Colecta Pablo Ignacio Garcia Prieto</v>
      </c>
      <c r="I7108" s="499" t="s">
        <v>296</v>
      </c>
      <c r="J7108" s="494"/>
      <c r="K7108" s="499"/>
      <c r="N7108" s="370"/>
    </row>
    <row r="7109" spans="1:14" s="347" customFormat="1" x14ac:dyDescent="0.25">
      <c r="A7109" s="541"/>
      <c r="B7109" s="537"/>
      <c r="C7109" s="537"/>
      <c r="D7109" s="537"/>
      <c r="E7109" s="545"/>
      <c r="F7109" s="545"/>
      <c r="G7109" s="545"/>
      <c r="H7109" s="537"/>
      <c r="I7109" s="537"/>
      <c r="J7109" s="537"/>
      <c r="K7109" s="537"/>
      <c r="N7109" s="370"/>
    </row>
    <row r="7110" spans="1:14" s="347" customFormat="1" x14ac:dyDescent="0.25">
      <c r="A7110" s="536">
        <v>44558</v>
      </c>
      <c r="B7110" s="499">
        <f>+MONTH(A7110)</f>
        <v>12</v>
      </c>
      <c r="C7110" s="494">
        <v>110</v>
      </c>
      <c r="D7110" s="537" t="str">
        <f>VLOOKUP(C7110,Plan!A$1:B$65542,2,0)</f>
        <v>Disponible Administración</v>
      </c>
      <c r="E7110" s="542">
        <f>+F7110-G7110</f>
        <v>980350</v>
      </c>
      <c r="F7110" s="543">
        <v>980350</v>
      </c>
      <c r="G7110" s="545">
        <v>0</v>
      </c>
      <c r="H7110" s="494" t="s">
        <v>2508</v>
      </c>
      <c r="I7110" s="499" t="s">
        <v>296</v>
      </c>
      <c r="J7110" s="494"/>
      <c r="K7110" s="499"/>
      <c r="N7110" s="370"/>
    </row>
    <row r="7111" spans="1:14" s="347" customFormat="1" x14ac:dyDescent="0.25">
      <c r="A7111" s="536">
        <f>+A7110</f>
        <v>44558</v>
      </c>
      <c r="B7111" s="499">
        <f>+MONTH(A7111)</f>
        <v>12</v>
      </c>
      <c r="C7111" s="494">
        <v>3110</v>
      </c>
      <c r="D7111" s="537" t="str">
        <f>VLOOKUP(C7111,Plan!A$1:B$65542,2,0)</f>
        <v>Colectas Normales</v>
      </c>
      <c r="E7111" s="542">
        <f>+F7111-G7111</f>
        <v>-980350</v>
      </c>
      <c r="F7111" s="543">
        <v>0</v>
      </c>
      <c r="G7111" s="545">
        <f>+F7110</f>
        <v>980350</v>
      </c>
      <c r="H7111" s="494" t="str">
        <f>+H7110</f>
        <v>Colecta Misa de Navidad 24/12/2021</v>
      </c>
      <c r="I7111" s="499" t="s">
        <v>296</v>
      </c>
      <c r="J7111" s="494"/>
      <c r="K7111" s="499"/>
      <c r="N7111" s="370"/>
    </row>
    <row r="7112" spans="1:14" s="347" customFormat="1" x14ac:dyDescent="0.25">
      <c r="A7112" s="541"/>
      <c r="B7112" s="537"/>
      <c r="C7112" s="537"/>
      <c r="D7112" s="537"/>
      <c r="E7112" s="545"/>
      <c r="F7112" s="545"/>
      <c r="G7112" s="545"/>
      <c r="H7112" s="537"/>
      <c r="I7112" s="537"/>
      <c r="J7112" s="537"/>
      <c r="K7112" s="537"/>
      <c r="N7112" s="370"/>
    </row>
    <row r="7113" spans="1:14" s="347" customFormat="1" x14ac:dyDescent="0.25">
      <c r="A7113" s="536">
        <v>44558</v>
      </c>
      <c r="B7113" s="499">
        <f>+MONTH(A7113)</f>
        <v>12</v>
      </c>
      <c r="C7113" s="494">
        <v>110</v>
      </c>
      <c r="D7113" s="537" t="str">
        <f>VLOOKUP(C7113,Plan!A$1:B$65542,2,0)</f>
        <v>Disponible Administración</v>
      </c>
      <c r="E7113" s="542">
        <f>+F7113-G7113</f>
        <v>1345000</v>
      </c>
      <c r="F7113" s="543">
        <v>1345000</v>
      </c>
      <c r="G7113" s="545">
        <v>0</v>
      </c>
      <c r="H7113" s="494" t="s">
        <v>2127</v>
      </c>
      <c r="I7113" s="499" t="s">
        <v>296</v>
      </c>
      <c r="J7113" s="494"/>
      <c r="K7113" s="499"/>
      <c r="N7113" s="370"/>
    </row>
    <row r="7114" spans="1:14" s="347" customFormat="1" x14ac:dyDescent="0.25">
      <c r="A7114" s="536">
        <f>+A7113</f>
        <v>44558</v>
      </c>
      <c r="B7114" s="499">
        <f>+MONTH(A7114)</f>
        <v>12</v>
      </c>
      <c r="C7114" s="494">
        <v>3110</v>
      </c>
      <c r="D7114" s="537" t="str">
        <f>VLOOKUP(C7114,Plan!A$1:B$65542,2,0)</f>
        <v>Colectas Normales</v>
      </c>
      <c r="E7114" s="542">
        <f>+F7114-G7114</f>
        <v>-1345000</v>
      </c>
      <c r="F7114" s="543">
        <v>0</v>
      </c>
      <c r="G7114" s="545">
        <f>+F7113</f>
        <v>1345000</v>
      </c>
      <c r="H7114" s="494" t="str">
        <f>+H7113</f>
        <v>Colecta Col.Cordillera y Cumbres</v>
      </c>
      <c r="I7114" s="499" t="s">
        <v>296</v>
      </c>
      <c r="J7114" s="494"/>
      <c r="K7114" s="499"/>
      <c r="N7114" s="370"/>
    </row>
    <row r="7115" spans="1:14" s="347" customFormat="1" x14ac:dyDescent="0.25">
      <c r="A7115" s="541"/>
      <c r="B7115" s="537"/>
      <c r="C7115" s="537"/>
      <c r="D7115" s="537"/>
      <c r="E7115" s="545"/>
      <c r="F7115" s="545"/>
      <c r="G7115" s="545"/>
      <c r="H7115" s="537"/>
      <c r="I7115" s="537"/>
      <c r="J7115" s="537"/>
      <c r="K7115" s="537"/>
      <c r="N7115" s="370"/>
    </row>
    <row r="7116" spans="1:14" s="347" customFormat="1" x14ac:dyDescent="0.25">
      <c r="A7116" s="536">
        <v>44558</v>
      </c>
      <c r="B7116" s="499">
        <f>+MONTH(A7116)</f>
        <v>12</v>
      </c>
      <c r="C7116" s="494">
        <v>110</v>
      </c>
      <c r="D7116" s="537" t="str">
        <f>VLOOKUP(C7116,Plan!A$1:B$65542,2,0)</f>
        <v>Disponible Administración</v>
      </c>
      <c r="E7116" s="542">
        <f>+F7116-G7116</f>
        <v>11810</v>
      </c>
      <c r="F7116" s="543">
        <v>11810</v>
      </c>
      <c r="G7116" s="545">
        <v>0</v>
      </c>
      <c r="H7116" s="494" t="s">
        <v>2127</v>
      </c>
      <c r="I7116" s="499" t="s">
        <v>296</v>
      </c>
      <c r="J7116" s="494"/>
      <c r="K7116" s="499"/>
      <c r="N7116" s="370"/>
    </row>
    <row r="7117" spans="1:14" s="347" customFormat="1" x14ac:dyDescent="0.25">
      <c r="A7117" s="536">
        <f>+A7116</f>
        <v>44558</v>
      </c>
      <c r="B7117" s="499">
        <f>+MONTH(A7117)</f>
        <v>12</v>
      </c>
      <c r="C7117" s="494">
        <v>3110</v>
      </c>
      <c r="D7117" s="537" t="str">
        <f>VLOOKUP(C7117,Plan!A$1:B$65542,2,0)</f>
        <v>Colectas Normales</v>
      </c>
      <c r="E7117" s="542">
        <f>+F7117-G7117</f>
        <v>-11810</v>
      </c>
      <c r="F7117" s="543">
        <v>0</v>
      </c>
      <c r="G7117" s="545">
        <f>+F7116</f>
        <v>11810</v>
      </c>
      <c r="H7117" s="494" t="str">
        <f>+H7116</f>
        <v>Colecta Col.Cordillera y Cumbres</v>
      </c>
      <c r="I7117" s="499" t="s">
        <v>296</v>
      </c>
      <c r="J7117" s="494"/>
      <c r="K7117" s="499"/>
      <c r="N7117" s="370"/>
    </row>
    <row r="7118" spans="1:14" s="347" customFormat="1" x14ac:dyDescent="0.25">
      <c r="A7118" s="541"/>
      <c r="B7118" s="537"/>
      <c r="C7118" s="537"/>
      <c r="D7118" s="537"/>
      <c r="E7118" s="545"/>
      <c r="F7118" s="545"/>
      <c r="G7118" s="545"/>
      <c r="H7118" s="537"/>
      <c r="I7118" s="537"/>
      <c r="J7118" s="537"/>
      <c r="K7118" s="537"/>
      <c r="N7118" s="370"/>
    </row>
    <row r="7119" spans="1:14" s="347" customFormat="1" x14ac:dyDescent="0.25">
      <c r="A7119" s="536">
        <v>44559</v>
      </c>
      <c r="B7119" s="499">
        <f>+MONTH(A7119)</f>
        <v>12</v>
      </c>
      <c r="C7119" s="494">
        <v>110</v>
      </c>
      <c r="D7119" s="537" t="str">
        <f>VLOOKUP(C7119,Plan!A$1:B$65542,2,0)</f>
        <v>Disponible Administración</v>
      </c>
      <c r="E7119" s="542">
        <f>+F7119-G7119</f>
        <v>20000</v>
      </c>
      <c r="F7119" s="543">
        <v>20000</v>
      </c>
      <c r="G7119" s="545">
        <v>0</v>
      </c>
      <c r="H7119" s="494" t="s">
        <v>2509</v>
      </c>
      <c r="I7119" s="499" t="s">
        <v>296</v>
      </c>
      <c r="J7119" s="494"/>
      <c r="K7119" s="499"/>
      <c r="N7119" s="370"/>
    </row>
    <row r="7120" spans="1:14" s="347" customFormat="1" x14ac:dyDescent="0.25">
      <c r="A7120" s="536">
        <f>+A7119</f>
        <v>44559</v>
      </c>
      <c r="B7120" s="499">
        <f>+MONTH(A7120)</f>
        <v>12</v>
      </c>
      <c r="C7120" s="494">
        <v>3110</v>
      </c>
      <c r="D7120" s="537" t="str">
        <f>VLOOKUP(C7120,Plan!A$1:B$65542,2,0)</f>
        <v>Colectas Normales</v>
      </c>
      <c r="E7120" s="542">
        <f>+F7120-G7120</f>
        <v>-20000</v>
      </c>
      <c r="F7120" s="543">
        <v>0</v>
      </c>
      <c r="G7120" s="545">
        <f>+F7119</f>
        <v>20000</v>
      </c>
      <c r="H7120" s="494" t="str">
        <f>+H7119</f>
        <v>Colecta Alejandra Bañados</v>
      </c>
      <c r="I7120" s="499" t="s">
        <v>296</v>
      </c>
      <c r="J7120" s="494"/>
      <c r="K7120" s="499"/>
      <c r="N7120" s="370"/>
    </row>
    <row r="7121" spans="1:14" s="347" customFormat="1" x14ac:dyDescent="0.25">
      <c r="A7121" s="541"/>
      <c r="B7121" s="537"/>
      <c r="C7121" s="537"/>
      <c r="D7121" s="537"/>
      <c r="E7121" s="545"/>
      <c r="F7121" s="545"/>
      <c r="G7121" s="545"/>
      <c r="H7121" s="537"/>
      <c r="I7121" s="537"/>
      <c r="J7121" s="537"/>
      <c r="K7121" s="537"/>
      <c r="N7121" s="370"/>
    </row>
    <row r="7122" spans="1:14" s="347" customFormat="1" x14ac:dyDescent="0.25">
      <c r="A7122" s="536">
        <v>44559</v>
      </c>
      <c r="B7122" s="499">
        <f>+MONTH(A7122)</f>
        <v>12</v>
      </c>
      <c r="C7122" s="494">
        <v>110</v>
      </c>
      <c r="D7122" s="537" t="str">
        <f>VLOOKUP(C7122,Plan!A$1:B$65542,2,0)</f>
        <v>Disponible Administración</v>
      </c>
      <c r="E7122" s="542">
        <f>+F7122-G7122</f>
        <v>79335</v>
      </c>
      <c r="F7122" s="543">
        <v>79335</v>
      </c>
      <c r="G7122" s="545">
        <v>0</v>
      </c>
      <c r="H7122" s="494" t="s">
        <v>897</v>
      </c>
      <c r="I7122" s="499" t="s">
        <v>296</v>
      </c>
      <c r="J7122" s="494"/>
      <c r="K7122" s="499"/>
      <c r="N7122" s="370"/>
    </row>
    <row r="7123" spans="1:14" s="347" customFormat="1" x14ac:dyDescent="0.25">
      <c r="A7123" s="536">
        <f>+A7122</f>
        <v>44559</v>
      </c>
      <c r="B7123" s="499">
        <f>+MONTH(A7123)</f>
        <v>12</v>
      </c>
      <c r="C7123" s="494">
        <v>3110</v>
      </c>
      <c r="D7123" s="537" t="str">
        <f>VLOOKUP(C7123,Plan!A$1:B$65542,2,0)</f>
        <v>Colectas Normales</v>
      </c>
      <c r="E7123" s="542">
        <f>+F7123-G7123</f>
        <v>-79335</v>
      </c>
      <c r="F7123" s="543">
        <v>0</v>
      </c>
      <c r="G7123" s="545">
        <f>+F7122</f>
        <v>79335</v>
      </c>
      <c r="H7123" s="494" t="str">
        <f>+H7122</f>
        <v>Colecta DCT</v>
      </c>
      <c r="I7123" s="499" t="s">
        <v>296</v>
      </c>
      <c r="J7123" s="494"/>
      <c r="K7123" s="499"/>
      <c r="N7123" s="370"/>
    </row>
    <row r="7124" spans="1:14" s="347" customFormat="1" x14ac:dyDescent="0.25">
      <c r="A7124" s="541"/>
      <c r="B7124" s="537"/>
      <c r="C7124" s="537"/>
      <c r="D7124" s="537"/>
      <c r="E7124" s="545"/>
      <c r="F7124" s="545"/>
      <c r="G7124" s="545"/>
      <c r="H7124" s="537"/>
      <c r="I7124" s="537"/>
      <c r="J7124" s="537"/>
      <c r="K7124" s="537"/>
      <c r="N7124" s="370"/>
    </row>
    <row r="7125" spans="1:14" s="347" customFormat="1" x14ac:dyDescent="0.25">
      <c r="A7125" s="536">
        <v>44559</v>
      </c>
      <c r="B7125" s="499">
        <f>+MONTH(A7125)</f>
        <v>12</v>
      </c>
      <c r="C7125" s="494">
        <v>4680</v>
      </c>
      <c r="D7125" s="537" t="str">
        <f>VLOOKUP(C7125,Plan!A$1:B$65542,2,0)</f>
        <v>Pastoral Comunicacional</v>
      </c>
      <c r="E7125" s="542">
        <f>+F7125-G7125</f>
        <v>424762</v>
      </c>
      <c r="F7125" s="543">
        <v>424762</v>
      </c>
      <c r="G7125" s="545">
        <v>0</v>
      </c>
      <c r="H7125" s="494" t="s">
        <v>2510</v>
      </c>
      <c r="I7125" s="499" t="s">
        <v>296</v>
      </c>
      <c r="J7125" s="494"/>
      <c r="K7125" s="499"/>
      <c r="N7125" s="370"/>
    </row>
    <row r="7126" spans="1:14" s="347" customFormat="1" x14ac:dyDescent="0.25">
      <c r="A7126" s="536">
        <f>+A7125</f>
        <v>44559</v>
      </c>
      <c r="B7126" s="499">
        <f>+MONTH(A7126)</f>
        <v>12</v>
      </c>
      <c r="C7126" s="494">
        <v>110</v>
      </c>
      <c r="D7126" s="537" t="str">
        <f>VLOOKUP(C7126,Plan!A$1:B$65542,2,0)</f>
        <v>Disponible Administración</v>
      </c>
      <c r="E7126" s="542">
        <f>+F7126-G7126</f>
        <v>-424762</v>
      </c>
      <c r="F7126" s="543">
        <v>0</v>
      </c>
      <c r="G7126" s="545">
        <f>+F7125</f>
        <v>424762</v>
      </c>
      <c r="H7126" s="494" t="str">
        <f>+H7125</f>
        <v>F.861 Serv. Dic.21</v>
      </c>
      <c r="I7126" s="499" t="s">
        <v>296</v>
      </c>
      <c r="J7126" s="494"/>
      <c r="K7126" s="499"/>
      <c r="N7126" s="370"/>
    </row>
    <row r="7127" spans="1:14" s="347" customFormat="1" x14ac:dyDescent="0.25">
      <c r="A7127" s="541"/>
      <c r="B7127" s="537"/>
      <c r="C7127" s="537"/>
      <c r="D7127" s="537"/>
      <c r="E7127" s="545"/>
      <c r="F7127" s="545"/>
      <c r="G7127" s="545"/>
      <c r="H7127" s="537"/>
      <c r="I7127" s="537"/>
      <c r="J7127" s="537"/>
      <c r="K7127" s="537"/>
      <c r="N7127" s="370"/>
    </row>
    <row r="7128" spans="1:14" s="347" customFormat="1" x14ac:dyDescent="0.25">
      <c r="A7128" s="536">
        <v>44559</v>
      </c>
      <c r="B7128" s="499">
        <f>+MONTH(A7128)</f>
        <v>12</v>
      </c>
      <c r="C7128" s="494">
        <v>4641</v>
      </c>
      <c r="D7128" s="537" t="str">
        <f>VLOOKUP(C7128,Plan!A$1:B$65542,2,0)</f>
        <v xml:space="preserve">             Capellanías </v>
      </c>
      <c r="E7128" s="542">
        <f>+F7128-G7128</f>
        <v>50000</v>
      </c>
      <c r="F7128" s="543">
        <v>50000</v>
      </c>
      <c r="G7128" s="545">
        <v>0</v>
      </c>
      <c r="H7128" s="494" t="s">
        <v>2511</v>
      </c>
      <c r="I7128" s="499" t="s">
        <v>296</v>
      </c>
      <c r="J7128" s="494"/>
      <c r="K7128" s="499"/>
      <c r="N7128" s="370"/>
    </row>
    <row r="7129" spans="1:14" s="347" customFormat="1" x14ac:dyDescent="0.25">
      <c r="A7129" s="536">
        <f>+A7128</f>
        <v>44559</v>
      </c>
      <c r="B7129" s="499">
        <f>+MONTH(A7129)</f>
        <v>12</v>
      </c>
      <c r="C7129" s="494">
        <v>110</v>
      </c>
      <c r="D7129" s="537" t="str">
        <f>VLOOKUP(C7129,Plan!A$1:B$65542,2,0)</f>
        <v>Disponible Administración</v>
      </c>
      <c r="E7129" s="542">
        <f>+F7129-G7129</f>
        <v>-50000</v>
      </c>
      <c r="F7129" s="543">
        <v>0</v>
      </c>
      <c r="G7129" s="545">
        <f>+F7128</f>
        <v>50000</v>
      </c>
      <c r="H7129" s="494" t="str">
        <f>+H7128</f>
        <v>Capellanía Diciembre</v>
      </c>
      <c r="I7129" s="499" t="s">
        <v>296</v>
      </c>
      <c r="J7129" s="494"/>
      <c r="K7129" s="499"/>
      <c r="N7129" s="370"/>
    </row>
    <row r="7130" spans="1:14" s="347" customFormat="1" x14ac:dyDescent="0.25">
      <c r="A7130" s="541"/>
      <c r="B7130" s="537"/>
      <c r="C7130" s="537"/>
      <c r="D7130" s="537"/>
      <c r="E7130" s="545"/>
      <c r="F7130" s="545"/>
      <c r="G7130" s="545"/>
      <c r="H7130" s="537"/>
      <c r="I7130" s="537"/>
      <c r="J7130" s="537"/>
      <c r="K7130" s="537"/>
      <c r="N7130" s="370"/>
    </row>
    <row r="7131" spans="1:14" s="347" customFormat="1" x14ac:dyDescent="0.25">
      <c r="A7131" s="536">
        <v>44559</v>
      </c>
      <c r="B7131" s="499">
        <f>+MONTH(A7131)</f>
        <v>12</v>
      </c>
      <c r="C7131" s="494">
        <v>4643</v>
      </c>
      <c r="D7131" s="537" t="str">
        <f>VLOOKUP(C7131,Plan!A$1:B$65542,2,0)</f>
        <v xml:space="preserve">             Otros</v>
      </c>
      <c r="E7131" s="542">
        <f>+F7131-G7131</f>
        <v>220000</v>
      </c>
      <c r="F7131" s="543">
        <f>+G7132+G7133</f>
        <v>220000</v>
      </c>
      <c r="G7131" s="544">
        <v>0</v>
      </c>
      <c r="H7131" s="494" t="s">
        <v>2512</v>
      </c>
      <c r="I7131" s="499" t="s">
        <v>296</v>
      </c>
      <c r="J7131" s="494"/>
      <c r="K7131" s="499"/>
      <c r="N7131" s="370"/>
    </row>
    <row r="7132" spans="1:14" s="347" customFormat="1" x14ac:dyDescent="0.25">
      <c r="A7132" s="536">
        <f>+A7131</f>
        <v>44559</v>
      </c>
      <c r="B7132" s="499">
        <f>+MONTH(A7132)</f>
        <v>12</v>
      </c>
      <c r="C7132" s="494">
        <v>223</v>
      </c>
      <c r="D7132" s="537" t="str">
        <f>VLOOKUP(C7132,Plan!A$1:B$65542,2,0)</f>
        <v>Ret. Hon.  e Impto. Unico Administración</v>
      </c>
      <c r="E7132" s="542">
        <f>+F7132-G7132</f>
        <v>-25300</v>
      </c>
      <c r="F7132" s="543">
        <v>0</v>
      </c>
      <c r="G7132" s="544">
        <v>25300</v>
      </c>
      <c r="H7132" s="494" t="str">
        <f>+H7131</f>
        <v>BTE-126 DORLLY CLARET CARDENAS LINDARTE</v>
      </c>
      <c r="I7132" s="499" t="str">
        <f>+I7131</f>
        <v>Administración</v>
      </c>
      <c r="J7132" s="494"/>
      <c r="K7132" s="499"/>
      <c r="N7132" s="370"/>
    </row>
    <row r="7133" spans="1:14" s="347" customFormat="1" x14ac:dyDescent="0.25">
      <c r="A7133" s="536">
        <f>+A7131</f>
        <v>44559</v>
      </c>
      <c r="B7133" s="499">
        <f>+MONTH(A7133)</f>
        <v>12</v>
      </c>
      <c r="C7133" s="494">
        <v>110</v>
      </c>
      <c r="D7133" s="537" t="str">
        <f>VLOOKUP(C7133,Plan!A$1:B$65542,2,0)</f>
        <v>Disponible Administración</v>
      </c>
      <c r="E7133" s="542">
        <f>+F7133-G7133</f>
        <v>-194700</v>
      </c>
      <c r="F7133" s="543">
        <v>0</v>
      </c>
      <c r="G7133" s="544">
        <v>194700</v>
      </c>
      <c r="H7133" s="494" t="str">
        <f>+H7132</f>
        <v>BTE-126 DORLLY CLARET CARDENAS LINDARTE</v>
      </c>
      <c r="I7133" s="499" t="s">
        <v>296</v>
      </c>
      <c r="J7133" s="494"/>
      <c r="K7133" s="499"/>
      <c r="N7133" s="370"/>
    </row>
    <row r="7134" spans="1:14" s="347" customFormat="1" x14ac:dyDescent="0.25">
      <c r="A7134" s="541"/>
      <c r="B7134" s="537"/>
      <c r="C7134" s="537"/>
      <c r="D7134" s="537"/>
      <c r="E7134" s="545"/>
      <c r="F7134" s="545"/>
      <c r="G7134" s="545"/>
      <c r="H7134" s="537"/>
      <c r="I7134" s="537"/>
      <c r="J7134" s="537"/>
      <c r="K7134" s="537"/>
      <c r="N7134" s="370"/>
    </row>
    <row r="7135" spans="1:14" s="347" customFormat="1" x14ac:dyDescent="0.25">
      <c r="A7135" s="536">
        <v>44559</v>
      </c>
      <c r="B7135" s="499">
        <f>+MONTH(A7135)</f>
        <v>12</v>
      </c>
      <c r="C7135" s="494">
        <v>4861</v>
      </c>
      <c r="D7135" s="537" t="str">
        <f>VLOOKUP(C7135,Plan!A$1:B$65542,2,0)</f>
        <v>Curso Biblia</v>
      </c>
      <c r="E7135" s="542">
        <f>+F7135-G7135</f>
        <v>675000</v>
      </c>
      <c r="F7135" s="543">
        <f>+G7136+G7137</f>
        <v>675000</v>
      </c>
      <c r="G7135" s="544">
        <v>0</v>
      </c>
      <c r="H7135" s="494" t="s">
        <v>2513</v>
      </c>
      <c r="I7135" s="499" t="s">
        <v>296</v>
      </c>
      <c r="J7135" s="494"/>
      <c r="K7135" s="499"/>
      <c r="N7135" s="370"/>
    </row>
    <row r="7136" spans="1:14" s="347" customFormat="1" x14ac:dyDescent="0.25">
      <c r="A7136" s="536">
        <f>+A7135</f>
        <v>44559</v>
      </c>
      <c r="B7136" s="499">
        <f>+MONTH(A7136)</f>
        <v>12</v>
      </c>
      <c r="C7136" s="494">
        <v>223</v>
      </c>
      <c r="D7136" s="537" t="str">
        <f>VLOOKUP(C7136,Plan!A$1:B$65542,2,0)</f>
        <v>Ret. Hon.  e Impto. Unico Administración</v>
      </c>
      <c r="E7136" s="542">
        <f>+F7136-G7136</f>
        <v>-77625</v>
      </c>
      <c r="F7136" s="543">
        <v>0</v>
      </c>
      <c r="G7136" s="544">
        <v>77625</v>
      </c>
      <c r="H7136" s="494" t="str">
        <f>+H7135</f>
        <v>Be 160 Rodrigo Vidal Paiva Curso Biblia</v>
      </c>
      <c r="I7136" s="499" t="str">
        <f>+I7135</f>
        <v>Administración</v>
      </c>
      <c r="J7136" s="494"/>
      <c r="K7136" s="499"/>
      <c r="N7136" s="370"/>
    </row>
    <row r="7137" spans="1:14" s="347" customFormat="1" x14ac:dyDescent="0.25">
      <c r="A7137" s="536">
        <f>+A7135</f>
        <v>44559</v>
      </c>
      <c r="B7137" s="499">
        <f>+MONTH(A7137)</f>
        <v>12</v>
      </c>
      <c r="C7137" s="494">
        <v>110</v>
      </c>
      <c r="D7137" s="537" t="str">
        <f>VLOOKUP(C7137,Plan!A$1:B$65542,2,0)</f>
        <v>Disponible Administración</v>
      </c>
      <c r="E7137" s="542">
        <f>+F7137-G7137</f>
        <v>-597375</v>
      </c>
      <c r="F7137" s="543">
        <v>0</v>
      </c>
      <c r="G7137" s="544">
        <v>597375</v>
      </c>
      <c r="H7137" s="494" t="str">
        <f>+H7136</f>
        <v>Be 160 Rodrigo Vidal Paiva Curso Biblia</v>
      </c>
      <c r="I7137" s="499" t="s">
        <v>296</v>
      </c>
      <c r="J7137" s="494"/>
      <c r="K7137" s="499"/>
      <c r="N7137" s="370"/>
    </row>
    <row r="7138" spans="1:14" s="347" customFormat="1" x14ac:dyDescent="0.25">
      <c r="A7138" s="369"/>
      <c r="E7138" s="396"/>
      <c r="F7138" s="396"/>
      <c r="G7138" s="396"/>
      <c r="K7138" s="370"/>
      <c r="N7138" s="370"/>
    </row>
    <row r="7139" spans="1:14" s="347" customFormat="1" x14ac:dyDescent="0.25">
      <c r="A7139" s="536">
        <v>44559</v>
      </c>
      <c r="B7139" s="499">
        <f>+MONTH(A7139)</f>
        <v>12</v>
      </c>
      <c r="C7139" s="494">
        <v>4224</v>
      </c>
      <c r="D7139" s="537" t="str">
        <f>VLOOKUP(C7139,Plan!A$1:B$65542,2,0)</f>
        <v xml:space="preserve">         Jardinero</v>
      </c>
      <c r="E7139" s="542">
        <f>+F7139-G7139</f>
        <v>16949</v>
      </c>
      <c r="F7139" s="543">
        <f>+G7140+G7141</f>
        <v>16949</v>
      </c>
      <c r="G7139" s="544">
        <v>0</v>
      </c>
      <c r="H7139" s="494" t="s">
        <v>2514</v>
      </c>
      <c r="I7139" s="499" t="s">
        <v>296</v>
      </c>
      <c r="J7139" s="494"/>
      <c r="K7139" s="499"/>
      <c r="N7139" s="370"/>
    </row>
    <row r="7140" spans="1:14" s="347" customFormat="1" x14ac:dyDescent="0.25">
      <c r="A7140" s="536">
        <f>+A7139</f>
        <v>44559</v>
      </c>
      <c r="B7140" s="499">
        <f>+MONTH(A7140)</f>
        <v>12</v>
      </c>
      <c r="C7140" s="494">
        <v>223</v>
      </c>
      <c r="D7140" s="537" t="str">
        <f>VLOOKUP(C7140,Plan!A$1:B$65542,2,0)</f>
        <v>Ret. Hon.  e Impto. Unico Administración</v>
      </c>
      <c r="E7140" s="542">
        <f>+F7140-G7140</f>
        <v>-1949</v>
      </c>
      <c r="F7140" s="543">
        <v>0</v>
      </c>
      <c r="G7140" s="544">
        <v>1949</v>
      </c>
      <c r="H7140" s="494" t="str">
        <f>+H7139</f>
        <v>BTE 127 Eduardo Plaza</v>
      </c>
      <c r="I7140" s="499" t="str">
        <f>+I7139</f>
        <v>Administración</v>
      </c>
      <c r="J7140" s="494"/>
      <c r="K7140" s="499"/>
      <c r="N7140" s="370"/>
    </row>
    <row r="7141" spans="1:14" s="347" customFormat="1" x14ac:dyDescent="0.25">
      <c r="A7141" s="536">
        <f>+A7139</f>
        <v>44559</v>
      </c>
      <c r="B7141" s="499">
        <f>+MONTH(A7141)</f>
        <v>12</v>
      </c>
      <c r="C7141" s="494">
        <v>110</v>
      </c>
      <c r="D7141" s="537" t="str">
        <f>VLOOKUP(C7141,Plan!A$1:B$65542,2,0)</f>
        <v>Disponible Administración</v>
      </c>
      <c r="E7141" s="542">
        <f>+F7141-G7141</f>
        <v>-15000</v>
      </c>
      <c r="F7141" s="543">
        <v>0</v>
      </c>
      <c r="G7141" s="544">
        <v>15000</v>
      </c>
      <c r="H7141" s="494" t="str">
        <f>+H7140</f>
        <v>BTE 127 Eduardo Plaza</v>
      </c>
      <c r="I7141" s="499" t="s">
        <v>296</v>
      </c>
      <c r="J7141" s="494"/>
      <c r="K7141" s="499"/>
      <c r="N7141" s="370"/>
    </row>
    <row r="7142" spans="1:14" s="347" customFormat="1" x14ac:dyDescent="0.25">
      <c r="A7142" s="369"/>
      <c r="E7142" s="396"/>
      <c r="F7142" s="396"/>
      <c r="G7142" s="396"/>
      <c r="K7142" s="370"/>
      <c r="N7142" s="370"/>
    </row>
    <row r="7143" spans="1:14" s="347" customFormat="1" x14ac:dyDescent="0.25">
      <c r="A7143" s="536">
        <v>44559</v>
      </c>
      <c r="B7143" s="499">
        <f>+MONTH(A7143)</f>
        <v>12</v>
      </c>
      <c r="C7143" s="494">
        <v>4820</v>
      </c>
      <c r="D7143" s="537" t="str">
        <f>VLOOKUP(C7143,Plan!A$1:B$65542,2,0)</f>
        <v>Navidad</v>
      </c>
      <c r="E7143" s="542">
        <f>+F7143-G7143</f>
        <v>203390</v>
      </c>
      <c r="F7143" s="543">
        <f>+G7144+G7145</f>
        <v>203390</v>
      </c>
      <c r="G7143" s="545">
        <v>0</v>
      </c>
      <c r="H7143" s="494" t="s">
        <v>2539</v>
      </c>
      <c r="I7143" s="499" t="s">
        <v>296</v>
      </c>
      <c r="J7143" s="494"/>
      <c r="K7143" s="499"/>
      <c r="N7143" s="370"/>
    </row>
    <row r="7144" spans="1:14" s="347" customFormat="1" x14ac:dyDescent="0.25">
      <c r="A7144" s="536">
        <v>44559</v>
      </c>
      <c r="B7144" s="499">
        <f>+MONTH(A7144)</f>
        <v>12</v>
      </c>
      <c r="C7144" s="494">
        <v>223</v>
      </c>
      <c r="D7144" s="537" t="str">
        <f>VLOOKUP(C7144,Plan!A$1:B$65542,2,0)</f>
        <v>Ret. Hon.  e Impto. Unico Administración</v>
      </c>
      <c r="E7144" s="542">
        <f>+F7144-G7144</f>
        <v>-23390</v>
      </c>
      <c r="F7144" s="543">
        <v>0</v>
      </c>
      <c r="G7144" s="545">
        <v>23390</v>
      </c>
      <c r="H7144" s="494" t="str">
        <f>+H7143</f>
        <v>Pago 3 Cancheros Estadio(BH Leonardo Vera b350)</v>
      </c>
      <c r="I7144" s="499" t="s">
        <v>296</v>
      </c>
      <c r="J7144" s="494"/>
      <c r="K7144" s="499"/>
      <c r="N7144" s="370"/>
    </row>
    <row r="7145" spans="1:14" s="347" customFormat="1" x14ac:dyDescent="0.25">
      <c r="A7145" s="536">
        <f>+A7143</f>
        <v>44559</v>
      </c>
      <c r="B7145" s="499">
        <f>+MONTH(A7145)</f>
        <v>12</v>
      </c>
      <c r="C7145" s="494">
        <v>110</v>
      </c>
      <c r="D7145" s="537" t="str">
        <f>VLOOKUP(C7145,Plan!A$1:B$65542,2,0)</f>
        <v>Disponible Administración</v>
      </c>
      <c r="E7145" s="542">
        <f>+F7145-G7145</f>
        <v>-180000</v>
      </c>
      <c r="F7145" s="543">
        <v>0</v>
      </c>
      <c r="G7145" s="545">
        <v>180000</v>
      </c>
      <c r="H7145" s="494" t="str">
        <f>+H7143</f>
        <v>Pago 3 Cancheros Estadio(BH Leonardo Vera b350)</v>
      </c>
      <c r="I7145" s="499" t="s">
        <v>296</v>
      </c>
      <c r="J7145" s="494"/>
      <c r="K7145" s="499"/>
      <c r="N7145" s="370"/>
    </row>
    <row r="7146" spans="1:14" s="347" customFormat="1" x14ac:dyDescent="0.25">
      <c r="A7146" s="369"/>
      <c r="E7146" s="396"/>
      <c r="F7146" s="396"/>
      <c r="G7146" s="396"/>
      <c r="K7146" s="370"/>
      <c r="N7146" s="370"/>
    </row>
    <row r="7147" spans="1:14" s="347" customFormat="1" x14ac:dyDescent="0.25">
      <c r="A7147" s="536">
        <v>44559</v>
      </c>
      <c r="B7147" s="499">
        <f>+MONTH(A7147)</f>
        <v>12</v>
      </c>
      <c r="C7147" s="494">
        <v>230</v>
      </c>
      <c r="D7147" s="537" t="str">
        <f>VLOOKUP(C7147,Plan!A$1:B$65542,2,0)</f>
        <v>Proveedores Administración</v>
      </c>
      <c r="E7147" s="542">
        <f>+F7147-G7147</f>
        <v>310500</v>
      </c>
      <c r="F7147" s="543">
        <v>310500</v>
      </c>
      <c r="G7147" s="545">
        <v>0</v>
      </c>
      <c r="H7147" s="494" t="s">
        <v>2515</v>
      </c>
      <c r="I7147" s="499" t="s">
        <v>296</v>
      </c>
      <c r="J7147" s="494"/>
      <c r="K7147" s="499"/>
      <c r="N7147" s="370"/>
    </row>
    <row r="7148" spans="1:14" s="347" customFormat="1" x14ac:dyDescent="0.25">
      <c r="A7148" s="536">
        <f>+A7147</f>
        <v>44559</v>
      </c>
      <c r="B7148" s="499">
        <f>+MONTH(A7148)</f>
        <v>12</v>
      </c>
      <c r="C7148" s="494">
        <v>110</v>
      </c>
      <c r="D7148" s="537" t="str">
        <f>VLOOKUP(C7148,Plan!A$1:B$65542,2,0)</f>
        <v>Disponible Administración</v>
      </c>
      <c r="E7148" s="542">
        <f>+F7148-G7148</f>
        <v>-310500</v>
      </c>
      <c r="F7148" s="543">
        <v>0</v>
      </c>
      <c r="G7148" s="545">
        <f>+F7147</f>
        <v>310500</v>
      </c>
      <c r="H7148" s="494" t="str">
        <f>+H7147</f>
        <v>Saldo F.480 Aseo (-Anticipo 23/12)</v>
      </c>
      <c r="I7148" s="499" t="s">
        <v>296</v>
      </c>
      <c r="J7148" s="494"/>
      <c r="K7148" s="499"/>
      <c r="N7148" s="370"/>
    </row>
    <row r="7149" spans="1:14" s="347" customFormat="1" x14ac:dyDescent="0.25">
      <c r="A7149" s="369"/>
      <c r="E7149" s="396"/>
      <c r="F7149" s="396"/>
      <c r="G7149" s="396"/>
      <c r="K7149" s="370"/>
      <c r="N7149" s="370"/>
    </row>
    <row r="7150" spans="1:14" s="347" customFormat="1" x14ac:dyDescent="0.25">
      <c r="A7150" s="495">
        <v>44560</v>
      </c>
      <c r="B7150" s="496">
        <f>+MONTH(A7150)</f>
        <v>12</v>
      </c>
      <c r="C7150" s="491">
        <v>4231</v>
      </c>
      <c r="D7150" s="492" t="str">
        <f>VLOOKUP(C7150,Plan!A$1:B$65542,2,0)</f>
        <v>Auxiliares, secretarias y administración</v>
      </c>
      <c r="E7150" s="497">
        <f t="shared" ref="E7150:E7156" si="58">+F7150-G7150</f>
        <v>3094525</v>
      </c>
      <c r="F7150" s="493">
        <v>3094525</v>
      </c>
      <c r="G7150" s="502">
        <v>0</v>
      </c>
      <c r="H7150" s="494" t="s">
        <v>410</v>
      </c>
      <c r="I7150" s="499" t="s">
        <v>296</v>
      </c>
      <c r="K7150" s="370"/>
      <c r="N7150" s="370"/>
    </row>
    <row r="7151" spans="1:14" s="347" customFormat="1" x14ac:dyDescent="0.25">
      <c r="A7151" s="495">
        <f t="shared" ref="A7151:B7151" si="59">+A7150</f>
        <v>44560</v>
      </c>
      <c r="B7151" s="496">
        <f t="shared" si="59"/>
        <v>12</v>
      </c>
      <c r="C7151" s="491">
        <v>9011</v>
      </c>
      <c r="D7151" s="492" t="str">
        <f>VLOOKUP(C7151,Plan!A$1:B$65542,2,0)</f>
        <v>Sueldo Sacerdotes</v>
      </c>
      <c r="E7151" s="497">
        <f t="shared" si="58"/>
        <v>914939</v>
      </c>
      <c r="F7151" s="493">
        <v>914939</v>
      </c>
      <c r="G7151" s="502">
        <v>0</v>
      </c>
      <c r="H7151" s="491" t="s">
        <v>410</v>
      </c>
      <c r="I7151" s="499" t="s">
        <v>296</v>
      </c>
      <c r="K7151" s="370"/>
      <c r="N7151" s="370"/>
    </row>
    <row r="7152" spans="1:14" s="347" customFormat="1" x14ac:dyDescent="0.25">
      <c r="A7152" s="495">
        <f t="shared" ref="A7152:B7152" si="60">+A7151</f>
        <v>44560</v>
      </c>
      <c r="B7152" s="496">
        <f t="shared" si="60"/>
        <v>12</v>
      </c>
      <c r="C7152" s="491">
        <v>4231</v>
      </c>
      <c r="D7152" s="492" t="str">
        <f>VLOOKUP(C7152,Plan!A$1:B$65542,2,0)</f>
        <v>Auxiliares, secretarias y administración</v>
      </c>
      <c r="E7152" s="497">
        <f t="shared" si="58"/>
        <v>75177</v>
      </c>
      <c r="F7152" s="493">
        <v>75177</v>
      </c>
      <c r="G7152" s="502">
        <v>0</v>
      </c>
      <c r="H7152" s="491" t="s">
        <v>410</v>
      </c>
      <c r="I7152" s="499" t="s">
        <v>296</v>
      </c>
      <c r="K7152" s="370"/>
      <c r="N7152" s="370"/>
    </row>
    <row r="7153" spans="1:14" s="347" customFormat="1" x14ac:dyDescent="0.25">
      <c r="A7153" s="495">
        <f t="shared" ref="A7153:B7153" si="61">+A7152</f>
        <v>44560</v>
      </c>
      <c r="B7153" s="496">
        <f t="shared" si="61"/>
        <v>12</v>
      </c>
      <c r="C7153" s="491">
        <v>225</v>
      </c>
      <c r="D7153" s="492" t="str">
        <f>VLOOKUP(C7153,Plan!A$1:B$65542,2,0)</f>
        <v>Sueldos por Pagar</v>
      </c>
      <c r="E7153" s="497">
        <f t="shared" si="58"/>
        <v>-3425354</v>
      </c>
      <c r="F7153" s="493">
        <v>0</v>
      </c>
      <c r="G7153" s="502">
        <v>3425354</v>
      </c>
      <c r="H7153" s="491" t="s">
        <v>410</v>
      </c>
      <c r="I7153" s="499" t="s">
        <v>296</v>
      </c>
      <c r="K7153" s="370"/>
      <c r="N7153" s="370"/>
    </row>
    <row r="7154" spans="1:14" s="347" customFormat="1" x14ac:dyDescent="0.25">
      <c r="A7154" s="495">
        <f t="shared" ref="A7154:B7154" si="62">+A7153</f>
        <v>44560</v>
      </c>
      <c r="B7154" s="496">
        <f t="shared" si="62"/>
        <v>12</v>
      </c>
      <c r="C7154" s="491">
        <v>224</v>
      </c>
      <c r="D7154" s="492" t="str">
        <f>VLOOKUP(C7154,Plan!A$1:B$65542,2,0)</f>
        <v>Cotizaciones por Pagar</v>
      </c>
      <c r="E7154" s="497">
        <f t="shared" si="58"/>
        <v>-465818</v>
      </c>
      <c r="F7154" s="493">
        <v>0</v>
      </c>
      <c r="G7154" s="502">
        <v>465818</v>
      </c>
      <c r="H7154" s="491" t="s">
        <v>410</v>
      </c>
      <c r="I7154" s="499" t="s">
        <v>296</v>
      </c>
      <c r="K7154" s="370"/>
      <c r="N7154" s="370"/>
    </row>
    <row r="7155" spans="1:14" s="347" customFormat="1" x14ac:dyDescent="0.25">
      <c r="A7155" s="495">
        <f t="shared" ref="A7155:B7155" si="63">+A7154</f>
        <v>44560</v>
      </c>
      <c r="B7155" s="496">
        <f t="shared" si="63"/>
        <v>12</v>
      </c>
      <c r="C7155" s="491">
        <v>224</v>
      </c>
      <c r="D7155" s="492" t="str">
        <f>VLOOKUP(C7155,Plan!A$1:B$65542,2,0)</f>
        <v>Cotizaciones por Pagar</v>
      </c>
      <c r="E7155" s="497">
        <f t="shared" si="58"/>
        <v>-179939</v>
      </c>
      <c r="F7155" s="493">
        <v>0</v>
      </c>
      <c r="G7155" s="501">
        <v>179939</v>
      </c>
      <c r="H7155" s="491" t="s">
        <v>410</v>
      </c>
      <c r="I7155" s="499" t="s">
        <v>296</v>
      </c>
      <c r="K7155" s="370"/>
      <c r="N7155" s="370"/>
    </row>
    <row r="7156" spans="1:14" s="347" customFormat="1" x14ac:dyDescent="0.25">
      <c r="A7156" s="495">
        <f t="shared" ref="A7156:B7156" si="64">+A7155</f>
        <v>44560</v>
      </c>
      <c r="B7156" s="496">
        <f t="shared" si="64"/>
        <v>12</v>
      </c>
      <c r="C7156" s="491">
        <v>223</v>
      </c>
      <c r="D7156" s="492" t="str">
        <f>VLOOKUP(C7156,Plan!A$1:B$65542,2,0)</f>
        <v>Ret. Hon.  e Impto. Unico Administración</v>
      </c>
      <c r="E7156" s="497">
        <f t="shared" si="58"/>
        <v>-13530</v>
      </c>
      <c r="F7156" s="493">
        <v>0</v>
      </c>
      <c r="G7156" s="502">
        <v>13530</v>
      </c>
      <c r="H7156" s="491" t="s">
        <v>410</v>
      </c>
      <c r="I7156" s="499" t="s">
        <v>296</v>
      </c>
      <c r="K7156" s="370"/>
      <c r="N7156" s="370"/>
    </row>
    <row r="7157" spans="1:14" s="347" customFormat="1" x14ac:dyDescent="0.25">
      <c r="A7157" s="369"/>
      <c r="E7157" s="396"/>
      <c r="F7157" s="396"/>
      <c r="G7157" s="396"/>
      <c r="K7157" s="370"/>
      <c r="N7157" s="370"/>
    </row>
    <row r="7158" spans="1:14" s="347" customFormat="1" x14ac:dyDescent="0.25">
      <c r="A7158" s="495">
        <f>+A7156</f>
        <v>44560</v>
      </c>
      <c r="B7158" s="496">
        <f>+MONTH(A7158)</f>
        <v>12</v>
      </c>
      <c r="C7158" s="491">
        <v>225</v>
      </c>
      <c r="D7158" s="492" t="str">
        <f>VLOOKUP(C7158,Plan!A$1:B$65542,2,0)</f>
        <v>Sueldos por Pagar</v>
      </c>
      <c r="E7158" s="497">
        <f>+F7158-G7158</f>
        <v>735000</v>
      </c>
      <c r="F7158" s="493">
        <v>735000</v>
      </c>
      <c r="G7158" s="501">
        <v>0</v>
      </c>
      <c r="H7158" s="491" t="s">
        <v>2071</v>
      </c>
      <c r="I7158" s="499" t="s">
        <v>296</v>
      </c>
      <c r="K7158" s="370"/>
      <c r="N7158" s="370"/>
    </row>
    <row r="7159" spans="1:14" s="347" customFormat="1" x14ac:dyDescent="0.25">
      <c r="A7159" s="495">
        <f>+A7158</f>
        <v>44560</v>
      </c>
      <c r="B7159" s="496">
        <f>+MONTH(A7159)</f>
        <v>12</v>
      </c>
      <c r="C7159" s="491">
        <v>110</v>
      </c>
      <c r="D7159" s="492" t="str">
        <f>VLOOKUP(C7159,Plan!A$1:B$65542,2,0)</f>
        <v>Disponible Administración</v>
      </c>
      <c r="E7159" s="497">
        <f>+F7159-G7159</f>
        <v>-735000</v>
      </c>
      <c r="F7159" s="493">
        <v>0</v>
      </c>
      <c r="G7159" s="502">
        <f>+F7158</f>
        <v>735000</v>
      </c>
      <c r="H7159" s="491" t="str">
        <f>+H7158</f>
        <v>Remuneraciones Pedro Rios Dempster</v>
      </c>
      <c r="I7159" s="499" t="s">
        <v>296</v>
      </c>
      <c r="K7159" s="370"/>
      <c r="N7159" s="370"/>
    </row>
    <row r="7160" spans="1:14" s="347" customFormat="1" x14ac:dyDescent="0.25">
      <c r="A7160" s="500"/>
      <c r="B7160" s="492"/>
      <c r="C7160" s="492"/>
      <c r="D7160" s="492"/>
      <c r="E7160" s="498"/>
      <c r="F7160" s="498"/>
      <c r="G7160" s="498"/>
      <c r="H7160" s="492"/>
      <c r="I7160" s="492"/>
      <c r="K7160" s="370"/>
      <c r="N7160" s="370"/>
    </row>
    <row r="7161" spans="1:14" s="347" customFormat="1" x14ac:dyDescent="0.25">
      <c r="A7161" s="495">
        <f>+A7159</f>
        <v>44560</v>
      </c>
      <c r="B7161" s="496">
        <f>+MONTH(A7161)</f>
        <v>12</v>
      </c>
      <c r="C7161" s="491">
        <v>225</v>
      </c>
      <c r="D7161" s="492" t="str">
        <f>VLOOKUP(C7161,Plan!A$1:B$65542,2,0)</f>
        <v>Sueldos por Pagar</v>
      </c>
      <c r="E7161" s="497">
        <f>+F7161-G7161</f>
        <v>778026</v>
      </c>
      <c r="F7161" s="493">
        <v>778026</v>
      </c>
      <c r="G7161" s="501">
        <v>0</v>
      </c>
      <c r="H7161" s="491" t="s">
        <v>2072</v>
      </c>
      <c r="I7161" s="499" t="s">
        <v>296</v>
      </c>
      <c r="K7161" s="370"/>
      <c r="N7161" s="370"/>
    </row>
    <row r="7162" spans="1:14" s="347" customFormat="1" x14ac:dyDescent="0.25">
      <c r="A7162" s="495">
        <f>+A7161</f>
        <v>44560</v>
      </c>
      <c r="B7162" s="496">
        <f>+MONTH(A7162)</f>
        <v>12</v>
      </c>
      <c r="C7162" s="491">
        <v>110</v>
      </c>
      <c r="D7162" s="492" t="str">
        <f>VLOOKUP(C7162,Plan!A$1:B$65542,2,0)</f>
        <v>Disponible Administración</v>
      </c>
      <c r="E7162" s="497">
        <f>+F7162-G7162</f>
        <v>-778026</v>
      </c>
      <c r="F7162" s="493">
        <v>0</v>
      </c>
      <c r="G7162" s="502">
        <f>+F7161</f>
        <v>778026</v>
      </c>
      <c r="H7162" s="491" t="str">
        <f>+H7161</f>
        <v>Remuneraciones Veronica Arriagada Soto</v>
      </c>
      <c r="I7162" s="499" t="s">
        <v>296</v>
      </c>
      <c r="K7162" s="370"/>
      <c r="N7162" s="370"/>
    </row>
    <row r="7163" spans="1:14" s="347" customFormat="1" x14ac:dyDescent="0.25">
      <c r="A7163" s="500"/>
      <c r="B7163" s="492"/>
      <c r="C7163" s="492"/>
      <c r="D7163" s="492"/>
      <c r="E7163" s="498"/>
      <c r="F7163" s="498"/>
      <c r="G7163" s="498"/>
      <c r="H7163" s="492"/>
      <c r="I7163" s="492"/>
      <c r="K7163" s="370"/>
      <c r="N7163" s="370"/>
    </row>
    <row r="7164" spans="1:14" s="347" customFormat="1" x14ac:dyDescent="0.25">
      <c r="A7164" s="495">
        <f>+A7161</f>
        <v>44560</v>
      </c>
      <c r="B7164" s="496">
        <f>+MONTH(A7164)</f>
        <v>12</v>
      </c>
      <c r="C7164" s="491">
        <v>225</v>
      </c>
      <c r="D7164" s="492" t="str">
        <f>VLOOKUP(C7164,Plan!A$1:B$65542,2,0)</f>
        <v>Sueldos por Pagar</v>
      </c>
      <c r="E7164" s="497">
        <f>+F7164-G7164</f>
        <v>513151</v>
      </c>
      <c r="F7164" s="493">
        <v>513151</v>
      </c>
      <c r="G7164" s="501">
        <v>0</v>
      </c>
      <c r="H7164" s="491" t="s">
        <v>2073</v>
      </c>
      <c r="I7164" s="499" t="s">
        <v>296</v>
      </c>
      <c r="K7164" s="370"/>
      <c r="N7164" s="370"/>
    </row>
    <row r="7165" spans="1:14" s="347" customFormat="1" x14ac:dyDescent="0.25">
      <c r="A7165" s="495">
        <f>+A7164</f>
        <v>44560</v>
      </c>
      <c r="B7165" s="496">
        <f>+MONTH(A7165)</f>
        <v>12</v>
      </c>
      <c r="C7165" s="491">
        <v>110</v>
      </c>
      <c r="D7165" s="492" t="str">
        <f>VLOOKUP(C7165,Plan!A$1:B$65542,2,0)</f>
        <v>Disponible Administración</v>
      </c>
      <c r="E7165" s="497">
        <f>+F7165-G7165</f>
        <v>-513151</v>
      </c>
      <c r="F7165" s="493">
        <v>0</v>
      </c>
      <c r="G7165" s="502">
        <f>+F7164</f>
        <v>513151</v>
      </c>
      <c r="H7165" s="491" t="str">
        <f>+H7164</f>
        <v>Remuneraciones M.de los Angeles Renasco Mandiola</v>
      </c>
      <c r="I7165" s="499" t="s">
        <v>296</v>
      </c>
      <c r="K7165" s="370"/>
      <c r="N7165" s="370"/>
    </row>
    <row r="7166" spans="1:14" s="347" customFormat="1" x14ac:dyDescent="0.25">
      <c r="A7166" s="500"/>
      <c r="B7166" s="492"/>
      <c r="C7166" s="492"/>
      <c r="D7166" s="492"/>
      <c r="E7166" s="498"/>
      <c r="F7166" s="498"/>
      <c r="G7166" s="498"/>
      <c r="H7166" s="492"/>
      <c r="I7166" s="492"/>
      <c r="K7166" s="370"/>
      <c r="N7166" s="370"/>
    </row>
    <row r="7167" spans="1:14" s="347" customFormat="1" x14ac:dyDescent="0.25">
      <c r="A7167" s="495">
        <f>+A7165</f>
        <v>44560</v>
      </c>
      <c r="B7167" s="496">
        <f>+MONTH(A7167)</f>
        <v>12</v>
      </c>
      <c r="C7167" s="491">
        <v>225</v>
      </c>
      <c r="D7167" s="492" t="str">
        <f>VLOOKUP(C7167,Plan!A$1:B$65542,2,0)</f>
        <v>Sueldos por Pagar</v>
      </c>
      <c r="E7167" s="497">
        <f>+F7167-G7167</f>
        <v>284500</v>
      </c>
      <c r="F7167" s="493">
        <v>284500</v>
      </c>
      <c r="G7167" s="501">
        <v>0</v>
      </c>
      <c r="H7167" s="491" t="s">
        <v>2070</v>
      </c>
      <c r="I7167" s="499" t="s">
        <v>296</v>
      </c>
      <c r="K7167" s="370"/>
      <c r="N7167" s="370"/>
    </row>
    <row r="7168" spans="1:14" s="347" customFormat="1" x14ac:dyDescent="0.25">
      <c r="A7168" s="495">
        <f>+A7167</f>
        <v>44560</v>
      </c>
      <c r="B7168" s="496">
        <f>+MONTH(A7168)</f>
        <v>12</v>
      </c>
      <c r="C7168" s="491">
        <v>110</v>
      </c>
      <c r="D7168" s="492" t="str">
        <f>VLOOKUP(C7168,Plan!A$1:B$65542,2,0)</f>
        <v>Disponible Administración</v>
      </c>
      <c r="E7168" s="497">
        <f>+F7168-G7168</f>
        <v>-284500</v>
      </c>
      <c r="F7168" s="493">
        <v>0</v>
      </c>
      <c r="G7168" s="502">
        <f>+F7167</f>
        <v>284500</v>
      </c>
      <c r="H7168" s="491" t="str">
        <f>+H7167</f>
        <v>Remuneraciones Katherinne Farias Cuevas</v>
      </c>
      <c r="I7168" s="499" t="s">
        <v>296</v>
      </c>
      <c r="K7168" s="370"/>
      <c r="N7168" s="370"/>
    </row>
    <row r="7169" spans="1:14" s="347" customFormat="1" x14ac:dyDescent="0.25">
      <c r="A7169" s="500"/>
      <c r="B7169" s="492"/>
      <c r="C7169" s="492"/>
      <c r="D7169" s="492"/>
      <c r="E7169" s="498"/>
      <c r="F7169" s="498"/>
      <c r="G7169" s="498"/>
      <c r="H7169" s="492"/>
      <c r="I7169" s="492"/>
      <c r="K7169" s="370"/>
      <c r="N7169" s="370"/>
    </row>
    <row r="7170" spans="1:14" s="347" customFormat="1" x14ac:dyDescent="0.25">
      <c r="A7170" s="495">
        <f>+A7168</f>
        <v>44560</v>
      </c>
      <c r="B7170" s="496">
        <f>+MONTH(A7170)</f>
        <v>12</v>
      </c>
      <c r="C7170" s="491">
        <v>225</v>
      </c>
      <c r="D7170" s="492" t="str">
        <f>VLOOKUP(C7170,Plan!A$1:B$65542,2,0)</f>
        <v>Sueldos por Pagar</v>
      </c>
      <c r="E7170" s="497">
        <f>+F7170-G7170</f>
        <v>1114677</v>
      </c>
      <c r="F7170" s="493">
        <v>1114677</v>
      </c>
      <c r="G7170" s="501">
        <v>0</v>
      </c>
      <c r="H7170" s="491" t="s">
        <v>2069</v>
      </c>
      <c r="I7170" s="499" t="s">
        <v>296</v>
      </c>
      <c r="K7170" s="370"/>
      <c r="N7170" s="370"/>
    </row>
    <row r="7171" spans="1:14" s="347" customFormat="1" x14ac:dyDescent="0.25">
      <c r="A7171" s="495">
        <f>+A7170</f>
        <v>44560</v>
      </c>
      <c r="B7171" s="496">
        <f>+MONTH(A7171)</f>
        <v>12</v>
      </c>
      <c r="C7171" s="491">
        <v>110</v>
      </c>
      <c r="D7171" s="492" t="str">
        <f>VLOOKUP(C7171,Plan!A$1:B$65542,2,0)</f>
        <v>Disponible Administración</v>
      </c>
      <c r="E7171" s="497">
        <f>+F7171-G7171</f>
        <v>-1114677</v>
      </c>
      <c r="F7171" s="493">
        <v>0</v>
      </c>
      <c r="G7171" s="502">
        <f>+F7170</f>
        <v>1114677</v>
      </c>
      <c r="H7171" s="491" t="str">
        <f>+H7170</f>
        <v>Remuneraciones Rafael Valdes Searle</v>
      </c>
      <c r="I7171" s="499" t="s">
        <v>296</v>
      </c>
      <c r="K7171" s="370"/>
      <c r="N7171" s="370"/>
    </row>
    <row r="7172" spans="1:14" s="347" customFormat="1" x14ac:dyDescent="0.25">
      <c r="A7172" s="369"/>
      <c r="E7172" s="396"/>
      <c r="F7172" s="396"/>
      <c r="G7172" s="396"/>
      <c r="K7172" s="370"/>
      <c r="N7172" s="370"/>
    </row>
    <row r="7173" spans="1:14" s="347" customFormat="1" x14ac:dyDescent="0.25">
      <c r="A7173" s="495">
        <v>44559</v>
      </c>
      <c r="B7173" s="496">
        <f>+MONTH(A7173)</f>
        <v>12</v>
      </c>
      <c r="C7173" s="491">
        <v>110</v>
      </c>
      <c r="D7173" s="492" t="str">
        <f>VLOOKUP(C7173,Plan!A$1:B$65542,2,0)</f>
        <v>Disponible Administración</v>
      </c>
      <c r="E7173" s="497">
        <f>+F7173-G7173</f>
        <v>50000</v>
      </c>
      <c r="F7173" s="493">
        <v>50000</v>
      </c>
      <c r="G7173" s="501">
        <v>0</v>
      </c>
      <c r="H7173" s="494" t="s">
        <v>960</v>
      </c>
      <c r="I7173" s="499" t="s">
        <v>296</v>
      </c>
      <c r="K7173" s="370"/>
      <c r="N7173" s="370"/>
    </row>
    <row r="7174" spans="1:14" s="347" customFormat="1" x14ac:dyDescent="0.25">
      <c r="A7174" s="495">
        <f>+A7173</f>
        <v>44559</v>
      </c>
      <c r="B7174" s="496">
        <f>+MONTH(A7174)</f>
        <v>12</v>
      </c>
      <c r="C7174" s="491">
        <v>3110</v>
      </c>
      <c r="D7174" s="492" t="str">
        <f>VLOOKUP(C7174,Plan!A$1:B$65542,2,0)</f>
        <v>Colectas Normales</v>
      </c>
      <c r="E7174" s="497">
        <f>+F7174-G7174</f>
        <v>-50000</v>
      </c>
      <c r="F7174" s="493">
        <v>0</v>
      </c>
      <c r="G7174" s="502">
        <f>+F7173</f>
        <v>50000</v>
      </c>
      <c r="H7174" s="491" t="str">
        <f>+H7173</f>
        <v>Colecta Ximena Garcia</v>
      </c>
      <c r="I7174" s="499" t="s">
        <v>296</v>
      </c>
      <c r="K7174" s="370"/>
      <c r="N7174" s="370"/>
    </row>
    <row r="7175" spans="1:14" s="347" customFormat="1" x14ac:dyDescent="0.25">
      <c r="A7175" s="369"/>
      <c r="E7175" s="396"/>
      <c r="F7175" s="396"/>
      <c r="G7175" s="396"/>
      <c r="K7175" s="370"/>
      <c r="N7175" s="370"/>
    </row>
    <row r="7176" spans="1:14" s="347" customFormat="1" x14ac:dyDescent="0.25">
      <c r="A7176" s="495">
        <v>44559</v>
      </c>
      <c r="B7176" s="496">
        <f>+MONTH(A7176)</f>
        <v>12</v>
      </c>
      <c r="C7176" s="491">
        <v>110</v>
      </c>
      <c r="D7176" s="492" t="str">
        <f>VLOOKUP(C7176,Plan!A$1:B$65542,2,0)</f>
        <v>Disponible Administración</v>
      </c>
      <c r="E7176" s="497">
        <f>+F7176-G7176</f>
        <v>194700</v>
      </c>
      <c r="F7176" s="493">
        <v>194700</v>
      </c>
      <c r="G7176" s="501">
        <v>0</v>
      </c>
      <c r="H7176" s="494" t="s">
        <v>2516</v>
      </c>
      <c r="I7176" s="499" t="s">
        <v>296</v>
      </c>
      <c r="K7176" s="370"/>
      <c r="N7176" s="370"/>
    </row>
    <row r="7177" spans="1:14" s="347" customFormat="1" x14ac:dyDescent="0.25">
      <c r="A7177" s="495">
        <f>+A7176</f>
        <v>44559</v>
      </c>
      <c r="B7177" s="496">
        <f>+MONTH(A7177)</f>
        <v>12</v>
      </c>
      <c r="C7177" s="491">
        <v>4643</v>
      </c>
      <c r="D7177" s="492" t="str">
        <f>VLOOKUP(C7177,Plan!A$1:B$65542,2,0)</f>
        <v xml:space="preserve">             Otros</v>
      </c>
      <c r="E7177" s="497">
        <f>+F7177-G7177</f>
        <v>-194700</v>
      </c>
      <c r="F7177" s="493">
        <v>0</v>
      </c>
      <c r="G7177" s="502">
        <f>+F7176</f>
        <v>194700</v>
      </c>
      <c r="H7177" s="491" t="str">
        <f>+H7176</f>
        <v>Error Nómina en Dorlly Cárdenas</v>
      </c>
      <c r="I7177" s="499" t="s">
        <v>296</v>
      </c>
      <c r="K7177" s="370"/>
      <c r="N7177" s="370"/>
    </row>
    <row r="7178" spans="1:14" s="347" customFormat="1" x14ac:dyDescent="0.25">
      <c r="A7178" s="369"/>
      <c r="E7178" s="396"/>
      <c r="F7178" s="396"/>
      <c r="G7178" s="396"/>
      <c r="K7178" s="370"/>
      <c r="N7178" s="370"/>
    </row>
    <row r="7179" spans="1:14" s="347" customFormat="1" x14ac:dyDescent="0.25">
      <c r="A7179" s="495">
        <v>44560</v>
      </c>
      <c r="B7179" s="496">
        <f>+MONTH(A7179)</f>
        <v>12</v>
      </c>
      <c r="C7179" s="491">
        <v>110</v>
      </c>
      <c r="D7179" s="492" t="str">
        <f>VLOOKUP(C7179,Plan!A$1:B$65542,2,0)</f>
        <v>Disponible Administración</v>
      </c>
      <c r="E7179" s="497">
        <f>+F7179-G7179</f>
        <v>40000</v>
      </c>
      <c r="F7179" s="493">
        <v>40000</v>
      </c>
      <c r="G7179" s="501">
        <v>0</v>
      </c>
      <c r="H7179" s="494" t="s">
        <v>1631</v>
      </c>
      <c r="I7179" s="499" t="s">
        <v>296</v>
      </c>
      <c r="K7179" s="370"/>
      <c r="N7179" s="370"/>
    </row>
    <row r="7180" spans="1:14" s="347" customFormat="1" x14ac:dyDescent="0.25">
      <c r="A7180" s="495">
        <f>+A7179</f>
        <v>44560</v>
      </c>
      <c r="B7180" s="496">
        <f>+MONTH(A7180)</f>
        <v>12</v>
      </c>
      <c r="C7180" s="491">
        <v>215</v>
      </c>
      <c r="D7180" s="492" t="str">
        <f>VLOOKUP(C7180,Plan!A$1:B$65542,2,0)</f>
        <v>Cuenta por Pagar a Cali</v>
      </c>
      <c r="E7180" s="497">
        <f>+F7180-G7180</f>
        <v>-40000</v>
      </c>
      <c r="F7180" s="493">
        <v>0</v>
      </c>
      <c r="G7180" s="502">
        <f>+F7179</f>
        <v>40000</v>
      </c>
      <c r="H7180" s="491" t="str">
        <f>+H7179</f>
        <v>Eduardo Castro de la Barra / 249</v>
      </c>
      <c r="I7180" s="499" t="s">
        <v>296</v>
      </c>
      <c r="K7180" s="370"/>
      <c r="N7180" s="370"/>
    </row>
    <row r="7181" spans="1:14" s="347" customFormat="1" x14ac:dyDescent="0.25">
      <c r="A7181" s="369"/>
      <c r="E7181" s="396"/>
      <c r="F7181" s="396"/>
      <c r="G7181" s="396"/>
      <c r="K7181" s="370"/>
      <c r="N7181" s="370"/>
    </row>
    <row r="7182" spans="1:14" s="347" customFormat="1" x14ac:dyDescent="0.25">
      <c r="A7182" s="536">
        <v>44560</v>
      </c>
      <c r="B7182" s="496">
        <f>+MONTH(A7182)</f>
        <v>12</v>
      </c>
      <c r="C7182" s="491">
        <v>110</v>
      </c>
      <c r="D7182" s="492" t="str">
        <f>VLOOKUP(C7182,Plan!A$1:B$65542,2,0)</f>
        <v>Disponible Administración</v>
      </c>
      <c r="E7182" s="497">
        <f>+F7182-G7182</f>
        <v>20000</v>
      </c>
      <c r="F7182" s="493">
        <v>20000</v>
      </c>
      <c r="G7182" s="501">
        <v>0</v>
      </c>
      <c r="H7182" s="494" t="s">
        <v>961</v>
      </c>
      <c r="I7182" s="499" t="s">
        <v>296</v>
      </c>
      <c r="K7182" s="370"/>
      <c r="N7182" s="370"/>
    </row>
    <row r="7183" spans="1:14" s="347" customFormat="1" x14ac:dyDescent="0.25">
      <c r="A7183" s="495">
        <f>+A7182</f>
        <v>44560</v>
      </c>
      <c r="B7183" s="496">
        <f>+MONTH(A7183)</f>
        <v>12</v>
      </c>
      <c r="C7183" s="491">
        <v>3110</v>
      </c>
      <c r="D7183" s="492" t="str">
        <f>VLOOKUP(C7183,Plan!A$1:B$65542,2,0)</f>
        <v>Colectas Normales</v>
      </c>
      <c r="E7183" s="497">
        <f>+F7183-G7183</f>
        <v>-20000</v>
      </c>
      <c r="F7183" s="493">
        <v>0</v>
      </c>
      <c r="G7183" s="502">
        <f>+F7182</f>
        <v>20000</v>
      </c>
      <c r="H7183" s="491" t="str">
        <f>+H7182</f>
        <v>Colecta Jose Luis Bustamante G</v>
      </c>
      <c r="I7183" s="499" t="s">
        <v>296</v>
      </c>
      <c r="K7183" s="370"/>
      <c r="N7183" s="370"/>
    </row>
    <row r="7184" spans="1:14" s="347" customFormat="1" x14ac:dyDescent="0.25">
      <c r="A7184" s="369"/>
      <c r="E7184" s="396"/>
      <c r="F7184" s="396"/>
      <c r="G7184" s="396"/>
      <c r="K7184" s="370"/>
      <c r="N7184" s="370"/>
    </row>
    <row r="7185" spans="1:14" s="347" customFormat="1" x14ac:dyDescent="0.25">
      <c r="A7185" s="495">
        <v>44560</v>
      </c>
      <c r="B7185" s="496">
        <f>+MONTH(A7185)</f>
        <v>12</v>
      </c>
      <c r="C7185" s="491">
        <v>4820</v>
      </c>
      <c r="D7185" s="492" t="str">
        <f>VLOOKUP(C7185,Plan!A$1:B$65542,2,0)</f>
        <v>Navidad</v>
      </c>
      <c r="E7185" s="497">
        <f>+F7185-G7185</f>
        <v>202300</v>
      </c>
      <c r="F7185" s="493">
        <v>202300</v>
      </c>
      <c r="G7185" s="501">
        <v>0</v>
      </c>
      <c r="H7185" s="494" t="s">
        <v>2517</v>
      </c>
      <c r="I7185" s="499" t="s">
        <v>296</v>
      </c>
      <c r="K7185" s="370"/>
      <c r="N7185" s="370"/>
    </row>
    <row r="7186" spans="1:14" s="347" customFormat="1" x14ac:dyDescent="0.25">
      <c r="A7186" s="495">
        <f>+A7185</f>
        <v>44560</v>
      </c>
      <c r="B7186" s="496">
        <f>+MONTH(A7186)</f>
        <v>12</v>
      </c>
      <c r="C7186" s="491">
        <v>110</v>
      </c>
      <c r="D7186" s="492" t="str">
        <f>VLOOKUP(C7186,Plan!A$1:B$65542,2,0)</f>
        <v>Disponible Administración</v>
      </c>
      <c r="E7186" s="497">
        <f>+F7186-G7186</f>
        <v>-202300</v>
      </c>
      <c r="F7186" s="493">
        <v>0</v>
      </c>
      <c r="G7186" s="502">
        <f>+F7185</f>
        <v>202300</v>
      </c>
      <c r="H7186" s="491" t="str">
        <f>+H7185</f>
        <v>F.1277 (Flete Tarima Misa Navidad)</v>
      </c>
      <c r="I7186" s="499" t="s">
        <v>296</v>
      </c>
      <c r="K7186" s="370"/>
      <c r="N7186" s="370"/>
    </row>
    <row r="7187" spans="1:14" s="347" customFormat="1" x14ac:dyDescent="0.25">
      <c r="A7187" s="369"/>
      <c r="E7187" s="396"/>
      <c r="F7187" s="396"/>
      <c r="G7187" s="396"/>
      <c r="K7187" s="370"/>
      <c r="N7187" s="370"/>
    </row>
    <row r="7188" spans="1:14" s="347" customFormat="1" x14ac:dyDescent="0.25">
      <c r="A7188" s="495">
        <v>44560</v>
      </c>
      <c r="B7188" s="496">
        <f>+MONTH(A7188)</f>
        <v>12</v>
      </c>
      <c r="C7188" s="491">
        <v>4820</v>
      </c>
      <c r="D7188" s="492" t="str">
        <f>VLOOKUP(C7188,Plan!A$1:B$65542,2,0)</f>
        <v>Navidad</v>
      </c>
      <c r="E7188" s="497">
        <f>+F7188-G7188</f>
        <v>135593</v>
      </c>
      <c r="F7188" s="493">
        <f>+G7189+G7190</f>
        <v>135593</v>
      </c>
      <c r="G7188" s="501">
        <v>0</v>
      </c>
      <c r="H7188" s="494" t="s">
        <v>2518</v>
      </c>
      <c r="I7188" s="499" t="s">
        <v>296</v>
      </c>
      <c r="K7188" s="370"/>
      <c r="N7188" s="370"/>
    </row>
    <row r="7189" spans="1:14" s="347" customFormat="1" x14ac:dyDescent="0.25">
      <c r="A7189" s="495">
        <f>+A7188</f>
        <v>44560</v>
      </c>
      <c r="B7189" s="496">
        <f>+MONTH(A7189)</f>
        <v>12</v>
      </c>
      <c r="C7189" s="491">
        <v>223</v>
      </c>
      <c r="D7189" s="492" t="str">
        <f>VLOOKUP(C7189,Plan!A$1:B$65542,2,0)</f>
        <v>Ret. Hon.  e Impto. Unico Administración</v>
      </c>
      <c r="E7189" s="497">
        <f>+F7189-G7189</f>
        <v>-19661</v>
      </c>
      <c r="F7189" s="493">
        <v>0</v>
      </c>
      <c r="G7189" s="502">
        <v>19661</v>
      </c>
      <c r="H7189" s="491" t="str">
        <f>+H7188</f>
        <v>BE-137 ALEXIS JOAQUIN GAETE MARCOLETA </v>
      </c>
      <c r="I7189" s="499" t="s">
        <v>296</v>
      </c>
      <c r="K7189" s="370"/>
      <c r="N7189" s="370"/>
    </row>
    <row r="7190" spans="1:14" s="347" customFormat="1" x14ac:dyDescent="0.25">
      <c r="A7190" s="495">
        <f>+A7189</f>
        <v>44560</v>
      </c>
      <c r="B7190" s="496">
        <f>+MONTH(A7190)</f>
        <v>12</v>
      </c>
      <c r="C7190" s="491">
        <v>110</v>
      </c>
      <c r="D7190" s="492" t="str">
        <f>VLOOKUP(C7190,Plan!A$1:B$65542,2,0)</f>
        <v>Disponible Administración</v>
      </c>
      <c r="E7190" s="497">
        <f>+F7190-G7190</f>
        <v>-115932</v>
      </c>
      <c r="F7190" s="493">
        <v>0</v>
      </c>
      <c r="G7190" s="502">
        <v>115932</v>
      </c>
      <c r="H7190" s="491" t="str">
        <f>+H7189</f>
        <v>BE-137 ALEXIS JOAQUIN GAETE MARCOLETA </v>
      </c>
      <c r="I7190" s="499" t="s">
        <v>296</v>
      </c>
      <c r="K7190" s="370"/>
      <c r="N7190" s="370"/>
    </row>
    <row r="7191" spans="1:14" s="347" customFormat="1" x14ac:dyDescent="0.25">
      <c r="A7191" s="369"/>
      <c r="E7191" s="396"/>
      <c r="F7191" s="396"/>
      <c r="G7191" s="396"/>
      <c r="K7191" s="370"/>
      <c r="N7191" s="370"/>
    </row>
    <row r="7192" spans="1:14" s="347" customFormat="1" x14ac:dyDescent="0.25">
      <c r="A7192" s="495">
        <v>44560</v>
      </c>
      <c r="B7192" s="496">
        <f>+MONTH(A7192)</f>
        <v>12</v>
      </c>
      <c r="C7192" s="491">
        <v>4860</v>
      </c>
      <c r="D7192" s="492" t="str">
        <f>VLOOKUP(C7192,Plan!A$1:B$65542,2,0)</f>
        <v>Otros</v>
      </c>
      <c r="E7192" s="497">
        <f>+F7192-G7192</f>
        <v>325000</v>
      </c>
      <c r="F7192" s="493">
        <v>325000</v>
      </c>
      <c r="G7192" s="501">
        <v>0</v>
      </c>
      <c r="H7192" t="s">
        <v>2519</v>
      </c>
      <c r="I7192" s="499" t="s">
        <v>296</v>
      </c>
      <c r="K7192" s="370"/>
      <c r="N7192" s="370"/>
    </row>
    <row r="7193" spans="1:14" s="347" customFormat="1" x14ac:dyDescent="0.25">
      <c r="A7193" s="495">
        <f>+A7192</f>
        <v>44560</v>
      </c>
      <c r="B7193" s="496">
        <f>+MONTH(A7193)</f>
        <v>12</v>
      </c>
      <c r="C7193" s="491">
        <v>110</v>
      </c>
      <c r="D7193" s="492" t="str">
        <f>VLOOKUP(C7193,Plan!A$1:B$65542,2,0)</f>
        <v>Disponible Administración</v>
      </c>
      <c r="E7193" s="497">
        <f>+F7193-G7193</f>
        <v>-325000</v>
      </c>
      <c r="F7193" s="493">
        <v>0</v>
      </c>
      <c r="G7193" s="502">
        <f>+F7192</f>
        <v>325000</v>
      </c>
      <c r="H7193" s="491" t="str">
        <f>+H7192</f>
        <v>Mudanza OficinaC.Litoria a La Posada</v>
      </c>
      <c r="I7193" s="499" t="s">
        <v>296</v>
      </c>
      <c r="K7193" s="370"/>
      <c r="N7193" s="370"/>
    </row>
    <row r="7194" spans="1:14" s="347" customFormat="1" x14ac:dyDescent="0.25">
      <c r="A7194" s="369"/>
      <c r="E7194" s="396"/>
      <c r="F7194" s="396"/>
      <c r="G7194" s="396"/>
      <c r="K7194" s="370"/>
      <c r="N7194" s="370"/>
    </row>
    <row r="7195" spans="1:14" s="347" customFormat="1" x14ac:dyDescent="0.25">
      <c r="A7195" s="495">
        <v>44560</v>
      </c>
      <c r="B7195" s="496">
        <f>+MONTH(A7195)</f>
        <v>12</v>
      </c>
      <c r="C7195" s="491">
        <v>4860</v>
      </c>
      <c r="D7195" s="492" t="str">
        <f>VLOOKUP(C7195,Plan!A$1:B$65542,2,0)</f>
        <v>Otros</v>
      </c>
      <c r="E7195" s="497">
        <f>+F7195-G7195</f>
        <v>263270</v>
      </c>
      <c r="F7195" s="493">
        <v>263270</v>
      </c>
      <c r="G7195" s="501">
        <v>0</v>
      </c>
      <c r="H7195" t="s">
        <v>2520</v>
      </c>
      <c r="I7195" s="499" t="s">
        <v>296</v>
      </c>
      <c r="K7195" s="370"/>
      <c r="N7195" s="370"/>
    </row>
    <row r="7196" spans="1:14" s="347" customFormat="1" x14ac:dyDescent="0.25">
      <c r="A7196" s="495">
        <f>+A7195</f>
        <v>44560</v>
      </c>
      <c r="B7196" s="496">
        <f>+MONTH(A7196)</f>
        <v>12</v>
      </c>
      <c r="C7196" s="491">
        <v>110</v>
      </c>
      <c r="D7196" s="492" t="str">
        <f>VLOOKUP(C7196,Plan!A$1:B$65542,2,0)</f>
        <v>Disponible Administración</v>
      </c>
      <c r="E7196" s="497">
        <f>+F7196-G7196</f>
        <v>-263270</v>
      </c>
      <c r="F7196" s="493">
        <v>0</v>
      </c>
      <c r="G7196" s="502">
        <f>+F7195</f>
        <v>263270</v>
      </c>
      <c r="H7196" s="491" t="str">
        <f>+H7195</f>
        <v>Rendición Gastos Misa Navidad</v>
      </c>
      <c r="I7196" s="499" t="s">
        <v>296</v>
      </c>
      <c r="K7196" s="370"/>
      <c r="N7196" s="370"/>
    </row>
    <row r="7197" spans="1:14" s="347" customFormat="1" x14ac:dyDescent="0.25">
      <c r="A7197" s="369"/>
      <c r="E7197" s="396"/>
      <c r="F7197" s="396"/>
      <c r="G7197" s="396"/>
      <c r="K7197" s="370"/>
      <c r="N7197" s="370"/>
    </row>
    <row r="7198" spans="1:14" s="347" customFormat="1" x14ac:dyDescent="0.25">
      <c r="A7198" s="495">
        <v>44560</v>
      </c>
      <c r="B7198" s="496">
        <f>+MONTH(A7198)</f>
        <v>12</v>
      </c>
      <c r="C7198" s="491">
        <v>215</v>
      </c>
      <c r="D7198" s="492" t="str">
        <f>VLOOKUP(C7198,Plan!A$1:B$65542,2,0)</f>
        <v>Cuenta por Pagar a Cali</v>
      </c>
      <c r="E7198" s="497">
        <f>+F7198-G7198</f>
        <v>32000</v>
      </c>
      <c r="F7198" s="493">
        <v>32000</v>
      </c>
      <c r="G7198" s="501">
        <v>0</v>
      </c>
      <c r="H7198" t="s">
        <v>2370</v>
      </c>
      <c r="I7198" s="499" t="s">
        <v>296</v>
      </c>
      <c r="K7198" s="370"/>
      <c r="N7198" s="370"/>
    </row>
    <row r="7199" spans="1:14" s="347" customFormat="1" x14ac:dyDescent="0.25">
      <c r="A7199" s="495">
        <f>+A7198</f>
        <v>44560</v>
      </c>
      <c r="B7199" s="496">
        <f>+MONTH(A7199)</f>
        <v>12</v>
      </c>
      <c r="C7199" s="491">
        <v>3453</v>
      </c>
      <c r="D7199" s="492" t="str">
        <f>VLOOKUP(C7199,Plan!A$1:B$65542,2,0)</f>
        <v>Cajas de navidad</v>
      </c>
      <c r="E7199" s="497">
        <f>+F7199-G7199</f>
        <v>-32000</v>
      </c>
      <c r="F7199" s="493">
        <v>0</v>
      </c>
      <c r="G7199" s="502">
        <f>+F7198</f>
        <v>32000</v>
      </c>
      <c r="H7199" s="491" t="str">
        <f>+H7198</f>
        <v>Caja Navidad Carlos Alberto Fonck Limann</v>
      </c>
      <c r="I7199" s="499" t="s">
        <v>296</v>
      </c>
      <c r="K7199" s="370"/>
      <c r="L7199" s="428"/>
      <c r="N7199" s="370"/>
    </row>
    <row r="7200" spans="1:14" s="347" customFormat="1" x14ac:dyDescent="0.25">
      <c r="A7200" s="369"/>
      <c r="E7200" s="396"/>
      <c r="F7200" s="396"/>
      <c r="G7200" s="396"/>
      <c r="K7200" s="370"/>
      <c r="N7200" s="370"/>
    </row>
    <row r="7201" spans="1:14" s="347" customFormat="1" x14ac:dyDescent="0.25">
      <c r="A7201" s="495">
        <v>44560</v>
      </c>
      <c r="B7201" s="496">
        <f t="shared" ref="B7201:B7206" si="65">+MONTH(A7201)</f>
        <v>12</v>
      </c>
      <c r="C7201" s="491">
        <v>215</v>
      </c>
      <c r="D7201" s="492" t="str">
        <f>VLOOKUP(C7201,Plan!A$1:B$65542,2,0)</f>
        <v>Cuenta por Pagar a Cali</v>
      </c>
      <c r="E7201" s="497">
        <f t="shared" ref="E7201:E7206" si="66">+F7201-G7201</f>
        <v>12000</v>
      </c>
      <c r="F7201" s="493">
        <v>12000</v>
      </c>
      <c r="G7201" s="501">
        <v>0</v>
      </c>
      <c r="H7201" t="s">
        <v>982</v>
      </c>
      <c r="I7201" s="499" t="s">
        <v>296</v>
      </c>
      <c r="K7201" s="370"/>
      <c r="N7201" s="370"/>
    </row>
    <row r="7202" spans="1:14" s="347" customFormat="1" x14ac:dyDescent="0.25">
      <c r="A7202" s="495">
        <f t="shared" ref="A7202" si="67">+A7201</f>
        <v>44560</v>
      </c>
      <c r="B7202" s="496">
        <f t="shared" si="65"/>
        <v>12</v>
      </c>
      <c r="C7202" s="491">
        <v>215</v>
      </c>
      <c r="D7202" s="492" t="str">
        <f>VLOOKUP(C7202,Plan!A$1:B$65542,2,0)</f>
        <v>Cuenta por Pagar a Cali</v>
      </c>
      <c r="E7202" s="497">
        <f t="shared" si="66"/>
        <v>6000</v>
      </c>
      <c r="F7202" s="493">
        <v>6000</v>
      </c>
      <c r="G7202" s="502">
        <v>0</v>
      </c>
      <c r="H7202" t="s">
        <v>1010</v>
      </c>
      <c r="I7202" s="499" t="s">
        <v>296</v>
      </c>
      <c r="K7202" s="370"/>
      <c r="N7202" s="370"/>
    </row>
    <row r="7203" spans="1:14" s="347" customFormat="1" x14ac:dyDescent="0.25">
      <c r="A7203" s="495">
        <v>44560</v>
      </c>
      <c r="B7203" s="496">
        <f t="shared" si="65"/>
        <v>12</v>
      </c>
      <c r="C7203" s="491">
        <v>215</v>
      </c>
      <c r="D7203" s="492" t="str">
        <f>VLOOKUP(C7203,Plan!A$1:B$65542,2,0)</f>
        <v>Cuenta por Pagar a Cali</v>
      </c>
      <c r="E7203" s="497">
        <f t="shared" si="66"/>
        <v>5000</v>
      </c>
      <c r="F7203" s="493">
        <v>5000</v>
      </c>
      <c r="G7203" s="501">
        <v>0</v>
      </c>
      <c r="H7203" t="s">
        <v>1861</v>
      </c>
      <c r="I7203" s="499" t="s">
        <v>296</v>
      </c>
      <c r="K7203" s="370"/>
      <c r="N7203" s="370"/>
    </row>
    <row r="7204" spans="1:14" s="347" customFormat="1" x14ac:dyDescent="0.25">
      <c r="A7204" s="495">
        <f t="shared" ref="A7204" si="68">+A7203</f>
        <v>44560</v>
      </c>
      <c r="B7204" s="496">
        <f t="shared" si="65"/>
        <v>12</v>
      </c>
      <c r="C7204" s="491">
        <v>3110</v>
      </c>
      <c r="D7204" s="492" t="str">
        <f>VLOOKUP(C7204,Plan!A$1:B$65542,2,0)</f>
        <v>Colectas Normales</v>
      </c>
      <c r="E7204" s="497">
        <f t="shared" si="66"/>
        <v>-12000</v>
      </c>
      <c r="F7204" s="493">
        <v>0</v>
      </c>
      <c r="G7204" s="502">
        <v>12000</v>
      </c>
      <c r="H7204" t="s">
        <v>982</v>
      </c>
      <c r="I7204" s="499" t="s">
        <v>296</v>
      </c>
      <c r="K7204" s="370"/>
      <c r="N7204" s="370"/>
    </row>
    <row r="7205" spans="1:14" s="347" customFormat="1" x14ac:dyDescent="0.25">
      <c r="A7205" s="495">
        <v>44560</v>
      </c>
      <c r="B7205" s="496">
        <f t="shared" si="65"/>
        <v>12</v>
      </c>
      <c r="C7205" s="491">
        <v>3110</v>
      </c>
      <c r="D7205" s="492" t="str">
        <f>VLOOKUP(C7205,Plan!A$1:B$65542,2,0)</f>
        <v>Colectas Normales</v>
      </c>
      <c r="E7205" s="497">
        <f t="shared" si="66"/>
        <v>-6000</v>
      </c>
      <c r="F7205" s="493">
        <v>0</v>
      </c>
      <c r="G7205" s="501">
        <v>6000</v>
      </c>
      <c r="H7205" t="s">
        <v>1010</v>
      </c>
      <c r="I7205" s="499" t="s">
        <v>296</v>
      </c>
      <c r="K7205" s="370"/>
      <c r="N7205" s="370"/>
    </row>
    <row r="7206" spans="1:14" s="347" customFormat="1" x14ac:dyDescent="0.25">
      <c r="A7206" s="495">
        <f t="shared" ref="A7206" si="69">+A7205</f>
        <v>44560</v>
      </c>
      <c r="B7206" s="496">
        <f t="shared" si="65"/>
        <v>12</v>
      </c>
      <c r="C7206" s="491">
        <v>3110</v>
      </c>
      <c r="D7206" s="492" t="str">
        <f>VLOOKUP(C7206,Plan!A$1:B$65542,2,0)</f>
        <v>Colectas Normales</v>
      </c>
      <c r="E7206" s="497">
        <f t="shared" si="66"/>
        <v>-5000</v>
      </c>
      <c r="F7206" s="493">
        <v>0</v>
      </c>
      <c r="G7206" s="502">
        <v>5000</v>
      </c>
      <c r="H7206" t="s">
        <v>1861</v>
      </c>
      <c r="I7206" s="499" t="s">
        <v>296</v>
      </c>
      <c r="K7206" s="370"/>
      <c r="N7206" s="370"/>
    </row>
    <row r="7207" spans="1:14" s="347" customFormat="1" x14ac:dyDescent="0.25">
      <c r="A7207" s="369"/>
      <c r="E7207" s="396"/>
      <c r="F7207" s="396"/>
      <c r="G7207" s="396"/>
      <c r="K7207" s="370"/>
      <c r="N7207" s="370"/>
    </row>
    <row r="7208" spans="1:14" s="347" customFormat="1" x14ac:dyDescent="0.25">
      <c r="A7208" s="495">
        <v>44560</v>
      </c>
      <c r="B7208" s="496">
        <f t="shared" ref="B7208:B7209" si="70">+MONTH(A7208)</f>
        <v>12</v>
      </c>
      <c r="C7208" s="491">
        <v>110</v>
      </c>
      <c r="D7208" s="492" t="str">
        <f>VLOOKUP(C7208,Plan!A$1:B$65542,2,0)</f>
        <v>Disponible Administración</v>
      </c>
      <c r="E7208" s="497">
        <f t="shared" ref="E7208:E7209" si="71">+F7208-G7208</f>
        <v>15</v>
      </c>
      <c r="F7208" s="493">
        <v>15</v>
      </c>
      <c r="G7208" s="501">
        <v>0</v>
      </c>
      <c r="H7208" s="156" t="s">
        <v>2551</v>
      </c>
      <c r="I7208" s="499" t="s">
        <v>296</v>
      </c>
      <c r="K7208" s="370"/>
      <c r="N7208" s="370"/>
    </row>
    <row r="7209" spans="1:14" s="347" customFormat="1" x14ac:dyDescent="0.25">
      <c r="A7209" s="495">
        <f t="shared" ref="A7209:A7212" si="72">+A7208</f>
        <v>44560</v>
      </c>
      <c r="B7209" s="496">
        <f t="shared" si="70"/>
        <v>12</v>
      </c>
      <c r="C7209" s="491">
        <v>4860</v>
      </c>
      <c r="D7209" s="492" t="str">
        <f>VLOOKUP(C7209,Plan!A$1:B$65542,2,0)</f>
        <v>Otros</v>
      </c>
      <c r="E7209" s="497">
        <f t="shared" si="71"/>
        <v>188</v>
      </c>
      <c r="F7209" s="493">
        <v>188</v>
      </c>
      <c r="G7209" s="502">
        <v>0</v>
      </c>
      <c r="H7209" t="str">
        <f>+H7208</f>
        <v>Ajustes Menores</v>
      </c>
      <c r="I7209" s="499" t="s">
        <v>296</v>
      </c>
      <c r="K7209" s="370"/>
      <c r="N7209" s="370"/>
    </row>
    <row r="7210" spans="1:14" s="347" customFormat="1" x14ac:dyDescent="0.25">
      <c r="A7210" s="495">
        <f t="shared" si="72"/>
        <v>44560</v>
      </c>
      <c r="B7210" s="496">
        <f t="shared" ref="B7210:B7211" si="73">+MONTH(A7210)</f>
        <v>12</v>
      </c>
      <c r="C7210" s="491">
        <v>222</v>
      </c>
      <c r="D7210" s="492" t="str">
        <f>VLOOKUP(C7210,Plan!A$1:B$65542,2,0)</f>
        <v>Honorarios por pagar Administración</v>
      </c>
      <c r="E7210" s="497">
        <f t="shared" ref="E7210:E7211" si="74">+F7210-G7210</f>
        <v>5</v>
      </c>
      <c r="F7210" s="493">
        <v>5</v>
      </c>
      <c r="G7210" s="502">
        <v>0</v>
      </c>
      <c r="H7210" t="str">
        <f t="shared" ref="H7210:H7211" si="75">+H7209</f>
        <v>Ajustes Menores</v>
      </c>
      <c r="I7210" s="499" t="s">
        <v>296</v>
      </c>
      <c r="K7210" s="370"/>
      <c r="L7210"/>
      <c r="M7210" s="264"/>
      <c r="N7210" s="464"/>
    </row>
    <row r="7211" spans="1:14" s="347" customFormat="1" x14ac:dyDescent="0.25">
      <c r="A7211" s="495">
        <f t="shared" si="72"/>
        <v>44560</v>
      </c>
      <c r="B7211" s="496">
        <f t="shared" si="73"/>
        <v>12</v>
      </c>
      <c r="C7211" s="491">
        <v>225</v>
      </c>
      <c r="D7211" s="492" t="str">
        <f>VLOOKUP(C7211,Plan!A$1:B$65542,2,0)</f>
        <v>Sueldos por Pagar</v>
      </c>
      <c r="E7211" s="497">
        <f t="shared" si="74"/>
        <v>2</v>
      </c>
      <c r="F7211" s="493">
        <v>2</v>
      </c>
      <c r="G7211" s="502">
        <v>0</v>
      </c>
      <c r="H7211" t="str">
        <f t="shared" si="75"/>
        <v>Ajustes Menores</v>
      </c>
      <c r="I7211" s="499" t="s">
        <v>296</v>
      </c>
      <c r="K7211" s="370"/>
      <c r="L7211"/>
      <c r="M7211" s="264"/>
      <c r="N7211" s="264"/>
    </row>
    <row r="7212" spans="1:14" s="347" customFormat="1" x14ac:dyDescent="0.25">
      <c r="A7212" s="495">
        <f t="shared" si="72"/>
        <v>44560</v>
      </c>
      <c r="B7212" s="496">
        <f t="shared" ref="B7212" si="76">+MONTH(A7212)</f>
        <v>12</v>
      </c>
      <c r="C7212" s="491">
        <v>120</v>
      </c>
      <c r="D7212" s="492" t="str">
        <f>VLOOKUP(C7212,Plan!A$1:B$65542,2,0)</f>
        <v>Fondo Mutuo Administración</v>
      </c>
      <c r="E7212" s="497">
        <f t="shared" ref="E7212" si="77">+F7212-G7212</f>
        <v>-210</v>
      </c>
      <c r="F7212" s="493">
        <v>0</v>
      </c>
      <c r="G7212" s="502">
        <v>210</v>
      </c>
      <c r="H7212" t="str">
        <f t="shared" ref="H7212" si="78">+H7211</f>
        <v>Ajustes Menores</v>
      </c>
      <c r="I7212" s="499" t="s">
        <v>296</v>
      </c>
      <c r="K7212" s="370"/>
      <c r="L7212"/>
      <c r="M7212" s="264"/>
      <c r="N7212" s="264"/>
    </row>
    <row r="7213" spans="1:14" s="347" customFormat="1" x14ac:dyDescent="0.25">
      <c r="A7213" s="369"/>
      <c r="E7213" s="396"/>
      <c r="F7213" s="396"/>
      <c r="G7213" s="396"/>
      <c r="K7213" s="370"/>
      <c r="N7213" s="370"/>
    </row>
    <row r="7214" spans="1:14" s="347" customFormat="1" x14ac:dyDescent="0.25">
      <c r="A7214" s="495">
        <v>44560</v>
      </c>
      <c r="B7214" s="496">
        <f t="shared" ref="B7214:B7215" si="79">+MONTH(A7214)</f>
        <v>12</v>
      </c>
      <c r="C7214" s="491">
        <v>4221</v>
      </c>
      <c r="D7214" s="492" t="str">
        <f>VLOOKUP(C7214,Plan!A$1:B$65542,2,0)</f>
        <v xml:space="preserve">          Contables-Administración</v>
      </c>
      <c r="E7214" s="497">
        <f t="shared" ref="E7214:E7215" si="80">+F7214-G7214</f>
        <v>900000</v>
      </c>
      <c r="F7214" s="493">
        <v>900000</v>
      </c>
      <c r="G7214" s="501">
        <v>0</v>
      </c>
      <c r="H7214" s="156" t="s">
        <v>2553</v>
      </c>
      <c r="I7214" s="499" t="s">
        <v>296</v>
      </c>
      <c r="K7214" s="370"/>
      <c r="N7214" s="370"/>
    </row>
    <row r="7215" spans="1:14" s="347" customFormat="1" x14ac:dyDescent="0.25">
      <c r="A7215" s="495">
        <f t="shared" ref="A7215:A7226" si="81">+A7214</f>
        <v>44560</v>
      </c>
      <c r="B7215" s="496">
        <f t="shared" si="79"/>
        <v>12</v>
      </c>
      <c r="C7215" s="491">
        <v>229</v>
      </c>
      <c r="D7215" s="492" t="str">
        <f>VLOOKUP(C7215,Plan!A$1:B$65542,2,0)</f>
        <v>Provisiones Administración</v>
      </c>
      <c r="E7215" s="497">
        <f t="shared" si="80"/>
        <v>-900000</v>
      </c>
      <c r="F7215" s="493">
        <v>0</v>
      </c>
      <c r="G7215" s="502">
        <f>+F7214</f>
        <v>900000</v>
      </c>
      <c r="H7215" t="str">
        <f>+H7214</f>
        <v>Provisión Honorarios Contabilidad Octubre - Diciembre</v>
      </c>
      <c r="I7215" s="499" t="s">
        <v>296</v>
      </c>
      <c r="K7215" s="370"/>
      <c r="N7215" s="370"/>
    </row>
    <row r="7216" spans="1:14" s="347" customFormat="1" x14ac:dyDescent="0.25">
      <c r="A7216" s="495">
        <f t="shared" si="81"/>
        <v>44560</v>
      </c>
      <c r="B7216" s="496">
        <f t="shared" ref="B7216:B7217" si="82">+MONTH(A7216)</f>
        <v>12</v>
      </c>
      <c r="C7216" s="347">
        <v>132</v>
      </c>
      <c r="D7216" s="492" t="str">
        <f>VLOOKUP(C7216,Plan!A$1:B$65542,2,0)</f>
        <v>Préstamos  Fundación Administración</v>
      </c>
      <c r="E7216" s="497">
        <f t="shared" ref="E7216:E7217" si="83">+F7216-G7216</f>
        <v>10000</v>
      </c>
      <c r="F7216" s="493">
        <v>10000</v>
      </c>
      <c r="G7216" s="502">
        <f t="shared" ref="G7216:G7217" si="84">+F7215</f>
        <v>0</v>
      </c>
      <c r="H7216" s="156" t="s">
        <v>2554</v>
      </c>
      <c r="I7216" s="499" t="s">
        <v>296</v>
      </c>
      <c r="K7216" s="370"/>
      <c r="N7216" s="370"/>
    </row>
    <row r="7217" spans="1:14" s="347" customFormat="1" x14ac:dyDescent="0.25">
      <c r="A7217" s="495">
        <f t="shared" si="81"/>
        <v>44560</v>
      </c>
      <c r="B7217" s="496">
        <f t="shared" si="82"/>
        <v>12</v>
      </c>
      <c r="C7217" s="347">
        <v>229</v>
      </c>
      <c r="D7217" s="492" t="str">
        <f>VLOOKUP(C7217,Plan!A$1:B$65542,2,0)</f>
        <v>Provisiones Administración</v>
      </c>
      <c r="E7217" s="497">
        <f t="shared" si="83"/>
        <v>-10000</v>
      </c>
      <c r="F7217" s="493">
        <v>0</v>
      </c>
      <c r="G7217" s="502">
        <f t="shared" si="84"/>
        <v>10000</v>
      </c>
      <c r="H7217" t="str">
        <f t="shared" ref="H7217" si="85">+H7216</f>
        <v>Reg. Dif. Fundación</v>
      </c>
      <c r="I7217" s="499" t="s">
        <v>296</v>
      </c>
      <c r="K7217" s="370"/>
      <c r="N7217" s="370"/>
    </row>
    <row r="7218" spans="1:14" s="347" customFormat="1" x14ac:dyDescent="0.25">
      <c r="A7218" s="369"/>
      <c r="E7218" s="396"/>
      <c r="F7218" s="396"/>
      <c r="G7218" s="396"/>
      <c r="K7218" s="370"/>
      <c r="N7218" s="370"/>
    </row>
    <row r="7219" spans="1:14" s="347" customFormat="1" x14ac:dyDescent="0.25">
      <c r="A7219" s="495">
        <f>+A7217</f>
        <v>44560</v>
      </c>
      <c r="B7219" s="496">
        <f t="shared" ref="B7219:B7220" si="86">+MONTH(A7219)</f>
        <v>12</v>
      </c>
      <c r="C7219" s="347">
        <v>4820</v>
      </c>
      <c r="D7219" s="492" t="str">
        <f>VLOOKUP(C7219,Plan!A$1:B$65542,2,0)</f>
        <v>Navidad</v>
      </c>
      <c r="E7219" s="497">
        <f t="shared" ref="E7219:E7220" si="87">+F7219-G7219</f>
        <v>535000</v>
      </c>
      <c r="F7219" s="493">
        <v>535000</v>
      </c>
      <c r="G7219" s="502">
        <f t="shared" ref="G7219:G7220" si="88">+F7218</f>
        <v>0</v>
      </c>
      <c r="H7219" s="156" t="s">
        <v>2560</v>
      </c>
      <c r="I7219" s="499" t="s">
        <v>296</v>
      </c>
      <c r="K7219" s="370"/>
      <c r="N7219" s="370"/>
    </row>
    <row r="7220" spans="1:14" s="347" customFormat="1" x14ac:dyDescent="0.25">
      <c r="A7220" s="495">
        <f t="shared" si="81"/>
        <v>44560</v>
      </c>
      <c r="B7220" s="496">
        <f t="shared" si="86"/>
        <v>12</v>
      </c>
      <c r="C7220" s="347">
        <v>229</v>
      </c>
      <c r="D7220" s="492" t="str">
        <f>VLOOKUP(C7220,Plan!A$1:B$65542,2,0)</f>
        <v>Provisiones Administración</v>
      </c>
      <c r="E7220" s="497">
        <f t="shared" si="87"/>
        <v>-535000</v>
      </c>
      <c r="F7220" s="493">
        <v>0</v>
      </c>
      <c r="G7220" s="502">
        <f t="shared" si="88"/>
        <v>535000</v>
      </c>
      <c r="H7220" t="str">
        <f t="shared" ref="H7220:H7226" si="89">+H7219</f>
        <v>Provisión Misa Navidad</v>
      </c>
      <c r="I7220" s="499" t="s">
        <v>296</v>
      </c>
      <c r="K7220" s="370"/>
      <c r="N7220" s="370"/>
    </row>
    <row r="7221" spans="1:14" s="347" customFormat="1" x14ac:dyDescent="0.25">
      <c r="A7221" s="495">
        <f>+A7219</f>
        <v>44560</v>
      </c>
      <c r="B7221" s="496">
        <f t="shared" ref="B7221:B7222" si="90">+MONTH(A7221)</f>
        <v>12</v>
      </c>
      <c r="C7221" s="347">
        <v>4650</v>
      </c>
      <c r="D7221" s="492" t="str">
        <f>VLOOKUP(C7221,Plan!A$1:B$65542,2,0)</f>
        <v>Pastoral Social</v>
      </c>
      <c r="E7221" s="497">
        <f t="shared" ref="E7221:E7222" si="91">+F7221-G7221</f>
        <v>1587495</v>
      </c>
      <c r="F7221" s="493">
        <v>1587495</v>
      </c>
      <c r="G7221" s="502">
        <f t="shared" ref="G7221:G7222" si="92">+F7220</f>
        <v>0</v>
      </c>
      <c r="H7221" s="156" t="s">
        <v>2561</v>
      </c>
      <c r="I7221" s="499" t="s">
        <v>296</v>
      </c>
      <c r="K7221" s="370"/>
      <c r="N7221" s="370"/>
    </row>
    <row r="7222" spans="1:14" s="347" customFormat="1" x14ac:dyDescent="0.25">
      <c r="A7222" s="495">
        <f t="shared" si="81"/>
        <v>44560</v>
      </c>
      <c r="B7222" s="496">
        <f t="shared" si="90"/>
        <v>12</v>
      </c>
      <c r="C7222" s="347">
        <v>231</v>
      </c>
      <c r="D7222" s="492" t="str">
        <f>VLOOKUP(C7222,Plan!A$1:B$65542,2,0)</f>
        <v xml:space="preserve"> Fondos Pastoral Social</v>
      </c>
      <c r="E7222" s="497">
        <f t="shared" si="91"/>
        <v>-1587495</v>
      </c>
      <c r="F7222" s="493">
        <v>0</v>
      </c>
      <c r="G7222" s="502">
        <f t="shared" si="92"/>
        <v>1587495</v>
      </c>
      <c r="H7222" t="str">
        <f t="shared" si="89"/>
        <v>Provisión Pastoral Social</v>
      </c>
      <c r="I7222" s="499" t="s">
        <v>296</v>
      </c>
      <c r="K7222" s="370"/>
      <c r="N7222" s="370"/>
    </row>
    <row r="7223" spans="1:14" s="347" customFormat="1" x14ac:dyDescent="0.25">
      <c r="A7223" s="495">
        <f>+A7221</f>
        <v>44560</v>
      </c>
      <c r="B7223" s="496">
        <f t="shared" ref="B7223:B7224" si="93">+MONTH(A7223)</f>
        <v>12</v>
      </c>
      <c r="C7223" s="347">
        <v>4861</v>
      </c>
      <c r="D7223" s="492" t="str">
        <f>VLOOKUP(C7223,Plan!A$1:B$65542,2,0)</f>
        <v>Curso Biblia</v>
      </c>
      <c r="E7223" s="497">
        <f t="shared" ref="E7223:E7224" si="94">+F7223-G7223</f>
        <v>30000</v>
      </c>
      <c r="F7223" s="493">
        <v>30000</v>
      </c>
      <c r="G7223" s="502">
        <f t="shared" ref="G7223:G7224" si="95">+F7222</f>
        <v>0</v>
      </c>
      <c r="H7223" s="156" t="s">
        <v>2562</v>
      </c>
      <c r="I7223" s="499" t="s">
        <v>296</v>
      </c>
      <c r="K7223" s="370"/>
      <c r="N7223" s="370"/>
    </row>
    <row r="7224" spans="1:14" s="347" customFormat="1" x14ac:dyDescent="0.25">
      <c r="A7224" s="495">
        <f t="shared" si="81"/>
        <v>44560</v>
      </c>
      <c r="B7224" s="496">
        <f t="shared" si="93"/>
        <v>12</v>
      </c>
      <c r="C7224" s="347">
        <v>229</v>
      </c>
      <c r="D7224" s="492" t="str">
        <f>VLOOKUP(C7224,Plan!A$1:B$65542,2,0)</f>
        <v>Provisiones Administración</v>
      </c>
      <c r="E7224" s="497">
        <f t="shared" si="94"/>
        <v>-30000</v>
      </c>
      <c r="F7224" s="493">
        <v>0</v>
      </c>
      <c r="G7224" s="502">
        <f t="shared" si="95"/>
        <v>30000</v>
      </c>
      <c r="H7224" t="str">
        <f t="shared" si="89"/>
        <v>Provisión Curso Biblia</v>
      </c>
      <c r="I7224" s="499" t="s">
        <v>296</v>
      </c>
      <c r="K7224" s="370"/>
      <c r="N7224" s="370"/>
    </row>
    <row r="7225" spans="1:14" s="347" customFormat="1" x14ac:dyDescent="0.25">
      <c r="A7225" s="495">
        <f>+A7223</f>
        <v>44560</v>
      </c>
      <c r="B7225" s="496">
        <f t="shared" ref="B7225:B7226" si="96">+MONTH(A7225)</f>
        <v>12</v>
      </c>
      <c r="C7225" s="347">
        <v>220</v>
      </c>
      <c r="D7225" s="492" t="str">
        <f>VLOOKUP(C7225,Plan!A$1:B$65542,2,0)</f>
        <v>Fondos Pastoral Juvenil</v>
      </c>
      <c r="E7225" s="497">
        <f t="shared" ref="E7225:E7226" si="97">+F7225-G7225</f>
        <v>878224</v>
      </c>
      <c r="F7225" s="493">
        <v>878224</v>
      </c>
      <c r="G7225" s="502">
        <f t="shared" ref="G7225:G7226" si="98">+F7224</f>
        <v>0</v>
      </c>
      <c r="H7225" s="156"/>
      <c r="I7225" s="499" t="s">
        <v>296</v>
      </c>
      <c r="K7225" s="370"/>
      <c r="N7225" s="370"/>
    </row>
    <row r="7226" spans="1:14" s="347" customFormat="1" x14ac:dyDescent="0.25">
      <c r="A7226" s="495">
        <f t="shared" si="81"/>
        <v>44560</v>
      </c>
      <c r="B7226" s="496">
        <f t="shared" si="96"/>
        <v>12</v>
      </c>
      <c r="C7226" s="347">
        <v>3520</v>
      </c>
      <c r="D7226" s="492" t="str">
        <f>VLOOKUP(C7226,Plan!A$1:B$65542,2,0)</f>
        <v>Otros Ingreso</v>
      </c>
      <c r="E7226" s="497">
        <f t="shared" si="97"/>
        <v>-878224</v>
      </c>
      <c r="F7226" s="493">
        <v>0</v>
      </c>
      <c r="G7226" s="502">
        <f t="shared" si="98"/>
        <v>878224</v>
      </c>
      <c r="H7226">
        <f t="shared" si="89"/>
        <v>0</v>
      </c>
      <c r="I7226" s="499" t="s">
        <v>296</v>
      </c>
      <c r="K7226" s="370"/>
      <c r="N7226" s="370"/>
    </row>
    <row r="7227" spans="1:14" s="347" customFormat="1" x14ac:dyDescent="0.25">
      <c r="A7227" s="369"/>
      <c r="E7227" s="396"/>
      <c r="F7227" s="396"/>
      <c r="G7227" s="396"/>
      <c r="K7227" s="370"/>
      <c r="N7227" s="370"/>
    </row>
    <row r="7228" spans="1:14" s="347" customFormat="1" x14ac:dyDescent="0.25">
      <c r="A7228" s="495">
        <f>+A7226</f>
        <v>44560</v>
      </c>
      <c r="B7228" s="496">
        <f t="shared" ref="B7228:B7229" si="99">+MONTH(A7228)</f>
        <v>12</v>
      </c>
      <c r="C7228" s="347">
        <v>215</v>
      </c>
      <c r="D7228" s="492" t="str">
        <f>VLOOKUP(C7228,Plan!A$1:B$65542,2,0)</f>
        <v>Cuenta por Pagar a Cali</v>
      </c>
      <c r="E7228" s="497">
        <f t="shared" ref="E7228:E7229" si="100">+F7228-G7228</f>
        <v>3231652</v>
      </c>
      <c r="F7228" s="493">
        <v>3231652</v>
      </c>
      <c r="G7228" s="502">
        <f t="shared" ref="G7228:G7229" si="101">+F7227</f>
        <v>0</v>
      </c>
      <c r="H7228" s="156"/>
      <c r="I7228" s="499" t="s">
        <v>296</v>
      </c>
      <c r="K7228" s="370"/>
      <c r="N7228" s="370"/>
    </row>
    <row r="7229" spans="1:14" s="347" customFormat="1" x14ac:dyDescent="0.25">
      <c r="A7229" s="495">
        <f t="shared" ref="A7229:A7231" si="102">+A7228</f>
        <v>44560</v>
      </c>
      <c r="B7229" s="496">
        <f t="shared" si="99"/>
        <v>12</v>
      </c>
      <c r="C7229" s="347">
        <v>142</v>
      </c>
      <c r="D7229" s="492" t="str">
        <f>VLOOKUP(C7229,Plan!A$1:B$65542,2,0)</f>
        <v>Cuentas por Cobrar a CALI (Colectas)</v>
      </c>
      <c r="E7229" s="497">
        <f t="shared" si="100"/>
        <v>-3231652</v>
      </c>
      <c r="F7229" s="493">
        <v>0</v>
      </c>
      <c r="G7229" s="502">
        <f t="shared" si="101"/>
        <v>3231652</v>
      </c>
      <c r="H7229">
        <f t="shared" ref="H7229" si="103">+H7228</f>
        <v>0</v>
      </c>
      <c r="I7229" s="499" t="s">
        <v>296</v>
      </c>
      <c r="K7229" s="370"/>
      <c r="N7229" s="370"/>
    </row>
    <row r="7230" spans="1:14" s="347" customFormat="1" x14ac:dyDescent="0.25">
      <c r="A7230" s="495">
        <f>+A7228</f>
        <v>44560</v>
      </c>
      <c r="B7230" s="496">
        <f t="shared" ref="B7230:B7231" si="104">+MONTH(A7230)</f>
        <v>12</v>
      </c>
      <c r="C7230" s="347">
        <v>215</v>
      </c>
      <c r="D7230" s="492" t="str">
        <f>VLOOKUP(C7230,Plan!A$1:B$65542,2,0)</f>
        <v>Cuenta por Pagar a Cali</v>
      </c>
      <c r="E7230" s="497">
        <f t="shared" ref="E7230:E7231" si="105">+F7230-G7230</f>
        <v>765000</v>
      </c>
      <c r="F7230" s="493">
        <v>765000</v>
      </c>
      <c r="G7230" s="502">
        <f t="shared" ref="G7230:G7231" si="106">+F7229</f>
        <v>0</v>
      </c>
      <c r="I7230" s="499" t="s">
        <v>296</v>
      </c>
      <c r="K7230" s="370"/>
      <c r="N7230" s="370"/>
    </row>
    <row r="7231" spans="1:14" s="347" customFormat="1" x14ac:dyDescent="0.25">
      <c r="A7231" s="495">
        <f t="shared" si="102"/>
        <v>44560</v>
      </c>
      <c r="B7231" s="496">
        <f t="shared" si="104"/>
        <v>12</v>
      </c>
      <c r="C7231" s="347">
        <v>143</v>
      </c>
      <c r="D7231" s="492" t="str">
        <f>VLOOKUP(C7231,Plan!A$1:B$65542,2,0)</f>
        <v>Cuentas por Cobrar a CALI (Canastas)</v>
      </c>
      <c r="E7231" s="497">
        <f t="shared" si="105"/>
        <v>-765000</v>
      </c>
      <c r="F7231" s="493">
        <v>0</v>
      </c>
      <c r="G7231" s="502">
        <f t="shared" si="106"/>
        <v>765000</v>
      </c>
      <c r="I7231" s="499" t="s">
        <v>296</v>
      </c>
      <c r="K7231" s="370"/>
      <c r="N7231" s="370"/>
    </row>
    <row r="7232" spans="1:14" s="347" customFormat="1" x14ac:dyDescent="0.25">
      <c r="A7232" s="369"/>
      <c r="E7232" s="396"/>
      <c r="F7232" s="396"/>
      <c r="G7232" s="396"/>
      <c r="K7232" s="370"/>
      <c r="N7232" s="370"/>
    </row>
    <row r="7233" spans="1:14" s="347" customFormat="1" x14ac:dyDescent="0.25">
      <c r="A7233" s="369"/>
      <c r="E7233" s="396"/>
      <c r="F7233" s="396"/>
      <c r="G7233" s="396"/>
      <c r="K7233" s="370"/>
      <c r="N7233" s="370"/>
    </row>
    <row r="7234" spans="1:14" s="347" customFormat="1" x14ac:dyDescent="0.25">
      <c r="A7234" s="369"/>
      <c r="E7234" s="396"/>
      <c r="F7234" s="396"/>
      <c r="G7234" s="396"/>
      <c r="K7234" s="370"/>
      <c r="N7234" s="370"/>
    </row>
    <row r="7235" spans="1:14" s="347" customFormat="1" x14ac:dyDescent="0.25">
      <c r="A7235" s="369"/>
      <c r="E7235" s="396"/>
      <c r="F7235" s="396"/>
      <c r="G7235" s="396"/>
      <c r="K7235" s="370"/>
      <c r="N7235" s="370"/>
    </row>
    <row r="7236" spans="1:14" s="347" customFormat="1" x14ac:dyDescent="0.25">
      <c r="A7236" s="369"/>
      <c r="E7236" s="396"/>
      <c r="F7236" s="396"/>
      <c r="G7236" s="396"/>
      <c r="K7236" s="370"/>
      <c r="N7236" s="370"/>
    </row>
    <row r="7237" spans="1:14" s="347" customFormat="1" x14ac:dyDescent="0.25">
      <c r="A7237" s="369"/>
      <c r="E7237" s="396"/>
      <c r="F7237" s="396"/>
      <c r="G7237" s="396"/>
      <c r="K7237" s="370"/>
      <c r="N7237" s="370"/>
    </row>
    <row r="7238" spans="1:14" s="347" customFormat="1" x14ac:dyDescent="0.25">
      <c r="A7238" s="369"/>
      <c r="E7238" s="396"/>
      <c r="F7238" s="396"/>
      <c r="G7238" s="396"/>
      <c r="K7238" s="370"/>
      <c r="N7238" s="370"/>
    </row>
    <row r="7239" spans="1:14" s="347" customFormat="1" x14ac:dyDescent="0.25">
      <c r="A7239" s="369"/>
      <c r="E7239" s="396"/>
      <c r="F7239" s="396"/>
      <c r="G7239" s="396"/>
      <c r="K7239" s="370"/>
      <c r="N7239" s="370"/>
    </row>
    <row r="7240" spans="1:14" s="347" customFormat="1" x14ac:dyDescent="0.25">
      <c r="A7240" s="369"/>
      <c r="E7240" s="396"/>
      <c r="F7240" s="396"/>
      <c r="G7240" s="396"/>
      <c r="K7240" s="370"/>
      <c r="N7240" s="370"/>
    </row>
    <row r="7241" spans="1:14" s="347" customFormat="1" x14ac:dyDescent="0.25">
      <c r="A7241" s="369"/>
      <c r="E7241" s="396"/>
      <c r="F7241" s="396"/>
      <c r="G7241" s="396"/>
      <c r="K7241" s="370"/>
      <c r="N7241" s="370"/>
    </row>
    <row r="7242" spans="1:14" s="347" customFormat="1" x14ac:dyDescent="0.25">
      <c r="A7242" s="369"/>
      <c r="E7242" s="396"/>
      <c r="F7242" s="396"/>
      <c r="G7242" s="396"/>
      <c r="K7242" s="370"/>
      <c r="N7242" s="370"/>
    </row>
    <row r="7243" spans="1:14" s="347" customFormat="1" x14ac:dyDescent="0.25">
      <c r="A7243" s="369"/>
      <c r="E7243" s="396"/>
      <c r="F7243" s="396"/>
      <c r="G7243" s="396"/>
      <c r="K7243" s="370"/>
      <c r="N7243" s="370"/>
    </row>
    <row r="7244" spans="1:14" s="347" customFormat="1" x14ac:dyDescent="0.25">
      <c r="A7244" s="369"/>
      <c r="E7244" s="396"/>
      <c r="F7244" s="396"/>
      <c r="G7244" s="396"/>
      <c r="K7244" s="370"/>
      <c r="N7244" s="370"/>
    </row>
    <row r="7245" spans="1:14" s="347" customFormat="1" x14ac:dyDescent="0.25">
      <c r="A7245" s="369"/>
      <c r="E7245" s="396"/>
      <c r="F7245" s="396"/>
      <c r="G7245" s="396"/>
      <c r="K7245" s="370"/>
      <c r="N7245" s="370"/>
    </row>
    <row r="7246" spans="1:14" s="347" customFormat="1" x14ac:dyDescent="0.25">
      <c r="A7246" s="369"/>
      <c r="E7246" s="396"/>
      <c r="F7246" s="396"/>
      <c r="G7246" s="396"/>
      <c r="K7246" s="370"/>
      <c r="N7246" s="370"/>
    </row>
    <row r="7247" spans="1:14" s="347" customFormat="1" x14ac:dyDescent="0.25">
      <c r="A7247" s="369"/>
      <c r="E7247" s="396"/>
      <c r="F7247" s="396"/>
      <c r="G7247" s="396"/>
      <c r="K7247" s="370"/>
      <c r="N7247" s="370"/>
    </row>
    <row r="7248" spans="1:14" s="347" customFormat="1" x14ac:dyDescent="0.25">
      <c r="A7248" s="369"/>
      <c r="E7248" s="396"/>
      <c r="F7248" s="396"/>
      <c r="G7248" s="396"/>
      <c r="K7248" s="370"/>
      <c r="N7248" s="370"/>
    </row>
    <row r="7249" spans="1:14" s="347" customFormat="1" x14ac:dyDescent="0.25">
      <c r="A7249" s="369"/>
      <c r="E7249" s="396"/>
      <c r="F7249" s="396"/>
      <c r="G7249" s="396"/>
      <c r="K7249" s="370"/>
      <c r="N7249" s="370"/>
    </row>
    <row r="7250" spans="1:14" s="347" customFormat="1" x14ac:dyDescent="0.25">
      <c r="A7250" s="369"/>
      <c r="E7250" s="396"/>
      <c r="F7250" s="396"/>
      <c r="G7250" s="396"/>
      <c r="K7250" s="370"/>
      <c r="N7250" s="370"/>
    </row>
    <row r="7251" spans="1:14" s="347" customFormat="1" x14ac:dyDescent="0.25">
      <c r="A7251" s="369"/>
      <c r="E7251" s="396"/>
      <c r="F7251" s="396"/>
      <c r="G7251" s="396"/>
      <c r="K7251" s="370"/>
      <c r="N7251" s="370"/>
    </row>
    <row r="7252" spans="1:14" s="347" customFormat="1" x14ac:dyDescent="0.25">
      <c r="A7252" s="369"/>
      <c r="E7252" s="396"/>
      <c r="F7252" s="396"/>
      <c r="G7252" s="396"/>
      <c r="K7252" s="370"/>
      <c r="N7252" s="370"/>
    </row>
    <row r="7253" spans="1:14" s="347" customFormat="1" x14ac:dyDescent="0.25">
      <c r="A7253" s="369"/>
      <c r="E7253" s="396"/>
      <c r="F7253" s="396"/>
      <c r="G7253" s="396"/>
      <c r="K7253" s="370"/>
      <c r="N7253" s="370"/>
    </row>
    <row r="7254" spans="1:14" s="347" customFormat="1" x14ac:dyDescent="0.25">
      <c r="A7254" s="369"/>
      <c r="E7254" s="396"/>
      <c r="F7254" s="396"/>
      <c r="G7254" s="396"/>
      <c r="K7254" s="370"/>
      <c r="N7254" s="370"/>
    </row>
    <row r="7255" spans="1:14" s="347" customFormat="1" x14ac:dyDescent="0.25">
      <c r="A7255" s="369"/>
      <c r="E7255" s="396"/>
      <c r="F7255" s="396"/>
      <c r="G7255" s="396"/>
      <c r="K7255" s="370"/>
      <c r="N7255" s="370"/>
    </row>
    <row r="7256" spans="1:14" s="347" customFormat="1" x14ac:dyDescent="0.25">
      <c r="A7256" s="369"/>
      <c r="E7256" s="396"/>
      <c r="F7256" s="396"/>
      <c r="G7256" s="396"/>
      <c r="K7256" s="370"/>
      <c r="N7256" s="370"/>
    </row>
    <row r="7257" spans="1:14" s="347" customFormat="1" x14ac:dyDescent="0.25">
      <c r="A7257" s="369"/>
      <c r="E7257" s="396"/>
      <c r="F7257" s="396"/>
      <c r="G7257" s="396"/>
      <c r="K7257" s="370"/>
      <c r="N7257" s="370"/>
    </row>
    <row r="7258" spans="1:14" s="347" customFormat="1" x14ac:dyDescent="0.25">
      <c r="A7258" s="369"/>
      <c r="E7258" s="396"/>
      <c r="F7258" s="396"/>
      <c r="G7258" s="396"/>
      <c r="K7258" s="370"/>
      <c r="N7258" s="370"/>
    </row>
    <row r="7259" spans="1:14" s="347" customFormat="1" x14ac:dyDescent="0.25">
      <c r="A7259" s="369"/>
      <c r="E7259" s="396"/>
      <c r="F7259" s="396"/>
      <c r="G7259" s="396"/>
      <c r="K7259" s="370"/>
      <c r="N7259" s="370"/>
    </row>
    <row r="7260" spans="1:14" s="347" customFormat="1" x14ac:dyDescent="0.25">
      <c r="A7260" s="369"/>
      <c r="E7260" s="396"/>
      <c r="F7260" s="396"/>
      <c r="G7260" s="396"/>
      <c r="K7260" s="370"/>
      <c r="N7260" s="370"/>
    </row>
    <row r="7261" spans="1:14" s="347" customFormat="1" x14ac:dyDescent="0.25">
      <c r="A7261" s="369"/>
      <c r="E7261" s="396"/>
      <c r="F7261" s="396"/>
      <c r="G7261" s="396"/>
      <c r="K7261" s="370"/>
      <c r="N7261" s="370"/>
    </row>
    <row r="7262" spans="1:14" s="347" customFormat="1" x14ac:dyDescent="0.25">
      <c r="A7262" s="369"/>
      <c r="E7262" s="396"/>
      <c r="F7262" s="396"/>
      <c r="G7262" s="396"/>
      <c r="K7262" s="370"/>
      <c r="N7262" s="370"/>
    </row>
    <row r="7263" spans="1:14" s="347" customFormat="1" x14ac:dyDescent="0.25">
      <c r="A7263" s="369"/>
      <c r="E7263" s="396"/>
      <c r="F7263" s="396"/>
      <c r="G7263" s="396"/>
      <c r="K7263" s="370"/>
      <c r="N7263" s="370"/>
    </row>
    <row r="7264" spans="1:14" s="347" customFormat="1" x14ac:dyDescent="0.25">
      <c r="A7264" s="369"/>
      <c r="E7264" s="396"/>
      <c r="F7264" s="396"/>
      <c r="G7264" s="396"/>
      <c r="K7264" s="370"/>
      <c r="N7264" s="370"/>
    </row>
    <row r="7265" spans="1:14" s="347" customFormat="1" x14ac:dyDescent="0.25">
      <c r="A7265" s="369"/>
      <c r="E7265" s="396"/>
      <c r="F7265" s="396"/>
      <c r="G7265" s="396"/>
      <c r="K7265" s="370"/>
      <c r="N7265" s="370"/>
    </row>
    <row r="7266" spans="1:14" s="347" customFormat="1" x14ac:dyDescent="0.25">
      <c r="A7266" s="369"/>
      <c r="E7266" s="396"/>
      <c r="F7266" s="396"/>
      <c r="G7266" s="396"/>
      <c r="K7266" s="370"/>
      <c r="N7266" s="370"/>
    </row>
    <row r="7267" spans="1:14" s="347" customFormat="1" x14ac:dyDescent="0.25">
      <c r="A7267" s="369"/>
      <c r="E7267" s="396"/>
      <c r="F7267" s="396"/>
      <c r="G7267" s="396"/>
      <c r="K7267" s="370"/>
      <c r="N7267" s="370"/>
    </row>
    <row r="7268" spans="1:14" s="347" customFormat="1" x14ac:dyDescent="0.25">
      <c r="A7268" s="369"/>
      <c r="E7268" s="396"/>
      <c r="F7268" s="396"/>
      <c r="G7268" s="396"/>
      <c r="K7268" s="370"/>
      <c r="N7268" s="370"/>
    </row>
    <row r="7269" spans="1:14" s="347" customFormat="1" x14ac:dyDescent="0.25">
      <c r="A7269" s="369"/>
      <c r="E7269" s="396"/>
      <c r="F7269" s="396"/>
      <c r="G7269" s="396"/>
      <c r="K7269" s="370"/>
      <c r="N7269" s="370"/>
    </row>
    <row r="7270" spans="1:14" s="347" customFormat="1" x14ac:dyDescent="0.25">
      <c r="A7270" s="369"/>
      <c r="E7270" s="396"/>
      <c r="F7270" s="396"/>
      <c r="G7270" s="396"/>
      <c r="K7270" s="370"/>
      <c r="N7270" s="370"/>
    </row>
    <row r="7271" spans="1:14" s="347" customFormat="1" x14ac:dyDescent="0.25">
      <c r="A7271" s="369"/>
      <c r="E7271" s="396"/>
      <c r="F7271" s="396"/>
      <c r="G7271" s="396"/>
      <c r="K7271" s="370"/>
      <c r="N7271" s="370"/>
    </row>
    <row r="7272" spans="1:14" s="347" customFormat="1" x14ac:dyDescent="0.25">
      <c r="A7272" s="369"/>
      <c r="E7272" s="396"/>
      <c r="F7272" s="396"/>
      <c r="G7272" s="396"/>
      <c r="K7272" s="370"/>
      <c r="N7272" s="370"/>
    </row>
    <row r="7273" spans="1:14" s="347" customFormat="1" x14ac:dyDescent="0.25">
      <c r="A7273" s="369"/>
      <c r="E7273" s="396"/>
      <c r="F7273" s="396"/>
      <c r="G7273" s="396"/>
      <c r="K7273" s="370"/>
      <c r="N7273" s="370"/>
    </row>
    <row r="7274" spans="1:14" s="347" customFormat="1" x14ac:dyDescent="0.25">
      <c r="A7274" s="369"/>
      <c r="E7274" s="396"/>
      <c r="F7274" s="396"/>
      <c r="G7274" s="396"/>
      <c r="K7274" s="370"/>
      <c r="N7274" s="370"/>
    </row>
    <row r="7275" spans="1:14" s="347" customFormat="1" x14ac:dyDescent="0.25">
      <c r="A7275" s="369"/>
      <c r="E7275" s="396"/>
      <c r="F7275" s="396"/>
      <c r="G7275" s="396"/>
      <c r="K7275" s="370"/>
      <c r="N7275" s="370"/>
    </row>
    <row r="7276" spans="1:14" s="347" customFormat="1" x14ac:dyDescent="0.25">
      <c r="A7276" s="369"/>
      <c r="E7276" s="396"/>
      <c r="F7276" s="396"/>
      <c r="G7276" s="396"/>
      <c r="K7276" s="370"/>
      <c r="N7276" s="370"/>
    </row>
    <row r="7277" spans="1:14" s="347" customFormat="1" x14ac:dyDescent="0.25">
      <c r="A7277" s="369"/>
      <c r="E7277" s="396"/>
      <c r="F7277" s="396"/>
      <c r="G7277" s="396"/>
      <c r="K7277" s="370"/>
      <c r="N7277" s="370"/>
    </row>
    <row r="7278" spans="1:14" s="347" customFormat="1" x14ac:dyDescent="0.25">
      <c r="A7278" s="369"/>
      <c r="E7278" s="396"/>
      <c r="F7278" s="396"/>
      <c r="G7278" s="396"/>
      <c r="K7278" s="370"/>
      <c r="N7278" s="370"/>
    </row>
    <row r="7279" spans="1:14" s="347" customFormat="1" x14ac:dyDescent="0.25">
      <c r="A7279" s="369"/>
      <c r="E7279" s="396"/>
      <c r="F7279" s="396"/>
      <c r="G7279" s="396"/>
      <c r="K7279" s="370"/>
      <c r="N7279" s="370"/>
    </row>
    <row r="7280" spans="1:14" s="347" customFormat="1" x14ac:dyDescent="0.25">
      <c r="A7280" s="369"/>
      <c r="E7280" s="396"/>
      <c r="F7280" s="396"/>
      <c r="G7280" s="396"/>
      <c r="K7280" s="370"/>
      <c r="N7280" s="370"/>
    </row>
    <row r="7281" spans="1:14" s="347" customFormat="1" x14ac:dyDescent="0.25">
      <c r="A7281" s="369"/>
      <c r="E7281" s="396"/>
      <c r="F7281" s="396"/>
      <c r="G7281" s="396"/>
      <c r="K7281" s="370"/>
      <c r="N7281" s="370"/>
    </row>
    <row r="7282" spans="1:14" s="347" customFormat="1" x14ac:dyDescent="0.25">
      <c r="A7282" s="369"/>
      <c r="E7282" s="396"/>
      <c r="F7282" s="396"/>
      <c r="G7282" s="396"/>
      <c r="K7282" s="370"/>
      <c r="N7282" s="370"/>
    </row>
    <row r="7283" spans="1:14" s="347" customFormat="1" x14ac:dyDescent="0.25">
      <c r="A7283" s="369"/>
      <c r="E7283" s="396"/>
      <c r="F7283" s="396"/>
      <c r="G7283" s="396"/>
      <c r="K7283" s="370"/>
      <c r="N7283" s="370"/>
    </row>
    <row r="7284" spans="1:14" s="347" customFormat="1" x14ac:dyDescent="0.25">
      <c r="A7284" s="369"/>
      <c r="E7284" s="396"/>
      <c r="F7284" s="396"/>
      <c r="G7284" s="396"/>
      <c r="K7284" s="370"/>
      <c r="N7284" s="370"/>
    </row>
    <row r="7285" spans="1:14" s="347" customFormat="1" x14ac:dyDescent="0.25">
      <c r="A7285" s="369"/>
      <c r="E7285" s="396"/>
      <c r="F7285" s="396"/>
      <c r="G7285" s="396"/>
      <c r="K7285" s="370"/>
      <c r="N7285" s="370"/>
    </row>
    <row r="7286" spans="1:14" s="347" customFormat="1" x14ac:dyDescent="0.25">
      <c r="A7286" s="369"/>
      <c r="E7286" s="396"/>
      <c r="F7286" s="396"/>
      <c r="G7286" s="396"/>
      <c r="K7286" s="370"/>
      <c r="N7286" s="370"/>
    </row>
    <row r="7287" spans="1:14" s="347" customFormat="1" x14ac:dyDescent="0.25">
      <c r="A7287" s="369"/>
      <c r="E7287" s="396"/>
      <c r="F7287" s="396"/>
      <c r="G7287" s="396"/>
      <c r="K7287" s="370"/>
      <c r="N7287" s="370"/>
    </row>
    <row r="7288" spans="1:14" s="347" customFormat="1" x14ac:dyDescent="0.25">
      <c r="A7288" s="369"/>
      <c r="E7288" s="396"/>
      <c r="F7288" s="396"/>
      <c r="G7288" s="396"/>
      <c r="K7288" s="370"/>
      <c r="N7288" s="370"/>
    </row>
    <row r="7289" spans="1:14" s="347" customFormat="1" x14ac:dyDescent="0.25">
      <c r="A7289" s="369"/>
      <c r="E7289" s="396"/>
      <c r="F7289" s="396"/>
      <c r="G7289" s="396"/>
      <c r="K7289" s="370"/>
      <c r="N7289" s="370"/>
    </row>
    <row r="7290" spans="1:14" s="347" customFormat="1" x14ac:dyDescent="0.25">
      <c r="A7290" s="369"/>
      <c r="E7290" s="396"/>
      <c r="F7290" s="396"/>
      <c r="G7290" s="396"/>
      <c r="K7290" s="370"/>
      <c r="N7290" s="370"/>
    </row>
    <row r="7291" spans="1:14" s="347" customFormat="1" x14ac:dyDescent="0.25">
      <c r="A7291" s="369"/>
      <c r="E7291" s="396"/>
      <c r="F7291" s="396"/>
      <c r="G7291" s="396"/>
      <c r="K7291" s="370"/>
      <c r="N7291" s="370"/>
    </row>
    <row r="7292" spans="1:14" s="347" customFormat="1" x14ac:dyDescent="0.25">
      <c r="A7292" s="369"/>
      <c r="E7292" s="396"/>
      <c r="F7292" s="396"/>
      <c r="G7292" s="396"/>
      <c r="K7292" s="370"/>
      <c r="N7292" s="370"/>
    </row>
    <row r="7293" spans="1:14" s="347" customFormat="1" x14ac:dyDescent="0.25">
      <c r="A7293" s="369"/>
      <c r="E7293" s="396"/>
      <c r="F7293" s="396"/>
      <c r="G7293" s="396"/>
      <c r="K7293" s="370"/>
      <c r="N7293" s="370"/>
    </row>
    <row r="7294" spans="1:14" s="347" customFormat="1" x14ac:dyDescent="0.25">
      <c r="A7294" s="369"/>
      <c r="E7294" s="396"/>
      <c r="F7294" s="396"/>
      <c r="G7294" s="396"/>
      <c r="K7294" s="370"/>
      <c r="N7294" s="370"/>
    </row>
    <row r="7295" spans="1:14" s="347" customFormat="1" x14ac:dyDescent="0.25">
      <c r="A7295" s="369"/>
      <c r="E7295" s="396"/>
      <c r="F7295" s="396"/>
      <c r="G7295" s="396"/>
      <c r="K7295" s="370"/>
      <c r="N7295" s="370"/>
    </row>
    <row r="7296" spans="1:14" s="347" customFormat="1" x14ac:dyDescent="0.25">
      <c r="A7296" s="369"/>
      <c r="E7296" s="396"/>
      <c r="F7296" s="396"/>
      <c r="G7296" s="396"/>
      <c r="K7296" s="370"/>
      <c r="N7296" s="370"/>
    </row>
    <row r="7297" spans="1:14" s="347" customFormat="1" x14ac:dyDescent="0.25">
      <c r="A7297" s="369"/>
      <c r="E7297" s="396"/>
      <c r="F7297" s="396"/>
      <c r="G7297" s="396"/>
      <c r="K7297" s="370"/>
      <c r="N7297" s="370"/>
    </row>
    <row r="7298" spans="1:14" s="347" customFormat="1" x14ac:dyDescent="0.25">
      <c r="A7298" s="369"/>
      <c r="E7298" s="396"/>
      <c r="F7298" s="396"/>
      <c r="G7298" s="396"/>
      <c r="K7298" s="370"/>
      <c r="N7298" s="370"/>
    </row>
    <row r="7299" spans="1:14" s="347" customFormat="1" x14ac:dyDescent="0.25">
      <c r="A7299" s="369"/>
      <c r="E7299" s="396"/>
      <c r="F7299" s="396"/>
      <c r="G7299" s="396"/>
      <c r="K7299" s="370"/>
      <c r="N7299" s="370"/>
    </row>
    <row r="7300" spans="1:14" s="347" customFormat="1" x14ac:dyDescent="0.25">
      <c r="A7300" s="369"/>
      <c r="E7300" s="396"/>
      <c r="F7300" s="396"/>
      <c r="G7300" s="396"/>
      <c r="K7300" s="370"/>
      <c r="N7300" s="370"/>
    </row>
    <row r="7301" spans="1:14" s="347" customFormat="1" x14ac:dyDescent="0.25">
      <c r="A7301" s="369"/>
      <c r="E7301" s="396"/>
      <c r="F7301" s="396"/>
      <c r="G7301" s="396"/>
      <c r="K7301" s="370"/>
      <c r="N7301" s="370"/>
    </row>
    <row r="7302" spans="1:14" s="347" customFormat="1" x14ac:dyDescent="0.25">
      <c r="A7302" s="369"/>
      <c r="E7302" s="396"/>
      <c r="F7302" s="396"/>
      <c r="G7302" s="396"/>
      <c r="K7302" s="370"/>
      <c r="N7302" s="370"/>
    </row>
    <row r="7303" spans="1:14" s="347" customFormat="1" x14ac:dyDescent="0.25">
      <c r="A7303" s="369"/>
      <c r="E7303" s="396"/>
      <c r="F7303" s="396"/>
      <c r="G7303" s="396"/>
      <c r="K7303" s="370"/>
      <c r="N7303" s="370"/>
    </row>
    <row r="7304" spans="1:14" s="347" customFormat="1" x14ac:dyDescent="0.25">
      <c r="A7304" s="369"/>
      <c r="E7304" s="396"/>
      <c r="F7304" s="396"/>
      <c r="G7304" s="396"/>
      <c r="K7304" s="370"/>
      <c r="N7304" s="370"/>
    </row>
    <row r="7305" spans="1:14" s="347" customFormat="1" x14ac:dyDescent="0.25">
      <c r="A7305" s="369"/>
      <c r="E7305" s="396"/>
      <c r="F7305" s="396"/>
      <c r="G7305" s="396"/>
      <c r="K7305" s="370"/>
      <c r="N7305" s="370"/>
    </row>
    <row r="7306" spans="1:14" s="347" customFormat="1" x14ac:dyDescent="0.25">
      <c r="A7306" s="369"/>
      <c r="E7306" s="396"/>
      <c r="F7306" s="396"/>
      <c r="G7306" s="396"/>
      <c r="K7306" s="370"/>
      <c r="N7306" s="370"/>
    </row>
    <row r="7307" spans="1:14" s="347" customFormat="1" x14ac:dyDescent="0.25">
      <c r="A7307" s="369"/>
      <c r="E7307" s="396"/>
      <c r="F7307" s="396"/>
      <c r="G7307" s="396"/>
      <c r="K7307" s="370"/>
      <c r="N7307" s="370"/>
    </row>
    <row r="7308" spans="1:14" s="347" customFormat="1" x14ac:dyDescent="0.25">
      <c r="A7308" s="369"/>
      <c r="E7308" s="396"/>
      <c r="F7308" s="396"/>
      <c r="G7308" s="396"/>
      <c r="K7308" s="370"/>
      <c r="N7308" s="370"/>
    </row>
    <row r="7309" spans="1:14" s="347" customFormat="1" x14ac:dyDescent="0.25">
      <c r="A7309" s="369"/>
      <c r="E7309" s="396"/>
      <c r="F7309" s="396"/>
      <c r="G7309" s="396"/>
      <c r="K7309" s="370"/>
      <c r="N7309" s="370"/>
    </row>
    <row r="7310" spans="1:14" s="347" customFormat="1" x14ac:dyDescent="0.25">
      <c r="A7310" s="369"/>
      <c r="E7310" s="396"/>
      <c r="F7310" s="396"/>
      <c r="G7310" s="396"/>
      <c r="K7310" s="370"/>
      <c r="N7310" s="370"/>
    </row>
    <row r="7311" spans="1:14" s="347" customFormat="1" x14ac:dyDescent="0.25">
      <c r="A7311" s="369"/>
      <c r="E7311" s="396"/>
      <c r="F7311" s="396"/>
      <c r="G7311" s="396"/>
      <c r="K7311" s="370"/>
      <c r="N7311" s="370"/>
    </row>
    <row r="7312" spans="1:14" s="347" customFormat="1" x14ac:dyDescent="0.25">
      <c r="A7312" s="369"/>
      <c r="E7312" s="396"/>
      <c r="F7312" s="396"/>
      <c r="G7312" s="396"/>
      <c r="K7312" s="370"/>
      <c r="N7312" s="370"/>
    </row>
    <row r="7313" spans="1:14" s="347" customFormat="1" x14ac:dyDescent="0.25">
      <c r="A7313" s="369"/>
      <c r="E7313" s="396"/>
      <c r="F7313" s="396"/>
      <c r="G7313" s="396"/>
      <c r="K7313" s="370"/>
      <c r="N7313" s="370"/>
    </row>
    <row r="7314" spans="1:14" s="347" customFormat="1" x14ac:dyDescent="0.25">
      <c r="A7314" s="369"/>
      <c r="E7314" s="396"/>
      <c r="F7314" s="396"/>
      <c r="G7314" s="396"/>
      <c r="K7314" s="370"/>
      <c r="N7314" s="370"/>
    </row>
    <row r="7315" spans="1:14" s="347" customFormat="1" x14ac:dyDescent="0.25">
      <c r="A7315" s="369"/>
      <c r="E7315" s="396"/>
      <c r="F7315" s="396"/>
      <c r="G7315" s="396"/>
      <c r="K7315" s="370"/>
      <c r="N7315" s="370"/>
    </row>
    <row r="7316" spans="1:14" s="347" customFormat="1" x14ac:dyDescent="0.25">
      <c r="A7316" s="369"/>
      <c r="E7316" s="396"/>
      <c r="F7316" s="396"/>
      <c r="G7316" s="396"/>
      <c r="K7316" s="370"/>
      <c r="N7316" s="370"/>
    </row>
    <row r="7317" spans="1:14" s="347" customFormat="1" x14ac:dyDescent="0.25">
      <c r="A7317" s="369"/>
      <c r="E7317" s="396"/>
      <c r="F7317" s="396"/>
      <c r="G7317" s="396"/>
      <c r="K7317" s="370"/>
      <c r="N7317" s="370"/>
    </row>
    <row r="7318" spans="1:14" s="347" customFormat="1" x14ac:dyDescent="0.25">
      <c r="A7318" s="369"/>
      <c r="E7318" s="396"/>
      <c r="F7318" s="396"/>
      <c r="G7318" s="396"/>
      <c r="K7318" s="370"/>
      <c r="N7318" s="370"/>
    </row>
    <row r="7319" spans="1:14" s="347" customFormat="1" x14ac:dyDescent="0.25">
      <c r="A7319" s="369"/>
      <c r="E7319" s="396"/>
      <c r="F7319" s="396"/>
      <c r="G7319" s="396"/>
      <c r="K7319" s="370"/>
      <c r="N7319" s="370"/>
    </row>
    <row r="7320" spans="1:14" s="347" customFormat="1" x14ac:dyDescent="0.25">
      <c r="A7320" s="369"/>
      <c r="E7320" s="396"/>
      <c r="F7320" s="396"/>
      <c r="G7320" s="396"/>
      <c r="K7320" s="370"/>
      <c r="N7320" s="370"/>
    </row>
    <row r="7321" spans="1:14" s="347" customFormat="1" x14ac:dyDescent="0.25">
      <c r="A7321" s="369"/>
      <c r="E7321" s="396"/>
      <c r="F7321" s="396"/>
      <c r="G7321" s="396"/>
      <c r="K7321" s="370"/>
      <c r="N7321" s="370"/>
    </row>
    <row r="7322" spans="1:14" s="347" customFormat="1" x14ac:dyDescent="0.25">
      <c r="A7322" s="369"/>
      <c r="E7322" s="396"/>
      <c r="F7322" s="396"/>
      <c r="G7322" s="396"/>
      <c r="K7322" s="370"/>
      <c r="N7322" s="370"/>
    </row>
    <row r="7323" spans="1:14" s="347" customFormat="1" x14ac:dyDescent="0.25">
      <c r="A7323" s="369"/>
      <c r="E7323" s="396"/>
      <c r="F7323" s="396"/>
      <c r="G7323" s="396"/>
      <c r="K7323" s="370"/>
      <c r="N7323" s="370"/>
    </row>
    <row r="7324" spans="1:14" s="347" customFormat="1" x14ac:dyDescent="0.25">
      <c r="A7324" s="369"/>
      <c r="E7324" s="396"/>
      <c r="F7324" s="396"/>
      <c r="G7324" s="396"/>
      <c r="K7324" s="370"/>
      <c r="N7324" s="370"/>
    </row>
    <row r="7325" spans="1:14" s="347" customFormat="1" x14ac:dyDescent="0.25">
      <c r="A7325" s="369"/>
      <c r="E7325" s="396"/>
      <c r="F7325" s="396"/>
      <c r="G7325" s="396"/>
      <c r="K7325" s="370"/>
      <c r="N7325" s="370"/>
    </row>
    <row r="7326" spans="1:14" s="347" customFormat="1" x14ac:dyDescent="0.25">
      <c r="A7326" s="369"/>
      <c r="E7326" s="396"/>
      <c r="F7326" s="396"/>
      <c r="G7326" s="396"/>
      <c r="K7326" s="370"/>
      <c r="N7326" s="370"/>
    </row>
    <row r="7327" spans="1:14" s="347" customFormat="1" x14ac:dyDescent="0.25">
      <c r="A7327" s="369"/>
      <c r="E7327" s="396"/>
      <c r="F7327" s="396"/>
      <c r="G7327" s="396"/>
      <c r="K7327" s="370"/>
      <c r="N7327" s="370"/>
    </row>
    <row r="7328" spans="1:14" s="347" customFormat="1" x14ac:dyDescent="0.25">
      <c r="A7328" s="369"/>
      <c r="E7328" s="396"/>
      <c r="F7328" s="396"/>
      <c r="G7328" s="396"/>
      <c r="K7328" s="370"/>
      <c r="N7328" s="370"/>
    </row>
    <row r="7329" spans="1:14" s="347" customFormat="1" x14ac:dyDescent="0.25">
      <c r="A7329" s="369"/>
      <c r="E7329" s="396"/>
      <c r="F7329" s="396"/>
      <c r="G7329" s="396"/>
      <c r="K7329" s="370"/>
      <c r="N7329" s="370"/>
    </row>
    <row r="7330" spans="1:14" s="347" customFormat="1" x14ac:dyDescent="0.25">
      <c r="A7330" s="369"/>
      <c r="E7330" s="396"/>
      <c r="F7330" s="396"/>
      <c r="G7330" s="396"/>
      <c r="K7330" s="370"/>
      <c r="N7330" s="370"/>
    </row>
    <row r="7331" spans="1:14" s="347" customFormat="1" x14ac:dyDescent="0.25">
      <c r="A7331" s="369"/>
      <c r="E7331" s="396"/>
      <c r="F7331" s="396"/>
      <c r="G7331" s="396"/>
      <c r="K7331" s="370"/>
      <c r="N7331" s="370"/>
    </row>
    <row r="7332" spans="1:14" s="347" customFormat="1" x14ac:dyDescent="0.25">
      <c r="A7332" s="369"/>
      <c r="E7332" s="396"/>
      <c r="F7332" s="396"/>
      <c r="G7332" s="396"/>
      <c r="K7332" s="370"/>
      <c r="N7332" s="370"/>
    </row>
    <row r="7333" spans="1:14" s="347" customFormat="1" x14ac:dyDescent="0.25">
      <c r="A7333" s="369"/>
      <c r="E7333" s="396"/>
      <c r="F7333" s="396"/>
      <c r="G7333" s="396"/>
      <c r="K7333" s="370"/>
      <c r="N7333" s="370"/>
    </row>
    <row r="7334" spans="1:14" s="347" customFormat="1" x14ac:dyDescent="0.25">
      <c r="A7334" s="369"/>
      <c r="E7334" s="396"/>
      <c r="F7334" s="396"/>
      <c r="G7334" s="396"/>
      <c r="K7334" s="370"/>
      <c r="N7334" s="370"/>
    </row>
    <row r="7335" spans="1:14" s="347" customFormat="1" x14ac:dyDescent="0.25">
      <c r="A7335" s="369"/>
      <c r="E7335" s="396"/>
      <c r="F7335" s="396"/>
      <c r="G7335" s="396"/>
      <c r="K7335" s="370"/>
      <c r="N7335" s="370"/>
    </row>
    <row r="7336" spans="1:14" s="347" customFormat="1" x14ac:dyDescent="0.25">
      <c r="A7336" s="369"/>
      <c r="E7336" s="396"/>
      <c r="F7336" s="396"/>
      <c r="G7336" s="396"/>
      <c r="K7336" s="370"/>
      <c r="N7336" s="370"/>
    </row>
    <row r="7337" spans="1:14" s="347" customFormat="1" x14ac:dyDescent="0.25">
      <c r="A7337" s="369"/>
      <c r="E7337" s="396"/>
      <c r="F7337" s="396"/>
      <c r="G7337" s="396"/>
      <c r="K7337" s="370"/>
      <c r="N7337" s="370"/>
    </row>
    <row r="7338" spans="1:14" s="347" customFormat="1" x14ac:dyDescent="0.25">
      <c r="A7338" s="369"/>
      <c r="E7338" s="396"/>
      <c r="F7338" s="396"/>
      <c r="G7338" s="396"/>
      <c r="K7338" s="370"/>
      <c r="N7338" s="370"/>
    </row>
    <row r="7339" spans="1:14" s="347" customFormat="1" x14ac:dyDescent="0.25">
      <c r="A7339" s="369"/>
      <c r="E7339" s="396"/>
      <c r="F7339" s="396"/>
      <c r="G7339" s="396"/>
      <c r="K7339" s="370"/>
      <c r="N7339" s="370"/>
    </row>
    <row r="7340" spans="1:14" s="347" customFormat="1" x14ac:dyDescent="0.25">
      <c r="A7340" s="369"/>
      <c r="E7340" s="396"/>
      <c r="F7340" s="396"/>
      <c r="G7340" s="396"/>
      <c r="K7340" s="370"/>
      <c r="N7340" s="370"/>
    </row>
    <row r="7341" spans="1:14" s="347" customFormat="1" x14ac:dyDescent="0.25">
      <c r="A7341" s="369"/>
      <c r="E7341" s="396"/>
      <c r="F7341" s="396"/>
      <c r="G7341" s="396"/>
      <c r="K7341" s="370"/>
      <c r="N7341" s="370"/>
    </row>
    <row r="7342" spans="1:14" s="347" customFormat="1" x14ac:dyDescent="0.25">
      <c r="A7342" s="369"/>
      <c r="E7342" s="396"/>
      <c r="F7342" s="396"/>
      <c r="G7342" s="396"/>
      <c r="K7342" s="370"/>
      <c r="N7342" s="370"/>
    </row>
    <row r="7343" spans="1:14" s="347" customFormat="1" x14ac:dyDescent="0.25">
      <c r="A7343" s="369"/>
      <c r="E7343" s="396"/>
      <c r="F7343" s="396"/>
      <c r="G7343" s="396"/>
      <c r="K7343" s="370"/>
      <c r="N7343" s="370"/>
    </row>
    <row r="7344" spans="1:14" s="347" customFormat="1" x14ac:dyDescent="0.25">
      <c r="A7344" s="369"/>
      <c r="E7344" s="396"/>
      <c r="F7344" s="396"/>
      <c r="G7344" s="396"/>
      <c r="K7344" s="370"/>
      <c r="N7344" s="370"/>
    </row>
    <row r="7345" spans="1:14" s="347" customFormat="1" x14ac:dyDescent="0.25">
      <c r="A7345" s="369"/>
      <c r="E7345" s="396"/>
      <c r="F7345" s="396"/>
      <c r="G7345" s="396"/>
      <c r="K7345" s="370"/>
      <c r="N7345" s="370"/>
    </row>
    <row r="7346" spans="1:14" s="347" customFormat="1" x14ac:dyDescent="0.25">
      <c r="A7346" s="369"/>
      <c r="E7346" s="396"/>
      <c r="F7346" s="396"/>
      <c r="G7346" s="396"/>
      <c r="K7346" s="370"/>
      <c r="N7346" s="370"/>
    </row>
    <row r="7347" spans="1:14" s="347" customFormat="1" x14ac:dyDescent="0.25">
      <c r="A7347" s="369"/>
      <c r="E7347" s="396"/>
      <c r="F7347" s="396"/>
      <c r="G7347" s="396"/>
      <c r="K7347" s="370"/>
      <c r="N7347" s="370"/>
    </row>
    <row r="7348" spans="1:14" s="347" customFormat="1" x14ac:dyDescent="0.25">
      <c r="A7348" s="369"/>
      <c r="E7348" s="396"/>
      <c r="F7348" s="396"/>
      <c r="G7348" s="396"/>
      <c r="K7348" s="370"/>
      <c r="N7348" s="370"/>
    </row>
    <row r="7349" spans="1:14" s="347" customFormat="1" x14ac:dyDescent="0.25">
      <c r="A7349" s="369"/>
      <c r="E7349" s="396"/>
      <c r="F7349" s="396"/>
      <c r="G7349" s="396"/>
      <c r="K7349" s="370"/>
      <c r="N7349" s="370"/>
    </row>
    <row r="7350" spans="1:14" s="347" customFormat="1" x14ac:dyDescent="0.25">
      <c r="A7350" s="369"/>
      <c r="E7350" s="396"/>
      <c r="F7350" s="396"/>
      <c r="G7350" s="396"/>
      <c r="K7350" s="370"/>
      <c r="N7350" s="370"/>
    </row>
    <row r="7351" spans="1:14" s="347" customFormat="1" x14ac:dyDescent="0.25">
      <c r="A7351" s="369"/>
      <c r="E7351" s="396"/>
      <c r="F7351" s="396"/>
      <c r="G7351" s="396"/>
      <c r="K7351" s="370"/>
      <c r="N7351" s="370"/>
    </row>
    <row r="7352" spans="1:14" s="347" customFormat="1" x14ac:dyDescent="0.25">
      <c r="A7352" s="369"/>
      <c r="E7352" s="396"/>
      <c r="F7352" s="396"/>
      <c r="G7352" s="396"/>
      <c r="K7352" s="370"/>
      <c r="N7352" s="370"/>
    </row>
    <row r="7353" spans="1:14" s="347" customFormat="1" x14ac:dyDescent="0.25">
      <c r="A7353" s="369"/>
      <c r="E7353" s="396"/>
      <c r="F7353" s="396"/>
      <c r="G7353" s="396"/>
      <c r="K7353" s="370"/>
      <c r="N7353" s="370"/>
    </row>
    <row r="7354" spans="1:14" s="347" customFormat="1" x14ac:dyDescent="0.25">
      <c r="A7354" s="369"/>
      <c r="E7354" s="396"/>
      <c r="F7354" s="396"/>
      <c r="G7354" s="396"/>
      <c r="K7354" s="370"/>
      <c r="N7354" s="370"/>
    </row>
    <row r="7355" spans="1:14" s="347" customFormat="1" x14ac:dyDescent="0.25">
      <c r="A7355" s="369"/>
      <c r="E7355" s="396"/>
      <c r="F7355" s="396"/>
      <c r="G7355" s="396"/>
      <c r="K7355" s="370"/>
      <c r="N7355" s="370"/>
    </row>
    <row r="7356" spans="1:14" s="347" customFormat="1" x14ac:dyDescent="0.25">
      <c r="A7356" s="369"/>
      <c r="E7356" s="396"/>
      <c r="F7356" s="396"/>
      <c r="G7356" s="396"/>
      <c r="K7356" s="370"/>
      <c r="N7356" s="370"/>
    </row>
    <row r="7357" spans="1:14" s="347" customFormat="1" x14ac:dyDescent="0.25">
      <c r="A7357" s="369"/>
      <c r="E7357" s="396"/>
      <c r="F7357" s="396"/>
      <c r="G7357" s="396"/>
      <c r="K7357" s="370"/>
      <c r="N7357" s="370"/>
    </row>
    <row r="7358" spans="1:14" s="347" customFormat="1" x14ac:dyDescent="0.25">
      <c r="A7358" s="369"/>
      <c r="E7358" s="396"/>
      <c r="F7358" s="396"/>
      <c r="G7358" s="396"/>
      <c r="K7358" s="370"/>
      <c r="N7358" s="370"/>
    </row>
    <row r="7359" spans="1:14" s="347" customFormat="1" x14ac:dyDescent="0.25">
      <c r="A7359" s="369"/>
      <c r="E7359" s="396"/>
      <c r="F7359" s="396"/>
      <c r="G7359" s="396"/>
      <c r="K7359" s="370"/>
      <c r="N7359" s="370"/>
    </row>
    <row r="7360" spans="1:14" s="347" customFormat="1" x14ac:dyDescent="0.25">
      <c r="A7360" s="369"/>
      <c r="E7360" s="396"/>
      <c r="F7360" s="396"/>
      <c r="G7360" s="396"/>
      <c r="K7360" s="370"/>
      <c r="N7360" s="370"/>
    </row>
    <row r="7361" spans="1:14" s="347" customFormat="1" x14ac:dyDescent="0.25">
      <c r="A7361" s="369"/>
      <c r="E7361" s="396"/>
      <c r="F7361" s="396"/>
      <c r="G7361" s="396"/>
      <c r="K7361" s="370"/>
      <c r="N7361" s="370"/>
    </row>
    <row r="7362" spans="1:14" s="347" customFormat="1" x14ac:dyDescent="0.25">
      <c r="A7362" s="369"/>
      <c r="E7362" s="396"/>
      <c r="F7362" s="396"/>
      <c r="G7362" s="396"/>
      <c r="K7362" s="370"/>
      <c r="N7362" s="370"/>
    </row>
    <row r="7363" spans="1:14" s="347" customFormat="1" x14ac:dyDescent="0.25">
      <c r="A7363" s="369"/>
      <c r="E7363" s="396"/>
      <c r="F7363" s="396"/>
      <c r="G7363" s="396"/>
      <c r="K7363" s="370"/>
      <c r="N7363" s="370"/>
    </row>
    <row r="7364" spans="1:14" s="347" customFormat="1" x14ac:dyDescent="0.25">
      <c r="A7364" s="369"/>
      <c r="E7364" s="396"/>
      <c r="F7364" s="396"/>
      <c r="G7364" s="396"/>
      <c r="K7364" s="370"/>
      <c r="N7364" s="370"/>
    </row>
    <row r="7365" spans="1:14" s="347" customFormat="1" x14ac:dyDescent="0.25">
      <c r="A7365" s="369"/>
      <c r="E7365" s="396"/>
      <c r="F7365" s="396"/>
      <c r="G7365" s="396"/>
      <c r="K7365" s="370"/>
      <c r="N7365" s="370"/>
    </row>
    <row r="7366" spans="1:14" s="347" customFormat="1" x14ac:dyDescent="0.25">
      <c r="A7366" s="369"/>
      <c r="E7366" s="396"/>
      <c r="F7366" s="396"/>
      <c r="G7366" s="396"/>
      <c r="K7366" s="370"/>
      <c r="N7366" s="370"/>
    </row>
    <row r="7367" spans="1:14" s="347" customFormat="1" x14ac:dyDescent="0.25">
      <c r="A7367" s="369"/>
      <c r="E7367" s="396"/>
      <c r="F7367" s="396"/>
      <c r="G7367" s="396"/>
      <c r="K7367" s="370"/>
      <c r="N7367" s="370"/>
    </row>
    <row r="7368" spans="1:14" s="347" customFormat="1" x14ac:dyDescent="0.25">
      <c r="A7368" s="369"/>
      <c r="E7368" s="396"/>
      <c r="F7368" s="396"/>
      <c r="G7368" s="396"/>
      <c r="K7368" s="370"/>
      <c r="N7368" s="370"/>
    </row>
    <row r="7369" spans="1:14" s="347" customFormat="1" x14ac:dyDescent="0.25">
      <c r="A7369" s="369"/>
      <c r="E7369" s="396"/>
      <c r="F7369" s="396"/>
      <c r="G7369" s="396"/>
      <c r="K7369" s="370"/>
      <c r="N7369" s="370"/>
    </row>
    <row r="7370" spans="1:14" s="347" customFormat="1" x14ac:dyDescent="0.25">
      <c r="A7370" s="369"/>
      <c r="E7370" s="396"/>
      <c r="F7370" s="396"/>
      <c r="G7370" s="396"/>
      <c r="K7370" s="370"/>
      <c r="N7370" s="370"/>
    </row>
    <row r="7371" spans="1:14" s="347" customFormat="1" x14ac:dyDescent="0.25">
      <c r="A7371" s="369"/>
      <c r="E7371" s="396"/>
      <c r="F7371" s="396"/>
      <c r="G7371" s="396"/>
      <c r="K7371" s="370"/>
      <c r="N7371" s="370"/>
    </row>
    <row r="7372" spans="1:14" s="347" customFormat="1" x14ac:dyDescent="0.25">
      <c r="A7372" s="369"/>
      <c r="E7372" s="396"/>
      <c r="F7372" s="396"/>
      <c r="G7372" s="396"/>
      <c r="K7372" s="370"/>
      <c r="N7372" s="370"/>
    </row>
    <row r="7373" spans="1:14" s="347" customFormat="1" x14ac:dyDescent="0.25">
      <c r="A7373" s="369"/>
      <c r="E7373" s="396"/>
      <c r="F7373" s="396"/>
      <c r="G7373" s="396"/>
      <c r="K7373" s="370"/>
      <c r="N7373" s="370"/>
    </row>
    <row r="7374" spans="1:14" s="347" customFormat="1" x14ac:dyDescent="0.25">
      <c r="A7374" s="369"/>
      <c r="E7374" s="396"/>
      <c r="F7374" s="396"/>
      <c r="G7374" s="396"/>
      <c r="K7374" s="370"/>
      <c r="N7374" s="370"/>
    </row>
    <row r="7375" spans="1:14" s="347" customFormat="1" x14ac:dyDescent="0.25">
      <c r="A7375" s="369"/>
      <c r="E7375" s="396"/>
      <c r="F7375" s="396"/>
      <c r="G7375" s="396"/>
      <c r="K7375" s="370"/>
      <c r="N7375" s="370"/>
    </row>
    <row r="7376" spans="1:14" s="347" customFormat="1" x14ac:dyDescent="0.25">
      <c r="A7376" s="369"/>
      <c r="E7376" s="396"/>
      <c r="F7376" s="396"/>
      <c r="G7376" s="396"/>
      <c r="K7376" s="370"/>
      <c r="N7376" s="370"/>
    </row>
    <row r="7377" spans="1:14" s="347" customFormat="1" x14ac:dyDescent="0.25">
      <c r="A7377" s="369"/>
      <c r="E7377" s="396"/>
      <c r="F7377" s="396"/>
      <c r="G7377" s="396"/>
      <c r="K7377" s="370"/>
      <c r="N7377" s="370"/>
    </row>
    <row r="7378" spans="1:14" s="347" customFormat="1" x14ac:dyDescent="0.25">
      <c r="A7378" s="369"/>
      <c r="E7378" s="396"/>
      <c r="F7378" s="396"/>
      <c r="G7378" s="396"/>
      <c r="K7378" s="370"/>
      <c r="N7378" s="370"/>
    </row>
    <row r="7379" spans="1:14" s="347" customFormat="1" x14ac:dyDescent="0.25">
      <c r="A7379" s="369"/>
      <c r="E7379" s="396"/>
      <c r="F7379" s="396"/>
      <c r="G7379" s="396"/>
      <c r="K7379" s="370"/>
      <c r="N7379" s="370"/>
    </row>
    <row r="7380" spans="1:14" s="347" customFormat="1" x14ac:dyDescent="0.25">
      <c r="A7380" s="369"/>
      <c r="E7380" s="396"/>
      <c r="F7380" s="396"/>
      <c r="G7380" s="396"/>
      <c r="K7380" s="370"/>
      <c r="N7380" s="370"/>
    </row>
    <row r="7381" spans="1:14" s="347" customFormat="1" x14ac:dyDescent="0.25">
      <c r="A7381" s="369"/>
      <c r="E7381" s="396"/>
      <c r="F7381" s="396"/>
      <c r="G7381" s="396"/>
      <c r="K7381" s="370"/>
      <c r="N7381" s="370"/>
    </row>
    <row r="7382" spans="1:14" s="347" customFormat="1" x14ac:dyDescent="0.25">
      <c r="A7382" s="369"/>
      <c r="E7382" s="396"/>
      <c r="F7382" s="396"/>
      <c r="G7382" s="396"/>
      <c r="K7382" s="370"/>
      <c r="N7382" s="370"/>
    </row>
    <row r="7383" spans="1:14" s="347" customFormat="1" x14ac:dyDescent="0.25">
      <c r="A7383" s="369"/>
      <c r="E7383" s="396"/>
      <c r="F7383" s="396"/>
      <c r="G7383" s="396"/>
      <c r="K7383" s="370"/>
      <c r="N7383" s="370"/>
    </row>
    <row r="7384" spans="1:14" s="347" customFormat="1" x14ac:dyDescent="0.25">
      <c r="A7384" s="369"/>
      <c r="E7384" s="396"/>
      <c r="F7384" s="396"/>
      <c r="G7384" s="396"/>
      <c r="K7384" s="370"/>
      <c r="N7384" s="370"/>
    </row>
    <row r="7385" spans="1:14" s="347" customFormat="1" x14ac:dyDescent="0.25">
      <c r="A7385" s="369"/>
      <c r="E7385" s="396"/>
      <c r="F7385" s="396"/>
      <c r="G7385" s="396"/>
      <c r="K7385" s="370"/>
      <c r="N7385" s="370"/>
    </row>
    <row r="7386" spans="1:14" s="347" customFormat="1" x14ac:dyDescent="0.25">
      <c r="A7386" s="369"/>
      <c r="E7386" s="396"/>
      <c r="F7386" s="396"/>
      <c r="G7386" s="396"/>
      <c r="K7386" s="370"/>
      <c r="N7386" s="370"/>
    </row>
    <row r="7387" spans="1:14" s="347" customFormat="1" x14ac:dyDescent="0.25">
      <c r="A7387" s="369"/>
      <c r="E7387" s="396"/>
      <c r="F7387" s="396"/>
      <c r="G7387" s="396"/>
      <c r="K7387" s="370"/>
      <c r="N7387" s="370"/>
    </row>
    <row r="7388" spans="1:14" s="347" customFormat="1" x14ac:dyDescent="0.25">
      <c r="A7388" s="369"/>
      <c r="E7388" s="396"/>
      <c r="F7388" s="396"/>
      <c r="G7388" s="396"/>
      <c r="K7388" s="370"/>
      <c r="N7388" s="370"/>
    </row>
    <row r="7389" spans="1:14" s="347" customFormat="1" x14ac:dyDescent="0.25">
      <c r="A7389" s="369"/>
      <c r="E7389" s="396"/>
      <c r="F7389" s="396"/>
      <c r="G7389" s="396"/>
      <c r="K7389" s="370"/>
      <c r="N7389" s="370"/>
    </row>
    <row r="7390" spans="1:14" s="347" customFormat="1" x14ac:dyDescent="0.25">
      <c r="A7390" s="369"/>
      <c r="E7390" s="396"/>
      <c r="F7390" s="396"/>
      <c r="G7390" s="396"/>
      <c r="K7390" s="370"/>
      <c r="N7390" s="370"/>
    </row>
    <row r="7391" spans="1:14" s="347" customFormat="1" x14ac:dyDescent="0.25">
      <c r="A7391" s="369"/>
      <c r="E7391" s="396"/>
      <c r="F7391" s="396"/>
      <c r="G7391" s="396"/>
      <c r="K7391" s="370"/>
      <c r="N7391" s="370"/>
    </row>
    <row r="7392" spans="1:14" s="347" customFormat="1" x14ac:dyDescent="0.25">
      <c r="A7392" s="369"/>
      <c r="E7392" s="396"/>
      <c r="F7392" s="396"/>
      <c r="G7392" s="396"/>
      <c r="K7392" s="370"/>
      <c r="N7392" s="370"/>
    </row>
    <row r="7393" spans="1:14" s="347" customFormat="1" x14ac:dyDescent="0.25">
      <c r="A7393" s="369"/>
      <c r="E7393" s="396"/>
      <c r="F7393" s="396"/>
      <c r="G7393" s="396"/>
      <c r="K7393" s="370"/>
      <c r="N7393" s="370"/>
    </row>
    <row r="7394" spans="1:14" s="347" customFormat="1" x14ac:dyDescent="0.25">
      <c r="A7394" s="369"/>
      <c r="E7394" s="396"/>
      <c r="F7394" s="396"/>
      <c r="G7394" s="396"/>
      <c r="K7394" s="370"/>
      <c r="N7394" s="370"/>
    </row>
    <row r="7395" spans="1:14" s="347" customFormat="1" x14ac:dyDescent="0.25">
      <c r="A7395" s="369"/>
      <c r="E7395" s="396"/>
      <c r="F7395" s="396"/>
      <c r="G7395" s="396"/>
      <c r="K7395" s="370"/>
      <c r="N7395" s="370"/>
    </row>
    <row r="7396" spans="1:14" s="347" customFormat="1" x14ac:dyDescent="0.25">
      <c r="A7396" s="369"/>
      <c r="E7396" s="396"/>
      <c r="F7396" s="396"/>
      <c r="G7396" s="396"/>
      <c r="K7396" s="370"/>
      <c r="N7396" s="370"/>
    </row>
    <row r="7397" spans="1:14" s="347" customFormat="1" x14ac:dyDescent="0.25">
      <c r="A7397" s="369"/>
      <c r="E7397" s="396"/>
      <c r="F7397" s="396"/>
      <c r="G7397" s="396"/>
      <c r="K7397" s="370"/>
      <c r="N7397" s="370"/>
    </row>
    <row r="7398" spans="1:14" s="347" customFormat="1" x14ac:dyDescent="0.25">
      <c r="A7398" s="369"/>
      <c r="E7398" s="396"/>
      <c r="F7398" s="396"/>
      <c r="G7398" s="396"/>
      <c r="K7398" s="370"/>
      <c r="N7398" s="370"/>
    </row>
    <row r="7399" spans="1:14" s="347" customFormat="1" x14ac:dyDescent="0.25">
      <c r="A7399" s="369"/>
      <c r="E7399" s="396"/>
      <c r="F7399" s="396"/>
      <c r="G7399" s="396"/>
      <c r="K7399" s="370"/>
      <c r="N7399" s="370"/>
    </row>
    <row r="7400" spans="1:14" s="347" customFormat="1" x14ac:dyDescent="0.25">
      <c r="A7400" s="369"/>
      <c r="E7400" s="396"/>
      <c r="F7400" s="396"/>
      <c r="G7400" s="396"/>
      <c r="K7400" s="370"/>
      <c r="N7400" s="370"/>
    </row>
    <row r="7401" spans="1:14" s="347" customFormat="1" x14ac:dyDescent="0.25">
      <c r="A7401" s="369"/>
      <c r="E7401" s="396"/>
      <c r="F7401" s="396"/>
      <c r="G7401" s="396"/>
      <c r="K7401" s="370"/>
      <c r="N7401" s="370"/>
    </row>
    <row r="7402" spans="1:14" s="347" customFormat="1" x14ac:dyDescent="0.25">
      <c r="A7402" s="369"/>
      <c r="E7402" s="396"/>
      <c r="F7402" s="396"/>
      <c r="G7402" s="396"/>
      <c r="K7402" s="370"/>
      <c r="N7402" s="370"/>
    </row>
    <row r="7403" spans="1:14" s="347" customFormat="1" x14ac:dyDescent="0.25">
      <c r="A7403" s="369"/>
      <c r="E7403" s="396"/>
      <c r="F7403" s="396"/>
      <c r="G7403" s="396"/>
      <c r="K7403" s="370"/>
      <c r="N7403" s="370"/>
    </row>
    <row r="7404" spans="1:14" s="347" customFormat="1" x14ac:dyDescent="0.25">
      <c r="A7404" s="369"/>
      <c r="E7404" s="396"/>
      <c r="F7404" s="396"/>
      <c r="G7404" s="396"/>
      <c r="K7404" s="370"/>
      <c r="N7404" s="370"/>
    </row>
    <row r="7405" spans="1:14" s="347" customFormat="1" x14ac:dyDescent="0.25">
      <c r="A7405" s="369"/>
      <c r="E7405" s="396"/>
      <c r="F7405" s="396"/>
      <c r="G7405" s="396"/>
      <c r="K7405" s="370"/>
      <c r="N7405" s="370"/>
    </row>
    <row r="7406" spans="1:14" s="347" customFormat="1" x14ac:dyDescent="0.25">
      <c r="A7406" s="369"/>
      <c r="E7406" s="396"/>
      <c r="F7406" s="396"/>
      <c r="G7406" s="396"/>
      <c r="K7406" s="370"/>
      <c r="N7406" s="370"/>
    </row>
    <row r="7407" spans="1:14" s="347" customFormat="1" x14ac:dyDescent="0.25">
      <c r="A7407" s="369"/>
      <c r="E7407" s="396"/>
      <c r="F7407" s="396"/>
      <c r="G7407" s="396"/>
      <c r="K7407" s="370"/>
      <c r="N7407" s="370"/>
    </row>
    <row r="7408" spans="1:14" s="347" customFormat="1" x14ac:dyDescent="0.25">
      <c r="A7408" s="369"/>
      <c r="E7408" s="396"/>
      <c r="F7408" s="396"/>
      <c r="G7408" s="396"/>
      <c r="K7408" s="370"/>
      <c r="N7408" s="370"/>
    </row>
    <row r="7409" spans="1:14" s="347" customFormat="1" x14ac:dyDescent="0.25">
      <c r="A7409" s="369"/>
      <c r="E7409" s="396"/>
      <c r="F7409" s="396"/>
      <c r="G7409" s="396"/>
      <c r="K7409" s="370"/>
      <c r="N7409" s="370"/>
    </row>
    <row r="7410" spans="1:14" s="347" customFormat="1" x14ac:dyDescent="0.25">
      <c r="A7410" s="369"/>
      <c r="E7410" s="396"/>
      <c r="F7410" s="396"/>
      <c r="G7410" s="396"/>
      <c r="K7410" s="370"/>
      <c r="N7410" s="370"/>
    </row>
    <row r="7411" spans="1:14" s="347" customFormat="1" x14ac:dyDescent="0.25">
      <c r="A7411" s="369"/>
      <c r="E7411" s="396"/>
      <c r="F7411" s="396"/>
      <c r="G7411" s="396"/>
      <c r="K7411" s="370"/>
      <c r="N7411" s="370"/>
    </row>
    <row r="7412" spans="1:14" s="347" customFormat="1" x14ac:dyDescent="0.25">
      <c r="A7412" s="369"/>
      <c r="E7412" s="396"/>
      <c r="F7412" s="396"/>
      <c r="G7412" s="396"/>
      <c r="K7412" s="370"/>
      <c r="N7412" s="370"/>
    </row>
    <row r="7413" spans="1:14" s="347" customFormat="1" x14ac:dyDescent="0.25">
      <c r="A7413" s="369"/>
      <c r="E7413" s="396"/>
      <c r="F7413" s="396"/>
      <c r="G7413" s="396"/>
      <c r="K7413" s="370"/>
      <c r="N7413" s="370"/>
    </row>
    <row r="7414" spans="1:14" s="347" customFormat="1" x14ac:dyDescent="0.25">
      <c r="A7414" s="369"/>
      <c r="E7414" s="396"/>
      <c r="F7414" s="396"/>
      <c r="G7414" s="396"/>
      <c r="K7414" s="370"/>
      <c r="N7414" s="370"/>
    </row>
    <row r="7415" spans="1:14" s="347" customFormat="1" x14ac:dyDescent="0.25">
      <c r="A7415" s="369"/>
      <c r="E7415" s="396"/>
      <c r="F7415" s="396"/>
      <c r="G7415" s="396"/>
      <c r="K7415" s="370"/>
      <c r="N7415" s="370"/>
    </row>
    <row r="7416" spans="1:14" s="347" customFormat="1" x14ac:dyDescent="0.25">
      <c r="A7416" s="369"/>
      <c r="E7416" s="396"/>
      <c r="F7416" s="396"/>
      <c r="G7416" s="396"/>
      <c r="K7416" s="370"/>
      <c r="N7416" s="370"/>
    </row>
    <row r="7417" spans="1:14" s="347" customFormat="1" x14ac:dyDescent="0.25">
      <c r="A7417" s="369"/>
      <c r="E7417" s="396"/>
      <c r="F7417" s="396"/>
      <c r="G7417" s="396"/>
      <c r="K7417" s="370"/>
      <c r="N7417" s="370"/>
    </row>
    <row r="7418" spans="1:14" s="347" customFormat="1" x14ac:dyDescent="0.25">
      <c r="A7418" s="369"/>
      <c r="E7418" s="396"/>
      <c r="F7418" s="396"/>
      <c r="G7418" s="396"/>
      <c r="K7418" s="370"/>
      <c r="N7418" s="370"/>
    </row>
    <row r="7419" spans="1:14" s="347" customFormat="1" x14ac:dyDescent="0.25">
      <c r="A7419" s="369"/>
      <c r="E7419" s="396"/>
      <c r="F7419" s="396"/>
      <c r="G7419" s="396"/>
      <c r="K7419" s="370"/>
      <c r="N7419" s="370"/>
    </row>
    <row r="7420" spans="1:14" s="347" customFormat="1" x14ac:dyDescent="0.25">
      <c r="A7420" s="369"/>
      <c r="E7420" s="396"/>
      <c r="F7420" s="396"/>
      <c r="G7420" s="396"/>
      <c r="K7420" s="370"/>
      <c r="N7420" s="370"/>
    </row>
    <row r="7421" spans="1:14" s="347" customFormat="1" x14ac:dyDescent="0.25">
      <c r="A7421" s="369"/>
      <c r="E7421" s="396"/>
      <c r="F7421" s="396"/>
      <c r="G7421" s="396"/>
      <c r="K7421" s="370"/>
      <c r="N7421" s="370"/>
    </row>
    <row r="7422" spans="1:14" s="347" customFormat="1" x14ac:dyDescent="0.25">
      <c r="A7422" s="369"/>
      <c r="E7422" s="396"/>
      <c r="F7422" s="396"/>
      <c r="G7422" s="396"/>
      <c r="K7422" s="370"/>
      <c r="N7422" s="370"/>
    </row>
    <row r="7423" spans="1:14" s="347" customFormat="1" x14ac:dyDescent="0.25">
      <c r="A7423" s="369"/>
      <c r="E7423" s="396"/>
      <c r="F7423" s="396"/>
      <c r="G7423" s="396"/>
      <c r="K7423" s="370"/>
      <c r="N7423" s="370"/>
    </row>
    <row r="7424" spans="1:14" s="347" customFormat="1" x14ac:dyDescent="0.25">
      <c r="A7424" s="369"/>
      <c r="E7424" s="396"/>
      <c r="F7424" s="396"/>
      <c r="G7424" s="396"/>
      <c r="K7424" s="370"/>
      <c r="N7424" s="370"/>
    </row>
    <row r="7425" spans="1:14" s="347" customFormat="1" x14ac:dyDescent="0.25">
      <c r="A7425" s="369"/>
      <c r="E7425" s="396"/>
      <c r="F7425" s="396"/>
      <c r="G7425" s="396"/>
      <c r="K7425" s="370"/>
      <c r="N7425" s="370"/>
    </row>
    <row r="7426" spans="1:14" s="347" customFormat="1" x14ac:dyDescent="0.25">
      <c r="A7426" s="369"/>
      <c r="E7426" s="396"/>
      <c r="F7426" s="396"/>
      <c r="G7426" s="396"/>
      <c r="K7426" s="370"/>
      <c r="N7426" s="370"/>
    </row>
    <row r="7427" spans="1:14" s="347" customFormat="1" x14ac:dyDescent="0.25">
      <c r="A7427" s="369"/>
      <c r="E7427" s="396"/>
      <c r="F7427" s="396"/>
      <c r="G7427" s="396"/>
      <c r="K7427" s="370"/>
      <c r="N7427" s="370"/>
    </row>
    <row r="7428" spans="1:14" s="347" customFormat="1" x14ac:dyDescent="0.25">
      <c r="A7428" s="369"/>
      <c r="E7428" s="396"/>
      <c r="F7428" s="396"/>
      <c r="G7428" s="396"/>
      <c r="K7428" s="370"/>
      <c r="N7428" s="370"/>
    </row>
    <row r="7429" spans="1:14" s="347" customFormat="1" x14ac:dyDescent="0.25">
      <c r="A7429" s="369"/>
      <c r="E7429" s="396"/>
      <c r="F7429" s="396"/>
      <c r="G7429" s="396"/>
      <c r="K7429" s="370"/>
      <c r="N7429" s="370"/>
    </row>
    <row r="7430" spans="1:14" s="347" customFormat="1" x14ac:dyDescent="0.25">
      <c r="A7430" s="369"/>
      <c r="E7430" s="396"/>
      <c r="F7430" s="396"/>
      <c r="G7430" s="396"/>
      <c r="K7430" s="370"/>
      <c r="N7430" s="370"/>
    </row>
    <row r="7431" spans="1:14" s="347" customFormat="1" x14ac:dyDescent="0.25">
      <c r="A7431" s="369"/>
      <c r="E7431" s="396"/>
      <c r="F7431" s="396"/>
      <c r="G7431" s="396"/>
      <c r="K7431" s="370"/>
      <c r="N7431" s="370"/>
    </row>
    <row r="7432" spans="1:14" s="347" customFormat="1" x14ac:dyDescent="0.25">
      <c r="A7432" s="369"/>
      <c r="E7432" s="396"/>
      <c r="F7432" s="396"/>
      <c r="G7432" s="396"/>
      <c r="K7432" s="370"/>
      <c r="N7432" s="370"/>
    </row>
    <row r="7433" spans="1:14" s="347" customFormat="1" x14ac:dyDescent="0.25">
      <c r="A7433" s="369"/>
      <c r="E7433" s="396"/>
      <c r="F7433" s="396"/>
      <c r="G7433" s="396"/>
      <c r="K7433" s="370"/>
      <c r="N7433" s="370"/>
    </row>
    <row r="7434" spans="1:14" s="347" customFormat="1" x14ac:dyDescent="0.25">
      <c r="A7434" s="369"/>
      <c r="E7434" s="396"/>
      <c r="F7434" s="396"/>
      <c r="G7434" s="396"/>
      <c r="K7434" s="370"/>
      <c r="N7434" s="370"/>
    </row>
    <row r="7435" spans="1:14" s="347" customFormat="1" x14ac:dyDescent="0.25">
      <c r="A7435" s="369"/>
      <c r="E7435" s="396"/>
      <c r="F7435" s="396"/>
      <c r="G7435" s="396"/>
      <c r="K7435" s="370"/>
      <c r="N7435" s="370"/>
    </row>
    <row r="7436" spans="1:14" s="347" customFormat="1" x14ac:dyDescent="0.25">
      <c r="A7436" s="369"/>
      <c r="E7436" s="396"/>
      <c r="F7436" s="396"/>
      <c r="G7436" s="396"/>
      <c r="K7436" s="370"/>
      <c r="N7436" s="370"/>
    </row>
    <row r="7437" spans="1:14" s="347" customFormat="1" x14ac:dyDescent="0.25">
      <c r="A7437" s="369"/>
      <c r="E7437" s="396"/>
      <c r="F7437" s="396"/>
      <c r="G7437" s="396"/>
      <c r="K7437" s="370"/>
      <c r="N7437" s="370"/>
    </row>
    <row r="7438" spans="1:14" s="347" customFormat="1" x14ac:dyDescent="0.25">
      <c r="A7438" s="369"/>
      <c r="E7438" s="396"/>
      <c r="F7438" s="396"/>
      <c r="G7438" s="396"/>
      <c r="K7438" s="370"/>
      <c r="N7438" s="370"/>
    </row>
    <row r="7439" spans="1:14" s="347" customFormat="1" x14ac:dyDescent="0.25">
      <c r="A7439" s="369"/>
      <c r="E7439" s="396"/>
      <c r="F7439" s="396"/>
      <c r="G7439" s="396"/>
      <c r="K7439" s="370"/>
      <c r="N7439" s="370"/>
    </row>
    <row r="7440" spans="1:14" s="347" customFormat="1" x14ac:dyDescent="0.25">
      <c r="A7440" s="369"/>
      <c r="E7440" s="396"/>
      <c r="F7440" s="396"/>
      <c r="G7440" s="396"/>
      <c r="K7440" s="370"/>
      <c r="N7440" s="370"/>
    </row>
    <row r="7441" spans="1:14" s="347" customFormat="1" x14ac:dyDescent="0.25">
      <c r="A7441" s="369"/>
      <c r="E7441" s="396"/>
      <c r="F7441" s="396"/>
      <c r="G7441" s="396"/>
      <c r="K7441" s="370"/>
      <c r="N7441" s="370"/>
    </row>
    <row r="7442" spans="1:14" s="347" customFormat="1" x14ac:dyDescent="0.25">
      <c r="A7442" s="369"/>
      <c r="E7442" s="396"/>
      <c r="F7442" s="396"/>
      <c r="G7442" s="396"/>
      <c r="K7442" s="370"/>
      <c r="N7442" s="370"/>
    </row>
    <row r="7443" spans="1:14" s="347" customFormat="1" x14ac:dyDescent="0.25">
      <c r="A7443" s="369"/>
      <c r="E7443" s="396"/>
      <c r="F7443" s="396"/>
      <c r="G7443" s="396"/>
      <c r="K7443" s="370"/>
      <c r="N7443" s="370"/>
    </row>
    <row r="7444" spans="1:14" s="347" customFormat="1" x14ac:dyDescent="0.25">
      <c r="A7444" s="369"/>
      <c r="E7444" s="396"/>
      <c r="F7444" s="396"/>
      <c r="G7444" s="396"/>
      <c r="K7444" s="370"/>
      <c r="N7444" s="370"/>
    </row>
    <row r="7445" spans="1:14" s="347" customFormat="1" x14ac:dyDescent="0.25">
      <c r="A7445" s="369"/>
      <c r="E7445" s="396"/>
      <c r="F7445" s="396"/>
      <c r="G7445" s="396"/>
      <c r="K7445" s="370"/>
      <c r="N7445" s="370"/>
    </row>
    <row r="7446" spans="1:14" s="347" customFormat="1" x14ac:dyDescent="0.25">
      <c r="A7446" s="369"/>
      <c r="E7446" s="396"/>
      <c r="F7446" s="396"/>
      <c r="G7446" s="396"/>
      <c r="K7446" s="370"/>
      <c r="N7446" s="370"/>
    </row>
    <row r="7447" spans="1:14" s="347" customFormat="1" x14ac:dyDescent="0.25">
      <c r="A7447" s="369"/>
      <c r="E7447" s="396"/>
      <c r="F7447" s="396"/>
      <c r="G7447" s="396"/>
      <c r="K7447" s="370"/>
      <c r="N7447" s="370"/>
    </row>
    <row r="7448" spans="1:14" s="347" customFormat="1" x14ac:dyDescent="0.25">
      <c r="A7448" s="369"/>
      <c r="E7448" s="396"/>
      <c r="F7448" s="396"/>
      <c r="G7448" s="396"/>
      <c r="K7448" s="370"/>
      <c r="N7448" s="370"/>
    </row>
    <row r="7449" spans="1:14" s="347" customFormat="1" x14ac:dyDescent="0.25">
      <c r="A7449" s="369"/>
      <c r="E7449" s="396"/>
      <c r="F7449" s="396"/>
      <c r="G7449" s="396"/>
      <c r="K7449" s="370"/>
      <c r="N7449" s="370"/>
    </row>
    <row r="7450" spans="1:14" s="347" customFormat="1" x14ac:dyDescent="0.25">
      <c r="A7450" s="369"/>
      <c r="E7450" s="396"/>
      <c r="F7450" s="396"/>
      <c r="G7450" s="396"/>
      <c r="K7450" s="370"/>
      <c r="N7450" s="370"/>
    </row>
    <row r="7451" spans="1:14" s="347" customFormat="1" x14ac:dyDescent="0.25">
      <c r="A7451" s="369"/>
      <c r="E7451" s="396"/>
      <c r="F7451" s="396"/>
      <c r="G7451" s="396"/>
      <c r="K7451" s="370"/>
      <c r="N7451" s="370"/>
    </row>
    <row r="7452" spans="1:14" s="347" customFormat="1" x14ac:dyDescent="0.25">
      <c r="A7452" s="369"/>
      <c r="E7452" s="396"/>
      <c r="F7452" s="396"/>
      <c r="G7452" s="396"/>
      <c r="K7452" s="370"/>
      <c r="N7452" s="370"/>
    </row>
    <row r="7453" spans="1:14" s="347" customFormat="1" x14ac:dyDescent="0.25">
      <c r="A7453" s="369"/>
      <c r="E7453" s="396"/>
      <c r="F7453" s="396"/>
      <c r="G7453" s="396"/>
      <c r="K7453" s="370"/>
      <c r="N7453" s="370"/>
    </row>
    <row r="7454" spans="1:14" s="347" customFormat="1" x14ac:dyDescent="0.25">
      <c r="A7454" s="369"/>
      <c r="E7454" s="396"/>
      <c r="F7454" s="396"/>
      <c r="G7454" s="396"/>
      <c r="K7454" s="370"/>
      <c r="N7454" s="370"/>
    </row>
    <row r="7455" spans="1:14" s="347" customFormat="1" x14ac:dyDescent="0.25">
      <c r="A7455" s="369"/>
      <c r="E7455" s="396"/>
      <c r="F7455" s="396"/>
      <c r="G7455" s="396"/>
      <c r="K7455" s="370"/>
      <c r="N7455" s="370"/>
    </row>
    <row r="7456" spans="1:14" s="347" customFormat="1" x14ac:dyDescent="0.25">
      <c r="A7456" s="369"/>
      <c r="E7456" s="396"/>
      <c r="F7456" s="396"/>
      <c r="G7456" s="396"/>
      <c r="K7456" s="370"/>
      <c r="N7456" s="370"/>
    </row>
    <row r="7457" spans="1:14" s="347" customFormat="1" x14ac:dyDescent="0.25">
      <c r="A7457" s="369"/>
      <c r="E7457" s="396"/>
      <c r="F7457" s="396"/>
      <c r="G7457" s="396"/>
      <c r="K7457" s="370"/>
      <c r="N7457" s="370"/>
    </row>
    <row r="7458" spans="1:14" s="347" customFormat="1" x14ac:dyDescent="0.25">
      <c r="A7458" s="369"/>
      <c r="E7458" s="396"/>
      <c r="F7458" s="396"/>
      <c r="G7458" s="396"/>
      <c r="K7458" s="370"/>
      <c r="N7458" s="370"/>
    </row>
    <row r="7459" spans="1:14" s="347" customFormat="1" x14ac:dyDescent="0.25">
      <c r="A7459" s="369"/>
      <c r="E7459" s="396"/>
      <c r="F7459" s="396"/>
      <c r="G7459" s="396"/>
      <c r="K7459" s="370"/>
      <c r="N7459" s="370"/>
    </row>
    <row r="7460" spans="1:14" s="347" customFormat="1" x14ac:dyDescent="0.25">
      <c r="A7460" s="369"/>
      <c r="E7460" s="396"/>
      <c r="F7460" s="396"/>
      <c r="G7460" s="396"/>
      <c r="K7460" s="370"/>
      <c r="N7460" s="370"/>
    </row>
    <row r="7461" spans="1:14" s="347" customFormat="1" x14ac:dyDescent="0.25">
      <c r="A7461" s="369"/>
      <c r="E7461" s="396"/>
      <c r="F7461" s="396"/>
      <c r="G7461" s="396"/>
      <c r="K7461" s="370"/>
      <c r="N7461" s="370"/>
    </row>
    <row r="7462" spans="1:14" s="347" customFormat="1" x14ac:dyDescent="0.25">
      <c r="A7462" s="369"/>
      <c r="E7462" s="396"/>
      <c r="F7462" s="396"/>
      <c r="G7462" s="396"/>
      <c r="K7462" s="370"/>
      <c r="N7462" s="370"/>
    </row>
    <row r="7463" spans="1:14" s="347" customFormat="1" x14ac:dyDescent="0.25">
      <c r="A7463" s="369"/>
      <c r="E7463" s="396"/>
      <c r="F7463" s="396"/>
      <c r="G7463" s="396"/>
      <c r="K7463" s="370"/>
      <c r="N7463" s="370"/>
    </row>
    <row r="7464" spans="1:14" s="347" customFormat="1" x14ac:dyDescent="0.25">
      <c r="A7464" s="369"/>
      <c r="E7464" s="396"/>
      <c r="F7464" s="396"/>
      <c r="G7464" s="396"/>
      <c r="K7464" s="370"/>
      <c r="N7464" s="370"/>
    </row>
    <row r="7465" spans="1:14" s="347" customFormat="1" x14ac:dyDescent="0.25">
      <c r="A7465" s="369"/>
      <c r="E7465" s="396"/>
      <c r="F7465" s="396"/>
      <c r="G7465" s="396"/>
      <c r="K7465" s="370"/>
      <c r="N7465" s="370"/>
    </row>
    <row r="7466" spans="1:14" s="347" customFormat="1" x14ac:dyDescent="0.25">
      <c r="A7466" s="369"/>
      <c r="E7466" s="396"/>
      <c r="F7466" s="396"/>
      <c r="G7466" s="396"/>
      <c r="K7466" s="370"/>
      <c r="N7466" s="370"/>
    </row>
    <row r="7467" spans="1:14" s="347" customFormat="1" x14ac:dyDescent="0.25">
      <c r="A7467" s="369"/>
      <c r="E7467" s="396"/>
      <c r="F7467" s="396"/>
      <c r="G7467" s="396"/>
      <c r="K7467" s="370"/>
      <c r="N7467" s="370"/>
    </row>
    <row r="7468" spans="1:14" s="347" customFormat="1" x14ac:dyDescent="0.25">
      <c r="A7468" s="369"/>
      <c r="E7468" s="396"/>
      <c r="F7468" s="396"/>
      <c r="G7468" s="396"/>
      <c r="K7468" s="370"/>
      <c r="N7468" s="370"/>
    </row>
    <row r="7469" spans="1:14" s="347" customFormat="1" x14ac:dyDescent="0.25">
      <c r="A7469" s="369"/>
      <c r="E7469" s="396"/>
      <c r="F7469" s="396"/>
      <c r="G7469" s="396"/>
      <c r="K7469" s="370"/>
      <c r="N7469" s="370"/>
    </row>
    <row r="7470" spans="1:14" s="347" customFormat="1" x14ac:dyDescent="0.25">
      <c r="A7470" s="369"/>
      <c r="E7470" s="396"/>
      <c r="F7470" s="396"/>
      <c r="G7470" s="396"/>
      <c r="K7470" s="370"/>
      <c r="N7470" s="370"/>
    </row>
    <row r="7471" spans="1:14" s="347" customFormat="1" x14ac:dyDescent="0.25">
      <c r="A7471" s="369"/>
      <c r="E7471" s="396"/>
      <c r="F7471" s="396"/>
      <c r="G7471" s="396"/>
      <c r="K7471" s="370"/>
      <c r="N7471" s="370"/>
    </row>
    <row r="7472" spans="1:14" s="347" customFormat="1" x14ac:dyDescent="0.25">
      <c r="A7472" s="369"/>
      <c r="E7472" s="396"/>
      <c r="F7472" s="396"/>
      <c r="G7472" s="396"/>
      <c r="K7472" s="370"/>
      <c r="N7472" s="370"/>
    </row>
    <row r="7473" spans="1:14" s="347" customFormat="1" x14ac:dyDescent="0.25">
      <c r="A7473" s="369"/>
      <c r="E7473" s="396"/>
      <c r="F7473" s="396"/>
      <c r="G7473" s="396"/>
      <c r="K7473" s="370"/>
      <c r="N7473" s="370"/>
    </row>
    <row r="7474" spans="1:14" s="347" customFormat="1" x14ac:dyDescent="0.25">
      <c r="A7474" s="369"/>
      <c r="E7474" s="396"/>
      <c r="F7474" s="396"/>
      <c r="G7474" s="396"/>
      <c r="K7474" s="370"/>
      <c r="N7474" s="370"/>
    </row>
    <row r="7475" spans="1:14" s="347" customFormat="1" x14ac:dyDescent="0.25">
      <c r="A7475" s="369"/>
      <c r="E7475" s="396"/>
      <c r="F7475" s="396"/>
      <c r="G7475" s="396"/>
      <c r="K7475" s="370"/>
      <c r="N7475" s="370"/>
    </row>
    <row r="7476" spans="1:14" s="347" customFormat="1" x14ac:dyDescent="0.25">
      <c r="A7476" s="369"/>
      <c r="E7476" s="396"/>
      <c r="F7476" s="396"/>
      <c r="G7476" s="396"/>
      <c r="K7476" s="370"/>
      <c r="N7476" s="370"/>
    </row>
    <row r="7477" spans="1:14" s="347" customFormat="1" x14ac:dyDescent="0.25">
      <c r="A7477" s="369"/>
      <c r="E7477" s="396"/>
      <c r="F7477" s="396"/>
      <c r="G7477" s="396"/>
      <c r="K7477" s="370"/>
      <c r="N7477" s="370"/>
    </row>
    <row r="7478" spans="1:14" s="347" customFormat="1" x14ac:dyDescent="0.25">
      <c r="A7478" s="369"/>
      <c r="E7478" s="396"/>
      <c r="F7478" s="396"/>
      <c r="G7478" s="396"/>
      <c r="K7478" s="370"/>
      <c r="N7478" s="370"/>
    </row>
    <row r="7479" spans="1:14" s="347" customFormat="1" x14ac:dyDescent="0.25">
      <c r="A7479" s="369"/>
      <c r="E7479" s="396"/>
      <c r="F7479" s="396"/>
      <c r="G7479" s="396"/>
      <c r="K7479" s="370"/>
      <c r="N7479" s="370"/>
    </row>
    <row r="7480" spans="1:14" s="347" customFormat="1" x14ac:dyDescent="0.25">
      <c r="A7480" s="369"/>
      <c r="E7480" s="396"/>
      <c r="F7480" s="396"/>
      <c r="G7480" s="396"/>
      <c r="K7480" s="370"/>
      <c r="N7480" s="370"/>
    </row>
    <row r="7481" spans="1:14" s="347" customFormat="1" x14ac:dyDescent="0.25">
      <c r="A7481" s="369"/>
      <c r="E7481" s="396"/>
      <c r="F7481" s="396"/>
      <c r="G7481" s="396"/>
      <c r="K7481" s="370"/>
      <c r="N7481" s="370"/>
    </row>
    <row r="7482" spans="1:14" s="347" customFormat="1" x14ac:dyDescent="0.25">
      <c r="A7482" s="369"/>
      <c r="E7482" s="396"/>
      <c r="F7482" s="396"/>
      <c r="G7482" s="396"/>
      <c r="K7482" s="370"/>
      <c r="N7482" s="370"/>
    </row>
    <row r="7483" spans="1:14" s="347" customFormat="1" x14ac:dyDescent="0.25">
      <c r="A7483" s="369"/>
      <c r="E7483" s="396"/>
      <c r="F7483" s="396"/>
      <c r="G7483" s="396"/>
      <c r="K7483" s="370"/>
      <c r="N7483" s="370"/>
    </row>
    <row r="7484" spans="1:14" s="347" customFormat="1" x14ac:dyDescent="0.25">
      <c r="A7484" s="369"/>
      <c r="E7484" s="396"/>
      <c r="F7484" s="396"/>
      <c r="G7484" s="396"/>
      <c r="K7484" s="370"/>
      <c r="N7484" s="370"/>
    </row>
    <row r="7485" spans="1:14" s="347" customFormat="1" x14ac:dyDescent="0.25">
      <c r="A7485" s="369"/>
      <c r="E7485" s="396"/>
      <c r="F7485" s="396"/>
      <c r="G7485" s="396"/>
      <c r="K7485" s="370"/>
      <c r="N7485" s="370"/>
    </row>
    <row r="7486" spans="1:14" s="347" customFormat="1" x14ac:dyDescent="0.25">
      <c r="A7486" s="369"/>
      <c r="E7486" s="396"/>
      <c r="F7486" s="396"/>
      <c r="G7486" s="396"/>
      <c r="K7486" s="370"/>
      <c r="N7486" s="370"/>
    </row>
    <row r="7487" spans="1:14" s="347" customFormat="1" x14ac:dyDescent="0.25">
      <c r="A7487" s="369"/>
      <c r="E7487" s="396"/>
      <c r="F7487" s="396"/>
      <c r="G7487" s="396"/>
      <c r="K7487" s="370"/>
      <c r="N7487" s="370"/>
    </row>
    <row r="7488" spans="1:14" s="347" customFormat="1" x14ac:dyDescent="0.25">
      <c r="A7488" s="369"/>
      <c r="E7488" s="396"/>
      <c r="F7488" s="396"/>
      <c r="G7488" s="396"/>
      <c r="K7488" s="370"/>
      <c r="N7488" s="370"/>
    </row>
    <row r="7489" spans="1:14" s="347" customFormat="1" x14ac:dyDescent="0.25">
      <c r="A7489" s="369"/>
      <c r="E7489" s="396"/>
      <c r="F7489" s="396"/>
      <c r="G7489" s="396"/>
      <c r="K7489" s="370"/>
      <c r="N7489" s="370"/>
    </row>
    <row r="7490" spans="1:14" s="347" customFormat="1" x14ac:dyDescent="0.25">
      <c r="A7490" s="369"/>
      <c r="E7490" s="396"/>
      <c r="F7490" s="396"/>
      <c r="G7490" s="396"/>
      <c r="K7490" s="370"/>
      <c r="N7490" s="370"/>
    </row>
    <row r="7491" spans="1:14" s="347" customFormat="1" x14ac:dyDescent="0.25">
      <c r="A7491" s="369"/>
      <c r="E7491" s="396"/>
      <c r="F7491" s="396"/>
      <c r="G7491" s="396"/>
      <c r="K7491" s="370"/>
      <c r="N7491" s="370"/>
    </row>
    <row r="7492" spans="1:14" s="347" customFormat="1" x14ac:dyDescent="0.25">
      <c r="A7492" s="369"/>
      <c r="E7492" s="396"/>
      <c r="F7492" s="396"/>
      <c r="G7492" s="396"/>
      <c r="K7492" s="370"/>
      <c r="N7492" s="370"/>
    </row>
    <row r="7493" spans="1:14" s="347" customFormat="1" x14ac:dyDescent="0.25">
      <c r="A7493" s="369"/>
      <c r="E7493" s="396"/>
      <c r="F7493" s="396"/>
      <c r="G7493" s="396"/>
      <c r="K7493" s="370"/>
      <c r="N7493" s="370"/>
    </row>
    <row r="7494" spans="1:14" s="347" customFormat="1" x14ac:dyDescent="0.25">
      <c r="A7494" s="369"/>
      <c r="E7494" s="396"/>
      <c r="F7494" s="396"/>
      <c r="G7494" s="396"/>
      <c r="K7494" s="370"/>
      <c r="N7494" s="370"/>
    </row>
    <row r="7495" spans="1:14" s="347" customFormat="1" x14ac:dyDescent="0.25">
      <c r="A7495" s="369"/>
      <c r="E7495" s="396"/>
      <c r="F7495" s="396"/>
      <c r="G7495" s="396"/>
      <c r="K7495" s="370"/>
      <c r="N7495" s="370"/>
    </row>
    <row r="7496" spans="1:14" s="347" customFormat="1" x14ac:dyDescent="0.25">
      <c r="A7496" s="369"/>
      <c r="E7496" s="396"/>
      <c r="F7496" s="396"/>
      <c r="G7496" s="396"/>
      <c r="K7496" s="370"/>
      <c r="N7496" s="370"/>
    </row>
    <row r="7497" spans="1:14" s="347" customFormat="1" x14ac:dyDescent="0.25">
      <c r="A7497" s="369"/>
      <c r="E7497" s="396"/>
      <c r="F7497" s="396"/>
      <c r="G7497" s="396"/>
      <c r="K7497" s="370"/>
      <c r="N7497" s="370"/>
    </row>
    <row r="7498" spans="1:14" s="347" customFormat="1" x14ac:dyDescent="0.25">
      <c r="A7498" s="369"/>
      <c r="E7498" s="396"/>
      <c r="F7498" s="396"/>
      <c r="G7498" s="396"/>
      <c r="K7498" s="370"/>
      <c r="N7498" s="370"/>
    </row>
    <row r="7499" spans="1:14" s="347" customFormat="1" x14ac:dyDescent="0.25">
      <c r="A7499" s="369"/>
      <c r="E7499" s="396"/>
      <c r="F7499" s="396"/>
      <c r="G7499" s="396"/>
      <c r="K7499" s="370"/>
      <c r="N7499" s="370"/>
    </row>
    <row r="7500" spans="1:14" s="347" customFormat="1" x14ac:dyDescent="0.25">
      <c r="A7500" s="369"/>
      <c r="E7500" s="396"/>
      <c r="F7500" s="396"/>
      <c r="G7500" s="396"/>
      <c r="K7500" s="370"/>
      <c r="N7500" s="370"/>
    </row>
    <row r="7501" spans="1:14" s="347" customFormat="1" x14ac:dyDescent="0.25">
      <c r="A7501" s="369"/>
      <c r="E7501" s="396"/>
      <c r="F7501" s="396"/>
      <c r="G7501" s="396"/>
      <c r="K7501" s="370"/>
      <c r="N7501" s="370"/>
    </row>
    <row r="7502" spans="1:14" s="347" customFormat="1" x14ac:dyDescent="0.25">
      <c r="A7502" s="369"/>
      <c r="E7502" s="396"/>
      <c r="F7502" s="396"/>
      <c r="G7502" s="396"/>
      <c r="K7502" s="370"/>
      <c r="N7502" s="370"/>
    </row>
    <row r="7503" spans="1:14" s="347" customFormat="1" x14ac:dyDescent="0.25">
      <c r="A7503" s="369"/>
      <c r="E7503" s="396"/>
      <c r="F7503" s="396"/>
      <c r="G7503" s="396"/>
      <c r="K7503" s="370"/>
      <c r="N7503" s="370"/>
    </row>
    <row r="7504" spans="1:14" s="347" customFormat="1" x14ac:dyDescent="0.25">
      <c r="A7504" s="369"/>
      <c r="E7504" s="396"/>
      <c r="F7504" s="396"/>
      <c r="G7504" s="396"/>
      <c r="K7504" s="370"/>
      <c r="N7504" s="370"/>
    </row>
    <row r="7505" spans="1:14" s="347" customFormat="1" x14ac:dyDescent="0.25">
      <c r="A7505" s="369"/>
      <c r="E7505" s="396"/>
      <c r="F7505" s="396"/>
      <c r="G7505" s="396"/>
      <c r="K7505" s="370"/>
      <c r="N7505" s="370"/>
    </row>
    <row r="7506" spans="1:14" s="347" customFormat="1" x14ac:dyDescent="0.25">
      <c r="A7506" s="369"/>
      <c r="E7506" s="396"/>
      <c r="F7506" s="396"/>
      <c r="G7506" s="396"/>
      <c r="K7506" s="370"/>
      <c r="N7506" s="370"/>
    </row>
    <row r="7507" spans="1:14" s="347" customFormat="1" x14ac:dyDescent="0.25">
      <c r="A7507" s="369"/>
      <c r="E7507" s="396"/>
      <c r="F7507" s="396"/>
      <c r="G7507" s="396"/>
      <c r="K7507" s="370"/>
      <c r="N7507" s="370"/>
    </row>
    <row r="7508" spans="1:14" s="347" customFormat="1" x14ac:dyDescent="0.25">
      <c r="A7508" s="369"/>
      <c r="E7508" s="396"/>
      <c r="F7508" s="396"/>
      <c r="G7508" s="396"/>
      <c r="K7508" s="370"/>
      <c r="N7508" s="370"/>
    </row>
    <row r="7509" spans="1:14" s="347" customFormat="1" x14ac:dyDescent="0.25">
      <c r="A7509" s="369"/>
      <c r="E7509" s="396"/>
      <c r="F7509" s="396"/>
      <c r="G7509" s="396"/>
      <c r="K7509" s="370"/>
      <c r="N7509" s="370"/>
    </row>
    <row r="7510" spans="1:14" s="347" customFormat="1" x14ac:dyDescent="0.25">
      <c r="A7510" s="369"/>
      <c r="E7510" s="396"/>
      <c r="F7510" s="396"/>
      <c r="G7510" s="396"/>
      <c r="K7510" s="370"/>
      <c r="N7510" s="370"/>
    </row>
    <row r="7511" spans="1:14" s="347" customFormat="1" x14ac:dyDescent="0.25">
      <c r="A7511" s="369"/>
      <c r="E7511" s="396"/>
      <c r="F7511" s="396"/>
      <c r="G7511" s="396"/>
      <c r="K7511" s="370"/>
      <c r="N7511" s="370"/>
    </row>
    <row r="7512" spans="1:14" s="347" customFormat="1" x14ac:dyDescent="0.25">
      <c r="A7512" s="369"/>
      <c r="E7512" s="396"/>
      <c r="F7512" s="396"/>
      <c r="G7512" s="396"/>
      <c r="K7512" s="370"/>
      <c r="N7512" s="370"/>
    </row>
    <row r="7513" spans="1:14" s="347" customFormat="1" x14ac:dyDescent="0.25">
      <c r="A7513" s="369"/>
      <c r="E7513" s="396"/>
      <c r="F7513" s="396"/>
      <c r="G7513" s="396"/>
      <c r="K7513" s="370"/>
      <c r="N7513" s="370"/>
    </row>
    <row r="7514" spans="1:14" s="347" customFormat="1" x14ac:dyDescent="0.25">
      <c r="A7514" s="369"/>
      <c r="E7514" s="396"/>
      <c r="F7514" s="396"/>
      <c r="G7514" s="396"/>
      <c r="K7514" s="370"/>
      <c r="N7514" s="370"/>
    </row>
    <row r="7515" spans="1:14" s="347" customFormat="1" x14ac:dyDescent="0.25">
      <c r="A7515" s="369"/>
      <c r="E7515" s="396"/>
      <c r="F7515" s="396"/>
      <c r="G7515" s="396"/>
      <c r="K7515" s="370"/>
      <c r="N7515" s="370"/>
    </row>
    <row r="7516" spans="1:14" s="347" customFormat="1" x14ac:dyDescent="0.25">
      <c r="A7516" s="369"/>
      <c r="E7516" s="396"/>
      <c r="F7516" s="396"/>
      <c r="G7516" s="396"/>
      <c r="K7516" s="370"/>
      <c r="N7516" s="370"/>
    </row>
    <row r="7517" spans="1:14" s="347" customFormat="1" x14ac:dyDescent="0.25">
      <c r="A7517" s="369"/>
      <c r="E7517" s="396"/>
      <c r="F7517" s="396"/>
      <c r="G7517" s="396"/>
      <c r="K7517" s="370"/>
      <c r="N7517" s="370"/>
    </row>
    <row r="7518" spans="1:14" s="347" customFormat="1" x14ac:dyDescent="0.25">
      <c r="A7518" s="369"/>
      <c r="E7518" s="396"/>
      <c r="F7518" s="396"/>
      <c r="G7518" s="396"/>
      <c r="K7518" s="370"/>
      <c r="N7518" s="370"/>
    </row>
    <row r="7519" spans="1:14" s="347" customFormat="1" x14ac:dyDescent="0.25">
      <c r="A7519" s="369"/>
      <c r="E7519" s="396"/>
      <c r="F7519" s="396"/>
      <c r="G7519" s="396"/>
      <c r="K7519" s="370"/>
      <c r="N7519" s="370"/>
    </row>
    <row r="7520" spans="1:14" s="347" customFormat="1" x14ac:dyDescent="0.25">
      <c r="A7520" s="369"/>
      <c r="E7520" s="396"/>
      <c r="F7520" s="396"/>
      <c r="G7520" s="396"/>
      <c r="K7520" s="370"/>
      <c r="N7520" s="370"/>
    </row>
    <row r="7521" spans="1:14" s="347" customFormat="1" x14ac:dyDescent="0.25">
      <c r="A7521" s="369"/>
      <c r="E7521" s="396"/>
      <c r="F7521" s="396"/>
      <c r="G7521" s="396"/>
      <c r="K7521" s="370"/>
      <c r="N7521" s="370"/>
    </row>
    <row r="7522" spans="1:14" s="347" customFormat="1" x14ac:dyDescent="0.25">
      <c r="A7522" s="369"/>
      <c r="E7522" s="396"/>
      <c r="F7522" s="396"/>
      <c r="G7522" s="396"/>
      <c r="K7522" s="370"/>
      <c r="N7522" s="370"/>
    </row>
    <row r="7523" spans="1:14" s="347" customFormat="1" x14ac:dyDescent="0.25">
      <c r="A7523" s="369"/>
      <c r="E7523" s="396"/>
      <c r="F7523" s="396"/>
      <c r="G7523" s="396"/>
      <c r="K7523" s="370"/>
      <c r="N7523" s="370"/>
    </row>
    <row r="7524" spans="1:14" s="347" customFormat="1" x14ac:dyDescent="0.25">
      <c r="A7524" s="369"/>
      <c r="E7524" s="396"/>
      <c r="F7524" s="396"/>
      <c r="G7524" s="396"/>
      <c r="K7524" s="370"/>
      <c r="N7524" s="370"/>
    </row>
    <row r="7525" spans="1:14" s="347" customFormat="1" x14ac:dyDescent="0.25">
      <c r="A7525" s="369"/>
      <c r="E7525" s="396"/>
      <c r="F7525" s="396"/>
      <c r="G7525" s="396"/>
      <c r="K7525" s="370"/>
      <c r="N7525" s="370"/>
    </row>
    <row r="7526" spans="1:14" s="347" customFormat="1" x14ac:dyDescent="0.25">
      <c r="A7526" s="369"/>
      <c r="E7526" s="396"/>
      <c r="F7526" s="396"/>
      <c r="G7526" s="396"/>
      <c r="K7526" s="370"/>
      <c r="N7526" s="370"/>
    </row>
    <row r="7527" spans="1:14" s="347" customFormat="1" x14ac:dyDescent="0.25">
      <c r="A7527" s="369"/>
      <c r="E7527" s="396"/>
      <c r="F7527" s="396"/>
      <c r="G7527" s="396"/>
      <c r="K7527" s="370"/>
      <c r="N7527" s="370"/>
    </row>
    <row r="7528" spans="1:14" s="347" customFormat="1" x14ac:dyDescent="0.25">
      <c r="A7528" s="369"/>
      <c r="E7528" s="396"/>
      <c r="F7528" s="396"/>
      <c r="G7528" s="396"/>
      <c r="K7528" s="370"/>
      <c r="N7528" s="370"/>
    </row>
    <row r="7529" spans="1:14" s="347" customFormat="1" x14ac:dyDescent="0.25">
      <c r="A7529" s="369"/>
      <c r="E7529" s="396"/>
      <c r="F7529" s="396"/>
      <c r="G7529" s="396"/>
      <c r="K7529" s="370"/>
      <c r="N7529" s="370"/>
    </row>
    <row r="7530" spans="1:14" s="347" customFormat="1" x14ac:dyDescent="0.25">
      <c r="A7530" s="369"/>
      <c r="E7530" s="396"/>
      <c r="F7530" s="396"/>
      <c r="G7530" s="396"/>
      <c r="K7530" s="370"/>
      <c r="N7530" s="370"/>
    </row>
    <row r="7531" spans="1:14" s="347" customFormat="1" x14ac:dyDescent="0.25">
      <c r="A7531" s="369"/>
      <c r="E7531" s="396"/>
      <c r="F7531" s="396"/>
      <c r="G7531" s="396"/>
      <c r="K7531" s="370"/>
      <c r="N7531" s="370"/>
    </row>
    <row r="7532" spans="1:14" s="347" customFormat="1" x14ac:dyDescent="0.25">
      <c r="A7532" s="369"/>
      <c r="E7532" s="396"/>
      <c r="F7532" s="396"/>
      <c r="G7532" s="396"/>
      <c r="K7532" s="370"/>
      <c r="N7532" s="370"/>
    </row>
    <row r="7533" spans="1:14" s="347" customFormat="1" x14ac:dyDescent="0.25">
      <c r="A7533" s="369"/>
      <c r="E7533" s="396"/>
      <c r="F7533" s="396"/>
      <c r="G7533" s="396"/>
      <c r="K7533" s="370"/>
      <c r="N7533" s="370"/>
    </row>
    <row r="7534" spans="1:14" s="347" customFormat="1" x14ac:dyDescent="0.25">
      <c r="A7534" s="369"/>
      <c r="E7534" s="396"/>
      <c r="F7534" s="396"/>
      <c r="G7534" s="396"/>
      <c r="K7534" s="370"/>
      <c r="N7534" s="370"/>
    </row>
    <row r="7535" spans="1:14" s="347" customFormat="1" x14ac:dyDescent="0.25">
      <c r="A7535" s="369"/>
      <c r="E7535" s="396"/>
      <c r="F7535" s="396"/>
      <c r="G7535" s="396"/>
      <c r="K7535" s="370"/>
      <c r="N7535" s="370"/>
    </row>
    <row r="7536" spans="1:14" s="347" customFormat="1" x14ac:dyDescent="0.25">
      <c r="A7536" s="369"/>
      <c r="E7536" s="396"/>
      <c r="F7536" s="396"/>
      <c r="G7536" s="396"/>
      <c r="K7536" s="370"/>
      <c r="N7536" s="370"/>
    </row>
    <row r="7537" spans="1:14" s="347" customFormat="1" x14ac:dyDescent="0.25">
      <c r="A7537" s="369"/>
      <c r="E7537" s="396"/>
      <c r="F7537" s="396"/>
      <c r="G7537" s="396"/>
      <c r="K7537" s="370"/>
      <c r="N7537" s="370"/>
    </row>
    <row r="7538" spans="1:14" s="347" customFormat="1" x14ac:dyDescent="0.25">
      <c r="A7538" s="369"/>
      <c r="E7538" s="396"/>
      <c r="F7538" s="396"/>
      <c r="G7538" s="396"/>
      <c r="K7538" s="370"/>
      <c r="N7538" s="370"/>
    </row>
    <row r="7539" spans="1:14" s="347" customFormat="1" x14ac:dyDescent="0.25">
      <c r="A7539" s="369"/>
      <c r="E7539" s="396"/>
      <c r="F7539" s="396"/>
      <c r="G7539" s="396"/>
      <c r="K7539" s="370"/>
      <c r="N7539" s="370"/>
    </row>
    <row r="7540" spans="1:14" s="347" customFormat="1" x14ac:dyDescent="0.25">
      <c r="A7540" s="369"/>
      <c r="E7540" s="396"/>
      <c r="F7540" s="396"/>
      <c r="G7540" s="396"/>
      <c r="K7540" s="370"/>
      <c r="N7540" s="370"/>
    </row>
    <row r="7541" spans="1:14" s="347" customFormat="1" x14ac:dyDescent="0.25">
      <c r="A7541" s="369"/>
      <c r="E7541" s="396"/>
      <c r="F7541" s="396"/>
      <c r="G7541" s="396"/>
      <c r="K7541" s="370"/>
      <c r="N7541" s="370"/>
    </row>
    <row r="7542" spans="1:14" s="347" customFormat="1" x14ac:dyDescent="0.25">
      <c r="A7542" s="369"/>
      <c r="E7542" s="396"/>
      <c r="F7542" s="396"/>
      <c r="G7542" s="396"/>
      <c r="K7542" s="370"/>
      <c r="N7542" s="370"/>
    </row>
    <row r="7543" spans="1:14" s="347" customFormat="1" x14ac:dyDescent="0.25">
      <c r="A7543" s="369"/>
      <c r="E7543" s="396"/>
      <c r="F7543" s="396"/>
      <c r="G7543" s="396"/>
      <c r="K7543" s="370"/>
      <c r="N7543" s="370"/>
    </row>
    <row r="7544" spans="1:14" s="347" customFormat="1" x14ac:dyDescent="0.25">
      <c r="A7544" s="369"/>
      <c r="E7544" s="396"/>
      <c r="F7544" s="396"/>
      <c r="G7544" s="396"/>
      <c r="K7544" s="370"/>
      <c r="N7544" s="370"/>
    </row>
    <row r="7545" spans="1:14" s="347" customFormat="1" x14ac:dyDescent="0.25">
      <c r="A7545" s="369"/>
      <c r="E7545" s="396"/>
      <c r="F7545" s="396"/>
      <c r="G7545" s="396"/>
      <c r="K7545" s="370"/>
      <c r="N7545" s="370"/>
    </row>
    <row r="7546" spans="1:14" s="347" customFormat="1" x14ac:dyDescent="0.25">
      <c r="A7546" s="369"/>
      <c r="E7546" s="396"/>
      <c r="F7546" s="396"/>
      <c r="G7546" s="396"/>
      <c r="K7546" s="370"/>
      <c r="N7546" s="370"/>
    </row>
    <row r="7547" spans="1:14" s="347" customFormat="1" x14ac:dyDescent="0.25">
      <c r="A7547" s="369"/>
      <c r="E7547" s="396"/>
      <c r="F7547" s="396"/>
      <c r="G7547" s="396"/>
      <c r="K7547" s="370"/>
      <c r="N7547" s="370"/>
    </row>
    <row r="7548" spans="1:14" s="347" customFormat="1" x14ac:dyDescent="0.25">
      <c r="A7548" s="369"/>
      <c r="E7548" s="396"/>
      <c r="F7548" s="396"/>
      <c r="G7548" s="396"/>
      <c r="K7548" s="370"/>
      <c r="N7548" s="370"/>
    </row>
    <row r="7549" spans="1:14" s="347" customFormat="1" x14ac:dyDescent="0.25">
      <c r="A7549" s="369"/>
      <c r="E7549" s="396"/>
      <c r="F7549" s="396"/>
      <c r="G7549" s="396"/>
      <c r="K7549" s="370"/>
      <c r="N7549" s="370"/>
    </row>
    <row r="7550" spans="1:14" s="347" customFormat="1" x14ac:dyDescent="0.25">
      <c r="A7550" s="369"/>
      <c r="E7550" s="396"/>
      <c r="F7550" s="396"/>
      <c r="G7550" s="396"/>
      <c r="K7550" s="370"/>
      <c r="N7550" s="370"/>
    </row>
    <row r="7551" spans="1:14" s="347" customFormat="1" x14ac:dyDescent="0.25">
      <c r="A7551" s="369"/>
      <c r="E7551" s="396"/>
      <c r="F7551" s="396"/>
      <c r="G7551" s="396"/>
      <c r="K7551" s="370"/>
      <c r="N7551" s="370"/>
    </row>
    <row r="7552" spans="1:14" s="347" customFormat="1" x14ac:dyDescent="0.25">
      <c r="A7552" s="369"/>
      <c r="E7552" s="396"/>
      <c r="F7552" s="396"/>
      <c r="G7552" s="396"/>
      <c r="K7552" s="370"/>
      <c r="N7552" s="370"/>
    </row>
    <row r="7553" spans="1:14" s="347" customFormat="1" x14ac:dyDescent="0.25">
      <c r="A7553" s="369"/>
      <c r="E7553" s="396"/>
      <c r="F7553" s="396"/>
      <c r="G7553" s="396"/>
      <c r="K7553" s="370"/>
      <c r="N7553" s="370"/>
    </row>
    <row r="7554" spans="1:14" s="347" customFormat="1" x14ac:dyDescent="0.25">
      <c r="A7554" s="369"/>
      <c r="E7554" s="396"/>
      <c r="F7554" s="396"/>
      <c r="G7554" s="396"/>
      <c r="K7554" s="370"/>
      <c r="N7554" s="370"/>
    </row>
    <row r="7555" spans="1:14" s="347" customFormat="1" x14ac:dyDescent="0.25">
      <c r="A7555" s="369"/>
      <c r="E7555" s="396"/>
      <c r="F7555" s="396"/>
      <c r="G7555" s="396"/>
      <c r="K7555" s="370"/>
      <c r="N7555" s="370"/>
    </row>
    <row r="7556" spans="1:14" s="347" customFormat="1" x14ac:dyDescent="0.25">
      <c r="A7556" s="369"/>
      <c r="E7556" s="396"/>
      <c r="F7556" s="396"/>
      <c r="G7556" s="396"/>
      <c r="K7556" s="370"/>
      <c r="N7556" s="370"/>
    </row>
    <row r="7557" spans="1:14" s="347" customFormat="1" x14ac:dyDescent="0.25">
      <c r="A7557" s="369"/>
      <c r="E7557" s="396"/>
      <c r="F7557" s="396"/>
      <c r="G7557" s="396"/>
      <c r="K7557" s="370"/>
      <c r="N7557" s="370"/>
    </row>
    <row r="7558" spans="1:14" s="347" customFormat="1" x14ac:dyDescent="0.25">
      <c r="A7558" s="369"/>
      <c r="E7558" s="396"/>
      <c r="F7558" s="396"/>
      <c r="G7558" s="396"/>
      <c r="K7558" s="370"/>
      <c r="N7558" s="370"/>
    </row>
    <row r="7559" spans="1:14" s="347" customFormat="1" x14ac:dyDescent="0.25">
      <c r="A7559" s="369"/>
      <c r="E7559" s="396"/>
      <c r="F7559" s="396"/>
      <c r="G7559" s="396"/>
      <c r="K7559" s="370"/>
      <c r="N7559" s="370"/>
    </row>
    <row r="7560" spans="1:14" s="347" customFormat="1" x14ac:dyDescent="0.25">
      <c r="A7560" s="369"/>
      <c r="E7560" s="396"/>
      <c r="F7560" s="396"/>
      <c r="G7560" s="396"/>
      <c r="K7560" s="370"/>
      <c r="N7560" s="370"/>
    </row>
    <row r="7561" spans="1:14" s="347" customFormat="1" x14ac:dyDescent="0.25">
      <c r="A7561" s="369"/>
      <c r="E7561" s="396"/>
      <c r="F7561" s="396"/>
      <c r="G7561" s="396"/>
      <c r="K7561" s="370"/>
      <c r="N7561" s="370"/>
    </row>
    <row r="7562" spans="1:14" s="347" customFormat="1" x14ac:dyDescent="0.25">
      <c r="A7562" s="369"/>
      <c r="E7562" s="396"/>
      <c r="F7562" s="396"/>
      <c r="G7562" s="396"/>
      <c r="K7562" s="370"/>
      <c r="N7562" s="370"/>
    </row>
    <row r="7563" spans="1:14" s="347" customFormat="1" x14ac:dyDescent="0.25">
      <c r="A7563" s="369"/>
      <c r="E7563" s="396"/>
      <c r="F7563" s="396"/>
      <c r="G7563" s="396"/>
      <c r="K7563" s="370"/>
      <c r="N7563" s="370"/>
    </row>
    <row r="7564" spans="1:14" s="347" customFormat="1" x14ac:dyDescent="0.25">
      <c r="A7564" s="369"/>
      <c r="E7564" s="396"/>
      <c r="F7564" s="396"/>
      <c r="G7564" s="396"/>
      <c r="K7564" s="370"/>
      <c r="N7564" s="370"/>
    </row>
    <row r="7565" spans="1:14" s="347" customFormat="1" x14ac:dyDescent="0.25">
      <c r="A7565" s="369"/>
      <c r="E7565" s="396"/>
      <c r="F7565" s="396"/>
      <c r="G7565" s="396"/>
      <c r="K7565" s="370"/>
      <c r="N7565" s="370"/>
    </row>
    <row r="7566" spans="1:14" s="347" customFormat="1" x14ac:dyDescent="0.25">
      <c r="A7566" s="369"/>
      <c r="E7566" s="396"/>
      <c r="F7566" s="396"/>
      <c r="G7566" s="396"/>
      <c r="K7566" s="370"/>
      <c r="N7566" s="370"/>
    </row>
    <row r="7567" spans="1:14" s="347" customFormat="1" x14ac:dyDescent="0.25">
      <c r="A7567" s="369"/>
      <c r="E7567" s="396"/>
      <c r="F7567" s="396"/>
      <c r="G7567" s="396"/>
      <c r="K7567" s="370"/>
      <c r="N7567" s="370"/>
    </row>
    <row r="7568" spans="1:14" s="347" customFormat="1" x14ac:dyDescent="0.25">
      <c r="A7568" s="369"/>
      <c r="E7568" s="396"/>
      <c r="F7568" s="396"/>
      <c r="G7568" s="396"/>
      <c r="K7568" s="370"/>
      <c r="N7568" s="370"/>
    </row>
    <row r="7569" spans="1:14" s="347" customFormat="1" x14ac:dyDescent="0.25">
      <c r="A7569" s="369"/>
      <c r="E7569" s="396"/>
      <c r="F7569" s="396"/>
      <c r="G7569" s="396"/>
      <c r="K7569" s="370"/>
      <c r="N7569" s="370"/>
    </row>
    <row r="7570" spans="1:14" s="347" customFormat="1" x14ac:dyDescent="0.25">
      <c r="A7570" s="369"/>
      <c r="E7570" s="396"/>
      <c r="F7570" s="396"/>
      <c r="G7570" s="396"/>
      <c r="K7570" s="370"/>
      <c r="N7570" s="370"/>
    </row>
    <row r="7571" spans="1:14" s="347" customFormat="1" x14ac:dyDescent="0.25">
      <c r="A7571" s="369"/>
      <c r="E7571" s="396"/>
      <c r="F7571" s="396"/>
      <c r="G7571" s="396"/>
      <c r="K7571" s="370"/>
      <c r="N7571" s="370"/>
    </row>
    <row r="7572" spans="1:14" s="347" customFormat="1" x14ac:dyDescent="0.25">
      <c r="A7572" s="369"/>
      <c r="E7572" s="396"/>
      <c r="F7572" s="396"/>
      <c r="G7572" s="396"/>
      <c r="K7572" s="370"/>
      <c r="N7572" s="370"/>
    </row>
    <row r="7573" spans="1:14" s="347" customFormat="1" x14ac:dyDescent="0.25">
      <c r="A7573" s="369"/>
      <c r="E7573" s="396"/>
      <c r="F7573" s="396"/>
      <c r="G7573" s="396"/>
      <c r="K7573" s="370"/>
      <c r="N7573" s="370"/>
    </row>
    <row r="7574" spans="1:14" s="347" customFormat="1" x14ac:dyDescent="0.25">
      <c r="A7574" s="369"/>
      <c r="E7574" s="396"/>
      <c r="F7574" s="396"/>
      <c r="G7574" s="396"/>
      <c r="K7574" s="370"/>
      <c r="N7574" s="370"/>
    </row>
    <row r="7575" spans="1:14" s="347" customFormat="1" x14ac:dyDescent="0.25">
      <c r="A7575" s="369"/>
      <c r="E7575" s="396"/>
      <c r="F7575" s="396"/>
      <c r="G7575" s="396"/>
      <c r="K7575" s="370"/>
      <c r="N7575" s="370"/>
    </row>
    <row r="7576" spans="1:14" s="347" customFormat="1" x14ac:dyDescent="0.25">
      <c r="A7576" s="369"/>
      <c r="E7576" s="396"/>
      <c r="F7576" s="396"/>
      <c r="G7576" s="396"/>
      <c r="K7576" s="370"/>
      <c r="N7576" s="370"/>
    </row>
    <row r="7577" spans="1:14" s="347" customFormat="1" x14ac:dyDescent="0.25">
      <c r="A7577" s="369"/>
      <c r="E7577" s="396"/>
      <c r="F7577" s="396"/>
      <c r="G7577" s="396"/>
      <c r="K7577" s="370"/>
      <c r="N7577" s="370"/>
    </row>
    <row r="7578" spans="1:14" s="347" customFormat="1" x14ac:dyDescent="0.25">
      <c r="A7578" s="369"/>
      <c r="E7578" s="396"/>
      <c r="F7578" s="396"/>
      <c r="G7578" s="396"/>
      <c r="K7578" s="370"/>
      <c r="N7578" s="370"/>
    </row>
    <row r="7579" spans="1:14" s="347" customFormat="1" x14ac:dyDescent="0.25">
      <c r="A7579" s="369"/>
      <c r="E7579" s="396"/>
      <c r="F7579" s="396"/>
      <c r="G7579" s="396"/>
      <c r="K7579" s="370"/>
      <c r="N7579" s="370"/>
    </row>
    <row r="7580" spans="1:14" s="347" customFormat="1" x14ac:dyDescent="0.25">
      <c r="A7580" s="369"/>
      <c r="E7580" s="396"/>
      <c r="F7580" s="396"/>
      <c r="G7580" s="396"/>
      <c r="K7580" s="370"/>
      <c r="N7580" s="370"/>
    </row>
    <row r="7581" spans="1:14" s="347" customFormat="1" x14ac:dyDescent="0.25">
      <c r="A7581" s="369"/>
      <c r="E7581" s="396"/>
      <c r="F7581" s="396"/>
      <c r="G7581" s="396"/>
      <c r="K7581" s="370"/>
      <c r="N7581" s="370"/>
    </row>
    <row r="7582" spans="1:14" s="347" customFormat="1" x14ac:dyDescent="0.25">
      <c r="A7582" s="369"/>
      <c r="E7582" s="396"/>
      <c r="F7582" s="396"/>
      <c r="G7582" s="396"/>
      <c r="K7582" s="370"/>
      <c r="N7582" s="370"/>
    </row>
    <row r="7583" spans="1:14" s="347" customFormat="1" x14ac:dyDescent="0.25">
      <c r="A7583" s="369"/>
      <c r="E7583" s="396"/>
      <c r="F7583" s="396"/>
      <c r="G7583" s="396"/>
      <c r="K7583" s="370"/>
      <c r="N7583" s="370"/>
    </row>
    <row r="7584" spans="1:14" s="347" customFormat="1" x14ac:dyDescent="0.25">
      <c r="A7584" s="369"/>
      <c r="E7584" s="396"/>
      <c r="F7584" s="396"/>
      <c r="G7584" s="396"/>
      <c r="K7584" s="370"/>
      <c r="N7584" s="370"/>
    </row>
    <row r="7585" spans="1:14" s="347" customFormat="1" x14ac:dyDescent="0.25">
      <c r="A7585" s="369"/>
      <c r="E7585" s="396"/>
      <c r="F7585" s="396"/>
      <c r="G7585" s="396"/>
      <c r="K7585" s="370"/>
      <c r="N7585" s="370"/>
    </row>
    <row r="7586" spans="1:14" s="347" customFormat="1" x14ac:dyDescent="0.25">
      <c r="A7586" s="369"/>
      <c r="E7586" s="396"/>
      <c r="F7586" s="396"/>
      <c r="G7586" s="396"/>
      <c r="K7586" s="370"/>
      <c r="N7586" s="370"/>
    </row>
    <row r="7587" spans="1:14" s="347" customFormat="1" x14ac:dyDescent="0.25">
      <c r="A7587" s="369"/>
      <c r="E7587" s="396"/>
      <c r="F7587" s="396"/>
      <c r="G7587" s="396"/>
      <c r="K7587" s="370"/>
      <c r="N7587" s="370"/>
    </row>
    <row r="7588" spans="1:14" s="347" customFormat="1" x14ac:dyDescent="0.25">
      <c r="A7588" s="369"/>
      <c r="E7588" s="396"/>
      <c r="F7588" s="396"/>
      <c r="G7588" s="396"/>
      <c r="K7588" s="370"/>
      <c r="N7588" s="370"/>
    </row>
    <row r="7589" spans="1:14" s="347" customFormat="1" x14ac:dyDescent="0.25">
      <c r="A7589" s="369"/>
      <c r="E7589" s="396"/>
      <c r="F7589" s="396"/>
      <c r="G7589" s="396"/>
      <c r="K7589" s="370"/>
      <c r="N7589" s="370"/>
    </row>
    <row r="7590" spans="1:14" s="347" customFormat="1" x14ac:dyDescent="0.25">
      <c r="A7590" s="369"/>
      <c r="E7590" s="396"/>
      <c r="F7590" s="396"/>
      <c r="G7590" s="396"/>
      <c r="K7590" s="370"/>
      <c r="N7590" s="370"/>
    </row>
    <row r="7591" spans="1:14" s="347" customFormat="1" x14ac:dyDescent="0.25">
      <c r="A7591" s="369"/>
      <c r="E7591" s="396"/>
      <c r="F7591" s="396"/>
      <c r="G7591" s="396"/>
      <c r="K7591" s="370"/>
      <c r="N7591" s="370"/>
    </row>
    <row r="7592" spans="1:14" s="347" customFormat="1" x14ac:dyDescent="0.25">
      <c r="A7592" s="369"/>
      <c r="E7592" s="396"/>
      <c r="F7592" s="396"/>
      <c r="G7592" s="396"/>
      <c r="K7592" s="370"/>
      <c r="N7592" s="370"/>
    </row>
    <row r="7593" spans="1:14" s="347" customFormat="1" x14ac:dyDescent="0.25">
      <c r="A7593" s="369"/>
      <c r="E7593" s="396"/>
      <c r="F7593" s="396"/>
      <c r="G7593" s="396"/>
      <c r="K7593" s="370"/>
      <c r="N7593" s="370"/>
    </row>
    <row r="7594" spans="1:14" s="347" customFormat="1" x14ac:dyDescent="0.25">
      <c r="A7594" s="369"/>
      <c r="E7594" s="396"/>
      <c r="F7594" s="396"/>
      <c r="G7594" s="396"/>
      <c r="K7594" s="370"/>
      <c r="N7594" s="370"/>
    </row>
    <row r="7595" spans="1:14" s="347" customFormat="1" x14ac:dyDescent="0.25">
      <c r="A7595" s="369"/>
      <c r="E7595" s="396"/>
      <c r="F7595" s="396"/>
      <c r="G7595" s="396"/>
      <c r="K7595" s="370"/>
      <c r="N7595" s="370"/>
    </row>
    <row r="7596" spans="1:14" s="347" customFormat="1" x14ac:dyDescent="0.25">
      <c r="A7596" s="369"/>
      <c r="E7596" s="396"/>
      <c r="F7596" s="396"/>
      <c r="G7596" s="396"/>
      <c r="K7596" s="370"/>
      <c r="N7596" s="370"/>
    </row>
    <row r="7597" spans="1:14" s="347" customFormat="1" x14ac:dyDescent="0.25">
      <c r="A7597" s="369"/>
      <c r="E7597" s="396"/>
      <c r="F7597" s="396"/>
      <c r="G7597" s="396"/>
      <c r="K7597" s="370"/>
      <c r="N7597" s="370"/>
    </row>
    <row r="7598" spans="1:14" s="347" customFormat="1" x14ac:dyDescent="0.25">
      <c r="A7598" s="369"/>
      <c r="E7598" s="396"/>
      <c r="F7598" s="396"/>
      <c r="G7598" s="396"/>
      <c r="K7598" s="370"/>
      <c r="N7598" s="370"/>
    </row>
    <row r="7599" spans="1:14" s="347" customFormat="1" x14ac:dyDescent="0.25">
      <c r="A7599" s="369"/>
      <c r="E7599" s="396"/>
      <c r="F7599" s="396"/>
      <c r="G7599" s="396"/>
      <c r="K7599" s="370"/>
      <c r="N7599" s="370"/>
    </row>
    <row r="7600" spans="1:14" s="347" customFormat="1" x14ac:dyDescent="0.25">
      <c r="A7600" s="369"/>
      <c r="E7600" s="396"/>
      <c r="F7600" s="396"/>
      <c r="G7600" s="396"/>
      <c r="K7600" s="370"/>
      <c r="N7600" s="370"/>
    </row>
    <row r="7601" spans="1:14" s="347" customFormat="1" x14ac:dyDescent="0.25">
      <c r="A7601" s="369"/>
      <c r="E7601" s="396"/>
      <c r="F7601" s="396"/>
      <c r="G7601" s="396"/>
      <c r="K7601" s="370"/>
      <c r="N7601" s="370"/>
    </row>
    <row r="7602" spans="1:14" s="347" customFormat="1" x14ac:dyDescent="0.25">
      <c r="A7602" s="369"/>
      <c r="E7602" s="396"/>
      <c r="F7602" s="396"/>
      <c r="G7602" s="396"/>
      <c r="K7602" s="370"/>
      <c r="N7602" s="370"/>
    </row>
    <row r="7603" spans="1:14" s="347" customFormat="1" x14ac:dyDescent="0.25">
      <c r="A7603" s="369"/>
      <c r="E7603" s="396"/>
      <c r="F7603" s="396"/>
      <c r="G7603" s="396"/>
      <c r="K7603" s="370"/>
      <c r="N7603" s="370"/>
    </row>
    <row r="7604" spans="1:14" s="347" customFormat="1" x14ac:dyDescent="0.25">
      <c r="A7604" s="369"/>
      <c r="E7604" s="396"/>
      <c r="F7604" s="396"/>
      <c r="G7604" s="396"/>
      <c r="K7604" s="370"/>
      <c r="N7604" s="370"/>
    </row>
    <row r="7605" spans="1:14" s="347" customFormat="1" x14ac:dyDescent="0.25">
      <c r="A7605" s="369"/>
      <c r="E7605" s="396"/>
      <c r="F7605" s="396"/>
      <c r="G7605" s="396"/>
      <c r="K7605" s="370"/>
      <c r="N7605" s="370"/>
    </row>
    <row r="7606" spans="1:14" s="347" customFormat="1" x14ac:dyDescent="0.25">
      <c r="A7606" s="369"/>
      <c r="E7606" s="396"/>
      <c r="F7606" s="396"/>
      <c r="G7606" s="396"/>
      <c r="K7606" s="370"/>
      <c r="N7606" s="370"/>
    </row>
    <row r="7607" spans="1:14" s="347" customFormat="1" x14ac:dyDescent="0.25">
      <c r="A7607" s="369"/>
      <c r="E7607" s="396"/>
      <c r="F7607" s="396"/>
      <c r="G7607" s="396"/>
      <c r="K7607" s="370"/>
      <c r="N7607" s="370"/>
    </row>
    <row r="7608" spans="1:14" s="347" customFormat="1" x14ac:dyDescent="0.25">
      <c r="A7608" s="369"/>
      <c r="E7608" s="396"/>
      <c r="F7608" s="396"/>
      <c r="G7608" s="396"/>
      <c r="K7608" s="370"/>
      <c r="N7608" s="370"/>
    </row>
    <row r="7609" spans="1:14" s="347" customFormat="1" x14ac:dyDescent="0.25">
      <c r="A7609" s="369"/>
      <c r="E7609" s="396"/>
      <c r="F7609" s="396"/>
      <c r="G7609" s="396"/>
      <c r="K7609" s="370"/>
      <c r="N7609" s="370"/>
    </row>
    <row r="7610" spans="1:14" s="347" customFormat="1" x14ac:dyDescent="0.25">
      <c r="A7610" s="369"/>
      <c r="E7610" s="396"/>
      <c r="F7610" s="396"/>
      <c r="G7610" s="396"/>
      <c r="K7610" s="370"/>
      <c r="N7610" s="370"/>
    </row>
    <row r="7611" spans="1:14" s="347" customFormat="1" x14ac:dyDescent="0.25">
      <c r="A7611" s="369"/>
      <c r="E7611" s="396"/>
      <c r="F7611" s="396"/>
      <c r="G7611" s="396"/>
      <c r="K7611" s="370"/>
      <c r="N7611" s="370"/>
    </row>
    <row r="7612" spans="1:14" s="347" customFormat="1" x14ac:dyDescent="0.25">
      <c r="A7612" s="369"/>
      <c r="E7612" s="396"/>
      <c r="F7612" s="396"/>
      <c r="G7612" s="396"/>
      <c r="K7612" s="370"/>
      <c r="N7612" s="370"/>
    </row>
    <row r="7613" spans="1:14" s="347" customFormat="1" x14ac:dyDescent="0.25">
      <c r="A7613" s="369"/>
      <c r="E7613" s="396"/>
      <c r="F7613" s="396"/>
      <c r="G7613" s="396"/>
      <c r="K7613" s="370"/>
      <c r="N7613" s="370"/>
    </row>
    <row r="7614" spans="1:14" s="347" customFormat="1" x14ac:dyDescent="0.25">
      <c r="A7614" s="369"/>
      <c r="E7614" s="396"/>
      <c r="F7614" s="396"/>
      <c r="G7614" s="396"/>
      <c r="K7614" s="370"/>
      <c r="N7614" s="370"/>
    </row>
    <row r="7615" spans="1:14" s="347" customFormat="1" x14ac:dyDescent="0.25">
      <c r="A7615" s="369"/>
      <c r="E7615" s="396"/>
      <c r="F7615" s="396"/>
      <c r="G7615" s="396"/>
      <c r="K7615" s="370"/>
      <c r="N7615" s="370"/>
    </row>
    <row r="7616" spans="1:14" s="347" customFormat="1" x14ac:dyDescent="0.25">
      <c r="A7616" s="369"/>
      <c r="E7616" s="396"/>
      <c r="F7616" s="396"/>
      <c r="G7616" s="396"/>
      <c r="K7616" s="370"/>
      <c r="N7616" s="370"/>
    </row>
    <row r="7617" spans="1:14" s="347" customFormat="1" x14ac:dyDescent="0.25">
      <c r="A7617" s="369"/>
      <c r="E7617" s="396"/>
      <c r="F7617" s="396"/>
      <c r="G7617" s="396"/>
      <c r="K7617" s="370"/>
      <c r="N7617" s="370"/>
    </row>
    <row r="7618" spans="1:14" s="347" customFormat="1" x14ac:dyDescent="0.25">
      <c r="A7618" s="369"/>
      <c r="E7618" s="396"/>
      <c r="F7618" s="396"/>
      <c r="G7618" s="396"/>
      <c r="K7618" s="370"/>
      <c r="N7618" s="370"/>
    </row>
    <row r="7619" spans="1:14" s="347" customFormat="1" x14ac:dyDescent="0.25">
      <c r="A7619" s="369"/>
      <c r="E7619" s="396"/>
      <c r="F7619" s="396"/>
      <c r="G7619" s="396"/>
      <c r="K7619" s="370"/>
      <c r="N7619" s="370"/>
    </row>
    <row r="7620" spans="1:14" s="347" customFormat="1" x14ac:dyDescent="0.25">
      <c r="A7620" s="369"/>
      <c r="E7620" s="396"/>
      <c r="F7620" s="396"/>
      <c r="G7620" s="396"/>
      <c r="K7620" s="370"/>
      <c r="N7620" s="370"/>
    </row>
    <row r="7621" spans="1:14" s="347" customFormat="1" x14ac:dyDescent="0.25">
      <c r="A7621" s="369"/>
      <c r="E7621" s="396"/>
      <c r="F7621" s="396"/>
      <c r="G7621" s="396"/>
      <c r="K7621" s="370"/>
      <c r="N7621" s="370"/>
    </row>
    <row r="7622" spans="1:14" s="347" customFormat="1" x14ac:dyDescent="0.25">
      <c r="A7622" s="369"/>
      <c r="E7622" s="396"/>
      <c r="F7622" s="396"/>
      <c r="G7622" s="396"/>
      <c r="K7622" s="370"/>
      <c r="N7622" s="370"/>
    </row>
    <row r="7623" spans="1:14" s="347" customFormat="1" x14ac:dyDescent="0.25">
      <c r="A7623" s="369"/>
      <c r="E7623" s="396"/>
      <c r="F7623" s="396"/>
      <c r="G7623" s="396"/>
      <c r="K7623" s="370"/>
      <c r="N7623" s="370"/>
    </row>
    <row r="7624" spans="1:14" s="347" customFormat="1" x14ac:dyDescent="0.25">
      <c r="A7624" s="369"/>
      <c r="E7624" s="396"/>
      <c r="F7624" s="396"/>
      <c r="G7624" s="396"/>
      <c r="K7624" s="370"/>
      <c r="N7624" s="370"/>
    </row>
    <row r="7625" spans="1:14" s="347" customFormat="1" x14ac:dyDescent="0.25">
      <c r="A7625" s="369"/>
      <c r="E7625" s="396"/>
      <c r="F7625" s="396"/>
      <c r="G7625" s="396"/>
      <c r="K7625" s="370"/>
      <c r="N7625" s="370"/>
    </row>
    <row r="7626" spans="1:14" s="347" customFormat="1" x14ac:dyDescent="0.25">
      <c r="A7626" s="369"/>
      <c r="E7626" s="396"/>
      <c r="F7626" s="396"/>
      <c r="G7626" s="396"/>
      <c r="K7626" s="370"/>
      <c r="N7626" s="370"/>
    </row>
    <row r="7627" spans="1:14" s="347" customFormat="1" x14ac:dyDescent="0.25">
      <c r="A7627" s="369"/>
      <c r="E7627" s="396"/>
      <c r="F7627" s="396"/>
      <c r="G7627" s="396"/>
      <c r="K7627" s="370"/>
      <c r="N7627" s="370"/>
    </row>
    <row r="7628" spans="1:14" s="347" customFormat="1" x14ac:dyDescent="0.25">
      <c r="A7628" s="369"/>
      <c r="E7628" s="396"/>
      <c r="F7628" s="396"/>
      <c r="G7628" s="396"/>
      <c r="K7628" s="370"/>
      <c r="N7628" s="370"/>
    </row>
    <row r="7629" spans="1:14" s="347" customFormat="1" x14ac:dyDescent="0.25">
      <c r="A7629" s="369"/>
      <c r="E7629" s="396"/>
      <c r="F7629" s="396"/>
      <c r="G7629" s="396"/>
      <c r="K7629" s="370"/>
      <c r="N7629" s="370"/>
    </row>
    <row r="7630" spans="1:14" s="347" customFormat="1" x14ac:dyDescent="0.25">
      <c r="A7630" s="369"/>
      <c r="E7630" s="396"/>
      <c r="F7630" s="396"/>
      <c r="G7630" s="396"/>
      <c r="K7630" s="370"/>
      <c r="N7630" s="370"/>
    </row>
    <row r="7631" spans="1:14" s="347" customFormat="1" x14ac:dyDescent="0.25">
      <c r="A7631" s="369"/>
      <c r="E7631" s="396"/>
      <c r="F7631" s="396"/>
      <c r="G7631" s="396"/>
      <c r="K7631" s="370"/>
      <c r="N7631" s="370"/>
    </row>
    <row r="7632" spans="1:14" s="347" customFormat="1" x14ac:dyDescent="0.25">
      <c r="A7632" s="369"/>
      <c r="E7632" s="396"/>
      <c r="F7632" s="396"/>
      <c r="G7632" s="396"/>
      <c r="K7632" s="370"/>
      <c r="N7632" s="370"/>
    </row>
    <row r="7633" spans="1:14" s="347" customFormat="1" x14ac:dyDescent="0.25">
      <c r="A7633" s="369"/>
      <c r="E7633" s="396"/>
      <c r="F7633" s="396"/>
      <c r="G7633" s="396"/>
      <c r="K7633" s="370"/>
      <c r="N7633" s="370"/>
    </row>
    <row r="7634" spans="1:14" s="347" customFormat="1" x14ac:dyDescent="0.25">
      <c r="A7634" s="369"/>
      <c r="E7634" s="396"/>
      <c r="F7634" s="396"/>
      <c r="G7634" s="396"/>
      <c r="K7634" s="370"/>
      <c r="N7634" s="370"/>
    </row>
    <row r="7635" spans="1:14" s="347" customFormat="1" x14ac:dyDescent="0.25">
      <c r="A7635" s="369"/>
      <c r="E7635" s="396"/>
      <c r="F7635" s="396"/>
      <c r="G7635" s="396"/>
      <c r="K7635" s="370"/>
      <c r="N7635" s="370"/>
    </row>
    <row r="7636" spans="1:14" s="347" customFormat="1" x14ac:dyDescent="0.25">
      <c r="A7636" s="369"/>
      <c r="E7636" s="396"/>
      <c r="F7636" s="396"/>
      <c r="G7636" s="396"/>
      <c r="K7636" s="370"/>
      <c r="N7636" s="370"/>
    </row>
    <row r="7637" spans="1:14" s="347" customFormat="1" x14ac:dyDescent="0.25">
      <c r="A7637" s="369"/>
      <c r="E7637" s="396"/>
      <c r="F7637" s="396"/>
      <c r="G7637" s="396"/>
      <c r="K7637" s="370"/>
      <c r="N7637" s="370"/>
    </row>
    <row r="7638" spans="1:14" s="347" customFormat="1" x14ac:dyDescent="0.25">
      <c r="A7638" s="369"/>
      <c r="E7638" s="396"/>
      <c r="F7638" s="396"/>
      <c r="G7638" s="396"/>
      <c r="K7638" s="370"/>
      <c r="N7638" s="370"/>
    </row>
    <row r="7639" spans="1:14" s="347" customFormat="1" x14ac:dyDescent="0.25">
      <c r="A7639" s="369"/>
      <c r="E7639" s="396"/>
      <c r="F7639" s="396"/>
      <c r="G7639" s="396"/>
      <c r="K7639" s="370"/>
      <c r="N7639" s="370"/>
    </row>
    <row r="7640" spans="1:14" s="347" customFormat="1" x14ac:dyDescent="0.25">
      <c r="A7640" s="369"/>
      <c r="E7640" s="396"/>
      <c r="F7640" s="396"/>
      <c r="G7640" s="396"/>
      <c r="K7640" s="370"/>
      <c r="N7640" s="370"/>
    </row>
    <row r="7641" spans="1:14" s="347" customFormat="1" x14ac:dyDescent="0.25">
      <c r="A7641" s="369"/>
      <c r="E7641" s="396"/>
      <c r="F7641" s="396"/>
      <c r="G7641" s="396"/>
      <c r="K7641" s="370"/>
      <c r="N7641" s="370"/>
    </row>
    <row r="7642" spans="1:14" s="347" customFormat="1" x14ac:dyDescent="0.25">
      <c r="A7642" s="369"/>
      <c r="E7642" s="396"/>
      <c r="F7642" s="396"/>
      <c r="G7642" s="396"/>
      <c r="K7642" s="370"/>
      <c r="N7642" s="370"/>
    </row>
    <row r="7643" spans="1:14" s="347" customFormat="1" x14ac:dyDescent="0.25">
      <c r="A7643" s="369"/>
      <c r="E7643" s="396"/>
      <c r="F7643" s="396"/>
      <c r="G7643" s="396"/>
      <c r="K7643" s="370"/>
      <c r="N7643" s="370"/>
    </row>
    <row r="7644" spans="1:14" s="347" customFormat="1" x14ac:dyDescent="0.25">
      <c r="A7644" s="369"/>
      <c r="E7644" s="396"/>
      <c r="F7644" s="396"/>
      <c r="G7644" s="396"/>
      <c r="K7644" s="370"/>
      <c r="N7644" s="370"/>
    </row>
    <row r="7645" spans="1:14" s="347" customFormat="1" x14ac:dyDescent="0.25">
      <c r="A7645" s="369"/>
      <c r="E7645" s="396"/>
      <c r="F7645" s="396"/>
      <c r="G7645" s="396"/>
      <c r="K7645" s="370"/>
      <c r="N7645" s="370"/>
    </row>
    <row r="7646" spans="1:14" s="347" customFormat="1" x14ac:dyDescent="0.25">
      <c r="A7646" s="369"/>
      <c r="E7646" s="396"/>
      <c r="F7646" s="396"/>
      <c r="G7646" s="396"/>
      <c r="K7646" s="370"/>
      <c r="N7646" s="370"/>
    </row>
    <row r="7647" spans="1:14" s="347" customFormat="1" x14ac:dyDescent="0.25">
      <c r="A7647" s="369"/>
      <c r="E7647" s="396"/>
      <c r="F7647" s="396"/>
      <c r="G7647" s="396"/>
      <c r="K7647" s="370"/>
      <c r="N7647" s="370"/>
    </row>
    <row r="7648" spans="1:14" s="347" customFormat="1" x14ac:dyDescent="0.25">
      <c r="A7648" s="369"/>
      <c r="E7648" s="396"/>
      <c r="F7648" s="396"/>
      <c r="G7648" s="396"/>
      <c r="K7648" s="370"/>
      <c r="N7648" s="370"/>
    </row>
    <row r="7649" spans="1:14" s="347" customFormat="1" x14ac:dyDescent="0.25">
      <c r="A7649" s="369"/>
      <c r="E7649" s="396"/>
      <c r="F7649" s="396"/>
      <c r="G7649" s="396"/>
      <c r="K7649" s="370"/>
      <c r="N7649" s="370"/>
    </row>
    <row r="7650" spans="1:14" s="347" customFormat="1" x14ac:dyDescent="0.25">
      <c r="A7650" s="369"/>
      <c r="E7650" s="396"/>
      <c r="F7650" s="396"/>
      <c r="G7650" s="396"/>
      <c r="K7650" s="370"/>
      <c r="N7650" s="370"/>
    </row>
    <row r="7651" spans="1:14" s="347" customFormat="1" x14ac:dyDescent="0.25">
      <c r="A7651" s="369"/>
      <c r="E7651" s="396"/>
      <c r="F7651" s="396"/>
      <c r="G7651" s="396"/>
      <c r="K7651" s="370"/>
      <c r="N7651" s="370"/>
    </row>
    <row r="7652" spans="1:14" s="347" customFormat="1" x14ac:dyDescent="0.25">
      <c r="A7652" s="369"/>
      <c r="E7652" s="396"/>
      <c r="F7652" s="396"/>
      <c r="G7652" s="396"/>
      <c r="K7652" s="370"/>
      <c r="N7652" s="370"/>
    </row>
    <row r="7653" spans="1:14" s="347" customFormat="1" x14ac:dyDescent="0.25">
      <c r="A7653" s="369"/>
      <c r="E7653" s="396"/>
      <c r="F7653" s="396"/>
      <c r="G7653" s="396"/>
      <c r="K7653" s="370"/>
      <c r="N7653" s="370"/>
    </row>
    <row r="7654" spans="1:14" s="347" customFormat="1" x14ac:dyDescent="0.25">
      <c r="A7654" s="369"/>
      <c r="E7654" s="396"/>
      <c r="F7654" s="396"/>
      <c r="G7654" s="396"/>
      <c r="K7654" s="370"/>
      <c r="N7654" s="370"/>
    </row>
    <row r="7655" spans="1:14" s="347" customFormat="1" x14ac:dyDescent="0.25">
      <c r="A7655" s="369"/>
      <c r="E7655" s="396"/>
      <c r="F7655" s="396"/>
      <c r="G7655" s="396"/>
      <c r="K7655" s="370"/>
      <c r="N7655" s="370"/>
    </row>
    <row r="7656" spans="1:14" s="347" customFormat="1" x14ac:dyDescent="0.25">
      <c r="A7656" s="369"/>
      <c r="E7656" s="396"/>
      <c r="F7656" s="396"/>
      <c r="G7656" s="396"/>
      <c r="K7656" s="370"/>
      <c r="N7656" s="370"/>
    </row>
    <row r="7657" spans="1:14" s="347" customFormat="1" x14ac:dyDescent="0.25">
      <c r="A7657" s="369"/>
      <c r="E7657" s="396"/>
      <c r="F7657" s="396"/>
      <c r="G7657" s="396"/>
      <c r="K7657" s="370"/>
      <c r="N7657" s="370"/>
    </row>
    <row r="7658" spans="1:14" s="347" customFormat="1" x14ac:dyDescent="0.25">
      <c r="A7658" s="369"/>
      <c r="E7658" s="396"/>
      <c r="F7658" s="396"/>
      <c r="G7658" s="396"/>
      <c r="K7658" s="370"/>
      <c r="N7658" s="370"/>
    </row>
    <row r="7659" spans="1:14" s="347" customFormat="1" x14ac:dyDescent="0.25">
      <c r="A7659" s="369"/>
      <c r="E7659" s="396"/>
      <c r="F7659" s="396"/>
      <c r="G7659" s="396"/>
      <c r="K7659" s="370"/>
      <c r="N7659" s="370"/>
    </row>
    <row r="7660" spans="1:14" s="347" customFormat="1" x14ac:dyDescent="0.25">
      <c r="A7660" s="369"/>
      <c r="E7660" s="396"/>
      <c r="F7660" s="396"/>
      <c r="G7660" s="396"/>
      <c r="K7660" s="370"/>
      <c r="N7660" s="370"/>
    </row>
    <row r="7661" spans="1:14" s="347" customFormat="1" x14ac:dyDescent="0.25">
      <c r="A7661" s="369"/>
      <c r="E7661" s="396"/>
      <c r="F7661" s="396"/>
      <c r="G7661" s="396"/>
      <c r="K7661" s="370"/>
      <c r="N7661" s="370"/>
    </row>
    <row r="7662" spans="1:14" s="347" customFormat="1" x14ac:dyDescent="0.25">
      <c r="A7662" s="369"/>
      <c r="E7662" s="396"/>
      <c r="F7662" s="396"/>
      <c r="G7662" s="396"/>
      <c r="K7662" s="370"/>
      <c r="N7662" s="370"/>
    </row>
    <row r="7663" spans="1:14" s="347" customFormat="1" x14ac:dyDescent="0.25">
      <c r="A7663" s="369"/>
      <c r="E7663" s="396"/>
      <c r="F7663" s="396"/>
      <c r="G7663" s="396"/>
      <c r="K7663" s="370"/>
      <c r="N7663" s="370"/>
    </row>
    <row r="7664" spans="1:14" s="347" customFormat="1" x14ac:dyDescent="0.25">
      <c r="A7664" s="369"/>
      <c r="E7664" s="396"/>
      <c r="F7664" s="396"/>
      <c r="G7664" s="396"/>
      <c r="K7664" s="370"/>
      <c r="N7664" s="370"/>
    </row>
    <row r="7665" spans="1:14" s="347" customFormat="1" x14ac:dyDescent="0.25">
      <c r="A7665" s="369"/>
      <c r="E7665" s="396"/>
      <c r="F7665" s="396"/>
      <c r="G7665" s="396"/>
      <c r="K7665" s="370"/>
      <c r="N7665" s="370"/>
    </row>
    <row r="7666" spans="1:14" s="347" customFormat="1" x14ac:dyDescent="0.25">
      <c r="A7666" s="369"/>
      <c r="E7666" s="396"/>
      <c r="F7666" s="396"/>
      <c r="G7666" s="396"/>
      <c r="K7666" s="370"/>
      <c r="N7666" s="370"/>
    </row>
    <row r="7667" spans="1:14" s="347" customFormat="1" x14ac:dyDescent="0.25">
      <c r="A7667" s="369"/>
      <c r="E7667" s="396"/>
      <c r="F7667" s="396"/>
      <c r="G7667" s="396"/>
      <c r="K7667" s="370"/>
      <c r="N7667" s="370"/>
    </row>
    <row r="7668" spans="1:14" s="347" customFormat="1" x14ac:dyDescent="0.25">
      <c r="A7668" s="369"/>
      <c r="E7668" s="396"/>
      <c r="F7668" s="396"/>
      <c r="G7668" s="396"/>
      <c r="K7668" s="370"/>
      <c r="N7668" s="370"/>
    </row>
    <row r="7669" spans="1:14" s="347" customFormat="1" x14ac:dyDescent="0.25">
      <c r="A7669" s="369"/>
      <c r="E7669" s="396"/>
      <c r="F7669" s="396"/>
      <c r="G7669" s="396"/>
      <c r="K7669" s="370"/>
      <c r="N7669" s="370"/>
    </row>
    <row r="7670" spans="1:14" s="347" customFormat="1" x14ac:dyDescent="0.25">
      <c r="A7670" s="369"/>
      <c r="E7670" s="396"/>
      <c r="F7670" s="396"/>
      <c r="G7670" s="396"/>
      <c r="K7670" s="370"/>
      <c r="N7670" s="370"/>
    </row>
    <row r="7671" spans="1:14" s="347" customFormat="1" x14ac:dyDescent="0.25">
      <c r="A7671" s="369"/>
      <c r="E7671" s="396"/>
      <c r="F7671" s="396"/>
      <c r="G7671" s="396"/>
      <c r="K7671" s="370"/>
      <c r="N7671" s="370"/>
    </row>
    <row r="7672" spans="1:14" s="347" customFormat="1" x14ac:dyDescent="0.25">
      <c r="A7672" s="369"/>
      <c r="E7672" s="396"/>
      <c r="F7672" s="396"/>
      <c r="G7672" s="396"/>
      <c r="K7672" s="370"/>
      <c r="N7672" s="370"/>
    </row>
    <row r="7673" spans="1:14" s="347" customFormat="1" x14ac:dyDescent="0.25">
      <c r="A7673" s="369"/>
      <c r="E7673" s="396"/>
      <c r="F7673" s="396"/>
      <c r="G7673" s="396"/>
      <c r="K7673" s="370"/>
      <c r="N7673" s="370"/>
    </row>
    <row r="7674" spans="1:14" s="347" customFormat="1" x14ac:dyDescent="0.25">
      <c r="A7674" s="369"/>
      <c r="E7674" s="396"/>
      <c r="F7674" s="396"/>
      <c r="G7674" s="396"/>
      <c r="K7674" s="370"/>
      <c r="N7674" s="370"/>
    </row>
    <row r="7675" spans="1:14" s="347" customFormat="1" x14ac:dyDescent="0.25">
      <c r="A7675" s="369"/>
      <c r="E7675" s="396"/>
      <c r="F7675" s="396"/>
      <c r="G7675" s="396"/>
      <c r="K7675" s="370"/>
      <c r="N7675" s="370"/>
    </row>
    <row r="7676" spans="1:14" s="347" customFormat="1" x14ac:dyDescent="0.25">
      <c r="A7676" s="369"/>
      <c r="E7676" s="396"/>
      <c r="F7676" s="396"/>
      <c r="G7676" s="396"/>
      <c r="K7676" s="370"/>
      <c r="N7676" s="370"/>
    </row>
    <row r="7677" spans="1:14" s="347" customFormat="1" x14ac:dyDescent="0.25">
      <c r="A7677" s="369"/>
      <c r="E7677" s="396"/>
      <c r="F7677" s="396"/>
      <c r="G7677" s="396"/>
      <c r="K7677" s="370"/>
      <c r="N7677" s="370"/>
    </row>
    <row r="7678" spans="1:14" s="347" customFormat="1" x14ac:dyDescent="0.25">
      <c r="A7678" s="369"/>
      <c r="E7678" s="396"/>
      <c r="F7678" s="396"/>
      <c r="G7678" s="396"/>
      <c r="K7678" s="370"/>
      <c r="N7678" s="370"/>
    </row>
    <row r="7679" spans="1:14" s="347" customFormat="1" x14ac:dyDescent="0.25">
      <c r="A7679" s="369"/>
      <c r="E7679" s="396"/>
      <c r="F7679" s="396"/>
      <c r="G7679" s="396"/>
      <c r="K7679" s="370"/>
      <c r="N7679" s="370"/>
    </row>
    <row r="7680" spans="1:14" s="347" customFormat="1" x14ac:dyDescent="0.25">
      <c r="A7680" s="369"/>
      <c r="E7680" s="396"/>
      <c r="F7680" s="396"/>
      <c r="G7680" s="396"/>
      <c r="K7680" s="370"/>
      <c r="N7680" s="370"/>
    </row>
    <row r="7681" spans="1:14" s="347" customFormat="1" x14ac:dyDescent="0.25">
      <c r="A7681" s="369"/>
      <c r="E7681" s="396"/>
      <c r="F7681" s="396"/>
      <c r="G7681" s="396"/>
      <c r="K7681" s="370"/>
      <c r="N7681" s="370"/>
    </row>
    <row r="7682" spans="1:14" s="347" customFormat="1" x14ac:dyDescent="0.25">
      <c r="A7682" s="369"/>
      <c r="E7682" s="396"/>
      <c r="F7682" s="396"/>
      <c r="G7682" s="396"/>
      <c r="K7682" s="370"/>
      <c r="N7682" s="370"/>
    </row>
    <row r="7683" spans="1:14" s="347" customFormat="1" x14ac:dyDescent="0.25">
      <c r="A7683" s="369"/>
      <c r="E7683" s="396"/>
      <c r="F7683" s="396"/>
      <c r="G7683" s="396"/>
      <c r="K7683" s="370"/>
      <c r="N7683" s="370"/>
    </row>
    <row r="7684" spans="1:14" s="347" customFormat="1" x14ac:dyDescent="0.25">
      <c r="A7684" s="369"/>
      <c r="E7684" s="396"/>
      <c r="F7684" s="396"/>
      <c r="G7684" s="396"/>
      <c r="K7684" s="370"/>
      <c r="N7684" s="370"/>
    </row>
    <row r="7685" spans="1:14" s="347" customFormat="1" x14ac:dyDescent="0.25">
      <c r="A7685" s="369"/>
      <c r="E7685" s="396"/>
      <c r="F7685" s="396"/>
      <c r="G7685" s="396"/>
      <c r="K7685" s="370"/>
      <c r="N7685" s="370"/>
    </row>
    <row r="7686" spans="1:14" s="347" customFormat="1" x14ac:dyDescent="0.25">
      <c r="A7686" s="369"/>
      <c r="E7686" s="396"/>
      <c r="F7686" s="396"/>
      <c r="G7686" s="396"/>
      <c r="K7686" s="370"/>
      <c r="N7686" s="370"/>
    </row>
    <row r="7687" spans="1:14" s="347" customFormat="1" x14ac:dyDescent="0.25">
      <c r="A7687" s="369"/>
      <c r="E7687" s="396"/>
      <c r="F7687" s="396"/>
      <c r="G7687" s="396"/>
      <c r="K7687" s="370"/>
      <c r="N7687" s="370"/>
    </row>
    <row r="7688" spans="1:14" s="347" customFormat="1" x14ac:dyDescent="0.25">
      <c r="A7688" s="369"/>
      <c r="E7688" s="396"/>
      <c r="F7688" s="396"/>
      <c r="G7688" s="396"/>
      <c r="K7688" s="370"/>
      <c r="N7688" s="370"/>
    </row>
    <row r="7689" spans="1:14" s="347" customFormat="1" x14ac:dyDescent="0.25">
      <c r="A7689" s="369"/>
      <c r="E7689" s="396"/>
      <c r="F7689" s="396"/>
      <c r="G7689" s="396"/>
      <c r="K7689" s="370"/>
      <c r="N7689" s="370"/>
    </row>
    <row r="7690" spans="1:14" s="347" customFormat="1" x14ac:dyDescent="0.25">
      <c r="A7690" s="369"/>
      <c r="E7690" s="396"/>
      <c r="F7690" s="396"/>
      <c r="G7690" s="396"/>
      <c r="K7690" s="370"/>
      <c r="N7690" s="370"/>
    </row>
    <row r="7691" spans="1:14" s="347" customFormat="1" x14ac:dyDescent="0.25">
      <c r="A7691" s="369"/>
      <c r="E7691" s="396"/>
      <c r="F7691" s="396"/>
      <c r="G7691" s="396"/>
      <c r="K7691" s="370"/>
      <c r="N7691" s="370"/>
    </row>
    <row r="7692" spans="1:14" s="347" customFormat="1" x14ac:dyDescent="0.25">
      <c r="A7692" s="369"/>
      <c r="E7692" s="396"/>
      <c r="F7692" s="396"/>
      <c r="G7692" s="396"/>
      <c r="K7692" s="370"/>
      <c r="N7692" s="370"/>
    </row>
    <row r="7693" spans="1:14" s="347" customFormat="1" x14ac:dyDescent="0.25">
      <c r="A7693" s="369"/>
      <c r="E7693" s="396"/>
      <c r="F7693" s="396"/>
      <c r="G7693" s="396"/>
      <c r="K7693" s="370"/>
      <c r="N7693" s="370"/>
    </row>
    <row r="7694" spans="1:14" s="347" customFormat="1" x14ac:dyDescent="0.25">
      <c r="A7694" s="369"/>
      <c r="E7694" s="396"/>
      <c r="F7694" s="396"/>
      <c r="G7694" s="396"/>
      <c r="K7694" s="370"/>
      <c r="N7694" s="370"/>
    </row>
    <row r="7695" spans="1:14" s="347" customFormat="1" x14ac:dyDescent="0.25">
      <c r="A7695" s="369"/>
      <c r="E7695" s="396"/>
      <c r="F7695" s="396"/>
      <c r="G7695" s="396"/>
      <c r="K7695" s="370"/>
      <c r="N7695" s="370"/>
    </row>
    <row r="7696" spans="1:14" s="347" customFormat="1" x14ac:dyDescent="0.25">
      <c r="A7696" s="369"/>
      <c r="E7696" s="396"/>
      <c r="F7696" s="396"/>
      <c r="G7696" s="396"/>
      <c r="K7696" s="370"/>
      <c r="N7696" s="370"/>
    </row>
    <row r="7697" spans="1:14" s="347" customFormat="1" x14ac:dyDescent="0.25">
      <c r="A7697" s="369"/>
      <c r="E7697" s="396"/>
      <c r="F7697" s="396"/>
      <c r="G7697" s="396"/>
      <c r="K7697" s="370"/>
      <c r="N7697" s="370"/>
    </row>
    <row r="7698" spans="1:14" s="347" customFormat="1" x14ac:dyDescent="0.25">
      <c r="A7698" s="369"/>
      <c r="E7698" s="396"/>
      <c r="F7698" s="396"/>
      <c r="G7698" s="396"/>
      <c r="K7698" s="370"/>
      <c r="N7698" s="370"/>
    </row>
    <row r="7699" spans="1:14" s="347" customFormat="1" x14ac:dyDescent="0.25">
      <c r="A7699" s="369"/>
      <c r="E7699" s="396"/>
      <c r="F7699" s="396"/>
      <c r="G7699" s="396"/>
      <c r="K7699" s="370"/>
      <c r="N7699" s="370"/>
    </row>
    <row r="7700" spans="1:14" s="347" customFormat="1" x14ac:dyDescent="0.25">
      <c r="A7700" s="369"/>
      <c r="E7700" s="396"/>
      <c r="F7700" s="396"/>
      <c r="G7700" s="396"/>
      <c r="K7700" s="370"/>
      <c r="N7700" s="370"/>
    </row>
    <row r="7701" spans="1:14" s="347" customFormat="1" x14ac:dyDescent="0.25">
      <c r="A7701" s="369"/>
      <c r="E7701" s="396"/>
      <c r="F7701" s="396"/>
      <c r="G7701" s="396"/>
      <c r="K7701" s="370"/>
      <c r="N7701" s="370"/>
    </row>
    <row r="7702" spans="1:14" s="347" customFormat="1" x14ac:dyDescent="0.25">
      <c r="A7702" s="369"/>
      <c r="E7702" s="396"/>
      <c r="F7702" s="396"/>
      <c r="G7702" s="396"/>
      <c r="K7702" s="370"/>
      <c r="N7702" s="370"/>
    </row>
    <row r="7703" spans="1:14" s="347" customFormat="1" x14ac:dyDescent="0.25">
      <c r="A7703" s="369"/>
      <c r="E7703" s="396"/>
      <c r="F7703" s="396"/>
      <c r="G7703" s="396"/>
      <c r="K7703" s="370"/>
      <c r="N7703" s="370"/>
    </row>
    <row r="7704" spans="1:14" s="347" customFormat="1" x14ac:dyDescent="0.25">
      <c r="A7704" s="369"/>
      <c r="E7704" s="396"/>
      <c r="F7704" s="396"/>
      <c r="G7704" s="396"/>
      <c r="K7704" s="370"/>
      <c r="N7704" s="370"/>
    </row>
    <row r="7705" spans="1:14" s="347" customFormat="1" x14ac:dyDescent="0.25">
      <c r="A7705" s="369"/>
      <c r="E7705" s="396"/>
      <c r="F7705" s="396"/>
      <c r="G7705" s="396"/>
      <c r="K7705" s="370"/>
      <c r="N7705" s="370"/>
    </row>
    <row r="7706" spans="1:14" s="347" customFormat="1" x14ac:dyDescent="0.25">
      <c r="A7706" s="369"/>
      <c r="E7706" s="396"/>
      <c r="F7706" s="396"/>
      <c r="G7706" s="396"/>
      <c r="K7706" s="370"/>
      <c r="N7706" s="370"/>
    </row>
    <row r="7707" spans="1:14" s="347" customFormat="1" x14ac:dyDescent="0.25">
      <c r="A7707" s="369"/>
      <c r="E7707" s="396"/>
      <c r="F7707" s="396"/>
      <c r="G7707" s="396"/>
      <c r="K7707" s="370"/>
      <c r="N7707" s="370"/>
    </row>
    <row r="7708" spans="1:14" s="347" customFormat="1" x14ac:dyDescent="0.25">
      <c r="A7708" s="369"/>
      <c r="E7708" s="396"/>
      <c r="F7708" s="396"/>
      <c r="G7708" s="396"/>
      <c r="K7708" s="370"/>
      <c r="N7708" s="370"/>
    </row>
    <row r="7709" spans="1:14" s="347" customFormat="1" x14ac:dyDescent="0.25">
      <c r="A7709" s="369"/>
      <c r="E7709" s="396"/>
      <c r="F7709" s="396"/>
      <c r="G7709" s="396"/>
      <c r="K7709" s="370"/>
      <c r="N7709" s="370"/>
    </row>
    <row r="7710" spans="1:14" s="347" customFormat="1" x14ac:dyDescent="0.25">
      <c r="A7710" s="369"/>
      <c r="E7710" s="396"/>
      <c r="F7710" s="396"/>
      <c r="G7710" s="396"/>
      <c r="K7710" s="370"/>
      <c r="N7710" s="370"/>
    </row>
    <row r="7711" spans="1:14" s="347" customFormat="1" x14ac:dyDescent="0.25">
      <c r="A7711" s="369"/>
      <c r="E7711" s="396"/>
      <c r="F7711" s="396"/>
      <c r="G7711" s="396"/>
      <c r="K7711" s="370"/>
      <c r="N7711" s="370"/>
    </row>
    <row r="7712" spans="1:14" s="347" customFormat="1" x14ac:dyDescent="0.25">
      <c r="A7712" s="369"/>
      <c r="E7712" s="396"/>
      <c r="F7712" s="396"/>
      <c r="G7712" s="396"/>
      <c r="K7712" s="370"/>
      <c r="N7712" s="370"/>
    </row>
    <row r="7713" spans="1:14" s="347" customFormat="1" x14ac:dyDescent="0.25">
      <c r="A7713" s="369"/>
      <c r="E7713" s="396"/>
      <c r="F7713" s="396"/>
      <c r="G7713" s="396"/>
      <c r="K7713" s="370"/>
      <c r="N7713" s="370"/>
    </row>
    <row r="7714" spans="1:14" s="347" customFormat="1" x14ac:dyDescent="0.25">
      <c r="A7714" s="369"/>
      <c r="E7714" s="396"/>
      <c r="F7714" s="396"/>
      <c r="G7714" s="396"/>
      <c r="K7714" s="370"/>
      <c r="N7714" s="370"/>
    </row>
    <row r="7715" spans="1:14" s="347" customFormat="1" x14ac:dyDescent="0.25">
      <c r="A7715" s="369"/>
      <c r="E7715" s="396"/>
      <c r="F7715" s="396"/>
      <c r="G7715" s="396"/>
      <c r="K7715" s="370"/>
      <c r="N7715" s="370"/>
    </row>
    <row r="7716" spans="1:14" s="347" customFormat="1" x14ac:dyDescent="0.25">
      <c r="A7716" s="369"/>
      <c r="E7716" s="396"/>
      <c r="F7716" s="396"/>
      <c r="G7716" s="396"/>
      <c r="K7716" s="370"/>
      <c r="N7716" s="370"/>
    </row>
    <row r="7717" spans="1:14" s="347" customFormat="1" x14ac:dyDescent="0.25">
      <c r="A7717" s="369"/>
      <c r="E7717" s="396"/>
      <c r="F7717" s="396"/>
      <c r="G7717" s="396"/>
      <c r="K7717" s="370"/>
      <c r="N7717" s="370"/>
    </row>
    <row r="7718" spans="1:14" s="347" customFormat="1" x14ac:dyDescent="0.25">
      <c r="A7718" s="369"/>
      <c r="E7718" s="396"/>
      <c r="F7718" s="396"/>
      <c r="G7718" s="396"/>
      <c r="K7718" s="370"/>
      <c r="N7718" s="370"/>
    </row>
    <row r="7719" spans="1:14" s="347" customFormat="1" x14ac:dyDescent="0.25">
      <c r="A7719" s="369"/>
      <c r="E7719" s="396"/>
      <c r="F7719" s="396"/>
      <c r="G7719" s="396"/>
      <c r="K7719" s="370"/>
      <c r="N7719" s="370"/>
    </row>
    <row r="7720" spans="1:14" s="347" customFormat="1" x14ac:dyDescent="0.25">
      <c r="A7720" s="369"/>
      <c r="E7720" s="396"/>
      <c r="F7720" s="396"/>
      <c r="G7720" s="396"/>
      <c r="K7720" s="370"/>
      <c r="N7720" s="370"/>
    </row>
    <row r="7721" spans="1:14" s="347" customFormat="1" x14ac:dyDescent="0.25">
      <c r="A7721" s="369"/>
      <c r="E7721" s="396"/>
      <c r="F7721" s="396"/>
      <c r="G7721" s="396"/>
      <c r="K7721" s="370"/>
      <c r="N7721" s="370"/>
    </row>
    <row r="7722" spans="1:14" s="347" customFormat="1" x14ac:dyDescent="0.25">
      <c r="A7722" s="369"/>
      <c r="E7722" s="396"/>
      <c r="F7722" s="396"/>
      <c r="G7722" s="396"/>
      <c r="K7722" s="370"/>
      <c r="N7722" s="370"/>
    </row>
    <row r="7723" spans="1:14" s="347" customFormat="1" x14ac:dyDescent="0.25">
      <c r="A7723" s="369"/>
      <c r="E7723" s="396"/>
      <c r="F7723" s="396"/>
      <c r="G7723" s="396"/>
      <c r="K7723" s="370"/>
      <c r="N7723" s="370"/>
    </row>
    <row r="7724" spans="1:14" s="347" customFormat="1" x14ac:dyDescent="0.25">
      <c r="A7724" s="369"/>
      <c r="E7724" s="396"/>
      <c r="F7724" s="396"/>
      <c r="G7724" s="396"/>
      <c r="K7724" s="370"/>
      <c r="N7724" s="370"/>
    </row>
    <row r="7725" spans="1:14" s="347" customFormat="1" x14ac:dyDescent="0.25">
      <c r="A7725" s="369"/>
      <c r="E7725" s="396"/>
      <c r="F7725" s="396"/>
      <c r="G7725" s="396"/>
      <c r="K7725" s="370"/>
      <c r="N7725" s="370"/>
    </row>
    <row r="7726" spans="1:14" s="347" customFormat="1" x14ac:dyDescent="0.25">
      <c r="A7726" s="369"/>
      <c r="E7726" s="396"/>
      <c r="F7726" s="396"/>
      <c r="G7726" s="396"/>
      <c r="K7726" s="370"/>
      <c r="N7726" s="370"/>
    </row>
    <row r="7727" spans="1:14" s="347" customFormat="1" x14ac:dyDescent="0.25">
      <c r="A7727" s="369"/>
      <c r="E7727" s="396"/>
      <c r="F7727" s="396"/>
      <c r="G7727" s="396"/>
      <c r="K7727" s="370"/>
      <c r="N7727" s="370"/>
    </row>
    <row r="7728" spans="1:14" s="347" customFormat="1" x14ac:dyDescent="0.25">
      <c r="A7728" s="369"/>
      <c r="E7728" s="396"/>
      <c r="F7728" s="396"/>
      <c r="G7728" s="396"/>
      <c r="K7728" s="370"/>
      <c r="N7728" s="370"/>
    </row>
    <row r="7729" spans="1:14" s="347" customFormat="1" x14ac:dyDescent="0.25">
      <c r="A7729" s="369"/>
      <c r="E7729" s="396"/>
      <c r="F7729" s="396"/>
      <c r="G7729" s="396"/>
      <c r="K7729" s="370"/>
      <c r="N7729" s="370"/>
    </row>
    <row r="7730" spans="1:14" s="347" customFormat="1" x14ac:dyDescent="0.25">
      <c r="A7730" s="369"/>
      <c r="E7730" s="396"/>
      <c r="F7730" s="396"/>
      <c r="G7730" s="396"/>
      <c r="K7730" s="370"/>
      <c r="N7730" s="370"/>
    </row>
    <row r="7731" spans="1:14" s="347" customFormat="1" x14ac:dyDescent="0.25">
      <c r="A7731" s="369"/>
      <c r="E7731" s="396"/>
      <c r="F7731" s="396"/>
      <c r="G7731" s="396"/>
      <c r="K7731" s="370"/>
      <c r="N7731" s="370"/>
    </row>
    <row r="7732" spans="1:14" s="347" customFormat="1" x14ac:dyDescent="0.25">
      <c r="A7732" s="369"/>
      <c r="E7732" s="396"/>
      <c r="F7732" s="396"/>
      <c r="G7732" s="396"/>
      <c r="K7732" s="370"/>
      <c r="N7732" s="370"/>
    </row>
    <row r="7733" spans="1:14" s="347" customFormat="1" x14ac:dyDescent="0.25">
      <c r="A7733" s="369"/>
      <c r="E7733" s="396"/>
      <c r="F7733" s="396"/>
      <c r="G7733" s="396"/>
      <c r="K7733" s="370"/>
      <c r="N7733" s="370"/>
    </row>
    <row r="7734" spans="1:14" s="347" customFormat="1" x14ac:dyDescent="0.25">
      <c r="A7734" s="369"/>
      <c r="E7734" s="396"/>
      <c r="F7734" s="396"/>
      <c r="G7734" s="396"/>
      <c r="K7734" s="370"/>
      <c r="N7734" s="370"/>
    </row>
    <row r="7735" spans="1:14" s="347" customFormat="1" x14ac:dyDescent="0.25">
      <c r="A7735" s="369"/>
      <c r="E7735" s="396"/>
      <c r="F7735" s="396"/>
      <c r="G7735" s="396"/>
      <c r="K7735" s="370"/>
      <c r="N7735" s="370"/>
    </row>
    <row r="7736" spans="1:14" s="347" customFormat="1" x14ac:dyDescent="0.25">
      <c r="A7736" s="369"/>
      <c r="E7736" s="396"/>
      <c r="F7736" s="396"/>
      <c r="G7736" s="396"/>
      <c r="K7736" s="370"/>
      <c r="N7736" s="370"/>
    </row>
    <row r="7737" spans="1:14" s="347" customFormat="1" x14ac:dyDescent="0.25">
      <c r="A7737" s="369"/>
      <c r="E7737" s="396"/>
      <c r="F7737" s="396"/>
      <c r="G7737" s="396"/>
      <c r="K7737" s="370"/>
      <c r="N7737" s="370"/>
    </row>
    <row r="7738" spans="1:14" s="347" customFormat="1" x14ac:dyDescent="0.25">
      <c r="A7738" s="369"/>
      <c r="E7738" s="396"/>
      <c r="F7738" s="396"/>
      <c r="G7738" s="396"/>
      <c r="K7738" s="370"/>
      <c r="N7738" s="370"/>
    </row>
    <row r="7739" spans="1:14" s="347" customFormat="1" x14ac:dyDescent="0.25">
      <c r="A7739" s="369"/>
      <c r="E7739" s="396"/>
      <c r="F7739" s="396"/>
      <c r="G7739" s="396"/>
      <c r="K7739" s="370"/>
      <c r="N7739" s="370"/>
    </row>
    <row r="7740" spans="1:14" s="347" customFormat="1" x14ac:dyDescent="0.25">
      <c r="A7740" s="369"/>
      <c r="E7740" s="396"/>
      <c r="F7740" s="396"/>
      <c r="G7740" s="396"/>
      <c r="K7740" s="370"/>
      <c r="N7740" s="370"/>
    </row>
    <row r="7741" spans="1:14" s="347" customFormat="1" x14ac:dyDescent="0.25">
      <c r="A7741" s="369"/>
      <c r="E7741" s="396"/>
      <c r="F7741" s="396"/>
      <c r="G7741" s="396"/>
      <c r="K7741" s="370"/>
      <c r="N7741" s="370"/>
    </row>
    <row r="7742" spans="1:14" s="347" customFormat="1" x14ac:dyDescent="0.25">
      <c r="A7742" s="369"/>
      <c r="E7742" s="396"/>
      <c r="F7742" s="396"/>
      <c r="G7742" s="396"/>
      <c r="K7742" s="370"/>
      <c r="N7742" s="370"/>
    </row>
    <row r="7743" spans="1:14" s="347" customFormat="1" x14ac:dyDescent="0.25">
      <c r="A7743" s="369"/>
      <c r="E7743" s="396"/>
      <c r="F7743" s="396"/>
      <c r="G7743" s="396"/>
      <c r="K7743" s="370"/>
      <c r="N7743" s="370"/>
    </row>
    <row r="7744" spans="1:14" s="347" customFormat="1" x14ac:dyDescent="0.25">
      <c r="A7744" s="369"/>
      <c r="E7744" s="396"/>
      <c r="F7744" s="396"/>
      <c r="G7744" s="396"/>
      <c r="K7744" s="370"/>
      <c r="N7744" s="370"/>
    </row>
    <row r="7745" spans="1:14" s="347" customFormat="1" x14ac:dyDescent="0.25">
      <c r="A7745" s="369"/>
      <c r="E7745" s="396"/>
      <c r="F7745" s="396"/>
      <c r="G7745" s="396"/>
      <c r="K7745" s="370"/>
      <c r="N7745" s="370"/>
    </row>
    <row r="7746" spans="1:14" s="347" customFormat="1" x14ac:dyDescent="0.25">
      <c r="A7746" s="369"/>
      <c r="E7746" s="396"/>
      <c r="F7746" s="396"/>
      <c r="G7746" s="396"/>
      <c r="K7746" s="370"/>
      <c r="N7746" s="370"/>
    </row>
    <row r="7747" spans="1:14" s="347" customFormat="1" x14ac:dyDescent="0.25">
      <c r="A7747" s="369"/>
      <c r="E7747" s="396"/>
      <c r="F7747" s="396"/>
      <c r="G7747" s="396"/>
      <c r="K7747" s="370"/>
      <c r="N7747" s="370"/>
    </row>
    <row r="7748" spans="1:14" s="347" customFormat="1" x14ac:dyDescent="0.25">
      <c r="A7748" s="369"/>
      <c r="E7748" s="396"/>
      <c r="F7748" s="396"/>
      <c r="G7748" s="396"/>
      <c r="K7748" s="370"/>
      <c r="N7748" s="370"/>
    </row>
    <row r="7749" spans="1:14" s="347" customFormat="1" x14ac:dyDescent="0.25">
      <c r="A7749" s="369"/>
      <c r="E7749" s="396"/>
      <c r="F7749" s="396"/>
      <c r="G7749" s="396"/>
      <c r="K7749" s="370"/>
      <c r="N7749" s="370"/>
    </row>
    <row r="7750" spans="1:14" s="347" customFormat="1" x14ac:dyDescent="0.25">
      <c r="A7750" s="369"/>
      <c r="E7750" s="396"/>
      <c r="F7750" s="396"/>
      <c r="G7750" s="396"/>
      <c r="K7750" s="370"/>
      <c r="N7750" s="370"/>
    </row>
    <row r="7751" spans="1:14" s="347" customFormat="1" x14ac:dyDescent="0.25">
      <c r="A7751" s="369"/>
      <c r="E7751" s="396"/>
      <c r="F7751" s="396"/>
      <c r="G7751" s="396"/>
      <c r="K7751" s="370"/>
      <c r="N7751" s="370"/>
    </row>
    <row r="7752" spans="1:14" s="347" customFormat="1" x14ac:dyDescent="0.25">
      <c r="A7752" s="369"/>
      <c r="E7752" s="396"/>
      <c r="F7752" s="396"/>
      <c r="G7752" s="396"/>
      <c r="K7752" s="370"/>
      <c r="N7752" s="370"/>
    </row>
    <row r="7753" spans="1:14" s="347" customFormat="1" x14ac:dyDescent="0.25">
      <c r="A7753" s="369"/>
      <c r="E7753" s="396"/>
      <c r="F7753" s="396"/>
      <c r="G7753" s="396"/>
      <c r="K7753" s="370"/>
      <c r="N7753" s="370"/>
    </row>
    <row r="7754" spans="1:14" s="347" customFormat="1" x14ac:dyDescent="0.25">
      <c r="A7754" s="369"/>
      <c r="E7754" s="396"/>
      <c r="F7754" s="396"/>
      <c r="G7754" s="396"/>
      <c r="K7754" s="370"/>
      <c r="N7754" s="370"/>
    </row>
    <row r="7755" spans="1:14" s="347" customFormat="1" x14ac:dyDescent="0.25">
      <c r="A7755" s="369"/>
      <c r="E7755" s="396"/>
      <c r="F7755" s="396"/>
      <c r="G7755" s="396"/>
      <c r="K7755" s="370"/>
      <c r="N7755" s="370"/>
    </row>
    <row r="7756" spans="1:14" s="347" customFormat="1" x14ac:dyDescent="0.25">
      <c r="A7756" s="369"/>
      <c r="E7756" s="396"/>
      <c r="F7756" s="396"/>
      <c r="G7756" s="396"/>
      <c r="K7756" s="370"/>
      <c r="N7756" s="370"/>
    </row>
    <row r="7757" spans="1:14" s="347" customFormat="1" x14ac:dyDescent="0.25">
      <c r="A7757" s="369"/>
      <c r="E7757" s="396"/>
      <c r="F7757" s="396"/>
      <c r="G7757" s="396"/>
      <c r="K7757" s="370"/>
      <c r="N7757" s="370"/>
    </row>
    <row r="7758" spans="1:14" s="347" customFormat="1" x14ac:dyDescent="0.25">
      <c r="A7758" s="369"/>
      <c r="E7758" s="396"/>
      <c r="F7758" s="396"/>
      <c r="G7758" s="396"/>
      <c r="K7758" s="370"/>
      <c r="N7758" s="370"/>
    </row>
    <row r="7759" spans="1:14" s="347" customFormat="1" x14ac:dyDescent="0.25">
      <c r="A7759" s="369"/>
      <c r="E7759" s="396"/>
      <c r="F7759" s="396"/>
      <c r="G7759" s="396"/>
      <c r="K7759" s="370"/>
      <c r="N7759" s="370"/>
    </row>
    <row r="7760" spans="1:14" s="347" customFormat="1" x14ac:dyDescent="0.25">
      <c r="A7760" s="369"/>
      <c r="E7760" s="396"/>
      <c r="F7760" s="396"/>
      <c r="G7760" s="396"/>
      <c r="K7760" s="370"/>
      <c r="N7760" s="370"/>
    </row>
    <row r="7761" spans="1:14" s="347" customFormat="1" x14ac:dyDescent="0.25">
      <c r="A7761" s="369"/>
      <c r="E7761" s="396"/>
      <c r="F7761" s="396"/>
      <c r="G7761" s="396"/>
      <c r="K7761" s="370"/>
      <c r="N7761" s="370"/>
    </row>
    <row r="7762" spans="1:14" s="347" customFormat="1" x14ac:dyDescent="0.25">
      <c r="A7762" s="369"/>
      <c r="E7762" s="396"/>
      <c r="F7762" s="396"/>
      <c r="G7762" s="396"/>
      <c r="K7762" s="370"/>
      <c r="N7762" s="370"/>
    </row>
    <row r="7763" spans="1:14" s="347" customFormat="1" x14ac:dyDescent="0.25">
      <c r="A7763" s="369"/>
      <c r="E7763" s="396"/>
      <c r="F7763" s="396"/>
      <c r="G7763" s="396"/>
      <c r="K7763" s="370"/>
      <c r="N7763" s="370"/>
    </row>
    <row r="7764" spans="1:14" s="347" customFormat="1" x14ac:dyDescent="0.25">
      <c r="A7764" s="369"/>
      <c r="E7764" s="396"/>
      <c r="F7764" s="396"/>
      <c r="G7764" s="396"/>
      <c r="K7764" s="370"/>
      <c r="N7764" s="370"/>
    </row>
    <row r="7765" spans="1:14" s="347" customFormat="1" x14ac:dyDescent="0.25">
      <c r="A7765" s="369"/>
      <c r="E7765" s="396"/>
      <c r="F7765" s="396"/>
      <c r="G7765" s="396"/>
      <c r="K7765" s="370"/>
      <c r="N7765" s="370"/>
    </row>
    <row r="7766" spans="1:14" s="347" customFormat="1" x14ac:dyDescent="0.25">
      <c r="A7766" s="369"/>
      <c r="E7766" s="396"/>
      <c r="F7766" s="396"/>
      <c r="G7766" s="396"/>
      <c r="K7766" s="370"/>
      <c r="N7766" s="370"/>
    </row>
    <row r="7767" spans="1:14" s="347" customFormat="1" x14ac:dyDescent="0.25">
      <c r="A7767" s="369"/>
      <c r="E7767" s="396"/>
      <c r="F7767" s="396"/>
      <c r="G7767" s="396"/>
      <c r="K7767" s="370"/>
      <c r="N7767" s="370"/>
    </row>
    <row r="7768" spans="1:14" s="347" customFormat="1" x14ac:dyDescent="0.25">
      <c r="A7768" s="369"/>
      <c r="E7768" s="396"/>
      <c r="F7768" s="396"/>
      <c r="G7768" s="396"/>
      <c r="K7768" s="370"/>
      <c r="N7768" s="370"/>
    </row>
    <row r="7769" spans="1:14" s="347" customFormat="1" x14ac:dyDescent="0.25">
      <c r="A7769" s="369"/>
      <c r="E7769" s="396"/>
      <c r="F7769" s="396"/>
      <c r="G7769" s="396"/>
      <c r="K7769" s="370"/>
      <c r="N7769" s="370"/>
    </row>
    <row r="7770" spans="1:14" s="347" customFormat="1" x14ac:dyDescent="0.25">
      <c r="A7770" s="369"/>
      <c r="E7770" s="396"/>
      <c r="F7770" s="396"/>
      <c r="G7770" s="396"/>
      <c r="K7770" s="370"/>
      <c r="N7770" s="370"/>
    </row>
    <row r="7771" spans="1:14" s="347" customFormat="1" x14ac:dyDescent="0.25">
      <c r="A7771" s="369"/>
      <c r="E7771" s="396"/>
      <c r="F7771" s="396"/>
      <c r="G7771" s="396"/>
      <c r="K7771" s="370"/>
      <c r="N7771" s="370"/>
    </row>
    <row r="7772" spans="1:14" s="347" customFormat="1" x14ac:dyDescent="0.25">
      <c r="A7772" s="369"/>
      <c r="E7772" s="396"/>
      <c r="F7772" s="396"/>
      <c r="G7772" s="396"/>
      <c r="K7772" s="370"/>
      <c r="N7772" s="370"/>
    </row>
    <row r="7773" spans="1:14" s="347" customFormat="1" x14ac:dyDescent="0.25">
      <c r="A7773" s="369"/>
      <c r="E7773" s="396"/>
      <c r="F7773" s="396"/>
      <c r="G7773" s="396"/>
      <c r="K7773" s="370"/>
      <c r="N7773" s="370"/>
    </row>
    <row r="7774" spans="1:14" s="347" customFormat="1" x14ac:dyDescent="0.25">
      <c r="A7774" s="369"/>
      <c r="E7774" s="396"/>
      <c r="F7774" s="396"/>
      <c r="G7774" s="396"/>
      <c r="K7774" s="370"/>
      <c r="N7774" s="370"/>
    </row>
    <row r="7775" spans="1:14" s="347" customFormat="1" x14ac:dyDescent="0.25">
      <c r="A7775" s="369"/>
      <c r="E7775" s="396"/>
      <c r="F7775" s="396"/>
      <c r="G7775" s="396"/>
      <c r="K7775" s="370"/>
      <c r="N7775" s="370"/>
    </row>
    <row r="7776" spans="1:14" s="347" customFormat="1" x14ac:dyDescent="0.25">
      <c r="A7776" s="369"/>
      <c r="E7776" s="396"/>
      <c r="F7776" s="396"/>
      <c r="G7776" s="396"/>
      <c r="K7776" s="370"/>
      <c r="N7776" s="370"/>
    </row>
    <row r="7777" spans="1:14" s="347" customFormat="1" x14ac:dyDescent="0.25">
      <c r="A7777" s="369"/>
      <c r="E7777" s="396"/>
      <c r="F7777" s="396"/>
      <c r="G7777" s="396"/>
      <c r="K7777" s="370"/>
      <c r="N7777" s="370"/>
    </row>
    <row r="7778" spans="1:14" s="347" customFormat="1" x14ac:dyDescent="0.25">
      <c r="A7778" s="369"/>
      <c r="E7778" s="396"/>
      <c r="F7778" s="396"/>
      <c r="G7778" s="396"/>
      <c r="K7778" s="370"/>
      <c r="N7778" s="370"/>
    </row>
    <row r="7779" spans="1:14" s="347" customFormat="1" x14ac:dyDescent="0.25">
      <c r="A7779" s="369"/>
      <c r="E7779" s="396"/>
      <c r="F7779" s="396"/>
      <c r="G7779" s="396"/>
      <c r="K7779" s="370"/>
      <c r="N7779" s="370"/>
    </row>
    <row r="7780" spans="1:14" s="347" customFormat="1" x14ac:dyDescent="0.25">
      <c r="A7780" s="369"/>
      <c r="E7780" s="396"/>
      <c r="F7780" s="396"/>
      <c r="G7780" s="396"/>
      <c r="K7780" s="370"/>
      <c r="N7780" s="370"/>
    </row>
    <row r="7781" spans="1:14" s="347" customFormat="1" x14ac:dyDescent="0.25">
      <c r="A7781" s="369"/>
      <c r="E7781" s="396"/>
      <c r="F7781" s="396"/>
      <c r="G7781" s="396"/>
      <c r="K7781" s="370"/>
      <c r="N7781" s="370"/>
    </row>
    <row r="7782" spans="1:14" s="347" customFormat="1" x14ac:dyDescent="0.25">
      <c r="A7782" s="369"/>
      <c r="E7782" s="396"/>
      <c r="F7782" s="396"/>
      <c r="G7782" s="396"/>
      <c r="K7782" s="370"/>
      <c r="N7782" s="370"/>
    </row>
    <row r="7783" spans="1:14" s="347" customFormat="1" x14ac:dyDescent="0.25">
      <c r="A7783" s="369"/>
      <c r="E7783" s="396"/>
      <c r="F7783" s="396"/>
      <c r="G7783" s="396"/>
      <c r="K7783" s="370"/>
      <c r="N7783" s="370"/>
    </row>
    <row r="7784" spans="1:14" s="347" customFormat="1" x14ac:dyDescent="0.25">
      <c r="A7784" s="369"/>
      <c r="E7784" s="396"/>
      <c r="F7784" s="396"/>
      <c r="G7784" s="396"/>
      <c r="K7784" s="370"/>
      <c r="N7784" s="370"/>
    </row>
    <row r="7785" spans="1:14" s="347" customFormat="1" x14ac:dyDescent="0.25">
      <c r="A7785" s="369"/>
      <c r="E7785" s="396"/>
      <c r="F7785" s="396"/>
      <c r="G7785" s="396"/>
      <c r="K7785" s="370"/>
      <c r="N7785" s="370"/>
    </row>
    <row r="7786" spans="1:14" s="347" customFormat="1" x14ac:dyDescent="0.25">
      <c r="A7786" s="369"/>
      <c r="E7786" s="396"/>
      <c r="F7786" s="396"/>
      <c r="G7786" s="396"/>
      <c r="K7786" s="370"/>
      <c r="N7786" s="370"/>
    </row>
    <row r="7787" spans="1:14" s="347" customFormat="1" x14ac:dyDescent="0.25">
      <c r="A7787" s="369"/>
      <c r="E7787" s="396"/>
      <c r="F7787" s="396"/>
      <c r="G7787" s="396"/>
      <c r="K7787" s="370"/>
      <c r="N7787" s="370"/>
    </row>
    <row r="7788" spans="1:14" s="347" customFormat="1" x14ac:dyDescent="0.25">
      <c r="A7788" s="369"/>
      <c r="E7788" s="396"/>
      <c r="F7788" s="396"/>
      <c r="G7788" s="396"/>
      <c r="K7788" s="370"/>
      <c r="N7788" s="370"/>
    </row>
    <row r="7789" spans="1:14" s="347" customFormat="1" x14ac:dyDescent="0.25">
      <c r="A7789" s="369"/>
      <c r="E7789" s="396"/>
      <c r="F7789" s="396"/>
      <c r="G7789" s="396"/>
      <c r="K7789" s="370"/>
      <c r="N7789" s="370"/>
    </row>
    <row r="7790" spans="1:14" s="347" customFormat="1" x14ac:dyDescent="0.25">
      <c r="A7790" s="369"/>
      <c r="E7790" s="396"/>
      <c r="F7790" s="396"/>
      <c r="G7790" s="396"/>
      <c r="K7790" s="370"/>
      <c r="N7790" s="370"/>
    </row>
    <row r="7791" spans="1:14" s="347" customFormat="1" x14ac:dyDescent="0.25">
      <c r="A7791" s="369"/>
      <c r="E7791" s="396"/>
      <c r="F7791" s="396"/>
      <c r="G7791" s="396"/>
      <c r="K7791" s="370"/>
      <c r="N7791" s="370"/>
    </row>
    <row r="7792" spans="1:14" s="347" customFormat="1" x14ac:dyDescent="0.25">
      <c r="A7792" s="369"/>
      <c r="E7792" s="396"/>
      <c r="F7792" s="396"/>
      <c r="G7792" s="396"/>
      <c r="K7792" s="370"/>
      <c r="N7792" s="370"/>
    </row>
    <row r="7793" spans="1:14" s="347" customFormat="1" x14ac:dyDescent="0.25">
      <c r="A7793" s="369"/>
      <c r="E7793" s="396"/>
      <c r="F7793" s="396"/>
      <c r="G7793" s="396"/>
      <c r="K7793" s="370"/>
      <c r="N7793" s="370"/>
    </row>
    <row r="7794" spans="1:14" s="347" customFormat="1" x14ac:dyDescent="0.25">
      <c r="A7794" s="369"/>
      <c r="E7794" s="396"/>
      <c r="F7794" s="396"/>
      <c r="G7794" s="396"/>
      <c r="K7794" s="370"/>
      <c r="N7794" s="370"/>
    </row>
    <row r="7795" spans="1:14" s="347" customFormat="1" x14ac:dyDescent="0.25">
      <c r="A7795" s="369"/>
      <c r="E7795" s="396"/>
      <c r="F7795" s="396"/>
      <c r="G7795" s="396"/>
      <c r="K7795" s="370"/>
      <c r="N7795" s="370"/>
    </row>
    <row r="7796" spans="1:14" s="347" customFormat="1" x14ac:dyDescent="0.25">
      <c r="A7796" s="369"/>
      <c r="E7796" s="396"/>
      <c r="F7796" s="396"/>
      <c r="G7796" s="396"/>
      <c r="K7796" s="370"/>
      <c r="N7796" s="370"/>
    </row>
    <row r="7797" spans="1:14" s="347" customFormat="1" x14ac:dyDescent="0.25">
      <c r="A7797" s="369"/>
      <c r="E7797" s="396"/>
      <c r="F7797" s="396"/>
      <c r="G7797" s="396"/>
      <c r="K7797" s="370"/>
      <c r="N7797" s="370"/>
    </row>
    <row r="7798" spans="1:14" s="347" customFormat="1" x14ac:dyDescent="0.25">
      <c r="A7798" s="369"/>
      <c r="E7798" s="396"/>
      <c r="F7798" s="396"/>
      <c r="G7798" s="396"/>
      <c r="K7798" s="370"/>
      <c r="N7798" s="370"/>
    </row>
    <row r="7799" spans="1:14" s="347" customFormat="1" x14ac:dyDescent="0.25">
      <c r="A7799" s="369"/>
      <c r="E7799" s="396"/>
      <c r="F7799" s="396"/>
      <c r="G7799" s="396"/>
      <c r="K7799" s="370"/>
      <c r="N7799" s="370"/>
    </row>
    <row r="7800" spans="1:14" s="347" customFormat="1" x14ac:dyDescent="0.25">
      <c r="A7800" s="369"/>
      <c r="E7800" s="396"/>
      <c r="F7800" s="396"/>
      <c r="G7800" s="396"/>
      <c r="K7800" s="370"/>
      <c r="N7800" s="370"/>
    </row>
    <row r="7801" spans="1:14" s="347" customFormat="1" x14ac:dyDescent="0.25">
      <c r="A7801" s="369"/>
      <c r="E7801" s="396"/>
      <c r="F7801" s="396"/>
      <c r="G7801" s="396"/>
      <c r="K7801" s="370"/>
      <c r="N7801" s="370"/>
    </row>
    <row r="7802" spans="1:14" s="347" customFormat="1" x14ac:dyDescent="0.25">
      <c r="A7802" s="369"/>
      <c r="E7802" s="396"/>
      <c r="F7802" s="396"/>
      <c r="G7802" s="396"/>
      <c r="K7802" s="370"/>
      <c r="N7802" s="370"/>
    </row>
    <row r="7803" spans="1:14" s="347" customFormat="1" x14ac:dyDescent="0.25">
      <c r="A7803" s="369"/>
      <c r="E7803" s="396"/>
      <c r="F7803" s="396"/>
      <c r="G7803" s="396"/>
      <c r="K7803" s="370"/>
      <c r="N7803" s="370"/>
    </row>
    <row r="7804" spans="1:14" s="347" customFormat="1" x14ac:dyDescent="0.25">
      <c r="A7804" s="369"/>
      <c r="E7804" s="396"/>
      <c r="F7804" s="396"/>
      <c r="G7804" s="396"/>
      <c r="K7804" s="370"/>
      <c r="N7804" s="370"/>
    </row>
    <row r="7805" spans="1:14" s="347" customFormat="1" x14ac:dyDescent="0.25">
      <c r="A7805" s="369"/>
      <c r="E7805" s="396"/>
      <c r="F7805" s="396"/>
      <c r="G7805" s="396"/>
      <c r="K7805" s="370"/>
      <c r="N7805" s="370"/>
    </row>
    <row r="7806" spans="1:14" s="347" customFormat="1" x14ac:dyDescent="0.25">
      <c r="A7806" s="369"/>
      <c r="E7806" s="396"/>
      <c r="F7806" s="396"/>
      <c r="G7806" s="396"/>
      <c r="K7806" s="370"/>
      <c r="N7806" s="370"/>
    </row>
    <row r="7807" spans="1:14" s="347" customFormat="1" x14ac:dyDescent="0.25">
      <c r="A7807" s="369"/>
      <c r="E7807" s="396"/>
      <c r="F7807" s="396"/>
      <c r="G7807" s="396"/>
      <c r="K7807" s="370"/>
      <c r="N7807" s="370"/>
    </row>
    <row r="7808" spans="1:14" s="347" customFormat="1" x14ac:dyDescent="0.25">
      <c r="A7808" s="369"/>
      <c r="E7808" s="396"/>
      <c r="F7808" s="396"/>
      <c r="G7808" s="396"/>
      <c r="K7808" s="370"/>
      <c r="N7808" s="370"/>
    </row>
    <row r="7809" spans="1:14" s="347" customFormat="1" x14ac:dyDescent="0.25">
      <c r="A7809" s="369"/>
      <c r="E7809" s="396"/>
      <c r="F7809" s="396"/>
      <c r="G7809" s="396"/>
      <c r="K7809" s="370"/>
      <c r="N7809" s="370"/>
    </row>
    <row r="7810" spans="1:14" s="347" customFormat="1" x14ac:dyDescent="0.25">
      <c r="A7810" s="369"/>
      <c r="E7810" s="396"/>
      <c r="F7810" s="396"/>
      <c r="G7810" s="396"/>
      <c r="K7810" s="370"/>
      <c r="N7810" s="370"/>
    </row>
    <row r="7811" spans="1:14" s="347" customFormat="1" x14ac:dyDescent="0.25">
      <c r="A7811" s="369"/>
      <c r="E7811" s="396"/>
      <c r="F7811" s="396"/>
      <c r="G7811" s="396"/>
      <c r="K7811" s="370"/>
      <c r="N7811" s="370"/>
    </row>
    <row r="7812" spans="1:14" s="347" customFormat="1" x14ac:dyDescent="0.25">
      <c r="A7812" s="369"/>
      <c r="E7812" s="396"/>
      <c r="F7812" s="396"/>
      <c r="G7812" s="396"/>
      <c r="K7812" s="370"/>
      <c r="N7812" s="370"/>
    </row>
    <row r="7813" spans="1:14" s="347" customFormat="1" x14ac:dyDescent="0.25">
      <c r="A7813" s="369"/>
      <c r="E7813" s="396"/>
      <c r="F7813" s="396"/>
      <c r="G7813" s="396"/>
      <c r="K7813" s="370"/>
      <c r="N7813" s="370"/>
    </row>
    <row r="7814" spans="1:14" s="347" customFormat="1" x14ac:dyDescent="0.25">
      <c r="A7814" s="369"/>
      <c r="E7814" s="396"/>
      <c r="F7814" s="396"/>
      <c r="G7814" s="396"/>
      <c r="K7814" s="370"/>
      <c r="N7814" s="370"/>
    </row>
    <row r="7815" spans="1:14" s="347" customFormat="1" x14ac:dyDescent="0.25">
      <c r="A7815" s="369"/>
      <c r="E7815" s="396"/>
      <c r="F7815" s="396"/>
      <c r="G7815" s="396"/>
      <c r="K7815" s="370"/>
      <c r="N7815" s="370"/>
    </row>
    <row r="7816" spans="1:14" s="347" customFormat="1" x14ac:dyDescent="0.25">
      <c r="A7816" s="369"/>
      <c r="E7816" s="396"/>
      <c r="F7816" s="396"/>
      <c r="G7816" s="396"/>
      <c r="K7816" s="370"/>
      <c r="N7816" s="370"/>
    </row>
    <row r="7817" spans="1:14" s="347" customFormat="1" x14ac:dyDescent="0.25">
      <c r="A7817" s="369"/>
      <c r="E7817" s="396"/>
      <c r="F7817" s="396"/>
      <c r="G7817" s="396"/>
      <c r="K7817" s="370"/>
      <c r="N7817" s="370"/>
    </row>
    <row r="7818" spans="1:14" s="347" customFormat="1" x14ac:dyDescent="0.25">
      <c r="A7818" s="369"/>
      <c r="E7818" s="396"/>
      <c r="F7818" s="396"/>
      <c r="G7818" s="396"/>
      <c r="K7818" s="370"/>
      <c r="N7818" s="370"/>
    </row>
    <row r="7819" spans="1:14" s="347" customFormat="1" x14ac:dyDescent="0.25">
      <c r="A7819" s="369"/>
      <c r="E7819" s="396"/>
      <c r="F7819" s="396"/>
      <c r="G7819" s="396"/>
      <c r="K7819" s="370"/>
      <c r="N7819" s="370"/>
    </row>
    <row r="7820" spans="1:14" s="347" customFormat="1" x14ac:dyDescent="0.25">
      <c r="A7820" s="369"/>
      <c r="E7820" s="396"/>
      <c r="F7820" s="396"/>
      <c r="G7820" s="396"/>
      <c r="K7820" s="370"/>
      <c r="N7820" s="370"/>
    </row>
    <row r="7821" spans="1:14" s="347" customFormat="1" x14ac:dyDescent="0.25">
      <c r="A7821" s="369"/>
      <c r="E7821" s="396"/>
      <c r="F7821" s="396"/>
      <c r="G7821" s="396"/>
      <c r="K7821" s="370"/>
      <c r="N7821" s="370"/>
    </row>
    <row r="7822" spans="1:14" s="347" customFormat="1" x14ac:dyDescent="0.25">
      <c r="A7822" s="369"/>
      <c r="E7822" s="396"/>
      <c r="F7822" s="396"/>
      <c r="G7822" s="396"/>
      <c r="K7822" s="370"/>
      <c r="N7822" s="370"/>
    </row>
    <row r="7823" spans="1:14" s="347" customFormat="1" x14ac:dyDescent="0.25">
      <c r="A7823" s="369"/>
      <c r="E7823" s="396"/>
      <c r="F7823" s="396"/>
      <c r="G7823" s="396"/>
      <c r="K7823" s="370"/>
      <c r="N7823" s="370"/>
    </row>
    <row r="7824" spans="1:14" s="347" customFormat="1" x14ac:dyDescent="0.25">
      <c r="A7824" s="369"/>
      <c r="E7824" s="396"/>
      <c r="F7824" s="396"/>
      <c r="G7824" s="396"/>
      <c r="K7824" s="370"/>
      <c r="N7824" s="370"/>
    </row>
    <row r="7825" spans="1:14" s="347" customFormat="1" x14ac:dyDescent="0.25">
      <c r="A7825" s="369"/>
      <c r="E7825" s="396"/>
      <c r="F7825" s="396"/>
      <c r="G7825" s="396"/>
      <c r="K7825" s="370"/>
      <c r="N7825" s="370"/>
    </row>
    <row r="7826" spans="1:14" s="347" customFormat="1" x14ac:dyDescent="0.25">
      <c r="A7826" s="369"/>
      <c r="E7826" s="396"/>
      <c r="F7826" s="396"/>
      <c r="G7826" s="396"/>
      <c r="K7826" s="370"/>
      <c r="N7826" s="370"/>
    </row>
    <row r="7827" spans="1:14" s="347" customFormat="1" x14ac:dyDescent="0.25">
      <c r="A7827" s="369"/>
      <c r="E7827" s="396"/>
      <c r="F7827" s="396"/>
      <c r="G7827" s="396"/>
      <c r="K7827" s="370"/>
      <c r="N7827" s="370"/>
    </row>
    <row r="7828" spans="1:14" s="347" customFormat="1" x14ac:dyDescent="0.25">
      <c r="A7828" s="369"/>
      <c r="E7828" s="396"/>
      <c r="F7828" s="396"/>
      <c r="G7828" s="396"/>
      <c r="K7828" s="370"/>
      <c r="N7828" s="370"/>
    </row>
    <row r="7829" spans="1:14" s="347" customFormat="1" x14ac:dyDescent="0.25">
      <c r="A7829" s="369"/>
      <c r="E7829" s="396"/>
      <c r="F7829" s="396"/>
      <c r="G7829" s="396"/>
      <c r="K7829" s="370"/>
      <c r="N7829" s="370"/>
    </row>
    <row r="7830" spans="1:14" s="347" customFormat="1" x14ac:dyDescent="0.25">
      <c r="A7830" s="369"/>
      <c r="E7830" s="396"/>
      <c r="F7830" s="396"/>
      <c r="G7830" s="396"/>
      <c r="K7830" s="370"/>
      <c r="N7830" s="370"/>
    </row>
    <row r="7831" spans="1:14" s="347" customFormat="1" x14ac:dyDescent="0.25">
      <c r="A7831" s="369"/>
      <c r="E7831" s="396"/>
      <c r="F7831" s="396"/>
      <c r="G7831" s="396"/>
      <c r="K7831" s="370"/>
      <c r="N7831" s="370"/>
    </row>
    <row r="7832" spans="1:14" s="347" customFormat="1" x14ac:dyDescent="0.25">
      <c r="A7832" s="369"/>
      <c r="E7832" s="396"/>
      <c r="F7832" s="396"/>
      <c r="G7832" s="396"/>
      <c r="K7832" s="370"/>
      <c r="N7832" s="370"/>
    </row>
    <row r="7833" spans="1:14" s="347" customFormat="1" x14ac:dyDescent="0.25">
      <c r="A7833" s="369"/>
      <c r="E7833" s="396"/>
      <c r="F7833" s="396"/>
      <c r="G7833" s="396"/>
      <c r="K7833" s="370"/>
      <c r="N7833" s="370"/>
    </row>
    <row r="7834" spans="1:14" s="347" customFormat="1" x14ac:dyDescent="0.25">
      <c r="A7834" s="369"/>
      <c r="E7834" s="396"/>
      <c r="F7834" s="396"/>
      <c r="G7834" s="396"/>
      <c r="K7834" s="370"/>
      <c r="N7834" s="370"/>
    </row>
    <row r="7835" spans="1:14" s="347" customFormat="1" x14ac:dyDescent="0.25">
      <c r="A7835" s="369"/>
      <c r="E7835" s="396"/>
      <c r="F7835" s="396"/>
      <c r="G7835" s="396"/>
      <c r="K7835" s="370"/>
      <c r="N7835" s="370"/>
    </row>
    <row r="7836" spans="1:14" s="347" customFormat="1" x14ac:dyDescent="0.25">
      <c r="A7836" s="369"/>
      <c r="E7836" s="396"/>
      <c r="F7836" s="396"/>
      <c r="G7836" s="396"/>
      <c r="K7836" s="370"/>
      <c r="N7836" s="370"/>
    </row>
    <row r="7837" spans="1:14" s="347" customFormat="1" x14ac:dyDescent="0.25">
      <c r="A7837" s="369"/>
      <c r="E7837" s="396"/>
      <c r="F7837" s="396"/>
      <c r="G7837" s="396"/>
      <c r="K7837" s="370"/>
      <c r="N7837" s="370"/>
    </row>
    <row r="7838" spans="1:14" s="347" customFormat="1" x14ac:dyDescent="0.25">
      <c r="A7838" s="369"/>
      <c r="E7838" s="396"/>
      <c r="F7838" s="396"/>
      <c r="G7838" s="396"/>
      <c r="K7838" s="370"/>
      <c r="N7838" s="370"/>
    </row>
    <row r="7839" spans="1:14" s="347" customFormat="1" x14ac:dyDescent="0.25">
      <c r="A7839" s="369"/>
      <c r="E7839" s="396"/>
      <c r="F7839" s="396"/>
      <c r="G7839" s="396"/>
      <c r="K7839" s="370"/>
      <c r="N7839" s="370"/>
    </row>
    <row r="7840" spans="1:14" s="347" customFormat="1" x14ac:dyDescent="0.25">
      <c r="A7840" s="369"/>
      <c r="E7840" s="396"/>
      <c r="F7840" s="396"/>
      <c r="G7840" s="396"/>
      <c r="K7840" s="370"/>
      <c r="N7840" s="370"/>
    </row>
    <row r="7841" spans="1:14" s="347" customFormat="1" x14ac:dyDescent="0.25">
      <c r="A7841" s="369"/>
      <c r="E7841" s="396"/>
      <c r="F7841" s="396"/>
      <c r="G7841" s="396"/>
      <c r="K7841" s="370"/>
      <c r="N7841" s="370"/>
    </row>
    <row r="7842" spans="1:14" s="347" customFormat="1" x14ac:dyDescent="0.25">
      <c r="A7842" s="369"/>
      <c r="E7842" s="396"/>
      <c r="F7842" s="396"/>
      <c r="G7842" s="396"/>
      <c r="K7842" s="370"/>
      <c r="N7842" s="370"/>
    </row>
    <row r="7843" spans="1:14" s="347" customFormat="1" x14ac:dyDescent="0.25">
      <c r="A7843" s="369"/>
      <c r="E7843" s="396"/>
      <c r="F7843" s="396"/>
      <c r="G7843" s="396"/>
      <c r="K7843" s="370"/>
      <c r="N7843" s="370"/>
    </row>
    <row r="7844" spans="1:14" s="347" customFormat="1" x14ac:dyDescent="0.25">
      <c r="A7844" s="369"/>
      <c r="E7844" s="396"/>
      <c r="F7844" s="396"/>
      <c r="G7844" s="396"/>
      <c r="K7844" s="370"/>
      <c r="N7844" s="370"/>
    </row>
    <row r="7845" spans="1:14" s="347" customFormat="1" x14ac:dyDescent="0.25">
      <c r="A7845" s="369"/>
      <c r="E7845" s="396"/>
      <c r="F7845" s="396"/>
      <c r="G7845" s="396"/>
      <c r="K7845" s="370"/>
      <c r="N7845" s="370"/>
    </row>
    <row r="7846" spans="1:14" s="347" customFormat="1" x14ac:dyDescent="0.25">
      <c r="A7846" s="369"/>
      <c r="E7846" s="396"/>
      <c r="F7846" s="396"/>
      <c r="G7846" s="396"/>
      <c r="K7846" s="370"/>
      <c r="N7846" s="370"/>
    </row>
    <row r="7847" spans="1:14" s="347" customFormat="1" x14ac:dyDescent="0.25">
      <c r="A7847" s="369"/>
      <c r="E7847" s="396"/>
      <c r="F7847" s="396"/>
      <c r="G7847" s="396"/>
      <c r="K7847" s="370"/>
      <c r="N7847" s="370"/>
    </row>
    <row r="7848" spans="1:14" s="347" customFormat="1" x14ac:dyDescent="0.25">
      <c r="A7848" s="369"/>
      <c r="E7848" s="396"/>
      <c r="F7848" s="396"/>
      <c r="G7848" s="396"/>
      <c r="K7848" s="370"/>
      <c r="N7848" s="370"/>
    </row>
    <row r="7849" spans="1:14" s="347" customFormat="1" x14ac:dyDescent="0.25">
      <c r="A7849" s="369"/>
      <c r="E7849" s="396"/>
      <c r="F7849" s="396"/>
      <c r="G7849" s="396"/>
      <c r="K7849" s="370"/>
      <c r="N7849" s="370"/>
    </row>
    <row r="7850" spans="1:14" s="347" customFormat="1" x14ac:dyDescent="0.25">
      <c r="A7850" s="369"/>
      <c r="E7850" s="396"/>
      <c r="F7850" s="396"/>
      <c r="G7850" s="396"/>
      <c r="K7850" s="370"/>
      <c r="N7850" s="370"/>
    </row>
    <row r="7851" spans="1:14" s="347" customFormat="1" x14ac:dyDescent="0.25">
      <c r="A7851" s="369"/>
      <c r="E7851" s="396"/>
      <c r="F7851" s="396"/>
      <c r="G7851" s="396"/>
      <c r="K7851" s="370"/>
      <c r="N7851" s="370"/>
    </row>
    <row r="7852" spans="1:14" s="347" customFormat="1" x14ac:dyDescent="0.25">
      <c r="A7852" s="369"/>
      <c r="E7852" s="396"/>
      <c r="F7852" s="396"/>
      <c r="G7852" s="396"/>
      <c r="K7852" s="370"/>
      <c r="N7852" s="370"/>
    </row>
    <row r="7853" spans="1:14" s="347" customFormat="1" x14ac:dyDescent="0.25">
      <c r="A7853" s="369"/>
      <c r="E7853" s="396"/>
      <c r="F7853" s="396"/>
      <c r="G7853" s="396"/>
      <c r="K7853" s="370"/>
      <c r="N7853" s="370"/>
    </row>
    <row r="7854" spans="1:14" s="347" customFormat="1" x14ac:dyDescent="0.25">
      <c r="A7854" s="369"/>
      <c r="E7854" s="396"/>
      <c r="F7854" s="396"/>
      <c r="G7854" s="396"/>
      <c r="K7854" s="370"/>
      <c r="N7854" s="370"/>
    </row>
    <row r="7855" spans="1:14" s="347" customFormat="1" x14ac:dyDescent="0.25">
      <c r="A7855" s="369"/>
      <c r="E7855" s="396"/>
      <c r="F7855" s="396"/>
      <c r="G7855" s="396"/>
      <c r="K7855" s="370"/>
      <c r="N7855" s="370"/>
    </row>
    <row r="7856" spans="1:14" s="347" customFormat="1" x14ac:dyDescent="0.25">
      <c r="A7856" s="369"/>
      <c r="E7856" s="396"/>
      <c r="F7856" s="396"/>
      <c r="G7856" s="396"/>
      <c r="K7856" s="370"/>
      <c r="N7856" s="370"/>
    </row>
    <row r="7857" spans="1:14" s="347" customFormat="1" x14ac:dyDescent="0.25">
      <c r="A7857" s="369"/>
      <c r="E7857" s="396"/>
      <c r="F7857" s="396"/>
      <c r="G7857" s="396"/>
      <c r="K7857" s="370"/>
      <c r="N7857" s="370"/>
    </row>
    <row r="7858" spans="1:14" s="347" customFormat="1" x14ac:dyDescent="0.25">
      <c r="A7858" s="369"/>
      <c r="E7858" s="396"/>
      <c r="F7858" s="396"/>
      <c r="G7858" s="396"/>
      <c r="K7858" s="370"/>
      <c r="N7858" s="370"/>
    </row>
    <row r="7859" spans="1:14" s="347" customFormat="1" x14ac:dyDescent="0.25">
      <c r="A7859" s="369"/>
      <c r="E7859" s="396"/>
      <c r="F7859" s="396"/>
      <c r="G7859" s="396"/>
      <c r="K7859" s="370"/>
      <c r="N7859" s="370"/>
    </row>
    <row r="7860" spans="1:14" s="347" customFormat="1" x14ac:dyDescent="0.25">
      <c r="A7860" s="369"/>
      <c r="E7860" s="396"/>
      <c r="F7860" s="396"/>
      <c r="G7860" s="396"/>
      <c r="K7860" s="370"/>
      <c r="N7860" s="370"/>
    </row>
    <row r="7861" spans="1:14" s="347" customFormat="1" x14ac:dyDescent="0.25">
      <c r="A7861" s="369"/>
      <c r="E7861" s="396"/>
      <c r="F7861" s="396"/>
      <c r="G7861" s="396"/>
      <c r="K7861" s="370"/>
      <c r="N7861" s="370"/>
    </row>
    <row r="7862" spans="1:14" s="347" customFormat="1" x14ac:dyDescent="0.25">
      <c r="A7862" s="369"/>
      <c r="E7862" s="396"/>
      <c r="F7862" s="396"/>
      <c r="G7862" s="396"/>
      <c r="K7862" s="370"/>
      <c r="N7862" s="370"/>
    </row>
    <row r="7863" spans="1:14" s="347" customFormat="1" x14ac:dyDescent="0.25">
      <c r="A7863" s="369"/>
      <c r="E7863" s="396"/>
      <c r="F7863" s="396"/>
      <c r="G7863" s="396"/>
      <c r="K7863" s="370"/>
      <c r="N7863" s="370"/>
    </row>
    <row r="7864" spans="1:14" s="347" customFormat="1" x14ac:dyDescent="0.25">
      <c r="A7864" s="369"/>
      <c r="E7864" s="396"/>
      <c r="F7864" s="396"/>
      <c r="G7864" s="396"/>
      <c r="K7864" s="370"/>
      <c r="N7864" s="370"/>
    </row>
    <row r="7865" spans="1:14" s="347" customFormat="1" x14ac:dyDescent="0.25">
      <c r="A7865" s="369"/>
      <c r="E7865" s="396"/>
      <c r="F7865" s="396"/>
      <c r="G7865" s="396"/>
      <c r="K7865" s="370"/>
      <c r="N7865" s="370"/>
    </row>
    <row r="7866" spans="1:14" s="347" customFormat="1" x14ac:dyDescent="0.25">
      <c r="A7866" s="369"/>
      <c r="E7866" s="396"/>
      <c r="F7866" s="396"/>
      <c r="G7866" s="396"/>
      <c r="K7866" s="370"/>
      <c r="N7866" s="370"/>
    </row>
    <row r="7867" spans="1:14" s="347" customFormat="1" x14ac:dyDescent="0.25">
      <c r="A7867" s="369"/>
      <c r="E7867" s="396"/>
      <c r="F7867" s="396"/>
      <c r="G7867" s="396"/>
      <c r="K7867" s="370"/>
      <c r="N7867" s="370"/>
    </row>
    <row r="7868" spans="1:14" s="347" customFormat="1" x14ac:dyDescent="0.25">
      <c r="A7868" s="369"/>
      <c r="E7868" s="396"/>
      <c r="F7868" s="396"/>
      <c r="G7868" s="396"/>
      <c r="K7868" s="370"/>
      <c r="N7868" s="370"/>
    </row>
    <row r="7869" spans="1:14" s="347" customFormat="1" x14ac:dyDescent="0.25">
      <c r="A7869" s="369"/>
      <c r="E7869" s="396"/>
      <c r="F7869" s="396"/>
      <c r="G7869" s="396"/>
      <c r="K7869" s="370"/>
      <c r="N7869" s="370"/>
    </row>
    <row r="7870" spans="1:14" s="347" customFormat="1" x14ac:dyDescent="0.25">
      <c r="A7870" s="369"/>
      <c r="E7870" s="396"/>
      <c r="F7870" s="396"/>
      <c r="G7870" s="396"/>
      <c r="K7870" s="370"/>
      <c r="N7870" s="370"/>
    </row>
    <row r="7871" spans="1:14" s="347" customFormat="1" x14ac:dyDescent="0.25">
      <c r="A7871" s="369"/>
      <c r="E7871" s="396"/>
      <c r="F7871" s="396"/>
      <c r="G7871" s="396"/>
      <c r="K7871" s="370"/>
      <c r="N7871" s="370"/>
    </row>
    <row r="7872" spans="1:14" s="347" customFormat="1" x14ac:dyDescent="0.25">
      <c r="A7872" s="369"/>
      <c r="E7872" s="396"/>
      <c r="F7872" s="396"/>
      <c r="G7872" s="396"/>
      <c r="K7872" s="370"/>
      <c r="N7872" s="370"/>
    </row>
    <row r="7873" spans="1:14" s="347" customFormat="1" x14ac:dyDescent="0.25">
      <c r="A7873" s="369"/>
      <c r="E7873" s="396"/>
      <c r="F7873" s="396"/>
      <c r="G7873" s="396"/>
      <c r="K7873" s="370"/>
      <c r="N7873" s="370"/>
    </row>
    <row r="7874" spans="1:14" s="347" customFormat="1" x14ac:dyDescent="0.25">
      <c r="A7874" s="369"/>
      <c r="E7874" s="396"/>
      <c r="F7874" s="396"/>
      <c r="G7874" s="396"/>
      <c r="K7874" s="370"/>
      <c r="N7874" s="370"/>
    </row>
    <row r="7875" spans="1:14" s="347" customFormat="1" x14ac:dyDescent="0.25">
      <c r="A7875" s="369"/>
      <c r="E7875" s="396"/>
      <c r="F7875" s="396"/>
      <c r="G7875" s="396"/>
      <c r="K7875" s="370"/>
      <c r="N7875" s="370"/>
    </row>
    <row r="7876" spans="1:14" s="347" customFormat="1" x14ac:dyDescent="0.25">
      <c r="A7876" s="369"/>
      <c r="E7876" s="396"/>
      <c r="F7876" s="396"/>
      <c r="G7876" s="396"/>
      <c r="K7876" s="370"/>
      <c r="N7876" s="370"/>
    </row>
    <row r="7877" spans="1:14" s="347" customFormat="1" x14ac:dyDescent="0.25">
      <c r="A7877" s="369"/>
      <c r="E7877" s="396"/>
      <c r="F7877" s="396"/>
      <c r="G7877" s="396"/>
      <c r="K7877" s="370"/>
      <c r="N7877" s="370"/>
    </row>
    <row r="7878" spans="1:14" s="347" customFormat="1" x14ac:dyDescent="0.25">
      <c r="A7878" s="369"/>
      <c r="E7878" s="396"/>
      <c r="F7878" s="396"/>
      <c r="G7878" s="396"/>
      <c r="K7878" s="370"/>
      <c r="N7878" s="370"/>
    </row>
    <row r="7879" spans="1:14" s="347" customFormat="1" x14ac:dyDescent="0.25">
      <c r="A7879" s="369"/>
      <c r="E7879" s="396"/>
      <c r="F7879" s="396"/>
      <c r="G7879" s="396"/>
      <c r="K7879" s="370"/>
      <c r="N7879" s="370"/>
    </row>
    <row r="7880" spans="1:14" s="347" customFormat="1" x14ac:dyDescent="0.25">
      <c r="A7880" s="369"/>
      <c r="E7880" s="396"/>
      <c r="F7880" s="396"/>
      <c r="G7880" s="396"/>
      <c r="K7880" s="370"/>
      <c r="N7880" s="370"/>
    </row>
    <row r="7881" spans="1:14" s="347" customFormat="1" x14ac:dyDescent="0.25">
      <c r="A7881" s="369"/>
      <c r="E7881" s="396"/>
      <c r="F7881" s="396"/>
      <c r="G7881" s="396"/>
      <c r="K7881" s="370"/>
      <c r="N7881" s="370"/>
    </row>
    <row r="7882" spans="1:14" s="347" customFormat="1" x14ac:dyDescent="0.25">
      <c r="A7882" s="369"/>
      <c r="E7882" s="396"/>
      <c r="F7882" s="396"/>
      <c r="G7882" s="396"/>
      <c r="K7882" s="370"/>
      <c r="N7882" s="370"/>
    </row>
    <row r="7883" spans="1:14" s="347" customFormat="1" x14ac:dyDescent="0.25">
      <c r="A7883" s="369"/>
      <c r="E7883" s="396"/>
      <c r="F7883" s="396"/>
      <c r="G7883" s="396"/>
      <c r="K7883" s="370"/>
      <c r="N7883" s="370"/>
    </row>
    <row r="7884" spans="1:14" s="347" customFormat="1" x14ac:dyDescent="0.25">
      <c r="A7884" s="369"/>
      <c r="E7884" s="396"/>
      <c r="F7884" s="396"/>
      <c r="G7884" s="396"/>
      <c r="K7884" s="370"/>
      <c r="N7884" s="370"/>
    </row>
    <row r="7885" spans="1:14" s="347" customFormat="1" x14ac:dyDescent="0.25">
      <c r="A7885" s="369"/>
      <c r="E7885" s="396"/>
      <c r="F7885" s="396"/>
      <c r="G7885" s="396"/>
      <c r="K7885" s="370"/>
      <c r="N7885" s="370"/>
    </row>
    <row r="7886" spans="1:14" s="347" customFormat="1" x14ac:dyDescent="0.25">
      <c r="A7886" s="369"/>
      <c r="E7886" s="396"/>
      <c r="F7886" s="396"/>
      <c r="G7886" s="396"/>
      <c r="K7886" s="370"/>
      <c r="N7886" s="370"/>
    </row>
    <row r="7887" spans="1:14" s="347" customFormat="1" x14ac:dyDescent="0.25">
      <c r="A7887" s="369"/>
      <c r="E7887" s="396"/>
      <c r="F7887" s="396"/>
      <c r="G7887" s="396"/>
      <c r="K7887" s="370"/>
      <c r="N7887" s="370"/>
    </row>
    <row r="7888" spans="1:14" s="347" customFormat="1" x14ac:dyDescent="0.25">
      <c r="A7888" s="369"/>
      <c r="E7888" s="396"/>
      <c r="F7888" s="396"/>
      <c r="G7888" s="396"/>
      <c r="K7888" s="370"/>
      <c r="N7888" s="370"/>
    </row>
    <row r="7889" spans="1:14" s="347" customFormat="1" x14ac:dyDescent="0.25">
      <c r="A7889" s="369"/>
      <c r="E7889" s="396"/>
      <c r="F7889" s="396"/>
      <c r="G7889" s="396"/>
      <c r="K7889" s="370"/>
      <c r="N7889" s="370"/>
    </row>
    <row r="7890" spans="1:14" s="347" customFormat="1" x14ac:dyDescent="0.25">
      <c r="A7890" s="369"/>
      <c r="E7890" s="396"/>
      <c r="F7890" s="396"/>
      <c r="G7890" s="396"/>
      <c r="K7890" s="370"/>
      <c r="N7890" s="370"/>
    </row>
    <row r="7891" spans="1:14" s="347" customFormat="1" x14ac:dyDescent="0.25">
      <c r="A7891" s="369"/>
      <c r="E7891" s="396"/>
      <c r="F7891" s="396"/>
      <c r="G7891" s="396"/>
      <c r="K7891" s="370"/>
      <c r="N7891" s="370"/>
    </row>
    <row r="7892" spans="1:14" s="347" customFormat="1" x14ac:dyDescent="0.25">
      <c r="A7892" s="369"/>
      <c r="E7892" s="396"/>
      <c r="F7892" s="396"/>
      <c r="G7892" s="396"/>
      <c r="K7892" s="370"/>
      <c r="N7892" s="370"/>
    </row>
    <row r="7893" spans="1:14" s="347" customFormat="1" x14ac:dyDescent="0.25">
      <c r="A7893" s="369"/>
      <c r="E7893" s="396"/>
      <c r="F7893" s="396"/>
      <c r="G7893" s="396"/>
      <c r="K7893" s="370"/>
      <c r="N7893" s="370"/>
    </row>
    <row r="7894" spans="1:14" s="347" customFormat="1" x14ac:dyDescent="0.25">
      <c r="A7894" s="369"/>
      <c r="E7894" s="396"/>
      <c r="F7894" s="396"/>
      <c r="G7894" s="396"/>
      <c r="K7894" s="370"/>
      <c r="N7894" s="370"/>
    </row>
    <row r="7895" spans="1:14" s="347" customFormat="1" x14ac:dyDescent="0.25">
      <c r="A7895" s="369"/>
      <c r="E7895" s="396"/>
      <c r="F7895" s="396"/>
      <c r="G7895" s="396"/>
      <c r="K7895" s="370"/>
      <c r="N7895" s="370"/>
    </row>
    <row r="7896" spans="1:14" s="347" customFormat="1" x14ac:dyDescent="0.25">
      <c r="A7896" s="369"/>
      <c r="E7896" s="396"/>
      <c r="F7896" s="396"/>
      <c r="G7896" s="396"/>
      <c r="K7896" s="370"/>
      <c r="N7896" s="370"/>
    </row>
    <row r="7897" spans="1:14" s="347" customFormat="1" x14ac:dyDescent="0.25">
      <c r="A7897" s="369"/>
      <c r="E7897" s="396"/>
      <c r="F7897" s="396"/>
      <c r="G7897" s="396"/>
      <c r="K7897" s="370"/>
      <c r="N7897" s="370"/>
    </row>
    <row r="7898" spans="1:14" s="347" customFormat="1" x14ac:dyDescent="0.25">
      <c r="A7898" s="369"/>
      <c r="E7898" s="396"/>
      <c r="F7898" s="396"/>
      <c r="G7898" s="396"/>
      <c r="K7898" s="370"/>
      <c r="N7898" s="370"/>
    </row>
    <row r="7899" spans="1:14" s="347" customFormat="1" x14ac:dyDescent="0.25">
      <c r="A7899" s="369"/>
      <c r="E7899" s="396"/>
      <c r="F7899" s="396"/>
      <c r="G7899" s="396"/>
      <c r="K7899" s="370"/>
      <c r="N7899" s="370"/>
    </row>
    <row r="7900" spans="1:14" s="347" customFormat="1" x14ac:dyDescent="0.25">
      <c r="A7900" s="369"/>
      <c r="E7900" s="396"/>
      <c r="F7900" s="396"/>
      <c r="G7900" s="396"/>
      <c r="K7900" s="370"/>
      <c r="N7900" s="370"/>
    </row>
    <row r="7901" spans="1:14" s="347" customFormat="1" x14ac:dyDescent="0.25">
      <c r="A7901" s="369"/>
      <c r="E7901" s="396"/>
      <c r="F7901" s="396"/>
      <c r="G7901" s="396"/>
      <c r="K7901" s="370"/>
      <c r="N7901" s="370"/>
    </row>
    <row r="7902" spans="1:14" s="347" customFormat="1" x14ac:dyDescent="0.25">
      <c r="A7902" s="369"/>
      <c r="E7902" s="396"/>
      <c r="F7902" s="396"/>
      <c r="G7902" s="396"/>
      <c r="K7902" s="370"/>
      <c r="N7902" s="370"/>
    </row>
    <row r="7903" spans="1:14" s="347" customFormat="1" x14ac:dyDescent="0.25">
      <c r="A7903" s="369"/>
      <c r="E7903" s="396"/>
      <c r="F7903" s="396"/>
      <c r="G7903" s="396"/>
      <c r="K7903" s="370"/>
      <c r="N7903" s="370"/>
    </row>
    <row r="7904" spans="1:14" s="347" customFormat="1" x14ac:dyDescent="0.25">
      <c r="A7904" s="369"/>
      <c r="E7904" s="396"/>
      <c r="F7904" s="396"/>
      <c r="G7904" s="396"/>
      <c r="K7904" s="370"/>
      <c r="N7904" s="370"/>
    </row>
    <row r="7905" spans="1:14" s="347" customFormat="1" x14ac:dyDescent="0.25">
      <c r="A7905" s="369"/>
      <c r="E7905" s="396"/>
      <c r="F7905" s="396"/>
      <c r="G7905" s="396"/>
      <c r="K7905" s="370"/>
      <c r="N7905" s="370"/>
    </row>
    <row r="7906" spans="1:14" s="347" customFormat="1" x14ac:dyDescent="0.25">
      <c r="A7906" s="369"/>
      <c r="E7906" s="396"/>
      <c r="F7906" s="396"/>
      <c r="G7906" s="396"/>
      <c r="K7906" s="370"/>
      <c r="N7906" s="370"/>
    </row>
    <row r="7907" spans="1:14" s="347" customFormat="1" x14ac:dyDescent="0.25">
      <c r="A7907" s="369"/>
      <c r="E7907" s="396"/>
      <c r="F7907" s="396"/>
      <c r="G7907" s="396"/>
      <c r="K7907" s="370"/>
      <c r="N7907" s="370"/>
    </row>
    <row r="7908" spans="1:14" s="347" customFormat="1" x14ac:dyDescent="0.25">
      <c r="A7908" s="369"/>
      <c r="E7908" s="396"/>
      <c r="F7908" s="396"/>
      <c r="G7908" s="396"/>
      <c r="K7908" s="370"/>
      <c r="N7908" s="370"/>
    </row>
    <row r="7909" spans="1:14" s="347" customFormat="1" x14ac:dyDescent="0.25">
      <c r="A7909" s="369"/>
      <c r="E7909" s="396"/>
      <c r="F7909" s="396"/>
      <c r="G7909" s="396"/>
      <c r="K7909" s="370"/>
      <c r="N7909" s="370"/>
    </row>
    <row r="7910" spans="1:14" s="347" customFormat="1" x14ac:dyDescent="0.25">
      <c r="A7910" s="369"/>
      <c r="E7910" s="396"/>
      <c r="F7910" s="396"/>
      <c r="G7910" s="396"/>
      <c r="K7910" s="370"/>
      <c r="N7910" s="370"/>
    </row>
    <row r="7911" spans="1:14" s="347" customFormat="1" x14ac:dyDescent="0.25">
      <c r="A7911" s="369"/>
      <c r="E7911" s="396"/>
      <c r="F7911" s="396"/>
      <c r="G7911" s="396"/>
      <c r="K7911" s="370"/>
      <c r="N7911" s="370"/>
    </row>
    <row r="7912" spans="1:14" s="347" customFormat="1" x14ac:dyDescent="0.25">
      <c r="A7912" s="369"/>
      <c r="E7912" s="396"/>
      <c r="F7912" s="396"/>
      <c r="G7912" s="396"/>
      <c r="K7912" s="370"/>
      <c r="N7912" s="370"/>
    </row>
    <row r="7913" spans="1:14" s="347" customFormat="1" x14ac:dyDescent="0.25">
      <c r="A7913" s="369"/>
      <c r="E7913" s="396"/>
      <c r="F7913" s="396"/>
      <c r="G7913" s="396"/>
      <c r="K7913" s="370"/>
      <c r="N7913" s="370"/>
    </row>
    <row r="7914" spans="1:14" s="347" customFormat="1" x14ac:dyDescent="0.25">
      <c r="A7914" s="369"/>
      <c r="E7914" s="396"/>
      <c r="F7914" s="396"/>
      <c r="G7914" s="396"/>
      <c r="K7914" s="370"/>
      <c r="N7914" s="370"/>
    </row>
    <row r="7915" spans="1:14" s="347" customFormat="1" x14ac:dyDescent="0.25">
      <c r="A7915" s="369"/>
      <c r="E7915" s="396"/>
      <c r="F7915" s="396"/>
      <c r="G7915" s="396"/>
      <c r="K7915" s="370"/>
      <c r="N7915" s="370"/>
    </row>
    <row r="7916" spans="1:14" s="347" customFormat="1" x14ac:dyDescent="0.25">
      <c r="A7916" s="369"/>
      <c r="E7916" s="396"/>
      <c r="F7916" s="396"/>
      <c r="G7916" s="396"/>
      <c r="K7916" s="370"/>
      <c r="N7916" s="370"/>
    </row>
    <row r="7917" spans="1:14" s="347" customFormat="1" x14ac:dyDescent="0.25">
      <c r="A7917" s="369"/>
      <c r="E7917" s="396"/>
      <c r="F7917" s="396"/>
      <c r="G7917" s="396"/>
      <c r="K7917" s="370"/>
      <c r="N7917" s="370"/>
    </row>
    <row r="7918" spans="1:14" s="347" customFormat="1" x14ac:dyDescent="0.25">
      <c r="A7918" s="369"/>
      <c r="E7918" s="396"/>
      <c r="F7918" s="396"/>
      <c r="G7918" s="396"/>
      <c r="K7918" s="370"/>
      <c r="N7918" s="370"/>
    </row>
    <row r="7919" spans="1:14" s="347" customFormat="1" x14ac:dyDescent="0.25">
      <c r="A7919" s="369"/>
      <c r="E7919" s="396"/>
      <c r="F7919" s="396"/>
      <c r="G7919" s="396"/>
      <c r="K7919" s="370"/>
      <c r="N7919" s="370"/>
    </row>
    <row r="7920" spans="1:14" s="347" customFormat="1" x14ac:dyDescent="0.25">
      <c r="A7920" s="369"/>
      <c r="E7920" s="396"/>
      <c r="F7920" s="396"/>
      <c r="G7920" s="396"/>
      <c r="K7920" s="370"/>
      <c r="N7920" s="370"/>
    </row>
    <row r="7921" spans="1:14" s="347" customFormat="1" x14ac:dyDescent="0.25">
      <c r="A7921" s="369"/>
      <c r="E7921" s="396"/>
      <c r="F7921" s="396"/>
      <c r="G7921" s="396"/>
      <c r="K7921" s="370"/>
      <c r="N7921" s="370"/>
    </row>
    <row r="7922" spans="1:14" s="347" customFormat="1" x14ac:dyDescent="0.25">
      <c r="A7922" s="369"/>
      <c r="E7922" s="396"/>
      <c r="F7922" s="396"/>
      <c r="G7922" s="396"/>
      <c r="K7922" s="370"/>
      <c r="N7922" s="370"/>
    </row>
    <row r="7923" spans="1:14" s="347" customFormat="1" x14ac:dyDescent="0.25">
      <c r="A7923" s="369"/>
      <c r="E7923" s="396"/>
      <c r="F7923" s="396"/>
      <c r="G7923" s="396"/>
      <c r="K7923" s="370"/>
      <c r="N7923" s="370"/>
    </row>
    <row r="7924" spans="1:14" s="347" customFormat="1" x14ac:dyDescent="0.25">
      <c r="A7924" s="369"/>
      <c r="E7924" s="396"/>
      <c r="F7924" s="396"/>
      <c r="G7924" s="396"/>
      <c r="K7924" s="370"/>
      <c r="N7924" s="370"/>
    </row>
    <row r="7925" spans="1:14" s="347" customFormat="1" x14ac:dyDescent="0.25">
      <c r="A7925" s="369"/>
      <c r="E7925" s="396"/>
      <c r="F7925" s="396"/>
      <c r="G7925" s="396"/>
      <c r="K7925" s="370"/>
      <c r="N7925" s="370"/>
    </row>
    <row r="7926" spans="1:14" s="347" customFormat="1" x14ac:dyDescent="0.25">
      <c r="A7926" s="369"/>
      <c r="E7926" s="396"/>
      <c r="F7926" s="396"/>
      <c r="G7926" s="396"/>
      <c r="K7926" s="370"/>
      <c r="N7926" s="370"/>
    </row>
    <row r="7927" spans="1:14" s="347" customFormat="1" x14ac:dyDescent="0.25">
      <c r="A7927" s="369"/>
      <c r="E7927" s="396"/>
      <c r="F7927" s="396"/>
      <c r="G7927" s="396"/>
      <c r="K7927" s="370"/>
      <c r="N7927" s="370"/>
    </row>
    <row r="7928" spans="1:14" s="347" customFormat="1" x14ac:dyDescent="0.25">
      <c r="A7928" s="369"/>
      <c r="E7928" s="396"/>
      <c r="F7928" s="396"/>
      <c r="G7928" s="396"/>
      <c r="K7928" s="370"/>
      <c r="N7928" s="370"/>
    </row>
    <row r="7929" spans="1:14" s="347" customFormat="1" x14ac:dyDescent="0.25">
      <c r="A7929" s="369"/>
      <c r="E7929" s="396"/>
      <c r="F7929" s="396"/>
      <c r="G7929" s="396"/>
      <c r="K7929" s="370"/>
      <c r="N7929" s="370"/>
    </row>
    <row r="7930" spans="1:14" s="347" customFormat="1" x14ac:dyDescent="0.25">
      <c r="A7930" s="369"/>
      <c r="E7930" s="396"/>
      <c r="F7930" s="396"/>
      <c r="G7930" s="396"/>
      <c r="K7930" s="370"/>
      <c r="N7930" s="370"/>
    </row>
    <row r="7931" spans="1:14" s="347" customFormat="1" x14ac:dyDescent="0.25">
      <c r="A7931" s="369"/>
      <c r="E7931" s="396"/>
      <c r="F7931" s="396"/>
      <c r="G7931" s="396"/>
      <c r="K7931" s="370"/>
      <c r="N7931" s="370"/>
    </row>
    <row r="7932" spans="1:14" s="347" customFormat="1" x14ac:dyDescent="0.25">
      <c r="A7932" s="369"/>
      <c r="E7932" s="396"/>
      <c r="F7932" s="396"/>
      <c r="G7932" s="396"/>
      <c r="K7932" s="370"/>
      <c r="N7932" s="370"/>
    </row>
    <row r="7933" spans="1:14" s="347" customFormat="1" x14ac:dyDescent="0.25">
      <c r="A7933" s="369"/>
      <c r="E7933" s="396"/>
      <c r="F7933" s="396"/>
      <c r="G7933" s="396"/>
      <c r="K7933" s="370"/>
      <c r="N7933" s="370"/>
    </row>
    <row r="7934" spans="1:14" s="347" customFormat="1" x14ac:dyDescent="0.25">
      <c r="A7934" s="369"/>
      <c r="E7934" s="396"/>
      <c r="F7934" s="396"/>
      <c r="G7934" s="396"/>
      <c r="K7934" s="370"/>
      <c r="N7934" s="370"/>
    </row>
    <row r="7935" spans="1:14" s="347" customFormat="1" x14ac:dyDescent="0.25">
      <c r="A7935" s="369"/>
      <c r="E7935" s="396"/>
      <c r="F7935" s="396"/>
      <c r="G7935" s="396"/>
      <c r="K7935" s="370"/>
      <c r="N7935" s="370"/>
    </row>
    <row r="7936" spans="1:14" s="347" customFormat="1" x14ac:dyDescent="0.25">
      <c r="A7936" s="369"/>
      <c r="E7936" s="396"/>
      <c r="F7936" s="396"/>
      <c r="G7936" s="396"/>
      <c r="K7936" s="370"/>
      <c r="N7936" s="370"/>
    </row>
    <row r="7937" spans="1:14" s="347" customFormat="1" x14ac:dyDescent="0.25">
      <c r="A7937" s="369"/>
      <c r="E7937" s="396"/>
      <c r="F7937" s="396"/>
      <c r="G7937" s="396"/>
      <c r="K7937" s="370"/>
      <c r="N7937" s="370"/>
    </row>
    <row r="7938" spans="1:14" s="347" customFormat="1" x14ac:dyDescent="0.25">
      <c r="A7938" s="369"/>
      <c r="E7938" s="396"/>
      <c r="F7938" s="396"/>
      <c r="G7938" s="396"/>
      <c r="K7938" s="370"/>
      <c r="N7938" s="370"/>
    </row>
    <row r="7939" spans="1:14" s="347" customFormat="1" x14ac:dyDescent="0.25">
      <c r="A7939" s="369"/>
      <c r="E7939" s="396"/>
      <c r="F7939" s="396"/>
      <c r="G7939" s="396"/>
      <c r="K7939" s="370"/>
      <c r="N7939" s="370"/>
    </row>
    <row r="7940" spans="1:14" s="347" customFormat="1" x14ac:dyDescent="0.25">
      <c r="A7940" s="369"/>
      <c r="E7940" s="396"/>
      <c r="F7940" s="396"/>
      <c r="G7940" s="396"/>
      <c r="K7940" s="370"/>
      <c r="N7940" s="370"/>
    </row>
    <row r="7941" spans="1:14" s="347" customFormat="1" x14ac:dyDescent="0.25">
      <c r="A7941" s="369"/>
      <c r="E7941" s="396"/>
      <c r="F7941" s="396"/>
      <c r="G7941" s="396"/>
      <c r="K7941" s="370"/>
      <c r="N7941" s="370"/>
    </row>
    <row r="7942" spans="1:14" s="347" customFormat="1" x14ac:dyDescent="0.25">
      <c r="A7942" s="369"/>
      <c r="E7942" s="396"/>
      <c r="F7942" s="396"/>
      <c r="G7942" s="396"/>
      <c r="K7942" s="370"/>
      <c r="N7942" s="370"/>
    </row>
    <row r="7943" spans="1:14" s="347" customFormat="1" x14ac:dyDescent="0.25">
      <c r="A7943" s="369"/>
      <c r="E7943" s="396"/>
      <c r="F7943" s="396"/>
      <c r="G7943" s="396"/>
      <c r="K7943" s="370"/>
      <c r="N7943" s="370"/>
    </row>
    <row r="7944" spans="1:14" s="347" customFormat="1" x14ac:dyDescent="0.25">
      <c r="A7944" s="369"/>
      <c r="E7944" s="396"/>
      <c r="F7944" s="396"/>
      <c r="G7944" s="396"/>
      <c r="K7944" s="370"/>
      <c r="N7944" s="370"/>
    </row>
    <row r="7945" spans="1:14" s="347" customFormat="1" x14ac:dyDescent="0.25">
      <c r="A7945" s="369"/>
      <c r="E7945" s="396"/>
      <c r="F7945" s="396"/>
      <c r="G7945" s="396"/>
      <c r="K7945" s="370"/>
      <c r="N7945" s="370"/>
    </row>
    <row r="7946" spans="1:14" s="347" customFormat="1" x14ac:dyDescent="0.25">
      <c r="A7946" s="369"/>
      <c r="E7946" s="396"/>
      <c r="F7946" s="396"/>
      <c r="G7946" s="396"/>
      <c r="K7946" s="370"/>
      <c r="N7946" s="370"/>
    </row>
    <row r="7947" spans="1:14" s="347" customFormat="1" x14ac:dyDescent="0.25">
      <c r="A7947" s="369"/>
      <c r="E7947" s="396"/>
      <c r="F7947" s="396"/>
      <c r="G7947" s="396"/>
      <c r="K7947" s="370"/>
      <c r="N7947" s="370"/>
    </row>
    <row r="7948" spans="1:14" s="347" customFormat="1" x14ac:dyDescent="0.25">
      <c r="A7948" s="369"/>
      <c r="E7948" s="396"/>
      <c r="F7948" s="396"/>
      <c r="G7948" s="396"/>
      <c r="K7948" s="370"/>
      <c r="N7948" s="370"/>
    </row>
    <row r="7949" spans="1:14" s="347" customFormat="1" x14ac:dyDescent="0.25">
      <c r="A7949" s="369"/>
      <c r="E7949" s="396"/>
      <c r="F7949" s="396"/>
      <c r="G7949" s="396"/>
      <c r="K7949" s="370"/>
      <c r="N7949" s="370"/>
    </row>
    <row r="7950" spans="1:14" s="347" customFormat="1" x14ac:dyDescent="0.25">
      <c r="A7950" s="369"/>
      <c r="E7950" s="396"/>
      <c r="F7950" s="396"/>
      <c r="G7950" s="396"/>
      <c r="K7950" s="370"/>
      <c r="N7950" s="370"/>
    </row>
    <row r="7951" spans="1:14" s="347" customFormat="1" x14ac:dyDescent="0.25">
      <c r="A7951" s="369"/>
      <c r="E7951" s="396"/>
      <c r="F7951" s="396"/>
      <c r="G7951" s="396"/>
      <c r="K7951" s="370"/>
      <c r="N7951" s="370"/>
    </row>
    <row r="7952" spans="1:14" s="347" customFormat="1" x14ac:dyDescent="0.25">
      <c r="A7952" s="369"/>
      <c r="E7952" s="396"/>
      <c r="F7952" s="396"/>
      <c r="G7952" s="396"/>
      <c r="K7952" s="370"/>
      <c r="N7952" s="370"/>
    </row>
    <row r="7953" spans="1:14" s="347" customFormat="1" x14ac:dyDescent="0.25">
      <c r="A7953" s="369"/>
      <c r="E7953" s="396"/>
      <c r="F7953" s="396"/>
      <c r="G7953" s="396"/>
      <c r="K7953" s="370"/>
      <c r="N7953" s="370"/>
    </row>
    <row r="7954" spans="1:14" s="347" customFormat="1" x14ac:dyDescent="0.25">
      <c r="A7954" s="369"/>
      <c r="E7954" s="396"/>
      <c r="F7954" s="396"/>
      <c r="G7954" s="396"/>
      <c r="K7954" s="370"/>
      <c r="N7954" s="370"/>
    </row>
    <row r="7955" spans="1:14" s="347" customFormat="1" x14ac:dyDescent="0.25">
      <c r="A7955" s="369"/>
      <c r="E7955" s="396"/>
      <c r="F7955" s="396"/>
      <c r="G7955" s="396"/>
      <c r="K7955" s="370"/>
      <c r="N7955" s="370"/>
    </row>
    <row r="7956" spans="1:14" s="347" customFormat="1" x14ac:dyDescent="0.25">
      <c r="A7956" s="369"/>
      <c r="E7956" s="396"/>
      <c r="F7956" s="396"/>
      <c r="G7956" s="396"/>
      <c r="K7956" s="370"/>
      <c r="N7956" s="370"/>
    </row>
    <row r="7957" spans="1:14" s="347" customFormat="1" x14ac:dyDescent="0.25">
      <c r="A7957" s="369"/>
      <c r="E7957" s="396"/>
      <c r="F7957" s="396"/>
      <c r="G7957" s="396"/>
      <c r="K7957" s="370"/>
      <c r="N7957" s="370"/>
    </row>
    <row r="7958" spans="1:14" s="347" customFormat="1" x14ac:dyDescent="0.25">
      <c r="A7958" s="369"/>
      <c r="E7958" s="396"/>
      <c r="F7958" s="396"/>
      <c r="G7958" s="396"/>
      <c r="K7958" s="370"/>
      <c r="N7958" s="370"/>
    </row>
    <row r="7959" spans="1:14" s="347" customFormat="1" x14ac:dyDescent="0.25">
      <c r="A7959" s="369"/>
      <c r="E7959" s="396"/>
      <c r="F7959" s="396"/>
      <c r="G7959" s="396"/>
      <c r="K7959" s="370"/>
      <c r="N7959" s="370"/>
    </row>
    <row r="7960" spans="1:14" s="347" customFormat="1" x14ac:dyDescent="0.25">
      <c r="A7960" s="369"/>
      <c r="E7960" s="396"/>
      <c r="F7960" s="396"/>
      <c r="G7960" s="396"/>
      <c r="K7960" s="370"/>
      <c r="N7960" s="370"/>
    </row>
    <row r="7961" spans="1:14" s="347" customFormat="1" x14ac:dyDescent="0.25">
      <c r="A7961" s="369"/>
      <c r="E7961" s="396"/>
      <c r="F7961" s="396"/>
      <c r="G7961" s="396"/>
      <c r="K7961" s="370"/>
      <c r="N7961" s="370"/>
    </row>
    <row r="7962" spans="1:14" s="347" customFormat="1" x14ac:dyDescent="0.25">
      <c r="A7962" s="369"/>
      <c r="E7962" s="396"/>
      <c r="F7962" s="396"/>
      <c r="G7962" s="396"/>
      <c r="K7962" s="370"/>
      <c r="N7962" s="370"/>
    </row>
    <row r="7963" spans="1:14" s="347" customFormat="1" x14ac:dyDescent="0.25">
      <c r="A7963" s="369"/>
      <c r="E7963" s="396"/>
      <c r="F7963" s="396"/>
      <c r="G7963" s="396"/>
      <c r="K7963" s="370"/>
      <c r="N7963" s="370"/>
    </row>
    <row r="7964" spans="1:14" s="347" customFormat="1" x14ac:dyDescent="0.25">
      <c r="A7964" s="369"/>
      <c r="E7964" s="396"/>
      <c r="F7964" s="396"/>
      <c r="G7964" s="396"/>
      <c r="K7964" s="370"/>
      <c r="N7964" s="370"/>
    </row>
    <row r="7965" spans="1:14" s="347" customFormat="1" x14ac:dyDescent="0.25">
      <c r="A7965" s="369"/>
      <c r="E7965" s="396"/>
      <c r="F7965" s="396"/>
      <c r="G7965" s="396"/>
      <c r="K7965" s="370"/>
      <c r="N7965" s="370"/>
    </row>
    <row r="7966" spans="1:14" s="347" customFormat="1" x14ac:dyDescent="0.25">
      <c r="A7966" s="369"/>
      <c r="E7966" s="396"/>
      <c r="F7966" s="396"/>
      <c r="G7966" s="396"/>
      <c r="K7966" s="370"/>
      <c r="N7966" s="370"/>
    </row>
    <row r="7967" spans="1:14" s="347" customFormat="1" x14ac:dyDescent="0.25">
      <c r="A7967" s="369"/>
      <c r="E7967" s="396"/>
      <c r="F7967" s="396"/>
      <c r="G7967" s="396"/>
      <c r="K7967" s="370"/>
      <c r="N7967" s="370"/>
    </row>
    <row r="7968" spans="1:14" s="347" customFormat="1" x14ac:dyDescent="0.25">
      <c r="A7968" s="369"/>
      <c r="E7968" s="396"/>
      <c r="F7968" s="396"/>
      <c r="G7968" s="396"/>
      <c r="K7968" s="370"/>
      <c r="N7968" s="370"/>
    </row>
    <row r="7969" spans="1:14" s="347" customFormat="1" x14ac:dyDescent="0.25">
      <c r="A7969" s="369"/>
      <c r="E7969" s="396"/>
      <c r="F7969" s="396"/>
      <c r="G7969" s="396"/>
      <c r="K7969" s="370"/>
      <c r="N7969" s="370"/>
    </row>
    <row r="7970" spans="1:14" s="347" customFormat="1" x14ac:dyDescent="0.25">
      <c r="A7970" s="369"/>
      <c r="E7970" s="396"/>
      <c r="F7970" s="396"/>
      <c r="G7970" s="396"/>
      <c r="K7970" s="370"/>
      <c r="N7970" s="370"/>
    </row>
    <row r="7971" spans="1:14" s="347" customFormat="1" x14ac:dyDescent="0.25">
      <c r="A7971" s="369"/>
      <c r="E7971" s="396"/>
      <c r="F7971" s="396"/>
      <c r="G7971" s="396"/>
      <c r="K7971" s="370"/>
      <c r="N7971" s="370"/>
    </row>
    <row r="7972" spans="1:14" s="347" customFormat="1" x14ac:dyDescent="0.25">
      <c r="A7972" s="369"/>
      <c r="E7972" s="396"/>
      <c r="F7972" s="396"/>
      <c r="G7972" s="396"/>
      <c r="K7972" s="370"/>
      <c r="N7972" s="370"/>
    </row>
    <row r="7973" spans="1:14" s="347" customFormat="1" x14ac:dyDescent="0.25">
      <c r="A7973" s="369"/>
      <c r="E7973" s="396"/>
      <c r="F7973" s="396"/>
      <c r="G7973" s="396"/>
      <c r="K7973" s="370"/>
      <c r="N7973" s="370"/>
    </row>
    <row r="7974" spans="1:14" s="347" customFormat="1" x14ac:dyDescent="0.25">
      <c r="A7974" s="369"/>
      <c r="E7974" s="396"/>
      <c r="F7974" s="396"/>
      <c r="G7974" s="396"/>
      <c r="K7974" s="370"/>
      <c r="N7974" s="370"/>
    </row>
    <row r="7975" spans="1:14" s="347" customFormat="1" x14ac:dyDescent="0.25">
      <c r="A7975" s="369"/>
      <c r="E7975" s="396"/>
      <c r="F7975" s="396"/>
      <c r="G7975" s="396"/>
      <c r="K7975" s="370"/>
      <c r="N7975" s="370"/>
    </row>
    <row r="7976" spans="1:14" s="347" customFormat="1" x14ac:dyDescent="0.25">
      <c r="A7976" s="369"/>
      <c r="E7976" s="396"/>
      <c r="F7976" s="396"/>
      <c r="G7976" s="396"/>
      <c r="K7976" s="370"/>
      <c r="N7976" s="370"/>
    </row>
    <row r="7977" spans="1:14" s="347" customFormat="1" x14ac:dyDescent="0.25">
      <c r="A7977" s="369"/>
      <c r="E7977" s="396"/>
      <c r="F7977" s="396"/>
      <c r="G7977" s="396"/>
      <c r="K7977" s="370"/>
      <c r="N7977" s="370"/>
    </row>
    <row r="7978" spans="1:14" s="347" customFormat="1" x14ac:dyDescent="0.25">
      <c r="A7978" s="369"/>
      <c r="E7978" s="396"/>
      <c r="F7978" s="396"/>
      <c r="G7978" s="396"/>
      <c r="K7978" s="370"/>
      <c r="N7978" s="370"/>
    </row>
    <row r="7979" spans="1:14" s="347" customFormat="1" x14ac:dyDescent="0.25">
      <c r="A7979" s="369"/>
      <c r="E7979" s="396"/>
      <c r="F7979" s="396"/>
      <c r="G7979" s="396"/>
      <c r="K7979" s="370"/>
      <c r="N7979" s="370"/>
    </row>
    <row r="7980" spans="1:14" s="347" customFormat="1" x14ac:dyDescent="0.25">
      <c r="A7980" s="369"/>
      <c r="E7980" s="396"/>
      <c r="F7980" s="396"/>
      <c r="G7980" s="396"/>
      <c r="K7980" s="370"/>
      <c r="N7980" s="370"/>
    </row>
    <row r="7981" spans="1:14" s="347" customFormat="1" x14ac:dyDescent="0.25">
      <c r="A7981" s="369"/>
      <c r="E7981" s="396"/>
      <c r="F7981" s="396"/>
      <c r="G7981" s="396"/>
      <c r="K7981" s="370"/>
      <c r="N7981" s="370"/>
    </row>
    <row r="7982" spans="1:14" s="347" customFormat="1" x14ac:dyDescent="0.25">
      <c r="A7982" s="369"/>
      <c r="E7982" s="396"/>
      <c r="F7982" s="396"/>
      <c r="G7982" s="396"/>
      <c r="K7982" s="370"/>
      <c r="N7982" s="370"/>
    </row>
    <row r="7983" spans="1:14" s="347" customFormat="1" x14ac:dyDescent="0.25">
      <c r="A7983" s="369"/>
      <c r="E7983" s="396"/>
      <c r="F7983" s="396"/>
      <c r="G7983" s="396"/>
      <c r="K7983" s="370"/>
      <c r="N7983" s="370"/>
    </row>
    <row r="7984" spans="1:14" s="347" customFormat="1" x14ac:dyDescent="0.25">
      <c r="A7984" s="369"/>
      <c r="E7984" s="396"/>
      <c r="F7984" s="396"/>
      <c r="G7984" s="396"/>
      <c r="K7984" s="370"/>
      <c r="N7984" s="370"/>
    </row>
    <row r="7985" spans="1:14" s="347" customFormat="1" x14ac:dyDescent="0.25">
      <c r="A7985" s="369"/>
      <c r="E7985" s="396"/>
      <c r="F7985" s="396"/>
      <c r="G7985" s="396"/>
      <c r="K7985" s="370"/>
      <c r="N7985" s="370"/>
    </row>
    <row r="7986" spans="1:14" s="347" customFormat="1" x14ac:dyDescent="0.25">
      <c r="A7986" s="369"/>
      <c r="E7986" s="396"/>
      <c r="F7986" s="396"/>
      <c r="G7986" s="396"/>
      <c r="K7986" s="370"/>
      <c r="N7986" s="370"/>
    </row>
    <row r="7987" spans="1:14" s="347" customFormat="1" x14ac:dyDescent="0.25">
      <c r="A7987" s="369"/>
      <c r="E7987" s="396"/>
      <c r="F7987" s="396"/>
      <c r="G7987" s="396"/>
      <c r="K7987" s="370"/>
      <c r="N7987" s="370"/>
    </row>
    <row r="7988" spans="1:14" s="347" customFormat="1" x14ac:dyDescent="0.25">
      <c r="A7988" s="369"/>
      <c r="E7988" s="396"/>
      <c r="F7988" s="396"/>
      <c r="G7988" s="396"/>
      <c r="K7988" s="370"/>
      <c r="N7988" s="370"/>
    </row>
    <row r="7989" spans="1:14" s="347" customFormat="1" x14ac:dyDescent="0.25">
      <c r="A7989" s="369"/>
      <c r="E7989" s="396"/>
      <c r="F7989" s="396"/>
      <c r="G7989" s="396"/>
      <c r="K7989" s="370"/>
      <c r="N7989" s="370"/>
    </row>
    <row r="7990" spans="1:14" s="347" customFormat="1" x14ac:dyDescent="0.25">
      <c r="A7990" s="369"/>
      <c r="E7990" s="396"/>
      <c r="F7990" s="396"/>
      <c r="G7990" s="396"/>
      <c r="K7990" s="370"/>
      <c r="N7990" s="370"/>
    </row>
    <row r="7991" spans="1:14" s="347" customFormat="1" x14ac:dyDescent="0.25">
      <c r="A7991" s="369"/>
      <c r="E7991" s="396"/>
      <c r="F7991" s="396"/>
      <c r="G7991" s="396"/>
      <c r="K7991" s="370"/>
      <c r="N7991" s="370"/>
    </row>
    <row r="7992" spans="1:14" s="347" customFormat="1" x14ac:dyDescent="0.25">
      <c r="A7992" s="369"/>
      <c r="E7992" s="396"/>
      <c r="F7992" s="396"/>
      <c r="G7992" s="396"/>
      <c r="K7992" s="370"/>
      <c r="N7992" s="370"/>
    </row>
    <row r="7993" spans="1:14" s="347" customFormat="1" x14ac:dyDescent="0.25">
      <c r="A7993" s="369"/>
      <c r="E7993" s="396"/>
      <c r="F7993" s="396"/>
      <c r="G7993" s="396"/>
      <c r="K7993" s="370"/>
      <c r="N7993" s="370"/>
    </row>
    <row r="7994" spans="1:14" s="347" customFormat="1" x14ac:dyDescent="0.25">
      <c r="A7994" s="369"/>
      <c r="E7994" s="396"/>
      <c r="F7994" s="396"/>
      <c r="G7994" s="396"/>
      <c r="K7994" s="370"/>
      <c r="N7994" s="370"/>
    </row>
    <row r="7995" spans="1:14" s="347" customFormat="1" x14ac:dyDescent="0.25">
      <c r="A7995" s="369"/>
      <c r="E7995" s="396"/>
      <c r="F7995" s="396"/>
      <c r="G7995" s="396"/>
      <c r="K7995" s="370"/>
      <c r="N7995" s="370"/>
    </row>
    <row r="7996" spans="1:14" s="347" customFormat="1" x14ac:dyDescent="0.25">
      <c r="A7996" s="369"/>
      <c r="E7996" s="396"/>
      <c r="F7996" s="396"/>
      <c r="G7996" s="396"/>
      <c r="K7996" s="370"/>
      <c r="N7996" s="370"/>
    </row>
    <row r="7997" spans="1:14" s="347" customFormat="1" x14ac:dyDescent="0.25">
      <c r="A7997" s="369"/>
      <c r="E7997" s="396"/>
      <c r="F7997" s="396"/>
      <c r="G7997" s="396"/>
      <c r="K7997" s="370"/>
      <c r="N7997" s="370"/>
    </row>
    <row r="7998" spans="1:14" s="347" customFormat="1" x14ac:dyDescent="0.25">
      <c r="A7998" s="369"/>
      <c r="E7998" s="396"/>
      <c r="F7998" s="396"/>
      <c r="G7998" s="396"/>
      <c r="K7998" s="370"/>
      <c r="N7998" s="370"/>
    </row>
    <row r="7999" spans="1:14" s="347" customFormat="1" x14ac:dyDescent="0.25">
      <c r="A7999" s="369"/>
      <c r="E7999" s="396"/>
      <c r="F7999" s="396"/>
      <c r="G7999" s="396"/>
      <c r="K7999" s="370"/>
      <c r="N7999" s="370"/>
    </row>
    <row r="8000" spans="1:14" s="347" customFormat="1" x14ac:dyDescent="0.25">
      <c r="A8000" s="369"/>
      <c r="E8000" s="396"/>
      <c r="F8000" s="396"/>
      <c r="G8000" s="396"/>
      <c r="K8000" s="370"/>
      <c r="N8000" s="370"/>
    </row>
    <row r="8001" spans="1:14" s="347" customFormat="1" x14ac:dyDescent="0.25">
      <c r="A8001" s="369"/>
      <c r="E8001" s="396"/>
      <c r="F8001" s="396"/>
      <c r="G8001" s="396"/>
      <c r="K8001" s="370"/>
      <c r="N8001" s="370"/>
    </row>
    <row r="8002" spans="1:14" s="347" customFormat="1" x14ac:dyDescent="0.25">
      <c r="A8002" s="369"/>
      <c r="E8002" s="396"/>
      <c r="F8002" s="396"/>
      <c r="G8002" s="396"/>
      <c r="K8002" s="370"/>
      <c r="N8002" s="370"/>
    </row>
    <row r="8003" spans="1:14" s="347" customFormat="1" x14ac:dyDescent="0.25">
      <c r="A8003" s="369"/>
      <c r="E8003" s="396"/>
      <c r="F8003" s="396"/>
      <c r="G8003" s="396"/>
      <c r="K8003" s="370"/>
      <c r="N8003" s="370"/>
    </row>
    <row r="8004" spans="1:14" s="347" customFormat="1" x14ac:dyDescent="0.25">
      <c r="A8004" s="369"/>
      <c r="E8004" s="396"/>
      <c r="F8004" s="396"/>
      <c r="G8004" s="396"/>
      <c r="K8004" s="370"/>
      <c r="N8004" s="370"/>
    </row>
    <row r="8005" spans="1:14" s="347" customFormat="1" x14ac:dyDescent="0.25">
      <c r="A8005" s="369"/>
      <c r="E8005" s="396"/>
      <c r="F8005" s="396"/>
      <c r="G8005" s="396"/>
      <c r="K8005" s="370"/>
      <c r="N8005" s="370"/>
    </row>
    <row r="8006" spans="1:14" s="347" customFormat="1" x14ac:dyDescent="0.25">
      <c r="A8006" s="369"/>
      <c r="E8006" s="396"/>
      <c r="F8006" s="396"/>
      <c r="G8006" s="396"/>
      <c r="K8006" s="370"/>
      <c r="N8006" s="370"/>
    </row>
    <row r="8007" spans="1:14" s="347" customFormat="1" x14ac:dyDescent="0.25">
      <c r="A8007" s="369"/>
      <c r="E8007" s="396"/>
      <c r="F8007" s="396"/>
      <c r="G8007" s="396"/>
      <c r="K8007" s="370"/>
      <c r="N8007" s="370"/>
    </row>
    <row r="8008" spans="1:14" s="347" customFormat="1" x14ac:dyDescent="0.25">
      <c r="A8008" s="369"/>
      <c r="E8008" s="396"/>
      <c r="F8008" s="396"/>
      <c r="G8008" s="396"/>
      <c r="K8008" s="370"/>
      <c r="N8008" s="370"/>
    </row>
    <row r="8009" spans="1:14" s="347" customFormat="1" x14ac:dyDescent="0.25">
      <c r="A8009" s="369"/>
      <c r="E8009" s="396"/>
      <c r="F8009" s="396"/>
      <c r="G8009" s="396"/>
      <c r="K8009" s="370"/>
      <c r="N8009" s="370"/>
    </row>
    <row r="8010" spans="1:14" s="347" customFormat="1" x14ac:dyDescent="0.25">
      <c r="A8010" s="369"/>
      <c r="E8010" s="396"/>
      <c r="F8010" s="396"/>
      <c r="G8010" s="396"/>
      <c r="K8010" s="370"/>
      <c r="N8010" s="370"/>
    </row>
    <row r="8011" spans="1:14" s="347" customFormat="1" x14ac:dyDescent="0.25">
      <c r="A8011" s="369"/>
      <c r="E8011" s="396"/>
      <c r="F8011" s="396"/>
      <c r="G8011" s="396"/>
      <c r="K8011" s="370"/>
      <c r="N8011" s="370"/>
    </row>
    <row r="8012" spans="1:14" s="347" customFormat="1" x14ac:dyDescent="0.25">
      <c r="A8012" s="369"/>
      <c r="E8012" s="396"/>
      <c r="F8012" s="396"/>
      <c r="G8012" s="396"/>
      <c r="K8012" s="370"/>
      <c r="N8012" s="370"/>
    </row>
    <row r="8013" spans="1:14" s="347" customFormat="1" x14ac:dyDescent="0.25">
      <c r="A8013" s="369"/>
      <c r="E8013" s="396"/>
      <c r="F8013" s="396"/>
      <c r="G8013" s="396"/>
      <c r="K8013" s="370"/>
      <c r="N8013" s="370"/>
    </row>
    <row r="8014" spans="1:14" s="347" customFormat="1" x14ac:dyDescent="0.25">
      <c r="A8014" s="369"/>
      <c r="E8014" s="396"/>
      <c r="F8014" s="396"/>
      <c r="G8014" s="396"/>
      <c r="K8014" s="370"/>
      <c r="N8014" s="370"/>
    </row>
    <row r="8015" spans="1:14" s="347" customFormat="1" x14ac:dyDescent="0.25">
      <c r="A8015" s="369"/>
      <c r="E8015" s="396"/>
      <c r="F8015" s="396"/>
      <c r="G8015" s="396"/>
      <c r="K8015" s="370"/>
      <c r="N8015" s="370"/>
    </row>
    <row r="8016" spans="1:14" s="347" customFormat="1" x14ac:dyDescent="0.25">
      <c r="A8016" s="369"/>
      <c r="E8016" s="396"/>
      <c r="F8016" s="396"/>
      <c r="G8016" s="396"/>
      <c r="K8016" s="370"/>
      <c r="N8016" s="370"/>
    </row>
    <row r="8017" spans="1:14" s="347" customFormat="1" x14ac:dyDescent="0.25">
      <c r="A8017" s="369"/>
      <c r="E8017" s="396"/>
      <c r="F8017" s="396"/>
      <c r="G8017" s="396"/>
      <c r="K8017" s="370"/>
      <c r="N8017" s="370"/>
    </row>
    <row r="8018" spans="1:14" s="347" customFormat="1" x14ac:dyDescent="0.25">
      <c r="A8018" s="369"/>
      <c r="E8018" s="396"/>
      <c r="F8018" s="396"/>
      <c r="G8018" s="396"/>
      <c r="K8018" s="370"/>
      <c r="N8018" s="370"/>
    </row>
    <row r="8019" spans="1:14" s="347" customFormat="1" x14ac:dyDescent="0.25">
      <c r="A8019" s="369"/>
      <c r="E8019" s="396"/>
      <c r="F8019" s="396"/>
      <c r="G8019" s="396"/>
      <c r="K8019" s="370"/>
      <c r="N8019" s="370"/>
    </row>
    <row r="8020" spans="1:14" s="347" customFormat="1" x14ac:dyDescent="0.25">
      <c r="A8020" s="369"/>
      <c r="E8020" s="396"/>
      <c r="F8020" s="396"/>
      <c r="G8020" s="396"/>
      <c r="K8020" s="370"/>
      <c r="N8020" s="370"/>
    </row>
    <row r="8021" spans="1:14" s="347" customFormat="1" x14ac:dyDescent="0.25">
      <c r="A8021" s="369"/>
      <c r="E8021" s="396"/>
      <c r="F8021" s="396"/>
      <c r="G8021" s="396"/>
      <c r="K8021" s="370"/>
      <c r="N8021" s="370"/>
    </row>
    <row r="8022" spans="1:14" s="347" customFormat="1" x14ac:dyDescent="0.25">
      <c r="A8022" s="369"/>
      <c r="E8022" s="396"/>
      <c r="F8022" s="396"/>
      <c r="G8022" s="396"/>
      <c r="K8022" s="370"/>
      <c r="N8022" s="370"/>
    </row>
    <row r="8023" spans="1:14" s="347" customFormat="1" x14ac:dyDescent="0.25">
      <c r="A8023" s="369"/>
      <c r="E8023" s="396"/>
      <c r="F8023" s="396"/>
      <c r="G8023" s="396"/>
      <c r="K8023" s="370"/>
      <c r="N8023" s="370"/>
    </row>
    <row r="8024" spans="1:14" s="347" customFormat="1" x14ac:dyDescent="0.25">
      <c r="A8024" s="369"/>
      <c r="E8024" s="396"/>
      <c r="F8024" s="396"/>
      <c r="G8024" s="396"/>
      <c r="K8024" s="370"/>
      <c r="N8024" s="370"/>
    </row>
    <row r="8025" spans="1:14" s="347" customFormat="1" x14ac:dyDescent="0.25">
      <c r="A8025" s="369"/>
      <c r="E8025" s="396"/>
      <c r="F8025" s="396"/>
      <c r="G8025" s="396"/>
      <c r="K8025" s="370"/>
      <c r="N8025" s="370"/>
    </row>
    <row r="8026" spans="1:14" s="347" customFormat="1" x14ac:dyDescent="0.25">
      <c r="A8026" s="369"/>
      <c r="E8026" s="396"/>
      <c r="F8026" s="396"/>
      <c r="G8026" s="396"/>
      <c r="K8026" s="370"/>
      <c r="N8026" s="370"/>
    </row>
    <row r="8027" spans="1:14" s="347" customFormat="1" x14ac:dyDescent="0.25">
      <c r="A8027" s="369"/>
      <c r="E8027" s="396"/>
      <c r="F8027" s="396"/>
      <c r="G8027" s="396"/>
      <c r="K8027" s="370"/>
      <c r="N8027" s="370"/>
    </row>
    <row r="8028" spans="1:14" s="347" customFormat="1" x14ac:dyDescent="0.25">
      <c r="A8028" s="369"/>
      <c r="E8028" s="396"/>
      <c r="F8028" s="396"/>
      <c r="G8028" s="396"/>
      <c r="K8028" s="370"/>
      <c r="N8028" s="370"/>
    </row>
    <row r="8029" spans="1:14" s="347" customFormat="1" x14ac:dyDescent="0.25">
      <c r="A8029" s="369"/>
      <c r="E8029" s="396"/>
      <c r="F8029" s="396"/>
      <c r="G8029" s="396"/>
      <c r="K8029" s="370"/>
      <c r="N8029" s="370"/>
    </row>
    <row r="8030" spans="1:14" s="347" customFormat="1" x14ac:dyDescent="0.25">
      <c r="A8030" s="369"/>
      <c r="E8030" s="396"/>
      <c r="F8030" s="396"/>
      <c r="G8030" s="396"/>
      <c r="K8030" s="370"/>
      <c r="N8030" s="370"/>
    </row>
    <row r="8031" spans="1:14" s="347" customFormat="1" x14ac:dyDescent="0.25">
      <c r="A8031" s="369"/>
      <c r="E8031" s="396"/>
      <c r="F8031" s="396"/>
      <c r="G8031" s="396"/>
      <c r="K8031" s="370"/>
      <c r="N8031" s="370"/>
    </row>
    <row r="8032" spans="1:14" s="347" customFormat="1" x14ac:dyDescent="0.25">
      <c r="A8032" s="369"/>
      <c r="E8032" s="396"/>
      <c r="F8032" s="396"/>
      <c r="G8032" s="396"/>
      <c r="K8032" s="370"/>
      <c r="N8032" s="370"/>
    </row>
    <row r="8033" spans="1:14" s="347" customFormat="1" x14ac:dyDescent="0.25">
      <c r="A8033" s="369"/>
      <c r="E8033" s="396"/>
      <c r="F8033" s="396"/>
      <c r="G8033" s="396"/>
      <c r="K8033" s="370"/>
      <c r="N8033" s="370"/>
    </row>
    <row r="8034" spans="1:14" s="347" customFormat="1" x14ac:dyDescent="0.25">
      <c r="A8034" s="369"/>
      <c r="E8034" s="396"/>
      <c r="F8034" s="396"/>
      <c r="G8034" s="396"/>
      <c r="K8034" s="370"/>
      <c r="N8034" s="370"/>
    </row>
    <row r="8035" spans="1:14" s="347" customFormat="1" x14ac:dyDescent="0.25">
      <c r="A8035" s="369"/>
      <c r="E8035" s="396"/>
      <c r="F8035" s="396"/>
      <c r="G8035" s="396"/>
      <c r="K8035" s="370"/>
      <c r="N8035" s="370"/>
    </row>
    <row r="8036" spans="1:14" s="347" customFormat="1" x14ac:dyDescent="0.25">
      <c r="A8036" s="369"/>
      <c r="E8036" s="396"/>
      <c r="F8036" s="396"/>
      <c r="G8036" s="396"/>
      <c r="K8036" s="370"/>
      <c r="N8036" s="370"/>
    </row>
    <row r="8037" spans="1:14" s="347" customFormat="1" x14ac:dyDescent="0.25">
      <c r="A8037" s="369"/>
      <c r="E8037" s="396"/>
      <c r="F8037" s="396"/>
      <c r="G8037" s="396"/>
      <c r="K8037" s="370"/>
      <c r="N8037" s="370"/>
    </row>
    <row r="8038" spans="1:14" s="347" customFormat="1" x14ac:dyDescent="0.25">
      <c r="A8038" s="369"/>
      <c r="E8038" s="396"/>
      <c r="F8038" s="396"/>
      <c r="G8038" s="396"/>
      <c r="K8038" s="370"/>
      <c r="N8038" s="370"/>
    </row>
    <row r="8039" spans="1:14" s="347" customFormat="1" x14ac:dyDescent="0.25">
      <c r="A8039" s="369"/>
      <c r="E8039" s="396"/>
      <c r="F8039" s="396"/>
      <c r="G8039" s="396"/>
      <c r="K8039" s="370"/>
      <c r="N8039" s="370"/>
    </row>
    <row r="8040" spans="1:14" s="347" customFormat="1" x14ac:dyDescent="0.25">
      <c r="A8040" s="369"/>
      <c r="E8040" s="396"/>
      <c r="F8040" s="396"/>
      <c r="G8040" s="396"/>
      <c r="K8040" s="370"/>
      <c r="N8040" s="370"/>
    </row>
    <row r="8041" spans="1:14" s="347" customFormat="1" x14ac:dyDescent="0.25">
      <c r="A8041" s="369"/>
      <c r="E8041" s="396"/>
      <c r="F8041" s="396"/>
      <c r="G8041" s="396"/>
      <c r="K8041" s="370"/>
      <c r="N8041" s="370"/>
    </row>
    <row r="8042" spans="1:14" s="347" customFormat="1" x14ac:dyDescent="0.25">
      <c r="A8042" s="369"/>
      <c r="E8042" s="396"/>
      <c r="F8042" s="396"/>
      <c r="G8042" s="396"/>
      <c r="K8042" s="370"/>
      <c r="N8042" s="370"/>
    </row>
    <row r="8043" spans="1:14" s="347" customFormat="1" x14ac:dyDescent="0.25">
      <c r="A8043" s="369"/>
      <c r="E8043" s="396"/>
      <c r="F8043" s="396"/>
      <c r="G8043" s="396"/>
      <c r="K8043" s="370"/>
      <c r="N8043" s="370"/>
    </row>
    <row r="8044" spans="1:14" s="347" customFormat="1" x14ac:dyDescent="0.25">
      <c r="A8044" s="369"/>
      <c r="E8044" s="396"/>
      <c r="F8044" s="396"/>
      <c r="G8044" s="396"/>
      <c r="K8044" s="370"/>
      <c r="N8044" s="370"/>
    </row>
    <row r="8045" spans="1:14" s="347" customFormat="1" x14ac:dyDescent="0.25">
      <c r="A8045" s="369"/>
      <c r="E8045" s="396"/>
      <c r="F8045" s="396"/>
      <c r="G8045" s="396"/>
      <c r="K8045" s="370"/>
      <c r="N8045" s="370"/>
    </row>
    <row r="8046" spans="1:14" s="347" customFormat="1" x14ac:dyDescent="0.25">
      <c r="A8046" s="369"/>
      <c r="E8046" s="396"/>
      <c r="F8046" s="396"/>
      <c r="G8046" s="396"/>
      <c r="K8046" s="370"/>
      <c r="N8046" s="370"/>
    </row>
    <row r="8047" spans="1:14" s="347" customFormat="1" x14ac:dyDescent="0.25">
      <c r="A8047" s="369"/>
      <c r="E8047" s="396"/>
      <c r="F8047" s="396"/>
      <c r="G8047" s="396"/>
      <c r="K8047" s="370"/>
      <c r="N8047" s="370"/>
    </row>
    <row r="8048" spans="1:14" s="347" customFormat="1" x14ac:dyDescent="0.25">
      <c r="A8048" s="369"/>
      <c r="E8048" s="396"/>
      <c r="F8048" s="396"/>
      <c r="G8048" s="396"/>
      <c r="K8048" s="370"/>
      <c r="N8048" s="370"/>
    </row>
    <row r="8049" spans="1:14" s="347" customFormat="1" x14ac:dyDescent="0.25">
      <c r="A8049" s="369"/>
      <c r="E8049" s="396"/>
      <c r="F8049" s="396"/>
      <c r="G8049" s="396"/>
      <c r="K8049" s="370"/>
      <c r="N8049" s="370"/>
    </row>
    <row r="8050" spans="1:14" s="347" customFormat="1" x14ac:dyDescent="0.25">
      <c r="A8050" s="369"/>
      <c r="E8050" s="396"/>
      <c r="F8050" s="396"/>
      <c r="G8050" s="396"/>
      <c r="K8050" s="370"/>
      <c r="N8050" s="370"/>
    </row>
    <row r="8051" spans="1:14" s="347" customFormat="1" x14ac:dyDescent="0.25">
      <c r="A8051" s="369"/>
      <c r="E8051" s="396"/>
      <c r="F8051" s="396"/>
      <c r="G8051" s="396"/>
      <c r="K8051" s="370"/>
      <c r="N8051" s="370"/>
    </row>
    <row r="8052" spans="1:14" s="347" customFormat="1" x14ac:dyDescent="0.25">
      <c r="A8052" s="369"/>
      <c r="E8052" s="396"/>
      <c r="F8052" s="396"/>
      <c r="G8052" s="396"/>
      <c r="K8052" s="370"/>
      <c r="N8052" s="370"/>
    </row>
    <row r="8053" spans="1:14" s="347" customFormat="1" x14ac:dyDescent="0.25">
      <c r="A8053" s="369"/>
      <c r="E8053" s="396"/>
      <c r="F8053" s="396"/>
      <c r="G8053" s="396"/>
      <c r="K8053" s="370"/>
      <c r="N8053" s="370"/>
    </row>
    <row r="8054" spans="1:14" s="347" customFormat="1" x14ac:dyDescent="0.25">
      <c r="A8054" s="369"/>
      <c r="E8054" s="396"/>
      <c r="F8054" s="396"/>
      <c r="G8054" s="396"/>
      <c r="K8054" s="370"/>
      <c r="N8054" s="370"/>
    </row>
    <row r="8055" spans="1:14" s="347" customFormat="1" x14ac:dyDescent="0.25">
      <c r="A8055" s="369"/>
      <c r="E8055" s="396"/>
      <c r="F8055" s="396"/>
      <c r="G8055" s="396"/>
      <c r="K8055" s="370"/>
      <c r="N8055" s="370"/>
    </row>
    <row r="8056" spans="1:14" s="347" customFormat="1" x14ac:dyDescent="0.25">
      <c r="A8056" s="369"/>
      <c r="E8056" s="396"/>
      <c r="F8056" s="396"/>
      <c r="G8056" s="396"/>
      <c r="K8056" s="370"/>
      <c r="N8056" s="370"/>
    </row>
    <row r="8057" spans="1:14" s="347" customFormat="1" x14ac:dyDescent="0.25">
      <c r="A8057" s="369"/>
      <c r="E8057" s="396"/>
      <c r="F8057" s="396"/>
      <c r="G8057" s="396"/>
      <c r="K8057" s="370"/>
      <c r="N8057" s="370"/>
    </row>
    <row r="8058" spans="1:14" s="347" customFormat="1" x14ac:dyDescent="0.25">
      <c r="A8058" s="369"/>
      <c r="E8058" s="396"/>
      <c r="F8058" s="396"/>
      <c r="G8058" s="396"/>
      <c r="K8058" s="370"/>
      <c r="N8058" s="370"/>
    </row>
    <row r="8059" spans="1:14" s="347" customFormat="1" x14ac:dyDescent="0.25">
      <c r="A8059" s="369"/>
      <c r="E8059" s="396"/>
      <c r="F8059" s="396"/>
      <c r="G8059" s="396"/>
      <c r="K8059" s="370"/>
      <c r="N8059" s="370"/>
    </row>
    <row r="8060" spans="1:14" s="347" customFormat="1" x14ac:dyDescent="0.25">
      <c r="A8060" s="369"/>
      <c r="E8060" s="396"/>
      <c r="F8060" s="396"/>
      <c r="G8060" s="396"/>
      <c r="K8060" s="370"/>
      <c r="N8060" s="370"/>
    </row>
    <row r="8061" spans="1:14" s="347" customFormat="1" x14ac:dyDescent="0.25">
      <c r="A8061" s="369"/>
      <c r="E8061" s="396"/>
      <c r="F8061" s="396"/>
      <c r="G8061" s="396"/>
      <c r="K8061" s="370"/>
      <c r="N8061" s="370"/>
    </row>
    <row r="8062" spans="1:14" s="347" customFormat="1" x14ac:dyDescent="0.25">
      <c r="A8062" s="369"/>
      <c r="E8062" s="396"/>
      <c r="F8062" s="396"/>
      <c r="G8062" s="396"/>
      <c r="K8062" s="370"/>
      <c r="N8062" s="370"/>
    </row>
    <row r="8063" spans="1:14" s="347" customFormat="1" x14ac:dyDescent="0.25">
      <c r="A8063" s="369"/>
      <c r="E8063" s="396"/>
      <c r="F8063" s="396"/>
      <c r="G8063" s="396"/>
      <c r="K8063" s="370"/>
      <c r="N8063" s="370"/>
    </row>
    <row r="8064" spans="1:14" s="347" customFormat="1" x14ac:dyDescent="0.25">
      <c r="A8064" s="369"/>
      <c r="E8064" s="396"/>
      <c r="F8064" s="396"/>
      <c r="G8064" s="396"/>
      <c r="K8064" s="370"/>
      <c r="N8064" s="370"/>
    </row>
    <row r="8065" spans="1:14" s="347" customFormat="1" x14ac:dyDescent="0.25">
      <c r="A8065" s="369"/>
      <c r="E8065" s="396"/>
      <c r="F8065" s="396"/>
      <c r="G8065" s="396"/>
      <c r="K8065" s="370"/>
      <c r="N8065" s="370"/>
    </row>
    <row r="8066" spans="1:14" s="347" customFormat="1" x14ac:dyDescent="0.25">
      <c r="A8066" s="369"/>
      <c r="E8066" s="396"/>
      <c r="F8066" s="396"/>
      <c r="G8066" s="396"/>
      <c r="K8066" s="370"/>
      <c r="N8066" s="370"/>
    </row>
    <row r="8067" spans="1:14" s="347" customFormat="1" x14ac:dyDescent="0.25">
      <c r="A8067" s="369"/>
      <c r="E8067" s="396"/>
      <c r="F8067" s="396"/>
      <c r="G8067" s="396"/>
      <c r="K8067" s="370"/>
      <c r="N8067" s="370"/>
    </row>
    <row r="8068" spans="1:14" s="347" customFormat="1" x14ac:dyDescent="0.25">
      <c r="A8068" s="369"/>
      <c r="E8068" s="396"/>
      <c r="F8068" s="396"/>
      <c r="G8068" s="396"/>
      <c r="K8068" s="370"/>
      <c r="N8068" s="370"/>
    </row>
    <row r="8069" spans="1:14" s="347" customFormat="1" x14ac:dyDescent="0.25">
      <c r="A8069" s="369"/>
      <c r="E8069" s="396"/>
      <c r="F8069" s="396"/>
      <c r="G8069" s="396"/>
      <c r="K8069" s="370"/>
      <c r="N8069" s="370"/>
    </row>
    <row r="8070" spans="1:14" s="347" customFormat="1" x14ac:dyDescent="0.25">
      <c r="A8070" s="369"/>
      <c r="E8070" s="396"/>
      <c r="F8070" s="396"/>
      <c r="G8070" s="396"/>
      <c r="K8070" s="370"/>
      <c r="N8070" s="370"/>
    </row>
    <row r="8071" spans="1:14" s="347" customFormat="1" x14ac:dyDescent="0.25">
      <c r="A8071" s="369"/>
      <c r="E8071" s="396"/>
      <c r="F8071" s="396"/>
      <c r="G8071" s="396"/>
      <c r="K8071" s="370"/>
      <c r="N8071" s="370"/>
    </row>
    <row r="8072" spans="1:14" s="347" customFormat="1" x14ac:dyDescent="0.25">
      <c r="A8072" s="369"/>
      <c r="E8072" s="396"/>
      <c r="F8072" s="396"/>
      <c r="G8072" s="396"/>
      <c r="K8072" s="370"/>
      <c r="N8072" s="370"/>
    </row>
    <row r="8073" spans="1:14" s="347" customFormat="1" x14ac:dyDescent="0.25">
      <c r="A8073" s="369"/>
      <c r="E8073" s="396"/>
      <c r="F8073" s="396"/>
      <c r="G8073" s="396"/>
      <c r="K8073" s="370"/>
      <c r="N8073" s="370"/>
    </row>
    <row r="8074" spans="1:14" s="347" customFormat="1" x14ac:dyDescent="0.25">
      <c r="A8074" s="369"/>
      <c r="E8074" s="396"/>
      <c r="F8074" s="396"/>
      <c r="G8074" s="396"/>
      <c r="K8074" s="370"/>
      <c r="N8074" s="370"/>
    </row>
    <row r="8075" spans="1:14" s="347" customFormat="1" x14ac:dyDescent="0.25">
      <c r="A8075" s="369"/>
      <c r="E8075" s="396"/>
      <c r="F8075" s="396"/>
      <c r="G8075" s="396"/>
      <c r="K8075" s="370"/>
      <c r="N8075" s="370"/>
    </row>
    <row r="8076" spans="1:14" s="347" customFormat="1" x14ac:dyDescent="0.25">
      <c r="A8076" s="369"/>
      <c r="E8076" s="396"/>
      <c r="F8076" s="396"/>
      <c r="G8076" s="396"/>
      <c r="K8076" s="370"/>
      <c r="N8076" s="370"/>
    </row>
    <row r="8077" spans="1:14" s="347" customFormat="1" x14ac:dyDescent="0.25">
      <c r="A8077" s="369"/>
      <c r="E8077" s="396"/>
      <c r="F8077" s="396"/>
      <c r="G8077" s="396"/>
      <c r="K8077" s="370"/>
      <c r="N8077" s="370"/>
    </row>
    <row r="8078" spans="1:14" s="347" customFormat="1" x14ac:dyDescent="0.25">
      <c r="A8078" s="369"/>
      <c r="E8078" s="396"/>
      <c r="F8078" s="396"/>
      <c r="G8078" s="396"/>
      <c r="K8078" s="370"/>
      <c r="N8078" s="370"/>
    </row>
    <row r="8079" spans="1:14" s="347" customFormat="1" x14ac:dyDescent="0.25">
      <c r="A8079" s="369"/>
      <c r="E8079" s="396"/>
      <c r="F8079" s="396"/>
      <c r="G8079" s="396"/>
      <c r="K8079" s="370"/>
      <c r="N8079" s="370"/>
    </row>
    <row r="8080" spans="1:14" s="347" customFormat="1" x14ac:dyDescent="0.25">
      <c r="A8080" s="369"/>
      <c r="E8080" s="396"/>
      <c r="F8080" s="396"/>
      <c r="G8080" s="396"/>
      <c r="K8080" s="370"/>
      <c r="N8080" s="370"/>
    </row>
    <row r="8081" spans="1:14" s="347" customFormat="1" x14ac:dyDescent="0.25">
      <c r="A8081" s="369"/>
      <c r="E8081" s="396"/>
      <c r="F8081" s="396"/>
      <c r="G8081" s="396"/>
      <c r="K8081" s="370"/>
      <c r="N8081" s="370"/>
    </row>
    <row r="8082" spans="1:14" s="347" customFormat="1" x14ac:dyDescent="0.25">
      <c r="A8082" s="369"/>
      <c r="E8082" s="396"/>
      <c r="F8082" s="396"/>
      <c r="G8082" s="396"/>
      <c r="K8082" s="370"/>
      <c r="N8082" s="370"/>
    </row>
    <row r="8083" spans="1:14" s="347" customFormat="1" x14ac:dyDescent="0.25">
      <c r="A8083" s="369"/>
      <c r="E8083" s="396"/>
      <c r="F8083" s="396"/>
      <c r="G8083" s="396"/>
      <c r="K8083" s="370"/>
      <c r="N8083" s="370"/>
    </row>
    <row r="8084" spans="1:14" s="347" customFormat="1" x14ac:dyDescent="0.25">
      <c r="A8084" s="369"/>
      <c r="E8084" s="396"/>
      <c r="F8084" s="396"/>
      <c r="G8084" s="396"/>
      <c r="K8084" s="370"/>
      <c r="N8084" s="370"/>
    </row>
    <row r="8085" spans="1:14" s="347" customFormat="1" x14ac:dyDescent="0.25">
      <c r="A8085" s="369"/>
      <c r="E8085" s="396"/>
      <c r="F8085" s="396"/>
      <c r="G8085" s="396"/>
      <c r="K8085" s="370"/>
      <c r="N8085" s="370"/>
    </row>
    <row r="8086" spans="1:14" s="347" customFormat="1" x14ac:dyDescent="0.25">
      <c r="A8086" s="369"/>
      <c r="E8086" s="396"/>
      <c r="F8086" s="396"/>
      <c r="G8086" s="396"/>
      <c r="K8086" s="370"/>
      <c r="N8086" s="370"/>
    </row>
    <row r="8087" spans="1:14" s="347" customFormat="1" x14ac:dyDescent="0.25">
      <c r="A8087" s="369"/>
      <c r="E8087" s="396"/>
      <c r="F8087" s="396"/>
      <c r="G8087" s="396"/>
      <c r="K8087" s="370"/>
      <c r="N8087" s="370"/>
    </row>
    <row r="8088" spans="1:14" s="347" customFormat="1" x14ac:dyDescent="0.25">
      <c r="A8088" s="369"/>
      <c r="E8088" s="396"/>
      <c r="F8088" s="396"/>
      <c r="G8088" s="396"/>
      <c r="K8088" s="370"/>
      <c r="N8088" s="370"/>
    </row>
    <row r="8089" spans="1:14" s="347" customFormat="1" x14ac:dyDescent="0.25">
      <c r="A8089" s="369"/>
      <c r="E8089" s="396"/>
      <c r="F8089" s="396"/>
      <c r="G8089" s="396"/>
      <c r="K8089" s="370"/>
      <c r="N8089" s="370"/>
    </row>
    <row r="8090" spans="1:14" s="347" customFormat="1" x14ac:dyDescent="0.25">
      <c r="A8090" s="369"/>
      <c r="E8090" s="396"/>
      <c r="F8090" s="396"/>
      <c r="G8090" s="396"/>
      <c r="K8090" s="370"/>
      <c r="N8090" s="370"/>
    </row>
    <row r="8091" spans="1:14" s="347" customFormat="1" x14ac:dyDescent="0.25">
      <c r="A8091" s="369"/>
      <c r="E8091" s="396"/>
      <c r="F8091" s="396"/>
      <c r="G8091" s="396"/>
      <c r="K8091" s="370"/>
      <c r="N8091" s="370"/>
    </row>
    <row r="8092" spans="1:14" s="347" customFormat="1" x14ac:dyDescent="0.25">
      <c r="A8092" s="369"/>
      <c r="E8092" s="396"/>
      <c r="F8092" s="396"/>
      <c r="G8092" s="396"/>
      <c r="K8092" s="370"/>
      <c r="N8092" s="370"/>
    </row>
    <row r="8093" spans="1:14" s="347" customFormat="1" x14ac:dyDescent="0.25">
      <c r="A8093" s="369"/>
      <c r="E8093" s="396"/>
      <c r="F8093" s="396"/>
      <c r="G8093" s="396"/>
      <c r="K8093" s="370"/>
      <c r="N8093" s="370"/>
    </row>
    <row r="8094" spans="1:14" s="347" customFormat="1" x14ac:dyDescent="0.25">
      <c r="A8094" s="369"/>
      <c r="E8094" s="396"/>
      <c r="F8094" s="396"/>
      <c r="G8094" s="396"/>
      <c r="K8094" s="370"/>
      <c r="N8094" s="370"/>
    </row>
    <row r="8095" spans="1:14" s="347" customFormat="1" x14ac:dyDescent="0.25">
      <c r="A8095" s="369"/>
      <c r="E8095" s="396"/>
      <c r="F8095" s="396"/>
      <c r="G8095" s="396"/>
      <c r="K8095" s="370"/>
      <c r="N8095" s="370"/>
    </row>
    <row r="8096" spans="1:14" s="347" customFormat="1" x14ac:dyDescent="0.25">
      <c r="A8096" s="369"/>
      <c r="E8096" s="396"/>
      <c r="F8096" s="396"/>
      <c r="G8096" s="396"/>
      <c r="K8096" s="370"/>
      <c r="N8096" s="370"/>
    </row>
    <row r="8097" spans="1:14" s="347" customFormat="1" x14ac:dyDescent="0.25">
      <c r="A8097" s="369"/>
      <c r="E8097" s="396"/>
      <c r="F8097" s="396"/>
      <c r="G8097" s="396"/>
      <c r="K8097" s="370"/>
      <c r="N8097" s="370"/>
    </row>
    <row r="8098" spans="1:14" s="347" customFormat="1" x14ac:dyDescent="0.25">
      <c r="A8098" s="369"/>
      <c r="E8098" s="396"/>
      <c r="F8098" s="396"/>
      <c r="G8098" s="396"/>
      <c r="K8098" s="370"/>
      <c r="N8098" s="370"/>
    </row>
    <row r="8099" spans="1:14" s="347" customFormat="1" x14ac:dyDescent="0.25">
      <c r="A8099" s="369"/>
      <c r="E8099" s="396"/>
      <c r="F8099" s="396"/>
      <c r="G8099" s="396"/>
      <c r="K8099" s="370"/>
      <c r="N8099" s="370"/>
    </row>
    <row r="8100" spans="1:14" s="347" customFormat="1" x14ac:dyDescent="0.25">
      <c r="A8100" s="369"/>
      <c r="E8100" s="396"/>
      <c r="F8100" s="396"/>
      <c r="G8100" s="396"/>
      <c r="K8100" s="370"/>
      <c r="N8100" s="370"/>
    </row>
    <row r="8101" spans="1:14" s="347" customFormat="1" x14ac:dyDescent="0.25">
      <c r="A8101" s="369"/>
      <c r="E8101" s="396"/>
      <c r="F8101" s="396"/>
      <c r="G8101" s="396"/>
      <c r="K8101" s="370"/>
      <c r="N8101" s="370"/>
    </row>
    <row r="8102" spans="1:14" s="347" customFormat="1" x14ac:dyDescent="0.25">
      <c r="A8102" s="369"/>
      <c r="E8102" s="396"/>
      <c r="F8102" s="396"/>
      <c r="G8102" s="396"/>
      <c r="K8102" s="370"/>
      <c r="N8102" s="370"/>
    </row>
    <row r="8103" spans="1:14" s="347" customFormat="1" x14ac:dyDescent="0.25">
      <c r="A8103" s="369"/>
      <c r="E8103" s="396"/>
      <c r="F8103" s="396"/>
      <c r="G8103" s="396"/>
      <c r="K8103" s="370"/>
      <c r="N8103" s="370"/>
    </row>
    <row r="8104" spans="1:14" s="347" customFormat="1" x14ac:dyDescent="0.25">
      <c r="A8104" s="369"/>
      <c r="E8104" s="396"/>
      <c r="F8104" s="396"/>
      <c r="G8104" s="396"/>
      <c r="K8104" s="370"/>
      <c r="N8104" s="370"/>
    </row>
    <row r="8105" spans="1:14" s="347" customFormat="1" x14ac:dyDescent="0.25">
      <c r="A8105" s="369"/>
      <c r="E8105" s="396"/>
      <c r="F8105" s="396"/>
      <c r="G8105" s="396"/>
      <c r="K8105" s="370"/>
      <c r="N8105" s="370"/>
    </row>
    <row r="8106" spans="1:14" s="347" customFormat="1" x14ac:dyDescent="0.25">
      <c r="A8106" s="369"/>
      <c r="E8106" s="396"/>
      <c r="F8106" s="396"/>
      <c r="G8106" s="396"/>
      <c r="K8106" s="370"/>
      <c r="N8106" s="370"/>
    </row>
    <row r="8107" spans="1:14" s="347" customFormat="1" x14ac:dyDescent="0.25">
      <c r="A8107" s="369"/>
      <c r="E8107" s="396"/>
      <c r="F8107" s="396"/>
      <c r="G8107" s="396"/>
      <c r="K8107" s="370"/>
      <c r="N8107" s="370"/>
    </row>
    <row r="8108" spans="1:14" s="347" customFormat="1" x14ac:dyDescent="0.25">
      <c r="A8108" s="369"/>
      <c r="E8108" s="396"/>
      <c r="F8108" s="396"/>
      <c r="G8108" s="396"/>
      <c r="K8108" s="370"/>
      <c r="N8108" s="370"/>
    </row>
    <row r="8109" spans="1:14" s="347" customFormat="1" x14ac:dyDescent="0.25">
      <c r="A8109" s="369"/>
      <c r="E8109" s="396"/>
      <c r="F8109" s="396"/>
      <c r="G8109" s="396"/>
      <c r="K8109" s="370"/>
      <c r="N8109" s="370"/>
    </row>
    <row r="8110" spans="1:14" s="347" customFormat="1" x14ac:dyDescent="0.25">
      <c r="A8110" s="369"/>
      <c r="E8110" s="396"/>
      <c r="F8110" s="396"/>
      <c r="G8110" s="396"/>
      <c r="K8110" s="370"/>
      <c r="N8110" s="370"/>
    </row>
    <row r="8111" spans="1:14" s="347" customFormat="1" x14ac:dyDescent="0.25">
      <c r="A8111" s="369"/>
      <c r="E8111" s="396"/>
      <c r="F8111" s="396"/>
      <c r="G8111" s="396"/>
      <c r="K8111" s="370"/>
      <c r="N8111" s="370"/>
    </row>
    <row r="8112" spans="1:14" s="347" customFormat="1" x14ac:dyDescent="0.25">
      <c r="A8112" s="369"/>
      <c r="E8112" s="396"/>
      <c r="F8112" s="396"/>
      <c r="G8112" s="396"/>
      <c r="K8112" s="370"/>
      <c r="N8112" s="370"/>
    </row>
    <row r="8113" spans="1:14" s="347" customFormat="1" x14ac:dyDescent="0.25">
      <c r="A8113" s="369"/>
      <c r="E8113" s="396"/>
      <c r="F8113" s="396"/>
      <c r="G8113" s="396"/>
      <c r="K8113" s="370"/>
      <c r="N8113" s="370"/>
    </row>
    <row r="8114" spans="1:14" s="347" customFormat="1" x14ac:dyDescent="0.25">
      <c r="A8114" s="369"/>
      <c r="E8114" s="396"/>
      <c r="F8114" s="396"/>
      <c r="G8114" s="396"/>
      <c r="K8114" s="370"/>
      <c r="N8114" s="370"/>
    </row>
    <row r="8115" spans="1:14" s="347" customFormat="1" x14ac:dyDescent="0.25">
      <c r="A8115" s="369"/>
      <c r="E8115" s="396"/>
      <c r="F8115" s="396"/>
      <c r="G8115" s="396"/>
      <c r="K8115" s="370"/>
      <c r="N8115" s="370"/>
    </row>
    <row r="8116" spans="1:14" s="347" customFormat="1" x14ac:dyDescent="0.25">
      <c r="A8116" s="369"/>
      <c r="E8116" s="396"/>
      <c r="F8116" s="396"/>
      <c r="G8116" s="396"/>
      <c r="K8116" s="370"/>
      <c r="N8116" s="370"/>
    </row>
    <row r="8117" spans="1:14" s="347" customFormat="1" x14ac:dyDescent="0.25">
      <c r="A8117" s="369"/>
      <c r="E8117" s="396"/>
      <c r="F8117" s="396"/>
      <c r="G8117" s="396"/>
      <c r="K8117" s="370"/>
      <c r="N8117" s="370"/>
    </row>
    <row r="8118" spans="1:14" s="347" customFormat="1" x14ac:dyDescent="0.25">
      <c r="A8118" s="369"/>
      <c r="E8118" s="396"/>
      <c r="F8118" s="396"/>
      <c r="G8118" s="396"/>
      <c r="K8118" s="370"/>
      <c r="N8118" s="370"/>
    </row>
    <row r="8119" spans="1:14" s="347" customFormat="1" x14ac:dyDescent="0.25">
      <c r="A8119" s="369"/>
      <c r="E8119" s="396"/>
      <c r="F8119" s="396"/>
      <c r="G8119" s="396"/>
      <c r="K8119" s="370"/>
      <c r="N8119" s="370"/>
    </row>
    <row r="8120" spans="1:14" s="347" customFormat="1" x14ac:dyDescent="0.25">
      <c r="A8120" s="369"/>
      <c r="E8120" s="396"/>
      <c r="F8120" s="396"/>
      <c r="G8120" s="396"/>
      <c r="K8120" s="370"/>
      <c r="N8120" s="370"/>
    </row>
    <row r="8121" spans="1:14" s="347" customFormat="1" x14ac:dyDescent="0.25">
      <c r="A8121" s="369"/>
      <c r="E8121" s="396"/>
      <c r="F8121" s="396"/>
      <c r="G8121" s="396"/>
      <c r="K8121" s="370"/>
      <c r="N8121" s="370"/>
    </row>
    <row r="8122" spans="1:14" s="347" customFormat="1" x14ac:dyDescent="0.25">
      <c r="A8122" s="369"/>
      <c r="E8122" s="396"/>
      <c r="F8122" s="396"/>
      <c r="G8122" s="396"/>
      <c r="K8122" s="370"/>
      <c r="N8122" s="370"/>
    </row>
    <row r="8123" spans="1:14" s="347" customFormat="1" x14ac:dyDescent="0.25">
      <c r="A8123" s="369"/>
      <c r="E8123" s="396"/>
      <c r="F8123" s="396"/>
      <c r="G8123" s="396"/>
      <c r="K8123" s="370"/>
      <c r="N8123" s="370"/>
    </row>
    <row r="8124" spans="1:14" s="347" customFormat="1" x14ac:dyDescent="0.25">
      <c r="A8124" s="369"/>
      <c r="E8124" s="396"/>
      <c r="F8124" s="396"/>
      <c r="G8124" s="396"/>
      <c r="K8124" s="370"/>
      <c r="N8124" s="370"/>
    </row>
    <row r="8125" spans="1:14" s="347" customFormat="1" x14ac:dyDescent="0.25">
      <c r="A8125" s="369"/>
      <c r="E8125" s="396"/>
      <c r="F8125" s="396"/>
      <c r="G8125" s="396"/>
      <c r="K8125" s="370"/>
      <c r="N8125" s="370"/>
    </row>
    <row r="8126" spans="1:14" s="347" customFormat="1" x14ac:dyDescent="0.25">
      <c r="A8126" s="369"/>
      <c r="E8126" s="396"/>
      <c r="F8126" s="396"/>
      <c r="G8126" s="396"/>
      <c r="K8126" s="370"/>
      <c r="N8126" s="370"/>
    </row>
    <row r="8127" spans="1:14" s="347" customFormat="1" x14ac:dyDescent="0.25">
      <c r="A8127" s="369"/>
      <c r="E8127" s="396"/>
      <c r="F8127" s="396"/>
      <c r="G8127" s="396"/>
      <c r="K8127" s="370"/>
      <c r="N8127" s="370"/>
    </row>
    <row r="8128" spans="1:14" s="347" customFormat="1" x14ac:dyDescent="0.25">
      <c r="A8128" s="369"/>
      <c r="E8128" s="396"/>
      <c r="F8128" s="396"/>
      <c r="G8128" s="396"/>
      <c r="K8128" s="370"/>
      <c r="N8128" s="370"/>
    </row>
    <row r="8129" spans="1:14" s="347" customFormat="1" x14ac:dyDescent="0.25">
      <c r="A8129" s="369"/>
      <c r="E8129" s="396"/>
      <c r="F8129" s="396"/>
      <c r="G8129" s="396"/>
      <c r="K8129" s="370"/>
      <c r="N8129" s="370"/>
    </row>
    <row r="8130" spans="1:14" s="347" customFormat="1" x14ac:dyDescent="0.25">
      <c r="A8130" s="369"/>
      <c r="E8130" s="396"/>
      <c r="F8130" s="396"/>
      <c r="G8130" s="396"/>
      <c r="K8130" s="370"/>
      <c r="N8130" s="370"/>
    </row>
    <row r="8131" spans="1:14" s="347" customFormat="1" x14ac:dyDescent="0.25">
      <c r="A8131" s="369"/>
      <c r="E8131" s="396"/>
      <c r="F8131" s="396"/>
      <c r="G8131" s="396"/>
      <c r="K8131" s="370"/>
      <c r="N8131" s="370"/>
    </row>
    <row r="8132" spans="1:14" s="347" customFormat="1" x14ac:dyDescent="0.25">
      <c r="A8132" s="369"/>
      <c r="E8132" s="396"/>
      <c r="F8132" s="396"/>
      <c r="G8132" s="396"/>
      <c r="K8132" s="370"/>
      <c r="N8132" s="370"/>
    </row>
    <row r="8133" spans="1:14" s="347" customFormat="1" x14ac:dyDescent="0.25">
      <c r="A8133" s="369"/>
      <c r="E8133" s="396"/>
      <c r="F8133" s="396"/>
      <c r="G8133" s="396"/>
      <c r="K8133" s="370"/>
      <c r="N8133" s="370"/>
    </row>
    <row r="8134" spans="1:14" s="347" customFormat="1" x14ac:dyDescent="0.25">
      <c r="A8134" s="369"/>
      <c r="E8134" s="396"/>
      <c r="F8134" s="396"/>
      <c r="G8134" s="396"/>
      <c r="K8134" s="370"/>
      <c r="N8134" s="370"/>
    </row>
    <row r="8135" spans="1:14" s="347" customFormat="1" x14ac:dyDescent="0.25">
      <c r="A8135" s="369"/>
      <c r="E8135" s="396"/>
      <c r="F8135" s="396"/>
      <c r="G8135" s="396"/>
      <c r="K8135" s="370"/>
      <c r="N8135" s="370"/>
    </row>
    <row r="8136" spans="1:14" s="347" customFormat="1" x14ac:dyDescent="0.25">
      <c r="A8136" s="369"/>
      <c r="E8136" s="396"/>
      <c r="F8136" s="396"/>
      <c r="G8136" s="396"/>
      <c r="K8136" s="370"/>
      <c r="N8136" s="370"/>
    </row>
    <row r="8137" spans="1:14" s="347" customFormat="1" x14ac:dyDescent="0.25">
      <c r="A8137" s="369"/>
      <c r="E8137" s="396"/>
      <c r="F8137" s="396"/>
      <c r="G8137" s="396"/>
      <c r="K8137" s="370"/>
      <c r="N8137" s="370"/>
    </row>
    <row r="8138" spans="1:14" s="347" customFormat="1" x14ac:dyDescent="0.25">
      <c r="A8138" s="369"/>
      <c r="E8138" s="396"/>
      <c r="F8138" s="396"/>
      <c r="G8138" s="396"/>
      <c r="K8138" s="370"/>
      <c r="N8138" s="370"/>
    </row>
    <row r="8139" spans="1:14" s="347" customFormat="1" x14ac:dyDescent="0.25">
      <c r="A8139" s="369"/>
      <c r="E8139" s="396"/>
      <c r="F8139" s="396"/>
      <c r="G8139" s="396"/>
      <c r="K8139" s="370"/>
      <c r="N8139" s="370"/>
    </row>
    <row r="8140" spans="1:14" s="347" customFormat="1" x14ac:dyDescent="0.25">
      <c r="A8140" s="369"/>
      <c r="E8140" s="396"/>
      <c r="F8140" s="396"/>
      <c r="G8140" s="396"/>
      <c r="K8140" s="370"/>
      <c r="N8140" s="370"/>
    </row>
    <row r="8141" spans="1:14" s="347" customFormat="1" x14ac:dyDescent="0.25">
      <c r="A8141" s="369"/>
      <c r="E8141" s="396"/>
      <c r="F8141" s="396"/>
      <c r="G8141" s="396"/>
      <c r="K8141" s="370"/>
      <c r="N8141" s="370"/>
    </row>
    <row r="8142" spans="1:14" s="347" customFormat="1" x14ac:dyDescent="0.25">
      <c r="A8142" s="369"/>
      <c r="E8142" s="396"/>
      <c r="F8142" s="396"/>
      <c r="G8142" s="396"/>
      <c r="K8142" s="370"/>
      <c r="N8142" s="370"/>
    </row>
    <row r="8143" spans="1:14" s="347" customFormat="1" x14ac:dyDescent="0.25">
      <c r="A8143" s="369"/>
      <c r="E8143" s="396"/>
      <c r="F8143" s="396"/>
      <c r="G8143" s="396"/>
      <c r="K8143" s="370"/>
      <c r="N8143" s="370"/>
    </row>
    <row r="8144" spans="1:14" s="347" customFormat="1" x14ac:dyDescent="0.25">
      <c r="A8144" s="369"/>
      <c r="E8144" s="396"/>
      <c r="F8144" s="396"/>
      <c r="G8144" s="396"/>
      <c r="K8144" s="370"/>
      <c r="N8144" s="370"/>
    </row>
    <row r="8145" spans="1:14" s="347" customFormat="1" x14ac:dyDescent="0.25">
      <c r="A8145" s="369"/>
      <c r="E8145" s="396"/>
      <c r="F8145" s="396"/>
      <c r="G8145" s="396"/>
      <c r="K8145" s="370"/>
      <c r="N8145" s="370"/>
    </row>
    <row r="8146" spans="1:14" s="347" customFormat="1" x14ac:dyDescent="0.25">
      <c r="A8146" s="369"/>
      <c r="E8146" s="396"/>
      <c r="F8146" s="396"/>
      <c r="G8146" s="396"/>
      <c r="K8146" s="370"/>
      <c r="N8146" s="370"/>
    </row>
    <row r="8147" spans="1:14" s="347" customFormat="1" x14ac:dyDescent="0.25">
      <c r="A8147" s="369"/>
      <c r="E8147" s="396"/>
      <c r="F8147" s="396"/>
      <c r="G8147" s="396"/>
      <c r="K8147" s="370"/>
      <c r="N8147" s="370"/>
    </row>
    <row r="8148" spans="1:14" s="347" customFormat="1" x14ac:dyDescent="0.25">
      <c r="A8148" s="369"/>
      <c r="E8148" s="396"/>
      <c r="F8148" s="396"/>
      <c r="G8148" s="396"/>
      <c r="K8148" s="370"/>
      <c r="N8148" s="370"/>
    </row>
    <row r="8149" spans="1:14" s="347" customFormat="1" x14ac:dyDescent="0.25">
      <c r="A8149" s="369"/>
      <c r="E8149" s="396"/>
      <c r="F8149" s="396"/>
      <c r="G8149" s="396"/>
      <c r="K8149" s="370"/>
      <c r="N8149" s="370"/>
    </row>
    <row r="8150" spans="1:14" s="347" customFormat="1" x14ac:dyDescent="0.25">
      <c r="A8150" s="369"/>
      <c r="E8150" s="396"/>
      <c r="F8150" s="396"/>
      <c r="G8150" s="396"/>
      <c r="K8150" s="370"/>
      <c r="N8150" s="370"/>
    </row>
    <row r="8151" spans="1:14" s="347" customFormat="1" x14ac:dyDescent="0.25">
      <c r="A8151" s="369"/>
      <c r="E8151" s="396"/>
      <c r="F8151" s="396"/>
      <c r="G8151" s="396"/>
      <c r="K8151" s="370"/>
      <c r="N8151" s="370"/>
    </row>
    <row r="8152" spans="1:14" s="347" customFormat="1" x14ac:dyDescent="0.25">
      <c r="A8152" s="369"/>
      <c r="E8152" s="396"/>
      <c r="F8152" s="396"/>
      <c r="G8152" s="396"/>
      <c r="K8152" s="370"/>
      <c r="N8152" s="370"/>
    </row>
    <row r="8153" spans="1:14" s="347" customFormat="1" x14ac:dyDescent="0.25">
      <c r="A8153" s="369"/>
      <c r="E8153" s="396"/>
      <c r="F8153" s="396"/>
      <c r="G8153" s="396"/>
      <c r="K8153" s="370"/>
      <c r="N8153" s="370"/>
    </row>
    <row r="8154" spans="1:14" s="347" customFormat="1" x14ac:dyDescent="0.25">
      <c r="A8154" s="369"/>
      <c r="E8154" s="396"/>
      <c r="F8154" s="396"/>
      <c r="G8154" s="396"/>
      <c r="K8154" s="370"/>
      <c r="N8154" s="370"/>
    </row>
    <row r="8155" spans="1:14" s="347" customFormat="1" x14ac:dyDescent="0.25">
      <c r="A8155" s="369"/>
      <c r="E8155" s="396"/>
      <c r="F8155" s="396"/>
      <c r="G8155" s="396"/>
      <c r="K8155" s="370"/>
      <c r="N8155" s="370"/>
    </row>
    <row r="8156" spans="1:14" s="347" customFormat="1" x14ac:dyDescent="0.25">
      <c r="A8156" s="369"/>
      <c r="E8156" s="396"/>
      <c r="F8156" s="396"/>
      <c r="G8156" s="396"/>
      <c r="K8156" s="370"/>
      <c r="N8156" s="370"/>
    </row>
    <row r="8157" spans="1:14" s="347" customFormat="1" x14ac:dyDescent="0.25">
      <c r="A8157" s="369"/>
      <c r="E8157" s="396"/>
      <c r="F8157" s="396"/>
      <c r="G8157" s="396"/>
      <c r="K8157" s="370"/>
      <c r="N8157" s="370"/>
    </row>
    <row r="8158" spans="1:14" s="347" customFormat="1" x14ac:dyDescent="0.25">
      <c r="A8158" s="369"/>
      <c r="E8158" s="396"/>
      <c r="F8158" s="396"/>
      <c r="G8158" s="396"/>
      <c r="K8158" s="370"/>
      <c r="N8158" s="370"/>
    </row>
    <row r="8159" spans="1:14" s="347" customFormat="1" x14ac:dyDescent="0.25">
      <c r="A8159" s="369"/>
      <c r="E8159" s="396"/>
      <c r="F8159" s="396"/>
      <c r="G8159" s="396"/>
      <c r="K8159" s="370"/>
      <c r="N8159" s="370"/>
    </row>
    <row r="8160" spans="1:14" s="347" customFormat="1" x14ac:dyDescent="0.25">
      <c r="A8160" s="369"/>
      <c r="E8160" s="396"/>
      <c r="F8160" s="396"/>
      <c r="G8160" s="396"/>
      <c r="K8160" s="370"/>
      <c r="N8160" s="370"/>
    </row>
    <row r="8161" spans="1:14" s="347" customFormat="1" x14ac:dyDescent="0.25">
      <c r="A8161" s="369"/>
      <c r="E8161" s="396"/>
      <c r="F8161" s="396"/>
      <c r="G8161" s="396"/>
      <c r="K8161" s="370"/>
      <c r="N8161" s="370"/>
    </row>
    <row r="8162" spans="1:14" s="347" customFormat="1" x14ac:dyDescent="0.25">
      <c r="A8162" s="369"/>
      <c r="E8162" s="396"/>
      <c r="F8162" s="396"/>
      <c r="G8162" s="396"/>
      <c r="K8162" s="370"/>
      <c r="N8162" s="370"/>
    </row>
    <row r="8163" spans="1:14" s="347" customFormat="1" x14ac:dyDescent="0.25">
      <c r="A8163" s="369"/>
      <c r="E8163" s="396"/>
      <c r="F8163" s="396"/>
      <c r="G8163" s="396"/>
      <c r="K8163" s="370"/>
      <c r="N8163" s="370"/>
    </row>
    <row r="8164" spans="1:14" s="347" customFormat="1" x14ac:dyDescent="0.25">
      <c r="A8164" s="369"/>
      <c r="E8164" s="396"/>
      <c r="F8164" s="396"/>
      <c r="G8164" s="396"/>
      <c r="K8164" s="370"/>
      <c r="N8164" s="370"/>
    </row>
    <row r="8165" spans="1:14" s="347" customFormat="1" x14ac:dyDescent="0.25">
      <c r="A8165" s="369"/>
      <c r="E8165" s="396"/>
      <c r="F8165" s="396"/>
      <c r="G8165" s="396"/>
      <c r="K8165" s="370"/>
      <c r="N8165" s="370"/>
    </row>
    <row r="8166" spans="1:14" s="347" customFormat="1" x14ac:dyDescent="0.25">
      <c r="A8166" s="369"/>
      <c r="E8166" s="396"/>
      <c r="F8166" s="396"/>
      <c r="G8166" s="396"/>
      <c r="K8166" s="370"/>
      <c r="N8166" s="370"/>
    </row>
    <row r="8167" spans="1:14" s="347" customFormat="1" x14ac:dyDescent="0.25">
      <c r="A8167" s="369"/>
      <c r="E8167" s="396"/>
      <c r="F8167" s="396"/>
      <c r="G8167" s="396"/>
      <c r="K8167" s="370"/>
      <c r="N8167" s="370"/>
    </row>
    <row r="8168" spans="1:14" s="347" customFormat="1" x14ac:dyDescent="0.25">
      <c r="A8168" s="369"/>
      <c r="E8168" s="396"/>
      <c r="F8168" s="396"/>
      <c r="G8168" s="396"/>
      <c r="K8168" s="370"/>
      <c r="N8168" s="370"/>
    </row>
    <row r="8169" spans="1:14" s="347" customFormat="1" x14ac:dyDescent="0.25">
      <c r="A8169" s="369"/>
      <c r="E8169" s="396"/>
      <c r="F8169" s="396"/>
      <c r="G8169" s="396"/>
      <c r="K8169" s="370"/>
      <c r="N8169" s="370"/>
    </row>
    <row r="8170" spans="1:14" s="347" customFormat="1" x14ac:dyDescent="0.25">
      <c r="A8170" s="369"/>
      <c r="E8170" s="396"/>
      <c r="F8170" s="396"/>
      <c r="G8170" s="396"/>
      <c r="K8170" s="370"/>
      <c r="N8170" s="370"/>
    </row>
    <row r="8171" spans="1:14" s="347" customFormat="1" x14ac:dyDescent="0.25">
      <c r="A8171" s="369"/>
      <c r="E8171" s="396"/>
      <c r="F8171" s="396"/>
      <c r="G8171" s="396"/>
      <c r="K8171" s="370"/>
      <c r="N8171" s="370"/>
    </row>
    <row r="8172" spans="1:14" s="347" customFormat="1" x14ac:dyDescent="0.25">
      <c r="A8172" s="369"/>
      <c r="E8172" s="396"/>
      <c r="F8172" s="396"/>
      <c r="G8172" s="396"/>
      <c r="K8172" s="370"/>
      <c r="N8172" s="370"/>
    </row>
    <row r="8173" spans="1:14" s="347" customFormat="1" x14ac:dyDescent="0.25">
      <c r="A8173" s="369"/>
      <c r="E8173" s="396"/>
      <c r="F8173" s="396"/>
      <c r="G8173" s="396"/>
      <c r="K8173" s="370"/>
      <c r="N8173" s="370"/>
    </row>
    <row r="8174" spans="1:14" s="347" customFormat="1" x14ac:dyDescent="0.25">
      <c r="A8174" s="369"/>
      <c r="E8174" s="396"/>
      <c r="F8174" s="396"/>
      <c r="G8174" s="396"/>
      <c r="K8174" s="370"/>
      <c r="N8174" s="370"/>
    </row>
    <row r="8175" spans="1:14" s="347" customFormat="1" x14ac:dyDescent="0.25">
      <c r="A8175" s="369"/>
      <c r="E8175" s="396"/>
      <c r="F8175" s="396"/>
      <c r="G8175" s="396"/>
      <c r="K8175" s="370"/>
      <c r="N8175" s="370"/>
    </row>
    <row r="8176" spans="1:14" s="347" customFormat="1" x14ac:dyDescent="0.25">
      <c r="A8176" s="369"/>
      <c r="E8176" s="396"/>
      <c r="F8176" s="396"/>
      <c r="G8176" s="396"/>
      <c r="K8176" s="370"/>
      <c r="N8176" s="370"/>
    </row>
    <row r="8177" spans="1:14" s="347" customFormat="1" x14ac:dyDescent="0.25">
      <c r="A8177" s="369"/>
      <c r="E8177" s="396"/>
      <c r="F8177" s="396"/>
      <c r="G8177" s="396"/>
      <c r="K8177" s="370"/>
      <c r="N8177" s="370"/>
    </row>
    <row r="8178" spans="1:14" s="347" customFormat="1" x14ac:dyDescent="0.25">
      <c r="A8178" s="369"/>
      <c r="E8178" s="396"/>
      <c r="F8178" s="396"/>
      <c r="G8178" s="396"/>
      <c r="K8178" s="370"/>
      <c r="N8178" s="370"/>
    </row>
    <row r="8179" spans="1:14" s="347" customFormat="1" x14ac:dyDescent="0.25">
      <c r="A8179" s="369"/>
      <c r="E8179" s="396"/>
      <c r="F8179" s="396"/>
      <c r="G8179" s="396"/>
      <c r="K8179" s="370"/>
      <c r="N8179" s="370"/>
    </row>
    <row r="8180" spans="1:14" s="347" customFormat="1" x14ac:dyDescent="0.25">
      <c r="A8180" s="369"/>
      <c r="E8180" s="396"/>
      <c r="F8180" s="396"/>
      <c r="G8180" s="396"/>
      <c r="K8180" s="370"/>
      <c r="N8180" s="370"/>
    </row>
    <row r="8181" spans="1:14" s="347" customFormat="1" x14ac:dyDescent="0.25">
      <c r="A8181" s="369"/>
      <c r="E8181" s="396"/>
      <c r="F8181" s="396"/>
      <c r="G8181" s="396"/>
      <c r="K8181" s="370"/>
      <c r="N8181" s="370"/>
    </row>
    <row r="8182" spans="1:14" s="347" customFormat="1" x14ac:dyDescent="0.25">
      <c r="A8182" s="369"/>
      <c r="E8182" s="396"/>
      <c r="F8182" s="396"/>
      <c r="G8182" s="396"/>
      <c r="K8182" s="370"/>
      <c r="N8182" s="370"/>
    </row>
    <row r="8183" spans="1:14" s="347" customFormat="1" x14ac:dyDescent="0.25">
      <c r="A8183" s="369"/>
      <c r="E8183" s="396"/>
      <c r="F8183" s="396"/>
      <c r="G8183" s="396"/>
      <c r="K8183" s="370"/>
      <c r="N8183" s="370"/>
    </row>
    <row r="8184" spans="1:14" s="347" customFormat="1" x14ac:dyDescent="0.25">
      <c r="A8184" s="369"/>
      <c r="E8184" s="396"/>
      <c r="F8184" s="396"/>
      <c r="G8184" s="396"/>
      <c r="K8184" s="370"/>
      <c r="N8184" s="370"/>
    </row>
    <row r="8185" spans="1:14" s="347" customFormat="1" x14ac:dyDescent="0.25">
      <c r="A8185" s="369"/>
      <c r="E8185" s="396"/>
      <c r="F8185" s="396"/>
      <c r="G8185" s="396"/>
      <c r="K8185" s="370"/>
      <c r="N8185" s="370"/>
    </row>
    <row r="8186" spans="1:14" s="347" customFormat="1" x14ac:dyDescent="0.25">
      <c r="A8186" s="369"/>
      <c r="E8186" s="396"/>
      <c r="F8186" s="396"/>
      <c r="G8186" s="396"/>
      <c r="K8186" s="370"/>
      <c r="N8186" s="370"/>
    </row>
    <row r="8187" spans="1:14" s="347" customFormat="1" x14ac:dyDescent="0.25">
      <c r="A8187" s="369"/>
      <c r="E8187" s="396"/>
      <c r="F8187" s="396"/>
      <c r="G8187" s="396"/>
      <c r="K8187" s="370"/>
      <c r="N8187" s="370"/>
    </row>
    <row r="8188" spans="1:14" s="347" customFormat="1" x14ac:dyDescent="0.25">
      <c r="A8188" s="369"/>
      <c r="E8188" s="396"/>
      <c r="F8188" s="396"/>
      <c r="G8188" s="396"/>
      <c r="K8188" s="370"/>
      <c r="N8188" s="370"/>
    </row>
    <row r="8189" spans="1:14" s="347" customFormat="1" x14ac:dyDescent="0.25">
      <c r="A8189" s="369"/>
      <c r="E8189" s="396"/>
      <c r="F8189" s="396"/>
      <c r="G8189" s="396"/>
      <c r="K8189" s="370"/>
      <c r="N8189" s="370"/>
    </row>
    <row r="8190" spans="1:14" s="347" customFormat="1" x14ac:dyDescent="0.25">
      <c r="A8190" s="369"/>
      <c r="E8190" s="396"/>
      <c r="F8190" s="396"/>
      <c r="G8190" s="396"/>
      <c r="K8190" s="370"/>
      <c r="N8190" s="370"/>
    </row>
    <row r="8191" spans="1:14" s="347" customFormat="1" x14ac:dyDescent="0.25">
      <c r="A8191" s="369"/>
      <c r="E8191" s="396"/>
      <c r="F8191" s="396"/>
      <c r="G8191" s="396"/>
      <c r="K8191" s="370"/>
      <c r="N8191" s="370"/>
    </row>
    <row r="8192" spans="1:14" s="347" customFormat="1" x14ac:dyDescent="0.25">
      <c r="A8192" s="369"/>
      <c r="E8192" s="396"/>
      <c r="F8192" s="396"/>
      <c r="G8192" s="396"/>
      <c r="K8192" s="370"/>
      <c r="N8192" s="370"/>
    </row>
    <row r="8193" spans="1:14" s="347" customFormat="1" x14ac:dyDescent="0.25">
      <c r="A8193" s="369"/>
      <c r="E8193" s="396"/>
      <c r="F8193" s="396"/>
      <c r="G8193" s="396"/>
      <c r="K8193" s="370"/>
      <c r="N8193" s="370"/>
    </row>
    <row r="8194" spans="1:14" s="347" customFormat="1" x14ac:dyDescent="0.25">
      <c r="A8194" s="369"/>
      <c r="E8194" s="396"/>
      <c r="F8194" s="396"/>
      <c r="G8194" s="396"/>
      <c r="K8194" s="370"/>
      <c r="N8194" s="370"/>
    </row>
    <row r="8195" spans="1:14" s="347" customFormat="1" x14ac:dyDescent="0.25">
      <c r="A8195" s="369"/>
      <c r="E8195" s="396"/>
      <c r="F8195" s="396"/>
      <c r="G8195" s="396"/>
      <c r="K8195" s="370"/>
      <c r="N8195" s="370"/>
    </row>
    <row r="8196" spans="1:14" s="347" customFormat="1" x14ac:dyDescent="0.25">
      <c r="A8196" s="369"/>
      <c r="E8196" s="396"/>
      <c r="F8196" s="396"/>
      <c r="G8196" s="396"/>
      <c r="K8196" s="370"/>
      <c r="N8196" s="370"/>
    </row>
    <row r="8197" spans="1:14" s="347" customFormat="1" x14ac:dyDescent="0.25">
      <c r="A8197" s="369"/>
      <c r="E8197" s="396"/>
      <c r="F8197" s="396"/>
      <c r="G8197" s="396"/>
      <c r="K8197" s="370"/>
      <c r="N8197" s="370"/>
    </row>
    <row r="8198" spans="1:14" s="347" customFormat="1" x14ac:dyDescent="0.25">
      <c r="A8198" s="369"/>
      <c r="E8198" s="396"/>
      <c r="F8198" s="396"/>
      <c r="G8198" s="396"/>
      <c r="K8198" s="370"/>
      <c r="N8198" s="370"/>
    </row>
    <row r="8199" spans="1:14" s="347" customFormat="1" x14ac:dyDescent="0.25">
      <c r="A8199" s="369"/>
      <c r="E8199" s="396"/>
      <c r="F8199" s="396"/>
      <c r="G8199" s="396"/>
      <c r="K8199" s="370"/>
      <c r="N8199" s="370"/>
    </row>
    <row r="8200" spans="1:14" s="347" customFormat="1" x14ac:dyDescent="0.25">
      <c r="A8200" s="369"/>
      <c r="E8200" s="396"/>
      <c r="F8200" s="396"/>
      <c r="G8200" s="396"/>
      <c r="K8200" s="370"/>
      <c r="N8200" s="370"/>
    </row>
    <row r="8201" spans="1:14" s="347" customFormat="1" x14ac:dyDescent="0.25">
      <c r="A8201" s="369"/>
      <c r="E8201" s="396"/>
      <c r="F8201" s="396"/>
      <c r="G8201" s="396"/>
      <c r="K8201" s="370"/>
      <c r="N8201" s="370"/>
    </row>
    <row r="8202" spans="1:14" s="347" customFormat="1" x14ac:dyDescent="0.25">
      <c r="A8202" s="369"/>
      <c r="E8202" s="396"/>
      <c r="F8202" s="396"/>
      <c r="G8202" s="396"/>
      <c r="K8202" s="370"/>
      <c r="N8202" s="370"/>
    </row>
    <row r="8203" spans="1:14" s="347" customFormat="1" x14ac:dyDescent="0.25">
      <c r="A8203" s="369"/>
      <c r="E8203" s="396"/>
      <c r="F8203" s="396"/>
      <c r="G8203" s="396"/>
      <c r="K8203" s="370"/>
      <c r="N8203" s="370"/>
    </row>
    <row r="8204" spans="1:14" s="347" customFormat="1" x14ac:dyDescent="0.25">
      <c r="A8204" s="369"/>
      <c r="E8204" s="396"/>
      <c r="F8204" s="396"/>
      <c r="G8204" s="396"/>
      <c r="K8204" s="370"/>
      <c r="N8204" s="370"/>
    </row>
    <row r="8205" spans="1:14" s="347" customFormat="1" x14ac:dyDescent="0.25">
      <c r="A8205" s="369"/>
      <c r="E8205" s="396"/>
      <c r="F8205" s="396"/>
      <c r="G8205" s="396"/>
      <c r="K8205" s="370"/>
      <c r="N8205" s="370"/>
    </row>
    <row r="8206" spans="1:14" s="347" customFormat="1" x14ac:dyDescent="0.25">
      <c r="A8206" s="369"/>
      <c r="E8206" s="396"/>
      <c r="F8206" s="396"/>
      <c r="G8206" s="396"/>
      <c r="K8206" s="370"/>
      <c r="N8206" s="370"/>
    </row>
    <row r="8207" spans="1:14" s="347" customFormat="1" x14ac:dyDescent="0.25">
      <c r="A8207" s="369"/>
      <c r="E8207" s="396"/>
      <c r="F8207" s="396"/>
      <c r="G8207" s="396"/>
      <c r="K8207" s="370"/>
      <c r="N8207" s="370"/>
    </row>
    <row r="8208" spans="1:14" s="347" customFormat="1" x14ac:dyDescent="0.25">
      <c r="A8208" s="369"/>
      <c r="E8208" s="396"/>
      <c r="F8208" s="396"/>
      <c r="G8208" s="396"/>
      <c r="K8208" s="370"/>
      <c r="N8208" s="370"/>
    </row>
    <row r="8209" spans="1:14" s="347" customFormat="1" x14ac:dyDescent="0.25">
      <c r="A8209" s="369"/>
      <c r="E8209" s="396"/>
      <c r="F8209" s="396"/>
      <c r="G8209" s="396"/>
      <c r="K8209" s="370"/>
      <c r="N8209" s="370"/>
    </row>
    <row r="8210" spans="1:14" s="347" customFormat="1" x14ac:dyDescent="0.25">
      <c r="A8210" s="369"/>
      <c r="E8210" s="396"/>
      <c r="F8210" s="396"/>
      <c r="G8210" s="396"/>
      <c r="K8210" s="370"/>
      <c r="N8210" s="370"/>
    </row>
    <row r="8211" spans="1:14" s="347" customFormat="1" x14ac:dyDescent="0.25">
      <c r="A8211" s="369"/>
      <c r="E8211" s="396"/>
      <c r="F8211" s="396"/>
      <c r="G8211" s="396"/>
      <c r="K8211" s="370"/>
      <c r="N8211" s="370"/>
    </row>
    <row r="8212" spans="1:14" s="347" customFormat="1" x14ac:dyDescent="0.25">
      <c r="A8212" s="369"/>
      <c r="E8212" s="396"/>
      <c r="F8212" s="396"/>
      <c r="G8212" s="396"/>
      <c r="K8212" s="370"/>
      <c r="N8212" s="370"/>
    </row>
    <row r="8213" spans="1:14" s="347" customFormat="1" x14ac:dyDescent="0.25">
      <c r="A8213" s="369"/>
      <c r="E8213" s="396"/>
      <c r="F8213" s="396"/>
      <c r="G8213" s="396"/>
      <c r="K8213" s="370"/>
      <c r="N8213" s="370"/>
    </row>
    <row r="8214" spans="1:14" s="347" customFormat="1" x14ac:dyDescent="0.25">
      <c r="A8214" s="369"/>
      <c r="E8214" s="396"/>
      <c r="F8214" s="396"/>
      <c r="G8214" s="396"/>
      <c r="K8214" s="370"/>
      <c r="N8214" s="370"/>
    </row>
    <row r="8215" spans="1:14" s="347" customFormat="1" x14ac:dyDescent="0.25">
      <c r="A8215" s="369"/>
      <c r="E8215" s="396"/>
      <c r="F8215" s="396"/>
      <c r="G8215" s="396"/>
      <c r="K8215" s="370"/>
      <c r="N8215" s="370"/>
    </row>
    <row r="8216" spans="1:14" s="347" customFormat="1" x14ac:dyDescent="0.25">
      <c r="A8216" s="369"/>
      <c r="E8216" s="396"/>
      <c r="F8216" s="396"/>
      <c r="G8216" s="396"/>
      <c r="K8216" s="370"/>
      <c r="N8216" s="370"/>
    </row>
    <row r="8217" spans="1:14" s="347" customFormat="1" x14ac:dyDescent="0.25">
      <c r="A8217" s="369"/>
      <c r="E8217" s="396"/>
      <c r="F8217" s="396"/>
      <c r="G8217" s="396"/>
      <c r="K8217" s="370"/>
      <c r="N8217" s="370"/>
    </row>
    <row r="8218" spans="1:14" s="347" customFormat="1" x14ac:dyDescent="0.25">
      <c r="A8218" s="369"/>
      <c r="E8218" s="396"/>
      <c r="F8218" s="396"/>
      <c r="G8218" s="396"/>
      <c r="K8218" s="370"/>
      <c r="N8218" s="370"/>
    </row>
    <row r="8219" spans="1:14" s="347" customFormat="1" x14ac:dyDescent="0.25">
      <c r="A8219" s="369"/>
      <c r="E8219" s="396"/>
      <c r="F8219" s="396"/>
      <c r="G8219" s="396"/>
      <c r="K8219" s="370"/>
      <c r="N8219" s="370"/>
    </row>
    <row r="8220" spans="1:14" s="347" customFormat="1" x14ac:dyDescent="0.25">
      <c r="A8220" s="369"/>
      <c r="E8220" s="396"/>
      <c r="F8220" s="396"/>
      <c r="G8220" s="396"/>
      <c r="K8220" s="370"/>
      <c r="N8220" s="370"/>
    </row>
    <row r="8221" spans="1:14" s="347" customFormat="1" x14ac:dyDescent="0.25">
      <c r="A8221" s="369"/>
      <c r="E8221" s="396"/>
      <c r="F8221" s="396"/>
      <c r="G8221" s="396"/>
      <c r="K8221" s="370"/>
      <c r="N8221" s="370"/>
    </row>
    <row r="8222" spans="1:14" s="347" customFormat="1" x14ac:dyDescent="0.25">
      <c r="A8222" s="369"/>
      <c r="E8222" s="396"/>
      <c r="F8222" s="396"/>
      <c r="G8222" s="396"/>
      <c r="K8222" s="370"/>
      <c r="N8222" s="370"/>
    </row>
    <row r="8223" spans="1:14" s="347" customFormat="1" x14ac:dyDescent="0.25">
      <c r="A8223" s="369"/>
      <c r="E8223" s="396"/>
      <c r="F8223" s="396"/>
      <c r="G8223" s="396"/>
      <c r="K8223" s="370"/>
      <c r="N8223" s="370"/>
    </row>
    <row r="8224" spans="1:14" s="347" customFormat="1" x14ac:dyDescent="0.25">
      <c r="A8224" s="369"/>
      <c r="E8224" s="396"/>
      <c r="F8224" s="396"/>
      <c r="G8224" s="396"/>
      <c r="K8224" s="370"/>
      <c r="N8224" s="370"/>
    </row>
    <row r="8225" spans="1:14" s="347" customFormat="1" x14ac:dyDescent="0.25">
      <c r="A8225" s="369"/>
      <c r="E8225" s="396"/>
      <c r="F8225" s="396"/>
      <c r="G8225" s="396"/>
      <c r="K8225" s="370"/>
      <c r="N8225" s="370"/>
    </row>
    <row r="8226" spans="1:14" s="347" customFormat="1" x14ac:dyDescent="0.25">
      <c r="A8226" s="369"/>
      <c r="E8226" s="396"/>
      <c r="F8226" s="396"/>
      <c r="G8226" s="396"/>
      <c r="K8226" s="370"/>
      <c r="N8226" s="370"/>
    </row>
    <row r="8227" spans="1:14" s="347" customFormat="1" x14ac:dyDescent="0.25">
      <c r="A8227" s="369"/>
      <c r="E8227" s="396"/>
      <c r="F8227" s="396"/>
      <c r="G8227" s="396"/>
      <c r="K8227" s="370"/>
      <c r="N8227" s="370"/>
    </row>
    <row r="8228" spans="1:14" s="347" customFormat="1" x14ac:dyDescent="0.25">
      <c r="A8228" s="369"/>
      <c r="E8228" s="396"/>
      <c r="F8228" s="396"/>
      <c r="G8228" s="396"/>
      <c r="K8228" s="370"/>
      <c r="N8228" s="370"/>
    </row>
    <row r="8229" spans="1:14" s="347" customFormat="1" x14ac:dyDescent="0.25">
      <c r="A8229" s="369"/>
      <c r="E8229" s="396"/>
      <c r="F8229" s="396"/>
      <c r="G8229" s="396"/>
      <c r="K8229" s="370"/>
      <c r="N8229" s="370"/>
    </row>
    <row r="8230" spans="1:14" s="347" customFormat="1" x14ac:dyDescent="0.25">
      <c r="A8230" s="369"/>
      <c r="E8230" s="396"/>
      <c r="F8230" s="396"/>
      <c r="G8230" s="396"/>
      <c r="K8230" s="370"/>
      <c r="N8230" s="370"/>
    </row>
    <row r="8231" spans="1:14" s="347" customFormat="1" x14ac:dyDescent="0.25">
      <c r="A8231" s="369"/>
      <c r="E8231" s="396"/>
      <c r="F8231" s="396"/>
      <c r="G8231" s="396"/>
      <c r="K8231" s="370"/>
      <c r="N8231" s="370"/>
    </row>
    <row r="8232" spans="1:14" s="347" customFormat="1" x14ac:dyDescent="0.25">
      <c r="A8232" s="369"/>
      <c r="E8232" s="396"/>
      <c r="F8232" s="396"/>
      <c r="G8232" s="396"/>
      <c r="K8232" s="370"/>
      <c r="N8232" s="370"/>
    </row>
    <row r="8233" spans="1:14" s="347" customFormat="1" x14ac:dyDescent="0.25">
      <c r="A8233" s="369"/>
      <c r="E8233" s="396"/>
      <c r="F8233" s="396"/>
      <c r="G8233" s="396"/>
      <c r="K8233" s="370"/>
      <c r="N8233" s="370"/>
    </row>
    <row r="8234" spans="1:14" s="347" customFormat="1" x14ac:dyDescent="0.25">
      <c r="A8234" s="369"/>
      <c r="E8234" s="396"/>
      <c r="F8234" s="396"/>
      <c r="G8234" s="396"/>
      <c r="K8234" s="370"/>
      <c r="N8234" s="370"/>
    </row>
    <row r="8235" spans="1:14" s="347" customFormat="1" x14ac:dyDescent="0.25">
      <c r="A8235" s="369"/>
      <c r="E8235" s="396"/>
      <c r="F8235" s="396"/>
      <c r="G8235" s="396"/>
      <c r="K8235" s="370"/>
      <c r="N8235" s="370"/>
    </row>
    <row r="8236" spans="1:14" s="347" customFormat="1" x14ac:dyDescent="0.25">
      <c r="A8236" s="369"/>
      <c r="E8236" s="396"/>
      <c r="F8236" s="396"/>
      <c r="G8236" s="396"/>
      <c r="K8236" s="370"/>
      <c r="N8236" s="370"/>
    </row>
    <row r="8237" spans="1:14" s="347" customFormat="1" x14ac:dyDescent="0.25">
      <c r="A8237" s="369"/>
      <c r="E8237" s="396"/>
      <c r="F8237" s="396"/>
      <c r="G8237" s="396"/>
      <c r="K8237" s="370"/>
      <c r="N8237" s="370"/>
    </row>
    <row r="8238" spans="1:14" s="347" customFormat="1" x14ac:dyDescent="0.25">
      <c r="A8238" s="369"/>
      <c r="E8238" s="396"/>
      <c r="F8238" s="396"/>
      <c r="G8238" s="396"/>
      <c r="K8238" s="370"/>
      <c r="N8238" s="370"/>
    </row>
    <row r="8239" spans="1:14" s="347" customFormat="1" x14ac:dyDescent="0.25">
      <c r="A8239" s="369"/>
      <c r="E8239" s="396"/>
      <c r="F8239" s="396"/>
      <c r="G8239" s="396"/>
      <c r="K8239" s="370"/>
      <c r="N8239" s="370"/>
    </row>
    <row r="8240" spans="1:14" s="347" customFormat="1" x14ac:dyDescent="0.25">
      <c r="A8240" s="369"/>
      <c r="E8240" s="396"/>
      <c r="F8240" s="396"/>
      <c r="G8240" s="396"/>
      <c r="K8240" s="370"/>
      <c r="N8240" s="370"/>
    </row>
    <row r="8241" spans="1:14" s="347" customFormat="1" x14ac:dyDescent="0.25">
      <c r="A8241" s="369"/>
      <c r="E8241" s="396"/>
      <c r="F8241" s="396"/>
      <c r="G8241" s="396"/>
      <c r="K8241" s="370"/>
      <c r="N8241" s="370"/>
    </row>
    <row r="8242" spans="1:14" s="347" customFormat="1" x14ac:dyDescent="0.25">
      <c r="A8242" s="369"/>
      <c r="E8242" s="396"/>
      <c r="F8242" s="396"/>
      <c r="G8242" s="396"/>
      <c r="K8242" s="370"/>
      <c r="N8242" s="370"/>
    </row>
    <row r="8243" spans="1:14" s="347" customFormat="1" x14ac:dyDescent="0.25">
      <c r="A8243" s="369"/>
      <c r="E8243" s="396"/>
      <c r="F8243" s="396"/>
      <c r="G8243" s="396"/>
      <c r="K8243" s="370"/>
      <c r="N8243" s="370"/>
    </row>
    <row r="8244" spans="1:14" s="347" customFormat="1" x14ac:dyDescent="0.25">
      <c r="A8244" s="369"/>
      <c r="E8244" s="396"/>
      <c r="F8244" s="396"/>
      <c r="G8244" s="396"/>
      <c r="K8244" s="370"/>
      <c r="N8244" s="370"/>
    </row>
    <row r="8245" spans="1:14" s="347" customFormat="1" x14ac:dyDescent="0.25">
      <c r="A8245" s="369"/>
      <c r="E8245" s="396"/>
      <c r="F8245" s="396"/>
      <c r="G8245" s="396"/>
      <c r="K8245" s="370"/>
      <c r="N8245" s="370"/>
    </row>
    <row r="8246" spans="1:14" s="347" customFormat="1" x14ac:dyDescent="0.25">
      <c r="A8246" s="369"/>
      <c r="E8246" s="396"/>
      <c r="F8246" s="396"/>
      <c r="G8246" s="396"/>
      <c r="K8246" s="370"/>
      <c r="N8246" s="370"/>
    </row>
    <row r="8247" spans="1:14" s="347" customFormat="1" x14ac:dyDescent="0.25">
      <c r="A8247" s="369"/>
      <c r="E8247" s="396"/>
      <c r="F8247" s="396"/>
      <c r="G8247" s="396"/>
      <c r="K8247" s="370"/>
      <c r="N8247" s="370"/>
    </row>
    <row r="8248" spans="1:14" s="347" customFormat="1" x14ac:dyDescent="0.25">
      <c r="A8248" s="369"/>
      <c r="E8248" s="396"/>
      <c r="F8248" s="396"/>
      <c r="G8248" s="396"/>
      <c r="K8248" s="370"/>
      <c r="N8248" s="370"/>
    </row>
    <row r="8249" spans="1:14" s="347" customFormat="1" x14ac:dyDescent="0.25">
      <c r="A8249" s="369"/>
      <c r="E8249" s="396"/>
      <c r="F8249" s="396"/>
      <c r="G8249" s="396"/>
      <c r="K8249" s="370"/>
      <c r="N8249" s="370"/>
    </row>
    <row r="8250" spans="1:14" s="347" customFormat="1" x14ac:dyDescent="0.25">
      <c r="A8250" s="369"/>
      <c r="E8250" s="396"/>
      <c r="F8250" s="396"/>
      <c r="G8250" s="396"/>
      <c r="K8250" s="370"/>
      <c r="N8250" s="370"/>
    </row>
    <row r="8251" spans="1:14" s="347" customFormat="1" x14ac:dyDescent="0.25">
      <c r="A8251" s="369"/>
      <c r="E8251" s="396"/>
      <c r="F8251" s="396"/>
      <c r="G8251" s="396"/>
      <c r="K8251" s="370"/>
      <c r="N8251" s="370"/>
    </row>
    <row r="8252" spans="1:14" s="347" customFormat="1" x14ac:dyDescent="0.25">
      <c r="A8252" s="369"/>
      <c r="E8252" s="396"/>
      <c r="F8252" s="396"/>
      <c r="G8252" s="396"/>
      <c r="K8252" s="370"/>
      <c r="N8252" s="370"/>
    </row>
    <row r="8253" spans="1:14" s="347" customFormat="1" x14ac:dyDescent="0.25">
      <c r="A8253" s="369"/>
      <c r="E8253" s="396"/>
      <c r="F8253" s="396"/>
      <c r="G8253" s="396"/>
      <c r="K8253" s="370"/>
      <c r="N8253" s="370"/>
    </row>
    <row r="8254" spans="1:14" s="347" customFormat="1" x14ac:dyDescent="0.25">
      <c r="A8254" s="369"/>
      <c r="E8254" s="396"/>
      <c r="F8254" s="396"/>
      <c r="G8254" s="396"/>
      <c r="K8254" s="370"/>
      <c r="N8254" s="370"/>
    </row>
    <row r="8255" spans="1:14" s="347" customFormat="1" x14ac:dyDescent="0.25">
      <c r="A8255" s="369"/>
      <c r="E8255" s="396"/>
      <c r="F8255" s="396"/>
      <c r="G8255" s="396"/>
      <c r="K8255" s="370"/>
      <c r="N8255" s="370"/>
    </row>
    <row r="8256" spans="1:14" s="347" customFormat="1" x14ac:dyDescent="0.25">
      <c r="A8256" s="369"/>
      <c r="E8256" s="396"/>
      <c r="F8256" s="396"/>
      <c r="G8256" s="396"/>
      <c r="K8256" s="370"/>
      <c r="N8256" s="370"/>
    </row>
    <row r="8257" spans="1:14" s="347" customFormat="1" x14ac:dyDescent="0.25">
      <c r="A8257" s="369"/>
      <c r="E8257" s="396"/>
      <c r="F8257" s="396"/>
      <c r="G8257" s="396"/>
      <c r="K8257" s="370"/>
      <c r="N8257" s="370"/>
    </row>
    <row r="8258" spans="1:14" s="347" customFormat="1" x14ac:dyDescent="0.25">
      <c r="A8258" s="369"/>
      <c r="E8258" s="396"/>
      <c r="F8258" s="396"/>
      <c r="G8258" s="396"/>
      <c r="K8258" s="370"/>
      <c r="N8258" s="370"/>
    </row>
    <row r="8259" spans="1:14" s="347" customFormat="1" x14ac:dyDescent="0.25">
      <c r="A8259" s="369"/>
      <c r="E8259" s="396"/>
      <c r="F8259" s="396"/>
      <c r="G8259" s="396"/>
      <c r="K8259" s="370"/>
      <c r="N8259" s="370"/>
    </row>
    <row r="8260" spans="1:14" s="347" customFormat="1" x14ac:dyDescent="0.25">
      <c r="A8260" s="369"/>
      <c r="E8260" s="396"/>
      <c r="F8260" s="396"/>
      <c r="G8260" s="396"/>
      <c r="K8260" s="370"/>
      <c r="N8260" s="370"/>
    </row>
    <row r="8261" spans="1:14" s="347" customFormat="1" x14ac:dyDescent="0.25">
      <c r="A8261" s="369"/>
      <c r="E8261" s="396"/>
      <c r="F8261" s="396"/>
      <c r="G8261" s="396"/>
      <c r="K8261" s="370"/>
      <c r="N8261" s="370"/>
    </row>
    <row r="8262" spans="1:14" s="347" customFormat="1" x14ac:dyDescent="0.25">
      <c r="A8262" s="369"/>
      <c r="E8262" s="396"/>
      <c r="F8262" s="396"/>
      <c r="G8262" s="396"/>
      <c r="K8262" s="370"/>
      <c r="N8262" s="370"/>
    </row>
    <row r="8263" spans="1:14" s="347" customFormat="1" x14ac:dyDescent="0.25">
      <c r="A8263" s="369"/>
      <c r="E8263" s="396"/>
      <c r="F8263" s="396"/>
      <c r="G8263" s="396"/>
      <c r="K8263" s="370"/>
      <c r="N8263" s="370"/>
    </row>
    <row r="8264" spans="1:14" s="347" customFormat="1" x14ac:dyDescent="0.25">
      <c r="A8264" s="369"/>
      <c r="E8264" s="396"/>
      <c r="F8264" s="396"/>
      <c r="G8264" s="396"/>
      <c r="K8264" s="370"/>
      <c r="N8264" s="370"/>
    </row>
    <row r="8265" spans="1:14" s="347" customFormat="1" x14ac:dyDescent="0.25">
      <c r="A8265" s="369"/>
      <c r="E8265" s="396"/>
      <c r="F8265" s="396"/>
      <c r="G8265" s="396"/>
      <c r="K8265" s="370"/>
      <c r="N8265" s="370"/>
    </row>
    <row r="8266" spans="1:14" s="347" customFormat="1" x14ac:dyDescent="0.25">
      <c r="A8266" s="369"/>
      <c r="E8266" s="396"/>
      <c r="F8266" s="396"/>
      <c r="G8266" s="396"/>
      <c r="K8266" s="370"/>
      <c r="N8266" s="370"/>
    </row>
    <row r="8267" spans="1:14" s="347" customFormat="1" x14ac:dyDescent="0.25">
      <c r="A8267" s="369"/>
      <c r="E8267" s="396"/>
      <c r="F8267" s="396"/>
      <c r="G8267" s="396"/>
      <c r="K8267" s="370"/>
      <c r="N8267" s="370"/>
    </row>
    <row r="8268" spans="1:14" s="347" customFormat="1" x14ac:dyDescent="0.25">
      <c r="A8268" s="369"/>
      <c r="E8268" s="396"/>
      <c r="F8268" s="396"/>
      <c r="G8268" s="396"/>
      <c r="K8268" s="370"/>
      <c r="N8268" s="370"/>
    </row>
    <row r="8269" spans="1:14" s="347" customFormat="1" x14ac:dyDescent="0.25">
      <c r="A8269" s="369"/>
      <c r="E8269" s="396"/>
      <c r="F8269" s="396"/>
      <c r="G8269" s="396"/>
      <c r="K8269" s="370"/>
      <c r="N8269" s="370"/>
    </row>
    <row r="8270" spans="1:14" s="347" customFormat="1" x14ac:dyDescent="0.25">
      <c r="A8270" s="369"/>
      <c r="E8270" s="396"/>
      <c r="F8270" s="396"/>
      <c r="G8270" s="396"/>
      <c r="K8270" s="370"/>
      <c r="N8270" s="370"/>
    </row>
    <row r="8271" spans="1:14" s="347" customFormat="1" x14ac:dyDescent="0.25">
      <c r="A8271" s="369"/>
      <c r="E8271" s="396"/>
      <c r="F8271" s="396"/>
      <c r="G8271" s="396"/>
      <c r="K8271" s="370"/>
      <c r="N8271" s="370"/>
    </row>
    <row r="8272" spans="1:14" s="347" customFormat="1" x14ac:dyDescent="0.25">
      <c r="A8272" s="369"/>
      <c r="E8272" s="396"/>
      <c r="F8272" s="396"/>
      <c r="G8272" s="396"/>
      <c r="K8272" s="370"/>
      <c r="N8272" s="370"/>
    </row>
    <row r="8273" spans="1:14" s="347" customFormat="1" x14ac:dyDescent="0.25">
      <c r="A8273" s="369"/>
      <c r="E8273" s="396"/>
      <c r="F8273" s="396"/>
      <c r="G8273" s="396"/>
      <c r="K8273" s="370"/>
      <c r="N8273" s="370"/>
    </row>
    <row r="8274" spans="1:14" s="347" customFormat="1" x14ac:dyDescent="0.25">
      <c r="A8274" s="369"/>
      <c r="E8274" s="396"/>
      <c r="F8274" s="396"/>
      <c r="G8274" s="396"/>
      <c r="K8274" s="370"/>
      <c r="N8274" s="370"/>
    </row>
    <row r="8275" spans="1:14" s="347" customFormat="1" x14ac:dyDescent="0.25">
      <c r="A8275" s="369"/>
      <c r="E8275" s="396"/>
      <c r="F8275" s="396"/>
      <c r="G8275" s="396"/>
      <c r="K8275" s="370"/>
      <c r="N8275" s="370"/>
    </row>
    <row r="8276" spans="1:14" s="347" customFormat="1" x14ac:dyDescent="0.25">
      <c r="A8276" s="369"/>
      <c r="E8276" s="396"/>
      <c r="F8276" s="396"/>
      <c r="G8276" s="396"/>
      <c r="K8276" s="370"/>
      <c r="N8276" s="370"/>
    </row>
    <row r="8277" spans="1:14" s="347" customFormat="1" x14ac:dyDescent="0.25">
      <c r="A8277" s="369"/>
      <c r="E8277" s="396"/>
      <c r="F8277" s="396"/>
      <c r="G8277" s="396"/>
      <c r="K8277" s="370"/>
      <c r="N8277" s="370"/>
    </row>
    <row r="8278" spans="1:14" s="347" customFormat="1" x14ac:dyDescent="0.25">
      <c r="A8278" s="369"/>
      <c r="E8278" s="396"/>
      <c r="F8278" s="396"/>
      <c r="G8278" s="396"/>
      <c r="K8278" s="370"/>
      <c r="N8278" s="370"/>
    </row>
    <row r="8279" spans="1:14" s="347" customFormat="1" x14ac:dyDescent="0.25">
      <c r="A8279" s="369"/>
      <c r="E8279" s="396"/>
      <c r="F8279" s="396"/>
      <c r="G8279" s="396"/>
      <c r="K8279" s="370"/>
      <c r="N8279" s="370"/>
    </row>
    <row r="8280" spans="1:14" s="347" customFormat="1" x14ac:dyDescent="0.25">
      <c r="A8280" s="369"/>
      <c r="E8280" s="396"/>
      <c r="F8280" s="396"/>
      <c r="G8280" s="396"/>
      <c r="K8280" s="370"/>
      <c r="N8280" s="370"/>
    </row>
    <row r="8281" spans="1:14" s="347" customFormat="1" x14ac:dyDescent="0.25">
      <c r="A8281" s="369"/>
      <c r="E8281" s="396"/>
      <c r="F8281" s="396"/>
      <c r="G8281" s="396"/>
      <c r="K8281" s="370"/>
      <c r="N8281" s="370"/>
    </row>
    <row r="8282" spans="1:14" s="347" customFormat="1" x14ac:dyDescent="0.25">
      <c r="A8282" s="369"/>
      <c r="E8282" s="396"/>
      <c r="F8282" s="396"/>
      <c r="G8282" s="396"/>
      <c r="K8282" s="370"/>
      <c r="N8282" s="370"/>
    </row>
    <row r="8283" spans="1:14" s="347" customFormat="1" x14ac:dyDescent="0.25">
      <c r="A8283" s="369"/>
      <c r="E8283" s="396"/>
      <c r="F8283" s="396"/>
      <c r="G8283" s="396"/>
      <c r="K8283" s="370"/>
      <c r="N8283" s="370"/>
    </row>
    <row r="8284" spans="1:14" s="347" customFormat="1" x14ac:dyDescent="0.25">
      <c r="A8284" s="369"/>
      <c r="E8284" s="396"/>
      <c r="F8284" s="396"/>
      <c r="G8284" s="396"/>
      <c r="K8284" s="370"/>
      <c r="N8284" s="370"/>
    </row>
    <row r="8285" spans="1:14" s="347" customFormat="1" x14ac:dyDescent="0.25">
      <c r="A8285" s="369"/>
      <c r="E8285" s="396"/>
      <c r="F8285" s="396"/>
      <c r="G8285" s="396"/>
      <c r="K8285" s="370"/>
      <c r="N8285" s="370"/>
    </row>
    <row r="8286" spans="1:14" s="347" customFormat="1" x14ac:dyDescent="0.25">
      <c r="A8286" s="369"/>
      <c r="E8286" s="396"/>
      <c r="F8286" s="396"/>
      <c r="G8286" s="396"/>
      <c r="K8286" s="370"/>
      <c r="N8286" s="370"/>
    </row>
    <row r="8287" spans="1:14" s="347" customFormat="1" x14ac:dyDescent="0.25">
      <c r="A8287" s="369"/>
      <c r="E8287" s="396"/>
      <c r="F8287" s="396"/>
      <c r="G8287" s="396"/>
      <c r="K8287" s="370"/>
      <c r="N8287" s="370"/>
    </row>
    <row r="8288" spans="1:14" s="347" customFormat="1" x14ac:dyDescent="0.25">
      <c r="A8288" s="369"/>
      <c r="E8288" s="396"/>
      <c r="F8288" s="396"/>
      <c r="G8288" s="396"/>
      <c r="K8288" s="370"/>
      <c r="N8288" s="370"/>
    </row>
    <row r="8289" spans="1:14" s="347" customFormat="1" x14ac:dyDescent="0.25">
      <c r="A8289" s="369"/>
      <c r="E8289" s="396"/>
      <c r="F8289" s="396"/>
      <c r="G8289" s="396"/>
      <c r="K8289" s="370"/>
      <c r="N8289" s="370"/>
    </row>
    <row r="8290" spans="1:14" s="347" customFormat="1" x14ac:dyDescent="0.25">
      <c r="A8290" s="369"/>
      <c r="E8290" s="396"/>
      <c r="F8290" s="396"/>
      <c r="G8290" s="396"/>
      <c r="K8290" s="370"/>
      <c r="N8290" s="370"/>
    </row>
    <row r="8291" spans="1:14" s="347" customFormat="1" x14ac:dyDescent="0.25">
      <c r="A8291" s="369"/>
      <c r="E8291" s="396"/>
      <c r="F8291" s="396"/>
      <c r="G8291" s="396"/>
      <c r="K8291" s="370"/>
      <c r="N8291" s="370"/>
    </row>
    <row r="8292" spans="1:14" s="347" customFormat="1" x14ac:dyDescent="0.25">
      <c r="A8292" s="369"/>
      <c r="E8292" s="396"/>
      <c r="F8292" s="396"/>
      <c r="G8292" s="396"/>
      <c r="K8292" s="370"/>
      <c r="N8292" s="370"/>
    </row>
    <row r="8293" spans="1:14" s="347" customFormat="1" x14ac:dyDescent="0.25">
      <c r="A8293" s="369"/>
      <c r="E8293" s="396"/>
      <c r="F8293" s="396"/>
      <c r="G8293" s="396"/>
      <c r="K8293" s="370"/>
      <c r="N8293" s="370"/>
    </row>
    <row r="8294" spans="1:14" s="347" customFormat="1" x14ac:dyDescent="0.25">
      <c r="A8294" s="369"/>
      <c r="E8294" s="396"/>
      <c r="F8294" s="396"/>
      <c r="G8294" s="396"/>
      <c r="K8294" s="370"/>
      <c r="N8294" s="370"/>
    </row>
    <row r="8295" spans="1:14" s="347" customFormat="1" x14ac:dyDescent="0.25">
      <c r="A8295" s="369"/>
      <c r="E8295" s="396"/>
      <c r="F8295" s="396"/>
      <c r="G8295" s="396"/>
      <c r="K8295" s="370"/>
      <c r="N8295" s="370"/>
    </row>
    <row r="8296" spans="1:14" s="347" customFormat="1" x14ac:dyDescent="0.25">
      <c r="A8296" s="369"/>
      <c r="E8296" s="396"/>
      <c r="F8296" s="396"/>
      <c r="G8296" s="396"/>
      <c r="K8296" s="370"/>
      <c r="N8296" s="370"/>
    </row>
    <row r="8297" spans="1:14" s="347" customFormat="1" x14ac:dyDescent="0.25">
      <c r="A8297" s="369"/>
      <c r="E8297" s="396"/>
      <c r="F8297" s="396"/>
      <c r="G8297" s="396"/>
      <c r="K8297" s="370"/>
      <c r="N8297" s="370"/>
    </row>
    <row r="8298" spans="1:14" s="347" customFormat="1" x14ac:dyDescent="0.25">
      <c r="A8298" s="369"/>
      <c r="E8298" s="396"/>
      <c r="F8298" s="396"/>
      <c r="G8298" s="396"/>
      <c r="K8298" s="370"/>
      <c r="N8298" s="370"/>
    </row>
    <row r="8299" spans="1:14" s="347" customFormat="1" x14ac:dyDescent="0.25">
      <c r="A8299" s="369"/>
      <c r="E8299" s="396"/>
      <c r="F8299" s="396"/>
      <c r="G8299" s="396"/>
      <c r="K8299" s="370"/>
      <c r="N8299" s="370"/>
    </row>
    <row r="8300" spans="1:14" s="347" customFormat="1" x14ac:dyDescent="0.25">
      <c r="A8300" s="369"/>
      <c r="E8300" s="396"/>
      <c r="F8300" s="396"/>
      <c r="G8300" s="396"/>
      <c r="K8300" s="370"/>
      <c r="N8300" s="370"/>
    </row>
    <row r="8301" spans="1:14" s="347" customFormat="1" x14ac:dyDescent="0.25">
      <c r="A8301" s="369"/>
      <c r="E8301" s="396"/>
      <c r="F8301" s="396"/>
      <c r="G8301" s="396"/>
      <c r="K8301" s="370"/>
      <c r="N8301" s="370"/>
    </row>
    <row r="8302" spans="1:14" s="347" customFormat="1" x14ac:dyDescent="0.25">
      <c r="A8302" s="369"/>
      <c r="E8302" s="396"/>
      <c r="F8302" s="396"/>
      <c r="G8302" s="396"/>
      <c r="K8302" s="370"/>
      <c r="N8302" s="370"/>
    </row>
    <row r="8303" spans="1:14" s="347" customFormat="1" x14ac:dyDescent="0.25">
      <c r="A8303" s="369"/>
      <c r="E8303" s="396"/>
      <c r="F8303" s="396"/>
      <c r="G8303" s="396"/>
      <c r="K8303" s="370"/>
      <c r="N8303" s="370"/>
    </row>
    <row r="8304" spans="1:14" s="347" customFormat="1" x14ac:dyDescent="0.25">
      <c r="A8304" s="369"/>
      <c r="E8304" s="396"/>
      <c r="F8304" s="396"/>
      <c r="G8304" s="396"/>
      <c r="K8304" s="370"/>
      <c r="N8304" s="370"/>
    </row>
    <row r="8305" spans="1:14" s="347" customFormat="1" x14ac:dyDescent="0.25">
      <c r="A8305" s="369"/>
      <c r="E8305" s="396"/>
      <c r="F8305" s="396"/>
      <c r="G8305" s="396"/>
      <c r="K8305" s="370"/>
      <c r="N8305" s="370"/>
    </row>
    <row r="8306" spans="1:14" s="347" customFormat="1" x14ac:dyDescent="0.25">
      <c r="A8306" s="369"/>
      <c r="E8306" s="396"/>
      <c r="F8306" s="396"/>
      <c r="G8306" s="396"/>
      <c r="K8306" s="370"/>
      <c r="N8306" s="370"/>
    </row>
    <row r="8307" spans="1:14" s="347" customFormat="1" x14ac:dyDescent="0.25">
      <c r="A8307" s="369"/>
      <c r="E8307" s="396"/>
      <c r="F8307" s="396"/>
      <c r="G8307" s="396"/>
      <c r="K8307" s="370"/>
      <c r="N8307" s="370"/>
    </row>
    <row r="8308" spans="1:14" s="347" customFormat="1" x14ac:dyDescent="0.25">
      <c r="A8308" s="369"/>
      <c r="E8308" s="396"/>
      <c r="F8308" s="396"/>
      <c r="G8308" s="396"/>
      <c r="K8308" s="370"/>
      <c r="N8308" s="370"/>
    </row>
    <row r="8309" spans="1:14" s="347" customFormat="1" x14ac:dyDescent="0.25">
      <c r="A8309" s="369"/>
      <c r="E8309" s="396"/>
      <c r="F8309" s="396"/>
      <c r="G8309" s="396"/>
      <c r="K8309" s="370"/>
      <c r="N8309" s="370"/>
    </row>
    <row r="8310" spans="1:14" s="347" customFormat="1" x14ac:dyDescent="0.25">
      <c r="A8310" s="369"/>
      <c r="E8310" s="396"/>
      <c r="F8310" s="396"/>
      <c r="G8310" s="396"/>
      <c r="K8310" s="370"/>
      <c r="N8310" s="370"/>
    </row>
    <row r="8311" spans="1:14" s="347" customFormat="1" x14ac:dyDescent="0.25">
      <c r="A8311" s="369"/>
      <c r="E8311" s="396"/>
      <c r="F8311" s="396"/>
      <c r="G8311" s="396"/>
      <c r="K8311" s="370"/>
      <c r="N8311" s="370"/>
    </row>
    <row r="8312" spans="1:14" s="347" customFormat="1" x14ac:dyDescent="0.25">
      <c r="A8312" s="369"/>
      <c r="E8312" s="396"/>
      <c r="F8312" s="396"/>
      <c r="G8312" s="396"/>
      <c r="K8312" s="370"/>
      <c r="N8312" s="370"/>
    </row>
    <row r="8313" spans="1:14" s="347" customFormat="1" x14ac:dyDescent="0.25">
      <c r="A8313" s="369"/>
      <c r="E8313" s="396"/>
      <c r="F8313" s="396"/>
      <c r="G8313" s="396"/>
      <c r="K8313" s="370"/>
      <c r="N8313" s="370"/>
    </row>
    <row r="8314" spans="1:14" s="347" customFormat="1" x14ac:dyDescent="0.25">
      <c r="A8314" s="369"/>
      <c r="E8314" s="396"/>
      <c r="F8314" s="396"/>
      <c r="G8314" s="396"/>
      <c r="K8314" s="370"/>
      <c r="N8314" s="370"/>
    </row>
    <row r="8315" spans="1:14" s="347" customFormat="1" x14ac:dyDescent="0.25">
      <c r="A8315" s="369"/>
      <c r="E8315" s="396"/>
      <c r="F8315" s="396"/>
      <c r="G8315" s="396"/>
      <c r="K8315" s="370"/>
      <c r="N8315" s="370"/>
    </row>
    <row r="8316" spans="1:14" s="347" customFormat="1" x14ac:dyDescent="0.25">
      <c r="A8316" s="369"/>
      <c r="E8316" s="396"/>
      <c r="F8316" s="396"/>
      <c r="G8316" s="396"/>
      <c r="K8316" s="370"/>
      <c r="N8316" s="370"/>
    </row>
    <row r="8317" spans="1:14" s="347" customFormat="1" x14ac:dyDescent="0.25">
      <c r="A8317" s="369"/>
      <c r="E8317" s="396"/>
      <c r="F8317" s="396"/>
      <c r="G8317" s="396"/>
      <c r="K8317" s="370"/>
      <c r="N8317" s="370"/>
    </row>
    <row r="8318" spans="1:14" s="347" customFormat="1" x14ac:dyDescent="0.25">
      <c r="A8318" s="369"/>
      <c r="E8318" s="396"/>
      <c r="F8318" s="396"/>
      <c r="G8318" s="396"/>
      <c r="K8318" s="370"/>
      <c r="N8318" s="370"/>
    </row>
    <row r="8319" spans="1:14" s="347" customFormat="1" x14ac:dyDescent="0.25">
      <c r="A8319" s="369"/>
      <c r="E8319" s="396"/>
      <c r="F8319" s="396"/>
      <c r="G8319" s="396"/>
      <c r="K8319" s="370"/>
      <c r="N8319" s="370"/>
    </row>
    <row r="8320" spans="1:14" s="347" customFormat="1" x14ac:dyDescent="0.25">
      <c r="A8320" s="369"/>
      <c r="E8320" s="396"/>
      <c r="F8320" s="396"/>
      <c r="G8320" s="396"/>
      <c r="K8320" s="370"/>
      <c r="N8320" s="370"/>
    </row>
    <row r="8321" spans="1:14" s="347" customFormat="1" x14ac:dyDescent="0.25">
      <c r="A8321" s="369"/>
      <c r="E8321" s="396"/>
      <c r="F8321" s="396"/>
      <c r="G8321" s="396"/>
      <c r="K8321" s="370"/>
      <c r="N8321" s="370"/>
    </row>
    <row r="8322" spans="1:14" s="347" customFormat="1" x14ac:dyDescent="0.25">
      <c r="A8322" s="369"/>
      <c r="E8322" s="396"/>
      <c r="F8322" s="396"/>
      <c r="G8322" s="396"/>
      <c r="K8322" s="370"/>
      <c r="N8322" s="370"/>
    </row>
    <row r="8323" spans="1:14" s="347" customFormat="1" x14ac:dyDescent="0.25">
      <c r="A8323" s="369"/>
      <c r="E8323" s="396"/>
      <c r="F8323" s="396"/>
      <c r="G8323" s="396"/>
      <c r="K8323" s="370"/>
      <c r="N8323" s="370"/>
    </row>
    <row r="8324" spans="1:14" s="347" customFormat="1" x14ac:dyDescent="0.25">
      <c r="A8324" s="369"/>
      <c r="E8324" s="396"/>
      <c r="F8324" s="396"/>
      <c r="G8324" s="396"/>
      <c r="K8324" s="370"/>
      <c r="N8324" s="370"/>
    </row>
    <row r="8325" spans="1:14" s="347" customFormat="1" x14ac:dyDescent="0.25">
      <c r="A8325" s="369"/>
      <c r="E8325" s="396"/>
      <c r="F8325" s="396"/>
      <c r="G8325" s="396"/>
      <c r="K8325" s="370"/>
      <c r="N8325" s="370"/>
    </row>
    <row r="8326" spans="1:14" s="347" customFormat="1" x14ac:dyDescent="0.25">
      <c r="A8326" s="369"/>
      <c r="E8326" s="396"/>
      <c r="F8326" s="396"/>
      <c r="G8326" s="396"/>
      <c r="K8326" s="370"/>
      <c r="N8326" s="370"/>
    </row>
    <row r="8327" spans="1:14" s="347" customFormat="1" x14ac:dyDescent="0.25">
      <c r="A8327" s="369"/>
      <c r="E8327" s="396"/>
      <c r="F8327" s="396"/>
      <c r="G8327" s="396"/>
      <c r="K8327" s="370"/>
      <c r="N8327" s="370"/>
    </row>
    <row r="8328" spans="1:14" s="347" customFormat="1" x14ac:dyDescent="0.25">
      <c r="A8328" s="369"/>
      <c r="E8328" s="396"/>
      <c r="F8328" s="396"/>
      <c r="G8328" s="396"/>
      <c r="K8328" s="370"/>
      <c r="N8328" s="370"/>
    </row>
    <row r="8329" spans="1:14" s="347" customFormat="1" x14ac:dyDescent="0.25">
      <c r="A8329" s="369"/>
      <c r="E8329" s="396"/>
      <c r="F8329" s="396"/>
      <c r="G8329" s="396"/>
      <c r="K8329" s="370"/>
      <c r="N8329" s="370"/>
    </row>
    <row r="8330" spans="1:14" s="347" customFormat="1" x14ac:dyDescent="0.25">
      <c r="A8330" s="369"/>
      <c r="E8330" s="396"/>
      <c r="F8330" s="396"/>
      <c r="G8330" s="396"/>
      <c r="K8330" s="370"/>
      <c r="N8330" s="370"/>
    </row>
    <row r="8331" spans="1:14" s="347" customFormat="1" x14ac:dyDescent="0.25">
      <c r="A8331" s="369"/>
      <c r="E8331" s="396"/>
      <c r="F8331" s="396"/>
      <c r="G8331" s="396"/>
      <c r="K8331" s="370"/>
      <c r="N8331" s="370"/>
    </row>
    <row r="8332" spans="1:14" s="347" customFormat="1" x14ac:dyDescent="0.25">
      <c r="A8332" s="369"/>
      <c r="E8332" s="396"/>
      <c r="F8332" s="396"/>
      <c r="G8332" s="396"/>
      <c r="K8332" s="370"/>
      <c r="N8332" s="370"/>
    </row>
    <row r="8333" spans="1:14" s="347" customFormat="1" x14ac:dyDescent="0.25">
      <c r="A8333" s="369"/>
      <c r="E8333" s="396"/>
      <c r="F8333" s="396"/>
      <c r="G8333" s="396"/>
      <c r="K8333" s="370"/>
      <c r="N8333" s="370"/>
    </row>
    <row r="8334" spans="1:14" s="347" customFormat="1" x14ac:dyDescent="0.25">
      <c r="A8334" s="369"/>
      <c r="E8334" s="396"/>
      <c r="F8334" s="396"/>
      <c r="G8334" s="396"/>
      <c r="K8334" s="370"/>
      <c r="N8334" s="370"/>
    </row>
    <row r="8335" spans="1:14" s="347" customFormat="1" x14ac:dyDescent="0.25">
      <c r="A8335" s="369"/>
      <c r="E8335" s="396"/>
      <c r="F8335" s="396"/>
      <c r="G8335" s="396"/>
      <c r="K8335" s="370"/>
      <c r="N8335" s="370"/>
    </row>
    <row r="8336" spans="1:14" s="347" customFormat="1" x14ac:dyDescent="0.25">
      <c r="A8336" s="369"/>
      <c r="E8336" s="396"/>
      <c r="F8336" s="396"/>
      <c r="G8336" s="396"/>
      <c r="K8336" s="370"/>
      <c r="N8336" s="370"/>
    </row>
    <row r="8337" spans="1:14" s="347" customFormat="1" x14ac:dyDescent="0.25">
      <c r="A8337" s="369"/>
      <c r="E8337" s="396"/>
      <c r="F8337" s="396"/>
      <c r="G8337" s="396"/>
      <c r="K8337" s="370"/>
      <c r="N8337" s="370"/>
    </row>
    <row r="8338" spans="1:14" s="347" customFormat="1" x14ac:dyDescent="0.25">
      <c r="A8338" s="369"/>
      <c r="E8338" s="396"/>
      <c r="F8338" s="396"/>
      <c r="G8338" s="396"/>
      <c r="K8338" s="370"/>
      <c r="N8338" s="370"/>
    </row>
    <row r="8339" spans="1:14" s="347" customFormat="1" x14ac:dyDescent="0.25">
      <c r="A8339" s="369"/>
      <c r="E8339" s="396"/>
      <c r="F8339" s="396"/>
      <c r="G8339" s="396"/>
      <c r="K8339" s="370"/>
      <c r="N8339" s="370"/>
    </row>
    <row r="8340" spans="1:14" s="347" customFormat="1" x14ac:dyDescent="0.25">
      <c r="A8340" s="369"/>
      <c r="E8340" s="396"/>
      <c r="F8340" s="396"/>
      <c r="G8340" s="396"/>
      <c r="K8340" s="370"/>
      <c r="N8340" s="370"/>
    </row>
    <row r="8341" spans="1:14" s="347" customFormat="1" x14ac:dyDescent="0.25">
      <c r="A8341" s="369"/>
      <c r="E8341" s="396"/>
      <c r="F8341" s="396"/>
      <c r="G8341" s="396"/>
      <c r="K8341" s="370"/>
      <c r="N8341" s="370"/>
    </row>
    <row r="8342" spans="1:14" s="347" customFormat="1" x14ac:dyDescent="0.25">
      <c r="A8342" s="369"/>
      <c r="E8342" s="396"/>
      <c r="F8342" s="396"/>
      <c r="G8342" s="396"/>
      <c r="K8342" s="370"/>
      <c r="N8342" s="370"/>
    </row>
    <row r="8343" spans="1:14" s="347" customFormat="1" x14ac:dyDescent="0.25">
      <c r="A8343" s="369"/>
      <c r="E8343" s="396"/>
      <c r="F8343" s="396"/>
      <c r="G8343" s="396"/>
      <c r="K8343" s="370"/>
      <c r="N8343" s="370"/>
    </row>
    <row r="8344" spans="1:14" s="347" customFormat="1" x14ac:dyDescent="0.25">
      <c r="A8344" s="369"/>
      <c r="E8344" s="396"/>
      <c r="F8344" s="396"/>
      <c r="G8344" s="396"/>
      <c r="K8344" s="370"/>
      <c r="N8344" s="370"/>
    </row>
    <row r="8345" spans="1:14" s="347" customFormat="1" x14ac:dyDescent="0.25">
      <c r="A8345" s="369"/>
      <c r="E8345" s="396"/>
      <c r="F8345" s="396"/>
      <c r="G8345" s="396"/>
      <c r="K8345" s="370"/>
      <c r="N8345" s="370"/>
    </row>
    <row r="8346" spans="1:14" s="347" customFormat="1" x14ac:dyDescent="0.25">
      <c r="A8346" s="369"/>
      <c r="E8346" s="396"/>
      <c r="F8346" s="396"/>
      <c r="G8346" s="396"/>
      <c r="K8346" s="370"/>
      <c r="N8346" s="370"/>
    </row>
    <row r="8347" spans="1:14" s="347" customFormat="1" x14ac:dyDescent="0.25">
      <c r="A8347" s="369"/>
      <c r="E8347" s="396"/>
      <c r="F8347" s="396"/>
      <c r="G8347" s="396"/>
      <c r="K8347" s="370"/>
      <c r="N8347" s="370"/>
    </row>
    <row r="8348" spans="1:14" s="347" customFormat="1" x14ac:dyDescent="0.25">
      <c r="A8348" s="369"/>
      <c r="E8348" s="396"/>
      <c r="F8348" s="396"/>
      <c r="G8348" s="396"/>
      <c r="K8348" s="370"/>
      <c r="N8348" s="370"/>
    </row>
    <row r="8349" spans="1:14" s="347" customFormat="1" x14ac:dyDescent="0.25">
      <c r="A8349" s="369"/>
      <c r="E8349" s="396"/>
      <c r="F8349" s="396"/>
      <c r="G8349" s="396"/>
      <c r="K8349" s="370"/>
      <c r="N8349" s="370"/>
    </row>
    <row r="8350" spans="1:14" s="347" customFormat="1" x14ac:dyDescent="0.25">
      <c r="A8350" s="369"/>
      <c r="E8350" s="396"/>
      <c r="F8350" s="396"/>
      <c r="G8350" s="396"/>
      <c r="K8350" s="370"/>
      <c r="N8350" s="370"/>
    </row>
    <row r="8351" spans="1:14" s="347" customFormat="1" x14ac:dyDescent="0.25">
      <c r="A8351" s="369"/>
      <c r="E8351" s="396"/>
      <c r="F8351" s="396"/>
      <c r="G8351" s="396"/>
      <c r="K8351" s="370"/>
      <c r="N8351" s="370"/>
    </row>
    <row r="8352" spans="1:14" s="347" customFormat="1" x14ac:dyDescent="0.25">
      <c r="A8352" s="369"/>
      <c r="E8352" s="396"/>
      <c r="F8352" s="396"/>
      <c r="G8352" s="396"/>
      <c r="K8352" s="370"/>
      <c r="N8352" s="370"/>
    </row>
    <row r="8353" spans="1:14" s="347" customFormat="1" x14ac:dyDescent="0.25">
      <c r="A8353" s="369"/>
      <c r="E8353" s="396"/>
      <c r="F8353" s="396"/>
      <c r="G8353" s="396"/>
      <c r="K8353" s="370"/>
      <c r="N8353" s="370"/>
    </row>
    <row r="8354" spans="1:14" s="347" customFormat="1" x14ac:dyDescent="0.25">
      <c r="A8354" s="369"/>
      <c r="E8354" s="396"/>
      <c r="F8354" s="396"/>
      <c r="G8354" s="396"/>
      <c r="K8354" s="370"/>
      <c r="N8354" s="370"/>
    </row>
    <row r="8355" spans="1:14" s="347" customFormat="1" x14ac:dyDescent="0.25">
      <c r="A8355" s="369"/>
      <c r="E8355" s="396"/>
      <c r="F8355" s="396"/>
      <c r="G8355" s="396"/>
      <c r="K8355" s="370"/>
      <c r="N8355" s="370"/>
    </row>
    <row r="8356" spans="1:14" s="347" customFormat="1" x14ac:dyDescent="0.25">
      <c r="A8356" s="369"/>
      <c r="E8356" s="396"/>
      <c r="F8356" s="396"/>
      <c r="G8356" s="396"/>
      <c r="K8356" s="370"/>
      <c r="N8356" s="370"/>
    </row>
    <row r="8357" spans="1:14" s="347" customFormat="1" x14ac:dyDescent="0.25">
      <c r="A8357" s="369"/>
      <c r="E8357" s="396"/>
      <c r="F8357" s="396"/>
      <c r="G8357" s="396"/>
      <c r="K8357" s="370"/>
      <c r="N8357" s="370"/>
    </row>
    <row r="8358" spans="1:14" s="347" customFormat="1" x14ac:dyDescent="0.25">
      <c r="A8358" s="369"/>
      <c r="E8358" s="396"/>
      <c r="F8358" s="396"/>
      <c r="G8358" s="396"/>
      <c r="K8358" s="370"/>
      <c r="N8358" s="370"/>
    </row>
    <row r="8359" spans="1:14" s="347" customFormat="1" x14ac:dyDescent="0.25">
      <c r="A8359" s="369"/>
      <c r="E8359" s="396"/>
      <c r="F8359" s="396"/>
      <c r="G8359" s="396"/>
      <c r="K8359" s="370"/>
      <c r="N8359" s="370"/>
    </row>
    <row r="8360" spans="1:14" s="347" customFormat="1" x14ac:dyDescent="0.25">
      <c r="A8360" s="369"/>
      <c r="E8360" s="396"/>
      <c r="F8360" s="396"/>
      <c r="G8360" s="396"/>
      <c r="K8360" s="370"/>
      <c r="N8360" s="370"/>
    </row>
    <row r="8361" spans="1:14" s="347" customFormat="1" x14ac:dyDescent="0.25">
      <c r="A8361" s="369"/>
      <c r="E8361" s="396"/>
      <c r="F8361" s="396"/>
      <c r="G8361" s="396"/>
      <c r="K8361" s="370"/>
      <c r="N8361" s="370"/>
    </row>
    <row r="8362" spans="1:14" s="347" customFormat="1" x14ac:dyDescent="0.25">
      <c r="A8362" s="369"/>
      <c r="E8362" s="396"/>
      <c r="F8362" s="396"/>
      <c r="G8362" s="396"/>
      <c r="K8362" s="370"/>
      <c r="N8362" s="370"/>
    </row>
    <row r="8363" spans="1:14" s="347" customFormat="1" x14ac:dyDescent="0.25">
      <c r="A8363" s="369"/>
      <c r="E8363" s="396"/>
      <c r="F8363" s="396"/>
      <c r="G8363" s="396"/>
      <c r="K8363" s="370"/>
      <c r="N8363" s="370"/>
    </row>
    <row r="8364" spans="1:14" s="347" customFormat="1" x14ac:dyDescent="0.25">
      <c r="A8364" s="369"/>
      <c r="E8364" s="396"/>
      <c r="F8364" s="396"/>
      <c r="G8364" s="396"/>
      <c r="K8364" s="370"/>
      <c r="N8364" s="370"/>
    </row>
    <row r="8365" spans="1:14" s="347" customFormat="1" x14ac:dyDescent="0.25">
      <c r="A8365" s="369"/>
      <c r="E8365" s="396"/>
      <c r="F8365" s="396"/>
      <c r="G8365" s="396"/>
      <c r="K8365" s="370"/>
      <c r="N8365" s="370"/>
    </row>
    <row r="8366" spans="1:14" s="347" customFormat="1" x14ac:dyDescent="0.25">
      <c r="A8366" s="369"/>
      <c r="E8366" s="396"/>
      <c r="F8366" s="396"/>
      <c r="G8366" s="396"/>
      <c r="K8366" s="370"/>
      <c r="N8366" s="370"/>
    </row>
    <row r="8367" spans="1:14" s="347" customFormat="1" x14ac:dyDescent="0.25">
      <c r="A8367" s="369"/>
      <c r="E8367" s="396"/>
      <c r="F8367" s="396"/>
      <c r="G8367" s="396"/>
      <c r="K8367" s="370"/>
      <c r="N8367" s="370"/>
    </row>
    <row r="8368" spans="1:14" s="347" customFormat="1" x14ac:dyDescent="0.25">
      <c r="A8368" s="369"/>
      <c r="E8368" s="396"/>
      <c r="F8368" s="396"/>
      <c r="G8368" s="396"/>
      <c r="K8368" s="370"/>
      <c r="N8368" s="370"/>
    </row>
    <row r="8369" spans="1:14" s="347" customFormat="1" x14ac:dyDescent="0.25">
      <c r="A8369" s="369"/>
      <c r="E8369" s="396"/>
      <c r="F8369" s="396"/>
      <c r="G8369" s="396"/>
      <c r="K8369" s="370"/>
      <c r="N8369" s="370"/>
    </row>
    <row r="8370" spans="1:14" s="347" customFormat="1" x14ac:dyDescent="0.25">
      <c r="A8370" s="369"/>
      <c r="E8370" s="396"/>
      <c r="F8370" s="396"/>
      <c r="G8370" s="396"/>
      <c r="K8370" s="370"/>
      <c r="N8370" s="370"/>
    </row>
    <row r="8371" spans="1:14" s="347" customFormat="1" x14ac:dyDescent="0.25">
      <c r="A8371" s="369"/>
      <c r="E8371" s="396"/>
      <c r="F8371" s="396"/>
      <c r="G8371" s="396"/>
      <c r="K8371" s="370"/>
      <c r="N8371" s="370"/>
    </row>
    <row r="8372" spans="1:14" s="347" customFormat="1" x14ac:dyDescent="0.25">
      <c r="A8372" s="369"/>
      <c r="E8372" s="396"/>
      <c r="F8372" s="396"/>
      <c r="G8372" s="396"/>
      <c r="K8372" s="370"/>
      <c r="N8372" s="370"/>
    </row>
    <row r="8373" spans="1:14" s="347" customFormat="1" x14ac:dyDescent="0.25">
      <c r="A8373" s="369"/>
      <c r="E8373" s="396"/>
      <c r="F8373" s="396"/>
      <c r="G8373" s="396"/>
      <c r="K8373" s="370"/>
      <c r="N8373" s="370"/>
    </row>
    <row r="8374" spans="1:14" s="347" customFormat="1" x14ac:dyDescent="0.25">
      <c r="A8374" s="369"/>
      <c r="E8374" s="396"/>
      <c r="F8374" s="396"/>
      <c r="G8374" s="396"/>
      <c r="K8374" s="370"/>
      <c r="N8374" s="370"/>
    </row>
    <row r="8375" spans="1:14" s="347" customFormat="1" x14ac:dyDescent="0.25">
      <c r="A8375" s="369"/>
      <c r="E8375" s="396"/>
      <c r="F8375" s="396"/>
      <c r="G8375" s="396"/>
      <c r="K8375" s="370"/>
      <c r="N8375" s="370"/>
    </row>
    <row r="8376" spans="1:14" s="347" customFormat="1" x14ac:dyDescent="0.25">
      <c r="A8376" s="369"/>
      <c r="E8376" s="396"/>
      <c r="F8376" s="396"/>
      <c r="G8376" s="396"/>
      <c r="K8376" s="370"/>
      <c r="N8376" s="370"/>
    </row>
    <row r="8377" spans="1:14" s="347" customFormat="1" x14ac:dyDescent="0.25">
      <c r="A8377" s="369"/>
      <c r="E8377" s="396"/>
      <c r="F8377" s="396"/>
      <c r="G8377" s="396"/>
      <c r="K8377" s="370"/>
      <c r="N8377" s="370"/>
    </row>
    <row r="8378" spans="1:14" s="347" customFormat="1" x14ac:dyDescent="0.25">
      <c r="A8378" s="369"/>
      <c r="E8378" s="396"/>
      <c r="F8378" s="396"/>
      <c r="G8378" s="396"/>
      <c r="K8378" s="370"/>
      <c r="N8378" s="370"/>
    </row>
    <row r="8379" spans="1:14" s="347" customFormat="1" x14ac:dyDescent="0.25">
      <c r="A8379" s="369"/>
      <c r="E8379" s="396"/>
      <c r="F8379" s="396"/>
      <c r="G8379" s="396"/>
      <c r="K8379" s="370"/>
      <c r="N8379" s="370"/>
    </row>
    <row r="8380" spans="1:14" s="347" customFormat="1" x14ac:dyDescent="0.25">
      <c r="A8380" s="369"/>
      <c r="E8380" s="396"/>
      <c r="F8380" s="396"/>
      <c r="G8380" s="396"/>
      <c r="K8380" s="370"/>
      <c r="N8380" s="370"/>
    </row>
    <row r="8381" spans="1:14" s="347" customFormat="1" x14ac:dyDescent="0.25">
      <c r="A8381" s="369"/>
      <c r="E8381" s="396"/>
      <c r="F8381" s="396"/>
      <c r="G8381" s="396"/>
      <c r="K8381" s="370"/>
      <c r="N8381" s="370"/>
    </row>
    <row r="8382" spans="1:14" s="347" customFormat="1" x14ac:dyDescent="0.25">
      <c r="A8382" s="369"/>
      <c r="E8382" s="396"/>
      <c r="F8382" s="396"/>
      <c r="G8382" s="396"/>
      <c r="K8382" s="370"/>
      <c r="N8382" s="370"/>
    </row>
    <row r="8383" spans="1:14" s="347" customFormat="1" x14ac:dyDescent="0.25">
      <c r="A8383" s="369"/>
      <c r="E8383" s="396"/>
      <c r="F8383" s="396"/>
      <c r="G8383" s="396"/>
      <c r="K8383" s="370"/>
      <c r="N8383" s="370"/>
    </row>
    <row r="8384" spans="1:14" s="347" customFormat="1" x14ac:dyDescent="0.25">
      <c r="A8384" s="369"/>
      <c r="E8384" s="396"/>
      <c r="F8384" s="396"/>
      <c r="G8384" s="396"/>
      <c r="K8384" s="370"/>
      <c r="N8384" s="370"/>
    </row>
    <row r="8385" spans="1:14" s="347" customFormat="1" x14ac:dyDescent="0.25">
      <c r="A8385" s="369"/>
      <c r="E8385" s="396"/>
      <c r="F8385" s="396"/>
      <c r="G8385" s="396"/>
      <c r="K8385" s="370"/>
      <c r="N8385" s="370"/>
    </row>
    <row r="8386" spans="1:14" s="347" customFormat="1" x14ac:dyDescent="0.25">
      <c r="A8386" s="369"/>
      <c r="E8386" s="396"/>
      <c r="F8386" s="396"/>
      <c r="G8386" s="396"/>
      <c r="K8386" s="370"/>
      <c r="N8386" s="370"/>
    </row>
    <row r="8387" spans="1:14" s="347" customFormat="1" x14ac:dyDescent="0.25">
      <c r="A8387" s="369"/>
      <c r="E8387" s="396"/>
      <c r="F8387" s="396"/>
      <c r="G8387" s="396"/>
      <c r="K8387" s="370"/>
      <c r="N8387" s="370"/>
    </row>
    <row r="8388" spans="1:14" s="347" customFormat="1" x14ac:dyDescent="0.25">
      <c r="A8388" s="369"/>
      <c r="E8388" s="396"/>
      <c r="F8388" s="396"/>
      <c r="G8388" s="396"/>
      <c r="K8388" s="370"/>
      <c r="N8388" s="370"/>
    </row>
    <row r="8389" spans="1:14" s="347" customFormat="1" x14ac:dyDescent="0.25">
      <c r="A8389" s="369"/>
      <c r="E8389" s="396"/>
      <c r="F8389" s="396"/>
      <c r="G8389" s="396"/>
      <c r="K8389" s="370"/>
      <c r="N8389" s="370"/>
    </row>
    <row r="8390" spans="1:14" s="347" customFormat="1" x14ac:dyDescent="0.25">
      <c r="A8390" s="369"/>
      <c r="E8390" s="396"/>
      <c r="F8390" s="396"/>
      <c r="G8390" s="396"/>
      <c r="K8390" s="370"/>
      <c r="N8390" s="370"/>
    </row>
    <row r="8391" spans="1:14" s="347" customFormat="1" x14ac:dyDescent="0.25">
      <c r="A8391" s="369"/>
      <c r="E8391" s="396"/>
      <c r="F8391" s="396"/>
      <c r="G8391" s="396"/>
      <c r="K8391" s="370"/>
      <c r="N8391" s="370"/>
    </row>
    <row r="8392" spans="1:14" s="347" customFormat="1" x14ac:dyDescent="0.25">
      <c r="A8392" s="369"/>
      <c r="E8392" s="396"/>
      <c r="F8392" s="396"/>
      <c r="G8392" s="396"/>
      <c r="K8392" s="370"/>
      <c r="N8392" s="370"/>
    </row>
    <row r="8393" spans="1:14" s="347" customFormat="1" x14ac:dyDescent="0.25">
      <c r="A8393" s="369"/>
      <c r="E8393" s="396"/>
      <c r="F8393" s="396"/>
      <c r="G8393" s="396"/>
      <c r="K8393" s="370"/>
      <c r="N8393" s="370"/>
    </row>
    <row r="8394" spans="1:14" s="347" customFormat="1" x14ac:dyDescent="0.25">
      <c r="A8394" s="369"/>
      <c r="E8394" s="396"/>
      <c r="F8394" s="396"/>
      <c r="G8394" s="396"/>
      <c r="K8394" s="370"/>
      <c r="N8394" s="370"/>
    </row>
    <row r="8395" spans="1:14" s="347" customFormat="1" x14ac:dyDescent="0.25">
      <c r="A8395" s="369"/>
      <c r="E8395" s="396"/>
      <c r="F8395" s="396"/>
      <c r="G8395" s="396"/>
      <c r="K8395" s="370"/>
      <c r="N8395" s="370"/>
    </row>
    <row r="8396" spans="1:14" s="347" customFormat="1" x14ac:dyDescent="0.25">
      <c r="A8396" s="369"/>
      <c r="E8396" s="396"/>
      <c r="F8396" s="396"/>
      <c r="G8396" s="396"/>
      <c r="K8396" s="370"/>
      <c r="N8396" s="370"/>
    </row>
    <row r="8397" spans="1:14" s="347" customFormat="1" x14ac:dyDescent="0.25">
      <c r="A8397" s="369"/>
      <c r="E8397" s="396"/>
      <c r="F8397" s="396"/>
      <c r="G8397" s="396"/>
      <c r="K8397" s="370"/>
      <c r="N8397" s="370"/>
    </row>
    <row r="8398" spans="1:14" s="347" customFormat="1" x14ac:dyDescent="0.25">
      <c r="A8398" s="369"/>
      <c r="E8398" s="396"/>
      <c r="F8398" s="396"/>
      <c r="G8398" s="396"/>
      <c r="K8398" s="370"/>
      <c r="N8398" s="370"/>
    </row>
    <row r="8399" spans="1:14" s="347" customFormat="1" x14ac:dyDescent="0.25">
      <c r="A8399" s="369"/>
      <c r="E8399" s="396"/>
      <c r="F8399" s="396"/>
      <c r="G8399" s="396"/>
      <c r="K8399" s="370"/>
      <c r="N8399" s="370"/>
    </row>
    <row r="8400" spans="1:14" s="347" customFormat="1" x14ac:dyDescent="0.25">
      <c r="A8400" s="369"/>
      <c r="E8400" s="396"/>
      <c r="F8400" s="396"/>
      <c r="G8400" s="396"/>
      <c r="K8400" s="370"/>
      <c r="N8400" s="370"/>
    </row>
    <row r="8401" spans="1:14" s="347" customFormat="1" x14ac:dyDescent="0.25">
      <c r="A8401" s="369"/>
      <c r="E8401" s="396"/>
      <c r="F8401" s="396"/>
      <c r="G8401" s="396"/>
      <c r="K8401" s="370"/>
      <c r="N8401" s="370"/>
    </row>
    <row r="8402" spans="1:14" s="347" customFormat="1" x14ac:dyDescent="0.25">
      <c r="A8402" s="369"/>
      <c r="E8402" s="396"/>
      <c r="F8402" s="396"/>
      <c r="G8402" s="396"/>
      <c r="K8402" s="370"/>
      <c r="N8402" s="370"/>
    </row>
    <row r="8403" spans="1:14" s="347" customFormat="1" x14ac:dyDescent="0.25">
      <c r="A8403" s="369"/>
      <c r="E8403" s="396"/>
      <c r="F8403" s="396"/>
      <c r="G8403" s="396"/>
      <c r="K8403" s="370"/>
      <c r="N8403" s="370"/>
    </row>
    <row r="8404" spans="1:14" s="347" customFormat="1" x14ac:dyDescent="0.25">
      <c r="A8404" s="369"/>
      <c r="E8404" s="396"/>
      <c r="F8404" s="396"/>
      <c r="G8404" s="396"/>
      <c r="K8404" s="370"/>
      <c r="N8404" s="370"/>
    </row>
    <row r="8405" spans="1:14" s="347" customFormat="1" x14ac:dyDescent="0.25">
      <c r="A8405" s="369"/>
      <c r="E8405" s="396"/>
      <c r="F8405" s="396"/>
      <c r="G8405" s="396"/>
      <c r="K8405" s="370"/>
      <c r="N8405" s="370"/>
    </row>
    <row r="8406" spans="1:14" s="347" customFormat="1" x14ac:dyDescent="0.25">
      <c r="A8406" s="369"/>
      <c r="E8406" s="396"/>
      <c r="F8406" s="396"/>
      <c r="G8406" s="396"/>
      <c r="K8406" s="370"/>
      <c r="N8406" s="370"/>
    </row>
    <row r="8407" spans="1:14" s="347" customFormat="1" x14ac:dyDescent="0.25">
      <c r="A8407" s="369"/>
      <c r="E8407" s="396"/>
      <c r="F8407" s="396"/>
      <c r="G8407" s="396"/>
      <c r="K8407" s="370"/>
      <c r="N8407" s="370"/>
    </row>
    <row r="8408" spans="1:14" s="347" customFormat="1" x14ac:dyDescent="0.25">
      <c r="A8408" s="369"/>
      <c r="E8408" s="396"/>
      <c r="F8408" s="396"/>
      <c r="G8408" s="396"/>
      <c r="K8408" s="370"/>
      <c r="N8408" s="370"/>
    </row>
    <row r="8409" spans="1:14" s="347" customFormat="1" x14ac:dyDescent="0.25">
      <c r="A8409" s="369"/>
      <c r="E8409" s="396"/>
      <c r="F8409" s="396"/>
      <c r="G8409" s="396"/>
      <c r="K8409" s="370"/>
      <c r="N8409" s="370"/>
    </row>
    <row r="8410" spans="1:14" s="347" customFormat="1" x14ac:dyDescent="0.25">
      <c r="A8410" s="369"/>
      <c r="E8410" s="396"/>
      <c r="F8410" s="396"/>
      <c r="G8410" s="396"/>
      <c r="K8410" s="370"/>
      <c r="N8410" s="370"/>
    </row>
    <row r="8411" spans="1:14" s="347" customFormat="1" x14ac:dyDescent="0.25">
      <c r="A8411" s="369"/>
      <c r="E8411" s="396"/>
      <c r="F8411" s="396"/>
      <c r="G8411" s="396"/>
      <c r="K8411" s="370"/>
      <c r="N8411" s="370"/>
    </row>
    <row r="8412" spans="1:14" s="347" customFormat="1" x14ac:dyDescent="0.25">
      <c r="A8412" s="369"/>
      <c r="E8412" s="396"/>
      <c r="F8412" s="396"/>
      <c r="G8412" s="396"/>
      <c r="K8412" s="370"/>
      <c r="N8412" s="370"/>
    </row>
    <row r="8413" spans="1:14" s="347" customFormat="1" x14ac:dyDescent="0.25">
      <c r="A8413" s="369"/>
      <c r="E8413" s="396"/>
      <c r="F8413" s="396"/>
      <c r="G8413" s="396"/>
      <c r="K8413" s="370"/>
      <c r="N8413" s="370"/>
    </row>
    <row r="8414" spans="1:14" s="347" customFormat="1" x14ac:dyDescent="0.25">
      <c r="A8414" s="369"/>
      <c r="E8414" s="396"/>
      <c r="F8414" s="396"/>
      <c r="G8414" s="396"/>
      <c r="K8414" s="370"/>
      <c r="N8414" s="370"/>
    </row>
    <row r="8415" spans="1:14" s="347" customFormat="1" x14ac:dyDescent="0.25">
      <c r="A8415" s="369"/>
      <c r="E8415" s="396"/>
      <c r="F8415" s="396"/>
      <c r="G8415" s="396"/>
      <c r="K8415" s="370"/>
      <c r="N8415" s="370"/>
    </row>
    <row r="8416" spans="1:14" s="347" customFormat="1" x14ac:dyDescent="0.25">
      <c r="A8416" s="369"/>
      <c r="E8416" s="396"/>
      <c r="F8416" s="396"/>
      <c r="G8416" s="396"/>
      <c r="K8416" s="370"/>
      <c r="N8416" s="370"/>
    </row>
    <row r="8417" spans="1:14" s="347" customFormat="1" x14ac:dyDescent="0.25">
      <c r="A8417" s="369"/>
      <c r="E8417" s="396"/>
      <c r="F8417" s="396"/>
      <c r="G8417" s="396"/>
      <c r="K8417" s="370"/>
      <c r="N8417" s="370"/>
    </row>
    <row r="8418" spans="1:14" s="347" customFormat="1" x14ac:dyDescent="0.25">
      <c r="A8418" s="369"/>
      <c r="E8418" s="396"/>
      <c r="F8418" s="396"/>
      <c r="G8418" s="396"/>
      <c r="K8418" s="370"/>
      <c r="N8418" s="370"/>
    </row>
    <row r="8419" spans="1:14" s="347" customFormat="1" x14ac:dyDescent="0.25">
      <c r="A8419" s="369"/>
      <c r="E8419" s="396"/>
      <c r="F8419" s="396"/>
      <c r="G8419" s="396"/>
      <c r="K8419" s="370"/>
      <c r="N8419" s="370"/>
    </row>
    <row r="8420" spans="1:14" s="347" customFormat="1" x14ac:dyDescent="0.25">
      <c r="A8420" s="369"/>
      <c r="E8420" s="396"/>
      <c r="F8420" s="396"/>
      <c r="G8420" s="396"/>
      <c r="K8420" s="370"/>
      <c r="N8420" s="370"/>
    </row>
    <row r="8421" spans="1:14" s="347" customFormat="1" x14ac:dyDescent="0.25">
      <c r="A8421" s="369"/>
      <c r="E8421" s="396"/>
      <c r="F8421" s="396"/>
      <c r="G8421" s="396"/>
      <c r="K8421" s="370"/>
      <c r="N8421" s="370"/>
    </row>
    <row r="8422" spans="1:14" s="347" customFormat="1" x14ac:dyDescent="0.25">
      <c r="A8422" s="369"/>
      <c r="E8422" s="396"/>
      <c r="F8422" s="396"/>
      <c r="G8422" s="396"/>
      <c r="K8422" s="370"/>
      <c r="N8422" s="370"/>
    </row>
    <row r="8423" spans="1:14" s="347" customFormat="1" x14ac:dyDescent="0.25">
      <c r="A8423" s="369"/>
      <c r="E8423" s="396"/>
      <c r="F8423" s="396"/>
      <c r="G8423" s="396"/>
      <c r="K8423" s="370"/>
      <c r="N8423" s="370"/>
    </row>
    <row r="8424" spans="1:14" s="347" customFormat="1" x14ac:dyDescent="0.25">
      <c r="A8424" s="369"/>
      <c r="E8424" s="396"/>
      <c r="F8424" s="396"/>
      <c r="G8424" s="396"/>
      <c r="K8424" s="370"/>
      <c r="N8424" s="370"/>
    </row>
    <row r="8425" spans="1:14" s="347" customFormat="1" x14ac:dyDescent="0.25">
      <c r="A8425" s="369"/>
      <c r="E8425" s="396"/>
      <c r="F8425" s="396"/>
      <c r="G8425" s="396"/>
      <c r="K8425" s="370"/>
      <c r="N8425" s="370"/>
    </row>
    <row r="8426" spans="1:14" s="347" customFormat="1" x14ac:dyDescent="0.25">
      <c r="A8426" s="369"/>
      <c r="E8426" s="396"/>
      <c r="F8426" s="396"/>
      <c r="G8426" s="396"/>
      <c r="K8426" s="370"/>
      <c r="N8426" s="370"/>
    </row>
    <row r="8427" spans="1:14" s="347" customFormat="1" x14ac:dyDescent="0.25">
      <c r="A8427" s="369"/>
      <c r="E8427" s="396"/>
      <c r="F8427" s="396"/>
      <c r="G8427" s="396"/>
      <c r="K8427" s="370"/>
      <c r="N8427" s="370"/>
    </row>
    <row r="8428" spans="1:14" s="347" customFormat="1" x14ac:dyDescent="0.25">
      <c r="A8428" s="369"/>
      <c r="E8428" s="396"/>
      <c r="F8428" s="396"/>
      <c r="G8428" s="396"/>
      <c r="K8428" s="370"/>
      <c r="N8428" s="370"/>
    </row>
    <row r="8429" spans="1:14" s="347" customFormat="1" x14ac:dyDescent="0.25">
      <c r="A8429" s="369"/>
      <c r="E8429" s="396"/>
      <c r="F8429" s="396"/>
      <c r="G8429" s="396"/>
      <c r="K8429" s="370"/>
      <c r="N8429" s="370"/>
    </row>
    <row r="8430" spans="1:14" s="347" customFormat="1" x14ac:dyDescent="0.25">
      <c r="A8430" s="369"/>
      <c r="E8430" s="396"/>
      <c r="F8430" s="396"/>
      <c r="G8430" s="396"/>
      <c r="K8430" s="370"/>
      <c r="N8430" s="370"/>
    </row>
    <row r="8431" spans="1:14" s="347" customFormat="1" x14ac:dyDescent="0.25">
      <c r="A8431" s="369"/>
      <c r="E8431" s="396"/>
      <c r="F8431" s="396"/>
      <c r="G8431" s="396"/>
      <c r="K8431" s="370"/>
      <c r="N8431" s="370"/>
    </row>
    <row r="8432" spans="1:14" s="347" customFormat="1" x14ac:dyDescent="0.25">
      <c r="A8432" s="369"/>
      <c r="E8432" s="396"/>
      <c r="F8432" s="396"/>
      <c r="G8432" s="396"/>
      <c r="K8432" s="370"/>
      <c r="N8432" s="370"/>
    </row>
    <row r="8433" spans="1:14" s="347" customFormat="1" x14ac:dyDescent="0.25">
      <c r="A8433" s="369"/>
      <c r="E8433" s="396"/>
      <c r="F8433" s="396"/>
      <c r="G8433" s="396"/>
      <c r="K8433" s="370"/>
      <c r="N8433" s="370"/>
    </row>
    <row r="8434" spans="1:14" s="347" customFormat="1" x14ac:dyDescent="0.25">
      <c r="A8434" s="369"/>
      <c r="E8434" s="396"/>
      <c r="F8434" s="396"/>
      <c r="G8434" s="396"/>
      <c r="K8434" s="370"/>
      <c r="N8434" s="370"/>
    </row>
    <row r="8435" spans="1:14" s="347" customFormat="1" x14ac:dyDescent="0.25">
      <c r="A8435" s="369"/>
      <c r="E8435" s="396"/>
      <c r="F8435" s="396"/>
      <c r="G8435" s="396"/>
      <c r="K8435" s="370"/>
      <c r="N8435" s="370"/>
    </row>
    <row r="8436" spans="1:14" s="347" customFormat="1" x14ac:dyDescent="0.25">
      <c r="A8436" s="369"/>
      <c r="E8436" s="396"/>
      <c r="F8436" s="396"/>
      <c r="G8436" s="396"/>
      <c r="K8436" s="370"/>
      <c r="N8436" s="370"/>
    </row>
    <row r="8437" spans="1:14" s="347" customFormat="1" x14ac:dyDescent="0.25">
      <c r="A8437" s="369"/>
      <c r="E8437" s="396"/>
      <c r="F8437" s="396"/>
      <c r="G8437" s="396"/>
      <c r="K8437" s="370"/>
      <c r="N8437" s="370"/>
    </row>
    <row r="8438" spans="1:14" s="347" customFormat="1" x14ac:dyDescent="0.25">
      <c r="A8438" s="369"/>
      <c r="E8438" s="396"/>
      <c r="F8438" s="396"/>
      <c r="G8438" s="396"/>
      <c r="K8438" s="370"/>
      <c r="N8438" s="370"/>
    </row>
    <row r="8439" spans="1:14" s="347" customFormat="1" x14ac:dyDescent="0.25">
      <c r="A8439" s="369"/>
      <c r="E8439" s="396"/>
      <c r="F8439" s="396"/>
      <c r="G8439" s="396"/>
      <c r="K8439" s="370"/>
      <c r="N8439" s="370"/>
    </row>
    <row r="8440" spans="1:14" s="347" customFormat="1" x14ac:dyDescent="0.25">
      <c r="A8440" s="369"/>
      <c r="E8440" s="396"/>
      <c r="F8440" s="396"/>
      <c r="G8440" s="396"/>
      <c r="K8440" s="370"/>
      <c r="N8440" s="370"/>
    </row>
    <row r="8441" spans="1:14" s="347" customFormat="1" x14ac:dyDescent="0.25">
      <c r="A8441" s="369"/>
      <c r="E8441" s="396"/>
      <c r="F8441" s="396"/>
      <c r="G8441" s="396"/>
      <c r="K8441" s="370"/>
      <c r="N8441" s="370"/>
    </row>
    <row r="8442" spans="1:14" s="347" customFormat="1" x14ac:dyDescent="0.25">
      <c r="A8442" s="369"/>
      <c r="E8442" s="396"/>
      <c r="F8442" s="396"/>
      <c r="G8442" s="396"/>
      <c r="K8442" s="370"/>
      <c r="N8442" s="370"/>
    </row>
    <row r="8443" spans="1:14" s="347" customFormat="1" x14ac:dyDescent="0.25">
      <c r="A8443" s="369"/>
      <c r="E8443" s="396"/>
      <c r="F8443" s="396"/>
      <c r="G8443" s="396"/>
      <c r="K8443" s="370"/>
      <c r="N8443" s="370"/>
    </row>
    <row r="8444" spans="1:14" s="347" customFormat="1" x14ac:dyDescent="0.25">
      <c r="A8444" s="369"/>
      <c r="E8444" s="396"/>
      <c r="F8444" s="396"/>
      <c r="G8444" s="396"/>
      <c r="K8444" s="370"/>
      <c r="N8444" s="370"/>
    </row>
    <row r="8445" spans="1:14" s="347" customFormat="1" x14ac:dyDescent="0.25">
      <c r="A8445" s="369"/>
      <c r="E8445" s="396"/>
      <c r="F8445" s="396"/>
      <c r="G8445" s="396"/>
      <c r="K8445" s="370"/>
      <c r="N8445" s="370"/>
    </row>
    <row r="8446" spans="1:14" s="347" customFormat="1" x14ac:dyDescent="0.25">
      <c r="A8446" s="369"/>
      <c r="E8446" s="396"/>
      <c r="F8446" s="396"/>
      <c r="G8446" s="396"/>
      <c r="K8446" s="370"/>
      <c r="N8446" s="370"/>
    </row>
    <row r="8447" spans="1:14" s="347" customFormat="1" x14ac:dyDescent="0.25">
      <c r="A8447" s="369"/>
      <c r="E8447" s="396"/>
      <c r="F8447" s="396"/>
      <c r="G8447" s="396"/>
      <c r="K8447" s="370"/>
      <c r="N8447" s="370"/>
    </row>
    <row r="8448" spans="1:14" s="347" customFormat="1" x14ac:dyDescent="0.25">
      <c r="A8448" s="369"/>
      <c r="E8448" s="396"/>
      <c r="F8448" s="396"/>
      <c r="G8448" s="396"/>
      <c r="K8448" s="370"/>
      <c r="N8448" s="370"/>
    </row>
    <row r="8449" spans="1:14" s="347" customFormat="1" x14ac:dyDescent="0.25">
      <c r="A8449" s="369"/>
      <c r="E8449" s="396"/>
      <c r="F8449" s="396"/>
      <c r="G8449" s="396"/>
      <c r="K8449" s="370"/>
      <c r="N8449" s="370"/>
    </row>
    <row r="8450" spans="1:14" s="347" customFormat="1" x14ac:dyDescent="0.25">
      <c r="A8450" s="369"/>
      <c r="E8450" s="396"/>
      <c r="F8450" s="396"/>
      <c r="G8450" s="396"/>
      <c r="K8450" s="370"/>
      <c r="N8450" s="370"/>
    </row>
    <row r="8451" spans="1:14" s="347" customFormat="1" x14ac:dyDescent="0.25">
      <c r="A8451" s="369"/>
      <c r="E8451" s="396"/>
      <c r="F8451" s="396"/>
      <c r="G8451" s="396"/>
      <c r="K8451" s="370"/>
      <c r="N8451" s="370"/>
    </row>
    <row r="8452" spans="1:14" s="347" customFormat="1" x14ac:dyDescent="0.25">
      <c r="A8452" s="369"/>
      <c r="E8452" s="396"/>
      <c r="F8452" s="396"/>
      <c r="G8452" s="396"/>
      <c r="K8452" s="370"/>
      <c r="N8452" s="370"/>
    </row>
    <row r="8453" spans="1:14" s="347" customFormat="1" x14ac:dyDescent="0.25">
      <c r="A8453" s="369"/>
      <c r="E8453" s="396"/>
      <c r="F8453" s="396"/>
      <c r="G8453" s="396"/>
      <c r="K8453" s="370"/>
      <c r="N8453" s="370"/>
    </row>
    <row r="8454" spans="1:14" s="347" customFormat="1" x14ac:dyDescent="0.25">
      <c r="A8454" s="369"/>
      <c r="E8454" s="396"/>
      <c r="F8454" s="396"/>
      <c r="G8454" s="396"/>
      <c r="K8454" s="370"/>
      <c r="N8454" s="370"/>
    </row>
    <row r="8455" spans="1:14" s="347" customFormat="1" x14ac:dyDescent="0.25">
      <c r="A8455" s="369"/>
      <c r="E8455" s="396"/>
      <c r="F8455" s="396"/>
      <c r="G8455" s="396"/>
      <c r="K8455" s="370"/>
      <c r="N8455" s="370"/>
    </row>
    <row r="8456" spans="1:14" s="347" customFormat="1" x14ac:dyDescent="0.25">
      <c r="A8456" s="369"/>
      <c r="E8456" s="396"/>
      <c r="F8456" s="396"/>
      <c r="G8456" s="396"/>
      <c r="K8456" s="370"/>
      <c r="N8456" s="370"/>
    </row>
    <row r="8457" spans="1:14" s="347" customFormat="1" x14ac:dyDescent="0.25">
      <c r="A8457" s="369"/>
      <c r="E8457" s="396"/>
      <c r="F8457" s="396"/>
      <c r="G8457" s="396"/>
      <c r="K8457" s="370"/>
      <c r="N8457" s="370"/>
    </row>
    <row r="8458" spans="1:14" s="347" customFormat="1" x14ac:dyDescent="0.25">
      <c r="A8458" s="369"/>
      <c r="E8458" s="396"/>
      <c r="F8458" s="396"/>
      <c r="G8458" s="396"/>
      <c r="K8458" s="370"/>
      <c r="N8458" s="370"/>
    </row>
    <row r="8459" spans="1:14" s="347" customFormat="1" x14ac:dyDescent="0.25">
      <c r="A8459" s="369"/>
      <c r="E8459" s="396"/>
      <c r="F8459" s="396"/>
      <c r="G8459" s="396"/>
      <c r="K8459" s="370"/>
      <c r="N8459" s="370"/>
    </row>
    <row r="8460" spans="1:14" s="347" customFormat="1" x14ac:dyDescent="0.25">
      <c r="A8460" s="369"/>
      <c r="E8460" s="396"/>
      <c r="F8460" s="396"/>
      <c r="G8460" s="396"/>
      <c r="K8460" s="370"/>
      <c r="N8460" s="370"/>
    </row>
    <row r="8461" spans="1:14" s="347" customFormat="1" x14ac:dyDescent="0.25">
      <c r="A8461" s="369"/>
      <c r="E8461" s="396"/>
      <c r="F8461" s="396"/>
      <c r="G8461" s="396"/>
      <c r="K8461" s="370"/>
      <c r="N8461" s="370"/>
    </row>
    <row r="8462" spans="1:14" s="347" customFormat="1" x14ac:dyDescent="0.25">
      <c r="A8462" s="369"/>
      <c r="E8462" s="396"/>
      <c r="F8462" s="396"/>
      <c r="G8462" s="396"/>
      <c r="K8462" s="370"/>
      <c r="N8462" s="370"/>
    </row>
    <row r="8463" spans="1:14" s="347" customFormat="1" x14ac:dyDescent="0.25">
      <c r="A8463" s="369"/>
      <c r="E8463" s="396"/>
      <c r="F8463" s="396"/>
      <c r="G8463" s="396"/>
      <c r="K8463" s="370"/>
      <c r="N8463" s="370"/>
    </row>
    <row r="8464" spans="1:14" s="347" customFormat="1" x14ac:dyDescent="0.25">
      <c r="A8464" s="369"/>
      <c r="E8464" s="396"/>
      <c r="F8464" s="396"/>
      <c r="G8464" s="396"/>
      <c r="K8464" s="370"/>
      <c r="N8464" s="370"/>
    </row>
    <row r="8465" spans="1:14" s="347" customFormat="1" x14ac:dyDescent="0.25">
      <c r="A8465" s="369"/>
      <c r="E8465" s="396"/>
      <c r="F8465" s="396"/>
      <c r="G8465" s="396"/>
      <c r="K8465" s="370"/>
      <c r="N8465" s="370"/>
    </row>
    <row r="8466" spans="1:14" s="347" customFormat="1" x14ac:dyDescent="0.25">
      <c r="A8466" s="369"/>
      <c r="E8466" s="396"/>
      <c r="F8466" s="396"/>
      <c r="G8466" s="396"/>
      <c r="K8466" s="370"/>
      <c r="N8466" s="370"/>
    </row>
    <row r="8467" spans="1:14" s="347" customFormat="1" x14ac:dyDescent="0.25">
      <c r="A8467" s="369"/>
      <c r="E8467" s="396"/>
      <c r="F8467" s="396"/>
      <c r="G8467" s="396"/>
      <c r="K8467" s="370"/>
      <c r="N8467" s="370"/>
    </row>
    <row r="8468" spans="1:14" s="347" customFormat="1" x14ac:dyDescent="0.25">
      <c r="A8468" s="369"/>
      <c r="E8468" s="396"/>
      <c r="F8468" s="396"/>
      <c r="G8468" s="396"/>
      <c r="K8468" s="370"/>
      <c r="N8468" s="370"/>
    </row>
    <row r="8469" spans="1:14" s="347" customFormat="1" x14ac:dyDescent="0.25">
      <c r="A8469" s="369"/>
      <c r="E8469" s="396"/>
      <c r="F8469" s="396"/>
      <c r="G8469" s="396"/>
      <c r="K8469" s="370"/>
      <c r="N8469" s="370"/>
    </row>
    <row r="8470" spans="1:14" s="347" customFormat="1" x14ac:dyDescent="0.25">
      <c r="A8470" s="369"/>
      <c r="E8470" s="396"/>
      <c r="F8470" s="396"/>
      <c r="G8470" s="396"/>
      <c r="K8470" s="370"/>
      <c r="N8470" s="370"/>
    </row>
    <row r="8471" spans="1:14" s="347" customFormat="1" x14ac:dyDescent="0.25">
      <c r="A8471" s="369"/>
      <c r="E8471" s="396"/>
      <c r="F8471" s="396"/>
      <c r="G8471" s="396"/>
      <c r="K8471" s="370"/>
      <c r="N8471" s="370"/>
    </row>
    <row r="8472" spans="1:14" s="347" customFormat="1" x14ac:dyDescent="0.25">
      <c r="A8472" s="369"/>
      <c r="E8472" s="396"/>
      <c r="F8472" s="396"/>
      <c r="G8472" s="396"/>
      <c r="K8472" s="370"/>
      <c r="N8472" s="370"/>
    </row>
    <row r="8473" spans="1:14" s="347" customFormat="1" x14ac:dyDescent="0.25">
      <c r="A8473" s="369"/>
      <c r="E8473" s="396"/>
      <c r="F8473" s="396"/>
      <c r="G8473" s="396"/>
      <c r="K8473" s="370"/>
      <c r="N8473" s="370"/>
    </row>
    <row r="8474" spans="1:14" s="347" customFormat="1" x14ac:dyDescent="0.25">
      <c r="A8474" s="369"/>
      <c r="E8474" s="396"/>
      <c r="F8474" s="396"/>
      <c r="G8474" s="396"/>
      <c r="K8474" s="370"/>
      <c r="N8474" s="370"/>
    </row>
    <row r="8475" spans="1:14" s="347" customFormat="1" x14ac:dyDescent="0.25">
      <c r="A8475" s="369"/>
      <c r="E8475" s="396"/>
      <c r="F8475" s="396"/>
      <c r="G8475" s="396"/>
      <c r="K8475" s="370"/>
      <c r="N8475" s="370"/>
    </row>
    <row r="8476" spans="1:14" s="347" customFormat="1" x14ac:dyDescent="0.25">
      <c r="A8476" s="369"/>
      <c r="E8476" s="396"/>
      <c r="F8476" s="396"/>
      <c r="G8476" s="396"/>
      <c r="K8476" s="370"/>
      <c r="N8476" s="370"/>
    </row>
    <row r="8477" spans="1:14" s="347" customFormat="1" x14ac:dyDescent="0.25">
      <c r="A8477" s="369"/>
      <c r="E8477" s="396"/>
      <c r="F8477" s="396"/>
      <c r="G8477" s="396"/>
      <c r="K8477" s="370"/>
      <c r="N8477" s="370"/>
    </row>
    <row r="8478" spans="1:14" s="347" customFormat="1" x14ac:dyDescent="0.25">
      <c r="A8478" s="369"/>
      <c r="E8478" s="396"/>
      <c r="F8478" s="396"/>
      <c r="G8478" s="396"/>
      <c r="K8478" s="370"/>
      <c r="N8478" s="370"/>
    </row>
    <row r="8479" spans="1:14" s="347" customFormat="1" x14ac:dyDescent="0.25">
      <c r="A8479" s="369"/>
      <c r="E8479" s="396"/>
      <c r="F8479" s="396"/>
      <c r="G8479" s="396"/>
      <c r="K8479" s="370"/>
      <c r="N8479" s="370"/>
    </row>
    <row r="8480" spans="1:14" s="347" customFormat="1" x14ac:dyDescent="0.25">
      <c r="A8480" s="369"/>
      <c r="E8480" s="396"/>
      <c r="F8480" s="396"/>
      <c r="G8480" s="396"/>
      <c r="K8480" s="370"/>
      <c r="N8480" s="370"/>
    </row>
    <row r="8481" spans="1:14" s="347" customFormat="1" x14ac:dyDescent="0.25">
      <c r="A8481" s="369"/>
      <c r="E8481" s="396"/>
      <c r="F8481" s="396"/>
      <c r="G8481" s="396"/>
      <c r="K8481" s="370"/>
      <c r="N8481" s="370"/>
    </row>
    <row r="8482" spans="1:14" s="347" customFormat="1" x14ac:dyDescent="0.25">
      <c r="A8482" s="369"/>
      <c r="E8482" s="396"/>
      <c r="F8482" s="396"/>
      <c r="G8482" s="396"/>
      <c r="K8482" s="370"/>
      <c r="N8482" s="370"/>
    </row>
    <row r="8483" spans="1:14" s="347" customFormat="1" x14ac:dyDescent="0.25">
      <c r="A8483" s="369"/>
      <c r="E8483" s="396"/>
      <c r="F8483" s="396"/>
      <c r="G8483" s="396"/>
      <c r="K8483" s="370"/>
      <c r="N8483" s="370"/>
    </row>
    <row r="8484" spans="1:14" s="347" customFormat="1" x14ac:dyDescent="0.25">
      <c r="A8484" s="369"/>
      <c r="E8484" s="396"/>
      <c r="F8484" s="396"/>
      <c r="G8484" s="396"/>
      <c r="K8484" s="370"/>
      <c r="N8484" s="370"/>
    </row>
    <row r="8485" spans="1:14" s="347" customFormat="1" x14ac:dyDescent="0.25">
      <c r="A8485" s="369"/>
      <c r="E8485" s="396"/>
      <c r="F8485" s="396"/>
      <c r="G8485" s="396"/>
      <c r="K8485" s="370"/>
      <c r="N8485" s="370"/>
    </row>
    <row r="8486" spans="1:14" s="347" customFormat="1" x14ac:dyDescent="0.25">
      <c r="A8486" s="369"/>
      <c r="E8486" s="396"/>
      <c r="F8486" s="396"/>
      <c r="G8486" s="396"/>
      <c r="K8486" s="370"/>
      <c r="N8486" s="370"/>
    </row>
    <row r="8487" spans="1:14" s="347" customFormat="1" x14ac:dyDescent="0.25">
      <c r="A8487" s="369"/>
      <c r="E8487" s="396"/>
      <c r="F8487" s="396"/>
      <c r="G8487" s="396"/>
      <c r="K8487" s="370"/>
      <c r="N8487" s="370"/>
    </row>
    <row r="8488" spans="1:14" s="347" customFormat="1" x14ac:dyDescent="0.25">
      <c r="A8488" s="369"/>
      <c r="E8488" s="396"/>
      <c r="F8488" s="396"/>
      <c r="G8488" s="396"/>
      <c r="K8488" s="370"/>
      <c r="N8488" s="370"/>
    </row>
    <row r="8489" spans="1:14" s="347" customFormat="1" x14ac:dyDescent="0.25">
      <c r="A8489" s="369"/>
      <c r="E8489" s="396"/>
      <c r="F8489" s="396"/>
      <c r="G8489" s="396"/>
      <c r="K8489" s="370"/>
      <c r="N8489" s="370"/>
    </row>
    <row r="8490" spans="1:14" s="347" customFormat="1" x14ac:dyDescent="0.25">
      <c r="A8490" s="369"/>
      <c r="E8490" s="396"/>
      <c r="F8490" s="396"/>
      <c r="G8490" s="396"/>
      <c r="K8490" s="370"/>
      <c r="N8490" s="370"/>
    </row>
    <row r="8491" spans="1:14" s="347" customFormat="1" x14ac:dyDescent="0.25">
      <c r="A8491" s="369"/>
      <c r="E8491" s="396"/>
      <c r="F8491" s="396"/>
      <c r="G8491" s="396"/>
      <c r="K8491" s="370"/>
      <c r="N8491" s="370"/>
    </row>
    <row r="8492" spans="1:14" s="347" customFormat="1" x14ac:dyDescent="0.25">
      <c r="A8492" s="369"/>
      <c r="E8492" s="396"/>
      <c r="F8492" s="396"/>
      <c r="G8492" s="396"/>
      <c r="K8492" s="370"/>
      <c r="N8492" s="370"/>
    </row>
    <row r="8493" spans="1:14" s="347" customFormat="1" x14ac:dyDescent="0.25">
      <c r="A8493" s="369"/>
      <c r="E8493" s="396"/>
      <c r="F8493" s="396"/>
      <c r="G8493" s="396"/>
      <c r="K8493" s="370"/>
      <c r="N8493" s="370"/>
    </row>
    <row r="8494" spans="1:14" s="347" customFormat="1" x14ac:dyDescent="0.25">
      <c r="A8494" s="369"/>
      <c r="E8494" s="396"/>
      <c r="F8494" s="396"/>
      <c r="G8494" s="396"/>
      <c r="K8494" s="370"/>
      <c r="N8494" s="370"/>
    </row>
    <row r="8495" spans="1:14" s="347" customFormat="1" x14ac:dyDescent="0.25">
      <c r="A8495" s="369"/>
      <c r="E8495" s="396"/>
      <c r="F8495" s="396"/>
      <c r="G8495" s="396"/>
      <c r="K8495" s="370"/>
      <c r="N8495" s="370"/>
    </row>
    <row r="8496" spans="1:14" s="347" customFormat="1" x14ac:dyDescent="0.25">
      <c r="A8496" s="369"/>
      <c r="E8496" s="396"/>
      <c r="F8496" s="396"/>
      <c r="G8496" s="396"/>
      <c r="K8496" s="370"/>
      <c r="N8496" s="370"/>
    </row>
    <row r="8497" spans="1:14" s="347" customFormat="1" x14ac:dyDescent="0.25">
      <c r="A8497" s="369"/>
      <c r="E8497" s="396"/>
      <c r="F8497" s="396"/>
      <c r="G8497" s="396"/>
      <c r="K8497" s="370"/>
      <c r="N8497" s="370"/>
    </row>
    <row r="8498" spans="1:14" s="347" customFormat="1" x14ac:dyDescent="0.25">
      <c r="A8498" s="369"/>
      <c r="E8498" s="396"/>
      <c r="F8498" s="396"/>
      <c r="G8498" s="396"/>
      <c r="K8498" s="370"/>
      <c r="N8498" s="370"/>
    </row>
    <row r="8499" spans="1:14" s="347" customFormat="1" x14ac:dyDescent="0.25">
      <c r="A8499" s="369"/>
      <c r="E8499" s="396"/>
      <c r="F8499" s="396"/>
      <c r="G8499" s="396"/>
      <c r="K8499" s="370"/>
      <c r="N8499" s="370"/>
    </row>
    <row r="8500" spans="1:14" s="347" customFormat="1" x14ac:dyDescent="0.25">
      <c r="A8500" s="369"/>
      <c r="E8500" s="396"/>
      <c r="F8500" s="396"/>
      <c r="G8500" s="396"/>
      <c r="K8500" s="370"/>
      <c r="N8500" s="370"/>
    </row>
    <row r="8501" spans="1:14" s="347" customFormat="1" x14ac:dyDescent="0.25">
      <c r="A8501" s="369"/>
      <c r="E8501" s="396"/>
      <c r="F8501" s="396"/>
      <c r="G8501" s="396"/>
      <c r="K8501" s="370"/>
      <c r="N8501" s="370"/>
    </row>
    <row r="8502" spans="1:14" s="347" customFormat="1" x14ac:dyDescent="0.25">
      <c r="A8502" s="369"/>
      <c r="E8502" s="396"/>
      <c r="F8502" s="396"/>
      <c r="G8502" s="396"/>
      <c r="K8502" s="370"/>
      <c r="N8502" s="370"/>
    </row>
    <row r="8503" spans="1:14" s="347" customFormat="1" x14ac:dyDescent="0.25">
      <c r="A8503" s="369"/>
      <c r="E8503" s="396"/>
      <c r="F8503" s="396"/>
      <c r="G8503" s="396"/>
      <c r="K8503" s="370"/>
      <c r="N8503" s="370"/>
    </row>
    <row r="8504" spans="1:14" s="347" customFormat="1" x14ac:dyDescent="0.25">
      <c r="A8504" s="369"/>
      <c r="E8504" s="396"/>
      <c r="F8504" s="396"/>
      <c r="G8504" s="396"/>
      <c r="K8504" s="370"/>
      <c r="N8504" s="370"/>
    </row>
    <row r="8505" spans="1:14" s="347" customFormat="1" x14ac:dyDescent="0.25">
      <c r="A8505" s="369"/>
      <c r="E8505" s="396"/>
      <c r="F8505" s="396"/>
      <c r="G8505" s="396"/>
      <c r="K8505" s="370"/>
      <c r="N8505" s="370"/>
    </row>
    <row r="8506" spans="1:14" s="347" customFormat="1" x14ac:dyDescent="0.25">
      <c r="A8506" s="369"/>
      <c r="E8506" s="396"/>
      <c r="F8506" s="396"/>
      <c r="G8506" s="396"/>
      <c r="K8506" s="370"/>
      <c r="N8506" s="370"/>
    </row>
    <row r="8507" spans="1:14" s="347" customFormat="1" x14ac:dyDescent="0.25">
      <c r="A8507" s="369"/>
      <c r="E8507" s="396"/>
      <c r="F8507" s="396"/>
      <c r="G8507" s="396"/>
      <c r="K8507" s="370"/>
      <c r="N8507" s="370"/>
    </row>
    <row r="8508" spans="1:14" s="347" customFormat="1" x14ac:dyDescent="0.25">
      <c r="A8508" s="369"/>
      <c r="E8508" s="396"/>
      <c r="F8508" s="396"/>
      <c r="G8508" s="396"/>
      <c r="K8508" s="370"/>
      <c r="N8508" s="370"/>
    </row>
    <row r="8509" spans="1:14" s="347" customFormat="1" x14ac:dyDescent="0.25">
      <c r="A8509" s="369"/>
      <c r="E8509" s="396"/>
      <c r="F8509" s="396"/>
      <c r="G8509" s="396"/>
      <c r="K8509" s="370"/>
      <c r="N8509" s="370"/>
    </row>
    <row r="8510" spans="1:14" s="347" customFormat="1" x14ac:dyDescent="0.25">
      <c r="A8510" s="369"/>
      <c r="E8510" s="396"/>
      <c r="F8510" s="396"/>
      <c r="G8510" s="396"/>
      <c r="K8510" s="370"/>
      <c r="N8510" s="370"/>
    </row>
    <row r="8511" spans="1:14" s="347" customFormat="1" x14ac:dyDescent="0.25">
      <c r="A8511" s="369"/>
      <c r="E8511" s="396"/>
      <c r="F8511" s="396"/>
      <c r="G8511" s="396"/>
      <c r="K8511" s="370"/>
      <c r="N8511" s="370"/>
    </row>
    <row r="8512" spans="1:14" s="347" customFormat="1" x14ac:dyDescent="0.25">
      <c r="A8512" s="369"/>
      <c r="E8512" s="396"/>
      <c r="F8512" s="396"/>
      <c r="G8512" s="396"/>
      <c r="K8512" s="370"/>
      <c r="N8512" s="370"/>
    </row>
    <row r="8513" spans="1:14" s="347" customFormat="1" x14ac:dyDescent="0.25">
      <c r="A8513" s="369"/>
      <c r="E8513" s="396"/>
      <c r="F8513" s="396"/>
      <c r="G8513" s="396"/>
      <c r="K8513" s="370"/>
      <c r="N8513" s="370"/>
    </row>
    <row r="8514" spans="1:14" s="347" customFormat="1" x14ac:dyDescent="0.25">
      <c r="A8514" s="369"/>
      <c r="E8514" s="396"/>
      <c r="F8514" s="396"/>
      <c r="G8514" s="396"/>
      <c r="K8514" s="370"/>
      <c r="N8514" s="370"/>
    </row>
    <row r="8515" spans="1:14" s="347" customFormat="1" x14ac:dyDescent="0.25">
      <c r="A8515" s="369"/>
      <c r="E8515" s="396"/>
      <c r="F8515" s="396"/>
      <c r="G8515" s="396"/>
      <c r="K8515" s="370"/>
      <c r="N8515" s="370"/>
    </row>
    <row r="8516" spans="1:14" s="347" customFormat="1" x14ac:dyDescent="0.25">
      <c r="A8516" s="369"/>
      <c r="E8516" s="396"/>
      <c r="F8516" s="396"/>
      <c r="G8516" s="396"/>
      <c r="K8516" s="370"/>
      <c r="N8516" s="370"/>
    </row>
    <row r="8517" spans="1:14" s="347" customFormat="1" x14ac:dyDescent="0.25">
      <c r="A8517" s="369"/>
      <c r="E8517" s="396"/>
      <c r="F8517" s="396"/>
      <c r="G8517" s="396"/>
      <c r="K8517" s="370"/>
      <c r="N8517" s="370"/>
    </row>
    <row r="8518" spans="1:14" s="347" customFormat="1" x14ac:dyDescent="0.25">
      <c r="A8518" s="369"/>
      <c r="E8518" s="396"/>
      <c r="F8518" s="396"/>
      <c r="G8518" s="396"/>
      <c r="K8518" s="370"/>
      <c r="N8518" s="370"/>
    </row>
    <row r="8519" spans="1:14" s="347" customFormat="1" x14ac:dyDescent="0.25">
      <c r="A8519" s="369"/>
      <c r="E8519" s="396"/>
      <c r="F8519" s="396"/>
      <c r="G8519" s="396"/>
      <c r="K8519" s="370"/>
      <c r="N8519" s="370"/>
    </row>
    <row r="8520" spans="1:14" s="347" customFormat="1" x14ac:dyDescent="0.25">
      <c r="A8520" s="369"/>
      <c r="E8520" s="396"/>
      <c r="F8520" s="396"/>
      <c r="G8520" s="396"/>
      <c r="K8520" s="370"/>
      <c r="N8520" s="370"/>
    </row>
    <row r="8521" spans="1:14" s="347" customFormat="1" x14ac:dyDescent="0.25">
      <c r="A8521" s="369"/>
      <c r="E8521" s="396"/>
      <c r="F8521" s="396"/>
      <c r="G8521" s="396"/>
      <c r="K8521" s="370"/>
      <c r="N8521" s="370"/>
    </row>
    <row r="8522" spans="1:14" s="347" customFormat="1" x14ac:dyDescent="0.25">
      <c r="A8522" s="369"/>
      <c r="E8522" s="396"/>
      <c r="F8522" s="396"/>
      <c r="G8522" s="396"/>
      <c r="K8522" s="370"/>
      <c r="N8522" s="370"/>
    </row>
    <row r="8523" spans="1:14" s="347" customFormat="1" x14ac:dyDescent="0.25">
      <c r="A8523" s="369"/>
      <c r="E8523" s="396"/>
      <c r="F8523" s="396"/>
      <c r="G8523" s="396"/>
      <c r="K8523" s="370"/>
      <c r="N8523" s="370"/>
    </row>
    <row r="8524" spans="1:14" s="347" customFormat="1" x14ac:dyDescent="0.25">
      <c r="A8524" s="369"/>
      <c r="E8524" s="396"/>
      <c r="F8524" s="396"/>
      <c r="G8524" s="396"/>
      <c r="K8524" s="370"/>
      <c r="N8524" s="370"/>
    </row>
    <row r="8525" spans="1:14" s="347" customFormat="1" x14ac:dyDescent="0.25">
      <c r="A8525" s="369"/>
      <c r="E8525" s="396"/>
      <c r="F8525" s="396"/>
      <c r="G8525" s="396"/>
      <c r="K8525" s="370"/>
      <c r="N8525" s="370"/>
    </row>
    <row r="8526" spans="1:14" s="347" customFormat="1" x14ac:dyDescent="0.25">
      <c r="A8526" s="369"/>
      <c r="E8526" s="396"/>
      <c r="F8526" s="396"/>
      <c r="G8526" s="396"/>
      <c r="K8526" s="370"/>
      <c r="N8526" s="370"/>
    </row>
    <row r="8527" spans="1:14" s="347" customFormat="1" x14ac:dyDescent="0.25">
      <c r="A8527" s="369"/>
      <c r="E8527" s="396"/>
      <c r="F8527" s="396"/>
      <c r="G8527" s="396"/>
      <c r="K8527" s="370"/>
      <c r="N8527" s="370"/>
    </row>
    <row r="8528" spans="1:14" s="347" customFormat="1" x14ac:dyDescent="0.25">
      <c r="A8528" s="369"/>
      <c r="E8528" s="396"/>
      <c r="F8528" s="396"/>
      <c r="G8528" s="396"/>
      <c r="K8528" s="370"/>
      <c r="N8528" s="370"/>
    </row>
    <row r="8529" spans="1:14" s="347" customFormat="1" x14ac:dyDescent="0.25">
      <c r="A8529" s="369"/>
      <c r="E8529" s="396"/>
      <c r="F8529" s="396"/>
      <c r="G8529" s="396"/>
      <c r="K8529" s="370"/>
      <c r="N8529" s="370"/>
    </row>
    <row r="8530" spans="1:14" s="347" customFormat="1" x14ac:dyDescent="0.25">
      <c r="A8530" s="369"/>
      <c r="E8530" s="396"/>
      <c r="F8530" s="396"/>
      <c r="G8530" s="396"/>
      <c r="K8530" s="370"/>
      <c r="N8530" s="370"/>
    </row>
    <row r="8531" spans="1:14" s="347" customFormat="1" x14ac:dyDescent="0.25">
      <c r="A8531" s="369"/>
      <c r="E8531" s="396"/>
      <c r="F8531" s="396"/>
      <c r="G8531" s="396"/>
      <c r="K8531" s="370"/>
      <c r="N8531" s="370"/>
    </row>
    <row r="8532" spans="1:14" s="347" customFormat="1" x14ac:dyDescent="0.25">
      <c r="A8532" s="369"/>
      <c r="E8532" s="396"/>
      <c r="F8532" s="396"/>
      <c r="G8532" s="396"/>
      <c r="K8532" s="370"/>
      <c r="N8532" s="370"/>
    </row>
    <row r="8533" spans="1:14" s="347" customFormat="1" x14ac:dyDescent="0.25">
      <c r="A8533" s="369"/>
      <c r="E8533" s="396"/>
      <c r="F8533" s="396"/>
      <c r="G8533" s="396"/>
      <c r="K8533" s="370"/>
      <c r="N8533" s="370"/>
    </row>
    <row r="8534" spans="1:14" s="347" customFormat="1" x14ac:dyDescent="0.25">
      <c r="A8534" s="369"/>
      <c r="E8534" s="396"/>
      <c r="F8534" s="396"/>
      <c r="G8534" s="396"/>
      <c r="K8534" s="370"/>
      <c r="N8534" s="370"/>
    </row>
    <row r="8535" spans="1:14" s="347" customFormat="1" x14ac:dyDescent="0.25">
      <c r="A8535" s="369"/>
      <c r="E8535" s="396"/>
      <c r="F8535" s="396"/>
      <c r="G8535" s="396"/>
      <c r="K8535" s="370"/>
      <c r="N8535" s="370"/>
    </row>
    <row r="8536" spans="1:14" s="347" customFormat="1" x14ac:dyDescent="0.25">
      <c r="A8536" s="369"/>
      <c r="E8536" s="396"/>
      <c r="F8536" s="396"/>
      <c r="G8536" s="396"/>
      <c r="K8536" s="370"/>
      <c r="N8536" s="370"/>
    </row>
    <row r="8537" spans="1:14" s="347" customFormat="1" x14ac:dyDescent="0.25">
      <c r="A8537" s="369"/>
      <c r="E8537" s="396"/>
      <c r="F8537" s="396"/>
      <c r="G8537" s="396"/>
      <c r="K8537" s="370"/>
      <c r="N8537" s="370"/>
    </row>
    <row r="8538" spans="1:14" s="347" customFormat="1" x14ac:dyDescent="0.25">
      <c r="A8538" s="369"/>
      <c r="E8538" s="396"/>
      <c r="F8538" s="396"/>
      <c r="G8538" s="396"/>
      <c r="K8538" s="370"/>
      <c r="N8538" s="370"/>
    </row>
    <row r="8539" spans="1:14" s="347" customFormat="1" x14ac:dyDescent="0.25">
      <c r="A8539" s="369"/>
      <c r="E8539" s="396"/>
      <c r="F8539" s="396"/>
      <c r="G8539" s="396"/>
      <c r="K8539" s="370"/>
      <c r="N8539" s="370"/>
    </row>
    <row r="8540" spans="1:14" s="347" customFormat="1" x14ac:dyDescent="0.25">
      <c r="A8540" s="369"/>
      <c r="E8540" s="396"/>
      <c r="F8540" s="396"/>
      <c r="G8540" s="396"/>
      <c r="K8540" s="370"/>
      <c r="N8540" s="370"/>
    </row>
    <row r="8541" spans="1:14" s="347" customFormat="1" x14ac:dyDescent="0.25">
      <c r="A8541" s="369"/>
      <c r="E8541" s="396"/>
      <c r="F8541" s="396"/>
      <c r="G8541" s="396"/>
      <c r="K8541" s="370"/>
      <c r="N8541" s="370"/>
    </row>
    <row r="8542" spans="1:14" s="347" customFormat="1" x14ac:dyDescent="0.25">
      <c r="A8542" s="369"/>
      <c r="E8542" s="396"/>
      <c r="F8542" s="396"/>
      <c r="G8542" s="396"/>
      <c r="K8542" s="370"/>
      <c r="N8542" s="370"/>
    </row>
    <row r="8543" spans="1:14" s="347" customFormat="1" x14ac:dyDescent="0.25">
      <c r="A8543" s="369"/>
      <c r="E8543" s="396"/>
      <c r="F8543" s="396"/>
      <c r="G8543" s="396"/>
      <c r="K8543" s="370"/>
      <c r="N8543" s="370"/>
    </row>
    <row r="8544" spans="1:14" s="347" customFormat="1" x14ac:dyDescent="0.25">
      <c r="A8544" s="369"/>
      <c r="E8544" s="396"/>
      <c r="F8544" s="396"/>
      <c r="G8544" s="396"/>
      <c r="K8544" s="370"/>
      <c r="N8544" s="370"/>
    </row>
    <row r="8545" spans="1:14" s="347" customFormat="1" x14ac:dyDescent="0.25">
      <c r="A8545" s="369"/>
      <c r="E8545" s="396"/>
      <c r="F8545" s="396"/>
      <c r="G8545" s="396"/>
      <c r="K8545" s="370"/>
      <c r="N8545" s="370"/>
    </row>
    <row r="8546" spans="1:14" s="347" customFormat="1" x14ac:dyDescent="0.25">
      <c r="A8546" s="369"/>
      <c r="E8546" s="396"/>
      <c r="F8546" s="396"/>
      <c r="G8546" s="396"/>
      <c r="K8546" s="370"/>
      <c r="N8546" s="370"/>
    </row>
    <row r="8547" spans="1:14" s="347" customFormat="1" x14ac:dyDescent="0.25">
      <c r="A8547" s="369"/>
      <c r="E8547" s="396"/>
      <c r="F8547" s="396"/>
      <c r="G8547" s="396"/>
      <c r="K8547" s="370"/>
      <c r="N8547" s="370"/>
    </row>
    <row r="8548" spans="1:14" s="347" customFormat="1" x14ac:dyDescent="0.25">
      <c r="A8548" s="369"/>
      <c r="E8548" s="396"/>
      <c r="F8548" s="396"/>
      <c r="G8548" s="396"/>
      <c r="K8548" s="370"/>
      <c r="N8548" s="370"/>
    </row>
    <row r="8549" spans="1:14" s="347" customFormat="1" x14ac:dyDescent="0.25">
      <c r="A8549" s="369"/>
      <c r="E8549" s="396"/>
      <c r="F8549" s="396"/>
      <c r="G8549" s="396"/>
      <c r="K8549" s="370"/>
      <c r="N8549" s="370"/>
    </row>
    <row r="8550" spans="1:14" s="347" customFormat="1" x14ac:dyDescent="0.25">
      <c r="A8550" s="369"/>
      <c r="E8550" s="396"/>
      <c r="F8550" s="396"/>
      <c r="G8550" s="396"/>
      <c r="K8550" s="370"/>
      <c r="N8550" s="370"/>
    </row>
    <row r="8551" spans="1:14" s="347" customFormat="1" x14ac:dyDescent="0.25">
      <c r="A8551" s="369"/>
      <c r="E8551" s="396"/>
      <c r="F8551" s="396"/>
      <c r="G8551" s="396"/>
      <c r="K8551" s="370"/>
      <c r="N8551" s="370"/>
    </row>
    <row r="8552" spans="1:14" s="347" customFormat="1" x14ac:dyDescent="0.25">
      <c r="A8552" s="369"/>
      <c r="E8552" s="396"/>
      <c r="F8552" s="396"/>
      <c r="G8552" s="396"/>
      <c r="K8552" s="370"/>
      <c r="N8552" s="370"/>
    </row>
    <row r="8553" spans="1:14" s="347" customFormat="1" x14ac:dyDescent="0.25">
      <c r="A8553" s="369"/>
      <c r="E8553" s="396"/>
      <c r="F8553" s="396"/>
      <c r="G8553" s="396"/>
      <c r="K8553" s="370"/>
      <c r="N8553" s="370"/>
    </row>
    <row r="8554" spans="1:14" s="347" customFormat="1" x14ac:dyDescent="0.25">
      <c r="A8554" s="369"/>
      <c r="E8554" s="396"/>
      <c r="F8554" s="396"/>
      <c r="G8554" s="396"/>
      <c r="K8554" s="370"/>
      <c r="N8554" s="370"/>
    </row>
    <row r="8555" spans="1:14" s="347" customFormat="1" x14ac:dyDescent="0.25">
      <c r="A8555" s="369"/>
      <c r="E8555" s="396"/>
      <c r="F8555" s="396"/>
      <c r="G8555" s="396"/>
      <c r="K8555" s="370"/>
      <c r="N8555" s="370"/>
    </row>
    <row r="8556" spans="1:14" s="347" customFormat="1" x14ac:dyDescent="0.25">
      <c r="A8556" s="369"/>
      <c r="E8556" s="396"/>
      <c r="F8556" s="396"/>
      <c r="G8556" s="396"/>
      <c r="K8556" s="370"/>
      <c r="N8556" s="370"/>
    </row>
    <row r="8557" spans="1:14" s="347" customFormat="1" x14ac:dyDescent="0.25">
      <c r="A8557" s="369"/>
      <c r="E8557" s="396"/>
      <c r="F8557" s="396"/>
      <c r="G8557" s="396"/>
      <c r="K8557" s="370"/>
      <c r="N8557" s="370"/>
    </row>
    <row r="8558" spans="1:14" s="347" customFormat="1" x14ac:dyDescent="0.25">
      <c r="A8558" s="369"/>
      <c r="E8558" s="396"/>
      <c r="F8558" s="396"/>
      <c r="G8558" s="396"/>
      <c r="K8558" s="370"/>
      <c r="N8558" s="370"/>
    </row>
    <row r="8559" spans="1:14" s="347" customFormat="1" x14ac:dyDescent="0.25">
      <c r="A8559" s="369"/>
      <c r="E8559" s="396"/>
      <c r="F8559" s="396"/>
      <c r="G8559" s="396"/>
      <c r="K8559" s="370"/>
      <c r="N8559" s="370"/>
    </row>
    <row r="8560" spans="1:14" s="347" customFormat="1" x14ac:dyDescent="0.25">
      <c r="A8560" s="369"/>
      <c r="E8560" s="396"/>
      <c r="F8560" s="396"/>
      <c r="G8560" s="396"/>
      <c r="K8560" s="370"/>
      <c r="N8560" s="370"/>
    </row>
    <row r="8561" spans="1:14" s="347" customFormat="1" x14ac:dyDescent="0.25">
      <c r="A8561" s="369"/>
      <c r="E8561" s="396"/>
      <c r="F8561" s="396"/>
      <c r="G8561" s="396"/>
      <c r="K8561" s="370"/>
      <c r="N8561" s="370"/>
    </row>
    <row r="8562" spans="1:14" s="347" customFormat="1" x14ac:dyDescent="0.25">
      <c r="A8562" s="369"/>
      <c r="E8562" s="396"/>
      <c r="F8562" s="396"/>
      <c r="G8562" s="396"/>
      <c r="K8562" s="370"/>
      <c r="N8562" s="370"/>
    </row>
    <row r="8563" spans="1:14" s="347" customFormat="1" x14ac:dyDescent="0.25">
      <c r="A8563" s="369"/>
      <c r="E8563" s="396"/>
      <c r="F8563" s="396"/>
      <c r="G8563" s="396"/>
      <c r="K8563" s="370"/>
      <c r="N8563" s="370"/>
    </row>
    <row r="8564" spans="1:14" s="347" customFormat="1" x14ac:dyDescent="0.25">
      <c r="A8564" s="369"/>
      <c r="E8564" s="396"/>
      <c r="F8564" s="396"/>
      <c r="G8564" s="396"/>
      <c r="K8564" s="370"/>
      <c r="N8564" s="370"/>
    </row>
    <row r="8565" spans="1:14" s="347" customFormat="1" x14ac:dyDescent="0.25">
      <c r="A8565" s="369"/>
      <c r="E8565" s="396"/>
      <c r="F8565" s="396"/>
      <c r="G8565" s="396"/>
      <c r="K8565" s="370"/>
      <c r="N8565" s="370"/>
    </row>
    <row r="8566" spans="1:14" s="347" customFormat="1" x14ac:dyDescent="0.25">
      <c r="A8566" s="369"/>
      <c r="E8566" s="396"/>
      <c r="F8566" s="396"/>
      <c r="G8566" s="396"/>
      <c r="K8566" s="370"/>
      <c r="N8566" s="370"/>
    </row>
    <row r="8567" spans="1:14" s="347" customFormat="1" x14ac:dyDescent="0.25">
      <c r="A8567" s="369"/>
      <c r="E8567" s="396"/>
      <c r="F8567" s="396"/>
      <c r="G8567" s="396"/>
      <c r="K8567" s="370"/>
      <c r="N8567" s="370"/>
    </row>
    <row r="8568" spans="1:14" s="347" customFormat="1" x14ac:dyDescent="0.25">
      <c r="A8568" s="369"/>
      <c r="E8568" s="396"/>
      <c r="F8568" s="396"/>
      <c r="G8568" s="396"/>
      <c r="K8568" s="370"/>
      <c r="N8568" s="370"/>
    </row>
    <row r="8569" spans="1:14" s="347" customFormat="1" x14ac:dyDescent="0.25">
      <c r="A8569" s="369"/>
      <c r="E8569" s="396"/>
      <c r="F8569" s="396"/>
      <c r="G8569" s="396"/>
      <c r="K8569" s="370"/>
      <c r="N8569" s="370"/>
    </row>
    <row r="8570" spans="1:14" s="347" customFormat="1" x14ac:dyDescent="0.25">
      <c r="A8570" s="369"/>
      <c r="E8570" s="396"/>
      <c r="F8570" s="396"/>
      <c r="G8570" s="396"/>
      <c r="K8570" s="370"/>
      <c r="N8570" s="370"/>
    </row>
    <row r="8571" spans="1:14" s="347" customFormat="1" x14ac:dyDescent="0.25">
      <c r="A8571" s="369"/>
      <c r="E8571" s="396"/>
      <c r="F8571" s="396"/>
      <c r="G8571" s="396"/>
      <c r="K8571" s="370"/>
      <c r="N8571" s="370"/>
    </row>
    <row r="8572" spans="1:14" s="347" customFormat="1" x14ac:dyDescent="0.25">
      <c r="A8572" s="369"/>
      <c r="E8572" s="396"/>
      <c r="F8572" s="396"/>
      <c r="G8572" s="396"/>
      <c r="K8572" s="370"/>
      <c r="N8572" s="370"/>
    </row>
    <row r="8573" spans="1:14" s="347" customFormat="1" x14ac:dyDescent="0.25">
      <c r="A8573" s="369"/>
      <c r="E8573" s="396"/>
      <c r="F8573" s="396"/>
      <c r="G8573" s="396"/>
      <c r="K8573" s="370"/>
      <c r="N8573" s="370"/>
    </row>
    <row r="8574" spans="1:14" s="347" customFormat="1" x14ac:dyDescent="0.25">
      <c r="A8574" s="369"/>
      <c r="E8574" s="396"/>
      <c r="F8574" s="396"/>
      <c r="G8574" s="396"/>
      <c r="K8574" s="370"/>
      <c r="N8574" s="370"/>
    </row>
    <row r="8575" spans="1:14" s="347" customFormat="1" x14ac:dyDescent="0.25">
      <c r="A8575" s="369"/>
      <c r="E8575" s="396"/>
      <c r="F8575" s="396"/>
      <c r="G8575" s="396"/>
      <c r="K8575" s="370"/>
      <c r="N8575" s="370"/>
    </row>
    <row r="8576" spans="1:14" s="347" customFormat="1" x14ac:dyDescent="0.25">
      <c r="A8576" s="369"/>
      <c r="E8576" s="396"/>
      <c r="F8576" s="396"/>
      <c r="G8576" s="396"/>
      <c r="K8576" s="370"/>
      <c r="N8576" s="370"/>
    </row>
    <row r="8577" spans="1:14" s="347" customFormat="1" x14ac:dyDescent="0.25">
      <c r="A8577" s="369"/>
      <c r="E8577" s="396"/>
      <c r="F8577" s="396"/>
      <c r="G8577" s="396"/>
      <c r="K8577" s="370"/>
      <c r="N8577" s="370"/>
    </row>
    <row r="8578" spans="1:14" s="347" customFormat="1" x14ac:dyDescent="0.25">
      <c r="A8578" s="369"/>
      <c r="E8578" s="396"/>
      <c r="F8578" s="396"/>
      <c r="G8578" s="396"/>
      <c r="K8578" s="370"/>
      <c r="N8578" s="370"/>
    </row>
    <row r="8579" spans="1:14" s="347" customFormat="1" x14ac:dyDescent="0.25">
      <c r="A8579" s="369"/>
      <c r="E8579" s="396"/>
      <c r="F8579" s="396"/>
      <c r="G8579" s="396"/>
      <c r="K8579" s="370"/>
      <c r="N8579" s="370"/>
    </row>
    <row r="8580" spans="1:14" s="347" customFormat="1" x14ac:dyDescent="0.25">
      <c r="A8580" s="369"/>
      <c r="E8580" s="396"/>
      <c r="F8580" s="396"/>
      <c r="G8580" s="396"/>
      <c r="K8580" s="370"/>
      <c r="N8580" s="370"/>
    </row>
    <row r="8581" spans="1:14" s="347" customFormat="1" x14ac:dyDescent="0.25">
      <c r="A8581" s="369"/>
      <c r="E8581" s="396"/>
      <c r="F8581" s="396"/>
      <c r="G8581" s="396"/>
      <c r="K8581" s="370"/>
      <c r="N8581" s="370"/>
    </row>
    <row r="8582" spans="1:14" s="347" customFormat="1" x14ac:dyDescent="0.25">
      <c r="A8582" s="369"/>
      <c r="E8582" s="396"/>
      <c r="F8582" s="396"/>
      <c r="G8582" s="396"/>
      <c r="K8582" s="370"/>
      <c r="N8582" s="370"/>
    </row>
    <row r="8583" spans="1:14" s="347" customFormat="1" x14ac:dyDescent="0.25">
      <c r="A8583" s="369"/>
      <c r="E8583" s="396"/>
      <c r="F8583" s="396"/>
      <c r="G8583" s="396"/>
      <c r="K8583" s="370"/>
      <c r="N8583" s="370"/>
    </row>
    <row r="8584" spans="1:14" s="347" customFormat="1" x14ac:dyDescent="0.25">
      <c r="A8584" s="369"/>
      <c r="E8584" s="396"/>
      <c r="F8584" s="396"/>
      <c r="G8584" s="396"/>
      <c r="K8584" s="370"/>
      <c r="N8584" s="370"/>
    </row>
    <row r="8585" spans="1:14" s="347" customFormat="1" x14ac:dyDescent="0.25">
      <c r="A8585" s="369"/>
      <c r="E8585" s="396"/>
      <c r="F8585" s="396"/>
      <c r="G8585" s="396"/>
      <c r="K8585" s="370"/>
      <c r="N8585" s="370"/>
    </row>
    <row r="8586" spans="1:14" s="347" customFormat="1" x14ac:dyDescent="0.25">
      <c r="A8586" s="369"/>
      <c r="E8586" s="396"/>
      <c r="F8586" s="396"/>
      <c r="G8586" s="396"/>
      <c r="K8586" s="370"/>
      <c r="N8586" s="370"/>
    </row>
    <row r="8587" spans="1:14" s="347" customFormat="1" x14ac:dyDescent="0.25">
      <c r="A8587" s="369"/>
      <c r="E8587" s="396"/>
      <c r="F8587" s="396"/>
      <c r="G8587" s="396"/>
      <c r="K8587" s="370"/>
      <c r="N8587" s="370"/>
    </row>
    <row r="8588" spans="1:14" s="347" customFormat="1" x14ac:dyDescent="0.25">
      <c r="A8588" s="369"/>
      <c r="E8588" s="396"/>
      <c r="F8588" s="396"/>
      <c r="G8588" s="396"/>
      <c r="K8588" s="370"/>
      <c r="N8588" s="370"/>
    </row>
    <row r="8589" spans="1:14" s="347" customFormat="1" x14ac:dyDescent="0.25">
      <c r="A8589" s="369"/>
      <c r="E8589" s="396"/>
      <c r="F8589" s="396"/>
      <c r="G8589" s="396"/>
      <c r="K8589" s="370"/>
      <c r="N8589" s="370"/>
    </row>
    <row r="8590" spans="1:14" s="347" customFormat="1" x14ac:dyDescent="0.25">
      <c r="A8590" s="369"/>
      <c r="E8590" s="396"/>
      <c r="F8590" s="396"/>
      <c r="G8590" s="396"/>
      <c r="K8590" s="370"/>
      <c r="N8590" s="370"/>
    </row>
    <row r="8591" spans="1:14" s="347" customFormat="1" x14ac:dyDescent="0.25">
      <c r="A8591" s="369"/>
      <c r="E8591" s="396"/>
      <c r="F8591" s="396"/>
      <c r="G8591" s="396"/>
      <c r="K8591" s="370"/>
      <c r="N8591" s="370"/>
    </row>
    <row r="8592" spans="1:14" s="347" customFormat="1" x14ac:dyDescent="0.25">
      <c r="A8592" s="369"/>
      <c r="E8592" s="396"/>
      <c r="F8592" s="396"/>
      <c r="G8592" s="396"/>
      <c r="K8592" s="370"/>
      <c r="N8592" s="370"/>
    </row>
    <row r="8593" spans="1:14" s="347" customFormat="1" x14ac:dyDescent="0.25">
      <c r="A8593" s="369"/>
      <c r="E8593" s="396"/>
      <c r="F8593" s="396"/>
      <c r="G8593" s="396"/>
      <c r="K8593" s="370"/>
      <c r="N8593" s="370"/>
    </row>
    <row r="8594" spans="1:14" s="347" customFormat="1" x14ac:dyDescent="0.25">
      <c r="A8594" s="369"/>
      <c r="E8594" s="396"/>
      <c r="F8594" s="396"/>
      <c r="G8594" s="396"/>
      <c r="K8594" s="370"/>
      <c r="N8594" s="370"/>
    </row>
    <row r="8595" spans="1:14" s="347" customFormat="1" x14ac:dyDescent="0.25">
      <c r="A8595" s="369"/>
      <c r="E8595" s="396"/>
      <c r="F8595" s="396"/>
      <c r="G8595" s="396"/>
      <c r="K8595" s="370"/>
      <c r="N8595" s="370"/>
    </row>
    <row r="8596" spans="1:14" s="347" customFormat="1" x14ac:dyDescent="0.25">
      <c r="A8596" s="369"/>
      <c r="E8596" s="396"/>
      <c r="F8596" s="396"/>
      <c r="G8596" s="396"/>
      <c r="K8596" s="370"/>
      <c r="N8596" s="370"/>
    </row>
    <row r="8597" spans="1:14" s="347" customFormat="1" x14ac:dyDescent="0.25">
      <c r="A8597" s="369"/>
      <c r="E8597" s="396"/>
      <c r="F8597" s="396"/>
      <c r="G8597" s="396"/>
      <c r="K8597" s="370"/>
      <c r="N8597" s="370"/>
    </row>
    <row r="8598" spans="1:14" s="347" customFormat="1" x14ac:dyDescent="0.25">
      <c r="A8598" s="369"/>
      <c r="E8598" s="396"/>
      <c r="F8598" s="396"/>
      <c r="G8598" s="396"/>
      <c r="K8598" s="370"/>
      <c r="N8598" s="370"/>
    </row>
    <row r="8599" spans="1:14" s="347" customFormat="1" x14ac:dyDescent="0.25">
      <c r="A8599" s="369"/>
      <c r="E8599" s="396"/>
      <c r="F8599" s="396"/>
      <c r="G8599" s="396"/>
      <c r="K8599" s="370"/>
      <c r="N8599" s="370"/>
    </row>
    <row r="8600" spans="1:14" s="347" customFormat="1" x14ac:dyDescent="0.25">
      <c r="A8600" s="369"/>
      <c r="E8600" s="396"/>
      <c r="F8600" s="396"/>
      <c r="G8600" s="396"/>
      <c r="K8600" s="370"/>
      <c r="N8600" s="370"/>
    </row>
    <row r="8601" spans="1:14" s="347" customFormat="1" x14ac:dyDescent="0.25">
      <c r="A8601" s="369"/>
      <c r="E8601" s="396"/>
      <c r="F8601" s="396"/>
      <c r="G8601" s="396"/>
      <c r="K8601" s="370"/>
      <c r="N8601" s="370"/>
    </row>
    <row r="8602" spans="1:14" s="347" customFormat="1" x14ac:dyDescent="0.25">
      <c r="A8602" s="369"/>
      <c r="E8602" s="396"/>
      <c r="F8602" s="396"/>
      <c r="G8602" s="396"/>
      <c r="K8602" s="370"/>
      <c r="N8602" s="370"/>
    </row>
    <row r="8603" spans="1:14" s="347" customFormat="1" x14ac:dyDescent="0.25">
      <c r="A8603" s="369"/>
      <c r="E8603" s="396"/>
      <c r="F8603" s="396"/>
      <c r="G8603" s="396"/>
      <c r="K8603" s="370"/>
      <c r="N8603" s="370"/>
    </row>
    <row r="8604" spans="1:14" s="347" customFormat="1" x14ac:dyDescent="0.25">
      <c r="A8604" s="369"/>
      <c r="E8604" s="396"/>
      <c r="F8604" s="396"/>
      <c r="G8604" s="396"/>
      <c r="K8604" s="370"/>
      <c r="N8604" s="370"/>
    </row>
    <row r="8605" spans="1:14" s="347" customFormat="1" x14ac:dyDescent="0.25">
      <c r="A8605" s="369"/>
      <c r="E8605" s="396"/>
      <c r="F8605" s="396"/>
      <c r="G8605" s="396"/>
      <c r="K8605" s="370"/>
      <c r="N8605" s="370"/>
    </row>
    <row r="8606" spans="1:14" s="347" customFormat="1" x14ac:dyDescent="0.25">
      <c r="A8606" s="369"/>
      <c r="E8606" s="396"/>
      <c r="F8606" s="396"/>
      <c r="G8606" s="396"/>
      <c r="K8606" s="370"/>
      <c r="N8606" s="370"/>
    </row>
    <row r="8607" spans="1:14" s="347" customFormat="1" x14ac:dyDescent="0.25">
      <c r="A8607" s="369"/>
      <c r="E8607" s="396"/>
      <c r="F8607" s="396"/>
      <c r="G8607" s="396"/>
      <c r="K8607" s="370"/>
      <c r="N8607" s="370"/>
    </row>
    <row r="8608" spans="1:14" s="347" customFormat="1" x14ac:dyDescent="0.25">
      <c r="A8608" s="369"/>
      <c r="E8608" s="396"/>
      <c r="F8608" s="396"/>
      <c r="G8608" s="396"/>
      <c r="K8608" s="370"/>
      <c r="N8608" s="370"/>
    </row>
    <row r="8609" spans="1:14" s="347" customFormat="1" x14ac:dyDescent="0.25">
      <c r="A8609" s="369"/>
      <c r="E8609" s="396"/>
      <c r="F8609" s="396"/>
      <c r="G8609" s="396"/>
      <c r="K8609" s="370"/>
      <c r="N8609" s="370"/>
    </row>
    <row r="8610" spans="1:14" s="347" customFormat="1" x14ac:dyDescent="0.25">
      <c r="A8610" s="369"/>
      <c r="E8610" s="396"/>
      <c r="F8610" s="396"/>
      <c r="G8610" s="396"/>
      <c r="K8610" s="370"/>
      <c r="N8610" s="370"/>
    </row>
    <row r="8611" spans="1:14" s="347" customFormat="1" x14ac:dyDescent="0.25">
      <c r="A8611" s="369"/>
      <c r="E8611" s="396"/>
      <c r="F8611" s="396"/>
      <c r="G8611" s="396"/>
      <c r="K8611" s="370"/>
      <c r="N8611" s="370"/>
    </row>
    <row r="8612" spans="1:14" s="347" customFormat="1" x14ac:dyDescent="0.25">
      <c r="A8612" s="369"/>
      <c r="E8612" s="396"/>
      <c r="F8612" s="396"/>
      <c r="G8612" s="396"/>
      <c r="K8612" s="370"/>
      <c r="N8612" s="370"/>
    </row>
    <row r="8613" spans="1:14" s="347" customFormat="1" x14ac:dyDescent="0.25">
      <c r="A8613" s="369"/>
      <c r="E8613" s="396"/>
      <c r="F8613" s="396"/>
      <c r="G8613" s="396"/>
      <c r="K8613" s="370"/>
      <c r="N8613" s="370"/>
    </row>
    <row r="8614" spans="1:14" s="347" customFormat="1" x14ac:dyDescent="0.25">
      <c r="A8614" s="369"/>
      <c r="E8614" s="396"/>
      <c r="F8614" s="396"/>
      <c r="G8614" s="396"/>
      <c r="K8614" s="370"/>
      <c r="N8614" s="370"/>
    </row>
    <row r="8615" spans="1:14" s="347" customFormat="1" x14ac:dyDescent="0.25">
      <c r="A8615" s="369"/>
      <c r="E8615" s="396"/>
      <c r="F8615" s="396"/>
      <c r="G8615" s="396"/>
      <c r="K8615" s="370"/>
      <c r="N8615" s="370"/>
    </row>
    <row r="8616" spans="1:14" s="347" customFormat="1" x14ac:dyDescent="0.25">
      <c r="A8616" s="369"/>
      <c r="E8616" s="396"/>
      <c r="F8616" s="396"/>
      <c r="G8616" s="396"/>
      <c r="K8616" s="370"/>
      <c r="N8616" s="370"/>
    </row>
    <row r="8617" spans="1:14" s="347" customFormat="1" x14ac:dyDescent="0.25">
      <c r="A8617" s="369"/>
      <c r="E8617" s="396"/>
      <c r="F8617" s="396"/>
      <c r="G8617" s="396"/>
      <c r="K8617" s="370"/>
      <c r="N8617" s="370"/>
    </row>
    <row r="8618" spans="1:14" s="347" customFormat="1" x14ac:dyDescent="0.25">
      <c r="A8618" s="369"/>
      <c r="E8618" s="396"/>
      <c r="F8618" s="396"/>
      <c r="G8618" s="396"/>
      <c r="K8618" s="370"/>
      <c r="N8618" s="370"/>
    </row>
    <row r="8619" spans="1:14" s="347" customFormat="1" x14ac:dyDescent="0.25">
      <c r="A8619" s="369"/>
      <c r="E8619" s="396"/>
      <c r="F8619" s="396"/>
      <c r="G8619" s="396"/>
      <c r="K8619" s="370"/>
      <c r="N8619" s="370"/>
    </row>
    <row r="8620" spans="1:14" s="347" customFormat="1" x14ac:dyDescent="0.25">
      <c r="A8620" s="369"/>
      <c r="E8620" s="396"/>
      <c r="F8620" s="396"/>
      <c r="G8620" s="396"/>
      <c r="K8620" s="370"/>
      <c r="N8620" s="370"/>
    </row>
    <row r="8621" spans="1:14" s="347" customFormat="1" x14ac:dyDescent="0.25">
      <c r="A8621" s="369"/>
      <c r="E8621" s="396"/>
      <c r="F8621" s="396"/>
      <c r="G8621" s="396"/>
      <c r="K8621" s="370"/>
      <c r="N8621" s="370"/>
    </row>
    <row r="8622" spans="1:14" s="347" customFormat="1" x14ac:dyDescent="0.25">
      <c r="A8622" s="369"/>
      <c r="E8622" s="396"/>
      <c r="F8622" s="396"/>
      <c r="G8622" s="396"/>
      <c r="K8622" s="370"/>
      <c r="N8622" s="370"/>
    </row>
    <row r="8623" spans="1:14" s="347" customFormat="1" x14ac:dyDescent="0.25">
      <c r="A8623" s="369"/>
      <c r="E8623" s="396"/>
      <c r="F8623" s="396"/>
      <c r="G8623" s="396"/>
      <c r="K8623" s="370"/>
      <c r="N8623" s="370"/>
    </row>
    <row r="8624" spans="1:14" s="347" customFormat="1" x14ac:dyDescent="0.25">
      <c r="A8624" s="369"/>
      <c r="E8624" s="396"/>
      <c r="F8624" s="396"/>
      <c r="G8624" s="396"/>
      <c r="K8624" s="370"/>
      <c r="N8624" s="370"/>
    </row>
    <row r="8625" spans="1:14" s="347" customFormat="1" x14ac:dyDescent="0.25">
      <c r="A8625" s="369"/>
      <c r="E8625" s="396"/>
      <c r="F8625" s="396"/>
      <c r="G8625" s="396"/>
      <c r="K8625" s="370"/>
      <c r="N8625" s="370"/>
    </row>
    <row r="8626" spans="1:14" s="347" customFormat="1" x14ac:dyDescent="0.25">
      <c r="A8626" s="369"/>
      <c r="E8626" s="396"/>
      <c r="F8626" s="396"/>
      <c r="G8626" s="396"/>
      <c r="K8626" s="370"/>
      <c r="N8626" s="370"/>
    </row>
    <row r="8627" spans="1:14" s="347" customFormat="1" x14ac:dyDescent="0.25">
      <c r="A8627" s="369"/>
      <c r="E8627" s="396"/>
      <c r="F8627" s="396"/>
      <c r="G8627" s="396"/>
      <c r="K8627" s="370"/>
      <c r="N8627" s="370"/>
    </row>
    <row r="8628" spans="1:14" s="347" customFormat="1" x14ac:dyDescent="0.25">
      <c r="A8628" s="369"/>
      <c r="E8628" s="396"/>
      <c r="F8628" s="396"/>
      <c r="G8628" s="396"/>
      <c r="K8628" s="370"/>
      <c r="N8628" s="370"/>
    </row>
    <row r="8629" spans="1:14" s="347" customFormat="1" x14ac:dyDescent="0.25">
      <c r="A8629" s="369"/>
      <c r="E8629" s="396"/>
      <c r="F8629" s="396"/>
      <c r="G8629" s="396"/>
      <c r="K8629" s="370"/>
      <c r="N8629" s="370"/>
    </row>
    <row r="8630" spans="1:14" s="347" customFormat="1" x14ac:dyDescent="0.25">
      <c r="A8630" s="369"/>
      <c r="E8630" s="396"/>
      <c r="F8630" s="396"/>
      <c r="G8630" s="396"/>
      <c r="K8630" s="370"/>
      <c r="N8630" s="370"/>
    </row>
    <row r="8631" spans="1:14" s="347" customFormat="1" x14ac:dyDescent="0.25">
      <c r="A8631" s="369"/>
      <c r="E8631" s="396"/>
      <c r="F8631" s="396"/>
      <c r="G8631" s="396"/>
      <c r="K8631" s="370"/>
      <c r="N8631" s="370"/>
    </row>
    <row r="8632" spans="1:14" s="347" customFormat="1" x14ac:dyDescent="0.25">
      <c r="A8632" s="369"/>
      <c r="E8632" s="396"/>
      <c r="F8632" s="396"/>
      <c r="G8632" s="396"/>
      <c r="K8632" s="370"/>
      <c r="N8632" s="370"/>
    </row>
    <row r="8633" spans="1:14" s="347" customFormat="1" x14ac:dyDescent="0.25">
      <c r="A8633" s="369"/>
      <c r="E8633" s="396"/>
      <c r="F8633" s="396"/>
      <c r="G8633" s="396"/>
      <c r="K8633" s="370"/>
      <c r="N8633" s="370"/>
    </row>
    <row r="8634" spans="1:14" s="347" customFormat="1" x14ac:dyDescent="0.25">
      <c r="A8634" s="369"/>
      <c r="E8634" s="396"/>
      <c r="F8634" s="396"/>
      <c r="G8634" s="396"/>
      <c r="K8634" s="370"/>
      <c r="N8634" s="370"/>
    </row>
    <row r="8635" spans="1:14" s="347" customFormat="1" x14ac:dyDescent="0.25">
      <c r="A8635" s="369"/>
      <c r="E8635" s="396"/>
      <c r="F8635" s="396"/>
      <c r="G8635" s="396"/>
      <c r="K8635" s="370"/>
      <c r="N8635" s="370"/>
    </row>
    <row r="8636" spans="1:14" s="347" customFormat="1" x14ac:dyDescent="0.25">
      <c r="A8636" s="369"/>
      <c r="E8636" s="396"/>
      <c r="F8636" s="396"/>
      <c r="G8636" s="396"/>
      <c r="K8636" s="370"/>
      <c r="N8636" s="370"/>
    </row>
    <row r="8637" spans="1:14" s="347" customFormat="1" x14ac:dyDescent="0.25">
      <c r="A8637" s="369"/>
      <c r="E8637" s="396"/>
      <c r="F8637" s="396"/>
      <c r="G8637" s="396"/>
      <c r="K8637" s="370"/>
      <c r="N8637" s="370"/>
    </row>
    <row r="8638" spans="1:14" s="347" customFormat="1" x14ac:dyDescent="0.25">
      <c r="A8638" s="369"/>
      <c r="E8638" s="396"/>
      <c r="F8638" s="396"/>
      <c r="G8638" s="396"/>
      <c r="K8638" s="370"/>
      <c r="N8638" s="370"/>
    </row>
    <row r="8639" spans="1:14" s="347" customFormat="1" x14ac:dyDescent="0.25">
      <c r="A8639" s="369"/>
      <c r="E8639" s="396"/>
      <c r="F8639" s="396"/>
      <c r="G8639" s="396"/>
      <c r="K8639" s="370"/>
      <c r="N8639" s="370"/>
    </row>
    <row r="8640" spans="1:14" s="347" customFormat="1" x14ac:dyDescent="0.25">
      <c r="A8640" s="369"/>
      <c r="E8640" s="396"/>
      <c r="F8640" s="396"/>
      <c r="G8640" s="396"/>
      <c r="K8640" s="370"/>
      <c r="N8640" s="370"/>
    </row>
    <row r="8641" spans="1:14" s="347" customFormat="1" x14ac:dyDescent="0.25">
      <c r="A8641" s="369"/>
      <c r="E8641" s="396"/>
      <c r="F8641" s="396"/>
      <c r="G8641" s="396"/>
      <c r="K8641" s="370"/>
      <c r="N8641" s="370"/>
    </row>
    <row r="8642" spans="1:14" s="347" customFormat="1" x14ac:dyDescent="0.25">
      <c r="A8642" s="369"/>
      <c r="E8642" s="396"/>
      <c r="F8642" s="396"/>
      <c r="G8642" s="396"/>
      <c r="K8642" s="370"/>
      <c r="N8642" s="370"/>
    </row>
    <row r="8643" spans="1:14" s="347" customFormat="1" x14ac:dyDescent="0.25">
      <c r="A8643" s="369"/>
      <c r="E8643" s="396"/>
      <c r="F8643" s="396"/>
      <c r="G8643" s="396"/>
      <c r="K8643" s="370"/>
      <c r="N8643" s="370"/>
    </row>
    <row r="8644" spans="1:14" s="347" customFormat="1" x14ac:dyDescent="0.25">
      <c r="A8644" s="369"/>
      <c r="E8644" s="396"/>
      <c r="F8644" s="396"/>
      <c r="G8644" s="396"/>
      <c r="K8644" s="370"/>
      <c r="N8644" s="370"/>
    </row>
    <row r="8645" spans="1:14" s="347" customFormat="1" x14ac:dyDescent="0.25">
      <c r="A8645" s="369"/>
      <c r="E8645" s="396"/>
      <c r="F8645" s="396"/>
      <c r="G8645" s="396"/>
      <c r="K8645" s="370"/>
      <c r="N8645" s="370"/>
    </row>
    <row r="8646" spans="1:14" s="347" customFormat="1" x14ac:dyDescent="0.25">
      <c r="A8646" s="369"/>
      <c r="E8646" s="396"/>
      <c r="F8646" s="396"/>
      <c r="G8646" s="396"/>
      <c r="K8646" s="370"/>
      <c r="N8646" s="370"/>
    </row>
    <row r="8647" spans="1:14" s="347" customFormat="1" x14ac:dyDescent="0.25">
      <c r="A8647" s="369"/>
      <c r="E8647" s="396"/>
      <c r="F8647" s="396"/>
      <c r="G8647" s="396"/>
      <c r="K8647" s="370"/>
      <c r="N8647" s="370"/>
    </row>
    <row r="8648" spans="1:14" s="347" customFormat="1" x14ac:dyDescent="0.25">
      <c r="A8648" s="369"/>
      <c r="E8648" s="396"/>
      <c r="F8648" s="396"/>
      <c r="G8648" s="396"/>
      <c r="K8648" s="370"/>
      <c r="N8648" s="370"/>
    </row>
    <row r="8649" spans="1:14" s="347" customFormat="1" x14ac:dyDescent="0.25">
      <c r="A8649" s="369"/>
      <c r="E8649" s="396"/>
      <c r="F8649" s="396"/>
      <c r="G8649" s="396"/>
      <c r="K8649" s="370"/>
      <c r="N8649" s="370"/>
    </row>
    <row r="8650" spans="1:14" s="347" customFormat="1" x14ac:dyDescent="0.25">
      <c r="A8650" s="369"/>
      <c r="E8650" s="396"/>
      <c r="F8650" s="396"/>
      <c r="G8650" s="396"/>
      <c r="K8650" s="370"/>
      <c r="N8650" s="370"/>
    </row>
    <row r="8651" spans="1:14" s="347" customFormat="1" x14ac:dyDescent="0.25">
      <c r="A8651" s="369"/>
      <c r="E8651" s="396"/>
      <c r="F8651" s="396"/>
      <c r="G8651" s="396"/>
      <c r="K8651" s="370"/>
      <c r="N8651" s="370"/>
    </row>
    <row r="8652" spans="1:14" s="347" customFormat="1" x14ac:dyDescent="0.25">
      <c r="A8652" s="369"/>
      <c r="E8652" s="396"/>
      <c r="F8652" s="396"/>
      <c r="G8652" s="396"/>
      <c r="K8652" s="370"/>
      <c r="N8652" s="370"/>
    </row>
    <row r="8653" spans="1:14" s="347" customFormat="1" x14ac:dyDescent="0.25">
      <c r="A8653" s="369"/>
      <c r="E8653" s="396"/>
      <c r="F8653" s="396"/>
      <c r="G8653" s="396"/>
      <c r="K8653" s="370"/>
      <c r="N8653" s="370"/>
    </row>
    <row r="8654" spans="1:14" s="347" customFormat="1" x14ac:dyDescent="0.25">
      <c r="A8654" s="369"/>
      <c r="E8654" s="396"/>
      <c r="F8654" s="396"/>
      <c r="G8654" s="396"/>
      <c r="K8654" s="370"/>
      <c r="N8654" s="370"/>
    </row>
    <row r="8655" spans="1:14" s="347" customFormat="1" x14ac:dyDescent="0.25">
      <c r="A8655" s="369"/>
      <c r="E8655" s="396"/>
      <c r="F8655" s="396"/>
      <c r="G8655" s="396"/>
      <c r="K8655" s="370"/>
      <c r="N8655" s="370"/>
    </row>
    <row r="8656" spans="1:14" s="347" customFormat="1" x14ac:dyDescent="0.25">
      <c r="A8656" s="369"/>
      <c r="E8656" s="396"/>
      <c r="F8656" s="396"/>
      <c r="G8656" s="396"/>
      <c r="K8656" s="370"/>
      <c r="N8656" s="370"/>
    </row>
    <row r="8657" spans="1:14" s="347" customFormat="1" x14ac:dyDescent="0.25">
      <c r="A8657" s="369"/>
      <c r="E8657" s="396"/>
      <c r="F8657" s="396"/>
      <c r="G8657" s="396"/>
      <c r="K8657" s="370"/>
      <c r="N8657" s="370"/>
    </row>
    <row r="8658" spans="1:14" s="347" customFormat="1" x14ac:dyDescent="0.25">
      <c r="A8658" s="369"/>
      <c r="E8658" s="396"/>
      <c r="F8658" s="396"/>
      <c r="G8658" s="396"/>
      <c r="K8658" s="370"/>
      <c r="N8658" s="370"/>
    </row>
    <row r="8659" spans="1:14" s="347" customFormat="1" x14ac:dyDescent="0.25">
      <c r="A8659" s="369"/>
      <c r="E8659" s="396"/>
      <c r="F8659" s="396"/>
      <c r="G8659" s="396"/>
      <c r="K8659" s="370"/>
      <c r="N8659" s="370"/>
    </row>
    <row r="8660" spans="1:14" s="347" customFormat="1" x14ac:dyDescent="0.25">
      <c r="A8660" s="369"/>
      <c r="E8660" s="396"/>
      <c r="F8660" s="396"/>
      <c r="G8660" s="396"/>
      <c r="K8660" s="370"/>
      <c r="N8660" s="370"/>
    </row>
    <row r="8661" spans="1:14" s="347" customFormat="1" x14ac:dyDescent="0.25">
      <c r="A8661" s="369"/>
      <c r="E8661" s="396"/>
      <c r="F8661" s="396"/>
      <c r="G8661" s="396"/>
      <c r="K8661" s="370"/>
      <c r="N8661" s="370"/>
    </row>
    <row r="8662" spans="1:14" s="347" customFormat="1" x14ac:dyDescent="0.25">
      <c r="A8662" s="369"/>
      <c r="E8662" s="396"/>
      <c r="F8662" s="396"/>
      <c r="G8662" s="396"/>
      <c r="K8662" s="370"/>
      <c r="N8662" s="370"/>
    </row>
    <row r="8663" spans="1:14" s="347" customFormat="1" x14ac:dyDescent="0.25">
      <c r="A8663" s="369"/>
      <c r="E8663" s="396"/>
      <c r="F8663" s="396"/>
      <c r="G8663" s="396"/>
      <c r="K8663" s="370"/>
      <c r="N8663" s="370"/>
    </row>
    <row r="8664" spans="1:14" s="347" customFormat="1" x14ac:dyDescent="0.25">
      <c r="A8664" s="369"/>
      <c r="E8664" s="396"/>
      <c r="F8664" s="396"/>
      <c r="G8664" s="396"/>
      <c r="K8664" s="370"/>
      <c r="N8664" s="370"/>
    </row>
    <row r="8665" spans="1:14" s="347" customFormat="1" x14ac:dyDescent="0.25">
      <c r="A8665" s="369"/>
      <c r="E8665" s="396"/>
      <c r="F8665" s="396"/>
      <c r="G8665" s="396"/>
      <c r="K8665" s="370"/>
      <c r="N8665" s="370"/>
    </row>
    <row r="8666" spans="1:14" s="347" customFormat="1" x14ac:dyDescent="0.25">
      <c r="A8666" s="369"/>
      <c r="E8666" s="396"/>
      <c r="F8666" s="396"/>
      <c r="G8666" s="396"/>
      <c r="K8666" s="370"/>
      <c r="N8666" s="370"/>
    </row>
    <row r="8667" spans="1:14" s="347" customFormat="1" x14ac:dyDescent="0.25">
      <c r="A8667" s="369"/>
      <c r="E8667" s="396"/>
      <c r="F8667" s="396"/>
      <c r="G8667" s="396"/>
      <c r="K8667" s="370"/>
      <c r="N8667" s="370"/>
    </row>
    <row r="8668" spans="1:14" s="347" customFormat="1" x14ac:dyDescent="0.25">
      <c r="A8668" s="369"/>
      <c r="E8668" s="396"/>
      <c r="F8668" s="396"/>
      <c r="G8668" s="396"/>
      <c r="K8668" s="370"/>
      <c r="N8668" s="370"/>
    </row>
    <row r="8669" spans="1:14" s="347" customFormat="1" x14ac:dyDescent="0.25">
      <c r="A8669" s="369"/>
      <c r="E8669" s="396"/>
      <c r="F8669" s="396"/>
      <c r="G8669" s="396"/>
      <c r="K8669" s="370"/>
      <c r="N8669" s="370"/>
    </row>
    <row r="8670" spans="1:14" s="347" customFormat="1" x14ac:dyDescent="0.25">
      <c r="A8670" s="369"/>
      <c r="E8670" s="396"/>
      <c r="F8670" s="396"/>
      <c r="G8670" s="396"/>
      <c r="K8670" s="370"/>
      <c r="N8670" s="370"/>
    </row>
    <row r="8671" spans="1:14" s="347" customFormat="1" x14ac:dyDescent="0.25">
      <c r="A8671" s="369"/>
      <c r="E8671" s="396"/>
      <c r="F8671" s="396"/>
      <c r="G8671" s="396"/>
      <c r="K8671" s="370"/>
      <c r="N8671" s="370"/>
    </row>
    <row r="8672" spans="1:14" s="347" customFormat="1" x14ac:dyDescent="0.25">
      <c r="A8672" s="369"/>
      <c r="E8672" s="396"/>
      <c r="F8672" s="396"/>
      <c r="G8672" s="396"/>
      <c r="K8672" s="370"/>
      <c r="N8672" s="370"/>
    </row>
    <row r="8673" spans="1:14" s="347" customFormat="1" x14ac:dyDescent="0.25">
      <c r="A8673" s="369"/>
      <c r="E8673" s="396"/>
      <c r="F8673" s="396"/>
      <c r="G8673" s="396"/>
      <c r="K8673" s="370"/>
      <c r="N8673" s="370"/>
    </row>
    <row r="8674" spans="1:14" s="347" customFormat="1" x14ac:dyDescent="0.25">
      <c r="A8674" s="369"/>
      <c r="E8674" s="396"/>
      <c r="F8674" s="396"/>
      <c r="G8674" s="396"/>
      <c r="K8674" s="370"/>
      <c r="N8674" s="370"/>
    </row>
    <row r="8675" spans="1:14" s="347" customFormat="1" x14ac:dyDescent="0.25">
      <c r="A8675" s="369"/>
      <c r="E8675" s="396"/>
      <c r="F8675" s="396"/>
      <c r="G8675" s="396"/>
      <c r="K8675" s="370"/>
      <c r="N8675" s="370"/>
    </row>
    <row r="8676" spans="1:14" s="347" customFormat="1" x14ac:dyDescent="0.25">
      <c r="A8676" s="369"/>
      <c r="E8676" s="396"/>
      <c r="F8676" s="396"/>
      <c r="G8676" s="396"/>
      <c r="K8676" s="370"/>
      <c r="N8676" s="370"/>
    </row>
    <row r="8677" spans="1:14" s="347" customFormat="1" x14ac:dyDescent="0.25">
      <c r="A8677" s="369"/>
      <c r="E8677" s="396"/>
      <c r="F8677" s="396"/>
      <c r="G8677" s="396"/>
      <c r="K8677" s="370"/>
      <c r="N8677" s="370"/>
    </row>
    <row r="8678" spans="1:14" s="347" customFormat="1" x14ac:dyDescent="0.25">
      <c r="A8678" s="369"/>
      <c r="E8678" s="396"/>
      <c r="F8678" s="396"/>
      <c r="G8678" s="396"/>
      <c r="K8678" s="370"/>
      <c r="N8678" s="370"/>
    </row>
    <row r="8679" spans="1:14" s="347" customFormat="1" x14ac:dyDescent="0.25">
      <c r="A8679" s="369"/>
      <c r="E8679" s="396"/>
      <c r="F8679" s="396"/>
      <c r="G8679" s="396"/>
      <c r="K8679" s="370"/>
      <c r="N8679" s="370"/>
    </row>
    <row r="8680" spans="1:14" s="347" customFormat="1" x14ac:dyDescent="0.25">
      <c r="A8680" s="369"/>
      <c r="E8680" s="396"/>
      <c r="F8680" s="396"/>
      <c r="G8680" s="396"/>
      <c r="K8680" s="370"/>
      <c r="N8680" s="370"/>
    </row>
    <row r="8681" spans="1:14" s="347" customFormat="1" x14ac:dyDescent="0.25">
      <c r="A8681" s="369"/>
      <c r="E8681" s="396"/>
      <c r="F8681" s="396"/>
      <c r="G8681" s="396"/>
      <c r="K8681" s="370"/>
      <c r="N8681" s="370"/>
    </row>
    <row r="8682" spans="1:14" s="347" customFormat="1" x14ac:dyDescent="0.25">
      <c r="A8682" s="369"/>
      <c r="E8682" s="396"/>
      <c r="F8682" s="396"/>
      <c r="G8682" s="396"/>
      <c r="K8682" s="370"/>
      <c r="N8682" s="370"/>
    </row>
    <row r="8683" spans="1:14" s="347" customFormat="1" x14ac:dyDescent="0.25">
      <c r="A8683" s="369"/>
      <c r="E8683" s="396"/>
      <c r="F8683" s="396"/>
      <c r="G8683" s="396"/>
      <c r="K8683" s="370"/>
      <c r="N8683" s="370"/>
    </row>
    <row r="8684" spans="1:14" s="347" customFormat="1" x14ac:dyDescent="0.25">
      <c r="A8684" s="369"/>
      <c r="E8684" s="396"/>
      <c r="F8684" s="396"/>
      <c r="G8684" s="396"/>
      <c r="K8684" s="370"/>
      <c r="N8684" s="370"/>
    </row>
    <row r="8685" spans="1:14" s="347" customFormat="1" x14ac:dyDescent="0.25">
      <c r="A8685" s="369"/>
      <c r="E8685" s="396"/>
      <c r="F8685" s="396"/>
      <c r="G8685" s="396"/>
      <c r="K8685" s="370"/>
      <c r="N8685" s="370"/>
    </row>
    <row r="8686" spans="1:14" s="347" customFormat="1" x14ac:dyDescent="0.25">
      <c r="A8686" s="369"/>
      <c r="E8686" s="396"/>
      <c r="F8686" s="396"/>
      <c r="G8686" s="396"/>
      <c r="K8686" s="370"/>
      <c r="N8686" s="370"/>
    </row>
    <row r="8687" spans="1:14" s="347" customFormat="1" x14ac:dyDescent="0.25">
      <c r="A8687" s="369"/>
      <c r="E8687" s="396"/>
      <c r="F8687" s="396"/>
      <c r="G8687" s="396"/>
      <c r="K8687" s="370"/>
      <c r="N8687" s="370"/>
    </row>
    <row r="8688" spans="1:14" s="347" customFormat="1" x14ac:dyDescent="0.25">
      <c r="A8688" s="369"/>
      <c r="E8688" s="396"/>
      <c r="F8688" s="396"/>
      <c r="G8688" s="396"/>
      <c r="K8688" s="370"/>
      <c r="N8688" s="370"/>
    </row>
    <row r="8689" spans="1:14" s="347" customFormat="1" x14ac:dyDescent="0.25">
      <c r="A8689" s="369"/>
      <c r="E8689" s="396"/>
      <c r="F8689" s="396"/>
      <c r="G8689" s="396"/>
      <c r="K8689" s="370"/>
      <c r="N8689" s="370"/>
    </row>
    <row r="8690" spans="1:14" s="347" customFormat="1" x14ac:dyDescent="0.25">
      <c r="A8690" s="369"/>
      <c r="E8690" s="396"/>
      <c r="F8690" s="396"/>
      <c r="G8690" s="396"/>
      <c r="K8690" s="370"/>
      <c r="N8690" s="370"/>
    </row>
    <row r="8691" spans="1:14" s="347" customFormat="1" x14ac:dyDescent="0.25">
      <c r="A8691" s="369"/>
      <c r="E8691" s="396"/>
      <c r="F8691" s="396"/>
      <c r="G8691" s="396"/>
      <c r="K8691" s="370"/>
      <c r="N8691" s="370"/>
    </row>
    <row r="8692" spans="1:14" s="347" customFormat="1" x14ac:dyDescent="0.25">
      <c r="A8692" s="369"/>
      <c r="E8692" s="396"/>
      <c r="F8692" s="396"/>
      <c r="G8692" s="396"/>
      <c r="K8692" s="370"/>
      <c r="N8692" s="370"/>
    </row>
    <row r="8693" spans="1:14" s="347" customFormat="1" x14ac:dyDescent="0.25">
      <c r="A8693" s="369"/>
      <c r="E8693" s="396"/>
      <c r="F8693" s="396"/>
      <c r="G8693" s="396"/>
      <c r="K8693" s="370"/>
      <c r="N8693" s="370"/>
    </row>
    <row r="8694" spans="1:14" s="347" customFormat="1" x14ac:dyDescent="0.25">
      <c r="A8694" s="369"/>
      <c r="E8694" s="396"/>
      <c r="F8694" s="396"/>
      <c r="G8694" s="396"/>
      <c r="K8694" s="370"/>
      <c r="N8694" s="370"/>
    </row>
    <row r="8695" spans="1:14" s="347" customFormat="1" x14ac:dyDescent="0.25">
      <c r="A8695" s="369"/>
      <c r="E8695" s="396"/>
      <c r="F8695" s="396"/>
      <c r="G8695" s="396"/>
      <c r="K8695" s="370"/>
      <c r="N8695" s="370"/>
    </row>
    <row r="8696" spans="1:14" s="347" customFormat="1" x14ac:dyDescent="0.25">
      <c r="A8696" s="369"/>
      <c r="E8696" s="396"/>
      <c r="F8696" s="396"/>
      <c r="G8696" s="396"/>
      <c r="K8696" s="370"/>
      <c r="N8696" s="370"/>
    </row>
    <row r="8697" spans="1:14" s="347" customFormat="1" x14ac:dyDescent="0.25">
      <c r="A8697" s="369"/>
      <c r="E8697" s="396"/>
      <c r="F8697" s="396"/>
      <c r="G8697" s="396"/>
      <c r="K8697" s="370"/>
      <c r="N8697" s="370"/>
    </row>
    <row r="8698" spans="1:14" s="347" customFormat="1" x14ac:dyDescent="0.25">
      <c r="A8698" s="369"/>
      <c r="E8698" s="396"/>
      <c r="F8698" s="396"/>
      <c r="G8698" s="396"/>
      <c r="K8698" s="370"/>
      <c r="N8698" s="370"/>
    </row>
    <row r="8699" spans="1:14" s="347" customFormat="1" x14ac:dyDescent="0.25">
      <c r="A8699" s="369"/>
      <c r="E8699" s="396"/>
      <c r="F8699" s="396"/>
      <c r="G8699" s="396"/>
      <c r="K8699" s="370"/>
      <c r="N8699" s="370"/>
    </row>
    <row r="8700" spans="1:14" s="347" customFormat="1" x14ac:dyDescent="0.25">
      <c r="A8700" s="369"/>
      <c r="E8700" s="396"/>
      <c r="F8700" s="396"/>
      <c r="G8700" s="396"/>
      <c r="K8700" s="370"/>
      <c r="N8700" s="370"/>
    </row>
    <row r="8701" spans="1:14" s="347" customFormat="1" x14ac:dyDescent="0.25">
      <c r="A8701" s="369"/>
      <c r="E8701" s="396"/>
      <c r="F8701" s="396"/>
      <c r="G8701" s="396"/>
      <c r="K8701" s="370"/>
      <c r="N8701" s="370"/>
    </row>
    <row r="8702" spans="1:14" s="347" customFormat="1" x14ac:dyDescent="0.25">
      <c r="A8702" s="369"/>
      <c r="E8702" s="396"/>
      <c r="F8702" s="396"/>
      <c r="G8702" s="396"/>
      <c r="K8702" s="370"/>
      <c r="N8702" s="370"/>
    </row>
    <row r="8703" spans="1:14" s="347" customFormat="1" x14ac:dyDescent="0.25">
      <c r="A8703" s="369"/>
      <c r="E8703" s="396"/>
      <c r="F8703" s="396"/>
      <c r="G8703" s="396"/>
      <c r="K8703" s="370"/>
      <c r="N8703" s="370"/>
    </row>
    <row r="8704" spans="1:14" s="347" customFormat="1" x14ac:dyDescent="0.25">
      <c r="A8704" s="369"/>
      <c r="E8704" s="396"/>
      <c r="F8704" s="396"/>
      <c r="G8704" s="396"/>
      <c r="K8704" s="370"/>
      <c r="N8704" s="370"/>
    </row>
    <row r="8705" spans="1:14" s="347" customFormat="1" x14ac:dyDescent="0.25">
      <c r="A8705" s="369"/>
      <c r="E8705" s="396"/>
      <c r="F8705" s="396"/>
      <c r="G8705" s="396"/>
      <c r="K8705" s="370"/>
      <c r="N8705" s="370"/>
    </row>
    <row r="8706" spans="1:14" s="347" customFormat="1" x14ac:dyDescent="0.25">
      <c r="A8706" s="369"/>
      <c r="E8706" s="396"/>
      <c r="F8706" s="396"/>
      <c r="G8706" s="396"/>
      <c r="K8706" s="370"/>
      <c r="N8706" s="370"/>
    </row>
    <row r="8707" spans="1:14" s="347" customFormat="1" x14ac:dyDescent="0.25">
      <c r="A8707" s="369"/>
      <c r="E8707" s="396"/>
      <c r="F8707" s="396"/>
      <c r="G8707" s="396"/>
      <c r="K8707" s="370"/>
      <c r="N8707" s="370"/>
    </row>
    <row r="8708" spans="1:14" s="347" customFormat="1" x14ac:dyDescent="0.25">
      <c r="A8708" s="369"/>
      <c r="E8708" s="396"/>
      <c r="F8708" s="396"/>
      <c r="G8708" s="396"/>
      <c r="K8708" s="370"/>
      <c r="N8708" s="370"/>
    </row>
    <row r="8709" spans="1:14" s="347" customFormat="1" x14ac:dyDescent="0.25">
      <c r="A8709" s="369"/>
      <c r="E8709" s="396"/>
      <c r="F8709" s="396"/>
      <c r="G8709" s="396"/>
      <c r="K8709" s="370"/>
      <c r="N8709" s="370"/>
    </row>
    <row r="8710" spans="1:14" s="347" customFormat="1" x14ac:dyDescent="0.25">
      <c r="A8710" s="369"/>
      <c r="E8710" s="396"/>
      <c r="F8710" s="396"/>
      <c r="G8710" s="396"/>
      <c r="K8710" s="370"/>
      <c r="N8710" s="370"/>
    </row>
    <row r="8711" spans="1:14" s="347" customFormat="1" x14ac:dyDescent="0.25">
      <c r="A8711" s="369"/>
      <c r="E8711" s="396"/>
      <c r="F8711" s="396"/>
      <c r="G8711" s="396"/>
      <c r="K8711" s="370"/>
      <c r="N8711" s="370"/>
    </row>
    <row r="8712" spans="1:14" s="347" customFormat="1" x14ac:dyDescent="0.25">
      <c r="A8712" s="369"/>
      <c r="E8712" s="396"/>
      <c r="F8712" s="396"/>
      <c r="G8712" s="396"/>
      <c r="K8712" s="370"/>
      <c r="N8712" s="370"/>
    </row>
    <row r="8713" spans="1:14" s="347" customFormat="1" x14ac:dyDescent="0.25">
      <c r="A8713" s="369"/>
      <c r="E8713" s="396"/>
      <c r="F8713" s="396"/>
      <c r="G8713" s="396"/>
      <c r="K8713" s="370"/>
      <c r="N8713" s="370"/>
    </row>
    <row r="8714" spans="1:14" s="347" customFormat="1" x14ac:dyDescent="0.25">
      <c r="A8714" s="369"/>
      <c r="E8714" s="396"/>
      <c r="F8714" s="396"/>
      <c r="G8714" s="396"/>
      <c r="K8714" s="370"/>
      <c r="N8714" s="370"/>
    </row>
    <row r="8715" spans="1:14" s="347" customFormat="1" x14ac:dyDescent="0.25">
      <c r="A8715" s="369"/>
      <c r="E8715" s="396"/>
      <c r="F8715" s="396"/>
      <c r="G8715" s="396"/>
      <c r="K8715" s="370"/>
      <c r="N8715" s="370"/>
    </row>
    <row r="8716" spans="1:14" s="347" customFormat="1" x14ac:dyDescent="0.25">
      <c r="A8716" s="369"/>
      <c r="E8716" s="396"/>
      <c r="F8716" s="396"/>
      <c r="G8716" s="396"/>
      <c r="K8716" s="370"/>
      <c r="N8716" s="370"/>
    </row>
    <row r="8717" spans="1:14" s="347" customFormat="1" x14ac:dyDescent="0.25">
      <c r="A8717" s="369"/>
      <c r="E8717" s="396"/>
      <c r="F8717" s="396"/>
      <c r="G8717" s="396"/>
      <c r="K8717" s="370"/>
      <c r="N8717" s="370"/>
    </row>
    <row r="8718" spans="1:14" s="347" customFormat="1" x14ac:dyDescent="0.25">
      <c r="A8718" s="369"/>
      <c r="E8718" s="396"/>
      <c r="F8718" s="396"/>
      <c r="G8718" s="396"/>
      <c r="K8718" s="370"/>
      <c r="N8718" s="370"/>
    </row>
    <row r="8719" spans="1:14" s="347" customFormat="1" x14ac:dyDescent="0.25">
      <c r="A8719" s="369"/>
      <c r="E8719" s="396"/>
      <c r="F8719" s="396"/>
      <c r="G8719" s="396"/>
      <c r="K8719" s="370"/>
      <c r="N8719" s="370"/>
    </row>
    <row r="8720" spans="1:14" s="347" customFormat="1" x14ac:dyDescent="0.25">
      <c r="A8720" s="369"/>
      <c r="E8720" s="396"/>
      <c r="F8720" s="396"/>
      <c r="G8720" s="396"/>
      <c r="K8720" s="370"/>
      <c r="N8720" s="370"/>
    </row>
    <row r="8721" spans="1:14" s="347" customFormat="1" x14ac:dyDescent="0.25">
      <c r="A8721" s="369"/>
      <c r="E8721" s="396"/>
      <c r="F8721" s="396"/>
      <c r="G8721" s="396"/>
      <c r="K8721" s="370"/>
      <c r="N8721" s="370"/>
    </row>
    <row r="8722" spans="1:14" s="347" customFormat="1" x14ac:dyDescent="0.25">
      <c r="A8722" s="369"/>
      <c r="E8722" s="396"/>
      <c r="F8722" s="396"/>
      <c r="G8722" s="396"/>
      <c r="K8722" s="370"/>
      <c r="N8722" s="370"/>
    </row>
    <row r="8723" spans="1:14" s="347" customFormat="1" x14ac:dyDescent="0.25">
      <c r="A8723" s="369"/>
      <c r="E8723" s="396"/>
      <c r="F8723" s="396"/>
      <c r="G8723" s="396"/>
      <c r="K8723" s="370"/>
      <c r="N8723" s="370"/>
    </row>
    <row r="8724" spans="1:14" s="347" customFormat="1" x14ac:dyDescent="0.25">
      <c r="A8724" s="369"/>
      <c r="E8724" s="396"/>
      <c r="F8724" s="396"/>
      <c r="G8724" s="396"/>
      <c r="K8724" s="370"/>
      <c r="N8724" s="370"/>
    </row>
    <row r="8725" spans="1:14" s="347" customFormat="1" x14ac:dyDescent="0.25">
      <c r="A8725" s="369"/>
      <c r="E8725" s="396"/>
      <c r="F8725" s="396"/>
      <c r="G8725" s="396"/>
      <c r="K8725" s="370"/>
      <c r="N8725" s="370"/>
    </row>
    <row r="8726" spans="1:14" s="347" customFormat="1" x14ac:dyDescent="0.25">
      <c r="A8726" s="369"/>
      <c r="E8726" s="396"/>
      <c r="F8726" s="396"/>
      <c r="G8726" s="396"/>
      <c r="K8726" s="370"/>
      <c r="N8726" s="370"/>
    </row>
    <row r="8727" spans="1:14" s="347" customFormat="1" x14ac:dyDescent="0.25">
      <c r="A8727" s="369"/>
      <c r="E8727" s="396"/>
      <c r="F8727" s="396"/>
      <c r="G8727" s="396"/>
      <c r="K8727" s="370"/>
      <c r="N8727" s="370"/>
    </row>
    <row r="8728" spans="1:14" s="347" customFormat="1" x14ac:dyDescent="0.25">
      <c r="A8728" s="369"/>
      <c r="E8728" s="396"/>
      <c r="F8728" s="396"/>
      <c r="G8728" s="396"/>
      <c r="K8728" s="370"/>
      <c r="N8728" s="370"/>
    </row>
    <row r="8729" spans="1:14" s="347" customFormat="1" x14ac:dyDescent="0.25">
      <c r="A8729" s="369"/>
      <c r="E8729" s="396"/>
      <c r="F8729" s="396"/>
      <c r="G8729" s="396"/>
      <c r="K8729" s="370"/>
      <c r="N8729" s="370"/>
    </row>
    <row r="8730" spans="1:14" s="347" customFormat="1" x14ac:dyDescent="0.25">
      <c r="A8730" s="369"/>
      <c r="E8730" s="396"/>
      <c r="F8730" s="396"/>
      <c r="G8730" s="396"/>
      <c r="K8730" s="370"/>
      <c r="N8730" s="370"/>
    </row>
    <row r="8731" spans="1:14" s="347" customFormat="1" x14ac:dyDescent="0.25">
      <c r="A8731" s="369"/>
      <c r="E8731" s="396"/>
      <c r="F8731" s="396"/>
      <c r="G8731" s="396"/>
      <c r="K8731" s="370"/>
      <c r="N8731" s="370"/>
    </row>
    <row r="8732" spans="1:14" s="347" customFormat="1" x14ac:dyDescent="0.25">
      <c r="A8732" s="369"/>
      <c r="E8732" s="396"/>
      <c r="F8732" s="396"/>
      <c r="G8732" s="396"/>
      <c r="K8732" s="370"/>
      <c r="N8732" s="370"/>
    </row>
    <row r="8733" spans="1:14" s="347" customFormat="1" x14ac:dyDescent="0.25">
      <c r="A8733" s="369"/>
      <c r="E8733" s="396"/>
      <c r="F8733" s="396"/>
      <c r="G8733" s="396"/>
      <c r="K8733" s="370"/>
      <c r="N8733" s="370"/>
    </row>
    <row r="8734" spans="1:14" s="347" customFormat="1" x14ac:dyDescent="0.25">
      <c r="A8734" s="369"/>
      <c r="E8734" s="396"/>
      <c r="F8734" s="396"/>
      <c r="G8734" s="396"/>
      <c r="K8734" s="370"/>
      <c r="N8734" s="370"/>
    </row>
    <row r="8735" spans="1:14" s="347" customFormat="1" x14ac:dyDescent="0.25">
      <c r="A8735" s="369"/>
      <c r="E8735" s="396"/>
      <c r="F8735" s="396"/>
      <c r="G8735" s="396"/>
      <c r="K8735" s="370"/>
      <c r="N8735" s="370"/>
    </row>
    <row r="8736" spans="1:14" s="347" customFormat="1" x14ac:dyDescent="0.25">
      <c r="A8736" s="369"/>
      <c r="E8736" s="396"/>
      <c r="F8736" s="396"/>
      <c r="G8736" s="396"/>
      <c r="K8736" s="370"/>
      <c r="N8736" s="370"/>
    </row>
    <row r="8737" spans="1:14" s="347" customFormat="1" x14ac:dyDescent="0.25">
      <c r="A8737" s="369"/>
      <c r="E8737" s="396"/>
      <c r="F8737" s="396"/>
      <c r="G8737" s="396"/>
      <c r="K8737" s="370"/>
      <c r="N8737" s="370"/>
    </row>
    <row r="8738" spans="1:14" s="347" customFormat="1" x14ac:dyDescent="0.25">
      <c r="A8738" s="369"/>
      <c r="E8738" s="396"/>
      <c r="F8738" s="396"/>
      <c r="G8738" s="396"/>
      <c r="K8738" s="370"/>
      <c r="N8738" s="370"/>
    </row>
    <row r="8739" spans="1:14" s="347" customFormat="1" x14ac:dyDescent="0.25">
      <c r="A8739" s="369"/>
      <c r="E8739" s="396"/>
      <c r="F8739" s="396"/>
      <c r="G8739" s="396"/>
      <c r="K8739" s="370"/>
      <c r="N8739" s="370"/>
    </row>
    <row r="8740" spans="1:14" s="347" customFormat="1" x14ac:dyDescent="0.25">
      <c r="A8740" s="369"/>
      <c r="E8740" s="396"/>
      <c r="F8740" s="396"/>
      <c r="G8740" s="396"/>
      <c r="K8740" s="370"/>
      <c r="N8740" s="370"/>
    </row>
    <row r="8741" spans="1:14" s="347" customFormat="1" x14ac:dyDescent="0.25">
      <c r="A8741" s="369"/>
      <c r="E8741" s="396"/>
      <c r="F8741" s="396"/>
      <c r="G8741" s="396"/>
      <c r="K8741" s="370"/>
      <c r="N8741" s="370"/>
    </row>
    <row r="8742" spans="1:14" s="347" customFormat="1" x14ac:dyDescent="0.25">
      <c r="A8742" s="369"/>
      <c r="E8742" s="396"/>
      <c r="F8742" s="396"/>
      <c r="G8742" s="396"/>
      <c r="K8742" s="370"/>
      <c r="N8742" s="370"/>
    </row>
    <row r="8743" spans="1:14" s="347" customFormat="1" x14ac:dyDescent="0.25">
      <c r="A8743" s="369"/>
      <c r="E8743" s="396"/>
      <c r="F8743" s="396"/>
      <c r="G8743" s="396"/>
      <c r="K8743" s="370"/>
      <c r="N8743" s="370"/>
    </row>
    <row r="8744" spans="1:14" s="347" customFormat="1" x14ac:dyDescent="0.25">
      <c r="A8744" s="369"/>
      <c r="E8744" s="396"/>
      <c r="F8744" s="396"/>
      <c r="G8744" s="396"/>
      <c r="K8744" s="370"/>
      <c r="N8744" s="370"/>
    </row>
    <row r="8745" spans="1:14" s="347" customFormat="1" x14ac:dyDescent="0.25">
      <c r="A8745" s="369"/>
      <c r="E8745" s="396"/>
      <c r="F8745" s="396"/>
      <c r="G8745" s="396"/>
      <c r="K8745" s="370"/>
      <c r="N8745" s="370"/>
    </row>
    <row r="8746" spans="1:14" s="347" customFormat="1" x14ac:dyDescent="0.25">
      <c r="A8746" s="369"/>
      <c r="E8746" s="396"/>
      <c r="F8746" s="396"/>
      <c r="G8746" s="396"/>
      <c r="K8746" s="370"/>
      <c r="N8746" s="370"/>
    </row>
    <row r="8747" spans="1:14" s="347" customFormat="1" x14ac:dyDescent="0.25">
      <c r="A8747" s="369"/>
      <c r="E8747" s="396"/>
      <c r="F8747" s="396"/>
      <c r="G8747" s="396"/>
      <c r="K8747" s="370"/>
      <c r="N8747" s="370"/>
    </row>
    <row r="8748" spans="1:14" s="347" customFormat="1" x14ac:dyDescent="0.25">
      <c r="A8748" s="369"/>
      <c r="E8748" s="396"/>
      <c r="F8748" s="396"/>
      <c r="G8748" s="396"/>
      <c r="K8748" s="370"/>
      <c r="N8748" s="370"/>
    </row>
    <row r="8749" spans="1:14" s="347" customFormat="1" x14ac:dyDescent="0.25">
      <c r="A8749" s="369"/>
      <c r="E8749" s="396"/>
      <c r="F8749" s="396"/>
      <c r="G8749" s="396"/>
      <c r="K8749" s="370"/>
      <c r="N8749" s="370"/>
    </row>
    <row r="8750" spans="1:14" s="347" customFormat="1" x14ac:dyDescent="0.25">
      <c r="A8750" s="369"/>
      <c r="E8750" s="396"/>
      <c r="F8750" s="396"/>
      <c r="G8750" s="396"/>
      <c r="K8750" s="370"/>
      <c r="N8750" s="370"/>
    </row>
    <row r="8751" spans="1:14" s="347" customFormat="1" x14ac:dyDescent="0.25">
      <c r="A8751" s="369"/>
      <c r="E8751" s="396"/>
      <c r="F8751" s="396"/>
      <c r="G8751" s="396"/>
      <c r="K8751" s="370"/>
      <c r="N8751" s="370"/>
    </row>
    <row r="8752" spans="1:14" s="347" customFormat="1" x14ac:dyDescent="0.25">
      <c r="A8752" s="369"/>
      <c r="E8752" s="396"/>
      <c r="F8752" s="396"/>
      <c r="G8752" s="396"/>
      <c r="K8752" s="370"/>
      <c r="N8752" s="370"/>
    </row>
    <row r="8753" spans="1:14" s="347" customFormat="1" x14ac:dyDescent="0.25">
      <c r="A8753" s="369"/>
      <c r="E8753" s="396"/>
      <c r="F8753" s="396"/>
      <c r="G8753" s="396"/>
      <c r="K8753" s="370"/>
      <c r="N8753" s="370"/>
    </row>
    <row r="8754" spans="1:14" s="347" customFormat="1" x14ac:dyDescent="0.25">
      <c r="A8754" s="369"/>
      <c r="E8754" s="396"/>
      <c r="F8754" s="396"/>
      <c r="G8754" s="396"/>
      <c r="K8754" s="370"/>
      <c r="N8754" s="370"/>
    </row>
    <row r="8755" spans="1:14" s="347" customFormat="1" x14ac:dyDescent="0.25">
      <c r="A8755" s="369"/>
      <c r="E8755" s="396"/>
      <c r="F8755" s="396"/>
      <c r="G8755" s="396"/>
      <c r="K8755" s="370"/>
      <c r="N8755" s="370"/>
    </row>
    <row r="8756" spans="1:14" s="347" customFormat="1" x14ac:dyDescent="0.25">
      <c r="A8756" s="369"/>
      <c r="E8756" s="396"/>
      <c r="F8756" s="396"/>
      <c r="G8756" s="396"/>
      <c r="K8756" s="370"/>
      <c r="N8756" s="370"/>
    </row>
    <row r="8757" spans="1:14" s="347" customFormat="1" x14ac:dyDescent="0.25">
      <c r="A8757" s="369"/>
      <c r="E8757" s="396"/>
      <c r="F8757" s="396"/>
      <c r="G8757" s="396"/>
      <c r="K8757" s="370"/>
      <c r="N8757" s="370"/>
    </row>
    <row r="8758" spans="1:14" s="347" customFormat="1" x14ac:dyDescent="0.25">
      <c r="A8758" s="369"/>
      <c r="E8758" s="396"/>
      <c r="F8758" s="396"/>
      <c r="G8758" s="396"/>
      <c r="K8758" s="370"/>
      <c r="N8758" s="370"/>
    </row>
    <row r="8759" spans="1:14" s="347" customFormat="1" x14ac:dyDescent="0.25">
      <c r="A8759" s="369"/>
      <c r="E8759" s="396"/>
      <c r="F8759" s="396"/>
      <c r="G8759" s="396"/>
      <c r="K8759" s="370"/>
      <c r="N8759" s="370"/>
    </row>
    <row r="8760" spans="1:14" s="347" customFormat="1" x14ac:dyDescent="0.25">
      <c r="A8760" s="369"/>
      <c r="E8760" s="396"/>
      <c r="F8760" s="396"/>
      <c r="G8760" s="396"/>
      <c r="K8760" s="370"/>
      <c r="N8760" s="370"/>
    </row>
    <row r="8761" spans="1:14" s="347" customFormat="1" x14ac:dyDescent="0.25">
      <c r="A8761" s="369"/>
      <c r="E8761" s="396"/>
      <c r="F8761" s="396"/>
      <c r="G8761" s="396"/>
      <c r="K8761" s="370"/>
      <c r="N8761" s="370"/>
    </row>
    <row r="8762" spans="1:14" s="347" customFormat="1" x14ac:dyDescent="0.25">
      <c r="A8762" s="369"/>
      <c r="E8762" s="396"/>
      <c r="F8762" s="396"/>
      <c r="G8762" s="396"/>
      <c r="K8762" s="370"/>
      <c r="N8762" s="370"/>
    </row>
    <row r="8763" spans="1:14" s="347" customFormat="1" x14ac:dyDescent="0.25">
      <c r="A8763" s="369"/>
      <c r="E8763" s="396"/>
      <c r="F8763" s="396"/>
      <c r="G8763" s="396"/>
      <c r="K8763" s="370"/>
      <c r="N8763" s="370"/>
    </row>
    <row r="8764" spans="1:14" s="347" customFormat="1" x14ac:dyDescent="0.25">
      <c r="A8764" s="369"/>
      <c r="E8764" s="396"/>
      <c r="F8764" s="396"/>
      <c r="G8764" s="396"/>
      <c r="K8764" s="370"/>
      <c r="N8764" s="370"/>
    </row>
    <row r="8765" spans="1:14" s="347" customFormat="1" x14ac:dyDescent="0.25">
      <c r="A8765" s="369"/>
      <c r="E8765" s="396"/>
      <c r="F8765" s="396"/>
      <c r="G8765" s="396"/>
      <c r="K8765" s="370"/>
      <c r="N8765" s="370"/>
    </row>
    <row r="8766" spans="1:14" s="347" customFormat="1" x14ac:dyDescent="0.25">
      <c r="A8766" s="369"/>
      <c r="E8766" s="396"/>
      <c r="F8766" s="396"/>
      <c r="G8766" s="396"/>
      <c r="K8766" s="370"/>
      <c r="N8766" s="370"/>
    </row>
    <row r="8767" spans="1:14" s="347" customFormat="1" x14ac:dyDescent="0.25">
      <c r="A8767" s="369"/>
      <c r="E8767" s="396"/>
      <c r="F8767" s="396"/>
      <c r="G8767" s="396"/>
      <c r="K8767" s="370"/>
      <c r="N8767" s="370"/>
    </row>
    <row r="8768" spans="1:14" s="347" customFormat="1" x14ac:dyDescent="0.25">
      <c r="A8768" s="369"/>
      <c r="E8768" s="396"/>
      <c r="F8768" s="396"/>
      <c r="G8768" s="396"/>
      <c r="K8768" s="370"/>
      <c r="N8768" s="370"/>
    </row>
    <row r="8769" spans="1:14" s="347" customFormat="1" x14ac:dyDescent="0.25">
      <c r="A8769" s="369"/>
      <c r="E8769" s="396"/>
      <c r="F8769" s="396"/>
      <c r="G8769" s="396"/>
      <c r="K8769" s="370"/>
      <c r="N8769" s="370"/>
    </row>
    <row r="8770" spans="1:14" s="347" customFormat="1" x14ac:dyDescent="0.25">
      <c r="A8770" s="369"/>
      <c r="E8770" s="396"/>
      <c r="F8770" s="396"/>
      <c r="G8770" s="396"/>
      <c r="K8770" s="370"/>
      <c r="N8770" s="370"/>
    </row>
    <row r="8771" spans="1:14" s="347" customFormat="1" x14ac:dyDescent="0.25">
      <c r="A8771" s="369"/>
      <c r="E8771" s="396"/>
      <c r="F8771" s="396"/>
      <c r="G8771" s="396"/>
      <c r="K8771" s="370"/>
      <c r="N8771" s="370"/>
    </row>
    <row r="8772" spans="1:14" s="347" customFormat="1" x14ac:dyDescent="0.25">
      <c r="A8772" s="369"/>
      <c r="E8772" s="396"/>
      <c r="F8772" s="396"/>
      <c r="G8772" s="396"/>
      <c r="K8772" s="370"/>
      <c r="N8772" s="370"/>
    </row>
    <row r="8773" spans="1:14" s="347" customFormat="1" x14ac:dyDescent="0.25">
      <c r="A8773" s="369"/>
      <c r="E8773" s="396"/>
      <c r="F8773" s="396"/>
      <c r="G8773" s="396"/>
      <c r="K8773" s="370"/>
      <c r="N8773" s="370"/>
    </row>
    <row r="8774" spans="1:14" s="347" customFormat="1" x14ac:dyDescent="0.25">
      <c r="A8774" s="369"/>
      <c r="E8774" s="396"/>
      <c r="F8774" s="396"/>
      <c r="G8774" s="396"/>
      <c r="K8774" s="370"/>
      <c r="N8774" s="370"/>
    </row>
    <row r="8775" spans="1:14" s="347" customFormat="1" x14ac:dyDescent="0.25">
      <c r="A8775" s="369"/>
      <c r="E8775" s="396"/>
      <c r="F8775" s="396"/>
      <c r="G8775" s="396"/>
      <c r="K8775" s="370"/>
      <c r="N8775" s="370"/>
    </row>
    <row r="8776" spans="1:14" s="347" customFormat="1" x14ac:dyDescent="0.25">
      <c r="A8776" s="369"/>
      <c r="E8776" s="396"/>
      <c r="F8776" s="396"/>
      <c r="G8776" s="396"/>
      <c r="K8776" s="370"/>
      <c r="N8776" s="370"/>
    </row>
    <row r="8777" spans="1:14" s="347" customFormat="1" x14ac:dyDescent="0.25">
      <c r="A8777" s="369"/>
      <c r="E8777" s="396"/>
      <c r="F8777" s="396"/>
      <c r="G8777" s="396"/>
      <c r="K8777" s="370"/>
      <c r="N8777" s="370"/>
    </row>
    <row r="8778" spans="1:14" s="347" customFormat="1" x14ac:dyDescent="0.25">
      <c r="A8778" s="369"/>
      <c r="E8778" s="396"/>
      <c r="F8778" s="396"/>
      <c r="G8778" s="396"/>
      <c r="K8778" s="370"/>
      <c r="N8778" s="370"/>
    </row>
    <row r="8779" spans="1:14" s="347" customFormat="1" x14ac:dyDescent="0.25">
      <c r="A8779" s="369"/>
      <c r="E8779" s="396"/>
      <c r="F8779" s="396"/>
      <c r="G8779" s="396"/>
      <c r="K8779" s="370"/>
      <c r="N8779" s="370"/>
    </row>
    <row r="8780" spans="1:14" s="347" customFormat="1" x14ac:dyDescent="0.25">
      <c r="A8780" s="369"/>
      <c r="E8780" s="396"/>
      <c r="F8780" s="396"/>
      <c r="G8780" s="396"/>
      <c r="K8780" s="370"/>
      <c r="N8780" s="370"/>
    </row>
    <row r="8781" spans="1:14" s="347" customFormat="1" x14ac:dyDescent="0.25">
      <c r="A8781" s="369"/>
      <c r="E8781" s="396"/>
      <c r="F8781" s="396"/>
      <c r="G8781" s="396"/>
      <c r="K8781" s="370"/>
      <c r="N8781" s="370"/>
    </row>
    <row r="8782" spans="1:14" s="347" customFormat="1" x14ac:dyDescent="0.25">
      <c r="A8782" s="369"/>
      <c r="E8782" s="396"/>
      <c r="F8782" s="396"/>
      <c r="G8782" s="396"/>
      <c r="K8782" s="370"/>
      <c r="N8782" s="370"/>
    </row>
    <row r="8783" spans="1:14" s="347" customFormat="1" x14ac:dyDescent="0.25">
      <c r="A8783" s="369"/>
      <c r="E8783" s="396"/>
      <c r="F8783" s="396"/>
      <c r="G8783" s="396"/>
      <c r="K8783" s="370"/>
      <c r="N8783" s="370"/>
    </row>
    <row r="8784" spans="1:14" s="347" customFormat="1" x14ac:dyDescent="0.25">
      <c r="A8784" s="369"/>
      <c r="E8784" s="396"/>
      <c r="F8784" s="396"/>
      <c r="G8784" s="396"/>
      <c r="K8784" s="370"/>
      <c r="N8784" s="370"/>
    </row>
    <row r="8785" spans="1:14" s="347" customFormat="1" x14ac:dyDescent="0.25">
      <c r="A8785" s="369"/>
      <c r="E8785" s="396"/>
      <c r="F8785" s="396"/>
      <c r="G8785" s="396"/>
      <c r="K8785" s="370"/>
      <c r="N8785" s="370"/>
    </row>
    <row r="8786" spans="1:14" s="347" customFormat="1" x14ac:dyDescent="0.25">
      <c r="A8786" s="369"/>
      <c r="E8786" s="396"/>
      <c r="F8786" s="396"/>
      <c r="G8786" s="396"/>
      <c r="K8786" s="370"/>
      <c r="N8786" s="370"/>
    </row>
    <row r="8787" spans="1:14" s="347" customFormat="1" x14ac:dyDescent="0.25">
      <c r="A8787" s="369"/>
      <c r="E8787" s="396"/>
      <c r="F8787" s="396"/>
      <c r="G8787" s="396"/>
      <c r="K8787" s="370"/>
      <c r="N8787" s="370"/>
    </row>
    <row r="8788" spans="1:14" s="347" customFormat="1" x14ac:dyDescent="0.25">
      <c r="A8788" s="369"/>
      <c r="E8788" s="396"/>
      <c r="F8788" s="396"/>
      <c r="G8788" s="396"/>
      <c r="K8788" s="370"/>
      <c r="N8788" s="370"/>
    </row>
    <row r="8789" spans="1:14" s="347" customFormat="1" x14ac:dyDescent="0.25">
      <c r="A8789" s="369"/>
      <c r="E8789" s="396"/>
      <c r="F8789" s="396"/>
      <c r="G8789" s="396"/>
      <c r="K8789" s="370"/>
      <c r="N8789" s="370"/>
    </row>
    <row r="8790" spans="1:14" s="347" customFormat="1" x14ac:dyDescent="0.25">
      <c r="A8790" s="369"/>
      <c r="E8790" s="396"/>
      <c r="F8790" s="396"/>
      <c r="G8790" s="396"/>
      <c r="K8790" s="370"/>
      <c r="N8790" s="370"/>
    </row>
    <row r="8791" spans="1:14" s="347" customFormat="1" x14ac:dyDescent="0.25">
      <c r="A8791" s="369"/>
      <c r="E8791" s="396"/>
      <c r="F8791" s="396"/>
      <c r="G8791" s="396"/>
      <c r="K8791" s="370"/>
      <c r="N8791" s="370"/>
    </row>
    <row r="8792" spans="1:14" s="347" customFormat="1" x14ac:dyDescent="0.25">
      <c r="A8792" s="369"/>
      <c r="E8792" s="396"/>
      <c r="F8792" s="396"/>
      <c r="G8792" s="396"/>
      <c r="K8792" s="370"/>
      <c r="N8792" s="370"/>
    </row>
    <row r="8793" spans="1:14" s="347" customFormat="1" x14ac:dyDescent="0.25">
      <c r="A8793" s="369"/>
      <c r="E8793" s="396"/>
      <c r="F8793" s="396"/>
      <c r="G8793" s="396"/>
      <c r="K8793" s="370"/>
      <c r="N8793" s="370"/>
    </row>
    <row r="8794" spans="1:14" s="347" customFormat="1" x14ac:dyDescent="0.25">
      <c r="A8794" s="369"/>
      <c r="E8794" s="396"/>
      <c r="F8794" s="396"/>
      <c r="G8794" s="396"/>
      <c r="K8794" s="370"/>
      <c r="N8794" s="370"/>
    </row>
    <row r="8795" spans="1:14" s="347" customFormat="1" x14ac:dyDescent="0.25">
      <c r="A8795" s="369"/>
      <c r="E8795" s="396"/>
      <c r="F8795" s="396"/>
      <c r="G8795" s="396"/>
      <c r="K8795" s="370"/>
      <c r="N8795" s="370"/>
    </row>
    <row r="8796" spans="1:14" s="347" customFormat="1" x14ac:dyDescent="0.25">
      <c r="A8796" s="369"/>
      <c r="E8796" s="396"/>
      <c r="F8796" s="396"/>
      <c r="G8796" s="396"/>
      <c r="K8796" s="370"/>
      <c r="N8796" s="370"/>
    </row>
    <row r="8797" spans="1:14" s="347" customFormat="1" x14ac:dyDescent="0.25">
      <c r="A8797" s="369"/>
      <c r="E8797" s="396"/>
      <c r="F8797" s="396"/>
      <c r="G8797" s="396"/>
      <c r="K8797" s="370"/>
      <c r="N8797" s="370"/>
    </row>
    <row r="8798" spans="1:14" s="347" customFormat="1" x14ac:dyDescent="0.25">
      <c r="A8798" s="369"/>
      <c r="E8798" s="396"/>
      <c r="F8798" s="396"/>
      <c r="G8798" s="396"/>
      <c r="K8798" s="370"/>
      <c r="N8798" s="370"/>
    </row>
    <row r="8799" spans="1:14" s="347" customFormat="1" x14ac:dyDescent="0.25">
      <c r="A8799" s="369"/>
      <c r="E8799" s="396"/>
      <c r="F8799" s="396"/>
      <c r="G8799" s="396"/>
      <c r="K8799" s="370"/>
      <c r="N8799" s="370"/>
    </row>
    <row r="8800" spans="1:14" s="347" customFormat="1" x14ac:dyDescent="0.25">
      <c r="A8800" s="369"/>
      <c r="E8800" s="396"/>
      <c r="F8800" s="396"/>
      <c r="G8800" s="396"/>
      <c r="K8800" s="370"/>
      <c r="N8800" s="370"/>
    </row>
    <row r="8801" spans="1:14" s="347" customFormat="1" x14ac:dyDescent="0.25">
      <c r="A8801" s="369"/>
      <c r="E8801" s="396"/>
      <c r="F8801" s="396"/>
      <c r="G8801" s="396"/>
      <c r="K8801" s="370"/>
      <c r="N8801" s="370"/>
    </row>
    <row r="8802" spans="1:14" s="347" customFormat="1" x14ac:dyDescent="0.25">
      <c r="A8802" s="369"/>
      <c r="E8802" s="396"/>
      <c r="F8802" s="396"/>
      <c r="G8802" s="396"/>
      <c r="K8802" s="370"/>
      <c r="N8802" s="370"/>
    </row>
    <row r="8803" spans="1:14" s="347" customFormat="1" x14ac:dyDescent="0.25">
      <c r="A8803" s="369"/>
      <c r="E8803" s="396"/>
      <c r="F8803" s="396"/>
      <c r="G8803" s="396"/>
      <c r="K8803" s="370"/>
      <c r="N8803" s="370"/>
    </row>
    <row r="8804" spans="1:14" s="347" customFormat="1" x14ac:dyDescent="0.25">
      <c r="A8804" s="369"/>
      <c r="E8804" s="396"/>
      <c r="F8804" s="396"/>
      <c r="G8804" s="396"/>
      <c r="K8804" s="370"/>
      <c r="N8804" s="370"/>
    </row>
    <row r="8805" spans="1:14" s="347" customFormat="1" x14ac:dyDescent="0.25">
      <c r="A8805" s="369"/>
      <c r="E8805" s="396"/>
      <c r="F8805" s="396"/>
      <c r="G8805" s="396"/>
      <c r="K8805" s="370"/>
      <c r="N8805" s="370"/>
    </row>
    <row r="8806" spans="1:14" s="347" customFormat="1" x14ac:dyDescent="0.25">
      <c r="A8806" s="369"/>
      <c r="E8806" s="396"/>
      <c r="F8806" s="396"/>
      <c r="G8806" s="396"/>
      <c r="K8806" s="370"/>
      <c r="N8806" s="370"/>
    </row>
    <row r="8807" spans="1:14" s="347" customFormat="1" x14ac:dyDescent="0.25">
      <c r="A8807" s="369"/>
      <c r="E8807" s="396"/>
      <c r="F8807" s="396"/>
      <c r="G8807" s="396"/>
      <c r="K8807" s="370"/>
      <c r="N8807" s="370"/>
    </row>
    <row r="8808" spans="1:14" s="347" customFormat="1" x14ac:dyDescent="0.25">
      <c r="A8808" s="369"/>
      <c r="E8808" s="396"/>
      <c r="F8808" s="396"/>
      <c r="G8808" s="396"/>
      <c r="K8808" s="370"/>
      <c r="N8808" s="370"/>
    </row>
    <row r="8809" spans="1:14" s="347" customFormat="1" x14ac:dyDescent="0.25">
      <c r="A8809" s="369"/>
      <c r="E8809" s="396"/>
      <c r="F8809" s="396"/>
      <c r="G8809" s="396"/>
      <c r="K8809" s="370"/>
      <c r="N8809" s="370"/>
    </row>
    <row r="8810" spans="1:14" s="347" customFormat="1" x14ac:dyDescent="0.25">
      <c r="A8810" s="369"/>
      <c r="E8810" s="396"/>
      <c r="F8810" s="396"/>
      <c r="G8810" s="396"/>
      <c r="K8810" s="370"/>
      <c r="N8810" s="370"/>
    </row>
    <row r="8811" spans="1:14" s="347" customFormat="1" x14ac:dyDescent="0.25">
      <c r="A8811" s="369"/>
      <c r="E8811" s="396"/>
      <c r="F8811" s="396"/>
      <c r="G8811" s="396"/>
      <c r="K8811" s="370"/>
      <c r="N8811" s="370"/>
    </row>
    <row r="8812" spans="1:14" s="347" customFormat="1" x14ac:dyDescent="0.25">
      <c r="A8812" s="369"/>
      <c r="E8812" s="396"/>
      <c r="F8812" s="396"/>
      <c r="G8812" s="396"/>
      <c r="K8812" s="370"/>
      <c r="N8812" s="370"/>
    </row>
    <row r="8813" spans="1:14" s="347" customFormat="1" x14ac:dyDescent="0.25">
      <c r="A8813" s="369"/>
      <c r="E8813" s="396"/>
      <c r="F8813" s="396"/>
      <c r="G8813" s="396"/>
      <c r="K8813" s="370"/>
      <c r="N8813" s="370"/>
    </row>
    <row r="8814" spans="1:14" s="347" customFormat="1" x14ac:dyDescent="0.25">
      <c r="A8814" s="369"/>
      <c r="E8814" s="396"/>
      <c r="F8814" s="396"/>
      <c r="G8814" s="396"/>
      <c r="K8814" s="370"/>
      <c r="N8814" s="370"/>
    </row>
    <row r="8815" spans="1:14" s="347" customFormat="1" x14ac:dyDescent="0.25">
      <c r="A8815" s="369"/>
      <c r="E8815" s="396"/>
      <c r="F8815" s="396"/>
      <c r="G8815" s="396"/>
      <c r="K8815" s="370"/>
      <c r="N8815" s="370"/>
    </row>
    <row r="8816" spans="1:14" s="347" customFormat="1" x14ac:dyDescent="0.25">
      <c r="A8816" s="369"/>
      <c r="E8816" s="396"/>
      <c r="F8816" s="396"/>
      <c r="G8816" s="396"/>
      <c r="K8816" s="370"/>
      <c r="N8816" s="370"/>
    </row>
    <row r="8817" spans="1:14" s="347" customFormat="1" x14ac:dyDescent="0.25">
      <c r="A8817" s="369"/>
      <c r="E8817" s="396"/>
      <c r="F8817" s="396"/>
      <c r="G8817" s="396"/>
      <c r="K8817" s="370"/>
      <c r="N8817" s="370"/>
    </row>
    <row r="8818" spans="1:14" s="347" customFormat="1" x14ac:dyDescent="0.25">
      <c r="A8818" s="369"/>
      <c r="E8818" s="396"/>
      <c r="F8818" s="396"/>
      <c r="G8818" s="396"/>
      <c r="K8818" s="370"/>
      <c r="N8818" s="370"/>
    </row>
    <row r="8819" spans="1:14" s="347" customFormat="1" x14ac:dyDescent="0.25">
      <c r="A8819" s="369"/>
      <c r="E8819" s="396"/>
      <c r="F8819" s="396"/>
      <c r="G8819" s="396"/>
      <c r="K8819" s="370"/>
      <c r="N8819" s="370"/>
    </row>
    <row r="8820" spans="1:14" s="347" customFormat="1" x14ac:dyDescent="0.25">
      <c r="A8820" s="369"/>
      <c r="E8820" s="396"/>
      <c r="F8820" s="396"/>
      <c r="G8820" s="396"/>
      <c r="K8820" s="370"/>
      <c r="N8820" s="370"/>
    </row>
    <row r="8821" spans="1:14" s="347" customFormat="1" x14ac:dyDescent="0.25">
      <c r="A8821" s="369"/>
      <c r="E8821" s="396"/>
      <c r="F8821" s="396"/>
      <c r="G8821" s="396"/>
      <c r="K8821" s="370"/>
      <c r="N8821" s="370"/>
    </row>
    <row r="8822" spans="1:14" s="347" customFormat="1" x14ac:dyDescent="0.25">
      <c r="A8822" s="369"/>
      <c r="E8822" s="396"/>
      <c r="F8822" s="396"/>
      <c r="G8822" s="396"/>
      <c r="K8822" s="370"/>
      <c r="N8822" s="370"/>
    </row>
    <row r="8823" spans="1:14" s="347" customFormat="1" x14ac:dyDescent="0.25">
      <c r="A8823" s="369"/>
      <c r="E8823" s="396"/>
      <c r="F8823" s="396"/>
      <c r="G8823" s="396"/>
      <c r="K8823" s="370"/>
      <c r="N8823" s="370"/>
    </row>
    <row r="8824" spans="1:14" s="347" customFormat="1" x14ac:dyDescent="0.25">
      <c r="A8824" s="369"/>
      <c r="E8824" s="396"/>
      <c r="F8824" s="396"/>
      <c r="G8824" s="396"/>
      <c r="K8824" s="370"/>
      <c r="N8824" s="370"/>
    </row>
    <row r="8825" spans="1:14" s="347" customFormat="1" x14ac:dyDescent="0.25">
      <c r="A8825" s="369"/>
      <c r="E8825" s="396"/>
      <c r="F8825" s="396"/>
      <c r="G8825" s="396"/>
      <c r="K8825" s="370"/>
      <c r="N8825" s="370"/>
    </row>
    <row r="8826" spans="1:14" s="347" customFormat="1" x14ac:dyDescent="0.25">
      <c r="A8826" s="369"/>
      <c r="E8826" s="396"/>
      <c r="F8826" s="396"/>
      <c r="G8826" s="396"/>
      <c r="K8826" s="370"/>
      <c r="N8826" s="370"/>
    </row>
    <row r="8827" spans="1:14" s="347" customFormat="1" x14ac:dyDescent="0.25">
      <c r="A8827" s="369"/>
      <c r="E8827" s="396"/>
      <c r="F8827" s="396"/>
      <c r="G8827" s="396"/>
      <c r="K8827" s="370"/>
      <c r="N8827" s="370"/>
    </row>
    <row r="8828" spans="1:14" s="347" customFormat="1" x14ac:dyDescent="0.25">
      <c r="A8828" s="369"/>
      <c r="E8828" s="396"/>
      <c r="F8828" s="396"/>
      <c r="G8828" s="396"/>
      <c r="K8828" s="370"/>
      <c r="N8828" s="370"/>
    </row>
    <row r="8829" spans="1:14" s="347" customFormat="1" x14ac:dyDescent="0.25">
      <c r="A8829" s="369"/>
      <c r="E8829" s="396"/>
      <c r="F8829" s="396"/>
      <c r="G8829" s="396"/>
      <c r="K8829" s="370"/>
      <c r="N8829" s="370"/>
    </row>
    <row r="8830" spans="1:14" s="347" customFormat="1" x14ac:dyDescent="0.25">
      <c r="A8830" s="369"/>
      <c r="E8830" s="396"/>
      <c r="F8830" s="396"/>
      <c r="G8830" s="396"/>
      <c r="K8830" s="370"/>
      <c r="N8830" s="370"/>
    </row>
    <row r="8831" spans="1:14" s="347" customFormat="1" x14ac:dyDescent="0.25">
      <c r="A8831" s="369"/>
      <c r="E8831" s="396"/>
      <c r="F8831" s="396"/>
      <c r="G8831" s="396"/>
      <c r="K8831" s="370"/>
      <c r="N8831" s="370"/>
    </row>
    <row r="8832" spans="1:14" s="347" customFormat="1" x14ac:dyDescent="0.25">
      <c r="A8832" s="369"/>
      <c r="E8832" s="396"/>
      <c r="F8832" s="396"/>
      <c r="G8832" s="396"/>
      <c r="K8832" s="370"/>
      <c r="N8832" s="370"/>
    </row>
    <row r="8833" spans="1:14" s="347" customFormat="1" x14ac:dyDescent="0.25">
      <c r="A8833" s="369"/>
      <c r="E8833" s="396"/>
      <c r="F8833" s="396"/>
      <c r="G8833" s="396"/>
      <c r="K8833" s="370"/>
      <c r="N8833" s="370"/>
    </row>
    <row r="8834" spans="1:14" s="347" customFormat="1" x14ac:dyDescent="0.25">
      <c r="A8834" s="369"/>
      <c r="E8834" s="396"/>
      <c r="F8834" s="396"/>
      <c r="G8834" s="396"/>
      <c r="K8834" s="370"/>
      <c r="N8834" s="370"/>
    </row>
    <row r="8835" spans="1:14" s="347" customFormat="1" x14ac:dyDescent="0.25">
      <c r="A8835" s="369"/>
      <c r="E8835" s="396"/>
      <c r="F8835" s="396"/>
      <c r="G8835" s="396"/>
      <c r="K8835" s="370"/>
      <c r="N8835" s="370"/>
    </row>
    <row r="8836" spans="1:14" s="347" customFormat="1" x14ac:dyDescent="0.25">
      <c r="A8836" s="369"/>
      <c r="E8836" s="396"/>
      <c r="F8836" s="396"/>
      <c r="G8836" s="396"/>
      <c r="K8836" s="370"/>
      <c r="N8836" s="370"/>
    </row>
    <row r="8837" spans="1:14" s="347" customFormat="1" x14ac:dyDescent="0.25">
      <c r="A8837" s="369"/>
      <c r="E8837" s="396"/>
      <c r="F8837" s="396"/>
      <c r="G8837" s="396"/>
      <c r="K8837" s="370"/>
      <c r="N8837" s="370"/>
    </row>
    <row r="8838" spans="1:14" s="347" customFormat="1" x14ac:dyDescent="0.25">
      <c r="A8838" s="369"/>
      <c r="E8838" s="396"/>
      <c r="F8838" s="396"/>
      <c r="G8838" s="396"/>
      <c r="K8838" s="370"/>
      <c r="N8838" s="370"/>
    </row>
    <row r="8839" spans="1:14" s="347" customFormat="1" x14ac:dyDescent="0.25">
      <c r="A8839" s="369"/>
      <c r="E8839" s="396"/>
      <c r="F8839" s="396"/>
      <c r="G8839" s="396"/>
      <c r="K8839" s="370"/>
      <c r="N8839" s="370"/>
    </row>
    <row r="8840" spans="1:14" s="347" customFormat="1" x14ac:dyDescent="0.25">
      <c r="A8840" s="369"/>
      <c r="E8840" s="396"/>
      <c r="F8840" s="396"/>
      <c r="G8840" s="396"/>
      <c r="K8840" s="370"/>
      <c r="N8840" s="370"/>
    </row>
    <row r="8841" spans="1:14" s="347" customFormat="1" x14ac:dyDescent="0.25">
      <c r="A8841" s="369"/>
      <c r="E8841" s="396"/>
      <c r="F8841" s="396"/>
      <c r="G8841" s="396"/>
      <c r="K8841" s="370"/>
      <c r="N8841" s="370"/>
    </row>
    <row r="8842" spans="1:14" s="347" customFormat="1" x14ac:dyDescent="0.25">
      <c r="A8842" s="369"/>
      <c r="E8842" s="396"/>
      <c r="F8842" s="396"/>
      <c r="G8842" s="396"/>
      <c r="K8842" s="370"/>
      <c r="N8842" s="370"/>
    </row>
    <row r="8843" spans="1:14" s="347" customFormat="1" x14ac:dyDescent="0.25">
      <c r="A8843" s="369"/>
      <c r="E8843" s="396"/>
      <c r="F8843" s="396"/>
      <c r="G8843" s="396"/>
      <c r="K8843" s="370"/>
      <c r="N8843" s="370"/>
    </row>
    <row r="8844" spans="1:14" s="347" customFormat="1" x14ac:dyDescent="0.25">
      <c r="A8844" s="369"/>
      <c r="E8844" s="396"/>
      <c r="F8844" s="396"/>
      <c r="G8844" s="396"/>
      <c r="K8844" s="370"/>
      <c r="N8844" s="370"/>
    </row>
    <row r="8845" spans="1:14" s="347" customFormat="1" x14ac:dyDescent="0.25">
      <c r="A8845" s="369"/>
      <c r="E8845" s="396"/>
      <c r="F8845" s="396"/>
      <c r="G8845" s="396"/>
      <c r="K8845" s="370"/>
      <c r="N8845" s="370"/>
    </row>
    <row r="8846" spans="1:14" s="347" customFormat="1" x14ac:dyDescent="0.25">
      <c r="A8846" s="369"/>
      <c r="E8846" s="396"/>
      <c r="F8846" s="396"/>
      <c r="G8846" s="396"/>
      <c r="K8846" s="370"/>
      <c r="N8846" s="370"/>
    </row>
    <row r="8847" spans="1:14" s="347" customFormat="1" x14ac:dyDescent="0.25">
      <c r="A8847" s="369"/>
      <c r="E8847" s="396"/>
      <c r="F8847" s="396"/>
      <c r="G8847" s="396"/>
      <c r="K8847" s="370"/>
      <c r="N8847" s="370"/>
    </row>
    <row r="8848" spans="1:14" s="347" customFormat="1" x14ac:dyDescent="0.25">
      <c r="A8848" s="369"/>
      <c r="E8848" s="396"/>
      <c r="F8848" s="396"/>
      <c r="G8848" s="396"/>
      <c r="K8848" s="370"/>
      <c r="N8848" s="370"/>
    </row>
    <row r="8849" spans="1:14" s="347" customFormat="1" x14ac:dyDescent="0.25">
      <c r="A8849" s="369"/>
      <c r="E8849" s="396"/>
      <c r="F8849" s="396"/>
      <c r="G8849" s="396"/>
      <c r="K8849" s="370"/>
      <c r="N8849" s="370"/>
    </row>
    <row r="8850" spans="1:14" s="347" customFormat="1" x14ac:dyDescent="0.25">
      <c r="A8850" s="369"/>
      <c r="E8850" s="396"/>
      <c r="F8850" s="396"/>
      <c r="G8850" s="396"/>
      <c r="K8850" s="370"/>
      <c r="N8850" s="370"/>
    </row>
    <row r="8851" spans="1:14" s="347" customFormat="1" x14ac:dyDescent="0.25">
      <c r="A8851" s="369"/>
      <c r="E8851" s="396"/>
      <c r="F8851" s="396"/>
      <c r="G8851" s="396"/>
      <c r="K8851" s="370"/>
      <c r="N8851" s="370"/>
    </row>
    <row r="8852" spans="1:14" s="347" customFormat="1" x14ac:dyDescent="0.25">
      <c r="A8852" s="369"/>
      <c r="E8852" s="396"/>
      <c r="F8852" s="396"/>
      <c r="G8852" s="396"/>
      <c r="K8852" s="370"/>
      <c r="N8852" s="370"/>
    </row>
    <row r="8853" spans="1:14" s="347" customFormat="1" x14ac:dyDescent="0.25">
      <c r="A8853" s="369"/>
      <c r="E8853" s="396"/>
      <c r="F8853" s="396"/>
      <c r="G8853" s="396"/>
      <c r="K8853" s="370"/>
      <c r="N8853" s="370"/>
    </row>
    <row r="8854" spans="1:14" s="347" customFormat="1" x14ac:dyDescent="0.25">
      <c r="A8854" s="369"/>
      <c r="E8854" s="396"/>
      <c r="F8854" s="396"/>
      <c r="G8854" s="396"/>
      <c r="K8854" s="370"/>
      <c r="N8854" s="370"/>
    </row>
    <row r="8855" spans="1:14" s="347" customFormat="1" x14ac:dyDescent="0.25">
      <c r="A8855" s="369"/>
      <c r="E8855" s="396"/>
      <c r="F8855" s="396"/>
      <c r="G8855" s="396"/>
      <c r="K8855" s="370"/>
      <c r="N8855" s="370"/>
    </row>
    <row r="8856" spans="1:14" s="347" customFormat="1" x14ac:dyDescent="0.25">
      <c r="A8856" s="369"/>
      <c r="E8856" s="396"/>
      <c r="F8856" s="396"/>
      <c r="G8856" s="396"/>
      <c r="K8856" s="370"/>
      <c r="N8856" s="370"/>
    </row>
    <row r="8857" spans="1:14" s="347" customFormat="1" x14ac:dyDescent="0.25">
      <c r="A8857" s="369"/>
      <c r="E8857" s="396"/>
      <c r="F8857" s="396"/>
      <c r="G8857" s="396"/>
      <c r="K8857" s="370"/>
      <c r="N8857" s="370"/>
    </row>
    <row r="8858" spans="1:14" s="347" customFormat="1" x14ac:dyDescent="0.25">
      <c r="A8858" s="369"/>
      <c r="E8858" s="396"/>
      <c r="F8858" s="396"/>
      <c r="G8858" s="396"/>
      <c r="K8858" s="370"/>
      <c r="N8858" s="370"/>
    </row>
    <row r="8859" spans="1:14" s="347" customFormat="1" x14ac:dyDescent="0.25">
      <c r="A8859" s="369"/>
      <c r="E8859" s="396"/>
      <c r="F8859" s="396"/>
      <c r="G8859" s="396"/>
      <c r="K8859" s="370"/>
      <c r="N8859" s="370"/>
    </row>
    <row r="8860" spans="1:14" s="347" customFormat="1" x14ac:dyDescent="0.25">
      <c r="A8860" s="369"/>
      <c r="E8860" s="396"/>
      <c r="F8860" s="396"/>
      <c r="G8860" s="396"/>
      <c r="K8860" s="370"/>
      <c r="N8860" s="370"/>
    </row>
    <row r="8861" spans="1:14" s="347" customFormat="1" x14ac:dyDescent="0.25">
      <c r="A8861" s="369"/>
      <c r="E8861" s="396"/>
      <c r="F8861" s="396"/>
      <c r="G8861" s="396"/>
      <c r="K8861" s="370"/>
      <c r="N8861" s="370"/>
    </row>
    <row r="8862" spans="1:14" s="347" customFormat="1" x14ac:dyDescent="0.25">
      <c r="A8862" s="369"/>
      <c r="E8862" s="396"/>
      <c r="F8862" s="396"/>
      <c r="G8862" s="396"/>
      <c r="K8862" s="370"/>
      <c r="N8862" s="370"/>
    </row>
    <row r="8863" spans="1:14" s="347" customFormat="1" x14ac:dyDescent="0.25">
      <c r="A8863" s="369"/>
      <c r="E8863" s="396"/>
      <c r="F8863" s="396"/>
      <c r="G8863" s="396"/>
      <c r="K8863" s="370"/>
      <c r="N8863" s="370"/>
    </row>
    <row r="8864" spans="1:14" s="347" customFormat="1" x14ac:dyDescent="0.25">
      <c r="A8864" s="369"/>
      <c r="E8864" s="396"/>
      <c r="F8864" s="396"/>
      <c r="G8864" s="396"/>
      <c r="K8864" s="370"/>
      <c r="N8864" s="370"/>
    </row>
    <row r="8865" spans="1:14" s="347" customFormat="1" x14ac:dyDescent="0.25">
      <c r="A8865" s="369"/>
      <c r="E8865" s="396"/>
      <c r="F8865" s="396"/>
      <c r="G8865" s="396"/>
      <c r="K8865" s="370"/>
      <c r="N8865" s="370"/>
    </row>
    <row r="8866" spans="1:14" s="347" customFormat="1" x14ac:dyDescent="0.25">
      <c r="A8866" s="369"/>
      <c r="E8866" s="396"/>
      <c r="F8866" s="396"/>
      <c r="G8866" s="396"/>
      <c r="K8866" s="370"/>
      <c r="N8866" s="370"/>
    </row>
    <row r="8867" spans="1:14" s="347" customFormat="1" x14ac:dyDescent="0.25">
      <c r="A8867" s="369"/>
      <c r="E8867" s="396"/>
      <c r="F8867" s="396"/>
      <c r="G8867" s="396"/>
      <c r="K8867" s="370"/>
      <c r="N8867" s="370"/>
    </row>
    <row r="8868" spans="1:14" s="347" customFormat="1" x14ac:dyDescent="0.25">
      <c r="A8868" s="369"/>
      <c r="E8868" s="396"/>
      <c r="F8868" s="396"/>
      <c r="G8868" s="396"/>
      <c r="K8868" s="370"/>
      <c r="N8868" s="370"/>
    </row>
    <row r="8869" spans="1:14" s="347" customFormat="1" x14ac:dyDescent="0.25">
      <c r="A8869" s="369"/>
      <c r="E8869" s="396"/>
      <c r="F8869" s="396"/>
      <c r="G8869" s="396"/>
      <c r="K8869" s="370"/>
      <c r="N8869" s="370"/>
    </row>
    <row r="8870" spans="1:14" s="347" customFormat="1" x14ac:dyDescent="0.25">
      <c r="A8870" s="369"/>
      <c r="E8870" s="396"/>
      <c r="F8870" s="396"/>
      <c r="G8870" s="396"/>
      <c r="K8870" s="370"/>
      <c r="N8870" s="370"/>
    </row>
    <row r="8871" spans="1:14" s="347" customFormat="1" x14ac:dyDescent="0.25">
      <c r="A8871" s="369"/>
      <c r="E8871" s="396"/>
      <c r="F8871" s="396"/>
      <c r="G8871" s="396"/>
      <c r="K8871" s="370"/>
      <c r="N8871" s="370"/>
    </row>
    <row r="8872" spans="1:14" s="347" customFormat="1" x14ac:dyDescent="0.25">
      <c r="A8872" s="369"/>
      <c r="E8872" s="396"/>
      <c r="F8872" s="396"/>
      <c r="G8872" s="396"/>
      <c r="K8872" s="370"/>
      <c r="N8872" s="370"/>
    </row>
    <row r="8873" spans="1:14" s="347" customFormat="1" x14ac:dyDescent="0.25">
      <c r="A8873" s="369"/>
      <c r="E8873" s="396"/>
      <c r="F8873" s="396"/>
      <c r="G8873" s="396"/>
      <c r="K8873" s="370"/>
      <c r="N8873" s="370"/>
    </row>
    <row r="8874" spans="1:14" s="347" customFormat="1" x14ac:dyDescent="0.25">
      <c r="A8874" s="369"/>
      <c r="E8874" s="396"/>
      <c r="F8874" s="396"/>
      <c r="G8874" s="396"/>
      <c r="K8874" s="370"/>
      <c r="N8874" s="370"/>
    </row>
    <row r="8875" spans="1:14" s="347" customFormat="1" x14ac:dyDescent="0.25">
      <c r="A8875" s="369"/>
      <c r="E8875" s="396"/>
      <c r="F8875" s="396"/>
      <c r="G8875" s="396"/>
      <c r="K8875" s="370"/>
      <c r="N8875" s="370"/>
    </row>
    <row r="8876" spans="1:14" s="347" customFormat="1" x14ac:dyDescent="0.25">
      <c r="A8876" s="369"/>
      <c r="E8876" s="396"/>
      <c r="F8876" s="396"/>
      <c r="G8876" s="396"/>
      <c r="K8876" s="370"/>
      <c r="N8876" s="370"/>
    </row>
    <row r="8877" spans="1:14" s="347" customFormat="1" x14ac:dyDescent="0.25">
      <c r="A8877" s="369"/>
      <c r="E8877" s="396"/>
      <c r="F8877" s="396"/>
      <c r="G8877" s="396"/>
      <c r="K8877" s="370"/>
      <c r="N8877" s="370"/>
    </row>
    <row r="8878" spans="1:14" s="347" customFormat="1" x14ac:dyDescent="0.25">
      <c r="A8878" s="369"/>
      <c r="E8878" s="396"/>
      <c r="F8878" s="396"/>
      <c r="G8878" s="396"/>
      <c r="K8878" s="370"/>
      <c r="N8878" s="370"/>
    </row>
    <row r="8879" spans="1:14" s="347" customFormat="1" x14ac:dyDescent="0.25">
      <c r="A8879" s="369"/>
      <c r="E8879" s="396"/>
      <c r="F8879" s="396"/>
      <c r="G8879" s="396"/>
      <c r="K8879" s="370"/>
      <c r="N8879" s="370"/>
    </row>
    <row r="8880" spans="1:14" s="347" customFormat="1" x14ac:dyDescent="0.25">
      <c r="A8880" s="369"/>
      <c r="E8880" s="396"/>
      <c r="F8880" s="396"/>
      <c r="G8880" s="396"/>
      <c r="K8880" s="370"/>
      <c r="N8880" s="370"/>
    </row>
    <row r="8881" spans="1:14" s="347" customFormat="1" x14ac:dyDescent="0.25">
      <c r="A8881" s="369"/>
      <c r="E8881" s="396"/>
      <c r="F8881" s="396"/>
      <c r="G8881" s="396"/>
      <c r="K8881" s="370"/>
      <c r="N8881" s="370"/>
    </row>
    <row r="8882" spans="1:14" s="347" customFormat="1" x14ac:dyDescent="0.25">
      <c r="A8882" s="369"/>
      <c r="E8882" s="396"/>
      <c r="F8882" s="396"/>
      <c r="G8882" s="396"/>
      <c r="K8882" s="370"/>
      <c r="N8882" s="370"/>
    </row>
    <row r="8883" spans="1:14" s="347" customFormat="1" x14ac:dyDescent="0.25">
      <c r="A8883" s="369"/>
      <c r="E8883" s="396"/>
      <c r="F8883" s="396"/>
      <c r="G8883" s="396"/>
      <c r="K8883" s="370"/>
      <c r="N8883" s="370"/>
    </row>
    <row r="8884" spans="1:14" s="347" customFormat="1" x14ac:dyDescent="0.25">
      <c r="A8884" s="369"/>
      <c r="E8884" s="396"/>
      <c r="F8884" s="396"/>
      <c r="G8884" s="396"/>
      <c r="K8884" s="370"/>
      <c r="N8884" s="370"/>
    </row>
    <row r="8885" spans="1:14" s="347" customFormat="1" x14ac:dyDescent="0.25">
      <c r="A8885" s="369"/>
      <c r="E8885" s="396"/>
      <c r="F8885" s="396"/>
      <c r="G8885" s="396"/>
      <c r="K8885" s="370"/>
      <c r="N8885" s="370"/>
    </row>
    <row r="8886" spans="1:14" s="347" customFormat="1" x14ac:dyDescent="0.25">
      <c r="A8886" s="369"/>
      <c r="E8886" s="396"/>
      <c r="F8886" s="396"/>
      <c r="G8886" s="396"/>
      <c r="K8886" s="370"/>
      <c r="N8886" s="370"/>
    </row>
    <row r="8887" spans="1:14" s="347" customFormat="1" x14ac:dyDescent="0.25">
      <c r="A8887" s="369"/>
      <c r="E8887" s="396"/>
      <c r="F8887" s="396"/>
      <c r="G8887" s="396"/>
      <c r="K8887" s="370"/>
      <c r="N8887" s="370"/>
    </row>
    <row r="8888" spans="1:14" s="347" customFormat="1" x14ac:dyDescent="0.25">
      <c r="A8888" s="369"/>
      <c r="E8888" s="396"/>
      <c r="F8888" s="396"/>
      <c r="G8888" s="396"/>
      <c r="K8888" s="370"/>
      <c r="N8888" s="370"/>
    </row>
    <row r="8889" spans="1:14" s="347" customFormat="1" x14ac:dyDescent="0.25">
      <c r="A8889" s="369"/>
      <c r="E8889" s="396"/>
      <c r="F8889" s="396"/>
      <c r="G8889" s="396"/>
      <c r="K8889" s="370"/>
      <c r="N8889" s="370"/>
    </row>
    <row r="8890" spans="1:14" s="347" customFormat="1" x14ac:dyDescent="0.25">
      <c r="A8890" s="369"/>
      <c r="E8890" s="396"/>
      <c r="F8890" s="396"/>
      <c r="G8890" s="396"/>
      <c r="K8890" s="370"/>
      <c r="N8890" s="370"/>
    </row>
    <row r="8891" spans="1:14" s="347" customFormat="1" x14ac:dyDescent="0.25">
      <c r="A8891" s="369"/>
      <c r="E8891" s="396"/>
      <c r="F8891" s="396"/>
      <c r="G8891" s="396"/>
      <c r="K8891" s="370"/>
      <c r="N8891" s="370"/>
    </row>
    <row r="8892" spans="1:14" s="347" customFormat="1" x14ac:dyDescent="0.25">
      <c r="A8892" s="369"/>
      <c r="E8892" s="396"/>
      <c r="F8892" s="396"/>
      <c r="G8892" s="396"/>
      <c r="K8892" s="370"/>
      <c r="N8892" s="370"/>
    </row>
    <row r="8893" spans="1:14" s="347" customFormat="1" x14ac:dyDescent="0.25">
      <c r="A8893" s="369"/>
      <c r="E8893" s="396"/>
      <c r="F8893" s="396"/>
      <c r="G8893" s="396"/>
      <c r="K8893" s="370"/>
      <c r="N8893" s="370"/>
    </row>
    <row r="8894" spans="1:14" s="347" customFormat="1" x14ac:dyDescent="0.25">
      <c r="A8894" s="369"/>
      <c r="E8894" s="396"/>
      <c r="F8894" s="396"/>
      <c r="G8894" s="396"/>
      <c r="K8894" s="370"/>
      <c r="N8894" s="370"/>
    </row>
    <row r="8895" spans="1:14" s="347" customFormat="1" x14ac:dyDescent="0.25">
      <c r="A8895" s="369"/>
      <c r="E8895" s="396"/>
      <c r="F8895" s="396"/>
      <c r="G8895" s="396"/>
      <c r="K8895" s="370"/>
      <c r="N8895" s="370"/>
    </row>
    <row r="8896" spans="1:14" s="347" customFormat="1" x14ac:dyDescent="0.25">
      <c r="A8896" s="369"/>
      <c r="E8896" s="396"/>
      <c r="F8896" s="396"/>
      <c r="G8896" s="396"/>
      <c r="K8896" s="370"/>
      <c r="N8896" s="370"/>
    </row>
    <row r="8897" spans="1:14" s="347" customFormat="1" x14ac:dyDescent="0.25">
      <c r="A8897" s="369"/>
      <c r="E8897" s="396"/>
      <c r="F8897" s="396"/>
      <c r="G8897" s="396"/>
      <c r="K8897" s="370"/>
      <c r="N8897" s="370"/>
    </row>
    <row r="8898" spans="1:14" s="347" customFormat="1" x14ac:dyDescent="0.25">
      <c r="A8898" s="369"/>
      <c r="E8898" s="396"/>
      <c r="F8898" s="396"/>
      <c r="G8898" s="396"/>
      <c r="K8898" s="370"/>
      <c r="N8898" s="370"/>
    </row>
    <row r="8899" spans="1:14" s="347" customFormat="1" x14ac:dyDescent="0.25">
      <c r="A8899" s="369"/>
      <c r="E8899" s="396"/>
      <c r="F8899" s="396"/>
      <c r="G8899" s="396"/>
      <c r="K8899" s="370"/>
      <c r="N8899" s="370"/>
    </row>
    <row r="8900" spans="1:14" s="347" customFormat="1" x14ac:dyDescent="0.25">
      <c r="A8900" s="369"/>
      <c r="E8900" s="396"/>
      <c r="F8900" s="396"/>
      <c r="G8900" s="396"/>
      <c r="K8900" s="370"/>
      <c r="N8900" s="370"/>
    </row>
    <row r="8901" spans="1:14" s="347" customFormat="1" x14ac:dyDescent="0.25">
      <c r="A8901" s="369"/>
      <c r="E8901" s="396"/>
      <c r="F8901" s="396"/>
      <c r="G8901" s="396"/>
      <c r="K8901" s="370"/>
      <c r="N8901" s="370"/>
    </row>
    <row r="8902" spans="1:14" s="347" customFormat="1" x14ac:dyDescent="0.25">
      <c r="A8902" s="369"/>
      <c r="E8902" s="396"/>
      <c r="F8902" s="396"/>
      <c r="G8902" s="396"/>
      <c r="K8902" s="370"/>
      <c r="N8902" s="370"/>
    </row>
    <row r="8903" spans="1:14" s="347" customFormat="1" x14ac:dyDescent="0.25">
      <c r="A8903" s="369"/>
      <c r="E8903" s="396"/>
      <c r="F8903" s="396"/>
      <c r="G8903" s="396"/>
      <c r="K8903" s="370"/>
      <c r="N8903" s="370"/>
    </row>
    <row r="8904" spans="1:14" s="347" customFormat="1" x14ac:dyDescent="0.25">
      <c r="A8904" s="369"/>
      <c r="E8904" s="396"/>
      <c r="F8904" s="396"/>
      <c r="G8904" s="396"/>
      <c r="K8904" s="370"/>
      <c r="N8904" s="370"/>
    </row>
    <row r="8905" spans="1:14" s="347" customFormat="1" x14ac:dyDescent="0.25">
      <c r="A8905" s="369"/>
      <c r="E8905" s="396"/>
      <c r="F8905" s="396"/>
      <c r="G8905" s="396"/>
      <c r="K8905" s="370"/>
      <c r="N8905" s="370"/>
    </row>
    <row r="8906" spans="1:14" s="347" customFormat="1" x14ac:dyDescent="0.25">
      <c r="A8906" s="369"/>
      <c r="E8906" s="396"/>
      <c r="F8906" s="396"/>
      <c r="G8906" s="396"/>
      <c r="K8906" s="370"/>
      <c r="N8906" s="370"/>
    </row>
    <row r="8907" spans="1:14" s="347" customFormat="1" x14ac:dyDescent="0.25">
      <c r="A8907" s="369"/>
      <c r="E8907" s="396"/>
      <c r="F8907" s="396"/>
      <c r="G8907" s="396"/>
      <c r="K8907" s="370"/>
      <c r="N8907" s="370"/>
    </row>
    <row r="8908" spans="1:14" s="347" customFormat="1" x14ac:dyDescent="0.25">
      <c r="A8908" s="369"/>
      <c r="E8908" s="396"/>
      <c r="F8908" s="396"/>
      <c r="G8908" s="396"/>
      <c r="K8908" s="370"/>
      <c r="N8908" s="370"/>
    </row>
    <row r="8909" spans="1:14" s="347" customFormat="1" x14ac:dyDescent="0.25">
      <c r="A8909" s="369"/>
      <c r="E8909" s="396"/>
      <c r="F8909" s="396"/>
      <c r="G8909" s="396"/>
      <c r="K8909" s="370"/>
      <c r="N8909" s="370"/>
    </row>
    <row r="8910" spans="1:14" s="347" customFormat="1" x14ac:dyDescent="0.25">
      <c r="A8910" s="369"/>
      <c r="E8910" s="396"/>
      <c r="F8910" s="396"/>
      <c r="G8910" s="396"/>
      <c r="K8910" s="370"/>
      <c r="N8910" s="370"/>
    </row>
    <row r="8911" spans="1:14" s="347" customFormat="1" x14ac:dyDescent="0.25">
      <c r="A8911" s="369"/>
      <c r="E8911" s="396"/>
      <c r="F8911" s="396"/>
      <c r="G8911" s="396"/>
      <c r="K8911" s="370"/>
      <c r="N8911" s="370"/>
    </row>
    <row r="8912" spans="1:14" s="347" customFormat="1" x14ac:dyDescent="0.25">
      <c r="A8912" s="369"/>
      <c r="E8912" s="396"/>
      <c r="F8912" s="396"/>
      <c r="G8912" s="396"/>
      <c r="K8912" s="370"/>
      <c r="N8912" s="370"/>
    </row>
    <row r="8913" spans="1:14" s="347" customFormat="1" x14ac:dyDescent="0.25">
      <c r="A8913" s="369"/>
      <c r="E8913" s="396"/>
      <c r="F8913" s="396"/>
      <c r="G8913" s="396"/>
      <c r="K8913" s="370"/>
      <c r="N8913" s="370"/>
    </row>
    <row r="8914" spans="1:14" s="347" customFormat="1" x14ac:dyDescent="0.25">
      <c r="A8914" s="369"/>
      <c r="E8914" s="396"/>
      <c r="F8914" s="396"/>
      <c r="G8914" s="396"/>
      <c r="K8914" s="370"/>
      <c r="N8914" s="370"/>
    </row>
    <row r="8915" spans="1:14" s="347" customFormat="1" x14ac:dyDescent="0.25">
      <c r="A8915" s="369"/>
      <c r="E8915" s="396"/>
      <c r="F8915" s="396"/>
      <c r="G8915" s="396"/>
      <c r="K8915" s="370"/>
      <c r="N8915" s="370"/>
    </row>
    <row r="8916" spans="1:14" s="347" customFormat="1" x14ac:dyDescent="0.25">
      <c r="A8916" s="369"/>
      <c r="E8916" s="396"/>
      <c r="F8916" s="396"/>
      <c r="G8916" s="396"/>
      <c r="K8916" s="370"/>
      <c r="N8916" s="370"/>
    </row>
    <row r="8917" spans="1:14" s="347" customFormat="1" x14ac:dyDescent="0.25">
      <c r="A8917" s="369"/>
      <c r="E8917" s="396"/>
      <c r="F8917" s="396"/>
      <c r="G8917" s="396"/>
      <c r="K8917" s="370"/>
      <c r="N8917" s="370"/>
    </row>
    <row r="8918" spans="1:14" s="347" customFormat="1" x14ac:dyDescent="0.25">
      <c r="A8918" s="369"/>
      <c r="E8918" s="396"/>
      <c r="F8918" s="396"/>
      <c r="G8918" s="396"/>
      <c r="K8918" s="370"/>
      <c r="N8918" s="370"/>
    </row>
    <row r="8919" spans="1:14" s="347" customFormat="1" x14ac:dyDescent="0.25">
      <c r="A8919" s="369"/>
      <c r="E8919" s="396"/>
      <c r="F8919" s="396"/>
      <c r="G8919" s="396"/>
      <c r="K8919" s="370"/>
      <c r="N8919" s="370"/>
    </row>
    <row r="8920" spans="1:14" s="347" customFormat="1" x14ac:dyDescent="0.25">
      <c r="A8920" s="369"/>
      <c r="E8920" s="396"/>
      <c r="F8920" s="396"/>
      <c r="G8920" s="396"/>
      <c r="K8920" s="370"/>
      <c r="N8920" s="370"/>
    </row>
    <row r="8921" spans="1:14" s="347" customFormat="1" x14ac:dyDescent="0.25">
      <c r="A8921" s="369"/>
      <c r="E8921" s="396"/>
      <c r="F8921" s="396"/>
      <c r="G8921" s="396"/>
      <c r="K8921" s="370"/>
      <c r="N8921" s="370"/>
    </row>
    <row r="8922" spans="1:14" s="347" customFormat="1" x14ac:dyDescent="0.25">
      <c r="A8922" s="369"/>
      <c r="E8922" s="396"/>
      <c r="F8922" s="396"/>
      <c r="G8922" s="396"/>
      <c r="K8922" s="370"/>
      <c r="N8922" s="370"/>
    </row>
    <row r="8923" spans="1:14" s="347" customFormat="1" x14ac:dyDescent="0.25">
      <c r="A8923" s="369"/>
      <c r="E8923" s="396"/>
      <c r="F8923" s="396"/>
      <c r="G8923" s="396"/>
      <c r="K8923" s="370"/>
      <c r="N8923" s="370"/>
    </row>
    <row r="8924" spans="1:14" s="347" customFormat="1" x14ac:dyDescent="0.25">
      <c r="A8924" s="369"/>
      <c r="E8924" s="396"/>
      <c r="F8924" s="396"/>
      <c r="G8924" s="396"/>
      <c r="K8924" s="370"/>
      <c r="N8924" s="370"/>
    </row>
    <row r="8925" spans="1:14" s="347" customFormat="1" x14ac:dyDescent="0.25">
      <c r="A8925" s="369"/>
      <c r="E8925" s="396"/>
      <c r="F8925" s="396"/>
      <c r="G8925" s="396"/>
      <c r="K8925" s="370"/>
      <c r="N8925" s="370"/>
    </row>
    <row r="8926" spans="1:14" s="347" customFormat="1" x14ac:dyDescent="0.25">
      <c r="A8926" s="369"/>
      <c r="E8926" s="396"/>
      <c r="F8926" s="396"/>
      <c r="G8926" s="396"/>
      <c r="K8926" s="370"/>
      <c r="N8926" s="370"/>
    </row>
    <row r="8927" spans="1:14" s="347" customFormat="1" x14ac:dyDescent="0.25">
      <c r="A8927" s="369"/>
      <c r="E8927" s="396"/>
      <c r="F8927" s="396"/>
      <c r="G8927" s="396"/>
      <c r="K8927" s="370"/>
      <c r="N8927" s="370"/>
    </row>
    <row r="8928" spans="1:14" s="347" customFormat="1" x14ac:dyDescent="0.25">
      <c r="A8928" s="369"/>
      <c r="E8928" s="396"/>
      <c r="F8928" s="396"/>
      <c r="G8928" s="396"/>
      <c r="K8928" s="370"/>
      <c r="N8928" s="370"/>
    </row>
    <row r="8929" spans="1:14" s="347" customFormat="1" x14ac:dyDescent="0.25">
      <c r="A8929" s="369"/>
      <c r="E8929" s="396"/>
      <c r="F8929" s="396"/>
      <c r="G8929" s="396"/>
      <c r="K8929" s="370"/>
      <c r="N8929" s="370"/>
    </row>
    <row r="8930" spans="1:14" s="347" customFormat="1" x14ac:dyDescent="0.25">
      <c r="A8930" s="369"/>
      <c r="E8930" s="396"/>
      <c r="F8930" s="396"/>
      <c r="G8930" s="396"/>
      <c r="K8930" s="370"/>
      <c r="N8930" s="370"/>
    </row>
    <row r="8931" spans="1:14" s="347" customFormat="1" x14ac:dyDescent="0.25">
      <c r="A8931" s="369"/>
      <c r="E8931" s="396"/>
      <c r="F8931" s="396"/>
      <c r="G8931" s="396"/>
      <c r="K8931" s="370"/>
      <c r="N8931" s="370"/>
    </row>
    <row r="8932" spans="1:14" s="347" customFormat="1" x14ac:dyDescent="0.25">
      <c r="A8932" s="369"/>
      <c r="E8932" s="396"/>
      <c r="F8932" s="396"/>
      <c r="G8932" s="396"/>
      <c r="K8932" s="370"/>
      <c r="N8932" s="370"/>
    </row>
    <row r="8933" spans="1:14" s="347" customFormat="1" x14ac:dyDescent="0.25">
      <c r="A8933" s="369"/>
      <c r="E8933" s="396"/>
      <c r="F8933" s="396"/>
      <c r="G8933" s="396"/>
      <c r="K8933" s="370"/>
      <c r="N8933" s="370"/>
    </row>
    <row r="8934" spans="1:14" s="347" customFormat="1" x14ac:dyDescent="0.25">
      <c r="A8934" s="369"/>
      <c r="E8934" s="396"/>
      <c r="F8934" s="396"/>
      <c r="G8934" s="396"/>
      <c r="K8934" s="370"/>
      <c r="N8934" s="370"/>
    </row>
    <row r="8935" spans="1:14" s="347" customFormat="1" x14ac:dyDescent="0.25">
      <c r="A8935" s="369"/>
      <c r="E8935" s="396"/>
      <c r="F8935" s="396"/>
      <c r="G8935" s="396"/>
      <c r="K8935" s="370"/>
      <c r="N8935" s="370"/>
    </row>
    <row r="8936" spans="1:14" s="347" customFormat="1" x14ac:dyDescent="0.25">
      <c r="A8936" s="369"/>
      <c r="E8936" s="396"/>
      <c r="F8936" s="396"/>
      <c r="G8936" s="396"/>
      <c r="K8936" s="370"/>
      <c r="N8936" s="370"/>
    </row>
    <row r="8937" spans="1:14" s="347" customFormat="1" x14ac:dyDescent="0.25">
      <c r="A8937" s="369"/>
      <c r="E8937" s="396"/>
      <c r="F8937" s="396"/>
      <c r="G8937" s="396"/>
      <c r="K8937" s="370"/>
      <c r="N8937" s="370"/>
    </row>
    <row r="8938" spans="1:14" s="347" customFormat="1" x14ac:dyDescent="0.25">
      <c r="A8938" s="369"/>
      <c r="E8938" s="396"/>
      <c r="F8938" s="396"/>
      <c r="G8938" s="396"/>
      <c r="K8938" s="370"/>
      <c r="N8938" s="370"/>
    </row>
    <row r="8939" spans="1:14" s="347" customFormat="1" x14ac:dyDescent="0.25">
      <c r="A8939" s="369"/>
      <c r="E8939" s="396"/>
      <c r="F8939" s="396"/>
      <c r="G8939" s="396"/>
      <c r="K8939" s="370"/>
      <c r="N8939" s="370"/>
    </row>
    <row r="8940" spans="1:14" s="347" customFormat="1" x14ac:dyDescent="0.25">
      <c r="A8940" s="369"/>
      <c r="E8940" s="396"/>
      <c r="F8940" s="396"/>
      <c r="G8940" s="396"/>
      <c r="K8940" s="370"/>
      <c r="N8940" s="370"/>
    </row>
    <row r="8941" spans="1:14" s="347" customFormat="1" x14ac:dyDescent="0.25">
      <c r="A8941" s="369"/>
      <c r="E8941" s="396"/>
      <c r="F8941" s="396"/>
      <c r="G8941" s="396"/>
      <c r="K8941" s="370"/>
      <c r="N8941" s="370"/>
    </row>
    <row r="8942" spans="1:14" s="347" customFormat="1" x14ac:dyDescent="0.25">
      <c r="A8942" s="369"/>
      <c r="E8942" s="396"/>
      <c r="F8942" s="396"/>
      <c r="G8942" s="396"/>
      <c r="K8942" s="370"/>
      <c r="N8942" s="370"/>
    </row>
    <row r="8943" spans="1:14" s="347" customFormat="1" x14ac:dyDescent="0.25">
      <c r="A8943" s="369"/>
      <c r="E8943" s="396"/>
      <c r="F8943" s="396"/>
      <c r="G8943" s="396"/>
      <c r="K8943" s="370"/>
      <c r="N8943" s="370"/>
    </row>
    <row r="8944" spans="1:14" s="347" customFormat="1" x14ac:dyDescent="0.25">
      <c r="A8944" s="369"/>
      <c r="E8944" s="396"/>
      <c r="F8944" s="396"/>
      <c r="G8944" s="396"/>
      <c r="K8944" s="370"/>
      <c r="N8944" s="370"/>
    </row>
    <row r="8945" spans="1:14" s="347" customFormat="1" x14ac:dyDescent="0.25">
      <c r="A8945" s="369"/>
      <c r="E8945" s="396"/>
      <c r="F8945" s="396"/>
      <c r="G8945" s="396"/>
      <c r="K8945" s="370"/>
      <c r="N8945" s="370"/>
    </row>
    <row r="8946" spans="1:14" s="347" customFormat="1" x14ac:dyDescent="0.25">
      <c r="A8946" s="369"/>
      <c r="E8946" s="396"/>
      <c r="F8946" s="396"/>
      <c r="G8946" s="396"/>
      <c r="K8946" s="370"/>
      <c r="N8946" s="370"/>
    </row>
    <row r="8947" spans="1:14" s="347" customFormat="1" x14ac:dyDescent="0.25">
      <c r="A8947" s="369"/>
      <c r="E8947" s="396"/>
      <c r="F8947" s="396"/>
      <c r="G8947" s="396"/>
      <c r="K8947" s="370"/>
      <c r="N8947" s="370"/>
    </row>
    <row r="8948" spans="1:14" s="347" customFormat="1" x14ac:dyDescent="0.25">
      <c r="A8948" s="369"/>
      <c r="E8948" s="396"/>
      <c r="F8948" s="396"/>
      <c r="G8948" s="396"/>
      <c r="K8948" s="370"/>
      <c r="N8948" s="370"/>
    </row>
    <row r="8949" spans="1:14" s="347" customFormat="1" x14ac:dyDescent="0.25">
      <c r="A8949" s="369"/>
      <c r="E8949" s="396"/>
      <c r="F8949" s="396"/>
      <c r="G8949" s="396"/>
      <c r="K8949" s="370"/>
      <c r="N8949" s="370"/>
    </row>
    <row r="8950" spans="1:14" s="347" customFormat="1" x14ac:dyDescent="0.25">
      <c r="A8950" s="369"/>
      <c r="E8950" s="396"/>
      <c r="F8950" s="396"/>
      <c r="G8950" s="396"/>
      <c r="K8950" s="370"/>
      <c r="N8950" s="370"/>
    </row>
    <row r="8951" spans="1:14" s="347" customFormat="1" x14ac:dyDescent="0.25">
      <c r="A8951" s="369"/>
      <c r="E8951" s="396"/>
      <c r="F8951" s="396"/>
      <c r="G8951" s="396"/>
      <c r="K8951" s="370"/>
      <c r="N8951" s="370"/>
    </row>
    <row r="8952" spans="1:14" s="347" customFormat="1" x14ac:dyDescent="0.25">
      <c r="A8952" s="369"/>
      <c r="E8952" s="396"/>
      <c r="F8952" s="396"/>
      <c r="G8952" s="396"/>
      <c r="K8952" s="370"/>
      <c r="N8952" s="370"/>
    </row>
    <row r="8953" spans="1:14" s="347" customFormat="1" x14ac:dyDescent="0.25">
      <c r="A8953" s="369"/>
      <c r="E8953" s="396"/>
      <c r="F8953" s="396"/>
      <c r="G8953" s="396"/>
      <c r="K8953" s="370"/>
      <c r="N8953" s="370"/>
    </row>
    <row r="8954" spans="1:14" s="347" customFormat="1" x14ac:dyDescent="0.25">
      <c r="A8954" s="369"/>
      <c r="E8954" s="396"/>
      <c r="F8954" s="396"/>
      <c r="G8954" s="396"/>
      <c r="K8954" s="370"/>
      <c r="N8954" s="370"/>
    </row>
    <row r="8955" spans="1:14" s="347" customFormat="1" x14ac:dyDescent="0.25">
      <c r="A8955" s="369"/>
      <c r="E8955" s="396"/>
      <c r="F8955" s="396"/>
      <c r="G8955" s="396"/>
      <c r="K8955" s="370"/>
      <c r="N8955" s="370"/>
    </row>
    <row r="8956" spans="1:14" s="347" customFormat="1" x14ac:dyDescent="0.25">
      <c r="A8956" s="369"/>
      <c r="E8956" s="396"/>
      <c r="F8956" s="396"/>
      <c r="G8956" s="396"/>
      <c r="K8956" s="370"/>
      <c r="N8956" s="370"/>
    </row>
    <row r="8957" spans="1:14" s="347" customFormat="1" x14ac:dyDescent="0.25">
      <c r="A8957" s="369"/>
      <c r="E8957" s="396"/>
      <c r="F8957" s="396"/>
      <c r="G8957" s="396"/>
      <c r="K8957" s="370"/>
      <c r="N8957" s="370"/>
    </row>
    <row r="8958" spans="1:14" s="347" customFormat="1" x14ac:dyDescent="0.25">
      <c r="A8958" s="369"/>
      <c r="E8958" s="396"/>
      <c r="F8958" s="396"/>
      <c r="G8958" s="396"/>
      <c r="K8958" s="370"/>
      <c r="N8958" s="370"/>
    </row>
    <row r="8959" spans="1:14" s="347" customFormat="1" x14ac:dyDescent="0.25">
      <c r="A8959" s="369"/>
      <c r="E8959" s="396"/>
      <c r="F8959" s="396"/>
      <c r="G8959" s="396"/>
      <c r="K8959" s="370"/>
      <c r="N8959" s="370"/>
    </row>
    <row r="8960" spans="1:14" s="347" customFormat="1" x14ac:dyDescent="0.25">
      <c r="A8960" s="369"/>
      <c r="E8960" s="396"/>
      <c r="F8960" s="396"/>
      <c r="G8960" s="396"/>
      <c r="K8960" s="370"/>
      <c r="N8960" s="370"/>
    </row>
    <row r="8961" spans="1:14" s="347" customFormat="1" x14ac:dyDescent="0.25">
      <c r="A8961" s="369"/>
      <c r="E8961" s="396"/>
      <c r="F8961" s="396"/>
      <c r="G8961" s="396"/>
      <c r="K8961" s="370"/>
      <c r="N8961" s="370"/>
    </row>
    <row r="8962" spans="1:14" s="347" customFormat="1" x14ac:dyDescent="0.25">
      <c r="A8962" s="369"/>
      <c r="E8962" s="396"/>
      <c r="F8962" s="396"/>
      <c r="G8962" s="396"/>
      <c r="K8962" s="370"/>
      <c r="N8962" s="370"/>
    </row>
    <row r="8963" spans="1:14" s="347" customFormat="1" x14ac:dyDescent="0.25">
      <c r="A8963" s="369"/>
      <c r="E8963" s="396"/>
      <c r="F8963" s="396"/>
      <c r="G8963" s="396"/>
      <c r="K8963" s="370"/>
      <c r="N8963" s="370"/>
    </row>
    <row r="8964" spans="1:14" s="347" customFormat="1" x14ac:dyDescent="0.25">
      <c r="A8964" s="369"/>
      <c r="E8964" s="396"/>
      <c r="F8964" s="396"/>
      <c r="G8964" s="396"/>
      <c r="K8964" s="370"/>
      <c r="N8964" s="370"/>
    </row>
    <row r="8965" spans="1:14" s="347" customFormat="1" x14ac:dyDescent="0.25">
      <c r="A8965" s="369"/>
      <c r="E8965" s="396"/>
      <c r="F8965" s="396"/>
      <c r="G8965" s="396"/>
      <c r="K8965" s="370"/>
      <c r="N8965" s="370"/>
    </row>
    <row r="8966" spans="1:14" s="347" customFormat="1" x14ac:dyDescent="0.25">
      <c r="A8966" s="369"/>
      <c r="E8966" s="396"/>
      <c r="F8966" s="396"/>
      <c r="G8966" s="396"/>
      <c r="K8966" s="370"/>
      <c r="N8966" s="370"/>
    </row>
    <row r="8967" spans="1:14" s="347" customFormat="1" x14ac:dyDescent="0.25">
      <c r="A8967" s="369"/>
      <c r="E8967" s="396"/>
      <c r="F8967" s="396"/>
      <c r="G8967" s="396"/>
      <c r="K8967" s="370"/>
      <c r="N8967" s="370"/>
    </row>
    <row r="8968" spans="1:14" s="347" customFormat="1" x14ac:dyDescent="0.25">
      <c r="A8968" s="369"/>
      <c r="E8968" s="396"/>
      <c r="F8968" s="396"/>
      <c r="G8968" s="396"/>
      <c r="K8968" s="370"/>
      <c r="N8968" s="370"/>
    </row>
    <row r="8969" spans="1:14" s="347" customFormat="1" x14ac:dyDescent="0.25">
      <c r="A8969" s="369"/>
      <c r="E8969" s="396"/>
      <c r="F8969" s="396"/>
      <c r="G8969" s="396"/>
      <c r="K8969" s="370"/>
      <c r="N8969" s="370"/>
    </row>
    <row r="8970" spans="1:14" s="347" customFormat="1" x14ac:dyDescent="0.25">
      <c r="A8970" s="369"/>
      <c r="E8970" s="396"/>
      <c r="F8970" s="396"/>
      <c r="G8970" s="396"/>
      <c r="K8970" s="370"/>
      <c r="N8970" s="370"/>
    </row>
    <row r="8971" spans="1:14" s="347" customFormat="1" x14ac:dyDescent="0.25">
      <c r="A8971" s="369"/>
      <c r="E8971" s="396"/>
      <c r="F8971" s="396"/>
      <c r="G8971" s="396"/>
      <c r="K8971" s="370"/>
      <c r="N8971" s="370"/>
    </row>
    <row r="8972" spans="1:14" s="347" customFormat="1" x14ac:dyDescent="0.25">
      <c r="A8972" s="369"/>
      <c r="E8972" s="396"/>
      <c r="F8972" s="396"/>
      <c r="G8972" s="396"/>
      <c r="K8972" s="370"/>
      <c r="N8972" s="370"/>
    </row>
    <row r="8973" spans="1:14" s="347" customFormat="1" x14ac:dyDescent="0.25">
      <c r="A8973" s="369"/>
      <c r="E8973" s="396"/>
      <c r="F8973" s="396"/>
      <c r="G8973" s="396"/>
      <c r="K8973" s="370"/>
      <c r="N8973" s="370"/>
    </row>
    <row r="8974" spans="1:14" s="347" customFormat="1" x14ac:dyDescent="0.25">
      <c r="A8974" s="369"/>
      <c r="E8974" s="396"/>
      <c r="F8974" s="396"/>
      <c r="G8974" s="396"/>
      <c r="K8974" s="370"/>
      <c r="N8974" s="370"/>
    </row>
    <row r="8975" spans="1:14" s="347" customFormat="1" x14ac:dyDescent="0.25">
      <c r="A8975" s="369"/>
      <c r="E8975" s="396"/>
      <c r="F8975" s="396"/>
      <c r="G8975" s="396"/>
      <c r="K8975" s="370"/>
      <c r="N8975" s="370"/>
    </row>
    <row r="8976" spans="1:14" s="347" customFormat="1" x14ac:dyDescent="0.25">
      <c r="A8976" s="369"/>
      <c r="E8976" s="396"/>
      <c r="F8976" s="396"/>
      <c r="G8976" s="396"/>
      <c r="K8976" s="370"/>
      <c r="N8976" s="370"/>
    </row>
    <row r="8977" spans="1:14" s="347" customFormat="1" x14ac:dyDescent="0.25">
      <c r="A8977" s="369"/>
      <c r="E8977" s="396"/>
      <c r="F8977" s="396"/>
      <c r="G8977" s="396"/>
      <c r="K8977" s="370"/>
      <c r="N8977" s="370"/>
    </row>
    <row r="8978" spans="1:14" s="347" customFormat="1" x14ac:dyDescent="0.25">
      <c r="A8978" s="369"/>
      <c r="E8978" s="396"/>
      <c r="F8978" s="396"/>
      <c r="G8978" s="396"/>
      <c r="K8978" s="370"/>
      <c r="N8978" s="370"/>
    </row>
    <row r="8979" spans="1:14" s="347" customFormat="1" x14ac:dyDescent="0.25">
      <c r="A8979" s="369"/>
      <c r="E8979" s="396"/>
      <c r="F8979" s="396"/>
      <c r="G8979" s="396"/>
      <c r="K8979" s="370"/>
      <c r="N8979" s="370"/>
    </row>
    <row r="8980" spans="1:14" s="347" customFormat="1" x14ac:dyDescent="0.25">
      <c r="A8980" s="369"/>
      <c r="E8980" s="396"/>
      <c r="F8980" s="396"/>
      <c r="G8980" s="396"/>
      <c r="K8980" s="370"/>
      <c r="N8980" s="370"/>
    </row>
    <row r="8981" spans="1:14" s="347" customFormat="1" x14ac:dyDescent="0.25">
      <c r="A8981" s="369"/>
      <c r="E8981" s="396"/>
      <c r="F8981" s="396"/>
      <c r="G8981" s="396"/>
      <c r="K8981" s="370"/>
      <c r="N8981" s="370"/>
    </row>
    <row r="8982" spans="1:14" s="347" customFormat="1" x14ac:dyDescent="0.25">
      <c r="A8982" s="369"/>
      <c r="E8982" s="396"/>
      <c r="F8982" s="396"/>
      <c r="G8982" s="396"/>
      <c r="K8982" s="370"/>
      <c r="N8982" s="370"/>
    </row>
    <row r="8983" spans="1:14" s="347" customFormat="1" x14ac:dyDescent="0.25">
      <c r="A8983" s="369"/>
      <c r="E8983" s="396"/>
      <c r="F8983" s="396"/>
      <c r="G8983" s="396"/>
      <c r="K8983" s="370"/>
      <c r="N8983" s="370"/>
    </row>
    <row r="8984" spans="1:14" s="347" customFormat="1" x14ac:dyDescent="0.25">
      <c r="A8984" s="369"/>
      <c r="E8984" s="396"/>
      <c r="F8984" s="396"/>
      <c r="G8984" s="396"/>
      <c r="K8984" s="370"/>
      <c r="N8984" s="370"/>
    </row>
    <row r="8985" spans="1:14" s="347" customFormat="1" x14ac:dyDescent="0.25">
      <c r="A8985" s="369"/>
      <c r="E8985" s="396"/>
      <c r="F8985" s="396"/>
      <c r="G8985" s="396"/>
      <c r="K8985" s="370"/>
      <c r="N8985" s="370"/>
    </row>
    <row r="8986" spans="1:14" s="347" customFormat="1" x14ac:dyDescent="0.25">
      <c r="A8986" s="369"/>
      <c r="E8986" s="396"/>
      <c r="F8986" s="396"/>
      <c r="G8986" s="396"/>
      <c r="K8986" s="370"/>
      <c r="N8986" s="370"/>
    </row>
    <row r="8987" spans="1:14" s="347" customFormat="1" x14ac:dyDescent="0.25">
      <c r="A8987" s="369"/>
      <c r="E8987" s="396"/>
      <c r="F8987" s="396"/>
      <c r="G8987" s="396"/>
      <c r="K8987" s="370"/>
      <c r="N8987" s="370"/>
    </row>
    <row r="8988" spans="1:14" s="347" customFormat="1" x14ac:dyDescent="0.25">
      <c r="A8988" s="369"/>
      <c r="E8988" s="396"/>
      <c r="F8988" s="396"/>
      <c r="G8988" s="396"/>
      <c r="K8988" s="370"/>
      <c r="N8988" s="370"/>
    </row>
    <row r="8989" spans="1:14" s="347" customFormat="1" x14ac:dyDescent="0.25">
      <c r="A8989" s="369"/>
      <c r="E8989" s="396"/>
      <c r="F8989" s="396"/>
      <c r="G8989" s="396"/>
      <c r="K8989" s="370"/>
      <c r="N8989" s="370"/>
    </row>
    <row r="8990" spans="1:14" s="347" customFormat="1" x14ac:dyDescent="0.25">
      <c r="A8990" s="369"/>
      <c r="E8990" s="396"/>
      <c r="F8990" s="396"/>
      <c r="G8990" s="396"/>
      <c r="K8990" s="370"/>
      <c r="N8990" s="370"/>
    </row>
    <row r="8991" spans="1:14" s="347" customFormat="1" x14ac:dyDescent="0.25">
      <c r="A8991" s="369"/>
      <c r="E8991" s="396"/>
      <c r="F8991" s="396"/>
      <c r="G8991" s="396"/>
      <c r="K8991" s="370"/>
      <c r="N8991" s="370"/>
    </row>
    <row r="8992" spans="1:14" s="347" customFormat="1" x14ac:dyDescent="0.25">
      <c r="A8992" s="369"/>
      <c r="E8992" s="396"/>
      <c r="F8992" s="396"/>
      <c r="G8992" s="396"/>
      <c r="K8992" s="370"/>
      <c r="N8992" s="370"/>
    </row>
    <row r="8993" spans="1:14" s="347" customFormat="1" x14ac:dyDescent="0.25">
      <c r="A8993" s="369"/>
      <c r="E8993" s="396"/>
      <c r="F8993" s="396"/>
      <c r="G8993" s="396"/>
      <c r="K8993" s="370"/>
      <c r="N8993" s="370"/>
    </row>
    <row r="8994" spans="1:14" s="347" customFormat="1" x14ac:dyDescent="0.25">
      <c r="A8994" s="369"/>
      <c r="E8994" s="396"/>
      <c r="F8994" s="396"/>
      <c r="G8994" s="396"/>
      <c r="K8994" s="370"/>
      <c r="N8994" s="370"/>
    </row>
    <row r="8995" spans="1:14" s="347" customFormat="1" x14ac:dyDescent="0.25">
      <c r="A8995" s="369"/>
      <c r="E8995" s="396"/>
      <c r="F8995" s="396"/>
      <c r="G8995" s="396"/>
      <c r="K8995" s="370"/>
      <c r="N8995" s="370"/>
    </row>
    <row r="8996" spans="1:14" s="347" customFormat="1" x14ac:dyDescent="0.25">
      <c r="A8996" s="369"/>
      <c r="E8996" s="396"/>
      <c r="F8996" s="396"/>
      <c r="G8996" s="396"/>
      <c r="K8996" s="370"/>
      <c r="N8996" s="370"/>
    </row>
    <row r="8997" spans="1:14" s="347" customFormat="1" x14ac:dyDescent="0.25">
      <c r="A8997" s="369"/>
      <c r="E8997" s="396"/>
      <c r="F8997" s="396"/>
      <c r="G8997" s="396"/>
      <c r="K8997" s="370"/>
      <c r="N8997" s="370"/>
    </row>
    <row r="8998" spans="1:14" s="347" customFormat="1" x14ac:dyDescent="0.25">
      <c r="A8998" s="369"/>
      <c r="E8998" s="396"/>
      <c r="F8998" s="396"/>
      <c r="G8998" s="396"/>
      <c r="K8998" s="370"/>
      <c r="N8998" s="370"/>
    </row>
    <row r="8999" spans="1:14" s="347" customFormat="1" x14ac:dyDescent="0.25">
      <c r="A8999" s="369"/>
      <c r="E8999" s="396"/>
      <c r="F8999" s="396"/>
      <c r="G8999" s="396"/>
      <c r="K8999" s="370"/>
      <c r="N8999" s="370"/>
    </row>
    <row r="9000" spans="1:14" s="347" customFormat="1" x14ac:dyDescent="0.25">
      <c r="A9000" s="369"/>
      <c r="E9000" s="396"/>
      <c r="F9000" s="396"/>
      <c r="G9000" s="396"/>
      <c r="K9000" s="370"/>
      <c r="N9000" s="370"/>
    </row>
    <row r="9001" spans="1:14" s="347" customFormat="1" x14ac:dyDescent="0.25">
      <c r="A9001" s="369"/>
      <c r="E9001" s="396"/>
      <c r="F9001" s="396"/>
      <c r="G9001" s="396"/>
      <c r="K9001" s="370"/>
      <c r="N9001" s="370"/>
    </row>
    <row r="9002" spans="1:14" s="347" customFormat="1" x14ac:dyDescent="0.25">
      <c r="A9002" s="369"/>
      <c r="E9002" s="396"/>
      <c r="F9002" s="396"/>
      <c r="G9002" s="396"/>
      <c r="K9002" s="370"/>
      <c r="N9002" s="370"/>
    </row>
    <row r="9003" spans="1:14" s="347" customFormat="1" x14ac:dyDescent="0.25">
      <c r="A9003" s="369"/>
      <c r="E9003" s="396"/>
      <c r="F9003" s="396"/>
      <c r="G9003" s="396"/>
      <c r="K9003" s="370"/>
      <c r="N9003" s="370"/>
    </row>
    <row r="9004" spans="1:14" s="347" customFormat="1" x14ac:dyDescent="0.25">
      <c r="A9004" s="369"/>
      <c r="E9004" s="396"/>
      <c r="F9004" s="396"/>
      <c r="G9004" s="396"/>
      <c r="K9004" s="370"/>
      <c r="N9004" s="370"/>
    </row>
    <row r="9005" spans="1:14" s="347" customFormat="1" x14ac:dyDescent="0.25">
      <c r="A9005" s="369"/>
      <c r="E9005" s="396"/>
      <c r="F9005" s="396"/>
      <c r="G9005" s="396"/>
      <c r="K9005" s="370"/>
      <c r="N9005" s="370"/>
    </row>
    <row r="9006" spans="1:14" s="347" customFormat="1" x14ac:dyDescent="0.25">
      <c r="A9006" s="369"/>
      <c r="E9006" s="396"/>
      <c r="F9006" s="396"/>
      <c r="G9006" s="396"/>
      <c r="K9006" s="370"/>
      <c r="N9006" s="370"/>
    </row>
    <row r="9007" spans="1:14" s="347" customFormat="1" x14ac:dyDescent="0.25">
      <c r="A9007" s="369"/>
      <c r="E9007" s="396"/>
      <c r="F9007" s="396"/>
      <c r="G9007" s="396"/>
      <c r="K9007" s="370"/>
      <c r="N9007" s="370"/>
    </row>
    <row r="9008" spans="1:14" s="347" customFormat="1" x14ac:dyDescent="0.25">
      <c r="A9008" s="369"/>
      <c r="E9008" s="396"/>
      <c r="F9008" s="396"/>
      <c r="G9008" s="396"/>
      <c r="K9008" s="370"/>
      <c r="N9008" s="370"/>
    </row>
    <row r="9009" spans="1:14" s="347" customFormat="1" x14ac:dyDescent="0.25">
      <c r="A9009" s="369"/>
      <c r="E9009" s="396"/>
      <c r="F9009" s="396"/>
      <c r="G9009" s="396"/>
      <c r="K9009" s="370"/>
      <c r="N9009" s="370"/>
    </row>
    <row r="9010" spans="1:14" s="347" customFormat="1" x14ac:dyDescent="0.25">
      <c r="A9010" s="369"/>
      <c r="E9010" s="396"/>
      <c r="F9010" s="396"/>
      <c r="G9010" s="396"/>
      <c r="K9010" s="370"/>
      <c r="N9010" s="370"/>
    </row>
    <row r="9011" spans="1:14" s="347" customFormat="1" x14ac:dyDescent="0.25">
      <c r="A9011" s="369"/>
      <c r="E9011" s="396"/>
      <c r="F9011" s="396"/>
      <c r="G9011" s="396"/>
      <c r="K9011" s="370"/>
      <c r="N9011" s="370"/>
    </row>
    <row r="9012" spans="1:14" s="347" customFormat="1" x14ac:dyDescent="0.25">
      <c r="A9012" s="369"/>
      <c r="E9012" s="396"/>
      <c r="F9012" s="396"/>
      <c r="G9012" s="396"/>
      <c r="K9012" s="370"/>
      <c r="N9012" s="370"/>
    </row>
    <row r="9013" spans="1:14" s="347" customFormat="1" x14ac:dyDescent="0.25">
      <c r="A9013" s="369"/>
      <c r="E9013" s="396"/>
      <c r="F9013" s="396"/>
      <c r="G9013" s="396"/>
      <c r="K9013" s="370"/>
      <c r="N9013" s="370"/>
    </row>
    <row r="9014" spans="1:14" s="347" customFormat="1" x14ac:dyDescent="0.25">
      <c r="A9014" s="369"/>
      <c r="E9014" s="396"/>
      <c r="F9014" s="396"/>
      <c r="G9014" s="396"/>
      <c r="K9014" s="370"/>
      <c r="N9014" s="370"/>
    </row>
    <row r="9015" spans="1:14" s="347" customFormat="1" x14ac:dyDescent="0.25">
      <c r="A9015" s="369"/>
      <c r="E9015" s="396"/>
      <c r="F9015" s="396"/>
      <c r="G9015" s="396"/>
      <c r="K9015" s="370"/>
      <c r="N9015" s="370"/>
    </row>
    <row r="9016" spans="1:14" s="347" customFormat="1" x14ac:dyDescent="0.25">
      <c r="A9016" s="369"/>
      <c r="E9016" s="396"/>
      <c r="F9016" s="396"/>
      <c r="G9016" s="396"/>
      <c r="K9016" s="370"/>
      <c r="N9016" s="370"/>
    </row>
    <row r="9017" spans="1:14" s="347" customFormat="1" x14ac:dyDescent="0.25">
      <c r="A9017" s="369"/>
      <c r="E9017" s="396"/>
      <c r="F9017" s="396"/>
      <c r="G9017" s="396"/>
      <c r="K9017" s="370"/>
      <c r="N9017" s="370"/>
    </row>
    <row r="9018" spans="1:14" s="347" customFormat="1" x14ac:dyDescent="0.25">
      <c r="A9018" s="369"/>
      <c r="E9018" s="396"/>
      <c r="F9018" s="396"/>
      <c r="G9018" s="396"/>
      <c r="K9018" s="370"/>
      <c r="N9018" s="370"/>
    </row>
    <row r="9019" spans="1:14" s="347" customFormat="1" x14ac:dyDescent="0.25">
      <c r="A9019" s="369"/>
      <c r="E9019" s="396"/>
      <c r="F9019" s="396"/>
      <c r="G9019" s="396"/>
      <c r="K9019" s="370"/>
      <c r="N9019" s="370"/>
    </row>
    <row r="9020" spans="1:14" s="347" customFormat="1" x14ac:dyDescent="0.25">
      <c r="A9020" s="369"/>
      <c r="E9020" s="396"/>
      <c r="F9020" s="396"/>
      <c r="G9020" s="396"/>
      <c r="K9020" s="370"/>
      <c r="N9020" s="370"/>
    </row>
    <row r="9021" spans="1:14" s="347" customFormat="1" x14ac:dyDescent="0.25">
      <c r="A9021" s="369"/>
      <c r="E9021" s="396"/>
      <c r="F9021" s="396"/>
      <c r="G9021" s="396"/>
      <c r="K9021" s="370"/>
      <c r="N9021" s="370"/>
    </row>
    <row r="9022" spans="1:14" s="347" customFormat="1" x14ac:dyDescent="0.25">
      <c r="A9022" s="369"/>
      <c r="E9022" s="396"/>
      <c r="F9022" s="396"/>
      <c r="G9022" s="396"/>
      <c r="K9022" s="370"/>
      <c r="N9022" s="370"/>
    </row>
    <row r="9023" spans="1:14" s="347" customFormat="1" x14ac:dyDescent="0.25">
      <c r="A9023" s="369"/>
      <c r="E9023" s="396"/>
      <c r="F9023" s="396"/>
      <c r="G9023" s="396"/>
      <c r="K9023" s="370"/>
      <c r="N9023" s="370"/>
    </row>
    <row r="9024" spans="1:14" s="347" customFormat="1" x14ac:dyDescent="0.25">
      <c r="A9024" s="369"/>
      <c r="E9024" s="396"/>
      <c r="F9024" s="396"/>
      <c r="G9024" s="396"/>
      <c r="K9024" s="370"/>
      <c r="N9024" s="370"/>
    </row>
    <row r="9025" spans="1:14" s="347" customFormat="1" x14ac:dyDescent="0.25">
      <c r="A9025" s="369"/>
      <c r="E9025" s="396"/>
      <c r="F9025" s="396"/>
      <c r="G9025" s="396"/>
      <c r="K9025" s="370"/>
      <c r="N9025" s="370"/>
    </row>
    <row r="9026" spans="1:14" s="347" customFormat="1" x14ac:dyDescent="0.25">
      <c r="A9026" s="369"/>
      <c r="E9026" s="396"/>
      <c r="F9026" s="396"/>
      <c r="G9026" s="396"/>
      <c r="K9026" s="370"/>
      <c r="N9026" s="370"/>
    </row>
    <row r="9027" spans="1:14" s="347" customFormat="1" x14ac:dyDescent="0.25">
      <c r="A9027" s="369"/>
      <c r="E9027" s="396"/>
      <c r="F9027" s="396"/>
      <c r="G9027" s="396"/>
      <c r="K9027" s="370"/>
      <c r="N9027" s="370"/>
    </row>
    <row r="9028" spans="1:14" s="347" customFormat="1" x14ac:dyDescent="0.25">
      <c r="A9028" s="369"/>
      <c r="E9028" s="396"/>
      <c r="F9028" s="396"/>
      <c r="G9028" s="396"/>
      <c r="K9028" s="370"/>
      <c r="N9028" s="370"/>
    </row>
    <row r="9029" spans="1:14" s="347" customFormat="1" x14ac:dyDescent="0.25">
      <c r="A9029" s="369"/>
      <c r="E9029" s="396"/>
      <c r="F9029" s="396"/>
      <c r="G9029" s="396"/>
      <c r="K9029" s="370"/>
      <c r="N9029" s="370"/>
    </row>
    <row r="9030" spans="1:14" s="347" customFormat="1" x14ac:dyDescent="0.25">
      <c r="A9030" s="369"/>
      <c r="E9030" s="396"/>
      <c r="F9030" s="396"/>
      <c r="G9030" s="396"/>
      <c r="K9030" s="370"/>
      <c r="N9030" s="370"/>
    </row>
    <row r="9031" spans="1:14" s="347" customFormat="1" x14ac:dyDescent="0.25">
      <c r="A9031" s="369"/>
      <c r="E9031" s="396"/>
      <c r="F9031" s="396"/>
      <c r="G9031" s="396"/>
      <c r="K9031" s="370"/>
      <c r="N9031" s="370"/>
    </row>
    <row r="9032" spans="1:14" s="347" customFormat="1" x14ac:dyDescent="0.25">
      <c r="A9032" s="369"/>
      <c r="E9032" s="396"/>
      <c r="F9032" s="396"/>
      <c r="G9032" s="396"/>
      <c r="K9032" s="370"/>
      <c r="N9032" s="370"/>
    </row>
    <row r="9033" spans="1:14" s="347" customFormat="1" x14ac:dyDescent="0.25">
      <c r="A9033" s="369"/>
      <c r="E9033" s="396"/>
      <c r="F9033" s="396"/>
      <c r="G9033" s="396"/>
      <c r="K9033" s="370"/>
      <c r="N9033" s="370"/>
    </row>
    <row r="9034" spans="1:14" s="347" customFormat="1" x14ac:dyDescent="0.25">
      <c r="A9034" s="369"/>
      <c r="E9034" s="396"/>
      <c r="F9034" s="396"/>
      <c r="G9034" s="396"/>
      <c r="K9034" s="370"/>
      <c r="N9034" s="370"/>
    </row>
    <row r="9035" spans="1:14" s="347" customFormat="1" x14ac:dyDescent="0.25">
      <c r="A9035" s="369"/>
      <c r="E9035" s="396"/>
      <c r="F9035" s="396"/>
      <c r="G9035" s="396"/>
      <c r="K9035" s="370"/>
      <c r="N9035" s="370"/>
    </row>
    <row r="9036" spans="1:14" s="347" customFormat="1" x14ac:dyDescent="0.25">
      <c r="A9036" s="369"/>
      <c r="E9036" s="396"/>
      <c r="F9036" s="396"/>
      <c r="G9036" s="396"/>
      <c r="K9036" s="370"/>
      <c r="N9036" s="370"/>
    </row>
    <row r="9037" spans="1:14" s="347" customFormat="1" x14ac:dyDescent="0.25">
      <c r="A9037" s="369"/>
      <c r="E9037" s="396"/>
      <c r="F9037" s="396"/>
      <c r="G9037" s="396"/>
      <c r="K9037" s="370"/>
      <c r="N9037" s="370"/>
    </row>
    <row r="9038" spans="1:14" s="347" customFormat="1" x14ac:dyDescent="0.25">
      <c r="A9038" s="369"/>
      <c r="E9038" s="396"/>
      <c r="F9038" s="396"/>
      <c r="G9038" s="396"/>
      <c r="K9038" s="370"/>
      <c r="N9038" s="370"/>
    </row>
    <row r="9039" spans="1:14" s="347" customFormat="1" x14ac:dyDescent="0.25">
      <c r="A9039" s="369"/>
      <c r="E9039" s="396"/>
      <c r="F9039" s="396"/>
      <c r="G9039" s="396"/>
      <c r="K9039" s="370"/>
      <c r="N9039" s="370"/>
    </row>
    <row r="9040" spans="1:14" s="347" customFormat="1" x14ac:dyDescent="0.25">
      <c r="A9040" s="369"/>
      <c r="E9040" s="396"/>
      <c r="F9040" s="396"/>
      <c r="G9040" s="396"/>
      <c r="K9040" s="370"/>
      <c r="N9040" s="370"/>
    </row>
    <row r="9041" spans="1:14" s="347" customFormat="1" x14ac:dyDescent="0.25">
      <c r="A9041" s="369"/>
      <c r="E9041" s="396"/>
      <c r="F9041" s="396"/>
      <c r="G9041" s="396"/>
      <c r="K9041" s="370"/>
      <c r="N9041" s="370"/>
    </row>
    <row r="9042" spans="1:14" s="347" customFormat="1" x14ac:dyDescent="0.25">
      <c r="A9042" s="369"/>
      <c r="E9042" s="396"/>
      <c r="F9042" s="396"/>
      <c r="G9042" s="396"/>
      <c r="K9042" s="370"/>
      <c r="N9042" s="370"/>
    </row>
    <row r="9043" spans="1:14" s="347" customFormat="1" x14ac:dyDescent="0.25">
      <c r="A9043" s="369"/>
      <c r="E9043" s="396"/>
      <c r="F9043" s="396"/>
      <c r="G9043" s="396"/>
      <c r="K9043" s="370"/>
      <c r="N9043" s="370"/>
    </row>
    <row r="9044" spans="1:14" s="347" customFormat="1" x14ac:dyDescent="0.25">
      <c r="A9044" s="369"/>
      <c r="E9044" s="396"/>
      <c r="F9044" s="396"/>
      <c r="G9044" s="396"/>
      <c r="K9044" s="370"/>
      <c r="N9044" s="370"/>
    </row>
    <row r="9045" spans="1:14" s="347" customFormat="1" x14ac:dyDescent="0.25">
      <c r="A9045" s="369"/>
      <c r="E9045" s="396"/>
      <c r="F9045" s="396"/>
      <c r="G9045" s="396"/>
      <c r="K9045" s="370"/>
      <c r="N9045" s="370"/>
    </row>
    <row r="9046" spans="1:14" s="347" customFormat="1" x14ac:dyDescent="0.25">
      <c r="A9046" s="369"/>
      <c r="E9046" s="396"/>
      <c r="F9046" s="396"/>
      <c r="G9046" s="396"/>
      <c r="K9046" s="370"/>
      <c r="N9046" s="370"/>
    </row>
    <row r="9047" spans="1:14" s="347" customFormat="1" x14ac:dyDescent="0.25">
      <c r="A9047" s="369"/>
      <c r="E9047" s="396"/>
      <c r="F9047" s="396"/>
      <c r="G9047" s="396"/>
      <c r="K9047" s="370"/>
      <c r="N9047" s="370"/>
    </row>
    <row r="9048" spans="1:14" s="347" customFormat="1" x14ac:dyDescent="0.25">
      <c r="A9048" s="369"/>
      <c r="E9048" s="396"/>
      <c r="F9048" s="396"/>
      <c r="G9048" s="396"/>
      <c r="K9048" s="370"/>
      <c r="N9048" s="370"/>
    </row>
    <row r="9049" spans="1:14" s="347" customFormat="1" x14ac:dyDescent="0.25">
      <c r="A9049" s="369"/>
      <c r="E9049" s="396"/>
      <c r="F9049" s="396"/>
      <c r="G9049" s="396"/>
      <c r="K9049" s="370"/>
      <c r="N9049" s="370"/>
    </row>
    <row r="9050" spans="1:14" s="347" customFormat="1" x14ac:dyDescent="0.25">
      <c r="A9050" s="369"/>
      <c r="E9050" s="396"/>
      <c r="F9050" s="396"/>
      <c r="G9050" s="396"/>
      <c r="K9050" s="370"/>
      <c r="N9050" s="370"/>
    </row>
    <row r="9051" spans="1:14" s="347" customFormat="1" x14ac:dyDescent="0.25">
      <c r="A9051" s="369"/>
      <c r="E9051" s="396"/>
      <c r="F9051" s="396"/>
      <c r="G9051" s="396"/>
      <c r="K9051" s="370"/>
      <c r="N9051" s="370"/>
    </row>
    <row r="9052" spans="1:14" s="347" customFormat="1" x14ac:dyDescent="0.25">
      <c r="A9052" s="369"/>
      <c r="E9052" s="396"/>
      <c r="F9052" s="396"/>
      <c r="G9052" s="396"/>
      <c r="K9052" s="370"/>
      <c r="N9052" s="370"/>
    </row>
    <row r="9053" spans="1:14" s="347" customFormat="1" x14ac:dyDescent="0.25">
      <c r="A9053" s="369"/>
      <c r="E9053" s="396"/>
      <c r="F9053" s="396"/>
      <c r="G9053" s="396"/>
      <c r="K9053" s="370"/>
      <c r="N9053" s="370"/>
    </row>
    <row r="9054" spans="1:14" s="347" customFormat="1" x14ac:dyDescent="0.25">
      <c r="A9054" s="369"/>
      <c r="E9054" s="396"/>
      <c r="F9054" s="396"/>
      <c r="G9054" s="396"/>
      <c r="K9054" s="370"/>
      <c r="N9054" s="370"/>
    </row>
    <row r="9055" spans="1:14" s="347" customFormat="1" x14ac:dyDescent="0.25">
      <c r="A9055" s="369"/>
      <c r="E9055" s="396"/>
      <c r="F9055" s="396"/>
      <c r="G9055" s="396"/>
      <c r="K9055" s="370"/>
      <c r="N9055" s="370"/>
    </row>
    <row r="9056" spans="1:14" s="347" customFormat="1" x14ac:dyDescent="0.25">
      <c r="A9056" s="369"/>
      <c r="E9056" s="396"/>
      <c r="F9056" s="396"/>
      <c r="G9056" s="396"/>
      <c r="K9056" s="370"/>
      <c r="N9056" s="370"/>
    </row>
    <row r="9057" spans="1:14" s="347" customFormat="1" x14ac:dyDescent="0.25">
      <c r="A9057" s="369"/>
      <c r="E9057" s="396"/>
      <c r="F9057" s="396"/>
      <c r="G9057" s="396"/>
      <c r="K9057" s="370"/>
      <c r="N9057" s="370"/>
    </row>
    <row r="9058" spans="1:14" s="347" customFormat="1" x14ac:dyDescent="0.25">
      <c r="A9058" s="369"/>
      <c r="E9058" s="396"/>
      <c r="F9058" s="396"/>
      <c r="G9058" s="396"/>
      <c r="K9058" s="370"/>
      <c r="N9058" s="370"/>
    </row>
    <row r="9059" spans="1:14" s="347" customFormat="1" x14ac:dyDescent="0.25">
      <c r="A9059" s="369"/>
      <c r="E9059" s="396"/>
      <c r="F9059" s="396"/>
      <c r="G9059" s="396"/>
      <c r="K9059" s="370"/>
      <c r="N9059" s="370"/>
    </row>
    <row r="9060" spans="1:14" s="347" customFormat="1" x14ac:dyDescent="0.25">
      <c r="A9060" s="369"/>
      <c r="E9060" s="396"/>
      <c r="F9060" s="396"/>
      <c r="G9060" s="396"/>
      <c r="K9060" s="370"/>
      <c r="N9060" s="370"/>
    </row>
    <row r="9061" spans="1:14" s="347" customFormat="1" x14ac:dyDescent="0.25">
      <c r="A9061" s="369"/>
      <c r="E9061" s="396"/>
      <c r="F9061" s="396"/>
      <c r="G9061" s="396"/>
      <c r="K9061" s="370"/>
      <c r="N9061" s="370"/>
    </row>
    <row r="9062" spans="1:14" s="347" customFormat="1" x14ac:dyDescent="0.25">
      <c r="A9062" s="369"/>
      <c r="E9062" s="396"/>
      <c r="F9062" s="396"/>
      <c r="G9062" s="396"/>
      <c r="K9062" s="370"/>
      <c r="N9062" s="370"/>
    </row>
    <row r="9063" spans="1:14" s="347" customFormat="1" x14ac:dyDescent="0.25">
      <c r="A9063" s="369"/>
      <c r="E9063" s="396"/>
      <c r="F9063" s="396"/>
      <c r="G9063" s="396"/>
      <c r="K9063" s="370"/>
      <c r="N9063" s="370"/>
    </row>
    <row r="9064" spans="1:14" s="347" customFormat="1" x14ac:dyDescent="0.25">
      <c r="A9064" s="369"/>
      <c r="E9064" s="396"/>
      <c r="F9064" s="396"/>
      <c r="G9064" s="396"/>
      <c r="K9064" s="370"/>
      <c r="N9064" s="370"/>
    </row>
    <row r="9065" spans="1:14" s="347" customFormat="1" x14ac:dyDescent="0.25">
      <c r="A9065" s="369"/>
      <c r="E9065" s="396"/>
      <c r="F9065" s="396"/>
      <c r="G9065" s="396"/>
      <c r="K9065" s="370"/>
      <c r="N9065" s="370"/>
    </row>
    <row r="9066" spans="1:14" s="347" customFormat="1" x14ac:dyDescent="0.25">
      <c r="A9066" s="369"/>
      <c r="E9066" s="396"/>
      <c r="F9066" s="396"/>
      <c r="G9066" s="396"/>
      <c r="K9066" s="370"/>
      <c r="N9066" s="370"/>
    </row>
    <row r="9067" spans="1:14" s="347" customFormat="1" x14ac:dyDescent="0.25">
      <c r="A9067" s="369"/>
      <c r="E9067" s="396"/>
      <c r="F9067" s="396"/>
      <c r="G9067" s="396"/>
      <c r="K9067" s="370"/>
      <c r="N9067" s="370"/>
    </row>
    <row r="9068" spans="1:14" s="347" customFormat="1" x14ac:dyDescent="0.25">
      <c r="A9068" s="369"/>
      <c r="E9068" s="396"/>
      <c r="F9068" s="396"/>
      <c r="G9068" s="396"/>
      <c r="K9068" s="370"/>
      <c r="N9068" s="370"/>
    </row>
    <row r="9069" spans="1:14" s="347" customFormat="1" x14ac:dyDescent="0.25">
      <c r="A9069" s="369"/>
      <c r="E9069" s="396"/>
      <c r="F9069" s="396"/>
      <c r="G9069" s="396"/>
      <c r="K9069" s="370"/>
      <c r="N9069" s="370"/>
    </row>
    <row r="9070" spans="1:14" s="347" customFormat="1" x14ac:dyDescent="0.25">
      <c r="A9070" s="369"/>
      <c r="E9070" s="396"/>
      <c r="F9070" s="396"/>
      <c r="G9070" s="396"/>
      <c r="K9070" s="370"/>
      <c r="N9070" s="370"/>
    </row>
    <row r="9071" spans="1:14" s="347" customFormat="1" x14ac:dyDescent="0.25">
      <c r="A9071" s="369"/>
      <c r="E9071" s="396"/>
      <c r="F9071" s="396"/>
      <c r="G9071" s="396"/>
      <c r="K9071" s="370"/>
      <c r="N9071" s="370"/>
    </row>
    <row r="9072" spans="1:14" s="347" customFormat="1" x14ac:dyDescent="0.25">
      <c r="A9072" s="369"/>
      <c r="E9072" s="396"/>
      <c r="F9072" s="396"/>
      <c r="G9072" s="396"/>
      <c r="K9072" s="370"/>
      <c r="N9072" s="370"/>
    </row>
    <row r="9073" spans="1:14" s="347" customFormat="1" x14ac:dyDescent="0.25">
      <c r="A9073" s="369"/>
      <c r="E9073" s="396"/>
      <c r="F9073" s="396"/>
      <c r="G9073" s="396"/>
      <c r="K9073" s="370"/>
      <c r="N9073" s="370"/>
    </row>
    <row r="9074" spans="1:14" s="347" customFormat="1" x14ac:dyDescent="0.25">
      <c r="A9074" s="369"/>
      <c r="E9074" s="396"/>
      <c r="F9074" s="396"/>
      <c r="G9074" s="396"/>
      <c r="K9074" s="370"/>
      <c r="N9074" s="370"/>
    </row>
    <row r="9075" spans="1:14" s="347" customFormat="1" x14ac:dyDescent="0.25">
      <c r="A9075" s="369"/>
      <c r="E9075" s="396"/>
      <c r="F9075" s="396"/>
      <c r="G9075" s="396"/>
      <c r="K9075" s="370"/>
      <c r="N9075" s="370"/>
    </row>
    <row r="9076" spans="1:14" s="347" customFormat="1" x14ac:dyDescent="0.25">
      <c r="A9076" s="369"/>
      <c r="E9076" s="396"/>
      <c r="F9076" s="396"/>
      <c r="G9076" s="396"/>
      <c r="K9076" s="370"/>
      <c r="N9076" s="370"/>
    </row>
    <row r="9077" spans="1:14" s="347" customFormat="1" x14ac:dyDescent="0.25">
      <c r="A9077" s="369"/>
      <c r="E9077" s="396"/>
      <c r="F9077" s="396"/>
      <c r="G9077" s="396"/>
      <c r="K9077" s="370"/>
      <c r="N9077" s="370"/>
    </row>
    <row r="9078" spans="1:14" s="347" customFormat="1" x14ac:dyDescent="0.25">
      <c r="A9078" s="369"/>
      <c r="E9078" s="396"/>
      <c r="F9078" s="396"/>
      <c r="G9078" s="396"/>
      <c r="K9078" s="370"/>
      <c r="N9078" s="370"/>
    </row>
    <row r="9079" spans="1:14" s="347" customFormat="1" x14ac:dyDescent="0.25">
      <c r="A9079" s="369"/>
      <c r="E9079" s="396"/>
      <c r="F9079" s="396"/>
      <c r="G9079" s="396"/>
      <c r="K9079" s="370"/>
      <c r="N9079" s="370"/>
    </row>
    <row r="9080" spans="1:14" s="347" customFormat="1" x14ac:dyDescent="0.25">
      <c r="A9080" s="369"/>
      <c r="E9080" s="396"/>
      <c r="F9080" s="396"/>
      <c r="G9080" s="396"/>
      <c r="K9080" s="370"/>
      <c r="N9080" s="370"/>
    </row>
    <row r="9081" spans="1:14" s="347" customFormat="1" x14ac:dyDescent="0.25">
      <c r="A9081" s="369"/>
      <c r="E9081" s="396"/>
      <c r="F9081" s="396"/>
      <c r="G9081" s="396"/>
      <c r="K9081" s="370"/>
      <c r="N9081" s="370"/>
    </row>
    <row r="9082" spans="1:14" s="347" customFormat="1" x14ac:dyDescent="0.25">
      <c r="A9082" s="369"/>
      <c r="E9082" s="396"/>
      <c r="F9082" s="396"/>
      <c r="G9082" s="396"/>
      <c r="K9082" s="370"/>
      <c r="N9082" s="370"/>
    </row>
    <row r="9083" spans="1:14" s="347" customFormat="1" x14ac:dyDescent="0.25">
      <c r="A9083" s="369"/>
      <c r="E9083" s="396"/>
      <c r="F9083" s="396"/>
      <c r="G9083" s="396"/>
      <c r="K9083" s="370"/>
      <c r="N9083" s="370"/>
    </row>
    <row r="9084" spans="1:14" s="347" customFormat="1" x14ac:dyDescent="0.25">
      <c r="A9084" s="369"/>
      <c r="E9084" s="396"/>
      <c r="F9084" s="396"/>
      <c r="G9084" s="396"/>
      <c r="K9084" s="370"/>
      <c r="N9084" s="370"/>
    </row>
    <row r="9085" spans="1:14" s="347" customFormat="1" x14ac:dyDescent="0.25">
      <c r="A9085" s="369"/>
      <c r="E9085" s="396"/>
      <c r="F9085" s="396"/>
      <c r="G9085" s="396"/>
      <c r="K9085" s="370"/>
      <c r="N9085" s="370"/>
    </row>
    <row r="9086" spans="1:14" s="347" customFormat="1" x14ac:dyDescent="0.25">
      <c r="A9086" s="369"/>
      <c r="E9086" s="396"/>
      <c r="F9086" s="396"/>
      <c r="G9086" s="396"/>
      <c r="K9086" s="370"/>
      <c r="N9086" s="370"/>
    </row>
    <row r="9087" spans="1:14" s="347" customFormat="1" x14ac:dyDescent="0.25">
      <c r="A9087" s="369"/>
      <c r="E9087" s="396"/>
      <c r="F9087" s="396"/>
      <c r="G9087" s="396"/>
      <c r="K9087" s="370"/>
      <c r="N9087" s="370"/>
    </row>
    <row r="9088" spans="1:14" s="347" customFormat="1" x14ac:dyDescent="0.25">
      <c r="A9088" s="369"/>
      <c r="E9088" s="396"/>
      <c r="F9088" s="396"/>
      <c r="G9088" s="396"/>
      <c r="K9088" s="370"/>
      <c r="N9088" s="370"/>
    </row>
    <row r="9089" spans="1:14" s="347" customFormat="1" x14ac:dyDescent="0.25">
      <c r="A9089" s="369"/>
      <c r="E9089" s="396"/>
      <c r="F9089" s="396"/>
      <c r="G9089" s="396"/>
      <c r="K9089" s="370"/>
      <c r="N9089" s="370"/>
    </row>
    <row r="9090" spans="1:14" s="347" customFormat="1" x14ac:dyDescent="0.25">
      <c r="A9090" s="369"/>
      <c r="E9090" s="396"/>
      <c r="F9090" s="396"/>
      <c r="G9090" s="396"/>
      <c r="K9090" s="370"/>
      <c r="N9090" s="370"/>
    </row>
    <row r="9091" spans="1:14" s="347" customFormat="1" x14ac:dyDescent="0.25">
      <c r="A9091" s="369"/>
      <c r="E9091" s="396"/>
      <c r="F9091" s="396"/>
      <c r="G9091" s="396"/>
      <c r="K9091" s="370"/>
      <c r="N9091" s="370"/>
    </row>
    <row r="9092" spans="1:14" s="347" customFormat="1" x14ac:dyDescent="0.25">
      <c r="A9092" s="369"/>
      <c r="E9092" s="396"/>
      <c r="F9092" s="396"/>
      <c r="G9092" s="396"/>
      <c r="K9092" s="370"/>
      <c r="N9092" s="370"/>
    </row>
    <row r="9093" spans="1:14" s="347" customFormat="1" x14ac:dyDescent="0.25">
      <c r="A9093" s="369"/>
      <c r="E9093" s="396"/>
      <c r="F9093" s="396"/>
      <c r="G9093" s="396"/>
      <c r="K9093" s="370"/>
      <c r="N9093" s="370"/>
    </row>
    <row r="9094" spans="1:14" s="347" customFormat="1" x14ac:dyDescent="0.25">
      <c r="A9094" s="369"/>
      <c r="E9094" s="396"/>
      <c r="F9094" s="396"/>
      <c r="G9094" s="396"/>
      <c r="K9094" s="370"/>
      <c r="N9094" s="370"/>
    </row>
    <row r="9095" spans="1:14" s="347" customFormat="1" x14ac:dyDescent="0.25">
      <c r="A9095" s="369"/>
      <c r="E9095" s="396"/>
      <c r="F9095" s="396"/>
      <c r="G9095" s="396"/>
      <c r="K9095" s="370"/>
      <c r="N9095" s="370"/>
    </row>
    <row r="9096" spans="1:14" s="347" customFormat="1" x14ac:dyDescent="0.25">
      <c r="A9096" s="369"/>
      <c r="E9096" s="396"/>
      <c r="F9096" s="396"/>
      <c r="G9096" s="396"/>
      <c r="K9096" s="370"/>
      <c r="N9096" s="370"/>
    </row>
    <row r="9097" spans="1:14" s="347" customFormat="1" x14ac:dyDescent="0.25">
      <c r="A9097" s="369"/>
      <c r="E9097" s="396"/>
      <c r="F9097" s="396"/>
      <c r="G9097" s="396"/>
      <c r="K9097" s="370"/>
      <c r="N9097" s="370"/>
    </row>
    <row r="9098" spans="1:14" s="347" customFormat="1" x14ac:dyDescent="0.25">
      <c r="A9098" s="369"/>
      <c r="E9098" s="396"/>
      <c r="F9098" s="396"/>
      <c r="G9098" s="396"/>
      <c r="K9098" s="370"/>
      <c r="N9098" s="370"/>
    </row>
    <row r="9099" spans="1:14" s="347" customFormat="1" x14ac:dyDescent="0.25">
      <c r="A9099" s="369"/>
      <c r="E9099" s="396"/>
      <c r="F9099" s="396"/>
      <c r="G9099" s="396"/>
      <c r="K9099" s="370"/>
      <c r="N9099" s="370"/>
    </row>
    <row r="9100" spans="1:14" s="347" customFormat="1" x14ac:dyDescent="0.25">
      <c r="A9100" s="369"/>
      <c r="E9100" s="396"/>
      <c r="F9100" s="396"/>
      <c r="G9100" s="396"/>
      <c r="K9100" s="370"/>
      <c r="N9100" s="370"/>
    </row>
    <row r="9101" spans="1:14" s="347" customFormat="1" x14ac:dyDescent="0.25">
      <c r="A9101" s="369"/>
      <c r="E9101" s="396"/>
      <c r="F9101" s="396"/>
      <c r="G9101" s="396"/>
      <c r="K9101" s="370"/>
      <c r="N9101" s="370"/>
    </row>
    <row r="9102" spans="1:14" s="347" customFormat="1" x14ac:dyDescent="0.25">
      <c r="A9102" s="369"/>
      <c r="E9102" s="396"/>
      <c r="F9102" s="396"/>
      <c r="G9102" s="396"/>
      <c r="K9102" s="370"/>
      <c r="N9102" s="370"/>
    </row>
    <row r="9103" spans="1:14" s="347" customFormat="1" x14ac:dyDescent="0.25">
      <c r="A9103" s="369"/>
      <c r="E9103" s="396"/>
      <c r="F9103" s="396"/>
      <c r="G9103" s="396"/>
      <c r="K9103" s="370"/>
      <c r="N9103" s="370"/>
    </row>
    <row r="9104" spans="1:14" s="347" customFormat="1" x14ac:dyDescent="0.25">
      <c r="A9104" s="369"/>
      <c r="E9104" s="396"/>
      <c r="F9104" s="396"/>
      <c r="G9104" s="396"/>
      <c r="K9104" s="370"/>
      <c r="N9104" s="370"/>
    </row>
    <row r="9105" spans="1:14" s="347" customFormat="1" x14ac:dyDescent="0.25">
      <c r="A9105" s="369"/>
      <c r="E9105" s="396"/>
      <c r="F9105" s="396"/>
      <c r="G9105" s="396"/>
      <c r="K9105" s="370"/>
      <c r="N9105" s="370"/>
    </row>
    <row r="9106" spans="1:14" s="347" customFormat="1" x14ac:dyDescent="0.25">
      <c r="A9106" s="369"/>
      <c r="E9106" s="396"/>
      <c r="F9106" s="396"/>
      <c r="G9106" s="396"/>
      <c r="K9106" s="370"/>
      <c r="N9106" s="370"/>
    </row>
    <row r="9107" spans="1:14" s="347" customFormat="1" x14ac:dyDescent="0.25">
      <c r="A9107" s="369"/>
      <c r="E9107" s="396"/>
      <c r="F9107" s="396"/>
      <c r="G9107" s="396"/>
      <c r="K9107" s="370"/>
      <c r="N9107" s="370"/>
    </row>
    <row r="9108" spans="1:14" s="347" customFormat="1" x14ac:dyDescent="0.25">
      <c r="A9108" s="369"/>
      <c r="E9108" s="396"/>
      <c r="F9108" s="396"/>
      <c r="G9108" s="396"/>
      <c r="K9108" s="370"/>
      <c r="N9108" s="370"/>
    </row>
    <row r="9109" spans="1:14" s="347" customFormat="1" x14ac:dyDescent="0.25">
      <c r="A9109" s="369"/>
      <c r="E9109" s="396"/>
      <c r="F9109" s="396"/>
      <c r="G9109" s="396"/>
      <c r="K9109" s="370"/>
      <c r="N9109" s="370"/>
    </row>
    <row r="9110" spans="1:14" s="347" customFormat="1" x14ac:dyDescent="0.25">
      <c r="A9110" s="369"/>
      <c r="E9110" s="396"/>
      <c r="F9110" s="396"/>
      <c r="G9110" s="396"/>
      <c r="K9110" s="370"/>
      <c r="N9110" s="370"/>
    </row>
    <row r="9111" spans="1:14" s="347" customFormat="1" x14ac:dyDescent="0.25">
      <c r="A9111" s="369"/>
      <c r="E9111" s="396"/>
      <c r="F9111" s="396"/>
      <c r="G9111" s="396"/>
      <c r="K9111" s="370"/>
      <c r="N9111" s="370"/>
    </row>
    <row r="9112" spans="1:14" s="347" customFormat="1" x14ac:dyDescent="0.25">
      <c r="A9112" s="369"/>
      <c r="E9112" s="396"/>
      <c r="F9112" s="396"/>
      <c r="G9112" s="396"/>
      <c r="K9112" s="370"/>
      <c r="N9112" s="370"/>
    </row>
    <row r="9113" spans="1:14" s="347" customFormat="1" x14ac:dyDescent="0.25">
      <c r="A9113" s="369"/>
      <c r="E9113" s="396"/>
      <c r="F9113" s="396"/>
      <c r="G9113" s="396"/>
      <c r="K9113" s="370"/>
      <c r="N9113" s="370"/>
    </row>
    <row r="9114" spans="1:14" s="347" customFormat="1" x14ac:dyDescent="0.25">
      <c r="A9114" s="369"/>
      <c r="E9114" s="396"/>
      <c r="F9114" s="396"/>
      <c r="G9114" s="396"/>
      <c r="K9114" s="370"/>
      <c r="N9114" s="370"/>
    </row>
    <row r="9115" spans="1:14" s="347" customFormat="1" x14ac:dyDescent="0.25">
      <c r="A9115" s="369"/>
      <c r="E9115" s="396"/>
      <c r="F9115" s="396"/>
      <c r="G9115" s="396"/>
      <c r="K9115" s="370"/>
      <c r="N9115" s="370"/>
    </row>
    <row r="9116" spans="1:14" s="347" customFormat="1" x14ac:dyDescent="0.25">
      <c r="A9116" s="369"/>
      <c r="E9116" s="396"/>
      <c r="F9116" s="396"/>
      <c r="G9116" s="396"/>
      <c r="K9116" s="370"/>
      <c r="N9116" s="370"/>
    </row>
    <row r="9117" spans="1:14" s="347" customFormat="1" x14ac:dyDescent="0.25">
      <c r="A9117" s="369"/>
      <c r="E9117" s="396"/>
      <c r="F9117" s="396"/>
      <c r="G9117" s="396"/>
      <c r="K9117" s="370"/>
      <c r="N9117" s="370"/>
    </row>
    <row r="9118" spans="1:14" s="347" customFormat="1" x14ac:dyDescent="0.25">
      <c r="A9118" s="369"/>
      <c r="E9118" s="396"/>
      <c r="F9118" s="396"/>
      <c r="G9118" s="396"/>
      <c r="K9118" s="370"/>
      <c r="N9118" s="370"/>
    </row>
    <row r="9119" spans="1:14" s="347" customFormat="1" x14ac:dyDescent="0.25">
      <c r="A9119" s="369"/>
      <c r="E9119" s="396"/>
      <c r="F9119" s="396"/>
      <c r="G9119" s="396"/>
      <c r="K9119" s="370"/>
      <c r="N9119" s="370"/>
    </row>
    <row r="9120" spans="1:14" s="347" customFormat="1" x14ac:dyDescent="0.25">
      <c r="A9120" s="369"/>
      <c r="E9120" s="396"/>
      <c r="F9120" s="396"/>
      <c r="G9120" s="396"/>
      <c r="K9120" s="370"/>
      <c r="N9120" s="370"/>
    </row>
    <row r="9121" spans="1:14" s="347" customFormat="1" x14ac:dyDescent="0.25">
      <c r="A9121" s="369"/>
      <c r="E9121" s="396"/>
      <c r="F9121" s="396"/>
      <c r="G9121" s="396"/>
      <c r="K9121" s="370"/>
      <c r="N9121" s="370"/>
    </row>
    <row r="9122" spans="1:14" s="347" customFormat="1" x14ac:dyDescent="0.25">
      <c r="A9122" s="369"/>
      <c r="E9122" s="396"/>
      <c r="F9122" s="396"/>
      <c r="G9122" s="396"/>
      <c r="K9122" s="370"/>
      <c r="N9122" s="370"/>
    </row>
    <row r="9123" spans="1:14" s="347" customFormat="1" x14ac:dyDescent="0.25">
      <c r="A9123" s="369"/>
      <c r="E9123" s="396"/>
      <c r="F9123" s="396"/>
      <c r="G9123" s="396"/>
      <c r="K9123" s="370"/>
      <c r="N9123" s="370"/>
    </row>
    <row r="9124" spans="1:14" s="347" customFormat="1" x14ac:dyDescent="0.25">
      <c r="A9124" s="369"/>
      <c r="E9124" s="396"/>
      <c r="F9124" s="396"/>
      <c r="G9124" s="396"/>
      <c r="K9124" s="370"/>
      <c r="N9124" s="370"/>
    </row>
    <row r="9125" spans="1:14" s="347" customFormat="1" x14ac:dyDescent="0.25">
      <c r="A9125" s="369"/>
      <c r="E9125" s="396"/>
      <c r="F9125" s="396"/>
      <c r="G9125" s="396"/>
      <c r="K9125" s="370"/>
      <c r="N9125" s="370"/>
    </row>
    <row r="9126" spans="1:14" s="347" customFormat="1" x14ac:dyDescent="0.25">
      <c r="A9126" s="369"/>
      <c r="E9126" s="396"/>
      <c r="F9126" s="396"/>
      <c r="G9126" s="396"/>
      <c r="K9126" s="370"/>
      <c r="N9126" s="370"/>
    </row>
    <row r="9127" spans="1:14" s="347" customFormat="1" x14ac:dyDescent="0.25">
      <c r="A9127" s="369"/>
      <c r="E9127" s="396"/>
      <c r="F9127" s="396"/>
      <c r="G9127" s="396"/>
      <c r="K9127" s="370"/>
      <c r="N9127" s="370"/>
    </row>
    <row r="9128" spans="1:14" s="347" customFormat="1" x14ac:dyDescent="0.25">
      <c r="A9128" s="369"/>
      <c r="E9128" s="396"/>
      <c r="F9128" s="396"/>
      <c r="G9128" s="396"/>
      <c r="K9128" s="370"/>
      <c r="N9128" s="370"/>
    </row>
    <row r="9129" spans="1:14" s="347" customFormat="1" x14ac:dyDescent="0.25">
      <c r="A9129" s="369"/>
      <c r="E9129" s="396"/>
      <c r="F9129" s="396"/>
      <c r="G9129" s="396"/>
      <c r="K9129" s="370"/>
      <c r="N9129" s="370"/>
    </row>
    <row r="9130" spans="1:14" s="347" customFormat="1" x14ac:dyDescent="0.25">
      <c r="A9130" s="369"/>
      <c r="E9130" s="396"/>
      <c r="F9130" s="396"/>
      <c r="G9130" s="396"/>
      <c r="K9130" s="370"/>
      <c r="N9130" s="370"/>
    </row>
    <row r="9131" spans="1:14" s="347" customFormat="1" x14ac:dyDescent="0.25">
      <c r="A9131" s="369"/>
      <c r="E9131" s="396"/>
      <c r="F9131" s="396"/>
      <c r="G9131" s="396"/>
      <c r="K9131" s="370"/>
      <c r="N9131" s="370"/>
    </row>
    <row r="9132" spans="1:14" s="347" customFormat="1" x14ac:dyDescent="0.25">
      <c r="A9132" s="369"/>
      <c r="E9132" s="396"/>
      <c r="F9132" s="396"/>
      <c r="G9132" s="396"/>
      <c r="K9132" s="370"/>
      <c r="N9132" s="370"/>
    </row>
    <row r="9133" spans="1:14" s="347" customFormat="1" x14ac:dyDescent="0.25">
      <c r="A9133" s="369"/>
      <c r="E9133" s="396"/>
      <c r="F9133" s="396"/>
      <c r="G9133" s="396"/>
      <c r="K9133" s="370"/>
      <c r="N9133" s="370"/>
    </row>
    <row r="9134" spans="1:14" s="347" customFormat="1" x14ac:dyDescent="0.25">
      <c r="A9134" s="369"/>
      <c r="E9134" s="396"/>
      <c r="F9134" s="396"/>
      <c r="G9134" s="396"/>
      <c r="K9134" s="370"/>
      <c r="N9134" s="370"/>
    </row>
    <row r="9135" spans="1:14" s="347" customFormat="1" x14ac:dyDescent="0.25">
      <c r="A9135" s="369"/>
      <c r="E9135" s="396"/>
      <c r="F9135" s="396"/>
      <c r="G9135" s="396"/>
      <c r="K9135" s="370"/>
      <c r="N9135" s="370"/>
    </row>
    <row r="9136" spans="1:14" s="347" customFormat="1" x14ac:dyDescent="0.25">
      <c r="A9136" s="369"/>
      <c r="E9136" s="396"/>
      <c r="F9136" s="396"/>
      <c r="G9136" s="396"/>
      <c r="K9136" s="370"/>
      <c r="N9136" s="370"/>
    </row>
    <row r="9137" spans="1:14" s="347" customFormat="1" x14ac:dyDescent="0.25">
      <c r="A9137" s="369"/>
      <c r="E9137" s="396"/>
      <c r="F9137" s="396"/>
      <c r="G9137" s="396"/>
      <c r="K9137" s="370"/>
      <c r="N9137" s="370"/>
    </row>
    <row r="9138" spans="1:14" s="347" customFormat="1" x14ac:dyDescent="0.25">
      <c r="A9138" s="369"/>
      <c r="E9138" s="396"/>
      <c r="F9138" s="396"/>
      <c r="G9138" s="396"/>
      <c r="K9138" s="370"/>
      <c r="N9138" s="370"/>
    </row>
    <row r="9139" spans="1:14" s="347" customFormat="1" x14ac:dyDescent="0.25">
      <c r="A9139" s="369"/>
      <c r="E9139" s="396"/>
      <c r="F9139" s="396"/>
      <c r="G9139" s="396"/>
      <c r="K9139" s="370"/>
      <c r="N9139" s="370"/>
    </row>
    <row r="9140" spans="1:14" s="347" customFormat="1" x14ac:dyDescent="0.25">
      <c r="A9140" s="369"/>
      <c r="E9140" s="396"/>
      <c r="F9140" s="396"/>
      <c r="G9140" s="396"/>
      <c r="K9140" s="370"/>
      <c r="N9140" s="370"/>
    </row>
    <row r="9141" spans="1:14" s="347" customFormat="1" x14ac:dyDescent="0.25">
      <c r="A9141" s="369"/>
      <c r="E9141" s="396"/>
      <c r="F9141" s="396"/>
      <c r="G9141" s="396"/>
      <c r="K9141" s="370"/>
      <c r="N9141" s="370"/>
    </row>
    <row r="9142" spans="1:14" s="347" customFormat="1" x14ac:dyDescent="0.25">
      <c r="A9142" s="369"/>
      <c r="E9142" s="396"/>
      <c r="F9142" s="396"/>
      <c r="G9142" s="396"/>
      <c r="K9142" s="370"/>
      <c r="N9142" s="370"/>
    </row>
    <row r="9143" spans="1:14" s="347" customFormat="1" x14ac:dyDescent="0.25">
      <c r="A9143" s="369"/>
      <c r="E9143" s="396"/>
      <c r="F9143" s="396"/>
      <c r="G9143" s="396"/>
      <c r="K9143" s="370"/>
      <c r="N9143" s="370"/>
    </row>
    <row r="9144" spans="1:14" s="347" customFormat="1" x14ac:dyDescent="0.25">
      <c r="A9144" s="369"/>
      <c r="E9144" s="396"/>
      <c r="F9144" s="396"/>
      <c r="G9144" s="396"/>
      <c r="K9144" s="370"/>
      <c r="N9144" s="370"/>
    </row>
    <row r="9145" spans="1:14" s="347" customFormat="1" x14ac:dyDescent="0.25">
      <c r="A9145" s="369"/>
      <c r="E9145" s="396"/>
      <c r="F9145" s="396"/>
      <c r="G9145" s="396"/>
      <c r="K9145" s="370"/>
      <c r="N9145" s="370"/>
    </row>
    <row r="9146" spans="1:14" s="347" customFormat="1" x14ac:dyDescent="0.25">
      <c r="A9146" s="369"/>
      <c r="E9146" s="396"/>
      <c r="F9146" s="396"/>
      <c r="G9146" s="396"/>
      <c r="K9146" s="370"/>
      <c r="N9146" s="370"/>
    </row>
    <row r="9147" spans="1:14" s="347" customFormat="1" x14ac:dyDescent="0.25">
      <c r="A9147" s="369"/>
      <c r="E9147" s="396"/>
      <c r="F9147" s="396"/>
      <c r="G9147" s="396"/>
      <c r="K9147" s="370"/>
      <c r="N9147" s="370"/>
    </row>
    <row r="9148" spans="1:14" s="347" customFormat="1" x14ac:dyDescent="0.25">
      <c r="A9148" s="369"/>
      <c r="E9148" s="396"/>
      <c r="F9148" s="396"/>
      <c r="G9148" s="396"/>
      <c r="K9148" s="370"/>
      <c r="N9148" s="370"/>
    </row>
    <row r="9149" spans="1:14" s="347" customFormat="1" x14ac:dyDescent="0.25">
      <c r="A9149" s="369"/>
      <c r="E9149" s="396"/>
      <c r="F9149" s="396"/>
      <c r="G9149" s="396"/>
      <c r="K9149" s="370"/>
      <c r="N9149" s="370"/>
    </row>
    <row r="9150" spans="1:14" s="347" customFormat="1" x14ac:dyDescent="0.25">
      <c r="A9150" s="369"/>
      <c r="E9150" s="396"/>
      <c r="F9150" s="396"/>
      <c r="G9150" s="396"/>
      <c r="K9150" s="370"/>
      <c r="N9150" s="370"/>
    </row>
    <row r="9151" spans="1:14" s="347" customFormat="1" x14ac:dyDescent="0.25">
      <c r="A9151" s="369"/>
      <c r="E9151" s="396"/>
      <c r="F9151" s="396"/>
      <c r="G9151" s="396"/>
      <c r="K9151" s="370"/>
      <c r="N9151" s="370"/>
    </row>
    <row r="9152" spans="1:14" s="347" customFormat="1" x14ac:dyDescent="0.25">
      <c r="A9152" s="369"/>
      <c r="E9152" s="396"/>
      <c r="F9152" s="396"/>
      <c r="G9152" s="396"/>
      <c r="K9152" s="370"/>
      <c r="N9152" s="370"/>
    </row>
    <row r="9153" spans="1:14" s="347" customFormat="1" x14ac:dyDescent="0.25">
      <c r="A9153" s="369"/>
      <c r="E9153" s="396"/>
      <c r="F9153" s="396"/>
      <c r="G9153" s="396"/>
      <c r="K9153" s="370"/>
      <c r="N9153" s="370"/>
    </row>
    <row r="9154" spans="1:14" s="347" customFormat="1" x14ac:dyDescent="0.25">
      <c r="A9154" s="369"/>
      <c r="E9154" s="396"/>
      <c r="F9154" s="396"/>
      <c r="G9154" s="396"/>
      <c r="K9154" s="370"/>
      <c r="N9154" s="370"/>
    </row>
    <row r="9155" spans="1:14" s="347" customFormat="1" x14ac:dyDescent="0.25">
      <c r="A9155" s="369"/>
      <c r="E9155" s="396"/>
      <c r="F9155" s="396"/>
      <c r="G9155" s="396"/>
      <c r="K9155" s="370"/>
      <c r="N9155" s="370"/>
    </row>
    <row r="9156" spans="1:14" s="347" customFormat="1" x14ac:dyDescent="0.25">
      <c r="A9156" s="369"/>
      <c r="E9156" s="396"/>
      <c r="F9156" s="396"/>
      <c r="G9156" s="396"/>
      <c r="K9156" s="370"/>
      <c r="N9156" s="370"/>
    </row>
    <row r="9157" spans="1:14" s="347" customFormat="1" x14ac:dyDescent="0.25">
      <c r="A9157" s="369"/>
      <c r="E9157" s="396"/>
      <c r="F9157" s="396"/>
      <c r="G9157" s="396"/>
      <c r="K9157" s="370"/>
      <c r="N9157" s="370"/>
    </row>
    <row r="9158" spans="1:14" s="347" customFormat="1" x14ac:dyDescent="0.25">
      <c r="A9158" s="369"/>
      <c r="E9158" s="396"/>
      <c r="F9158" s="396"/>
      <c r="G9158" s="396"/>
      <c r="K9158" s="370"/>
      <c r="N9158" s="370"/>
    </row>
    <row r="9159" spans="1:14" s="347" customFormat="1" x14ac:dyDescent="0.25">
      <c r="A9159" s="369"/>
      <c r="E9159" s="396"/>
      <c r="F9159" s="396"/>
      <c r="G9159" s="396"/>
      <c r="K9159" s="370"/>
      <c r="N9159" s="370"/>
    </row>
    <row r="9160" spans="1:14" s="347" customFormat="1" x14ac:dyDescent="0.25">
      <c r="A9160" s="369"/>
      <c r="E9160" s="396"/>
      <c r="F9160" s="396"/>
      <c r="G9160" s="396"/>
      <c r="K9160" s="370"/>
      <c r="N9160" s="370"/>
    </row>
    <row r="9161" spans="1:14" s="347" customFormat="1" x14ac:dyDescent="0.25">
      <c r="A9161" s="369"/>
      <c r="E9161" s="396"/>
      <c r="F9161" s="396"/>
      <c r="G9161" s="396"/>
      <c r="K9161" s="370"/>
      <c r="N9161" s="370"/>
    </row>
    <row r="9162" spans="1:14" s="347" customFormat="1" x14ac:dyDescent="0.25">
      <c r="A9162" s="369"/>
      <c r="E9162" s="396"/>
      <c r="F9162" s="396"/>
      <c r="G9162" s="396"/>
      <c r="K9162" s="370"/>
      <c r="N9162" s="370"/>
    </row>
    <row r="9163" spans="1:14" s="347" customFormat="1" x14ac:dyDescent="0.25">
      <c r="A9163" s="369"/>
      <c r="E9163" s="396"/>
      <c r="F9163" s="396"/>
      <c r="G9163" s="396"/>
      <c r="K9163" s="370"/>
      <c r="N9163" s="370"/>
    </row>
    <row r="9164" spans="1:14" s="347" customFormat="1" x14ac:dyDescent="0.25">
      <c r="A9164" s="369"/>
      <c r="E9164" s="396"/>
      <c r="F9164" s="396"/>
      <c r="G9164" s="396"/>
      <c r="K9164" s="370"/>
      <c r="N9164" s="370"/>
    </row>
    <row r="9165" spans="1:14" s="347" customFormat="1" x14ac:dyDescent="0.25">
      <c r="A9165" s="369"/>
      <c r="E9165" s="396"/>
      <c r="F9165" s="396"/>
      <c r="G9165" s="396"/>
      <c r="K9165" s="370"/>
      <c r="N9165" s="370"/>
    </row>
    <row r="9166" spans="1:14" s="347" customFormat="1" x14ac:dyDescent="0.25">
      <c r="A9166" s="369"/>
      <c r="E9166" s="396"/>
      <c r="F9166" s="396"/>
      <c r="G9166" s="396"/>
      <c r="K9166" s="370"/>
      <c r="N9166" s="370"/>
    </row>
    <row r="9167" spans="1:14" s="347" customFormat="1" x14ac:dyDescent="0.25">
      <c r="A9167" s="369"/>
      <c r="E9167" s="396"/>
      <c r="F9167" s="396"/>
      <c r="G9167" s="396"/>
      <c r="K9167" s="370"/>
      <c r="N9167" s="370"/>
    </row>
    <row r="9168" spans="1:14" s="347" customFormat="1" x14ac:dyDescent="0.25">
      <c r="A9168" s="369"/>
      <c r="E9168" s="396"/>
      <c r="F9168" s="396"/>
      <c r="G9168" s="396"/>
      <c r="K9168" s="370"/>
      <c r="N9168" s="370"/>
    </row>
    <row r="9169" spans="1:14" s="347" customFormat="1" x14ac:dyDescent="0.25">
      <c r="A9169" s="369"/>
      <c r="E9169" s="396"/>
      <c r="F9169" s="396"/>
      <c r="G9169" s="396"/>
      <c r="K9169" s="370"/>
      <c r="N9169" s="370"/>
    </row>
    <row r="9170" spans="1:14" s="347" customFormat="1" x14ac:dyDescent="0.25">
      <c r="A9170" s="369"/>
      <c r="E9170" s="396"/>
      <c r="F9170" s="396"/>
      <c r="G9170" s="396"/>
      <c r="K9170" s="370"/>
      <c r="N9170" s="370"/>
    </row>
    <row r="9171" spans="1:14" s="347" customFormat="1" x14ac:dyDescent="0.25">
      <c r="A9171" s="369"/>
      <c r="E9171" s="396"/>
      <c r="F9171" s="396"/>
      <c r="G9171" s="396"/>
      <c r="K9171" s="370"/>
      <c r="N9171" s="370"/>
    </row>
    <row r="9172" spans="1:14" s="347" customFormat="1" x14ac:dyDescent="0.25">
      <c r="A9172" s="369"/>
      <c r="E9172" s="396"/>
      <c r="F9172" s="396"/>
      <c r="G9172" s="396"/>
      <c r="K9172" s="370"/>
      <c r="N9172" s="370"/>
    </row>
    <row r="9173" spans="1:14" s="347" customFormat="1" x14ac:dyDescent="0.25">
      <c r="A9173" s="369"/>
      <c r="E9173" s="396"/>
      <c r="F9173" s="396"/>
      <c r="G9173" s="396"/>
      <c r="K9173" s="370"/>
      <c r="N9173" s="370"/>
    </row>
    <row r="9174" spans="1:14" s="347" customFormat="1" x14ac:dyDescent="0.25">
      <c r="A9174" s="369"/>
      <c r="E9174" s="396"/>
      <c r="F9174" s="396"/>
      <c r="G9174" s="396"/>
      <c r="K9174" s="370"/>
      <c r="N9174" s="370"/>
    </row>
    <row r="9175" spans="1:14" s="347" customFormat="1" x14ac:dyDescent="0.25">
      <c r="A9175" s="369"/>
      <c r="E9175" s="396"/>
      <c r="F9175" s="396"/>
      <c r="G9175" s="396"/>
      <c r="K9175" s="370"/>
      <c r="N9175" s="370"/>
    </row>
    <row r="9176" spans="1:14" s="347" customFormat="1" x14ac:dyDescent="0.25">
      <c r="A9176" s="369"/>
      <c r="E9176" s="396"/>
      <c r="F9176" s="396"/>
      <c r="G9176" s="396"/>
      <c r="K9176" s="370"/>
      <c r="N9176" s="370"/>
    </row>
    <row r="9177" spans="1:14" s="347" customFormat="1" x14ac:dyDescent="0.25">
      <c r="A9177" s="369"/>
      <c r="E9177" s="396"/>
      <c r="F9177" s="396"/>
      <c r="G9177" s="396"/>
      <c r="K9177" s="370"/>
      <c r="N9177" s="370"/>
    </row>
    <row r="9178" spans="1:14" s="347" customFormat="1" x14ac:dyDescent="0.25">
      <c r="A9178" s="369"/>
      <c r="E9178" s="396"/>
      <c r="F9178" s="396"/>
      <c r="G9178" s="396"/>
      <c r="K9178" s="370"/>
      <c r="N9178" s="370"/>
    </row>
    <row r="9179" spans="1:14" s="347" customFormat="1" x14ac:dyDescent="0.25">
      <c r="A9179" s="369"/>
      <c r="E9179" s="396"/>
      <c r="F9179" s="396"/>
      <c r="G9179" s="396"/>
      <c r="K9179" s="370"/>
      <c r="N9179" s="370"/>
    </row>
    <row r="9180" spans="1:14" s="347" customFormat="1" x14ac:dyDescent="0.25">
      <c r="A9180" s="369"/>
      <c r="E9180" s="396"/>
      <c r="F9180" s="396"/>
      <c r="G9180" s="396"/>
      <c r="K9180" s="370"/>
      <c r="N9180" s="370"/>
    </row>
    <row r="9181" spans="1:14" s="347" customFormat="1" x14ac:dyDescent="0.25">
      <c r="A9181" s="369"/>
      <c r="E9181" s="396"/>
      <c r="F9181" s="396"/>
      <c r="G9181" s="396"/>
      <c r="K9181" s="370"/>
      <c r="N9181" s="370"/>
    </row>
    <row r="9182" spans="1:14" s="347" customFormat="1" x14ac:dyDescent="0.25">
      <c r="A9182" s="369"/>
      <c r="E9182" s="396"/>
      <c r="F9182" s="396"/>
      <c r="G9182" s="396"/>
      <c r="K9182" s="370"/>
      <c r="N9182" s="370"/>
    </row>
    <row r="9183" spans="1:14" s="347" customFormat="1" x14ac:dyDescent="0.25">
      <c r="A9183" s="369"/>
      <c r="E9183" s="396"/>
      <c r="F9183" s="396"/>
      <c r="G9183" s="396"/>
      <c r="K9183" s="370"/>
      <c r="N9183" s="370"/>
    </row>
    <row r="9184" spans="1:14" s="347" customFormat="1" x14ac:dyDescent="0.25">
      <c r="A9184" s="369"/>
      <c r="E9184" s="396"/>
      <c r="F9184" s="396"/>
      <c r="G9184" s="396"/>
      <c r="K9184" s="370"/>
      <c r="N9184" s="370"/>
    </row>
    <row r="9185" spans="1:14" s="347" customFormat="1" x14ac:dyDescent="0.25">
      <c r="A9185" s="369"/>
      <c r="E9185" s="396"/>
      <c r="F9185" s="396"/>
      <c r="G9185" s="396"/>
      <c r="K9185" s="370"/>
      <c r="N9185" s="370"/>
    </row>
    <row r="9186" spans="1:14" s="347" customFormat="1" x14ac:dyDescent="0.25">
      <c r="A9186" s="369"/>
      <c r="E9186" s="396"/>
      <c r="F9186" s="396"/>
      <c r="G9186" s="396"/>
      <c r="K9186" s="370"/>
      <c r="N9186" s="370"/>
    </row>
    <row r="9187" spans="1:14" s="347" customFormat="1" x14ac:dyDescent="0.25">
      <c r="A9187" s="369"/>
      <c r="E9187" s="396"/>
      <c r="F9187" s="396"/>
      <c r="G9187" s="396"/>
      <c r="K9187" s="370"/>
      <c r="N9187" s="370"/>
    </row>
    <row r="9188" spans="1:14" s="347" customFormat="1" x14ac:dyDescent="0.25">
      <c r="A9188" s="369"/>
      <c r="E9188" s="396"/>
      <c r="F9188" s="396"/>
      <c r="G9188" s="396"/>
      <c r="K9188" s="370"/>
      <c r="N9188" s="370"/>
    </row>
    <row r="9189" spans="1:14" s="347" customFormat="1" x14ac:dyDescent="0.25">
      <c r="A9189" s="369"/>
      <c r="E9189" s="396"/>
      <c r="F9189" s="396"/>
      <c r="G9189" s="396"/>
      <c r="K9189" s="370"/>
      <c r="N9189" s="370"/>
    </row>
    <row r="9190" spans="1:14" s="347" customFormat="1" x14ac:dyDescent="0.25">
      <c r="A9190" s="369"/>
      <c r="E9190" s="396"/>
      <c r="F9190" s="396"/>
      <c r="G9190" s="396"/>
      <c r="K9190" s="370"/>
      <c r="N9190" s="370"/>
    </row>
    <row r="9191" spans="1:14" s="347" customFormat="1" x14ac:dyDescent="0.25">
      <c r="A9191" s="369"/>
      <c r="E9191" s="396"/>
      <c r="F9191" s="396"/>
      <c r="G9191" s="396"/>
      <c r="K9191" s="370"/>
      <c r="N9191" s="370"/>
    </row>
    <row r="9192" spans="1:14" s="347" customFormat="1" x14ac:dyDescent="0.25">
      <c r="A9192" s="369"/>
      <c r="E9192" s="396"/>
      <c r="F9192" s="396"/>
      <c r="G9192" s="396"/>
      <c r="K9192" s="370"/>
      <c r="N9192" s="370"/>
    </row>
    <row r="9193" spans="1:14" s="347" customFormat="1" x14ac:dyDescent="0.25">
      <c r="A9193" s="369"/>
      <c r="E9193" s="396"/>
      <c r="F9193" s="396"/>
      <c r="G9193" s="396"/>
      <c r="K9193" s="370"/>
      <c r="N9193" s="370"/>
    </row>
    <row r="9194" spans="1:14" s="347" customFormat="1" x14ac:dyDescent="0.25">
      <c r="A9194" s="369"/>
      <c r="E9194" s="396"/>
      <c r="F9194" s="396"/>
      <c r="G9194" s="396"/>
      <c r="K9194" s="370"/>
      <c r="N9194" s="370"/>
    </row>
    <row r="9195" spans="1:14" s="347" customFormat="1" x14ac:dyDescent="0.25">
      <c r="A9195" s="369"/>
      <c r="E9195" s="396"/>
      <c r="F9195" s="396"/>
      <c r="G9195" s="396"/>
      <c r="K9195" s="370"/>
      <c r="N9195" s="370"/>
    </row>
    <row r="9196" spans="1:14" s="347" customFormat="1" x14ac:dyDescent="0.25">
      <c r="A9196" s="369"/>
      <c r="E9196" s="396"/>
      <c r="F9196" s="396"/>
      <c r="G9196" s="396"/>
      <c r="K9196" s="370"/>
      <c r="N9196" s="370"/>
    </row>
    <row r="9197" spans="1:14" s="347" customFormat="1" x14ac:dyDescent="0.25">
      <c r="A9197" s="369"/>
      <c r="E9197" s="396"/>
      <c r="F9197" s="396"/>
      <c r="G9197" s="396"/>
      <c r="K9197" s="370"/>
      <c r="N9197" s="370"/>
    </row>
    <row r="9198" spans="1:14" s="347" customFormat="1" x14ac:dyDescent="0.25">
      <c r="A9198" s="369"/>
      <c r="E9198" s="396"/>
      <c r="F9198" s="396"/>
      <c r="G9198" s="396"/>
      <c r="K9198" s="370"/>
      <c r="N9198" s="370"/>
    </row>
    <row r="9199" spans="1:14" s="347" customFormat="1" x14ac:dyDescent="0.25">
      <c r="A9199" s="369"/>
      <c r="E9199" s="396"/>
      <c r="F9199" s="396"/>
      <c r="G9199" s="396"/>
      <c r="K9199" s="370"/>
      <c r="N9199" s="370"/>
    </row>
    <row r="9200" spans="1:14" s="347" customFormat="1" x14ac:dyDescent="0.25">
      <c r="A9200" s="369"/>
      <c r="E9200" s="396"/>
      <c r="F9200" s="396"/>
      <c r="G9200" s="396"/>
      <c r="K9200" s="370"/>
      <c r="N9200" s="370"/>
    </row>
    <row r="9201" spans="1:14" s="347" customFormat="1" x14ac:dyDescent="0.25">
      <c r="A9201" s="369"/>
      <c r="E9201" s="396"/>
      <c r="F9201" s="396"/>
      <c r="G9201" s="396"/>
      <c r="K9201" s="370"/>
      <c r="N9201" s="370"/>
    </row>
    <row r="9202" spans="1:14" s="347" customFormat="1" x14ac:dyDescent="0.25">
      <c r="A9202" s="369"/>
      <c r="E9202" s="396"/>
      <c r="F9202" s="396"/>
      <c r="G9202" s="396"/>
      <c r="K9202" s="370"/>
      <c r="N9202" s="370"/>
    </row>
    <row r="9203" spans="1:14" s="347" customFormat="1" x14ac:dyDescent="0.25">
      <c r="A9203" s="369"/>
      <c r="E9203" s="396"/>
      <c r="F9203" s="396"/>
      <c r="G9203" s="396"/>
      <c r="K9203" s="370"/>
      <c r="N9203" s="370"/>
    </row>
    <row r="9204" spans="1:14" s="347" customFormat="1" x14ac:dyDescent="0.25">
      <c r="A9204" s="369"/>
      <c r="E9204" s="396"/>
      <c r="F9204" s="396"/>
      <c r="G9204" s="396"/>
      <c r="K9204" s="370"/>
      <c r="N9204" s="370"/>
    </row>
    <row r="9205" spans="1:14" s="347" customFormat="1" x14ac:dyDescent="0.25">
      <c r="A9205" s="369"/>
      <c r="E9205" s="396"/>
      <c r="F9205" s="396"/>
      <c r="G9205" s="396"/>
      <c r="K9205" s="370"/>
      <c r="N9205" s="370"/>
    </row>
    <row r="9206" spans="1:14" s="347" customFormat="1" x14ac:dyDescent="0.25">
      <c r="A9206" s="369"/>
      <c r="E9206" s="396"/>
      <c r="F9206" s="396"/>
      <c r="G9206" s="396"/>
      <c r="K9206" s="370"/>
      <c r="N9206" s="370"/>
    </row>
    <row r="9207" spans="1:14" s="347" customFormat="1" x14ac:dyDescent="0.25">
      <c r="A9207" s="369"/>
      <c r="E9207" s="396"/>
      <c r="F9207" s="396"/>
      <c r="G9207" s="396"/>
      <c r="K9207" s="370"/>
      <c r="N9207" s="370"/>
    </row>
    <row r="9208" spans="1:14" s="347" customFormat="1" x14ac:dyDescent="0.25">
      <c r="A9208" s="369"/>
      <c r="E9208" s="396"/>
      <c r="F9208" s="396"/>
      <c r="G9208" s="396"/>
      <c r="K9208" s="370"/>
      <c r="N9208" s="370"/>
    </row>
    <row r="9209" spans="1:14" s="347" customFormat="1" x14ac:dyDescent="0.25">
      <c r="A9209" s="369"/>
      <c r="E9209" s="396"/>
      <c r="F9209" s="396"/>
      <c r="G9209" s="396"/>
      <c r="K9209" s="370"/>
      <c r="N9209" s="370"/>
    </row>
    <row r="9210" spans="1:14" s="347" customFormat="1" x14ac:dyDescent="0.25">
      <c r="A9210" s="369"/>
      <c r="E9210" s="396"/>
      <c r="F9210" s="396"/>
      <c r="G9210" s="396"/>
      <c r="K9210" s="370"/>
      <c r="N9210" s="370"/>
    </row>
    <row r="9211" spans="1:14" s="347" customFormat="1" x14ac:dyDescent="0.25">
      <c r="A9211" s="369"/>
      <c r="E9211" s="396"/>
      <c r="F9211" s="396"/>
      <c r="G9211" s="396"/>
      <c r="K9211" s="370"/>
      <c r="N9211" s="370"/>
    </row>
    <row r="9212" spans="1:14" s="347" customFormat="1" x14ac:dyDescent="0.25">
      <c r="A9212" s="369"/>
      <c r="E9212" s="396"/>
      <c r="F9212" s="396"/>
      <c r="G9212" s="396"/>
      <c r="K9212" s="370"/>
      <c r="N9212" s="370"/>
    </row>
    <row r="9213" spans="1:14" s="347" customFormat="1" x14ac:dyDescent="0.25">
      <c r="A9213" s="369"/>
      <c r="E9213" s="396"/>
      <c r="F9213" s="396"/>
      <c r="G9213" s="396"/>
      <c r="K9213" s="370"/>
      <c r="N9213" s="370"/>
    </row>
    <row r="9214" spans="1:14" s="347" customFormat="1" x14ac:dyDescent="0.25">
      <c r="A9214" s="369"/>
      <c r="E9214" s="396"/>
      <c r="F9214" s="396"/>
      <c r="G9214" s="396"/>
      <c r="K9214" s="370"/>
      <c r="N9214" s="370"/>
    </row>
    <row r="9215" spans="1:14" s="347" customFormat="1" x14ac:dyDescent="0.25">
      <c r="A9215" s="369"/>
      <c r="E9215" s="396"/>
      <c r="F9215" s="396"/>
      <c r="G9215" s="396"/>
      <c r="K9215" s="370"/>
      <c r="N9215" s="370"/>
    </row>
    <row r="9216" spans="1:14" s="347" customFormat="1" x14ac:dyDescent="0.25">
      <c r="A9216" s="369"/>
      <c r="E9216" s="396"/>
      <c r="F9216" s="396"/>
      <c r="G9216" s="396"/>
      <c r="K9216" s="370"/>
      <c r="N9216" s="370"/>
    </row>
    <row r="9217" spans="1:14" s="347" customFormat="1" x14ac:dyDescent="0.25">
      <c r="A9217" s="369"/>
      <c r="E9217" s="396"/>
      <c r="F9217" s="396"/>
      <c r="G9217" s="396"/>
      <c r="K9217" s="370"/>
      <c r="N9217" s="370"/>
    </row>
    <row r="9218" spans="1:14" s="347" customFormat="1" x14ac:dyDescent="0.25">
      <c r="A9218" s="369"/>
      <c r="E9218" s="396"/>
      <c r="F9218" s="396"/>
      <c r="G9218" s="396"/>
      <c r="K9218" s="370"/>
      <c r="N9218" s="370"/>
    </row>
    <row r="9219" spans="1:14" s="347" customFormat="1" x14ac:dyDescent="0.25">
      <c r="A9219" s="369"/>
      <c r="E9219" s="396"/>
      <c r="F9219" s="396"/>
      <c r="G9219" s="396"/>
      <c r="K9219" s="370"/>
      <c r="N9219" s="370"/>
    </row>
    <row r="9220" spans="1:14" s="347" customFormat="1" x14ac:dyDescent="0.25">
      <c r="A9220" s="369"/>
      <c r="E9220" s="396"/>
      <c r="F9220" s="396"/>
      <c r="G9220" s="396"/>
      <c r="K9220" s="370"/>
      <c r="N9220" s="370"/>
    </row>
    <row r="9221" spans="1:14" s="347" customFormat="1" x14ac:dyDescent="0.25">
      <c r="A9221" s="369"/>
      <c r="E9221" s="396"/>
      <c r="F9221" s="396"/>
      <c r="G9221" s="396"/>
      <c r="K9221" s="370"/>
      <c r="N9221" s="370"/>
    </row>
    <row r="9222" spans="1:14" s="347" customFormat="1" x14ac:dyDescent="0.25">
      <c r="A9222" s="369"/>
      <c r="E9222" s="396"/>
      <c r="F9222" s="396"/>
      <c r="G9222" s="396"/>
      <c r="K9222" s="370"/>
      <c r="N9222" s="370"/>
    </row>
    <row r="9223" spans="1:14" s="347" customFormat="1" x14ac:dyDescent="0.25">
      <c r="A9223" s="369"/>
      <c r="E9223" s="396"/>
      <c r="F9223" s="396"/>
      <c r="G9223" s="396"/>
      <c r="K9223" s="370"/>
      <c r="N9223" s="370"/>
    </row>
    <row r="9224" spans="1:14" s="347" customFormat="1" x14ac:dyDescent="0.25">
      <c r="A9224" s="369"/>
      <c r="E9224" s="396"/>
      <c r="F9224" s="396"/>
      <c r="G9224" s="396"/>
      <c r="K9224" s="370"/>
      <c r="N9224" s="370"/>
    </row>
    <row r="9225" spans="1:14" s="347" customFormat="1" x14ac:dyDescent="0.25">
      <c r="A9225" s="369"/>
      <c r="E9225" s="396"/>
      <c r="F9225" s="396"/>
      <c r="G9225" s="396"/>
      <c r="K9225" s="370"/>
      <c r="N9225" s="370"/>
    </row>
    <row r="9226" spans="1:14" s="347" customFormat="1" x14ac:dyDescent="0.25">
      <c r="A9226" s="369"/>
      <c r="E9226" s="396"/>
      <c r="F9226" s="396"/>
      <c r="G9226" s="396"/>
      <c r="K9226" s="370"/>
      <c r="N9226" s="370"/>
    </row>
    <row r="9227" spans="1:14" s="347" customFormat="1" x14ac:dyDescent="0.25">
      <c r="A9227" s="369"/>
      <c r="E9227" s="396"/>
      <c r="F9227" s="396"/>
      <c r="G9227" s="396"/>
      <c r="K9227" s="370"/>
      <c r="N9227" s="370"/>
    </row>
    <row r="9228" spans="1:14" s="347" customFormat="1" x14ac:dyDescent="0.25">
      <c r="A9228" s="369"/>
      <c r="E9228" s="396"/>
      <c r="F9228" s="396"/>
      <c r="G9228" s="396"/>
      <c r="K9228" s="370"/>
      <c r="N9228" s="370"/>
    </row>
    <row r="9229" spans="1:14" s="347" customFormat="1" x14ac:dyDescent="0.25">
      <c r="A9229" s="369"/>
      <c r="E9229" s="396"/>
      <c r="F9229" s="396"/>
      <c r="G9229" s="396"/>
      <c r="K9229" s="370"/>
      <c r="N9229" s="370"/>
    </row>
    <row r="9230" spans="1:14" s="347" customFormat="1" x14ac:dyDescent="0.25">
      <c r="A9230" s="369"/>
      <c r="E9230" s="396"/>
      <c r="F9230" s="396"/>
      <c r="G9230" s="396"/>
      <c r="K9230" s="370"/>
      <c r="N9230" s="370"/>
    </row>
    <row r="9231" spans="1:14" s="347" customFormat="1" x14ac:dyDescent="0.25">
      <c r="A9231" s="369"/>
      <c r="E9231" s="396"/>
      <c r="F9231" s="396"/>
      <c r="G9231" s="396"/>
      <c r="K9231" s="370"/>
      <c r="N9231" s="370"/>
    </row>
    <row r="9232" spans="1:14" s="347" customFormat="1" x14ac:dyDescent="0.25">
      <c r="A9232" s="369"/>
      <c r="E9232" s="396"/>
      <c r="F9232" s="396"/>
      <c r="G9232" s="396"/>
      <c r="K9232" s="370"/>
      <c r="N9232" s="370"/>
    </row>
    <row r="9233" spans="1:14" s="347" customFormat="1" x14ac:dyDescent="0.25">
      <c r="A9233" s="369"/>
      <c r="E9233" s="396"/>
      <c r="F9233" s="396"/>
      <c r="G9233" s="396"/>
      <c r="K9233" s="370"/>
      <c r="N9233" s="370"/>
    </row>
    <row r="9234" spans="1:14" s="347" customFormat="1" x14ac:dyDescent="0.25">
      <c r="A9234" s="369"/>
      <c r="E9234" s="396"/>
      <c r="F9234" s="396"/>
      <c r="G9234" s="396"/>
      <c r="K9234" s="370"/>
      <c r="N9234" s="370"/>
    </row>
    <row r="9235" spans="1:14" s="347" customFormat="1" x14ac:dyDescent="0.25">
      <c r="A9235" s="369"/>
      <c r="E9235" s="396"/>
      <c r="F9235" s="396"/>
      <c r="G9235" s="396"/>
      <c r="K9235" s="370"/>
      <c r="N9235" s="370"/>
    </row>
    <row r="9236" spans="1:14" s="347" customFormat="1" x14ac:dyDescent="0.25">
      <c r="A9236" s="369"/>
      <c r="E9236" s="396"/>
      <c r="F9236" s="396"/>
      <c r="G9236" s="396"/>
      <c r="K9236" s="370"/>
      <c r="N9236" s="370"/>
    </row>
    <row r="9237" spans="1:14" s="347" customFormat="1" x14ac:dyDescent="0.25">
      <c r="A9237" s="369"/>
      <c r="E9237" s="396"/>
      <c r="F9237" s="396"/>
      <c r="G9237" s="396"/>
      <c r="K9237" s="370"/>
      <c r="N9237" s="370"/>
    </row>
    <row r="9238" spans="1:14" s="347" customFormat="1" x14ac:dyDescent="0.25">
      <c r="A9238" s="369"/>
      <c r="E9238" s="396"/>
      <c r="F9238" s="396"/>
      <c r="G9238" s="396"/>
      <c r="K9238" s="370"/>
      <c r="N9238" s="370"/>
    </row>
    <row r="9239" spans="1:14" s="347" customFormat="1" x14ac:dyDescent="0.25">
      <c r="A9239" s="369"/>
      <c r="E9239" s="396"/>
      <c r="F9239" s="396"/>
      <c r="G9239" s="396"/>
      <c r="K9239" s="370"/>
      <c r="N9239" s="370"/>
    </row>
    <row r="9240" spans="1:14" s="347" customFormat="1" x14ac:dyDescent="0.25">
      <c r="A9240" s="369"/>
      <c r="E9240" s="396"/>
      <c r="F9240" s="396"/>
      <c r="G9240" s="396"/>
      <c r="K9240" s="370"/>
      <c r="N9240" s="370"/>
    </row>
    <row r="9241" spans="1:14" s="347" customFormat="1" x14ac:dyDescent="0.25">
      <c r="A9241" s="369"/>
      <c r="E9241" s="396"/>
      <c r="F9241" s="396"/>
      <c r="G9241" s="396"/>
      <c r="K9241" s="370"/>
      <c r="N9241" s="370"/>
    </row>
    <row r="9242" spans="1:14" s="347" customFormat="1" x14ac:dyDescent="0.25">
      <c r="A9242" s="369"/>
      <c r="E9242" s="396"/>
      <c r="F9242" s="396"/>
      <c r="G9242" s="396"/>
      <c r="K9242" s="370"/>
      <c r="N9242" s="370"/>
    </row>
    <row r="9243" spans="1:14" s="347" customFormat="1" x14ac:dyDescent="0.25">
      <c r="A9243" s="369"/>
      <c r="E9243" s="396"/>
      <c r="F9243" s="396"/>
      <c r="G9243" s="396"/>
      <c r="K9243" s="370"/>
      <c r="N9243" s="370"/>
    </row>
    <row r="9244" spans="1:14" s="347" customFormat="1" x14ac:dyDescent="0.25">
      <c r="A9244" s="369"/>
      <c r="E9244" s="396"/>
      <c r="F9244" s="396"/>
      <c r="G9244" s="396"/>
      <c r="K9244" s="370"/>
      <c r="N9244" s="370"/>
    </row>
    <row r="9245" spans="1:14" s="347" customFormat="1" x14ac:dyDescent="0.25">
      <c r="A9245" s="369"/>
      <c r="E9245" s="396"/>
      <c r="F9245" s="396"/>
      <c r="G9245" s="396"/>
      <c r="K9245" s="370"/>
      <c r="N9245" s="370"/>
    </row>
    <row r="9246" spans="1:14" s="347" customFormat="1" x14ac:dyDescent="0.25">
      <c r="A9246" s="369"/>
      <c r="E9246" s="396"/>
      <c r="F9246" s="396"/>
      <c r="G9246" s="396"/>
      <c r="K9246" s="370"/>
      <c r="N9246" s="370"/>
    </row>
    <row r="9247" spans="1:14" s="347" customFormat="1" x14ac:dyDescent="0.25">
      <c r="A9247" s="369"/>
      <c r="E9247" s="396"/>
      <c r="F9247" s="396"/>
      <c r="G9247" s="396"/>
      <c r="K9247" s="370"/>
      <c r="N9247" s="370"/>
    </row>
    <row r="9248" spans="1:14" s="347" customFormat="1" x14ac:dyDescent="0.25">
      <c r="A9248" s="369"/>
      <c r="E9248" s="396"/>
      <c r="F9248" s="396"/>
      <c r="G9248" s="396"/>
      <c r="K9248" s="370"/>
      <c r="N9248" s="370"/>
    </row>
    <row r="9249" spans="1:14" s="347" customFormat="1" x14ac:dyDescent="0.25">
      <c r="A9249" s="369"/>
      <c r="E9249" s="396"/>
      <c r="F9249" s="396"/>
      <c r="G9249" s="396"/>
      <c r="K9249" s="370"/>
      <c r="N9249" s="370"/>
    </row>
    <row r="9250" spans="1:14" s="347" customFormat="1" x14ac:dyDescent="0.25">
      <c r="A9250" s="369"/>
      <c r="E9250" s="396"/>
      <c r="F9250" s="396"/>
      <c r="G9250" s="396"/>
      <c r="K9250" s="370"/>
      <c r="N9250" s="370"/>
    </row>
    <row r="9251" spans="1:14" s="347" customFormat="1" x14ac:dyDescent="0.25">
      <c r="A9251" s="369"/>
      <c r="E9251" s="396"/>
      <c r="F9251" s="396"/>
      <c r="G9251" s="396"/>
      <c r="K9251" s="370"/>
      <c r="N9251" s="370"/>
    </row>
    <row r="9252" spans="1:14" s="347" customFormat="1" x14ac:dyDescent="0.25">
      <c r="A9252" s="369"/>
      <c r="E9252" s="396"/>
      <c r="F9252" s="396"/>
      <c r="G9252" s="396"/>
      <c r="K9252" s="370"/>
      <c r="N9252" s="370"/>
    </row>
    <row r="9253" spans="1:14" s="347" customFormat="1" x14ac:dyDescent="0.25">
      <c r="A9253" s="369"/>
      <c r="E9253" s="396"/>
      <c r="F9253" s="396"/>
      <c r="G9253" s="396"/>
      <c r="K9253" s="370"/>
      <c r="N9253" s="370"/>
    </row>
    <row r="9254" spans="1:14" s="347" customFormat="1" x14ac:dyDescent="0.25">
      <c r="A9254" s="369"/>
      <c r="E9254" s="396"/>
      <c r="F9254" s="396"/>
      <c r="G9254" s="396"/>
      <c r="K9254" s="370"/>
      <c r="N9254" s="370"/>
    </row>
    <row r="9255" spans="1:14" s="347" customFormat="1" x14ac:dyDescent="0.25">
      <c r="A9255" s="369"/>
      <c r="E9255" s="396"/>
      <c r="F9255" s="396"/>
      <c r="G9255" s="396"/>
      <c r="K9255" s="370"/>
      <c r="N9255" s="370"/>
    </row>
    <row r="9256" spans="1:14" s="347" customFormat="1" x14ac:dyDescent="0.25">
      <c r="A9256" s="369"/>
      <c r="E9256" s="396"/>
      <c r="F9256" s="396"/>
      <c r="G9256" s="396"/>
      <c r="K9256" s="370"/>
      <c r="N9256" s="370"/>
    </row>
    <row r="9257" spans="1:14" s="347" customFormat="1" x14ac:dyDescent="0.25">
      <c r="A9257" s="369"/>
      <c r="E9257" s="396"/>
      <c r="F9257" s="396"/>
      <c r="G9257" s="396"/>
      <c r="K9257" s="370"/>
      <c r="N9257" s="370"/>
    </row>
    <row r="9258" spans="1:14" s="347" customFormat="1" x14ac:dyDescent="0.25">
      <c r="A9258" s="369"/>
      <c r="E9258" s="396"/>
      <c r="F9258" s="396"/>
      <c r="G9258" s="396"/>
      <c r="K9258" s="370"/>
      <c r="N9258" s="370"/>
    </row>
    <row r="9259" spans="1:14" s="347" customFormat="1" x14ac:dyDescent="0.25">
      <c r="A9259" s="369"/>
      <c r="E9259" s="396"/>
      <c r="F9259" s="396"/>
      <c r="G9259" s="396"/>
      <c r="K9259" s="370"/>
      <c r="N9259" s="370"/>
    </row>
    <row r="9260" spans="1:14" s="347" customFormat="1" x14ac:dyDescent="0.25">
      <c r="A9260" s="369"/>
      <c r="E9260" s="396"/>
      <c r="F9260" s="396"/>
      <c r="G9260" s="396"/>
      <c r="K9260" s="370"/>
      <c r="N9260" s="370"/>
    </row>
    <row r="9261" spans="1:14" s="347" customFormat="1" x14ac:dyDescent="0.25">
      <c r="A9261" s="369"/>
      <c r="E9261" s="396"/>
      <c r="F9261" s="396"/>
      <c r="G9261" s="396"/>
      <c r="K9261" s="370"/>
      <c r="N9261" s="370"/>
    </row>
    <row r="9262" spans="1:14" s="347" customFormat="1" x14ac:dyDescent="0.25">
      <c r="A9262" s="369"/>
      <c r="E9262" s="396"/>
      <c r="F9262" s="396"/>
      <c r="G9262" s="396"/>
      <c r="K9262" s="370"/>
      <c r="N9262" s="370"/>
    </row>
    <row r="9263" spans="1:14" s="347" customFormat="1" x14ac:dyDescent="0.25">
      <c r="A9263" s="369"/>
      <c r="E9263" s="396"/>
      <c r="F9263" s="396"/>
      <c r="G9263" s="396"/>
      <c r="K9263" s="370"/>
      <c r="N9263" s="370"/>
    </row>
    <row r="9264" spans="1:14" s="347" customFormat="1" x14ac:dyDescent="0.25">
      <c r="A9264" s="369"/>
      <c r="E9264" s="396"/>
      <c r="F9264" s="396"/>
      <c r="G9264" s="396"/>
      <c r="K9264" s="370"/>
      <c r="N9264" s="370"/>
    </row>
    <row r="9265" spans="1:14" s="347" customFormat="1" x14ac:dyDescent="0.25">
      <c r="A9265" s="369"/>
      <c r="E9265" s="396"/>
      <c r="F9265" s="396"/>
      <c r="G9265" s="396"/>
      <c r="K9265" s="370"/>
      <c r="N9265" s="370"/>
    </row>
    <row r="9266" spans="1:14" s="347" customFormat="1" x14ac:dyDescent="0.25">
      <c r="A9266" s="369"/>
      <c r="E9266" s="396"/>
      <c r="F9266" s="396"/>
      <c r="G9266" s="396"/>
      <c r="K9266" s="370"/>
      <c r="N9266" s="370"/>
    </row>
    <row r="9267" spans="1:14" s="347" customFormat="1" x14ac:dyDescent="0.25">
      <c r="A9267" s="369"/>
      <c r="E9267" s="396"/>
      <c r="F9267" s="396"/>
      <c r="G9267" s="396"/>
      <c r="K9267" s="370"/>
      <c r="N9267" s="370"/>
    </row>
    <row r="9268" spans="1:14" s="347" customFormat="1" x14ac:dyDescent="0.25">
      <c r="A9268" s="369"/>
      <c r="E9268" s="396"/>
      <c r="F9268" s="396"/>
      <c r="G9268" s="396"/>
      <c r="K9268" s="370"/>
      <c r="N9268" s="370"/>
    </row>
    <row r="9269" spans="1:14" s="347" customFormat="1" x14ac:dyDescent="0.25">
      <c r="A9269" s="369"/>
      <c r="E9269" s="396"/>
      <c r="F9269" s="396"/>
      <c r="G9269" s="396"/>
      <c r="K9269" s="370"/>
      <c r="N9269" s="370"/>
    </row>
    <row r="9270" spans="1:14" s="347" customFormat="1" x14ac:dyDescent="0.25">
      <c r="A9270" s="369"/>
      <c r="E9270" s="396"/>
      <c r="F9270" s="396"/>
      <c r="G9270" s="396"/>
      <c r="K9270" s="370"/>
      <c r="N9270" s="370"/>
    </row>
    <row r="9271" spans="1:14" s="347" customFormat="1" x14ac:dyDescent="0.25">
      <c r="A9271" s="369"/>
      <c r="E9271" s="396"/>
      <c r="F9271" s="396"/>
      <c r="G9271" s="396"/>
      <c r="K9271" s="370"/>
      <c r="N9271" s="370"/>
    </row>
    <row r="9272" spans="1:14" s="347" customFormat="1" x14ac:dyDescent="0.25">
      <c r="A9272" s="369"/>
      <c r="E9272" s="396"/>
      <c r="F9272" s="396"/>
      <c r="G9272" s="396"/>
      <c r="K9272" s="370"/>
      <c r="N9272" s="370"/>
    </row>
    <row r="9273" spans="1:14" s="347" customFormat="1" x14ac:dyDescent="0.25">
      <c r="A9273" s="369"/>
      <c r="E9273" s="396"/>
      <c r="F9273" s="396"/>
      <c r="G9273" s="396"/>
      <c r="K9273" s="370"/>
      <c r="N9273" s="370"/>
    </row>
    <row r="9274" spans="1:14" s="347" customFormat="1" x14ac:dyDescent="0.25">
      <c r="A9274" s="369"/>
      <c r="E9274" s="396"/>
      <c r="F9274" s="396"/>
      <c r="G9274" s="396"/>
      <c r="K9274" s="370"/>
      <c r="N9274" s="370"/>
    </row>
    <row r="9275" spans="1:14" s="347" customFormat="1" x14ac:dyDescent="0.25">
      <c r="A9275" s="369"/>
      <c r="E9275" s="396"/>
      <c r="F9275" s="396"/>
      <c r="G9275" s="396"/>
      <c r="K9275" s="370"/>
      <c r="N9275" s="370"/>
    </row>
    <row r="9276" spans="1:14" s="347" customFormat="1" x14ac:dyDescent="0.25">
      <c r="A9276" s="369"/>
      <c r="E9276" s="396"/>
      <c r="F9276" s="396"/>
      <c r="G9276" s="396"/>
      <c r="K9276" s="370"/>
      <c r="N9276" s="370"/>
    </row>
    <row r="9277" spans="1:14" s="347" customFormat="1" x14ac:dyDescent="0.25">
      <c r="A9277" s="369"/>
      <c r="E9277" s="396"/>
      <c r="F9277" s="396"/>
      <c r="G9277" s="396"/>
      <c r="K9277" s="370"/>
      <c r="N9277" s="370"/>
    </row>
    <row r="9278" spans="1:14" s="347" customFormat="1" x14ac:dyDescent="0.25">
      <c r="A9278" s="369"/>
      <c r="E9278" s="396"/>
      <c r="F9278" s="396"/>
      <c r="G9278" s="396"/>
      <c r="K9278" s="370"/>
      <c r="N9278" s="370"/>
    </row>
    <row r="9279" spans="1:14" s="347" customFormat="1" x14ac:dyDescent="0.25">
      <c r="A9279" s="369"/>
      <c r="E9279" s="396"/>
      <c r="F9279" s="396"/>
      <c r="G9279" s="396"/>
      <c r="K9279" s="370"/>
      <c r="N9279" s="370"/>
    </row>
    <row r="9280" spans="1:14" s="347" customFormat="1" x14ac:dyDescent="0.25">
      <c r="A9280" s="369"/>
      <c r="E9280" s="396"/>
      <c r="F9280" s="396"/>
      <c r="G9280" s="396"/>
      <c r="K9280" s="370"/>
      <c r="N9280" s="370"/>
    </row>
    <row r="9281" spans="1:14" s="347" customFormat="1" x14ac:dyDescent="0.25">
      <c r="A9281" s="369"/>
      <c r="E9281" s="396"/>
      <c r="F9281" s="396"/>
      <c r="G9281" s="396"/>
      <c r="K9281" s="370"/>
      <c r="N9281" s="370"/>
    </row>
    <row r="9282" spans="1:14" s="347" customFormat="1" x14ac:dyDescent="0.25">
      <c r="A9282" s="369"/>
      <c r="E9282" s="396"/>
      <c r="F9282" s="396"/>
      <c r="G9282" s="396"/>
      <c r="K9282" s="370"/>
      <c r="N9282" s="370"/>
    </row>
    <row r="9283" spans="1:14" s="347" customFormat="1" x14ac:dyDescent="0.25">
      <c r="A9283" s="369"/>
      <c r="E9283" s="396"/>
      <c r="F9283" s="396"/>
      <c r="G9283" s="396"/>
      <c r="K9283" s="370"/>
      <c r="N9283" s="370"/>
    </row>
    <row r="9284" spans="1:14" s="347" customFormat="1" x14ac:dyDescent="0.25">
      <c r="A9284" s="369"/>
      <c r="E9284" s="396"/>
      <c r="F9284" s="396"/>
      <c r="G9284" s="396"/>
      <c r="K9284" s="370"/>
      <c r="N9284" s="370"/>
    </row>
    <row r="9285" spans="1:14" s="347" customFormat="1" x14ac:dyDescent="0.25">
      <c r="A9285" s="369"/>
      <c r="E9285" s="396"/>
      <c r="F9285" s="396"/>
      <c r="G9285" s="396"/>
      <c r="K9285" s="370"/>
      <c r="N9285" s="370"/>
    </row>
    <row r="9286" spans="1:14" s="347" customFormat="1" x14ac:dyDescent="0.25">
      <c r="A9286" s="369"/>
      <c r="E9286" s="396"/>
      <c r="F9286" s="396"/>
      <c r="G9286" s="396"/>
      <c r="K9286" s="370"/>
      <c r="N9286" s="370"/>
    </row>
    <row r="9287" spans="1:14" s="347" customFormat="1" x14ac:dyDescent="0.25">
      <c r="A9287" s="369"/>
      <c r="E9287" s="396"/>
      <c r="F9287" s="396"/>
      <c r="G9287" s="396"/>
      <c r="K9287" s="370"/>
      <c r="N9287" s="370"/>
    </row>
    <row r="9288" spans="1:14" s="347" customFormat="1" x14ac:dyDescent="0.25">
      <c r="A9288" s="369"/>
      <c r="E9288" s="396"/>
      <c r="F9288" s="396"/>
      <c r="G9288" s="396"/>
      <c r="K9288" s="370"/>
      <c r="N9288" s="370"/>
    </row>
    <row r="9289" spans="1:14" s="347" customFormat="1" x14ac:dyDescent="0.25">
      <c r="A9289" s="369"/>
      <c r="E9289" s="396"/>
      <c r="F9289" s="396"/>
      <c r="G9289" s="396"/>
      <c r="K9289" s="370"/>
      <c r="N9289" s="370"/>
    </row>
    <row r="9290" spans="1:14" s="347" customFormat="1" x14ac:dyDescent="0.25">
      <c r="A9290" s="369"/>
      <c r="E9290" s="396"/>
      <c r="F9290" s="396"/>
      <c r="G9290" s="396"/>
      <c r="K9290" s="370"/>
      <c r="N9290" s="370"/>
    </row>
    <row r="9291" spans="1:14" s="347" customFormat="1" x14ac:dyDescent="0.25">
      <c r="A9291" s="369"/>
      <c r="E9291" s="396"/>
      <c r="F9291" s="396"/>
      <c r="G9291" s="396"/>
      <c r="K9291" s="370"/>
      <c r="N9291" s="370"/>
    </row>
    <row r="9292" spans="1:14" s="347" customFormat="1" x14ac:dyDescent="0.25">
      <c r="A9292" s="369"/>
      <c r="E9292" s="396"/>
      <c r="F9292" s="396"/>
      <c r="G9292" s="396"/>
      <c r="K9292" s="370"/>
      <c r="N9292" s="370"/>
    </row>
    <row r="9293" spans="1:14" s="347" customFormat="1" x14ac:dyDescent="0.25">
      <c r="A9293" s="369"/>
      <c r="E9293" s="396"/>
      <c r="F9293" s="396"/>
      <c r="G9293" s="396"/>
      <c r="K9293" s="370"/>
      <c r="N9293" s="370"/>
    </row>
    <row r="9294" spans="1:14" s="347" customFormat="1" x14ac:dyDescent="0.25">
      <c r="A9294" s="369"/>
      <c r="E9294" s="396"/>
      <c r="F9294" s="396"/>
      <c r="G9294" s="396"/>
      <c r="K9294" s="370"/>
      <c r="N9294" s="370"/>
    </row>
    <row r="9295" spans="1:14" s="347" customFormat="1" x14ac:dyDescent="0.25">
      <c r="A9295" s="369"/>
      <c r="E9295" s="396"/>
      <c r="F9295" s="396"/>
      <c r="G9295" s="396"/>
      <c r="K9295" s="370"/>
      <c r="N9295" s="370"/>
    </row>
    <row r="9296" spans="1:14" s="347" customFormat="1" x14ac:dyDescent="0.25">
      <c r="A9296" s="369"/>
      <c r="E9296" s="396"/>
      <c r="F9296" s="396"/>
      <c r="G9296" s="396"/>
      <c r="K9296" s="370"/>
      <c r="N9296" s="370"/>
    </row>
    <row r="9297" spans="1:14" s="347" customFormat="1" x14ac:dyDescent="0.25">
      <c r="A9297" s="369"/>
      <c r="E9297" s="396"/>
      <c r="F9297" s="396"/>
      <c r="G9297" s="396"/>
      <c r="K9297" s="370"/>
      <c r="N9297" s="370"/>
    </row>
    <row r="9298" spans="1:14" s="347" customFormat="1" x14ac:dyDescent="0.25">
      <c r="A9298" s="369"/>
      <c r="E9298" s="396"/>
      <c r="F9298" s="396"/>
      <c r="G9298" s="396"/>
      <c r="K9298" s="370"/>
      <c r="N9298" s="370"/>
    </row>
    <row r="9299" spans="1:14" s="347" customFormat="1" x14ac:dyDescent="0.25">
      <c r="A9299" s="369"/>
      <c r="E9299" s="396"/>
      <c r="F9299" s="396"/>
      <c r="G9299" s="396"/>
      <c r="K9299" s="370"/>
      <c r="N9299" s="370"/>
    </row>
    <row r="9300" spans="1:14" s="347" customFormat="1" x14ac:dyDescent="0.25">
      <c r="A9300" s="369"/>
      <c r="E9300" s="396"/>
      <c r="F9300" s="396"/>
      <c r="G9300" s="396"/>
      <c r="K9300" s="370"/>
      <c r="N9300" s="370"/>
    </row>
    <row r="9301" spans="1:14" s="347" customFormat="1" x14ac:dyDescent="0.25">
      <c r="A9301" s="369"/>
      <c r="E9301" s="396"/>
      <c r="F9301" s="396"/>
      <c r="G9301" s="396"/>
      <c r="K9301" s="370"/>
      <c r="N9301" s="370"/>
    </row>
    <row r="9302" spans="1:14" s="347" customFormat="1" x14ac:dyDescent="0.25">
      <c r="A9302" s="369"/>
      <c r="E9302" s="396"/>
      <c r="F9302" s="396"/>
      <c r="G9302" s="396"/>
      <c r="K9302" s="370"/>
      <c r="N9302" s="370"/>
    </row>
    <row r="9303" spans="1:14" s="347" customFormat="1" x14ac:dyDescent="0.25">
      <c r="A9303" s="369"/>
      <c r="E9303" s="396"/>
      <c r="F9303" s="396"/>
      <c r="G9303" s="396"/>
      <c r="K9303" s="370"/>
      <c r="N9303" s="370"/>
    </row>
    <row r="9304" spans="1:14" s="347" customFormat="1" x14ac:dyDescent="0.25">
      <c r="A9304" s="369"/>
      <c r="E9304" s="396"/>
      <c r="F9304" s="396"/>
      <c r="G9304" s="396"/>
      <c r="K9304" s="370"/>
      <c r="N9304" s="370"/>
    </row>
    <row r="9305" spans="1:14" s="347" customFormat="1" x14ac:dyDescent="0.25">
      <c r="A9305" s="369"/>
      <c r="E9305" s="396"/>
      <c r="F9305" s="396"/>
      <c r="G9305" s="396"/>
      <c r="K9305" s="370"/>
      <c r="N9305" s="370"/>
    </row>
    <row r="9306" spans="1:14" s="347" customFormat="1" x14ac:dyDescent="0.25">
      <c r="A9306" s="369"/>
      <c r="E9306" s="396"/>
      <c r="F9306" s="396"/>
      <c r="G9306" s="396"/>
      <c r="K9306" s="370"/>
      <c r="N9306" s="370"/>
    </row>
    <row r="9307" spans="1:14" s="347" customFormat="1" x14ac:dyDescent="0.25">
      <c r="A9307" s="369"/>
      <c r="E9307" s="396"/>
      <c r="F9307" s="396"/>
      <c r="G9307" s="396"/>
      <c r="K9307" s="370"/>
      <c r="N9307" s="370"/>
    </row>
    <row r="9308" spans="1:14" s="347" customFormat="1" x14ac:dyDescent="0.25">
      <c r="A9308" s="369"/>
      <c r="E9308" s="396"/>
      <c r="F9308" s="396"/>
      <c r="G9308" s="396"/>
      <c r="K9308" s="370"/>
      <c r="N9308" s="370"/>
    </row>
    <row r="9309" spans="1:14" s="347" customFormat="1" x14ac:dyDescent="0.25">
      <c r="A9309" s="369"/>
      <c r="E9309" s="396"/>
      <c r="F9309" s="396"/>
      <c r="G9309" s="396"/>
      <c r="K9309" s="370"/>
      <c r="N9309" s="370"/>
    </row>
    <row r="9310" spans="1:14" s="347" customFormat="1" x14ac:dyDescent="0.25">
      <c r="A9310" s="369"/>
      <c r="E9310" s="396"/>
      <c r="F9310" s="396"/>
      <c r="G9310" s="396"/>
      <c r="K9310" s="370"/>
      <c r="N9310" s="370"/>
    </row>
    <row r="9311" spans="1:14" s="347" customFormat="1" x14ac:dyDescent="0.25">
      <c r="A9311" s="369"/>
      <c r="E9311" s="396"/>
      <c r="F9311" s="396"/>
      <c r="G9311" s="396"/>
      <c r="K9311" s="370"/>
      <c r="N9311" s="370"/>
    </row>
    <row r="9312" spans="1:14" s="347" customFormat="1" x14ac:dyDescent="0.25">
      <c r="A9312" s="369"/>
      <c r="E9312" s="396"/>
      <c r="F9312" s="396"/>
      <c r="G9312" s="396"/>
      <c r="K9312" s="370"/>
      <c r="N9312" s="370"/>
    </row>
    <row r="9313" spans="1:14" s="347" customFormat="1" x14ac:dyDescent="0.25">
      <c r="A9313" s="369"/>
      <c r="E9313" s="396"/>
      <c r="F9313" s="396"/>
      <c r="G9313" s="396"/>
      <c r="K9313" s="370"/>
      <c r="N9313" s="370"/>
    </row>
    <row r="9314" spans="1:14" s="347" customFormat="1" x14ac:dyDescent="0.25">
      <c r="A9314" s="369"/>
      <c r="E9314" s="396"/>
      <c r="F9314" s="396"/>
      <c r="G9314" s="396"/>
      <c r="K9314" s="370"/>
      <c r="N9314" s="370"/>
    </row>
    <row r="9315" spans="1:14" s="347" customFormat="1" x14ac:dyDescent="0.25">
      <c r="A9315" s="369"/>
      <c r="E9315" s="396"/>
      <c r="F9315" s="396"/>
      <c r="G9315" s="396"/>
      <c r="K9315" s="370"/>
      <c r="N9315" s="370"/>
    </row>
    <row r="9316" spans="1:14" s="347" customFormat="1" x14ac:dyDescent="0.25">
      <c r="A9316" s="369"/>
      <c r="E9316" s="396"/>
      <c r="F9316" s="396"/>
      <c r="G9316" s="396"/>
      <c r="K9316" s="370"/>
      <c r="N9316" s="370"/>
    </row>
    <row r="9317" spans="1:14" s="347" customFormat="1" x14ac:dyDescent="0.25">
      <c r="A9317" s="369"/>
      <c r="E9317" s="396"/>
      <c r="F9317" s="396"/>
      <c r="G9317" s="396"/>
      <c r="K9317" s="370"/>
      <c r="N9317" s="370"/>
    </row>
    <row r="9318" spans="1:14" s="347" customFormat="1" x14ac:dyDescent="0.25">
      <c r="A9318" s="369"/>
      <c r="E9318" s="396"/>
      <c r="F9318" s="396"/>
      <c r="G9318" s="396"/>
      <c r="K9318" s="370"/>
      <c r="N9318" s="370"/>
    </row>
    <row r="9319" spans="1:14" s="347" customFormat="1" x14ac:dyDescent="0.25">
      <c r="A9319" s="369"/>
      <c r="E9319" s="396"/>
      <c r="F9319" s="396"/>
      <c r="G9319" s="396"/>
      <c r="K9319" s="370"/>
      <c r="N9319" s="370"/>
    </row>
    <row r="9320" spans="1:14" s="347" customFormat="1" x14ac:dyDescent="0.25">
      <c r="A9320" s="369"/>
      <c r="E9320" s="396"/>
      <c r="F9320" s="396"/>
      <c r="G9320" s="396"/>
      <c r="K9320" s="370"/>
      <c r="N9320" s="370"/>
    </row>
    <row r="9321" spans="1:14" s="347" customFormat="1" x14ac:dyDescent="0.25">
      <c r="A9321" s="369"/>
      <c r="E9321" s="396"/>
      <c r="F9321" s="396"/>
      <c r="G9321" s="396"/>
      <c r="K9321" s="370"/>
      <c r="N9321" s="370"/>
    </row>
    <row r="9322" spans="1:14" s="347" customFormat="1" x14ac:dyDescent="0.25">
      <c r="A9322" s="369"/>
      <c r="E9322" s="396"/>
      <c r="F9322" s="396"/>
      <c r="G9322" s="396"/>
      <c r="K9322" s="370"/>
      <c r="N9322" s="370"/>
    </row>
    <row r="9323" spans="1:14" s="347" customFormat="1" x14ac:dyDescent="0.25">
      <c r="A9323" s="369"/>
      <c r="E9323" s="396"/>
      <c r="F9323" s="396"/>
      <c r="G9323" s="396"/>
      <c r="K9323" s="370"/>
      <c r="N9323" s="370"/>
    </row>
  </sheetData>
  <sheetProtection insertRows="0"/>
  <phoneticPr fontId="101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27"/>
  <sheetViews>
    <sheetView workbookViewId="0">
      <selection activeCell="F13" sqref="F13"/>
    </sheetView>
  </sheetViews>
  <sheetFormatPr baseColWidth="10" defaultRowHeight="15.65" x14ac:dyDescent="0.25"/>
  <cols>
    <col min="4" max="4" width="32.796875" bestFit="1" customWidth="1"/>
    <col min="8" max="8" width="29.3984375" bestFit="1" customWidth="1"/>
  </cols>
  <sheetData>
    <row r="2" spans="1:9" x14ac:dyDescent="0.25">
      <c r="A2" s="339">
        <v>44195</v>
      </c>
      <c r="B2" s="340">
        <v>12</v>
      </c>
      <c r="C2" s="352">
        <v>3620</v>
      </c>
      <c r="D2" s="340" t="str">
        <f>VLOOKUP(C2,Plan!A:B,2,0)</f>
        <v>Cali Recaudadores</v>
      </c>
      <c r="E2" s="341">
        <f t="shared" ref="E2:E27" si="0">+F2-G2</f>
        <v>-654000</v>
      </c>
      <c r="F2" s="353">
        <v>0</v>
      </c>
      <c r="G2" s="353">
        <v>654000</v>
      </c>
      <c r="H2" s="354" t="s">
        <v>677</v>
      </c>
      <c r="I2" s="355" t="s">
        <v>131</v>
      </c>
    </row>
    <row r="3" spans="1:9" x14ac:dyDescent="0.25">
      <c r="A3" s="350">
        <f>+A2</f>
        <v>44195</v>
      </c>
      <c r="B3" s="351">
        <f>+B2</f>
        <v>12</v>
      </c>
      <c r="C3" s="352">
        <v>3621</v>
      </c>
      <c r="D3" s="340" t="str">
        <f>VLOOKUP(C3,Plan!A:B,2,0)</f>
        <v>Cali Recaudadores (249)</v>
      </c>
      <c r="E3" s="341">
        <f t="shared" si="0"/>
        <v>0</v>
      </c>
      <c r="F3" s="353">
        <v>0</v>
      </c>
      <c r="G3" s="353">
        <v>0</v>
      </c>
      <c r="H3" s="354" t="str">
        <f>+H2</f>
        <v>Centralización RecaudaciónOctubre</v>
      </c>
      <c r="I3" s="355" t="s">
        <v>131</v>
      </c>
    </row>
    <row r="4" spans="1:9" x14ac:dyDescent="0.25">
      <c r="A4" s="350">
        <f t="shared" ref="A4:B8" si="1">+A2</f>
        <v>44195</v>
      </c>
      <c r="B4" s="351">
        <f t="shared" si="1"/>
        <v>12</v>
      </c>
      <c r="C4" s="352">
        <v>3630</v>
      </c>
      <c r="D4" s="340" t="str">
        <f>VLOOKUP(C4,Plan!A:B,2,0)</f>
        <v>Cali Oficina Parroquial</v>
      </c>
      <c r="E4" s="341">
        <f t="shared" si="0"/>
        <v>-899000</v>
      </c>
      <c r="F4" s="353">
        <v>0</v>
      </c>
      <c r="G4" s="353">
        <v>899000</v>
      </c>
      <c r="H4" s="354" t="str">
        <f t="shared" ref="H4:H27" si="2">+H3</f>
        <v>Centralización RecaudaciónOctubre</v>
      </c>
      <c r="I4" s="355" t="s">
        <v>131</v>
      </c>
    </row>
    <row r="5" spans="1:9" x14ac:dyDescent="0.25">
      <c r="A5" s="350">
        <f t="shared" si="1"/>
        <v>44195</v>
      </c>
      <c r="B5" s="351">
        <f t="shared" si="1"/>
        <v>12</v>
      </c>
      <c r="C5" s="352">
        <v>3631</v>
      </c>
      <c r="D5" s="340" t="str">
        <f>VLOOKUP(C5,Plan!A:B,2,0)</f>
        <v>Cali Oficina Parroquial (249)</v>
      </c>
      <c r="E5" s="341">
        <f t="shared" si="0"/>
        <v>-7885000</v>
      </c>
      <c r="F5" s="353">
        <v>0</v>
      </c>
      <c r="G5" s="353">
        <v>7885000</v>
      </c>
      <c r="H5" s="354" t="str">
        <f t="shared" si="2"/>
        <v>Centralización RecaudaciónOctubre</v>
      </c>
      <c r="I5" s="355" t="s">
        <v>131</v>
      </c>
    </row>
    <row r="6" spans="1:9" x14ac:dyDescent="0.25">
      <c r="A6" s="350">
        <f t="shared" si="1"/>
        <v>44195</v>
      </c>
      <c r="B6" s="351">
        <f t="shared" si="1"/>
        <v>12</v>
      </c>
      <c r="C6" s="352">
        <v>3640</v>
      </c>
      <c r="D6" s="340" t="str">
        <f>VLOOKUP(C6,Plan!A:B,2,0)</f>
        <v>Cali Tarjetas de Creditos</v>
      </c>
      <c r="E6" s="341">
        <f t="shared" si="0"/>
        <v>-4361300</v>
      </c>
      <c r="F6" s="353">
        <v>0</v>
      </c>
      <c r="G6" s="353">
        <v>4361300</v>
      </c>
      <c r="H6" s="354" t="str">
        <f t="shared" si="2"/>
        <v>Centralización RecaudaciónOctubre</v>
      </c>
      <c r="I6" s="355" t="s">
        <v>131</v>
      </c>
    </row>
    <row r="7" spans="1:9" x14ac:dyDescent="0.25">
      <c r="A7" s="350">
        <f t="shared" si="1"/>
        <v>44195</v>
      </c>
      <c r="B7" s="351">
        <f t="shared" si="1"/>
        <v>12</v>
      </c>
      <c r="C7" s="352">
        <v>3641</v>
      </c>
      <c r="D7" s="340" t="str">
        <f>VLOOKUP(C7,Plan!A:B,2,0)</f>
        <v>Cali Tarjetas de Creditos (249)</v>
      </c>
      <c r="E7" s="341">
        <f t="shared" si="0"/>
        <v>-4591750</v>
      </c>
      <c r="F7" s="353">
        <v>0</v>
      </c>
      <c r="G7" s="353">
        <v>4591750</v>
      </c>
      <c r="H7" s="354" t="str">
        <f t="shared" si="2"/>
        <v>Centralización RecaudaciónOctubre</v>
      </c>
      <c r="I7" s="355" t="s">
        <v>131</v>
      </c>
    </row>
    <row r="8" spans="1:9" x14ac:dyDescent="0.25">
      <c r="A8" s="350">
        <f t="shared" si="1"/>
        <v>44195</v>
      </c>
      <c r="B8" s="351">
        <f t="shared" si="1"/>
        <v>12</v>
      </c>
      <c r="C8" s="352">
        <v>1216</v>
      </c>
      <c r="D8" s="340" t="str">
        <f>VLOOKUP(C8,Plan!A:B,2,0)</f>
        <v>Otros Valores Recaudadoras</v>
      </c>
      <c r="E8" s="341">
        <f t="shared" si="0"/>
        <v>654000</v>
      </c>
      <c r="F8" s="353">
        <f>+G2+G3</f>
        <v>654000</v>
      </c>
      <c r="G8" s="353">
        <v>0</v>
      </c>
      <c r="H8" s="354" t="str">
        <f t="shared" si="2"/>
        <v>Centralización RecaudaciónOctubre</v>
      </c>
      <c r="I8" s="355" t="s">
        <v>131</v>
      </c>
    </row>
    <row r="9" spans="1:9" x14ac:dyDescent="0.25">
      <c r="A9" s="350">
        <f t="shared" ref="A9:B18" si="3">+A8</f>
        <v>44195</v>
      </c>
      <c r="B9" s="351">
        <f t="shared" si="3"/>
        <v>12</v>
      </c>
      <c r="C9" s="352">
        <v>1217</v>
      </c>
      <c r="D9" s="340" t="str">
        <f>VLOOKUP(C9,Plan!A:B,2,0)</f>
        <v>Otros Valores -Oficina y Transferencias (248)</v>
      </c>
      <c r="E9" s="341">
        <f t="shared" si="0"/>
        <v>8784000</v>
      </c>
      <c r="F9" s="353">
        <f>+G4+G5</f>
        <v>8784000</v>
      </c>
      <c r="G9" s="353">
        <v>0</v>
      </c>
      <c r="H9" s="354" t="str">
        <f t="shared" si="2"/>
        <v>Centralización RecaudaciónOctubre</v>
      </c>
      <c r="I9" s="355" t="s">
        <v>131</v>
      </c>
    </row>
    <row r="10" spans="1:9" x14ac:dyDescent="0.25">
      <c r="A10" s="350">
        <f t="shared" si="3"/>
        <v>44195</v>
      </c>
      <c r="B10" s="351">
        <f t="shared" si="3"/>
        <v>12</v>
      </c>
      <c r="C10" s="352">
        <v>1218</v>
      </c>
      <c r="D10" s="340" t="str">
        <f>VLOOKUP(C10,Plan!A:B,2,0)</f>
        <v>Otros Valores Tarjeta de Credito</v>
      </c>
      <c r="E10" s="341">
        <f t="shared" si="0"/>
        <v>8953050</v>
      </c>
      <c r="F10" s="353">
        <f>+G6+G7</f>
        <v>8953050</v>
      </c>
      <c r="G10" s="353">
        <v>0</v>
      </c>
      <c r="H10" s="354" t="str">
        <f t="shared" si="2"/>
        <v>Centralización RecaudaciónOctubre</v>
      </c>
      <c r="I10" s="355" t="s">
        <v>131</v>
      </c>
    </row>
    <row r="11" spans="1:9" x14ac:dyDescent="0.25">
      <c r="A11" s="350">
        <f t="shared" si="3"/>
        <v>44195</v>
      </c>
      <c r="B11" s="351">
        <f t="shared" si="3"/>
        <v>12</v>
      </c>
      <c r="C11" s="352">
        <v>202</v>
      </c>
      <c r="D11" s="340" t="str">
        <f>VLOOKUP(C11,Plan!A:B,2,0)</f>
        <v>Arzobispado por pagar</v>
      </c>
      <c r="E11" s="341">
        <f t="shared" si="0"/>
        <v>-3091523</v>
      </c>
      <c r="F11" s="353">
        <v>0</v>
      </c>
      <c r="G11" s="353">
        <f>+ROUND((((G2+G4+G6)*0.99)*0.88)*0.6,0)</f>
        <v>3091523</v>
      </c>
      <c r="H11" s="354" t="str">
        <f t="shared" si="2"/>
        <v>Centralización RecaudaciónOctubre</v>
      </c>
      <c r="I11" s="355" t="s">
        <v>131</v>
      </c>
    </row>
    <row r="12" spans="1:9" x14ac:dyDescent="0.25">
      <c r="A12" s="350">
        <f t="shared" si="3"/>
        <v>44195</v>
      </c>
      <c r="B12" s="351">
        <f t="shared" si="3"/>
        <v>12</v>
      </c>
      <c r="C12" s="352">
        <v>4120</v>
      </c>
      <c r="D12" s="340" t="str">
        <f>VLOOKUP(C12,Plan!A:B,2,0)</f>
        <v>Aporte Arzobispado</v>
      </c>
      <c r="E12" s="341">
        <f t="shared" si="0"/>
        <v>3091523</v>
      </c>
      <c r="F12" s="353">
        <f>+G11</f>
        <v>3091523</v>
      </c>
      <c r="G12" s="353">
        <v>0</v>
      </c>
      <c r="H12" s="354" t="str">
        <f t="shared" si="2"/>
        <v>Centralización RecaudaciónOctubre</v>
      </c>
      <c r="I12" s="355" t="s">
        <v>131</v>
      </c>
    </row>
    <row r="13" spans="1:9" x14ac:dyDescent="0.25">
      <c r="A13" s="350">
        <f t="shared" si="3"/>
        <v>44195</v>
      </c>
      <c r="B13" s="351">
        <f t="shared" si="3"/>
        <v>12</v>
      </c>
      <c r="C13" s="352">
        <v>203</v>
      </c>
      <c r="D13" s="340" t="str">
        <f>VLOOKUP(C13,Plan!A:B,2,0)</f>
        <v>Recaudadoras por pagar</v>
      </c>
      <c r="E13" s="341">
        <f t="shared" si="0"/>
        <v>-78480</v>
      </c>
      <c r="F13" s="353">
        <v>0</v>
      </c>
      <c r="G13" s="356">
        <f>+F8*0.12</f>
        <v>78480</v>
      </c>
      <c r="H13" s="354" t="str">
        <f t="shared" si="2"/>
        <v>Centralización RecaudaciónOctubre</v>
      </c>
      <c r="I13" s="355" t="s">
        <v>131</v>
      </c>
    </row>
    <row r="14" spans="1:9" x14ac:dyDescent="0.25">
      <c r="A14" s="350">
        <f t="shared" si="3"/>
        <v>44195</v>
      </c>
      <c r="B14" s="351">
        <f t="shared" si="3"/>
        <v>12</v>
      </c>
      <c r="C14" s="352">
        <v>201</v>
      </c>
      <c r="D14" s="340" t="str">
        <f>VLOOKUP(C14,Plan!A:B,2,0)</f>
        <v>1% por pagar</v>
      </c>
      <c r="E14" s="341">
        <f t="shared" si="0"/>
        <v>-183911</v>
      </c>
      <c r="F14" s="353">
        <v>0</v>
      </c>
      <c r="G14" s="356">
        <f>ROUND(SUM(G2:G7)*0.01,0)</f>
        <v>183911</v>
      </c>
      <c r="H14" s="354" t="str">
        <f t="shared" si="2"/>
        <v>Centralización RecaudaciónOctubre</v>
      </c>
      <c r="I14" s="355" t="s">
        <v>131</v>
      </c>
    </row>
    <row r="15" spans="1:9" x14ac:dyDescent="0.25">
      <c r="A15" s="350">
        <f t="shared" si="3"/>
        <v>44195</v>
      </c>
      <c r="B15" s="351">
        <f t="shared" si="3"/>
        <v>12</v>
      </c>
      <c r="C15" s="352">
        <v>4140</v>
      </c>
      <c r="D15" s="340" t="str">
        <f>VLOOKUP(C15,Plan!A:B,2,0)</f>
        <v>Comisiones Cali Recaudadores</v>
      </c>
      <c r="E15" s="341">
        <f t="shared" si="0"/>
        <v>78480</v>
      </c>
      <c r="F15" s="353">
        <f>+G13</f>
        <v>78480</v>
      </c>
      <c r="G15" s="353">
        <v>0</v>
      </c>
      <c r="H15" s="354" t="str">
        <f t="shared" si="2"/>
        <v>Centralización RecaudaciónOctubre</v>
      </c>
      <c r="I15" s="355" t="s">
        <v>131</v>
      </c>
    </row>
    <row r="16" spans="1:9" x14ac:dyDescent="0.25">
      <c r="A16" s="350">
        <f t="shared" si="3"/>
        <v>44195</v>
      </c>
      <c r="B16" s="351">
        <f t="shared" si="3"/>
        <v>12</v>
      </c>
      <c r="C16" s="352">
        <v>4110</v>
      </c>
      <c r="D16" s="340" t="str">
        <f>VLOOKUP(C16,Plan!A:B,2,0)</f>
        <v>Aporte Papal</v>
      </c>
      <c r="E16" s="341">
        <f t="shared" si="0"/>
        <v>183911</v>
      </c>
      <c r="F16" s="353">
        <f>+G14</f>
        <v>183911</v>
      </c>
      <c r="G16" s="353">
        <v>0</v>
      </c>
      <c r="H16" s="354" t="str">
        <f t="shared" si="2"/>
        <v>Centralización RecaudaciónOctubre</v>
      </c>
      <c r="I16" s="355" t="s">
        <v>131</v>
      </c>
    </row>
    <row r="17" spans="1:9" x14ac:dyDescent="0.25">
      <c r="A17" s="350">
        <f t="shared" si="3"/>
        <v>44195</v>
      </c>
      <c r="B17" s="351">
        <f t="shared" si="3"/>
        <v>12</v>
      </c>
      <c r="C17" s="352">
        <v>3610</v>
      </c>
      <c r="D17" s="340" t="str">
        <f>VLOOKUP(C17,Plan!A:B,2,0)</f>
        <v>Cali  Arzobispado</v>
      </c>
      <c r="E17" s="341">
        <f t="shared" si="0"/>
        <v>-6163671</v>
      </c>
      <c r="F17" s="353">
        <v>0</v>
      </c>
      <c r="G17" s="353">
        <v>6163671</v>
      </c>
      <c r="H17" s="354" t="str">
        <f t="shared" si="2"/>
        <v>Centralización RecaudaciónOctubre</v>
      </c>
      <c r="I17" s="355" t="s">
        <v>131</v>
      </c>
    </row>
    <row r="18" spans="1:9" x14ac:dyDescent="0.25">
      <c r="A18" s="350">
        <f t="shared" si="3"/>
        <v>44195</v>
      </c>
      <c r="B18" s="351">
        <f t="shared" si="3"/>
        <v>12</v>
      </c>
      <c r="C18" s="352">
        <v>3611</v>
      </c>
      <c r="D18" s="340" t="str">
        <f>VLOOKUP(C18,Plan!A:B,2,0)</f>
        <v>Cali  Arzobispado (249)</v>
      </c>
      <c r="E18" s="341">
        <f t="shared" si="0"/>
        <v>-1926500</v>
      </c>
      <c r="F18" s="353">
        <v>0</v>
      </c>
      <c r="G18" s="353">
        <v>1926500</v>
      </c>
      <c r="H18" s="354" t="str">
        <f t="shared" si="2"/>
        <v>Centralización RecaudaciónOctubre</v>
      </c>
      <c r="I18" s="355" t="s">
        <v>131</v>
      </c>
    </row>
    <row r="19" spans="1:9" x14ac:dyDescent="0.25">
      <c r="A19" s="350">
        <f t="shared" ref="A19:B21" si="4">+A17</f>
        <v>44195</v>
      </c>
      <c r="B19" s="351">
        <f t="shared" si="4"/>
        <v>12</v>
      </c>
      <c r="C19" s="352">
        <v>4160</v>
      </c>
      <c r="D19" s="340" t="str">
        <f>VLOOKUP(C19,Plan!A:B,2,0)</f>
        <v>Comisiones Cali Arzobispado</v>
      </c>
      <c r="E19" s="341">
        <f t="shared" si="0"/>
        <v>422393</v>
      </c>
      <c r="F19" s="353">
        <v>422393</v>
      </c>
      <c r="G19" s="353">
        <v>0</v>
      </c>
      <c r="H19" s="354" t="str">
        <f t="shared" si="2"/>
        <v>Centralización RecaudaciónOctubre</v>
      </c>
      <c r="I19" s="355" t="s">
        <v>131</v>
      </c>
    </row>
    <row r="20" spans="1:9" x14ac:dyDescent="0.25">
      <c r="A20" s="350">
        <f t="shared" si="4"/>
        <v>44195</v>
      </c>
      <c r="B20" s="351">
        <f t="shared" si="4"/>
        <v>12</v>
      </c>
      <c r="C20" s="352">
        <v>4160</v>
      </c>
      <c r="D20" s="340" t="str">
        <f>VLOOKUP(C20,Plan!A:B,2,0)</f>
        <v>Comisiones Cali Arzobispado</v>
      </c>
      <c r="E20" s="341">
        <f t="shared" si="0"/>
        <v>48163</v>
      </c>
      <c r="F20" s="353">
        <v>48163</v>
      </c>
      <c r="G20" s="353">
        <v>0</v>
      </c>
      <c r="H20" s="354" t="str">
        <f t="shared" si="2"/>
        <v>Centralización RecaudaciónOctubre</v>
      </c>
      <c r="I20" s="355" t="s">
        <v>131</v>
      </c>
    </row>
    <row r="21" spans="1:9" x14ac:dyDescent="0.25">
      <c r="A21" s="350">
        <f t="shared" si="4"/>
        <v>44195</v>
      </c>
      <c r="B21" s="351">
        <f t="shared" si="4"/>
        <v>12</v>
      </c>
      <c r="C21" s="352">
        <v>4120</v>
      </c>
      <c r="D21" s="340" t="str">
        <f>VLOOKUP(C21,Plan!A:B,2,0)</f>
        <v>Aporte Arzobispado</v>
      </c>
      <c r="E21" s="341">
        <f t="shared" si="0"/>
        <v>3407785</v>
      </c>
      <c r="F21" s="353">
        <f>ROUND((+G17-F19-F22)*0.6,0)</f>
        <v>3407785</v>
      </c>
      <c r="G21" s="353">
        <v>0</v>
      </c>
      <c r="H21" s="354" t="str">
        <f t="shared" si="2"/>
        <v>Centralización RecaudaciónOctubre</v>
      </c>
      <c r="I21" s="355" t="s">
        <v>131</v>
      </c>
    </row>
    <row r="22" spans="1:9" x14ac:dyDescent="0.25">
      <c r="A22" s="350">
        <f>+A21</f>
        <v>44195</v>
      </c>
      <c r="B22" s="351">
        <f>+B21</f>
        <v>12</v>
      </c>
      <c r="C22" s="352">
        <v>4110</v>
      </c>
      <c r="D22" s="340" t="str">
        <f>VLOOKUP(C22,Plan!A:B,2,0)</f>
        <v>Aporte Papal</v>
      </c>
      <c r="E22" s="341">
        <f t="shared" si="0"/>
        <v>61637</v>
      </c>
      <c r="F22" s="353">
        <f>ROUND((+G17)*0.01,0)</f>
        <v>61637</v>
      </c>
      <c r="G22" s="353">
        <v>0</v>
      </c>
      <c r="H22" s="354" t="str">
        <f t="shared" si="2"/>
        <v>Centralización RecaudaciónOctubre</v>
      </c>
      <c r="I22" s="355" t="s">
        <v>131</v>
      </c>
    </row>
    <row r="23" spans="1:9" x14ac:dyDescent="0.25">
      <c r="A23" s="350">
        <f>+A22</f>
        <v>44195</v>
      </c>
      <c r="B23" s="351">
        <f>+B22</f>
        <v>12</v>
      </c>
      <c r="C23" s="352">
        <v>4110</v>
      </c>
      <c r="D23" s="340" t="str">
        <f>VLOOKUP(C23,Plan!A:B,2,0)</f>
        <v>Aporte Papal</v>
      </c>
      <c r="E23" s="341">
        <f t="shared" si="0"/>
        <v>19265</v>
      </c>
      <c r="F23" s="353">
        <f>(+G18)*0.01</f>
        <v>19265</v>
      </c>
      <c r="G23" s="353">
        <v>0</v>
      </c>
      <c r="H23" s="354" t="str">
        <f t="shared" si="2"/>
        <v>Centralización RecaudaciónOctubre</v>
      </c>
      <c r="I23" s="355" t="s">
        <v>131</v>
      </c>
    </row>
    <row r="24" spans="1:9" x14ac:dyDescent="0.25">
      <c r="A24" s="350">
        <f>+A22</f>
        <v>44195</v>
      </c>
      <c r="B24" s="351">
        <f>+B22</f>
        <v>12</v>
      </c>
      <c r="C24" s="352">
        <v>1219</v>
      </c>
      <c r="D24" s="340" t="str">
        <f>VLOOKUP(C24,Plan!A:B,2,0)</f>
        <v>Otros Valores Arzobispado (248)</v>
      </c>
      <c r="E24" s="341">
        <f t="shared" si="0"/>
        <v>2271856</v>
      </c>
      <c r="F24" s="353">
        <f>+G17-F19-F21-F22</f>
        <v>2271856</v>
      </c>
      <c r="G24" s="353">
        <v>0</v>
      </c>
      <c r="H24" s="354" t="str">
        <f t="shared" si="2"/>
        <v>Centralización RecaudaciónOctubre</v>
      </c>
      <c r="I24" s="355" t="s">
        <v>131</v>
      </c>
    </row>
    <row r="25" spans="1:9" x14ac:dyDescent="0.25">
      <c r="A25" s="350">
        <f>+A24</f>
        <v>44195</v>
      </c>
      <c r="B25" s="351">
        <f>+B24</f>
        <v>12</v>
      </c>
      <c r="C25" s="352">
        <v>1220</v>
      </c>
      <c r="D25" s="340" t="str">
        <f>VLOOKUP(C25,Plan!A:B,2,0)</f>
        <v>Otros Valores Arzobispado (249)</v>
      </c>
      <c r="E25" s="341">
        <f t="shared" si="0"/>
        <v>1859072</v>
      </c>
      <c r="F25" s="353">
        <f>+G18-F20-F23</f>
        <v>1859072</v>
      </c>
      <c r="G25" s="353">
        <v>0</v>
      </c>
      <c r="H25" s="354" t="str">
        <f t="shared" si="2"/>
        <v>Centralización RecaudaciónOctubre</v>
      </c>
      <c r="I25" s="355" t="s">
        <v>131</v>
      </c>
    </row>
    <row r="26" spans="1:9" x14ac:dyDescent="0.25">
      <c r="A26" s="350">
        <f>+A24</f>
        <v>44195</v>
      </c>
      <c r="B26" s="351">
        <f>+B24</f>
        <v>12</v>
      </c>
      <c r="C26" s="352">
        <v>1218</v>
      </c>
      <c r="D26" s="340" t="str">
        <f>VLOOKUP(C26,Plan!A:B,2,0)</f>
        <v>Otros Valores Tarjeta de Credito</v>
      </c>
      <c r="E26" s="341">
        <f t="shared" si="0"/>
        <v>-106541</v>
      </c>
      <c r="F26" s="353">
        <f>+G19+G21</f>
        <v>0</v>
      </c>
      <c r="G26" s="353">
        <f>+F27</f>
        <v>106541</v>
      </c>
      <c r="H26" s="354" t="str">
        <f t="shared" si="2"/>
        <v>Centralización RecaudaciónOctubre</v>
      </c>
      <c r="I26" s="355" t="s">
        <v>131</v>
      </c>
    </row>
    <row r="27" spans="1:9" x14ac:dyDescent="0.25">
      <c r="A27" s="350">
        <f>+A24</f>
        <v>44195</v>
      </c>
      <c r="B27" s="351">
        <f>+B24</f>
        <v>12</v>
      </c>
      <c r="C27" s="352">
        <v>4150</v>
      </c>
      <c r="D27" s="340" t="str">
        <f>VLOOKUP(C27,Plan!A:B,2,0)</f>
        <v>Comisiones Cali Tarjetas de Creditos</v>
      </c>
      <c r="E27" s="341">
        <f t="shared" si="0"/>
        <v>106541</v>
      </c>
      <c r="F27" s="353">
        <f>ROUND(+(G7+G6)*(1-0.9881),0)</f>
        <v>106541</v>
      </c>
      <c r="G27" s="353">
        <v>0</v>
      </c>
      <c r="H27" s="354" t="str">
        <f t="shared" si="2"/>
        <v>Centralización RecaudaciónOctubre</v>
      </c>
      <c r="I27" s="355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2060"/>
  </sheetPr>
  <dimension ref="A1:Q131"/>
  <sheetViews>
    <sheetView topLeftCell="A107" workbookViewId="0">
      <selection activeCell="H126" sqref="H126"/>
    </sheetView>
  </sheetViews>
  <sheetFormatPr baseColWidth="10" defaultColWidth="10.8984375" defaultRowHeight="11.55" x14ac:dyDescent="0.2"/>
  <cols>
    <col min="1" max="5" width="10.8984375" style="440"/>
    <col min="6" max="6" width="26.69921875" style="440" bestFit="1" customWidth="1"/>
    <col min="7" max="11" width="10.8984375" style="440"/>
    <col min="12" max="12" width="2" style="440" customWidth="1"/>
    <col min="13" max="16384" width="10.8984375" style="440"/>
  </cols>
  <sheetData>
    <row r="1" spans="1:11" x14ac:dyDescent="0.2">
      <c r="A1" s="441" t="s">
        <v>1255</v>
      </c>
      <c r="B1" s="438" t="s">
        <v>414</v>
      </c>
      <c r="C1" s="438" t="s">
        <v>415</v>
      </c>
      <c r="D1" s="438" t="s">
        <v>111</v>
      </c>
      <c r="E1" s="438" t="s">
        <v>416</v>
      </c>
      <c r="F1" s="438" t="s">
        <v>417</v>
      </c>
      <c r="G1" s="438" t="s">
        <v>418</v>
      </c>
      <c r="H1" s="438" t="s">
        <v>419</v>
      </c>
      <c r="I1" s="438" t="s">
        <v>420</v>
      </c>
      <c r="J1" s="438" t="s">
        <v>421</v>
      </c>
      <c r="K1" s="438" t="s">
        <v>412</v>
      </c>
    </row>
    <row r="2" spans="1:11" x14ac:dyDescent="0.2">
      <c r="A2" s="442"/>
      <c r="B2" s="442">
        <v>23</v>
      </c>
      <c r="C2" s="443" t="s">
        <v>422</v>
      </c>
      <c r="D2" s="444">
        <v>44198</v>
      </c>
      <c r="E2" s="442" t="s">
        <v>424</v>
      </c>
      <c r="F2" s="442" t="s">
        <v>425</v>
      </c>
      <c r="G2" s="445" t="s">
        <v>423</v>
      </c>
      <c r="H2" s="439">
        <v>672268</v>
      </c>
      <c r="I2" s="439">
        <v>77311</v>
      </c>
      <c r="J2" s="439">
        <v>594957</v>
      </c>
      <c r="K2" s="445"/>
    </row>
    <row r="3" spans="1:11" s="452" customFormat="1" x14ac:dyDescent="0.2">
      <c r="A3" s="447"/>
      <c r="B3" s="447">
        <v>468</v>
      </c>
      <c r="C3" s="448" t="s">
        <v>422</v>
      </c>
      <c r="D3" s="449">
        <v>44202</v>
      </c>
      <c r="E3" s="447" t="s">
        <v>426</v>
      </c>
      <c r="F3" s="447" t="s">
        <v>427</v>
      </c>
      <c r="G3" s="450" t="s">
        <v>423</v>
      </c>
      <c r="H3" s="451">
        <v>78480</v>
      </c>
      <c r="I3" s="451">
        <v>9025</v>
      </c>
      <c r="J3" s="451">
        <v>69455</v>
      </c>
      <c r="K3" s="450"/>
    </row>
    <row r="4" spans="1:11" x14ac:dyDescent="0.2">
      <c r="A4" s="442"/>
      <c r="B4" s="442">
        <v>200</v>
      </c>
      <c r="C4" s="443" t="s">
        <v>422</v>
      </c>
      <c r="D4" s="444">
        <v>44207</v>
      </c>
      <c r="E4" s="442" t="s">
        <v>635</v>
      </c>
      <c r="F4" s="442" t="s">
        <v>636</v>
      </c>
      <c r="G4" s="445" t="s">
        <v>423</v>
      </c>
      <c r="H4" s="439">
        <v>43000</v>
      </c>
      <c r="I4" s="439">
        <v>4945</v>
      </c>
      <c r="J4" s="439">
        <v>38055</v>
      </c>
      <c r="K4" s="445"/>
    </row>
    <row r="5" spans="1:11" s="452" customFormat="1" x14ac:dyDescent="0.2">
      <c r="A5" s="447"/>
      <c r="B5" s="447">
        <v>311</v>
      </c>
      <c r="C5" s="448" t="s">
        <v>422</v>
      </c>
      <c r="D5" s="449">
        <v>44208</v>
      </c>
      <c r="E5" s="447" t="s">
        <v>563</v>
      </c>
      <c r="F5" s="447" t="s">
        <v>564</v>
      </c>
      <c r="G5" s="450" t="s">
        <v>423</v>
      </c>
      <c r="H5" s="451">
        <v>166667</v>
      </c>
      <c r="I5" s="451">
        <v>19167</v>
      </c>
      <c r="J5" s="451">
        <v>147500</v>
      </c>
      <c r="K5" s="450"/>
    </row>
    <row r="6" spans="1:11" s="459" customFormat="1" x14ac:dyDescent="0.2">
      <c r="A6" s="454"/>
      <c r="B6" s="454">
        <v>57</v>
      </c>
      <c r="C6" s="455" t="s">
        <v>422</v>
      </c>
      <c r="D6" s="456">
        <v>44224</v>
      </c>
      <c r="E6" s="454" t="s">
        <v>1253</v>
      </c>
      <c r="F6" s="454" t="s">
        <v>1254</v>
      </c>
      <c r="G6" s="457" t="s">
        <v>423</v>
      </c>
      <c r="H6" s="458">
        <v>2016949</v>
      </c>
      <c r="I6" s="458">
        <v>231949</v>
      </c>
      <c r="J6" s="458">
        <v>1785000</v>
      </c>
      <c r="K6" s="457"/>
    </row>
    <row r="7" spans="1:11" x14ac:dyDescent="0.2">
      <c r="A7" s="609" t="s">
        <v>428</v>
      </c>
      <c r="B7" s="610"/>
      <c r="C7" s="610"/>
      <c r="D7" s="610"/>
      <c r="E7" s="610"/>
      <c r="F7" s="610"/>
      <c r="G7" s="611"/>
      <c r="H7" s="439">
        <v>2977364</v>
      </c>
      <c r="I7" s="439">
        <v>342397</v>
      </c>
      <c r="J7" s="439">
        <v>2634967</v>
      </c>
      <c r="K7" s="446"/>
    </row>
    <row r="12" spans="1:11" x14ac:dyDescent="0.2">
      <c r="A12" s="441" t="s">
        <v>413</v>
      </c>
      <c r="B12" s="438" t="s">
        <v>414</v>
      </c>
      <c r="C12" s="438" t="s">
        <v>415</v>
      </c>
      <c r="D12" s="438" t="s">
        <v>111</v>
      </c>
      <c r="E12" s="438" t="s">
        <v>416</v>
      </c>
      <c r="F12" s="438" t="s">
        <v>417</v>
      </c>
      <c r="G12" s="438" t="s">
        <v>418</v>
      </c>
      <c r="H12" s="438" t="s">
        <v>419</v>
      </c>
      <c r="I12" s="438" t="s">
        <v>420</v>
      </c>
      <c r="J12" s="438" t="s">
        <v>421</v>
      </c>
      <c r="K12" s="438" t="s">
        <v>412</v>
      </c>
    </row>
    <row r="13" spans="1:11" s="452" customFormat="1" x14ac:dyDescent="0.2">
      <c r="A13" s="447"/>
      <c r="B13" s="447">
        <v>163</v>
      </c>
      <c r="C13" s="448" t="s">
        <v>422</v>
      </c>
      <c r="D13" s="449">
        <v>44228</v>
      </c>
      <c r="E13" s="447" t="s">
        <v>637</v>
      </c>
      <c r="F13" s="447" t="s">
        <v>638</v>
      </c>
      <c r="G13" s="450" t="s">
        <v>423</v>
      </c>
      <c r="H13" s="451">
        <v>112994</v>
      </c>
      <c r="I13" s="451">
        <v>12994</v>
      </c>
      <c r="J13" s="451">
        <v>100000</v>
      </c>
      <c r="K13" s="450"/>
    </row>
    <row r="14" spans="1:11" s="452" customFormat="1" x14ac:dyDescent="0.2">
      <c r="A14" s="447"/>
      <c r="B14" s="447">
        <v>471</v>
      </c>
      <c r="C14" s="448" t="s">
        <v>422</v>
      </c>
      <c r="D14" s="449">
        <v>44232</v>
      </c>
      <c r="E14" s="447" t="s">
        <v>426</v>
      </c>
      <c r="F14" s="447" t="s">
        <v>427</v>
      </c>
      <c r="G14" s="450" t="s">
        <v>423</v>
      </c>
      <c r="H14" s="451">
        <v>50280</v>
      </c>
      <c r="I14" s="451">
        <v>5782</v>
      </c>
      <c r="J14" s="451">
        <v>44498</v>
      </c>
      <c r="K14" s="450"/>
    </row>
    <row r="15" spans="1:11" x14ac:dyDescent="0.2">
      <c r="A15" s="442"/>
      <c r="B15" s="442">
        <v>24</v>
      </c>
      <c r="C15" s="443" t="s">
        <v>422</v>
      </c>
      <c r="D15" s="444">
        <v>44235</v>
      </c>
      <c r="E15" s="442" t="s">
        <v>424</v>
      </c>
      <c r="F15" s="442" t="s">
        <v>425</v>
      </c>
      <c r="G15" s="445" t="s">
        <v>423</v>
      </c>
      <c r="H15" s="439">
        <v>338983</v>
      </c>
      <c r="I15" s="439">
        <v>38983</v>
      </c>
      <c r="J15" s="439">
        <v>300000</v>
      </c>
      <c r="K15" s="445"/>
    </row>
    <row r="16" spans="1:11" s="452" customFormat="1" x14ac:dyDescent="0.2">
      <c r="A16" s="447"/>
      <c r="B16" s="447">
        <v>312</v>
      </c>
      <c r="C16" s="448" t="s">
        <v>422</v>
      </c>
      <c r="D16" s="449">
        <v>44244</v>
      </c>
      <c r="E16" s="447" t="s">
        <v>563</v>
      </c>
      <c r="F16" s="447" t="s">
        <v>564</v>
      </c>
      <c r="G16" s="450" t="s">
        <v>423</v>
      </c>
      <c r="H16" s="451">
        <v>169492</v>
      </c>
      <c r="I16" s="451">
        <v>19492</v>
      </c>
      <c r="J16" s="451">
        <v>150000</v>
      </c>
      <c r="K16" s="450"/>
    </row>
    <row r="17" spans="1:13" s="452" customFormat="1" x14ac:dyDescent="0.2">
      <c r="A17" s="447"/>
      <c r="B17" s="447">
        <v>166</v>
      </c>
      <c r="C17" s="448" t="s">
        <v>422</v>
      </c>
      <c r="D17" s="449">
        <v>44252</v>
      </c>
      <c r="E17" s="447" t="s">
        <v>637</v>
      </c>
      <c r="F17" s="447" t="s">
        <v>638</v>
      </c>
      <c r="G17" s="450" t="s">
        <v>423</v>
      </c>
      <c r="H17" s="451">
        <v>112994</v>
      </c>
      <c r="I17" s="451">
        <v>12994</v>
      </c>
      <c r="J17" s="451">
        <v>100000</v>
      </c>
      <c r="K17" s="450"/>
    </row>
    <row r="18" spans="1:13" x14ac:dyDescent="0.2">
      <c r="A18" s="609" t="s">
        <v>428</v>
      </c>
      <c r="B18" s="610"/>
      <c r="C18" s="610"/>
      <c r="D18" s="610"/>
      <c r="E18" s="610"/>
      <c r="F18" s="610"/>
      <c r="G18" s="611"/>
      <c r="H18" s="439">
        <v>784743</v>
      </c>
      <c r="I18" s="439">
        <v>90245</v>
      </c>
      <c r="J18" s="439">
        <v>694498</v>
      </c>
      <c r="K18" s="446"/>
      <c r="M18" s="460" t="e">
        <f>+I18-GETPIVOTDATA("Monto",'TD Adm'!$A$4,"Mes",3,"Código",223,"Cuenta","Ret. Hon.  e Impto. Unico Administración","Glosa","T.G.R.")</f>
        <v>#REF!</v>
      </c>
    </row>
    <row r="23" spans="1:13" x14ac:dyDescent="0.2">
      <c r="A23" s="441" t="s">
        <v>413</v>
      </c>
      <c r="B23" s="438" t="s">
        <v>414</v>
      </c>
      <c r="C23" s="438" t="s">
        <v>415</v>
      </c>
      <c r="D23" s="438" t="s">
        <v>111</v>
      </c>
      <c r="E23" s="438" t="s">
        <v>416</v>
      </c>
      <c r="F23" s="438" t="s">
        <v>417</v>
      </c>
      <c r="G23" s="438" t="s">
        <v>418</v>
      </c>
      <c r="H23" s="438" t="s">
        <v>419</v>
      </c>
      <c r="I23" s="438" t="s">
        <v>420</v>
      </c>
      <c r="J23" s="438" t="s">
        <v>421</v>
      </c>
      <c r="K23" s="438" t="s">
        <v>412</v>
      </c>
    </row>
    <row r="24" spans="1:13" s="452" customFormat="1" x14ac:dyDescent="0.2">
      <c r="A24" s="447"/>
      <c r="B24" s="447">
        <v>473</v>
      </c>
      <c r="C24" s="448" t="s">
        <v>422</v>
      </c>
      <c r="D24" s="449">
        <v>44256</v>
      </c>
      <c r="E24" s="447" t="s">
        <v>426</v>
      </c>
      <c r="F24" s="447" t="s">
        <v>427</v>
      </c>
      <c r="G24" s="450" t="s">
        <v>423</v>
      </c>
      <c r="H24" s="451">
        <v>57240</v>
      </c>
      <c r="I24" s="451">
        <v>6583</v>
      </c>
      <c r="J24" s="451">
        <v>50657</v>
      </c>
      <c r="K24" s="450"/>
    </row>
    <row r="25" spans="1:13" x14ac:dyDescent="0.2">
      <c r="A25" s="442"/>
      <c r="B25" s="442">
        <v>25</v>
      </c>
      <c r="C25" s="443" t="s">
        <v>422</v>
      </c>
      <c r="D25" s="444">
        <v>44256</v>
      </c>
      <c r="E25" s="442" t="s">
        <v>424</v>
      </c>
      <c r="F25" s="442" t="s">
        <v>425</v>
      </c>
      <c r="G25" s="445" t="s">
        <v>423</v>
      </c>
      <c r="H25" s="439">
        <v>338983</v>
      </c>
      <c r="I25" s="461">
        <v>38983</v>
      </c>
      <c r="J25" s="439">
        <v>300000</v>
      </c>
      <c r="K25" s="445"/>
    </row>
    <row r="26" spans="1:13" x14ac:dyDescent="0.2">
      <c r="A26" s="442"/>
      <c r="B26" s="442">
        <v>93</v>
      </c>
      <c r="C26" s="443" t="s">
        <v>422</v>
      </c>
      <c r="D26" s="444">
        <v>44256</v>
      </c>
      <c r="E26" s="442" t="s">
        <v>1228</v>
      </c>
      <c r="F26" s="442" t="s">
        <v>1229</v>
      </c>
      <c r="G26" s="445" t="s">
        <v>423</v>
      </c>
      <c r="H26" s="439">
        <v>338983</v>
      </c>
      <c r="I26" s="461">
        <v>38983</v>
      </c>
      <c r="J26" s="439">
        <v>300000</v>
      </c>
      <c r="K26" s="445"/>
    </row>
    <row r="27" spans="1:13" x14ac:dyDescent="0.2">
      <c r="A27" s="442"/>
      <c r="B27" s="442">
        <v>54</v>
      </c>
      <c r="C27" s="443" t="s">
        <v>422</v>
      </c>
      <c r="D27" s="444">
        <v>44264</v>
      </c>
      <c r="E27" s="442" t="s">
        <v>1230</v>
      </c>
      <c r="F27" s="442" t="s">
        <v>1231</v>
      </c>
      <c r="G27" s="445" t="s">
        <v>423</v>
      </c>
      <c r="H27" s="439">
        <v>203390</v>
      </c>
      <c r="I27" s="461">
        <v>23390</v>
      </c>
      <c r="J27" s="439">
        <v>180000</v>
      </c>
      <c r="K27" s="445"/>
    </row>
    <row r="28" spans="1:13" s="452" customFormat="1" x14ac:dyDescent="0.2">
      <c r="A28" s="447"/>
      <c r="B28" s="447">
        <v>313</v>
      </c>
      <c r="C28" s="448" t="s">
        <v>422</v>
      </c>
      <c r="D28" s="449">
        <v>44274</v>
      </c>
      <c r="E28" s="447" t="s">
        <v>563</v>
      </c>
      <c r="F28" s="447" t="s">
        <v>564</v>
      </c>
      <c r="G28" s="450" t="s">
        <v>423</v>
      </c>
      <c r="H28" s="451">
        <v>169492</v>
      </c>
      <c r="I28" s="451">
        <v>19492</v>
      </c>
      <c r="J28" s="451">
        <v>150000</v>
      </c>
      <c r="K28" s="450"/>
    </row>
    <row r="29" spans="1:13" s="452" customFormat="1" x14ac:dyDescent="0.2">
      <c r="A29" s="447"/>
      <c r="B29" s="447">
        <v>172</v>
      </c>
      <c r="C29" s="448" t="s">
        <v>422</v>
      </c>
      <c r="D29" s="449">
        <v>44278</v>
      </c>
      <c r="E29" s="447" t="s">
        <v>637</v>
      </c>
      <c r="F29" s="447" t="s">
        <v>638</v>
      </c>
      <c r="G29" s="450" t="s">
        <v>423</v>
      </c>
      <c r="H29" s="451">
        <v>112994</v>
      </c>
      <c r="I29" s="451">
        <v>12994</v>
      </c>
      <c r="J29" s="451">
        <v>100000</v>
      </c>
      <c r="K29" s="450"/>
    </row>
    <row r="30" spans="1:13" s="452" customFormat="1" x14ac:dyDescent="0.2">
      <c r="A30" s="447"/>
      <c r="B30" s="447">
        <v>314</v>
      </c>
      <c r="C30" s="448" t="s">
        <v>422</v>
      </c>
      <c r="D30" s="449">
        <v>44284</v>
      </c>
      <c r="E30" s="447" t="s">
        <v>563</v>
      </c>
      <c r="F30" s="447" t="s">
        <v>564</v>
      </c>
      <c r="G30" s="450" t="s">
        <v>423</v>
      </c>
      <c r="H30" s="451">
        <v>677966</v>
      </c>
      <c r="I30" s="451">
        <v>77966</v>
      </c>
      <c r="J30" s="451">
        <v>600000</v>
      </c>
      <c r="K30" s="450"/>
    </row>
    <row r="31" spans="1:13" x14ac:dyDescent="0.2">
      <c r="A31" s="609" t="s">
        <v>428</v>
      </c>
      <c r="B31" s="610"/>
      <c r="C31" s="610"/>
      <c r="D31" s="610"/>
      <c r="E31" s="610"/>
      <c r="F31" s="610"/>
      <c r="G31" s="611"/>
      <c r="H31" s="439">
        <v>1899048</v>
      </c>
      <c r="I31" s="439">
        <v>218391</v>
      </c>
      <c r="J31" s="439">
        <v>1680657</v>
      </c>
      <c r="K31" s="446"/>
    </row>
    <row r="35" spans="1:11" x14ac:dyDescent="0.2">
      <c r="A35" s="441" t="s">
        <v>413</v>
      </c>
      <c r="B35" s="438" t="s">
        <v>414</v>
      </c>
      <c r="C35" s="438" t="s">
        <v>415</v>
      </c>
      <c r="D35" s="438" t="s">
        <v>111</v>
      </c>
      <c r="E35" s="438" t="s">
        <v>416</v>
      </c>
      <c r="F35" s="438" t="s">
        <v>417</v>
      </c>
      <c r="G35" s="438" t="s">
        <v>418</v>
      </c>
      <c r="H35" s="438" t="s">
        <v>419</v>
      </c>
      <c r="I35" s="438" t="s">
        <v>420</v>
      </c>
      <c r="J35" s="438" t="s">
        <v>421</v>
      </c>
      <c r="K35" s="438" t="s">
        <v>412</v>
      </c>
    </row>
    <row r="36" spans="1:11" x14ac:dyDescent="0.2">
      <c r="A36" s="442"/>
      <c r="B36" s="442">
        <v>26</v>
      </c>
      <c r="C36" s="443" t="s">
        <v>422</v>
      </c>
      <c r="D36" s="444">
        <v>44287</v>
      </c>
      <c r="E36" s="442" t="s">
        <v>424</v>
      </c>
      <c r="F36" s="442" t="s">
        <v>425</v>
      </c>
      <c r="G36" s="445" t="s">
        <v>423</v>
      </c>
      <c r="H36" s="439">
        <v>338983</v>
      </c>
      <c r="I36" s="439">
        <v>38983</v>
      </c>
      <c r="J36" s="439">
        <v>300000</v>
      </c>
      <c r="K36" s="445"/>
    </row>
    <row r="37" spans="1:11" x14ac:dyDescent="0.2">
      <c r="A37" s="442"/>
      <c r="B37" s="442">
        <v>479</v>
      </c>
      <c r="C37" s="443" t="s">
        <v>422</v>
      </c>
      <c r="D37" s="444">
        <v>44292</v>
      </c>
      <c r="E37" s="442" t="s">
        <v>426</v>
      </c>
      <c r="F37" s="442" t="s">
        <v>427</v>
      </c>
      <c r="G37" s="445" t="s">
        <v>423</v>
      </c>
      <c r="H37" s="439">
        <v>69840</v>
      </c>
      <c r="I37" s="439">
        <v>8032</v>
      </c>
      <c r="J37" s="439">
        <v>61808</v>
      </c>
      <c r="K37" s="445"/>
    </row>
    <row r="38" spans="1:11" x14ac:dyDescent="0.2">
      <c r="A38" s="442"/>
      <c r="B38" s="442">
        <v>63</v>
      </c>
      <c r="C38" s="443" t="s">
        <v>422</v>
      </c>
      <c r="D38" s="444">
        <v>44298</v>
      </c>
      <c r="E38" s="442" t="s">
        <v>1256</v>
      </c>
      <c r="F38" s="442" t="s">
        <v>1257</v>
      </c>
      <c r="G38" s="445" t="s">
        <v>423</v>
      </c>
      <c r="H38" s="439">
        <v>559037</v>
      </c>
      <c r="I38" s="439">
        <v>64289</v>
      </c>
      <c r="J38" s="439">
        <v>494748</v>
      </c>
      <c r="K38" s="445"/>
    </row>
    <row r="39" spans="1:11" x14ac:dyDescent="0.2">
      <c r="A39" s="442"/>
      <c r="B39" s="442">
        <v>157</v>
      </c>
      <c r="C39" s="443" t="s">
        <v>422</v>
      </c>
      <c r="D39" s="444">
        <v>44316</v>
      </c>
      <c r="E39" s="442" t="s">
        <v>659</v>
      </c>
      <c r="F39" s="442" t="s">
        <v>655</v>
      </c>
      <c r="G39" s="445" t="s">
        <v>423</v>
      </c>
      <c r="H39" s="439">
        <v>245250</v>
      </c>
      <c r="I39" s="439">
        <v>28204</v>
      </c>
      <c r="J39" s="439">
        <v>217046</v>
      </c>
      <c r="K39" s="445"/>
    </row>
    <row r="40" spans="1:11" x14ac:dyDescent="0.2">
      <c r="A40" s="609" t="s">
        <v>428</v>
      </c>
      <c r="B40" s="610"/>
      <c r="C40" s="610"/>
      <c r="D40" s="610"/>
      <c r="E40" s="610"/>
      <c r="F40" s="610"/>
      <c r="G40" s="611"/>
      <c r="H40" s="439">
        <v>1213110</v>
      </c>
      <c r="I40" s="439">
        <v>139508</v>
      </c>
      <c r="J40" s="439">
        <v>1073602</v>
      </c>
      <c r="K40" s="446"/>
    </row>
    <row r="44" spans="1:11" x14ac:dyDescent="0.2">
      <c r="A44" s="441" t="s">
        <v>413</v>
      </c>
      <c r="B44" s="438" t="s">
        <v>414</v>
      </c>
      <c r="C44" s="438" t="s">
        <v>415</v>
      </c>
      <c r="D44" s="438" t="s">
        <v>111</v>
      </c>
      <c r="E44" s="438" t="s">
        <v>416</v>
      </c>
      <c r="F44" s="438" t="s">
        <v>417</v>
      </c>
      <c r="G44" s="438" t="s">
        <v>418</v>
      </c>
      <c r="H44" s="438" t="s">
        <v>419</v>
      </c>
      <c r="I44" s="438" t="s">
        <v>420</v>
      </c>
      <c r="J44" s="438" t="s">
        <v>421</v>
      </c>
      <c r="K44" s="438" t="s">
        <v>412</v>
      </c>
    </row>
    <row r="45" spans="1:11" x14ac:dyDescent="0.2">
      <c r="A45" s="442"/>
      <c r="B45" s="442">
        <v>481</v>
      </c>
      <c r="C45" s="443" t="s">
        <v>422</v>
      </c>
      <c r="D45" s="444">
        <v>44318</v>
      </c>
      <c r="E45" s="442" t="s">
        <v>426</v>
      </c>
      <c r="F45" s="442" t="s">
        <v>427</v>
      </c>
      <c r="G45" s="445" t="s">
        <v>423</v>
      </c>
      <c r="H45" s="439">
        <v>66720</v>
      </c>
      <c r="I45" s="439">
        <v>7673</v>
      </c>
      <c r="J45" s="439">
        <v>59047</v>
      </c>
      <c r="K45" s="445"/>
    </row>
    <row r="46" spans="1:11" x14ac:dyDescent="0.2">
      <c r="A46" s="442"/>
      <c r="B46" s="442">
        <v>27</v>
      </c>
      <c r="C46" s="443" t="s">
        <v>422</v>
      </c>
      <c r="D46" s="444">
        <v>44319</v>
      </c>
      <c r="E46" s="442" t="s">
        <v>424</v>
      </c>
      <c r="F46" s="442" t="s">
        <v>425</v>
      </c>
      <c r="G46" s="445" t="s">
        <v>423</v>
      </c>
      <c r="H46" s="439">
        <v>338983</v>
      </c>
      <c r="I46" s="439">
        <v>38983</v>
      </c>
      <c r="J46" s="439">
        <v>300000</v>
      </c>
      <c r="K46" s="445"/>
    </row>
    <row r="47" spans="1:11" x14ac:dyDescent="0.2">
      <c r="A47" s="442"/>
      <c r="B47" s="442">
        <v>315</v>
      </c>
      <c r="C47" s="443" t="s">
        <v>422</v>
      </c>
      <c r="D47" s="444">
        <v>44334</v>
      </c>
      <c r="E47" s="442" t="s">
        <v>563</v>
      </c>
      <c r="F47" s="442" t="s">
        <v>564</v>
      </c>
      <c r="G47" s="445" t="s">
        <v>423</v>
      </c>
      <c r="H47" s="439">
        <v>169492</v>
      </c>
      <c r="I47" s="439">
        <v>19492</v>
      </c>
      <c r="J47" s="439">
        <v>150000</v>
      </c>
      <c r="K47" s="445"/>
    </row>
    <row r="48" spans="1:11" x14ac:dyDescent="0.2">
      <c r="A48" s="442"/>
      <c r="B48" s="442">
        <v>316</v>
      </c>
      <c r="C48" s="443" t="s">
        <v>422</v>
      </c>
      <c r="D48" s="444">
        <v>44341</v>
      </c>
      <c r="E48" s="442" t="s">
        <v>563</v>
      </c>
      <c r="F48" s="442" t="s">
        <v>564</v>
      </c>
      <c r="G48" s="445" t="s">
        <v>423</v>
      </c>
      <c r="H48" s="439">
        <v>338983</v>
      </c>
      <c r="I48" s="439">
        <v>38983</v>
      </c>
      <c r="J48" s="439">
        <v>300000</v>
      </c>
      <c r="K48" s="445"/>
    </row>
    <row r="49" spans="1:12" x14ac:dyDescent="0.2">
      <c r="A49" s="442"/>
      <c r="B49" s="442">
        <v>159</v>
      </c>
      <c r="C49" s="443" t="s">
        <v>422</v>
      </c>
      <c r="D49" s="444">
        <v>44341</v>
      </c>
      <c r="E49" s="442" t="s">
        <v>659</v>
      </c>
      <c r="F49" s="442" t="s">
        <v>655</v>
      </c>
      <c r="G49" s="445" t="s">
        <v>423</v>
      </c>
      <c r="H49" s="439">
        <v>292750</v>
      </c>
      <c r="I49" s="439">
        <v>33666</v>
      </c>
      <c r="J49" s="439">
        <v>259084</v>
      </c>
      <c r="K49" s="445"/>
    </row>
    <row r="50" spans="1:12" x14ac:dyDescent="0.2">
      <c r="A50" s="609" t="s">
        <v>428</v>
      </c>
      <c r="B50" s="610"/>
      <c r="C50" s="610"/>
      <c r="D50" s="610"/>
      <c r="E50" s="610"/>
      <c r="F50" s="610"/>
      <c r="G50" s="611"/>
      <c r="H50" s="439">
        <v>1206928</v>
      </c>
      <c r="I50" s="439">
        <v>138797</v>
      </c>
      <c r="J50" s="439">
        <v>1068131</v>
      </c>
      <c r="K50" s="446"/>
    </row>
    <row r="54" spans="1:12" x14ac:dyDescent="0.2">
      <c r="A54" s="441" t="s">
        <v>413</v>
      </c>
      <c r="B54" s="438" t="s">
        <v>414</v>
      </c>
      <c r="C54" s="438" t="s">
        <v>415</v>
      </c>
      <c r="D54" s="438" t="s">
        <v>111</v>
      </c>
      <c r="E54" s="438" t="s">
        <v>416</v>
      </c>
      <c r="F54" s="438" t="s">
        <v>417</v>
      </c>
      <c r="G54" s="438" t="s">
        <v>418</v>
      </c>
      <c r="H54" s="438" t="s">
        <v>419</v>
      </c>
      <c r="I54" s="438" t="s">
        <v>420</v>
      </c>
      <c r="J54" s="438" t="s">
        <v>421</v>
      </c>
      <c r="K54" s="438" t="s">
        <v>412</v>
      </c>
    </row>
    <row r="55" spans="1:12" x14ac:dyDescent="0.2">
      <c r="A55" s="442"/>
      <c r="B55" s="442">
        <v>485</v>
      </c>
      <c r="C55" s="443" t="s">
        <v>422</v>
      </c>
      <c r="D55" s="444">
        <v>44348</v>
      </c>
      <c r="E55" s="442" t="s">
        <v>426</v>
      </c>
      <c r="F55" s="442" t="s">
        <v>427</v>
      </c>
      <c r="G55" s="445" t="s">
        <v>423</v>
      </c>
      <c r="H55" s="439">
        <v>57360</v>
      </c>
      <c r="I55" s="439">
        <v>6596</v>
      </c>
      <c r="J55" s="439">
        <v>50764</v>
      </c>
      <c r="K55" s="445"/>
    </row>
    <row r="56" spans="1:12" x14ac:dyDescent="0.2">
      <c r="A56" s="442"/>
      <c r="B56" s="442">
        <v>28</v>
      </c>
      <c r="C56" s="443" t="s">
        <v>422</v>
      </c>
      <c r="D56" s="444">
        <v>44350</v>
      </c>
      <c r="E56" s="442" t="s">
        <v>424</v>
      </c>
      <c r="F56" s="442" t="s">
        <v>425</v>
      </c>
      <c r="G56" s="445" t="s">
        <v>423</v>
      </c>
      <c r="H56" s="439">
        <v>338983</v>
      </c>
      <c r="I56" s="439">
        <v>38983</v>
      </c>
      <c r="J56" s="439">
        <v>300000</v>
      </c>
      <c r="K56" s="445"/>
    </row>
    <row r="57" spans="1:12" x14ac:dyDescent="0.2">
      <c r="A57" s="609" t="s">
        <v>428</v>
      </c>
      <c r="B57" s="610"/>
      <c r="C57" s="610"/>
      <c r="D57" s="610"/>
      <c r="E57" s="610"/>
      <c r="F57" s="610"/>
      <c r="G57" s="611"/>
      <c r="H57" s="439">
        <v>396343</v>
      </c>
      <c r="I57" s="439">
        <v>45579</v>
      </c>
      <c r="J57" s="439">
        <v>350764</v>
      </c>
      <c r="K57" s="446"/>
    </row>
    <row r="61" spans="1:12" x14ac:dyDescent="0.2">
      <c r="A61" s="441" t="s">
        <v>413</v>
      </c>
      <c r="B61" s="438" t="s">
        <v>414</v>
      </c>
      <c r="C61" s="438" t="s">
        <v>415</v>
      </c>
      <c r="D61" s="438" t="s">
        <v>111</v>
      </c>
      <c r="E61" s="438" t="s">
        <v>416</v>
      </c>
      <c r="F61" s="438" t="s">
        <v>417</v>
      </c>
      <c r="G61" s="438" t="s">
        <v>418</v>
      </c>
      <c r="H61" s="438" t="s">
        <v>419</v>
      </c>
      <c r="I61" s="438" t="s">
        <v>420</v>
      </c>
      <c r="J61" s="438" t="s">
        <v>421</v>
      </c>
      <c r="K61" s="438" t="s">
        <v>412</v>
      </c>
    </row>
    <row r="62" spans="1:12" x14ac:dyDescent="0.2">
      <c r="A62" s="442"/>
      <c r="B62" s="442">
        <v>488</v>
      </c>
      <c r="C62" s="443" t="s">
        <v>422</v>
      </c>
      <c r="D62" s="444">
        <v>44382</v>
      </c>
      <c r="E62" s="442" t="s">
        <v>426</v>
      </c>
      <c r="F62" s="442" t="s">
        <v>427</v>
      </c>
      <c r="G62" s="445" t="s">
        <v>423</v>
      </c>
      <c r="H62" s="439">
        <v>68760</v>
      </c>
      <c r="I62" s="439">
        <v>7907</v>
      </c>
      <c r="J62" s="439">
        <v>60853</v>
      </c>
      <c r="K62" s="445"/>
      <c r="L62" s="440" t="s">
        <v>1888</v>
      </c>
    </row>
    <row r="63" spans="1:12" x14ac:dyDescent="0.2">
      <c r="A63" s="442"/>
      <c r="B63" s="442">
        <v>29</v>
      </c>
      <c r="C63" s="443" t="s">
        <v>422</v>
      </c>
      <c r="D63" s="444">
        <v>44383</v>
      </c>
      <c r="E63" s="442" t="s">
        <v>424</v>
      </c>
      <c r="F63" s="442" t="s">
        <v>425</v>
      </c>
      <c r="G63" s="445" t="s">
        <v>423</v>
      </c>
      <c r="H63" s="439">
        <v>338983</v>
      </c>
      <c r="I63" s="439">
        <v>38983</v>
      </c>
      <c r="J63" s="439">
        <v>300000</v>
      </c>
      <c r="K63" s="445"/>
      <c r="L63" s="440" t="s">
        <v>1889</v>
      </c>
    </row>
    <row r="64" spans="1:12" x14ac:dyDescent="0.2">
      <c r="A64" s="442"/>
      <c r="B64" s="442">
        <v>4</v>
      </c>
      <c r="C64" s="443" t="s">
        <v>422</v>
      </c>
      <c r="D64" s="444">
        <v>44387</v>
      </c>
      <c r="E64" s="442" t="s">
        <v>1258</v>
      </c>
      <c r="F64" s="442" t="s">
        <v>1259</v>
      </c>
      <c r="G64" s="445" t="s">
        <v>423</v>
      </c>
      <c r="H64" s="439">
        <v>112994</v>
      </c>
      <c r="I64" s="439">
        <v>12994</v>
      </c>
      <c r="J64" s="439">
        <v>100000</v>
      </c>
      <c r="K64" s="445"/>
      <c r="L64" s="440" t="s">
        <v>1889</v>
      </c>
    </row>
    <row r="65" spans="1:12" x14ac:dyDescent="0.2">
      <c r="A65" s="442"/>
      <c r="B65" s="442">
        <v>317</v>
      </c>
      <c r="C65" s="443" t="s">
        <v>422</v>
      </c>
      <c r="D65" s="444">
        <v>44391</v>
      </c>
      <c r="E65" s="442" t="s">
        <v>563</v>
      </c>
      <c r="F65" s="442" t="s">
        <v>564</v>
      </c>
      <c r="G65" s="445" t="s">
        <v>423</v>
      </c>
      <c r="H65" s="439">
        <v>338983</v>
      </c>
      <c r="I65" s="439">
        <v>38983</v>
      </c>
      <c r="J65" s="439">
        <v>300000</v>
      </c>
      <c r="K65" s="445"/>
      <c r="L65" s="440" t="s">
        <v>1888</v>
      </c>
    </row>
    <row r="66" spans="1:12" x14ac:dyDescent="0.2">
      <c r="A66" s="442"/>
      <c r="B66" s="442">
        <v>270</v>
      </c>
      <c r="C66" s="443" t="s">
        <v>422</v>
      </c>
      <c r="D66" s="444">
        <v>44396</v>
      </c>
      <c r="E66" s="442" t="s">
        <v>1260</v>
      </c>
      <c r="F66" s="442" t="s">
        <v>1261</v>
      </c>
      <c r="G66" s="445" t="s">
        <v>423</v>
      </c>
      <c r="H66" s="439">
        <v>451977</v>
      </c>
      <c r="I66" s="439">
        <v>51977</v>
      </c>
      <c r="J66" s="439">
        <v>400000</v>
      </c>
      <c r="K66" s="445"/>
      <c r="L66" s="440" t="s">
        <v>1889</v>
      </c>
    </row>
    <row r="67" spans="1:12" x14ac:dyDescent="0.2">
      <c r="A67" s="609" t="s">
        <v>428</v>
      </c>
      <c r="B67" s="610"/>
      <c r="C67" s="610"/>
      <c r="D67" s="610"/>
      <c r="E67" s="610"/>
      <c r="F67" s="610"/>
      <c r="G67" s="611"/>
      <c r="H67" s="439">
        <v>1311697</v>
      </c>
      <c r="I67" s="439">
        <v>150844</v>
      </c>
      <c r="J67" s="439">
        <v>1160853</v>
      </c>
      <c r="K67" s="446"/>
    </row>
    <row r="72" spans="1:12" x14ac:dyDescent="0.2">
      <c r="A72" s="441" t="s">
        <v>413</v>
      </c>
      <c r="B72" s="438" t="s">
        <v>414</v>
      </c>
      <c r="C72" s="438" t="s">
        <v>415</v>
      </c>
      <c r="D72" s="438" t="s">
        <v>111</v>
      </c>
      <c r="E72" s="438" t="s">
        <v>416</v>
      </c>
      <c r="F72" s="438" t="s">
        <v>417</v>
      </c>
      <c r="G72" s="438" t="s">
        <v>418</v>
      </c>
      <c r="H72" s="438" t="s">
        <v>419</v>
      </c>
      <c r="I72" s="438" t="s">
        <v>420</v>
      </c>
      <c r="J72" s="438" t="s">
        <v>421</v>
      </c>
      <c r="K72" s="438" t="s">
        <v>412</v>
      </c>
    </row>
    <row r="73" spans="1:12" x14ac:dyDescent="0.2">
      <c r="A73" s="442"/>
      <c r="B73" s="442">
        <v>492</v>
      </c>
      <c r="C73" s="443" t="s">
        <v>422</v>
      </c>
      <c r="D73" s="444">
        <v>44411</v>
      </c>
      <c r="E73" s="442" t="s">
        <v>426</v>
      </c>
      <c r="F73" s="442" t="s">
        <v>427</v>
      </c>
      <c r="G73" s="445" t="s">
        <v>423</v>
      </c>
      <c r="H73" s="439">
        <v>81480</v>
      </c>
      <c r="I73" s="439">
        <v>9370</v>
      </c>
      <c r="J73" s="439">
        <v>72110</v>
      </c>
      <c r="K73" s="445"/>
    </row>
    <row r="74" spans="1:12" x14ac:dyDescent="0.2">
      <c r="A74" s="442"/>
      <c r="B74" s="442">
        <v>30</v>
      </c>
      <c r="C74" s="443" t="s">
        <v>422</v>
      </c>
      <c r="D74" s="444">
        <v>44411</v>
      </c>
      <c r="E74" s="442" t="s">
        <v>424</v>
      </c>
      <c r="F74" s="454" t="s">
        <v>425</v>
      </c>
      <c r="G74" s="457" t="s">
        <v>423</v>
      </c>
      <c r="H74" s="458">
        <v>338983</v>
      </c>
      <c r="I74" s="458">
        <v>38983</v>
      </c>
      <c r="J74" s="458">
        <v>300000</v>
      </c>
      <c r="K74" s="445"/>
    </row>
    <row r="75" spans="1:12" x14ac:dyDescent="0.2">
      <c r="A75" s="442"/>
      <c r="B75" s="442">
        <v>8</v>
      </c>
      <c r="C75" s="443" t="s">
        <v>422</v>
      </c>
      <c r="D75" s="444">
        <v>44417</v>
      </c>
      <c r="E75" s="442" t="s">
        <v>1258</v>
      </c>
      <c r="F75" s="454" t="s">
        <v>1259</v>
      </c>
      <c r="G75" s="457" t="s">
        <v>423</v>
      </c>
      <c r="H75" s="458">
        <v>112994</v>
      </c>
      <c r="I75" s="458">
        <v>12994</v>
      </c>
      <c r="J75" s="458">
        <v>100000</v>
      </c>
      <c r="K75" s="445"/>
    </row>
    <row r="76" spans="1:12" x14ac:dyDescent="0.2">
      <c r="A76" s="442"/>
      <c r="B76" s="442">
        <v>160</v>
      </c>
      <c r="C76" s="443" t="s">
        <v>422</v>
      </c>
      <c r="D76" s="444">
        <v>44418</v>
      </c>
      <c r="E76" s="442" t="s">
        <v>659</v>
      </c>
      <c r="F76" s="454" t="s">
        <v>655</v>
      </c>
      <c r="G76" s="457" t="s">
        <v>423</v>
      </c>
      <c r="H76" s="458">
        <v>500000</v>
      </c>
      <c r="I76" s="458">
        <v>57500</v>
      </c>
      <c r="J76" s="458">
        <v>442500</v>
      </c>
      <c r="K76" s="445"/>
    </row>
    <row r="77" spans="1:12" x14ac:dyDescent="0.2">
      <c r="A77" s="442"/>
      <c r="B77" s="442">
        <v>318</v>
      </c>
      <c r="C77" s="443" t="s">
        <v>422</v>
      </c>
      <c r="D77" s="444">
        <v>44419</v>
      </c>
      <c r="E77" s="442" t="s">
        <v>563</v>
      </c>
      <c r="F77" s="442" t="s">
        <v>564</v>
      </c>
      <c r="G77" s="445" t="s">
        <v>423</v>
      </c>
      <c r="H77" s="439">
        <v>338983</v>
      </c>
      <c r="I77" s="439">
        <v>38983</v>
      </c>
      <c r="J77" s="439">
        <v>300000</v>
      </c>
      <c r="K77" s="445"/>
    </row>
    <row r="78" spans="1:12" x14ac:dyDescent="0.2">
      <c r="A78" s="609" t="s">
        <v>428</v>
      </c>
      <c r="B78" s="610"/>
      <c r="C78" s="610"/>
      <c r="D78" s="610"/>
      <c r="E78" s="610"/>
      <c r="F78" s="610"/>
      <c r="G78" s="611"/>
      <c r="H78" s="439">
        <v>1372440</v>
      </c>
      <c r="I78" s="439">
        <v>157830</v>
      </c>
      <c r="J78" s="439">
        <v>1214610</v>
      </c>
      <c r="K78" s="446"/>
    </row>
    <row r="82" spans="1:17" x14ac:dyDescent="0.2">
      <c r="A82" s="441" t="s">
        <v>413</v>
      </c>
      <c r="B82" s="438" t="s">
        <v>414</v>
      </c>
      <c r="C82" s="438" t="s">
        <v>415</v>
      </c>
      <c r="D82" s="438" t="s">
        <v>111</v>
      </c>
      <c r="E82" s="438" t="s">
        <v>416</v>
      </c>
      <c r="F82" s="438" t="s">
        <v>417</v>
      </c>
      <c r="G82" s="438" t="s">
        <v>418</v>
      </c>
      <c r="H82" s="438" t="s">
        <v>419</v>
      </c>
      <c r="I82" s="438" t="s">
        <v>420</v>
      </c>
      <c r="J82" s="438" t="s">
        <v>421</v>
      </c>
      <c r="K82" s="438" t="s">
        <v>412</v>
      </c>
    </row>
    <row r="83" spans="1:17" x14ac:dyDescent="0.2">
      <c r="A83" s="442"/>
      <c r="B83" s="442">
        <v>31</v>
      </c>
      <c r="C83" s="443" t="s">
        <v>422</v>
      </c>
      <c r="D83" s="444">
        <v>44440</v>
      </c>
      <c r="E83" s="442" t="s">
        <v>424</v>
      </c>
      <c r="F83" s="454" t="s">
        <v>425</v>
      </c>
      <c r="G83" s="457" t="s">
        <v>423</v>
      </c>
      <c r="H83" s="458">
        <v>338983</v>
      </c>
      <c r="I83" s="458">
        <v>38983</v>
      </c>
      <c r="J83" s="458">
        <v>300000</v>
      </c>
      <c r="K83" s="445"/>
    </row>
    <row r="84" spans="1:17" x14ac:dyDescent="0.2">
      <c r="A84" s="442"/>
      <c r="B84" s="442">
        <v>497</v>
      </c>
      <c r="C84" s="443" t="s">
        <v>422</v>
      </c>
      <c r="D84" s="444">
        <v>44441</v>
      </c>
      <c r="E84" s="442" t="s">
        <v>426</v>
      </c>
      <c r="F84" s="442" t="s">
        <v>427</v>
      </c>
      <c r="G84" s="445" t="s">
        <v>423</v>
      </c>
      <c r="H84" s="439">
        <v>72240</v>
      </c>
      <c r="I84" s="439">
        <v>8308</v>
      </c>
      <c r="J84" s="439">
        <v>63932</v>
      </c>
      <c r="K84" s="445"/>
    </row>
    <row r="85" spans="1:17" x14ac:dyDescent="0.2">
      <c r="A85" s="442"/>
      <c r="B85" s="442">
        <v>10</v>
      </c>
      <c r="C85" s="443" t="s">
        <v>422</v>
      </c>
      <c r="D85" s="444">
        <v>44449</v>
      </c>
      <c r="E85" s="442" t="s">
        <v>1258</v>
      </c>
      <c r="F85" s="454" t="s">
        <v>1259</v>
      </c>
      <c r="G85" s="457" t="s">
        <v>423</v>
      </c>
      <c r="H85" s="458">
        <v>112994</v>
      </c>
      <c r="I85" s="458">
        <v>12994</v>
      </c>
      <c r="J85" s="458">
        <v>100000</v>
      </c>
      <c r="K85" s="445"/>
    </row>
    <row r="86" spans="1:17" x14ac:dyDescent="0.2">
      <c r="A86" s="442"/>
      <c r="B86" s="442">
        <v>319</v>
      </c>
      <c r="C86" s="443" t="s">
        <v>422</v>
      </c>
      <c r="D86" s="444">
        <v>44452</v>
      </c>
      <c r="E86" s="442" t="s">
        <v>563</v>
      </c>
      <c r="F86" s="442" t="s">
        <v>564</v>
      </c>
      <c r="G86" s="445" t="s">
        <v>423</v>
      </c>
      <c r="H86" s="439">
        <v>338983</v>
      </c>
      <c r="I86" s="439">
        <v>38983</v>
      </c>
      <c r="J86" s="439">
        <v>300000</v>
      </c>
      <c r="K86" s="445"/>
    </row>
    <row r="87" spans="1:17" x14ac:dyDescent="0.2">
      <c r="A87" s="442"/>
      <c r="B87" s="442">
        <v>161</v>
      </c>
      <c r="C87" s="443" t="s">
        <v>422</v>
      </c>
      <c r="D87" s="444">
        <v>44469</v>
      </c>
      <c r="E87" s="442" t="s">
        <v>659</v>
      </c>
      <c r="F87" s="454" t="s">
        <v>655</v>
      </c>
      <c r="G87" s="457" t="s">
        <v>423</v>
      </c>
      <c r="H87" s="458">
        <v>430000</v>
      </c>
      <c r="I87" s="458">
        <v>49450</v>
      </c>
      <c r="J87" s="458">
        <v>380550</v>
      </c>
      <c r="K87" s="445"/>
    </row>
    <row r="88" spans="1:17" x14ac:dyDescent="0.2">
      <c r="A88" s="609" t="s">
        <v>428</v>
      </c>
      <c r="B88" s="610"/>
      <c r="C88" s="610"/>
      <c r="D88" s="610"/>
      <c r="E88" s="610"/>
      <c r="F88" s="610"/>
      <c r="G88" s="611"/>
      <c r="H88" s="439">
        <v>1293200</v>
      </c>
      <c r="I88" s="439">
        <v>148718</v>
      </c>
      <c r="J88" s="439">
        <v>1144482</v>
      </c>
      <c r="K88" s="446"/>
    </row>
    <row r="89" spans="1:17" x14ac:dyDescent="0.2">
      <c r="I89" s="426">
        <v>17698</v>
      </c>
    </row>
    <row r="91" spans="1:17" ht="15.65" x14ac:dyDescent="0.25">
      <c r="A91" s="600" t="s">
        <v>412</v>
      </c>
      <c r="B91" s="601"/>
      <c r="C91" s="601"/>
      <c r="D91" s="602"/>
      <c r="E91" s="600" t="s">
        <v>2132</v>
      </c>
      <c r="F91" s="601"/>
      <c r="G91" s="602"/>
      <c r="H91" s="600" t="s">
        <v>198</v>
      </c>
      <c r="I91" s="601"/>
      <c r="J91" s="602"/>
      <c r="K91" s="478" t="s">
        <v>2133</v>
      </c>
      <c r="L91" s="486"/>
      <c r="M91" s="486"/>
      <c r="N91" s="486"/>
      <c r="O91" s="486"/>
      <c r="P91" s="486"/>
      <c r="Q91" s="487"/>
    </row>
    <row r="92" spans="1:17" ht="15.65" x14ac:dyDescent="0.25">
      <c r="A92" s="479" t="s">
        <v>413</v>
      </c>
      <c r="B92" s="480" t="s">
        <v>414</v>
      </c>
      <c r="C92" s="480" t="s">
        <v>415</v>
      </c>
      <c r="D92" s="480" t="s">
        <v>111</v>
      </c>
      <c r="E92" s="480" t="s">
        <v>416</v>
      </c>
      <c r="F92" s="480" t="s">
        <v>417</v>
      </c>
      <c r="G92" s="480" t="s">
        <v>418</v>
      </c>
      <c r="H92" s="480" t="s">
        <v>419</v>
      </c>
      <c r="I92" s="480" t="s">
        <v>420</v>
      </c>
      <c r="J92" s="480" t="s">
        <v>421</v>
      </c>
      <c r="K92" s="480" t="s">
        <v>412</v>
      </c>
      <c r="L92"/>
      <c r="M92"/>
      <c r="N92"/>
      <c r="O92"/>
      <c r="P92"/>
      <c r="Q92" s="488"/>
    </row>
    <row r="93" spans="1:17" ht="15.65" x14ac:dyDescent="0.25">
      <c r="A93" s="481"/>
      <c r="B93" s="481">
        <v>32</v>
      </c>
      <c r="C93" s="482" t="s">
        <v>422</v>
      </c>
      <c r="D93" s="483">
        <v>44473</v>
      </c>
      <c r="E93" s="481" t="s">
        <v>424</v>
      </c>
      <c r="F93" s="481" t="s">
        <v>425</v>
      </c>
      <c r="G93" s="484" t="s">
        <v>423</v>
      </c>
      <c r="H93" s="485">
        <v>338983</v>
      </c>
      <c r="I93" s="485">
        <v>38983</v>
      </c>
      <c r="J93" s="485">
        <v>300000</v>
      </c>
      <c r="K93" s="484"/>
      <c r="L93"/>
      <c r="M93"/>
      <c r="N93"/>
      <c r="O93"/>
      <c r="P93"/>
      <c r="Q93" s="488"/>
    </row>
    <row r="94" spans="1:17" ht="15.65" x14ac:dyDescent="0.25">
      <c r="A94" s="481"/>
      <c r="B94" s="481">
        <v>499</v>
      </c>
      <c r="C94" s="482" t="s">
        <v>422</v>
      </c>
      <c r="D94" s="483">
        <v>44474</v>
      </c>
      <c r="E94" s="481" t="s">
        <v>426</v>
      </c>
      <c r="F94" s="481" t="s">
        <v>427</v>
      </c>
      <c r="G94" s="484" t="s">
        <v>423</v>
      </c>
      <c r="H94" s="485">
        <v>54840</v>
      </c>
      <c r="I94" s="485">
        <v>6307</v>
      </c>
      <c r="J94" s="485">
        <v>48533</v>
      </c>
      <c r="K94" s="484"/>
      <c r="L94"/>
      <c r="M94"/>
      <c r="N94"/>
      <c r="O94"/>
      <c r="P94"/>
      <c r="Q94" s="488"/>
    </row>
    <row r="95" spans="1:17" ht="15.65" x14ac:dyDescent="0.25">
      <c r="A95" s="481"/>
      <c r="B95" s="481">
        <v>11</v>
      </c>
      <c r="C95" s="482" t="s">
        <v>422</v>
      </c>
      <c r="D95" s="483">
        <v>44475</v>
      </c>
      <c r="E95" s="481" t="s">
        <v>1258</v>
      </c>
      <c r="F95" s="481" t="s">
        <v>1259</v>
      </c>
      <c r="G95" s="484" t="s">
        <v>423</v>
      </c>
      <c r="H95" s="485">
        <v>112994</v>
      </c>
      <c r="I95" s="485">
        <v>12994</v>
      </c>
      <c r="J95" s="485">
        <v>100000</v>
      </c>
      <c r="K95" s="484"/>
      <c r="L95"/>
      <c r="M95"/>
      <c r="N95"/>
      <c r="O95"/>
      <c r="P95"/>
      <c r="Q95" s="488"/>
    </row>
    <row r="96" spans="1:17" ht="15.65" x14ac:dyDescent="0.25">
      <c r="A96" s="481"/>
      <c r="B96" s="481">
        <v>320</v>
      </c>
      <c r="C96" s="482" t="s">
        <v>422</v>
      </c>
      <c r="D96" s="483">
        <v>44484</v>
      </c>
      <c r="E96" s="481" t="s">
        <v>563</v>
      </c>
      <c r="F96" s="481" t="s">
        <v>564</v>
      </c>
      <c r="G96" s="484" t="s">
        <v>423</v>
      </c>
      <c r="H96" s="485">
        <v>338983</v>
      </c>
      <c r="I96" s="485">
        <v>38983</v>
      </c>
      <c r="J96" s="485">
        <v>300000</v>
      </c>
      <c r="K96" s="484"/>
      <c r="L96"/>
      <c r="M96"/>
      <c r="N96"/>
      <c r="O96"/>
      <c r="P96"/>
      <c r="Q96" s="488"/>
    </row>
    <row r="97" spans="1:17" x14ac:dyDescent="0.2">
      <c r="A97" s="603" t="s">
        <v>428</v>
      </c>
      <c r="B97" s="604"/>
      <c r="C97" s="604"/>
      <c r="D97" s="604"/>
      <c r="E97" s="604"/>
      <c r="F97" s="604"/>
      <c r="G97" s="605"/>
      <c r="H97" s="485">
        <v>845800</v>
      </c>
      <c r="I97" s="485">
        <v>97267</v>
      </c>
      <c r="J97" s="485">
        <v>748533</v>
      </c>
      <c r="K97" s="606"/>
      <c r="L97" s="607"/>
      <c r="M97" s="607"/>
      <c r="N97" s="607"/>
      <c r="O97" s="607"/>
      <c r="P97" s="607"/>
      <c r="Q97" s="608"/>
    </row>
    <row r="98" spans="1:17" x14ac:dyDescent="0.2">
      <c r="I98" s="460"/>
      <c r="L98" s="460"/>
    </row>
    <row r="99" spans="1:17" x14ac:dyDescent="0.2">
      <c r="I99" s="460"/>
    </row>
    <row r="100" spans="1:17" ht="15.65" x14ac:dyDescent="0.25">
      <c r="A100" s="600" t="s">
        <v>412</v>
      </c>
      <c r="B100" s="601"/>
      <c r="C100" s="601"/>
      <c r="D100" s="602"/>
      <c r="E100" s="600" t="s">
        <v>2132</v>
      </c>
      <c r="F100" s="601"/>
      <c r="G100" s="602"/>
      <c r="H100" s="600" t="s">
        <v>198</v>
      </c>
      <c r="I100" s="601"/>
      <c r="J100" s="602"/>
      <c r="K100" s="478" t="s">
        <v>2133</v>
      </c>
      <c r="L100" s="486"/>
      <c r="M100" s="486"/>
      <c r="N100" s="486"/>
      <c r="O100" s="486"/>
      <c r="P100" s="486"/>
      <c r="Q100" s="487"/>
    </row>
    <row r="101" spans="1:17" ht="15.65" x14ac:dyDescent="0.25">
      <c r="A101" s="479" t="s">
        <v>413</v>
      </c>
      <c r="B101" s="480" t="s">
        <v>414</v>
      </c>
      <c r="C101" s="480" t="s">
        <v>415</v>
      </c>
      <c r="D101" s="480" t="s">
        <v>111</v>
      </c>
      <c r="E101" s="480" t="s">
        <v>416</v>
      </c>
      <c r="F101" s="480" t="s">
        <v>417</v>
      </c>
      <c r="G101" s="480" t="s">
        <v>418</v>
      </c>
      <c r="H101" s="480" t="s">
        <v>419</v>
      </c>
      <c r="I101" s="480" t="s">
        <v>420</v>
      </c>
      <c r="J101" s="480" t="s">
        <v>421</v>
      </c>
      <c r="K101" s="480" t="s">
        <v>412</v>
      </c>
      <c r="L101"/>
      <c r="M101"/>
      <c r="N101"/>
      <c r="O101"/>
      <c r="P101"/>
      <c r="Q101" s="488"/>
    </row>
    <row r="102" spans="1:17" ht="15.65" x14ac:dyDescent="0.25">
      <c r="A102" s="481"/>
      <c r="B102" s="481">
        <v>33</v>
      </c>
      <c r="C102" s="482" t="s">
        <v>422</v>
      </c>
      <c r="D102" s="483">
        <v>44502</v>
      </c>
      <c r="E102" s="481" t="s">
        <v>424</v>
      </c>
      <c r="F102" s="481" t="s">
        <v>425</v>
      </c>
      <c r="G102" s="484" t="s">
        <v>423</v>
      </c>
      <c r="H102" s="485">
        <v>338983</v>
      </c>
      <c r="I102" s="485">
        <v>38983</v>
      </c>
      <c r="J102" s="485">
        <v>300000</v>
      </c>
      <c r="K102" s="484"/>
      <c r="L102"/>
      <c r="M102"/>
      <c r="N102"/>
      <c r="O102"/>
      <c r="P102"/>
      <c r="Q102" s="488"/>
    </row>
    <row r="103" spans="1:17" ht="15.65" x14ac:dyDescent="0.25">
      <c r="A103" s="481"/>
      <c r="B103" s="481">
        <v>503</v>
      </c>
      <c r="C103" s="482" t="s">
        <v>422</v>
      </c>
      <c r="D103" s="483">
        <v>44503</v>
      </c>
      <c r="E103" s="481" t="s">
        <v>426</v>
      </c>
      <c r="F103" s="481" t="s">
        <v>427</v>
      </c>
      <c r="G103" s="484" t="s">
        <v>423</v>
      </c>
      <c r="H103" s="485">
        <v>67440</v>
      </c>
      <c r="I103" s="485">
        <v>7756</v>
      </c>
      <c r="J103" s="485">
        <v>59684</v>
      </c>
      <c r="K103" s="484"/>
      <c r="L103"/>
      <c r="M103"/>
      <c r="N103"/>
      <c r="O103"/>
      <c r="P103"/>
      <c r="Q103" s="488"/>
    </row>
    <row r="104" spans="1:17" ht="15.65" x14ac:dyDescent="0.25">
      <c r="A104" s="481"/>
      <c r="B104" s="481">
        <v>13</v>
      </c>
      <c r="C104" s="482" t="s">
        <v>422</v>
      </c>
      <c r="D104" s="483">
        <v>44508</v>
      </c>
      <c r="E104" s="481" t="s">
        <v>1258</v>
      </c>
      <c r="F104" s="481" t="s">
        <v>1259</v>
      </c>
      <c r="G104" s="484" t="s">
        <v>423</v>
      </c>
      <c r="H104" s="485">
        <v>112994</v>
      </c>
      <c r="I104" s="485">
        <v>12994</v>
      </c>
      <c r="J104" s="485">
        <v>100000</v>
      </c>
      <c r="K104" s="484"/>
      <c r="L104"/>
      <c r="M104"/>
      <c r="N104"/>
      <c r="O104"/>
      <c r="P104"/>
      <c r="Q104" s="488"/>
    </row>
    <row r="105" spans="1:17" ht="15.65" x14ac:dyDescent="0.25">
      <c r="A105" s="481"/>
      <c r="B105" s="481">
        <v>321</v>
      </c>
      <c r="C105" s="482" t="s">
        <v>422</v>
      </c>
      <c r="D105" s="483">
        <v>44515</v>
      </c>
      <c r="E105" s="481" t="s">
        <v>563</v>
      </c>
      <c r="F105" s="481" t="s">
        <v>564</v>
      </c>
      <c r="G105" s="484" t="s">
        <v>423</v>
      </c>
      <c r="H105" s="485">
        <v>338983</v>
      </c>
      <c r="I105" s="485">
        <v>38983</v>
      </c>
      <c r="J105" s="485">
        <v>300000</v>
      </c>
      <c r="K105" s="484"/>
      <c r="L105"/>
      <c r="M105"/>
      <c r="N105"/>
      <c r="O105"/>
      <c r="P105"/>
      <c r="Q105" s="488"/>
    </row>
    <row r="106" spans="1:17" x14ac:dyDescent="0.2">
      <c r="A106" s="603" t="s">
        <v>428</v>
      </c>
      <c r="B106" s="604"/>
      <c r="C106" s="604"/>
      <c r="D106" s="604"/>
      <c r="E106" s="604"/>
      <c r="F106" s="604"/>
      <c r="G106" s="605"/>
      <c r="H106" s="485">
        <v>858400</v>
      </c>
      <c r="I106" s="485">
        <v>98716</v>
      </c>
      <c r="J106" s="485">
        <v>759684</v>
      </c>
      <c r="K106" s="606"/>
      <c r="L106" s="607"/>
      <c r="M106" s="607"/>
      <c r="N106" s="607"/>
      <c r="O106" s="607"/>
      <c r="P106" s="607"/>
      <c r="Q106" s="608"/>
    </row>
    <row r="107" spans="1:17" ht="15.65" x14ac:dyDescent="0.25">
      <c r="A107" s="514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</row>
    <row r="108" spans="1:17" ht="15.65" x14ac:dyDescent="0.25">
      <c r="A108" s="600" t="s">
        <v>412</v>
      </c>
      <c r="B108" s="601"/>
      <c r="C108" s="601"/>
      <c r="D108" s="602"/>
      <c r="E108" s="600" t="s">
        <v>2132</v>
      </c>
      <c r="F108" s="601"/>
      <c r="G108" s="602"/>
      <c r="H108" s="600" t="s">
        <v>198</v>
      </c>
      <c r="I108" s="601"/>
      <c r="J108" s="602"/>
      <c r="K108" s="478" t="s">
        <v>2133</v>
      </c>
      <c r="L108" s="486"/>
      <c r="M108" s="486"/>
      <c r="N108" s="486"/>
      <c r="O108" s="486"/>
      <c r="P108" s="486"/>
      <c r="Q108" s="487"/>
    </row>
    <row r="109" spans="1:17" ht="15.65" x14ac:dyDescent="0.25">
      <c r="A109" s="527" t="s">
        <v>413</v>
      </c>
      <c r="B109" s="528" t="s">
        <v>414</v>
      </c>
      <c r="C109" s="528" t="s">
        <v>415</v>
      </c>
      <c r="D109" s="528" t="s">
        <v>111</v>
      </c>
      <c r="E109" s="528" t="s">
        <v>416</v>
      </c>
      <c r="F109" s="528" t="s">
        <v>417</v>
      </c>
      <c r="G109" s="528" t="s">
        <v>418</v>
      </c>
      <c r="H109" s="528" t="s">
        <v>419</v>
      </c>
      <c r="I109" s="528" t="s">
        <v>420</v>
      </c>
      <c r="J109" s="528" t="s">
        <v>421</v>
      </c>
      <c r="K109" s="528" t="s">
        <v>412</v>
      </c>
      <c r="L109"/>
      <c r="M109"/>
      <c r="N109"/>
      <c r="O109"/>
      <c r="P109"/>
      <c r="Q109" s="488"/>
    </row>
    <row r="110" spans="1:17" ht="15.65" x14ac:dyDescent="0.25">
      <c r="A110" s="529"/>
      <c r="B110" s="529">
        <v>508</v>
      </c>
      <c r="C110" s="482" t="s">
        <v>422</v>
      </c>
      <c r="D110" s="530">
        <v>44533</v>
      </c>
      <c r="E110" s="529" t="s">
        <v>426</v>
      </c>
      <c r="F110" s="529" t="s">
        <v>427</v>
      </c>
      <c r="G110" s="531" t="s">
        <v>423</v>
      </c>
      <c r="H110" s="532">
        <v>71040</v>
      </c>
      <c r="I110" s="532">
        <v>8170</v>
      </c>
      <c r="J110" s="532">
        <v>62870</v>
      </c>
      <c r="K110" s="531"/>
      <c r="L110"/>
      <c r="M110"/>
      <c r="N110"/>
      <c r="O110"/>
      <c r="P110"/>
      <c r="Q110" s="488"/>
    </row>
    <row r="111" spans="1:17" ht="15.65" x14ac:dyDescent="0.25">
      <c r="A111" s="529"/>
      <c r="B111" s="529">
        <v>34</v>
      </c>
      <c r="C111" s="482" t="s">
        <v>422</v>
      </c>
      <c r="D111" s="530">
        <v>44536</v>
      </c>
      <c r="E111" s="529" t="s">
        <v>424</v>
      </c>
      <c r="F111" s="529" t="s">
        <v>425</v>
      </c>
      <c r="G111" s="531" t="s">
        <v>423</v>
      </c>
      <c r="H111" s="532">
        <v>338983</v>
      </c>
      <c r="I111" s="532">
        <v>38983</v>
      </c>
      <c r="J111" s="532">
        <v>300000</v>
      </c>
      <c r="K111" s="531"/>
      <c r="L111"/>
      <c r="M111"/>
      <c r="N111"/>
      <c r="O111"/>
      <c r="P111"/>
      <c r="Q111" s="488"/>
    </row>
    <row r="112" spans="1:17" ht="15.65" x14ac:dyDescent="0.25">
      <c r="A112" s="529"/>
      <c r="B112" s="529">
        <v>15</v>
      </c>
      <c r="C112" s="482" t="s">
        <v>422</v>
      </c>
      <c r="D112" s="530">
        <v>44539</v>
      </c>
      <c r="E112" s="529" t="s">
        <v>1258</v>
      </c>
      <c r="F112" s="529" t="s">
        <v>1259</v>
      </c>
      <c r="G112" s="531" t="s">
        <v>423</v>
      </c>
      <c r="H112" s="532">
        <v>112994</v>
      </c>
      <c r="I112" s="577">
        <v>12994</v>
      </c>
      <c r="J112" s="532">
        <v>100000</v>
      </c>
      <c r="K112" s="531"/>
      <c r="L112"/>
      <c r="M112"/>
      <c r="N112"/>
      <c r="O112"/>
      <c r="P112"/>
      <c r="Q112" s="488"/>
    </row>
    <row r="113" spans="1:17" ht="15.65" x14ac:dyDescent="0.25">
      <c r="A113" s="529"/>
      <c r="B113" s="529">
        <v>322</v>
      </c>
      <c r="C113" s="482" t="s">
        <v>422</v>
      </c>
      <c r="D113" s="530">
        <v>44541</v>
      </c>
      <c r="E113" s="529" t="s">
        <v>563</v>
      </c>
      <c r="F113" s="529" t="s">
        <v>564</v>
      </c>
      <c r="G113" s="531" t="s">
        <v>423</v>
      </c>
      <c r="H113" s="532">
        <v>338983</v>
      </c>
      <c r="I113" s="577">
        <v>38983</v>
      </c>
      <c r="J113" s="532">
        <v>300000</v>
      </c>
      <c r="K113" s="531"/>
      <c r="L113"/>
      <c r="M113"/>
      <c r="N113"/>
      <c r="O113"/>
      <c r="P113"/>
      <c r="Q113" s="488"/>
    </row>
    <row r="114" spans="1:17" ht="15.65" x14ac:dyDescent="0.25">
      <c r="A114" s="529"/>
      <c r="B114" s="529">
        <v>162</v>
      </c>
      <c r="C114" s="482" t="s">
        <v>422</v>
      </c>
      <c r="D114" s="530">
        <v>44550</v>
      </c>
      <c r="E114" s="529" t="s">
        <v>659</v>
      </c>
      <c r="F114" s="529" t="s">
        <v>655</v>
      </c>
      <c r="G114" s="531" t="s">
        <v>423</v>
      </c>
      <c r="H114" s="532">
        <v>675000</v>
      </c>
      <c r="I114" s="577">
        <v>77625</v>
      </c>
      <c r="J114" s="532">
        <v>597375</v>
      </c>
      <c r="K114" s="531"/>
      <c r="L114"/>
      <c r="M114"/>
      <c r="N114"/>
      <c r="O114"/>
      <c r="P114"/>
      <c r="Q114" s="488"/>
    </row>
    <row r="115" spans="1:17" ht="15.65" x14ac:dyDescent="0.25">
      <c r="A115" s="529"/>
      <c r="B115" s="529">
        <v>163</v>
      </c>
      <c r="C115" s="482" t="s">
        <v>422</v>
      </c>
      <c r="D115" s="530">
        <v>44550</v>
      </c>
      <c r="E115" s="529" t="s">
        <v>2386</v>
      </c>
      <c r="F115" s="529" t="s">
        <v>2387</v>
      </c>
      <c r="G115" s="531" t="s">
        <v>423</v>
      </c>
      <c r="H115" s="532">
        <v>279970</v>
      </c>
      <c r="I115" s="533">
        <v>0</v>
      </c>
      <c r="J115" s="532">
        <v>279970</v>
      </c>
      <c r="K115" s="531"/>
      <c r="L115"/>
      <c r="M115"/>
      <c r="N115"/>
      <c r="O115"/>
      <c r="P115"/>
      <c r="Q115" s="488"/>
    </row>
    <row r="116" spans="1:17" ht="15.65" x14ac:dyDescent="0.25">
      <c r="A116" s="529"/>
      <c r="B116" s="529">
        <v>350</v>
      </c>
      <c r="C116" s="482" t="s">
        <v>422</v>
      </c>
      <c r="D116" s="530">
        <v>44554</v>
      </c>
      <c r="E116" s="529" t="s">
        <v>2388</v>
      </c>
      <c r="F116" s="529" t="s">
        <v>2389</v>
      </c>
      <c r="G116" s="531" t="s">
        <v>423</v>
      </c>
      <c r="H116" s="532">
        <v>203390</v>
      </c>
      <c r="I116" s="532">
        <v>23390</v>
      </c>
      <c r="J116" s="532">
        <v>180000</v>
      </c>
      <c r="K116" s="531"/>
      <c r="L116"/>
      <c r="M116"/>
      <c r="N116"/>
      <c r="O116"/>
      <c r="P116"/>
      <c r="Q116" s="488"/>
    </row>
    <row r="117" spans="1:17" ht="15.65" x14ac:dyDescent="0.25">
      <c r="A117" s="529"/>
      <c r="B117" s="529">
        <v>137</v>
      </c>
      <c r="C117" s="482" t="s">
        <v>422</v>
      </c>
      <c r="D117" s="530">
        <v>44557</v>
      </c>
      <c r="E117" s="529" t="s">
        <v>2390</v>
      </c>
      <c r="F117" s="529" t="s">
        <v>2391</v>
      </c>
      <c r="G117" s="531" t="s">
        <v>423</v>
      </c>
      <c r="H117" s="532">
        <v>135593</v>
      </c>
      <c r="I117" s="577">
        <v>19661</v>
      </c>
      <c r="J117" s="532">
        <v>115932</v>
      </c>
      <c r="K117" s="531"/>
      <c r="L117"/>
      <c r="M117"/>
      <c r="N117"/>
      <c r="O117"/>
      <c r="P117"/>
      <c r="Q117" s="488"/>
    </row>
    <row r="118" spans="1:17" x14ac:dyDescent="0.2">
      <c r="A118" s="612" t="s">
        <v>428</v>
      </c>
      <c r="B118" s="613"/>
      <c r="C118" s="613"/>
      <c r="D118" s="613"/>
      <c r="E118" s="613"/>
      <c r="F118" s="613"/>
      <c r="G118" s="614"/>
      <c r="H118" s="532">
        <v>2155953</v>
      </c>
      <c r="I118" s="532">
        <v>219806</v>
      </c>
      <c r="J118" s="532">
        <v>1936147</v>
      </c>
      <c r="K118" s="615"/>
      <c r="L118" s="616"/>
      <c r="M118" s="616"/>
      <c r="N118" s="616"/>
      <c r="O118" s="616"/>
      <c r="P118" s="616"/>
      <c r="Q118" s="617"/>
    </row>
    <row r="119" spans="1:17" x14ac:dyDescent="0.2">
      <c r="I119" s="460">
        <f>+I113+I110</f>
        <v>47153</v>
      </c>
    </row>
    <row r="120" spans="1:17" x14ac:dyDescent="0.2">
      <c r="I120" s="460">
        <f>+I118-I119</f>
        <v>172653</v>
      </c>
    </row>
    <row r="122" spans="1:17" ht="15.65" x14ac:dyDescent="0.25">
      <c r="F122" s="549" t="s">
        <v>116</v>
      </c>
      <c r="G122" s="549">
        <v>12</v>
      </c>
    </row>
    <row r="123" spans="1:17" ht="15.65" x14ac:dyDescent="0.25">
      <c r="F123" t="s">
        <v>2513</v>
      </c>
      <c r="G123" s="464">
        <v>-77625</v>
      </c>
      <c r="I123" s="460">
        <f>+I118+'Honorarios Terceros'!K71</f>
        <v>297746</v>
      </c>
    </row>
    <row r="124" spans="1:17" ht="15.65" x14ac:dyDescent="0.25">
      <c r="F124" t="s">
        <v>2518</v>
      </c>
      <c r="G124" s="464">
        <v>-19661</v>
      </c>
      <c r="I124" s="460">
        <f>+I123-I119</f>
        <v>250593</v>
      </c>
    </row>
    <row r="125" spans="1:17" ht="15.65" x14ac:dyDescent="0.25">
      <c r="F125" t="s">
        <v>2469</v>
      </c>
      <c r="G125" s="464">
        <v>-12994</v>
      </c>
      <c r="I125" s="578">
        <f>+I124-G131</f>
        <v>264123</v>
      </c>
    </row>
    <row r="126" spans="1:17" ht="15.65" x14ac:dyDescent="0.25">
      <c r="F126" t="s">
        <v>2465</v>
      </c>
      <c r="G126" s="464">
        <v>-38983</v>
      </c>
    </row>
    <row r="127" spans="1:17" ht="15.65" x14ac:dyDescent="0.25">
      <c r="F127" t="s">
        <v>2514</v>
      </c>
      <c r="G127" s="380">
        <v>-1949</v>
      </c>
    </row>
    <row r="128" spans="1:17" ht="15.65" x14ac:dyDescent="0.25">
      <c r="F128" t="s">
        <v>2488</v>
      </c>
      <c r="G128" s="380">
        <v>-20791</v>
      </c>
    </row>
    <row r="129" spans="6:7" ht="15.65" x14ac:dyDescent="0.25">
      <c r="F129" t="s">
        <v>2468</v>
      </c>
      <c r="G129" s="380">
        <v>-29900</v>
      </c>
    </row>
    <row r="130" spans="6:7" ht="15.65" x14ac:dyDescent="0.25">
      <c r="F130" t="s">
        <v>2512</v>
      </c>
      <c r="G130" s="380">
        <v>-25300</v>
      </c>
    </row>
    <row r="131" spans="6:7" ht="15.65" x14ac:dyDescent="0.25">
      <c r="F131" t="s">
        <v>410</v>
      </c>
      <c r="G131" s="264">
        <v>-13530</v>
      </c>
    </row>
  </sheetData>
  <mergeCells count="24">
    <mergeCell ref="A108:D108"/>
    <mergeCell ref="E108:G108"/>
    <mergeCell ref="H108:J108"/>
    <mergeCell ref="A118:G118"/>
    <mergeCell ref="K118:Q118"/>
    <mergeCell ref="A97:G97"/>
    <mergeCell ref="K97:Q97"/>
    <mergeCell ref="A91:D91"/>
    <mergeCell ref="E91:G91"/>
    <mergeCell ref="H91:J91"/>
    <mergeCell ref="A67:G67"/>
    <mergeCell ref="A78:G78"/>
    <mergeCell ref="A88:G88"/>
    <mergeCell ref="A7:G7"/>
    <mergeCell ref="A18:G18"/>
    <mergeCell ref="A31:G31"/>
    <mergeCell ref="A40:G40"/>
    <mergeCell ref="A50:G50"/>
    <mergeCell ref="A57:G57"/>
    <mergeCell ref="A100:D100"/>
    <mergeCell ref="E100:G100"/>
    <mergeCell ref="H100:J100"/>
    <mergeCell ref="A106:G106"/>
    <mergeCell ref="K106:Q106"/>
  </mergeCells>
  <hyperlinks>
    <hyperlink ref="C2" r:id="rId1" display="javascript:void(0);" xr:uid="{00000000-0004-0000-0800-000000000000}"/>
    <hyperlink ref="C3" r:id="rId2" display="javascript:void(0);" xr:uid="{00000000-0004-0000-0800-000001000000}"/>
    <hyperlink ref="C4" r:id="rId3" display="javascript:void(0);" xr:uid="{00000000-0004-0000-0800-000002000000}"/>
    <hyperlink ref="C5" r:id="rId4" display="javascript:void(0);" xr:uid="{00000000-0004-0000-0800-000003000000}"/>
    <hyperlink ref="C6" r:id="rId5" display="javascript:void(0);" xr:uid="{00000000-0004-0000-0800-000004000000}"/>
    <hyperlink ref="C13" r:id="rId6" display="javascript:void(0);" xr:uid="{00000000-0004-0000-0800-000005000000}"/>
    <hyperlink ref="C14" r:id="rId7" display="javascript:void(0);" xr:uid="{00000000-0004-0000-0800-000006000000}"/>
    <hyperlink ref="C15" r:id="rId8" display="javascript:void(0);" xr:uid="{00000000-0004-0000-0800-000007000000}"/>
    <hyperlink ref="C16" r:id="rId9" display="javascript:void(0);" xr:uid="{00000000-0004-0000-0800-000008000000}"/>
    <hyperlink ref="C17" r:id="rId10" display="javascript:void(0);" xr:uid="{00000000-0004-0000-0800-000009000000}"/>
    <hyperlink ref="C24" r:id="rId11" display="javascript:void(0);" xr:uid="{00000000-0004-0000-0800-00000A000000}"/>
    <hyperlink ref="C25" r:id="rId12" display="javascript:void(0);" xr:uid="{00000000-0004-0000-0800-00000B000000}"/>
    <hyperlink ref="C26" r:id="rId13" display="javascript:void(0);" xr:uid="{00000000-0004-0000-0800-00000C000000}"/>
    <hyperlink ref="C27" r:id="rId14" display="javascript:void(0);" xr:uid="{00000000-0004-0000-0800-00000D000000}"/>
    <hyperlink ref="C28" r:id="rId15" display="javascript:void(0);" xr:uid="{00000000-0004-0000-0800-00000E000000}"/>
    <hyperlink ref="C29" r:id="rId16" display="javascript:void(0);" xr:uid="{00000000-0004-0000-0800-00000F000000}"/>
    <hyperlink ref="C30" r:id="rId17" display="javascript:void(0);" xr:uid="{00000000-0004-0000-0800-000010000000}"/>
    <hyperlink ref="C36" r:id="rId18" display="javascript:void(0);" xr:uid="{00000000-0004-0000-0800-000011000000}"/>
    <hyperlink ref="C37" r:id="rId19" display="javascript:void(0);" xr:uid="{00000000-0004-0000-0800-000012000000}"/>
    <hyperlink ref="C38" r:id="rId20" display="javascript:void(0);" xr:uid="{00000000-0004-0000-0800-000013000000}"/>
    <hyperlink ref="C39" r:id="rId21" display="javascript:void(0);" xr:uid="{00000000-0004-0000-0800-000014000000}"/>
    <hyperlink ref="C45" r:id="rId22" display="javascript:void(0);" xr:uid="{00000000-0004-0000-0800-000015000000}"/>
    <hyperlink ref="C46" r:id="rId23" display="javascript:void(0);" xr:uid="{00000000-0004-0000-0800-000016000000}"/>
    <hyperlink ref="C47" r:id="rId24" display="javascript:void(0);" xr:uid="{00000000-0004-0000-0800-000017000000}"/>
    <hyperlink ref="C48" r:id="rId25" display="javascript:void(0);" xr:uid="{00000000-0004-0000-0800-000018000000}"/>
    <hyperlink ref="C49" r:id="rId26" display="javascript:void(0);" xr:uid="{00000000-0004-0000-0800-000019000000}"/>
    <hyperlink ref="C55" r:id="rId27" display="javascript:void(0);" xr:uid="{00000000-0004-0000-0800-00001A000000}"/>
    <hyperlink ref="C56" r:id="rId28" display="javascript:void(0);" xr:uid="{00000000-0004-0000-0800-00001B000000}"/>
    <hyperlink ref="C62" r:id="rId29" display="javascript:void(0);" xr:uid="{00000000-0004-0000-0800-00001C000000}"/>
    <hyperlink ref="C63" r:id="rId30" display="javascript:void(0);" xr:uid="{00000000-0004-0000-0800-00001D000000}"/>
    <hyperlink ref="C64" r:id="rId31" display="javascript:void(0);" xr:uid="{00000000-0004-0000-0800-00001E000000}"/>
    <hyperlink ref="C65" r:id="rId32" display="javascript:void(0);" xr:uid="{00000000-0004-0000-0800-00001F000000}"/>
    <hyperlink ref="C66" r:id="rId33" display="javascript:void(0);" xr:uid="{00000000-0004-0000-0800-000020000000}"/>
    <hyperlink ref="C73" r:id="rId34" display="javascript:void(0);" xr:uid="{00000000-0004-0000-0800-000021000000}"/>
    <hyperlink ref="C74" r:id="rId35" display="javascript:void(0);" xr:uid="{00000000-0004-0000-0800-000022000000}"/>
    <hyperlink ref="C75" r:id="rId36" display="javascript:void(0);" xr:uid="{00000000-0004-0000-0800-000023000000}"/>
    <hyperlink ref="C76" r:id="rId37" display="javascript:void(0);" xr:uid="{00000000-0004-0000-0800-000024000000}"/>
    <hyperlink ref="C77" r:id="rId38" display="javascript:void(0);" xr:uid="{00000000-0004-0000-0800-000025000000}"/>
    <hyperlink ref="C83" r:id="rId39" display="javascript:void(0);" xr:uid="{00000000-0004-0000-0800-000026000000}"/>
    <hyperlink ref="C84" r:id="rId40" display="javascript:void(0);" xr:uid="{00000000-0004-0000-0800-000027000000}"/>
    <hyperlink ref="C85" r:id="rId41" display="javascript:void(0);" xr:uid="{00000000-0004-0000-0800-000028000000}"/>
    <hyperlink ref="C86" r:id="rId42" display="javascript:void(0);" xr:uid="{00000000-0004-0000-0800-000029000000}"/>
    <hyperlink ref="C87" r:id="rId43" display="javascript:void(0);" xr:uid="{00000000-0004-0000-0800-00002A000000}"/>
    <hyperlink ref="C93" r:id="rId44" display="javascript:void(0);" xr:uid="{00000000-0004-0000-0800-00002B000000}"/>
    <hyperlink ref="C94" r:id="rId45" display="javascript:void(0);" xr:uid="{00000000-0004-0000-0800-00002C000000}"/>
    <hyperlink ref="C95" r:id="rId46" display="javascript:void(0);" xr:uid="{00000000-0004-0000-0800-00002D000000}"/>
    <hyperlink ref="C96" r:id="rId47" display="javascript:void(0);" xr:uid="{00000000-0004-0000-0800-00002E000000}"/>
    <hyperlink ref="C102" r:id="rId48" display="javascript:void(0);" xr:uid="{00000000-0004-0000-0800-00002F000000}"/>
    <hyperlink ref="C103" r:id="rId49" display="javascript:void(0);" xr:uid="{00000000-0004-0000-0800-000030000000}"/>
    <hyperlink ref="C104" r:id="rId50" display="javascript:void(0);" xr:uid="{00000000-0004-0000-0800-000031000000}"/>
    <hyperlink ref="C105" r:id="rId51" display="javascript:void(0);" xr:uid="{00000000-0004-0000-0800-000032000000}"/>
    <hyperlink ref="C110" r:id="rId52" display="javascript:void(0);" xr:uid="{88F3E2C8-589C-42DB-BBCE-5C8DDEEFF8A7}"/>
    <hyperlink ref="C111" r:id="rId53" display="javascript:void(0);" xr:uid="{2E76C72E-5900-446F-B977-BB99EAEC7C72}"/>
    <hyperlink ref="C112" r:id="rId54" display="javascript:void(0);" xr:uid="{480604FE-816A-4024-A5EC-5618DE0B8FF4}"/>
    <hyperlink ref="C113" r:id="rId55" display="javascript:void(0);" xr:uid="{39E27B62-E849-44E9-A61D-01AE6C178B9E}"/>
    <hyperlink ref="C114" r:id="rId56" display="javascript:void(0);" xr:uid="{8AF4FFD1-C8A4-49C8-9537-37CDB86CB7F3}"/>
    <hyperlink ref="C115" r:id="rId57" display="javascript:void(0);" xr:uid="{B318C281-3184-4546-BE4B-1C2DF97EC0D9}"/>
    <hyperlink ref="C116" r:id="rId58" display="javascript:void(0);" xr:uid="{E5BDBB9D-491C-40E2-9968-DF8641C34A31}"/>
    <hyperlink ref="C117" r:id="rId59" display="javascript:void(0);" xr:uid="{F580F01D-EEF5-49BC-9C2E-ED21746E11DA}"/>
  </hyperlinks>
  <pageMargins left="0.7" right="0.7" top="0.75" bottom="0.75" header="0.3" footer="0.3"/>
  <pageSetup paperSize="9" orientation="portrait" r:id="rId60"/>
  <drawing r:id="rId6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2060"/>
  </sheetPr>
  <dimension ref="A8:O135"/>
  <sheetViews>
    <sheetView topLeftCell="A50" zoomScale="80" zoomScaleNormal="80" workbookViewId="0">
      <selection activeCell="L73" sqref="L73"/>
    </sheetView>
  </sheetViews>
  <sheetFormatPr baseColWidth="10" defaultColWidth="37.796875" defaultRowHeight="14.95" customHeight="1" x14ac:dyDescent="0.25"/>
  <cols>
    <col min="1" max="1" width="3.19921875" style="275" bestFit="1" customWidth="1"/>
    <col min="2" max="2" width="2.69921875" style="275" bestFit="1" customWidth="1"/>
    <col min="3" max="3" width="5.296875" style="275" bestFit="1" customWidth="1"/>
    <col min="4" max="4" width="7.69921875" style="275" bestFit="1" customWidth="1"/>
    <col min="5" max="5" width="7.19921875" style="275" bestFit="1" customWidth="1"/>
    <col min="6" max="6" width="37.796875" style="275"/>
    <col min="7" max="7" width="7.69921875" style="275" bestFit="1" customWidth="1"/>
    <col min="8" max="8" width="7.3984375" style="275" bestFit="1" customWidth="1"/>
    <col min="9" max="9" width="22.3984375" style="275" bestFit="1" customWidth="1"/>
    <col min="10" max="10" width="5.09765625" style="275" bestFit="1" customWidth="1"/>
    <col min="11" max="11" width="7.296875" style="275" bestFit="1" customWidth="1"/>
    <col min="12" max="12" width="5.8984375" style="275" bestFit="1" customWidth="1"/>
    <col min="13" max="13" width="7.3984375" style="275" customWidth="1"/>
    <col min="14" max="16384" width="37.796875" style="275"/>
  </cols>
  <sheetData>
    <row r="8" spans="1:14" ht="14.95" customHeight="1" x14ac:dyDescent="0.25">
      <c r="A8" s="618" t="s">
        <v>412</v>
      </c>
      <c r="B8" s="619"/>
      <c r="C8" s="619"/>
      <c r="D8" s="620"/>
      <c r="E8" s="618" t="s">
        <v>429</v>
      </c>
      <c r="F8" s="619"/>
      <c r="G8" s="620"/>
      <c r="H8" s="618" t="s">
        <v>430</v>
      </c>
      <c r="I8" s="620"/>
      <c r="J8" s="618" t="s">
        <v>198</v>
      </c>
      <c r="K8" s="619"/>
      <c r="L8" s="620"/>
    </row>
    <row r="9" spans="1:14" ht="14.95" customHeight="1" x14ac:dyDescent="0.25">
      <c r="A9" s="420" t="s">
        <v>413</v>
      </c>
      <c r="B9" s="420" t="s">
        <v>414</v>
      </c>
      <c r="C9" s="420" t="s">
        <v>415</v>
      </c>
      <c r="D9" s="420" t="s">
        <v>431</v>
      </c>
      <c r="E9" s="420" t="s">
        <v>432</v>
      </c>
      <c r="F9" s="420" t="s">
        <v>433</v>
      </c>
      <c r="G9" s="420" t="s">
        <v>431</v>
      </c>
      <c r="H9" s="420" t="s">
        <v>432</v>
      </c>
      <c r="I9" s="420" t="s">
        <v>433</v>
      </c>
      <c r="J9" s="420" t="s">
        <v>419</v>
      </c>
      <c r="K9" s="420" t="s">
        <v>434</v>
      </c>
      <c r="L9" s="420" t="s">
        <v>421</v>
      </c>
    </row>
    <row r="10" spans="1:14" ht="15.65" customHeight="1" x14ac:dyDescent="0.25">
      <c r="A10" s="421"/>
      <c r="B10" s="422">
        <v>103</v>
      </c>
      <c r="C10" s="423" t="s">
        <v>422</v>
      </c>
      <c r="D10" s="424">
        <v>44221</v>
      </c>
      <c r="E10" s="425" t="s">
        <v>435</v>
      </c>
      <c r="F10" s="422" t="s">
        <v>83</v>
      </c>
      <c r="G10" s="424">
        <v>44221</v>
      </c>
      <c r="H10" s="425" t="s">
        <v>671</v>
      </c>
      <c r="I10" s="422" t="s">
        <v>672</v>
      </c>
      <c r="J10" s="426">
        <v>100000</v>
      </c>
      <c r="K10" s="426">
        <v>11500</v>
      </c>
      <c r="L10" s="426">
        <v>88500</v>
      </c>
      <c r="M10" s="275" t="s">
        <v>165</v>
      </c>
    </row>
    <row r="11" spans="1:14" ht="14.95" customHeight="1" x14ac:dyDescent="0.25">
      <c r="A11" s="421"/>
      <c r="B11" s="422">
        <v>104</v>
      </c>
      <c r="C11" s="423" t="s">
        <v>422</v>
      </c>
      <c r="D11" s="424">
        <v>44221</v>
      </c>
      <c r="E11" s="425" t="s">
        <v>435</v>
      </c>
      <c r="F11" s="422" t="s">
        <v>83</v>
      </c>
      <c r="G11" s="424">
        <v>44221</v>
      </c>
      <c r="H11" s="425" t="s">
        <v>545</v>
      </c>
      <c r="I11" s="422" t="s">
        <v>546</v>
      </c>
      <c r="J11" s="426">
        <v>50848</v>
      </c>
      <c r="K11" s="426">
        <v>5848</v>
      </c>
      <c r="L11" s="426">
        <v>45000</v>
      </c>
      <c r="M11" s="275" t="s">
        <v>1233</v>
      </c>
    </row>
    <row r="12" spans="1:14" ht="14.95" customHeight="1" x14ac:dyDescent="0.25">
      <c r="A12" s="421"/>
      <c r="B12" s="422">
        <v>105</v>
      </c>
      <c r="C12" s="423" t="s">
        <v>422</v>
      </c>
      <c r="D12" s="424">
        <v>44222</v>
      </c>
      <c r="E12" s="425" t="s">
        <v>435</v>
      </c>
      <c r="F12" s="422" t="s">
        <v>83</v>
      </c>
      <c r="G12" s="424">
        <v>44222</v>
      </c>
      <c r="H12" s="425" t="s">
        <v>561</v>
      </c>
      <c r="I12" s="422" t="s">
        <v>562</v>
      </c>
      <c r="J12" s="426">
        <v>45198</v>
      </c>
      <c r="K12" s="426">
        <v>5198</v>
      </c>
      <c r="L12" s="426">
        <v>40000</v>
      </c>
      <c r="M12" s="275" t="s">
        <v>1234</v>
      </c>
    </row>
    <row r="13" spans="1:14" ht="14.95" customHeight="1" x14ac:dyDescent="0.25">
      <c r="A13" s="621" t="s">
        <v>442</v>
      </c>
      <c r="B13" s="622"/>
      <c r="C13" s="622"/>
      <c r="D13" s="622"/>
      <c r="E13" s="622"/>
      <c r="F13" s="622"/>
      <c r="G13" s="622"/>
      <c r="H13" s="622"/>
      <c r="I13" s="623"/>
      <c r="J13" s="426">
        <v>196046</v>
      </c>
      <c r="K13" s="426">
        <v>22546</v>
      </c>
      <c r="L13" s="426">
        <v>173500</v>
      </c>
      <c r="N13" s="437">
        <f>+K13</f>
        <v>22546</v>
      </c>
    </row>
    <row r="14" spans="1:14" ht="14.95" customHeight="1" x14ac:dyDescent="0.25">
      <c r="N14" s="437">
        <f>+Honorarios2021!I2+Honorarios2021!I4</f>
        <v>82256</v>
      </c>
    </row>
    <row r="15" spans="1:14" ht="14.95" customHeight="1" x14ac:dyDescent="0.25">
      <c r="A15" s="618" t="s">
        <v>412</v>
      </c>
      <c r="B15" s="619"/>
      <c r="C15" s="619"/>
      <c r="D15" s="620"/>
      <c r="E15" s="618" t="s">
        <v>429</v>
      </c>
      <c r="F15" s="619"/>
      <c r="G15" s="620"/>
      <c r="H15" s="618" t="s">
        <v>430</v>
      </c>
      <c r="I15" s="620"/>
      <c r="J15" s="618" t="s">
        <v>198</v>
      </c>
      <c r="K15" s="619"/>
      <c r="L15" s="620"/>
      <c r="N15" s="437">
        <f>SUM(N13:N14)</f>
        <v>104802</v>
      </c>
    </row>
    <row r="16" spans="1:14" ht="14.95" customHeight="1" x14ac:dyDescent="0.25">
      <c r="A16" s="420" t="s">
        <v>413</v>
      </c>
      <c r="B16" s="420" t="s">
        <v>414</v>
      </c>
      <c r="C16" s="420" t="s">
        <v>415</v>
      </c>
      <c r="D16" s="420" t="s">
        <v>431</v>
      </c>
      <c r="E16" s="420" t="s">
        <v>432</v>
      </c>
      <c r="F16" s="420" t="s">
        <v>433</v>
      </c>
      <c r="G16" s="420" t="s">
        <v>431</v>
      </c>
      <c r="H16" s="420" t="s">
        <v>432</v>
      </c>
      <c r="I16" s="420" t="s">
        <v>433</v>
      </c>
      <c r="J16" s="420" t="s">
        <v>419</v>
      </c>
      <c r="K16" s="420" t="s">
        <v>434</v>
      </c>
      <c r="L16" s="420" t="s">
        <v>421</v>
      </c>
      <c r="N16" s="275" t="e">
        <f>+GETPIVOTDATA("Monto",'TD Adm'!$A$4,"Mes",2,"Código",223,"Cuenta","Ret. Hon.  e Impto. Unico Administración","Glosa","T.G.R.")</f>
        <v>#REF!</v>
      </c>
    </row>
    <row r="17" spans="1:14" ht="14.95" customHeight="1" x14ac:dyDescent="0.25">
      <c r="A17" s="421"/>
      <c r="B17" s="422">
        <v>106</v>
      </c>
      <c r="C17" s="423" t="s">
        <v>422</v>
      </c>
      <c r="D17" s="424">
        <v>44282</v>
      </c>
      <c r="E17" s="425" t="s">
        <v>435</v>
      </c>
      <c r="F17" s="422" t="s">
        <v>83</v>
      </c>
      <c r="G17" s="424">
        <v>44282</v>
      </c>
      <c r="H17" s="425" t="s">
        <v>561</v>
      </c>
      <c r="I17" s="422" t="s">
        <v>562</v>
      </c>
      <c r="J17" s="426">
        <v>33898</v>
      </c>
      <c r="K17" s="426">
        <v>3898</v>
      </c>
      <c r="L17" s="426">
        <v>30000</v>
      </c>
      <c r="M17" s="275" t="str">
        <f>+M12</f>
        <v>Jardinero</v>
      </c>
      <c r="N17" s="437" t="e">
        <f>+N16-N15</f>
        <v>#REF!</v>
      </c>
    </row>
    <row r="18" spans="1:14" ht="14.95" customHeight="1" x14ac:dyDescent="0.25">
      <c r="A18" s="621" t="s">
        <v>442</v>
      </c>
      <c r="B18" s="622"/>
      <c r="C18" s="622"/>
      <c r="D18" s="622"/>
      <c r="E18" s="622"/>
      <c r="F18" s="622"/>
      <c r="G18" s="622"/>
      <c r="H18" s="622"/>
      <c r="I18" s="623"/>
      <c r="J18" s="426">
        <v>33898</v>
      </c>
      <c r="K18" s="426">
        <v>3898</v>
      </c>
      <c r="L18" s="426">
        <v>30000</v>
      </c>
    </row>
    <row r="20" spans="1:14" ht="14.95" customHeight="1" x14ac:dyDescent="0.25">
      <c r="A20" s="618" t="s">
        <v>412</v>
      </c>
      <c r="B20" s="619"/>
      <c r="C20" s="619"/>
      <c r="D20" s="620"/>
      <c r="E20" s="618" t="s">
        <v>429</v>
      </c>
      <c r="F20" s="619"/>
      <c r="G20" s="620"/>
      <c r="H20" s="618" t="s">
        <v>430</v>
      </c>
      <c r="I20" s="620"/>
      <c r="J20" s="618" t="s">
        <v>198</v>
      </c>
      <c r="K20" s="619"/>
      <c r="L20" s="620"/>
    </row>
    <row r="21" spans="1:14" ht="14.95" customHeight="1" x14ac:dyDescent="0.25">
      <c r="A21" s="420" t="s">
        <v>413</v>
      </c>
      <c r="B21" s="420" t="s">
        <v>414</v>
      </c>
      <c r="C21" s="420" t="s">
        <v>415</v>
      </c>
      <c r="D21" s="420" t="s">
        <v>431</v>
      </c>
      <c r="E21" s="420" t="s">
        <v>432</v>
      </c>
      <c r="F21" s="420" t="s">
        <v>433</v>
      </c>
      <c r="G21" s="420" t="s">
        <v>431</v>
      </c>
      <c r="H21" s="420" t="s">
        <v>432</v>
      </c>
      <c r="I21" s="420" t="s">
        <v>433</v>
      </c>
      <c r="J21" s="420" t="s">
        <v>419</v>
      </c>
      <c r="K21" s="420" t="s">
        <v>434</v>
      </c>
      <c r="L21" s="420" t="s">
        <v>421</v>
      </c>
    </row>
    <row r="22" spans="1:14" ht="14.95" customHeight="1" x14ac:dyDescent="0.25">
      <c r="A22" s="421"/>
      <c r="B22" s="422">
        <v>107</v>
      </c>
      <c r="C22" s="423" t="s">
        <v>422</v>
      </c>
      <c r="D22" s="424">
        <v>44341</v>
      </c>
      <c r="E22" s="425" t="s">
        <v>435</v>
      </c>
      <c r="F22" s="422" t="s">
        <v>83</v>
      </c>
      <c r="G22" s="424">
        <v>44341</v>
      </c>
      <c r="H22" s="425" t="s">
        <v>671</v>
      </c>
      <c r="I22" s="422" t="s">
        <v>672</v>
      </c>
      <c r="J22" s="426">
        <v>40000</v>
      </c>
      <c r="K22" s="426">
        <v>4600</v>
      </c>
      <c r="L22" s="426">
        <v>35400</v>
      </c>
      <c r="M22" s="275" t="str">
        <f>+M10</f>
        <v>Misas</v>
      </c>
    </row>
    <row r="23" spans="1:14" ht="14.95" customHeight="1" x14ac:dyDescent="0.25">
      <c r="A23" s="421"/>
      <c r="B23" s="422">
        <v>108</v>
      </c>
      <c r="C23" s="423" t="s">
        <v>422</v>
      </c>
      <c r="D23" s="424">
        <v>44341</v>
      </c>
      <c r="E23" s="425" t="s">
        <v>435</v>
      </c>
      <c r="F23" s="422" t="s">
        <v>83</v>
      </c>
      <c r="G23" s="424">
        <v>44341</v>
      </c>
      <c r="H23" s="425" t="s">
        <v>561</v>
      </c>
      <c r="I23" s="422" t="s">
        <v>562</v>
      </c>
      <c r="J23" s="426">
        <v>33898</v>
      </c>
      <c r="K23" s="426">
        <v>3898</v>
      </c>
      <c r="L23" s="426">
        <v>30000</v>
      </c>
      <c r="M23" s="275" t="str">
        <f>+M17</f>
        <v>Jardinero</v>
      </c>
    </row>
    <row r="24" spans="1:14" ht="14.95" customHeight="1" x14ac:dyDescent="0.25">
      <c r="A24" s="621" t="s">
        <v>442</v>
      </c>
      <c r="B24" s="622"/>
      <c r="C24" s="622"/>
      <c r="D24" s="622"/>
      <c r="E24" s="622"/>
      <c r="F24" s="622"/>
      <c r="G24" s="622"/>
      <c r="H24" s="622"/>
      <c r="I24" s="623"/>
      <c r="J24" s="426">
        <v>73898</v>
      </c>
      <c r="K24" s="426">
        <v>8498</v>
      </c>
      <c r="L24" s="426">
        <v>65400</v>
      </c>
    </row>
    <row r="26" spans="1:14" ht="14.95" customHeight="1" x14ac:dyDescent="0.25">
      <c r="A26" s="618" t="s">
        <v>412</v>
      </c>
      <c r="B26" s="619"/>
      <c r="C26" s="619"/>
      <c r="D26" s="620"/>
      <c r="E26" s="618" t="s">
        <v>429</v>
      </c>
      <c r="F26" s="619"/>
      <c r="G26" s="620"/>
      <c r="H26" s="618" t="s">
        <v>430</v>
      </c>
      <c r="I26" s="620"/>
      <c r="J26" s="618" t="s">
        <v>198</v>
      </c>
      <c r="K26" s="619"/>
      <c r="L26" s="620"/>
    </row>
    <row r="27" spans="1:14" ht="14.95" customHeight="1" x14ac:dyDescent="0.25">
      <c r="A27" s="420" t="s">
        <v>413</v>
      </c>
      <c r="B27" s="420" t="s">
        <v>414</v>
      </c>
      <c r="C27" s="420" t="s">
        <v>415</v>
      </c>
      <c r="D27" s="420" t="s">
        <v>431</v>
      </c>
      <c r="E27" s="420" t="s">
        <v>432</v>
      </c>
      <c r="F27" s="420" t="s">
        <v>433</v>
      </c>
      <c r="G27" s="420" t="s">
        <v>431</v>
      </c>
      <c r="H27" s="420" t="s">
        <v>432</v>
      </c>
      <c r="I27" s="420" t="s">
        <v>433</v>
      </c>
      <c r="J27" s="420" t="s">
        <v>419</v>
      </c>
      <c r="K27" s="420" t="s">
        <v>434</v>
      </c>
      <c r="L27" s="420" t="s">
        <v>421</v>
      </c>
    </row>
    <row r="28" spans="1:14" ht="14.95" customHeight="1" x14ac:dyDescent="0.25">
      <c r="A28" s="421"/>
      <c r="B28" s="422">
        <v>109</v>
      </c>
      <c r="C28" s="423" t="s">
        <v>422</v>
      </c>
      <c r="D28" s="424">
        <v>44360</v>
      </c>
      <c r="E28" s="425" t="s">
        <v>435</v>
      </c>
      <c r="F28" s="422" t="s">
        <v>83</v>
      </c>
      <c r="G28" s="424">
        <v>44360</v>
      </c>
      <c r="H28" s="425" t="s">
        <v>671</v>
      </c>
      <c r="I28" s="422" t="s">
        <v>672</v>
      </c>
      <c r="J28" s="426">
        <v>260000</v>
      </c>
      <c r="K28" s="426">
        <v>29900</v>
      </c>
      <c r="L28" s="426">
        <v>230100</v>
      </c>
      <c r="M28" s="275" t="str">
        <f>+M22</f>
        <v>Misas</v>
      </c>
    </row>
    <row r="29" spans="1:14" ht="14.95" customHeight="1" x14ac:dyDescent="0.25">
      <c r="A29" s="621" t="s">
        <v>442</v>
      </c>
      <c r="B29" s="622"/>
      <c r="C29" s="622"/>
      <c r="D29" s="622"/>
      <c r="E29" s="622"/>
      <c r="F29" s="622"/>
      <c r="G29" s="622"/>
      <c r="H29" s="622"/>
      <c r="I29" s="623"/>
      <c r="J29" s="426">
        <v>260000</v>
      </c>
      <c r="K29" s="426">
        <v>29900</v>
      </c>
      <c r="L29" s="426">
        <v>230100</v>
      </c>
    </row>
    <row r="30" spans="1:14" ht="14.95" customHeight="1" x14ac:dyDescent="0.25">
      <c r="A30" s="427"/>
      <c r="B30"/>
      <c r="C30"/>
      <c r="D30"/>
      <c r="E30"/>
      <c r="F30"/>
      <c r="G30"/>
      <c r="H30"/>
      <c r="I30"/>
      <c r="J30"/>
      <c r="K30"/>
      <c r="L30"/>
    </row>
    <row r="31" spans="1:14" ht="14.95" customHeight="1" x14ac:dyDescent="0.25">
      <c r="A31" s="618" t="s">
        <v>412</v>
      </c>
      <c r="B31" s="619"/>
      <c r="C31" s="619"/>
      <c r="D31" s="620"/>
      <c r="E31" s="618" t="s">
        <v>429</v>
      </c>
      <c r="F31" s="619"/>
      <c r="G31" s="620"/>
      <c r="H31" s="618" t="s">
        <v>430</v>
      </c>
      <c r="I31" s="620"/>
      <c r="J31" s="618" t="s">
        <v>198</v>
      </c>
      <c r="K31" s="619"/>
      <c r="L31" s="620"/>
    </row>
    <row r="32" spans="1:14" ht="14.95" customHeight="1" x14ac:dyDescent="0.25">
      <c r="A32" s="420" t="s">
        <v>413</v>
      </c>
      <c r="B32" s="420" t="s">
        <v>414</v>
      </c>
      <c r="C32" s="420" t="s">
        <v>415</v>
      </c>
      <c r="D32" s="420" t="s">
        <v>431</v>
      </c>
      <c r="E32" s="420" t="s">
        <v>432</v>
      </c>
      <c r="F32" s="420" t="s">
        <v>433</v>
      </c>
      <c r="G32" s="420" t="s">
        <v>431</v>
      </c>
      <c r="H32" s="420" t="s">
        <v>432</v>
      </c>
      <c r="I32" s="420" t="s">
        <v>433</v>
      </c>
      <c r="J32" s="420" t="s">
        <v>419</v>
      </c>
      <c r="K32" s="420" t="s">
        <v>434</v>
      </c>
      <c r="L32" s="420" t="s">
        <v>421</v>
      </c>
    </row>
    <row r="33" spans="1:13" ht="14.95" customHeight="1" x14ac:dyDescent="0.25">
      <c r="A33" s="421"/>
      <c r="B33" s="422">
        <v>110</v>
      </c>
      <c r="C33" s="423" t="s">
        <v>422</v>
      </c>
      <c r="D33" s="424">
        <v>44388</v>
      </c>
      <c r="E33" s="425" t="s">
        <v>435</v>
      </c>
      <c r="F33" s="422" t="s">
        <v>83</v>
      </c>
      <c r="G33" s="424">
        <v>44388</v>
      </c>
      <c r="H33" s="425" t="s">
        <v>671</v>
      </c>
      <c r="I33" s="422" t="s">
        <v>672</v>
      </c>
      <c r="J33" s="426">
        <v>280000</v>
      </c>
      <c r="K33" s="426">
        <v>32200</v>
      </c>
      <c r="L33" s="426">
        <v>247800</v>
      </c>
      <c r="M33" s="275" t="s">
        <v>1889</v>
      </c>
    </row>
    <row r="34" spans="1:13" ht="14.95" customHeight="1" x14ac:dyDescent="0.25">
      <c r="A34" s="421"/>
      <c r="B34" s="422">
        <v>111</v>
      </c>
      <c r="C34" s="423" t="s">
        <v>422</v>
      </c>
      <c r="D34" s="424">
        <v>44404</v>
      </c>
      <c r="E34" s="425" t="s">
        <v>435</v>
      </c>
      <c r="F34" s="422" t="s">
        <v>83</v>
      </c>
      <c r="G34" s="424">
        <v>44404</v>
      </c>
      <c r="H34" s="425" t="s">
        <v>671</v>
      </c>
      <c r="I34" s="422" t="s">
        <v>672</v>
      </c>
      <c r="J34" s="426">
        <v>60000</v>
      </c>
      <c r="K34" s="426">
        <v>6900</v>
      </c>
      <c r="L34" s="426">
        <v>53100</v>
      </c>
      <c r="M34" s="275" t="str">
        <f>+M33</f>
        <v>ADM</v>
      </c>
    </row>
    <row r="35" spans="1:13" ht="14.95" customHeight="1" x14ac:dyDescent="0.25">
      <c r="A35" s="421"/>
      <c r="B35" s="422">
        <v>112</v>
      </c>
      <c r="C35" s="423" t="s">
        <v>422</v>
      </c>
      <c r="D35" s="424">
        <v>44404</v>
      </c>
      <c r="E35" s="425" t="s">
        <v>435</v>
      </c>
      <c r="F35" s="422" t="s">
        <v>83</v>
      </c>
      <c r="G35" s="424">
        <v>44404</v>
      </c>
      <c r="H35" s="425" t="s">
        <v>561</v>
      </c>
      <c r="I35" s="422" t="s">
        <v>562</v>
      </c>
      <c r="J35" s="426">
        <v>33898</v>
      </c>
      <c r="K35" s="426">
        <v>3898</v>
      </c>
      <c r="L35" s="426">
        <v>30000</v>
      </c>
      <c r="M35" s="275" t="str">
        <f>+M34</f>
        <v>ADM</v>
      </c>
    </row>
    <row r="36" spans="1:13" ht="14.95" customHeight="1" x14ac:dyDescent="0.25">
      <c r="A36" s="621" t="s">
        <v>442</v>
      </c>
      <c r="B36" s="622"/>
      <c r="C36" s="622"/>
      <c r="D36" s="622"/>
      <c r="E36" s="622"/>
      <c r="F36" s="622"/>
      <c r="G36" s="622"/>
      <c r="H36" s="622"/>
      <c r="I36" s="623"/>
      <c r="J36" s="426">
        <v>373898</v>
      </c>
      <c r="K36" s="426">
        <v>42998</v>
      </c>
      <c r="L36" s="426">
        <v>330900</v>
      </c>
    </row>
    <row r="37" spans="1:13" ht="14.95" customHeight="1" x14ac:dyDescent="0.25">
      <c r="A37"/>
      <c r="B37"/>
      <c r="C37"/>
      <c r="D37"/>
      <c r="E37"/>
      <c r="F37"/>
      <c r="G37"/>
      <c r="H37"/>
      <c r="I37"/>
      <c r="J37"/>
      <c r="K37"/>
      <c r="L37"/>
    </row>
    <row r="38" spans="1:13" ht="14.95" customHeight="1" x14ac:dyDescent="0.25">
      <c r="A38" s="618" t="s">
        <v>412</v>
      </c>
      <c r="B38" s="619"/>
      <c r="C38" s="619"/>
      <c r="D38" s="620"/>
      <c r="E38" s="618" t="s">
        <v>429</v>
      </c>
      <c r="F38" s="619"/>
      <c r="G38" s="620"/>
      <c r="H38" s="618" t="s">
        <v>430</v>
      </c>
      <c r="I38" s="620"/>
      <c r="J38" s="618" t="s">
        <v>198</v>
      </c>
      <c r="K38" s="619"/>
      <c r="L38" s="620"/>
    </row>
    <row r="39" spans="1:13" ht="14.95" customHeight="1" x14ac:dyDescent="0.25">
      <c r="A39" s="420" t="s">
        <v>413</v>
      </c>
      <c r="B39" s="420" t="s">
        <v>414</v>
      </c>
      <c r="C39" s="420" t="s">
        <v>415</v>
      </c>
      <c r="D39" s="420" t="s">
        <v>431</v>
      </c>
      <c r="E39" s="420" t="s">
        <v>432</v>
      </c>
      <c r="F39" s="420" t="s">
        <v>433</v>
      </c>
      <c r="G39" s="420" t="s">
        <v>431</v>
      </c>
      <c r="H39" s="420" t="s">
        <v>432</v>
      </c>
      <c r="I39" s="420" t="s">
        <v>433</v>
      </c>
      <c r="J39" s="420" t="s">
        <v>419</v>
      </c>
      <c r="K39" s="420" t="s">
        <v>434</v>
      </c>
      <c r="L39" s="420" t="s">
        <v>421</v>
      </c>
    </row>
    <row r="40" spans="1:13" ht="14.95" customHeight="1" x14ac:dyDescent="0.25">
      <c r="A40" s="421"/>
      <c r="B40" s="422">
        <v>113</v>
      </c>
      <c r="C40" s="423" t="s">
        <v>422</v>
      </c>
      <c r="D40" s="424">
        <v>44420</v>
      </c>
      <c r="E40" s="425" t="s">
        <v>435</v>
      </c>
      <c r="F40" s="422" t="s">
        <v>83</v>
      </c>
      <c r="G40" s="424">
        <v>44420</v>
      </c>
      <c r="H40" s="425" t="s">
        <v>671</v>
      </c>
      <c r="I40" s="422" t="s">
        <v>672</v>
      </c>
      <c r="J40" s="426">
        <v>60000</v>
      </c>
      <c r="K40" s="426">
        <v>6900</v>
      </c>
      <c r="L40" s="426">
        <v>53100</v>
      </c>
    </row>
    <row r="41" spans="1:13" ht="14.95" customHeight="1" x14ac:dyDescent="0.25">
      <c r="A41" s="421"/>
      <c r="B41" s="422">
        <v>114</v>
      </c>
      <c r="C41" s="423" t="s">
        <v>422</v>
      </c>
      <c r="D41" s="424">
        <v>44434</v>
      </c>
      <c r="E41" s="425" t="s">
        <v>435</v>
      </c>
      <c r="F41" s="422" t="s">
        <v>83</v>
      </c>
      <c r="G41" s="424">
        <v>44434</v>
      </c>
      <c r="H41" s="425" t="s">
        <v>671</v>
      </c>
      <c r="I41" s="422" t="s">
        <v>672</v>
      </c>
      <c r="J41" s="426">
        <v>80000</v>
      </c>
      <c r="K41" s="426">
        <v>9200</v>
      </c>
      <c r="L41" s="426">
        <v>70800</v>
      </c>
    </row>
    <row r="42" spans="1:13" ht="14.95" customHeight="1" x14ac:dyDescent="0.25">
      <c r="A42" s="621" t="s">
        <v>442</v>
      </c>
      <c r="B42" s="622"/>
      <c r="C42" s="622"/>
      <c r="D42" s="622"/>
      <c r="E42" s="622"/>
      <c r="F42" s="622"/>
      <c r="G42" s="622"/>
      <c r="H42" s="622"/>
      <c r="I42" s="623"/>
      <c r="J42" s="426">
        <v>140000</v>
      </c>
      <c r="K42" s="426">
        <v>16100</v>
      </c>
      <c r="L42" s="426">
        <v>123900</v>
      </c>
    </row>
    <row r="43" spans="1:13" ht="14.95" customHeight="1" x14ac:dyDescent="0.25">
      <c r="A43" s="427"/>
      <c r="B43"/>
      <c r="C43"/>
      <c r="D43"/>
      <c r="E43"/>
      <c r="F43"/>
      <c r="G43"/>
      <c r="H43"/>
      <c r="I43"/>
      <c r="J43"/>
      <c r="K43"/>
      <c r="L43"/>
    </row>
    <row r="44" spans="1:13" ht="14.95" customHeight="1" x14ac:dyDescent="0.25">
      <c r="A44" s="618" t="s">
        <v>412</v>
      </c>
      <c r="B44" s="619"/>
      <c r="C44" s="619"/>
      <c r="D44" s="620"/>
      <c r="E44" s="618" t="s">
        <v>429</v>
      </c>
      <c r="F44" s="619"/>
      <c r="G44" s="620"/>
      <c r="H44" s="618" t="s">
        <v>430</v>
      </c>
      <c r="I44" s="620"/>
      <c r="J44" s="618" t="s">
        <v>198</v>
      </c>
      <c r="K44" s="619"/>
      <c r="L44" s="620"/>
    </row>
    <row r="45" spans="1:13" ht="14.95" customHeight="1" x14ac:dyDescent="0.25">
      <c r="A45" s="420" t="s">
        <v>413</v>
      </c>
      <c r="B45" s="420" t="s">
        <v>414</v>
      </c>
      <c r="C45" s="420" t="s">
        <v>415</v>
      </c>
      <c r="D45" s="420" t="s">
        <v>431</v>
      </c>
      <c r="E45" s="420" t="s">
        <v>432</v>
      </c>
      <c r="F45" s="420" t="s">
        <v>433</v>
      </c>
      <c r="G45" s="420" t="s">
        <v>431</v>
      </c>
      <c r="H45" s="420" t="s">
        <v>432</v>
      </c>
      <c r="I45" s="420" t="s">
        <v>433</v>
      </c>
      <c r="J45" s="420" t="s">
        <v>419</v>
      </c>
      <c r="K45" s="420" t="s">
        <v>434</v>
      </c>
      <c r="L45" s="420" t="s">
        <v>421</v>
      </c>
    </row>
    <row r="46" spans="1:13" ht="14.95" customHeight="1" x14ac:dyDescent="0.25">
      <c r="A46" s="421"/>
      <c r="B46" s="422">
        <v>115</v>
      </c>
      <c r="C46" s="423" t="s">
        <v>422</v>
      </c>
      <c r="D46" s="424">
        <v>44452</v>
      </c>
      <c r="E46" s="425" t="s">
        <v>435</v>
      </c>
      <c r="F46" s="422" t="s">
        <v>83</v>
      </c>
      <c r="G46" s="424">
        <v>44452</v>
      </c>
      <c r="H46" s="425" t="s">
        <v>671</v>
      </c>
      <c r="I46" s="422" t="s">
        <v>672</v>
      </c>
      <c r="J46" s="426">
        <v>60000</v>
      </c>
      <c r="K46" s="426">
        <v>6900</v>
      </c>
      <c r="L46" s="426">
        <v>53100</v>
      </c>
    </row>
    <row r="47" spans="1:13" ht="14.95" customHeight="1" x14ac:dyDescent="0.25">
      <c r="A47" s="421"/>
      <c r="B47" s="422">
        <v>116</v>
      </c>
      <c r="C47" s="423" t="s">
        <v>422</v>
      </c>
      <c r="D47" s="424">
        <v>44466</v>
      </c>
      <c r="E47" s="425" t="s">
        <v>435</v>
      </c>
      <c r="F47" s="422" t="s">
        <v>83</v>
      </c>
      <c r="G47" s="424">
        <v>44466</v>
      </c>
      <c r="H47" s="425" t="s">
        <v>671</v>
      </c>
      <c r="I47" s="422" t="s">
        <v>672</v>
      </c>
      <c r="J47" s="426">
        <v>60000</v>
      </c>
      <c r="K47" s="426">
        <v>6900</v>
      </c>
      <c r="L47" s="426">
        <v>53100</v>
      </c>
    </row>
    <row r="48" spans="1:13" ht="14.95" customHeight="1" x14ac:dyDescent="0.25">
      <c r="A48" s="421"/>
      <c r="B48" s="422">
        <v>117</v>
      </c>
      <c r="C48" s="423" t="s">
        <v>422</v>
      </c>
      <c r="D48" s="424">
        <v>44466</v>
      </c>
      <c r="E48" s="425" t="s">
        <v>435</v>
      </c>
      <c r="F48" s="422" t="s">
        <v>83</v>
      </c>
      <c r="G48" s="424">
        <v>44466</v>
      </c>
      <c r="H48" s="425" t="s">
        <v>561</v>
      </c>
      <c r="I48" s="422" t="s">
        <v>562</v>
      </c>
      <c r="J48" s="426">
        <v>33898</v>
      </c>
      <c r="K48" s="426">
        <v>3898</v>
      </c>
      <c r="L48" s="426">
        <v>30000</v>
      </c>
    </row>
    <row r="49" spans="1:15" ht="14.95" customHeight="1" x14ac:dyDescent="0.25">
      <c r="A49" s="621" t="s">
        <v>442</v>
      </c>
      <c r="B49" s="622"/>
      <c r="C49" s="622"/>
      <c r="D49" s="622"/>
      <c r="E49" s="622"/>
      <c r="F49" s="622"/>
      <c r="G49" s="622"/>
      <c r="H49" s="622"/>
      <c r="I49" s="623"/>
      <c r="J49" s="426">
        <v>153898</v>
      </c>
      <c r="K49" s="426">
        <v>17698</v>
      </c>
      <c r="L49" s="426">
        <v>136200</v>
      </c>
    </row>
    <row r="50" spans="1:15" ht="14.95" customHeight="1" x14ac:dyDescent="0.25">
      <c r="A50" s="427"/>
      <c r="B50"/>
      <c r="C50"/>
      <c r="D50"/>
      <c r="E50"/>
      <c r="F50"/>
      <c r="G50"/>
      <c r="H50"/>
      <c r="I50"/>
      <c r="J50"/>
      <c r="K50"/>
      <c r="L50"/>
    </row>
    <row r="51" spans="1:15" ht="14.95" customHeight="1" x14ac:dyDescent="0.25">
      <c r="A51" s="618" t="s">
        <v>412</v>
      </c>
      <c r="B51" s="619"/>
      <c r="C51" s="619"/>
      <c r="D51" s="620"/>
      <c r="E51" s="618" t="s">
        <v>429</v>
      </c>
      <c r="F51" s="619"/>
      <c r="G51" s="620"/>
      <c r="H51" s="618" t="s">
        <v>430</v>
      </c>
      <c r="I51" s="620"/>
      <c r="J51" s="618" t="s">
        <v>198</v>
      </c>
      <c r="K51" s="619"/>
      <c r="L51" s="620"/>
    </row>
    <row r="52" spans="1:15" ht="14.95" customHeight="1" x14ac:dyDescent="0.25">
      <c r="A52" s="420" t="s">
        <v>413</v>
      </c>
      <c r="B52" s="420" t="s">
        <v>414</v>
      </c>
      <c r="C52" s="420" t="s">
        <v>415</v>
      </c>
      <c r="D52" s="420" t="s">
        <v>431</v>
      </c>
      <c r="E52" s="420" t="s">
        <v>432</v>
      </c>
      <c r="F52" s="420" t="s">
        <v>433</v>
      </c>
      <c r="G52" s="420" t="s">
        <v>431</v>
      </c>
      <c r="H52" s="420" t="s">
        <v>432</v>
      </c>
      <c r="I52" s="420" t="s">
        <v>433</v>
      </c>
      <c r="J52" s="420" t="s">
        <v>419</v>
      </c>
      <c r="K52" s="420" t="s">
        <v>434</v>
      </c>
      <c r="L52" s="420" t="s">
        <v>421</v>
      </c>
    </row>
    <row r="53" spans="1:15" ht="14.95" customHeight="1" x14ac:dyDescent="0.25">
      <c r="A53" s="421"/>
      <c r="B53" s="422">
        <v>118</v>
      </c>
      <c r="C53" s="423" t="s">
        <v>422</v>
      </c>
      <c r="D53" s="424">
        <v>44482</v>
      </c>
      <c r="E53" s="425" t="s">
        <v>435</v>
      </c>
      <c r="F53" s="422" t="s">
        <v>83</v>
      </c>
      <c r="G53" s="424">
        <v>44482</v>
      </c>
      <c r="H53" s="425" t="s">
        <v>671</v>
      </c>
      <c r="I53" s="422" t="s">
        <v>672</v>
      </c>
      <c r="J53" s="426">
        <v>100000</v>
      </c>
      <c r="K53" s="426">
        <v>11500</v>
      </c>
      <c r="L53" s="426">
        <v>88500</v>
      </c>
    </row>
    <row r="54" spans="1:15" ht="14.95" customHeight="1" x14ac:dyDescent="0.25">
      <c r="A54" s="421"/>
      <c r="B54" s="422">
        <v>119</v>
      </c>
      <c r="C54" s="423" t="s">
        <v>422</v>
      </c>
      <c r="D54" s="424">
        <v>44495</v>
      </c>
      <c r="E54" s="425" t="s">
        <v>435</v>
      </c>
      <c r="F54" s="422" t="s">
        <v>83</v>
      </c>
      <c r="G54" s="424">
        <v>44495</v>
      </c>
      <c r="H54" s="425" t="s">
        <v>561</v>
      </c>
      <c r="I54" s="422" t="s">
        <v>562</v>
      </c>
      <c r="J54" s="426">
        <v>50847</v>
      </c>
      <c r="K54" s="426">
        <v>5847</v>
      </c>
      <c r="L54" s="426">
        <v>45000</v>
      </c>
    </row>
    <row r="55" spans="1:15" ht="14.95" customHeight="1" x14ac:dyDescent="0.25">
      <c r="A55" s="421"/>
      <c r="B55" s="422">
        <v>120</v>
      </c>
      <c r="C55" s="423" t="s">
        <v>422</v>
      </c>
      <c r="D55" s="424">
        <v>44495</v>
      </c>
      <c r="E55" s="425" t="s">
        <v>435</v>
      </c>
      <c r="F55" s="422" t="s">
        <v>83</v>
      </c>
      <c r="G55" s="424">
        <v>44495</v>
      </c>
      <c r="H55" s="425" t="s">
        <v>671</v>
      </c>
      <c r="I55" s="422" t="s">
        <v>672</v>
      </c>
      <c r="J55" s="426">
        <v>160000</v>
      </c>
      <c r="K55" s="426">
        <v>18400</v>
      </c>
      <c r="L55" s="426">
        <v>141600</v>
      </c>
    </row>
    <row r="56" spans="1:15" ht="14.95" customHeight="1" x14ac:dyDescent="0.25">
      <c r="A56" s="621" t="s">
        <v>442</v>
      </c>
      <c r="B56" s="622"/>
      <c r="C56" s="622"/>
      <c r="D56" s="622"/>
      <c r="E56" s="622"/>
      <c r="F56" s="622"/>
      <c r="G56" s="622"/>
      <c r="H56" s="622"/>
      <c r="I56" s="623"/>
      <c r="J56" s="426">
        <v>310847</v>
      </c>
      <c r="K56" s="426">
        <v>35747</v>
      </c>
      <c r="L56" s="426">
        <v>275100</v>
      </c>
    </row>
    <row r="57" spans="1:15" ht="14.95" customHeight="1" x14ac:dyDescent="0.25">
      <c r="A57" s="427"/>
      <c r="B57"/>
      <c r="C57"/>
      <c r="D57"/>
      <c r="E57"/>
      <c r="F57"/>
      <c r="G57"/>
      <c r="H57"/>
      <c r="I57"/>
      <c r="J57"/>
      <c r="K57"/>
      <c r="L57"/>
    </row>
    <row r="58" spans="1:15" ht="14.95" customHeight="1" x14ac:dyDescent="0.25">
      <c r="A58" s="618" t="s">
        <v>412</v>
      </c>
      <c r="B58" s="619"/>
      <c r="C58" s="619"/>
      <c r="D58" s="620"/>
      <c r="E58" s="618" t="s">
        <v>429</v>
      </c>
      <c r="F58" s="619"/>
      <c r="G58" s="620"/>
      <c r="H58" s="618" t="s">
        <v>430</v>
      </c>
      <c r="I58" s="620"/>
      <c r="J58" s="618" t="s">
        <v>198</v>
      </c>
      <c r="K58" s="619"/>
      <c r="L58" s="620"/>
    </row>
    <row r="59" spans="1:15" ht="14.95" customHeight="1" x14ac:dyDescent="0.25">
      <c r="A59" s="420" t="s">
        <v>413</v>
      </c>
      <c r="B59" s="420" t="s">
        <v>414</v>
      </c>
      <c r="C59" s="420" t="s">
        <v>415</v>
      </c>
      <c r="D59" s="420" t="s">
        <v>431</v>
      </c>
      <c r="E59" s="420" t="s">
        <v>432</v>
      </c>
      <c r="F59" s="420" t="s">
        <v>433</v>
      </c>
      <c r="G59" s="420" t="s">
        <v>431</v>
      </c>
      <c r="H59" s="420" t="s">
        <v>432</v>
      </c>
      <c r="I59" s="420" t="s">
        <v>433</v>
      </c>
      <c r="J59" s="420" t="s">
        <v>419</v>
      </c>
      <c r="K59" s="420" t="s">
        <v>434</v>
      </c>
      <c r="L59" s="420" t="s">
        <v>421</v>
      </c>
      <c r="N59" s="549" t="s">
        <v>116</v>
      </c>
      <c r="O59" s="549">
        <v>12</v>
      </c>
    </row>
    <row r="60" spans="1:15" ht="14.95" customHeight="1" x14ac:dyDescent="0.25">
      <c r="A60" s="421"/>
      <c r="B60" s="422">
        <v>121</v>
      </c>
      <c r="C60" s="423" t="s">
        <v>422</v>
      </c>
      <c r="D60" s="424">
        <v>44514</v>
      </c>
      <c r="E60" s="425" t="s">
        <v>435</v>
      </c>
      <c r="F60" s="422" t="s">
        <v>83</v>
      </c>
      <c r="G60" s="424">
        <v>44514</v>
      </c>
      <c r="H60" s="425" t="s">
        <v>671</v>
      </c>
      <c r="I60" s="422" t="s">
        <v>672</v>
      </c>
      <c r="J60" s="426">
        <v>220000</v>
      </c>
      <c r="K60" s="426">
        <v>25300</v>
      </c>
      <c r="L60" s="426">
        <v>194700</v>
      </c>
      <c r="N60" t="s">
        <v>2513</v>
      </c>
      <c r="O60" s="264">
        <v>-77625</v>
      </c>
    </row>
    <row r="61" spans="1:15" ht="14.95" customHeight="1" x14ac:dyDescent="0.25">
      <c r="A61" s="421"/>
      <c r="B61" s="422">
        <v>122</v>
      </c>
      <c r="C61" s="423" t="s">
        <v>422</v>
      </c>
      <c r="D61" s="424">
        <v>44528</v>
      </c>
      <c r="E61" s="425" t="s">
        <v>435</v>
      </c>
      <c r="F61" s="422" t="s">
        <v>83</v>
      </c>
      <c r="G61" s="424">
        <v>44528</v>
      </c>
      <c r="H61" s="425" t="s">
        <v>671</v>
      </c>
      <c r="I61" s="422" t="s">
        <v>672</v>
      </c>
      <c r="J61" s="426">
        <v>240000</v>
      </c>
      <c r="K61" s="426">
        <v>27600</v>
      </c>
      <c r="L61" s="426">
        <v>212400</v>
      </c>
      <c r="N61" t="s">
        <v>2518</v>
      </c>
      <c r="O61" s="264">
        <v>-19661</v>
      </c>
    </row>
    <row r="62" spans="1:15" ht="14.95" customHeight="1" x14ac:dyDescent="0.25">
      <c r="A62" s="421"/>
      <c r="B62" s="422">
        <v>123</v>
      </c>
      <c r="C62" s="423" t="s">
        <v>422</v>
      </c>
      <c r="D62" s="424">
        <v>44528</v>
      </c>
      <c r="E62" s="425" t="s">
        <v>435</v>
      </c>
      <c r="F62" s="422" t="s">
        <v>83</v>
      </c>
      <c r="G62" s="424">
        <v>44528</v>
      </c>
      <c r="H62" s="425" t="s">
        <v>561</v>
      </c>
      <c r="I62" s="422" t="s">
        <v>562</v>
      </c>
      <c r="J62" s="426">
        <v>33898</v>
      </c>
      <c r="K62" s="426">
        <v>3898</v>
      </c>
      <c r="L62" s="426">
        <v>30000</v>
      </c>
      <c r="N62" t="s">
        <v>2469</v>
      </c>
      <c r="O62" s="264">
        <v>-12994</v>
      </c>
    </row>
    <row r="63" spans="1:15" ht="14.95" customHeight="1" x14ac:dyDescent="0.25">
      <c r="A63" s="621" t="s">
        <v>442</v>
      </c>
      <c r="B63" s="622"/>
      <c r="C63" s="622"/>
      <c r="D63" s="622"/>
      <c r="E63" s="622"/>
      <c r="F63" s="622"/>
      <c r="G63" s="622"/>
      <c r="H63" s="622"/>
      <c r="I63" s="623"/>
      <c r="J63" s="426">
        <v>493898</v>
      </c>
      <c r="K63" s="426">
        <v>56798</v>
      </c>
      <c r="L63" s="426">
        <v>437100</v>
      </c>
      <c r="N63" t="s">
        <v>2465</v>
      </c>
      <c r="O63" s="264">
        <v>-38983</v>
      </c>
    </row>
    <row r="64" spans="1:15" ht="14.95" customHeight="1" x14ac:dyDescent="0.25">
      <c r="N64" t="s">
        <v>2514</v>
      </c>
      <c r="O64" s="380">
        <v>-1949</v>
      </c>
    </row>
    <row r="65" spans="1:15" ht="14.95" customHeight="1" x14ac:dyDescent="0.25">
      <c r="A65" s="618" t="s">
        <v>412</v>
      </c>
      <c r="B65" s="619"/>
      <c r="C65" s="619"/>
      <c r="D65" s="620"/>
      <c r="E65" s="618" t="s">
        <v>429</v>
      </c>
      <c r="F65" s="619"/>
      <c r="G65" s="620"/>
      <c r="H65" s="618" t="s">
        <v>430</v>
      </c>
      <c r="I65" s="620"/>
      <c r="J65" s="618" t="s">
        <v>198</v>
      </c>
      <c r="K65" s="619"/>
      <c r="L65" s="620"/>
      <c r="N65" t="s">
        <v>2488</v>
      </c>
      <c r="O65" s="380">
        <v>-20791</v>
      </c>
    </row>
    <row r="66" spans="1:15" ht="14.95" customHeight="1" x14ac:dyDescent="0.25">
      <c r="A66" s="420" t="s">
        <v>413</v>
      </c>
      <c r="B66" s="420" t="s">
        <v>414</v>
      </c>
      <c r="C66" s="420" t="s">
        <v>415</v>
      </c>
      <c r="D66" s="420" t="s">
        <v>431</v>
      </c>
      <c r="E66" s="420" t="s">
        <v>432</v>
      </c>
      <c r="F66" s="420" t="s">
        <v>433</v>
      </c>
      <c r="G66" s="420" t="s">
        <v>431</v>
      </c>
      <c r="H66" s="420" t="s">
        <v>432</v>
      </c>
      <c r="I66" s="420" t="s">
        <v>433</v>
      </c>
      <c r="J66" s="420" t="s">
        <v>419</v>
      </c>
      <c r="K66" s="420" t="s">
        <v>434</v>
      </c>
      <c r="L66" s="420" t="s">
        <v>421</v>
      </c>
      <c r="N66" t="s">
        <v>2468</v>
      </c>
      <c r="O66" s="380">
        <v>-29900</v>
      </c>
    </row>
    <row r="67" spans="1:15" ht="14.95" customHeight="1" x14ac:dyDescent="0.25">
      <c r="A67" s="421"/>
      <c r="B67" s="422">
        <v>124</v>
      </c>
      <c r="C67" s="423" t="s">
        <v>422</v>
      </c>
      <c r="D67" s="424">
        <v>44545</v>
      </c>
      <c r="E67" s="425" t="s">
        <v>435</v>
      </c>
      <c r="F67" s="422" t="s">
        <v>83</v>
      </c>
      <c r="G67" s="424">
        <v>44545</v>
      </c>
      <c r="H67" s="425" t="s">
        <v>671</v>
      </c>
      <c r="I67" s="422" t="s">
        <v>672</v>
      </c>
      <c r="J67" s="426">
        <v>260000</v>
      </c>
      <c r="K67" s="426">
        <v>29900</v>
      </c>
      <c r="L67" s="426">
        <v>230100</v>
      </c>
      <c r="N67" t="s">
        <v>2512</v>
      </c>
      <c r="O67" s="380">
        <v>-25300</v>
      </c>
    </row>
    <row r="68" spans="1:15" s="569" customFormat="1" ht="14.95" customHeight="1" x14ac:dyDescent="0.25">
      <c r="A68" s="563"/>
      <c r="B68" s="564">
        <v>125</v>
      </c>
      <c r="C68" s="565" t="s">
        <v>422</v>
      </c>
      <c r="D68" s="566">
        <v>44550</v>
      </c>
      <c r="E68" s="567" t="s">
        <v>435</v>
      </c>
      <c r="F68" s="564" t="s">
        <v>83</v>
      </c>
      <c r="G68" s="566">
        <v>44550</v>
      </c>
      <c r="H68" s="567" t="s">
        <v>2466</v>
      </c>
      <c r="I68" s="564" t="s">
        <v>2467</v>
      </c>
      <c r="J68" s="568">
        <v>180791</v>
      </c>
      <c r="K68" s="568">
        <v>20791</v>
      </c>
      <c r="L68" s="568">
        <v>160000</v>
      </c>
      <c r="N68" t="s">
        <v>410</v>
      </c>
      <c r="O68" s="264">
        <v>-13530</v>
      </c>
    </row>
    <row r="69" spans="1:15" ht="14.95" customHeight="1" x14ac:dyDescent="0.25">
      <c r="A69" s="421"/>
      <c r="B69" s="422">
        <v>126</v>
      </c>
      <c r="C69" s="423" t="s">
        <v>422</v>
      </c>
      <c r="D69" s="424">
        <v>44557</v>
      </c>
      <c r="E69" s="425" t="s">
        <v>435</v>
      </c>
      <c r="F69" s="422" t="s">
        <v>83</v>
      </c>
      <c r="G69" s="424">
        <v>44557</v>
      </c>
      <c r="H69" s="425" t="s">
        <v>671</v>
      </c>
      <c r="I69" s="422" t="s">
        <v>672</v>
      </c>
      <c r="J69" s="426">
        <v>220000</v>
      </c>
      <c r="K69" s="426">
        <v>25300</v>
      </c>
      <c r="L69" s="426">
        <v>194700</v>
      </c>
    </row>
    <row r="70" spans="1:15" ht="14.95" customHeight="1" x14ac:dyDescent="0.25">
      <c r="A70" s="421"/>
      <c r="B70" s="422">
        <v>127</v>
      </c>
      <c r="C70" s="423" t="s">
        <v>422</v>
      </c>
      <c r="D70" s="424">
        <v>44557</v>
      </c>
      <c r="E70" s="425" t="s">
        <v>435</v>
      </c>
      <c r="F70" s="422" t="s">
        <v>83</v>
      </c>
      <c r="G70" s="424">
        <v>44557</v>
      </c>
      <c r="H70" s="425" t="s">
        <v>561</v>
      </c>
      <c r="I70" s="422" t="s">
        <v>562</v>
      </c>
      <c r="J70" s="426">
        <v>16949</v>
      </c>
      <c r="K70" s="426">
        <v>1949</v>
      </c>
      <c r="L70" s="426">
        <v>15000</v>
      </c>
    </row>
    <row r="71" spans="1:15" ht="14.95" customHeight="1" x14ac:dyDescent="0.25">
      <c r="A71" s="621" t="s">
        <v>442</v>
      </c>
      <c r="B71" s="622"/>
      <c r="C71" s="622"/>
      <c r="D71" s="622"/>
      <c r="E71" s="622"/>
      <c r="F71" s="622"/>
      <c r="G71" s="622"/>
      <c r="H71" s="622"/>
      <c r="I71" s="623"/>
      <c r="J71" s="426">
        <v>677740</v>
      </c>
      <c r="K71" s="426">
        <v>77940</v>
      </c>
      <c r="L71" s="426">
        <v>599800</v>
      </c>
    </row>
    <row r="72" spans="1:15" ht="14.95" customHeight="1" x14ac:dyDescent="0.25">
      <c r="A72" s="534"/>
      <c r="B72" s="534"/>
      <c r="C72" s="535"/>
      <c r="D72" s="535"/>
      <c r="E72"/>
      <c r="F72"/>
      <c r="G72"/>
      <c r="H72"/>
      <c r="I72"/>
      <c r="J72"/>
      <c r="K72"/>
      <c r="L72"/>
    </row>
    <row r="73" spans="1:15" ht="14.95" customHeight="1" x14ac:dyDescent="0.25">
      <c r="K73" s="437">
        <f>+Honorarios2021!I120</f>
        <v>172653</v>
      </c>
    </row>
    <row r="74" spans="1:15" ht="14.95" customHeight="1" x14ac:dyDescent="0.25">
      <c r="K74" s="437">
        <f>+K73+K71</f>
        <v>250593</v>
      </c>
    </row>
    <row r="75" spans="1:15" ht="14.95" customHeight="1" x14ac:dyDescent="0.25">
      <c r="K75" s="437">
        <f>+'Bce Tributario'!I55</f>
        <v>264123</v>
      </c>
    </row>
    <row r="76" spans="1:15" ht="14.95" customHeight="1" x14ac:dyDescent="0.25">
      <c r="K76" s="437">
        <f>+K74-K75</f>
        <v>-13530</v>
      </c>
    </row>
    <row r="126" spans="1:6" ht="14.95" customHeight="1" x14ac:dyDescent="0.25">
      <c r="A126"/>
      <c r="B126"/>
      <c r="C126"/>
      <c r="D126"/>
      <c r="E126"/>
      <c r="F126"/>
    </row>
    <row r="127" spans="1:6" ht="14.95" customHeight="1" x14ac:dyDescent="0.25">
      <c r="A127"/>
      <c r="B127"/>
      <c r="C127"/>
      <c r="D127"/>
      <c r="E127"/>
      <c r="F127"/>
    </row>
    <row r="128" spans="1:6" ht="14.95" customHeight="1" x14ac:dyDescent="0.25">
      <c r="A128"/>
      <c r="B128"/>
      <c r="C128"/>
      <c r="D128"/>
      <c r="E128"/>
      <c r="F128"/>
    </row>
    <row r="129" spans="1:6" ht="14.95" customHeight="1" x14ac:dyDescent="0.25">
      <c r="A129"/>
      <c r="B129"/>
      <c r="C129"/>
      <c r="D129"/>
      <c r="E129"/>
      <c r="F129"/>
    </row>
    <row r="130" spans="1:6" ht="14.95" customHeight="1" x14ac:dyDescent="0.25">
      <c r="A130"/>
      <c r="B130"/>
      <c r="C130"/>
      <c r="D130"/>
      <c r="E130"/>
      <c r="F130"/>
    </row>
    <row r="131" spans="1:6" ht="14.95" customHeight="1" x14ac:dyDescent="0.25">
      <c r="A131"/>
      <c r="B131"/>
      <c r="C131"/>
      <c r="D131"/>
      <c r="E131"/>
      <c r="F131"/>
    </row>
    <row r="132" spans="1:6" ht="14.95" customHeight="1" x14ac:dyDescent="0.25">
      <c r="A132"/>
      <c r="B132"/>
      <c r="C132"/>
      <c r="D132"/>
      <c r="E132"/>
      <c r="F132"/>
    </row>
    <row r="133" spans="1:6" ht="14.95" customHeight="1" x14ac:dyDescent="0.25">
      <c r="A133"/>
      <c r="B133"/>
      <c r="C133"/>
      <c r="D133"/>
      <c r="E133"/>
      <c r="F133"/>
    </row>
    <row r="134" spans="1:6" ht="14.95" customHeight="1" x14ac:dyDescent="0.25">
      <c r="A134"/>
      <c r="B134"/>
      <c r="C134"/>
      <c r="D134"/>
      <c r="E134"/>
      <c r="F134"/>
    </row>
    <row r="135" spans="1:6" ht="14.95" customHeight="1" x14ac:dyDescent="0.25">
      <c r="A135" s="419"/>
      <c r="B135" s="419"/>
      <c r="C135" s="419"/>
      <c r="D135" s="419"/>
      <c r="E135" s="419"/>
      <c r="F135" s="419"/>
    </row>
  </sheetData>
  <mergeCells count="50">
    <mergeCell ref="A51:D51"/>
    <mergeCell ref="E51:G51"/>
    <mergeCell ref="H51:I51"/>
    <mergeCell ref="J51:L51"/>
    <mergeCell ref="A56:I56"/>
    <mergeCell ref="J8:L8"/>
    <mergeCell ref="A13:I13"/>
    <mergeCell ref="A8:D8"/>
    <mergeCell ref="E8:G8"/>
    <mergeCell ref="H8:I8"/>
    <mergeCell ref="J15:L15"/>
    <mergeCell ref="A18:I18"/>
    <mergeCell ref="E31:G31"/>
    <mergeCell ref="H31:I31"/>
    <mergeCell ref="J31:L31"/>
    <mergeCell ref="A26:D26"/>
    <mergeCell ref="E26:G26"/>
    <mergeCell ref="A15:D15"/>
    <mergeCell ref="E15:G15"/>
    <mergeCell ref="H15:I15"/>
    <mergeCell ref="A36:I36"/>
    <mergeCell ref="A20:D20"/>
    <mergeCell ref="E20:G20"/>
    <mergeCell ref="H20:I20"/>
    <mergeCell ref="J20:L20"/>
    <mergeCell ref="A24:I24"/>
    <mergeCell ref="H26:I26"/>
    <mergeCell ref="J26:L26"/>
    <mergeCell ref="A29:I29"/>
    <mergeCell ref="A31:D31"/>
    <mergeCell ref="A38:D38"/>
    <mergeCell ref="E38:G38"/>
    <mergeCell ref="H38:I38"/>
    <mergeCell ref="J38:L38"/>
    <mergeCell ref="A42:I42"/>
    <mergeCell ref="A44:D44"/>
    <mergeCell ref="E44:G44"/>
    <mergeCell ref="H44:I44"/>
    <mergeCell ref="J44:L44"/>
    <mergeCell ref="A49:I49"/>
    <mergeCell ref="A58:D58"/>
    <mergeCell ref="E58:G58"/>
    <mergeCell ref="H58:I58"/>
    <mergeCell ref="J58:L58"/>
    <mergeCell ref="A63:I63"/>
    <mergeCell ref="A65:D65"/>
    <mergeCell ref="E65:G65"/>
    <mergeCell ref="H65:I65"/>
    <mergeCell ref="J65:L65"/>
    <mergeCell ref="A71:I71"/>
  </mergeCells>
  <hyperlinks>
    <hyperlink ref="C17" r:id="rId1" display="javascript:void(0);" xr:uid="{00000000-0004-0000-0900-000000000000}"/>
    <hyperlink ref="C10" r:id="rId2" display="javascript:void(0);" xr:uid="{00000000-0004-0000-0900-000001000000}"/>
    <hyperlink ref="C11" r:id="rId3" display="javascript:void(0);" xr:uid="{00000000-0004-0000-0900-000002000000}"/>
    <hyperlink ref="C12" r:id="rId4" display="javascript:void(0);" xr:uid="{00000000-0004-0000-0900-000003000000}"/>
    <hyperlink ref="C22" r:id="rId5" display="javascript:void(0);" xr:uid="{00000000-0004-0000-0900-000004000000}"/>
    <hyperlink ref="C23" r:id="rId6" display="javascript:void(0);" xr:uid="{00000000-0004-0000-0900-000005000000}"/>
    <hyperlink ref="C28" r:id="rId7" display="javascript:void(0);" xr:uid="{00000000-0004-0000-0900-000006000000}"/>
    <hyperlink ref="C33" r:id="rId8" display="javascript:void(0);" xr:uid="{00000000-0004-0000-0900-000007000000}"/>
    <hyperlink ref="C34" r:id="rId9" display="javascript:void(0);" xr:uid="{00000000-0004-0000-0900-000008000000}"/>
    <hyperlink ref="C35" r:id="rId10" display="javascript:void(0);" xr:uid="{00000000-0004-0000-0900-000009000000}"/>
    <hyperlink ref="C40" r:id="rId11" display="javascript:void(0);" xr:uid="{00000000-0004-0000-0900-00000A000000}"/>
    <hyperlink ref="C41" r:id="rId12" display="javascript:void(0);" xr:uid="{00000000-0004-0000-0900-00000B000000}"/>
    <hyperlink ref="C46" r:id="rId13" display="javascript:void(0);" xr:uid="{00000000-0004-0000-0900-00000C000000}"/>
    <hyperlink ref="C47" r:id="rId14" display="javascript:void(0);" xr:uid="{00000000-0004-0000-0900-00000D000000}"/>
    <hyperlink ref="C48" r:id="rId15" display="javascript:void(0);" xr:uid="{00000000-0004-0000-0900-00000E000000}"/>
    <hyperlink ref="C53" r:id="rId16" display="javascript:void(0);" xr:uid="{00000000-0004-0000-0900-00000F000000}"/>
    <hyperlink ref="C54" r:id="rId17" display="javascript:void(0);" xr:uid="{00000000-0004-0000-0900-000010000000}"/>
    <hyperlink ref="C55" r:id="rId18" display="javascript:void(0);" xr:uid="{00000000-0004-0000-0900-000011000000}"/>
    <hyperlink ref="C60" r:id="rId19" display="javascript:void(0);" xr:uid="{00000000-0004-0000-0900-000012000000}"/>
    <hyperlink ref="C61" r:id="rId20" display="javascript:void(0);" xr:uid="{00000000-0004-0000-0900-000013000000}"/>
    <hyperlink ref="C62" r:id="rId21" display="javascript:void(0);" xr:uid="{00000000-0004-0000-0900-000014000000}"/>
    <hyperlink ref="C67" r:id="rId22" display="javascript:void(0);" xr:uid="{A591FF49-3FCA-472A-B0A7-25721713559C}"/>
    <hyperlink ref="C68" r:id="rId23" display="javascript:void(0);" xr:uid="{67D76BE2-0DA1-4BC8-8AA3-FBEA2BECB430}"/>
    <hyperlink ref="C69" r:id="rId24" display="javascript:void(0);" xr:uid="{8D0AB7EE-86EA-458F-8783-03B99F70E7AD}"/>
    <hyperlink ref="C70" r:id="rId25" display="javascript:void(0);" xr:uid="{A4D9E3C4-FD12-44A8-ACC5-DFE0458049C1}"/>
  </hyperlinks>
  <pageMargins left="0.7" right="0.7" top="0.75" bottom="0.75" header="0.3" footer="0.3"/>
  <pageSetup orientation="portrait" r:id="rId26"/>
  <drawing r:id="rId2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-0.249977111117893"/>
  </sheetPr>
  <dimension ref="A4:AG163"/>
  <sheetViews>
    <sheetView topLeftCell="P135" zoomScale="70" zoomScaleNormal="70" workbookViewId="0">
      <selection activeCell="Q163" sqref="Q162:Q163"/>
    </sheetView>
  </sheetViews>
  <sheetFormatPr baseColWidth="10" defaultRowHeight="15.65" x14ac:dyDescent="0.25"/>
  <cols>
    <col min="3" max="3" width="39" bestFit="1" customWidth="1"/>
    <col min="4" max="15" width="11.3984375" bestFit="1" customWidth="1"/>
    <col min="16" max="16" width="12.3984375" bestFit="1" customWidth="1"/>
    <col min="17" max="17" width="12.59765625" customWidth="1"/>
    <col min="18" max="18" width="11.59765625" bestFit="1" customWidth="1"/>
    <col min="19" max="19" width="23" customWidth="1"/>
    <col min="20" max="20" width="39" bestFit="1" customWidth="1"/>
    <col min="21" max="32" width="10.8984375" bestFit="1" customWidth="1"/>
    <col min="33" max="33" width="12.3984375" bestFit="1" customWidth="1"/>
  </cols>
  <sheetData>
    <row r="4" spans="1:33" x14ac:dyDescent="0.25">
      <c r="A4" s="410" t="s">
        <v>1130</v>
      </c>
      <c r="D4" s="410" t="s">
        <v>112</v>
      </c>
      <c r="R4" s="410" t="s">
        <v>1130</v>
      </c>
      <c r="U4" s="410" t="s">
        <v>112</v>
      </c>
    </row>
    <row r="5" spans="1:33" x14ac:dyDescent="0.25">
      <c r="A5" s="410" t="s">
        <v>124</v>
      </c>
      <c r="B5" s="410" t="s">
        <v>113</v>
      </c>
      <c r="C5" s="410" t="s">
        <v>116</v>
      </c>
      <c r="D5">
        <v>1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>
        <v>9</v>
      </c>
      <c r="M5">
        <v>10</v>
      </c>
      <c r="N5">
        <v>11</v>
      </c>
      <c r="O5">
        <v>12</v>
      </c>
      <c r="P5" t="s">
        <v>409</v>
      </c>
      <c r="R5" s="410" t="s">
        <v>124</v>
      </c>
      <c r="S5" s="410" t="s">
        <v>113</v>
      </c>
      <c r="T5" s="410" t="s">
        <v>116</v>
      </c>
      <c r="U5">
        <v>1</v>
      </c>
      <c r="V5">
        <v>2</v>
      </c>
      <c r="W5">
        <v>3</v>
      </c>
      <c r="X5">
        <v>4</v>
      </c>
      <c r="Y5">
        <v>5</v>
      </c>
      <c r="Z5">
        <v>6</v>
      </c>
      <c r="AA5">
        <v>7</v>
      </c>
      <c r="AB5">
        <v>8</v>
      </c>
      <c r="AC5">
        <v>9</v>
      </c>
      <c r="AD5">
        <v>10</v>
      </c>
      <c r="AE5">
        <v>11</v>
      </c>
      <c r="AF5">
        <v>12</v>
      </c>
      <c r="AG5" t="s">
        <v>409</v>
      </c>
    </row>
    <row r="6" spans="1:33" x14ac:dyDescent="0.25">
      <c r="A6">
        <v>142</v>
      </c>
      <c r="B6" t="s">
        <v>643</v>
      </c>
      <c r="C6">
        <v>0</v>
      </c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>
        <v>-3231652</v>
      </c>
      <c r="P6" s="264">
        <v>-3231652</v>
      </c>
      <c r="R6">
        <v>141</v>
      </c>
      <c r="S6" t="s">
        <v>378</v>
      </c>
      <c r="T6" t="s">
        <v>940</v>
      </c>
      <c r="U6" s="264"/>
      <c r="V6" s="264">
        <v>15000</v>
      </c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>
        <v>15000</v>
      </c>
    </row>
    <row r="7" spans="1:33" x14ac:dyDescent="0.25">
      <c r="C7" t="s">
        <v>802</v>
      </c>
      <c r="D7" s="264">
        <v>133015</v>
      </c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>
        <v>133015</v>
      </c>
      <c r="T7" t="s">
        <v>778</v>
      </c>
      <c r="U7" s="380">
        <v>-20000</v>
      </c>
      <c r="V7" s="380"/>
      <c r="W7" s="380"/>
      <c r="X7" s="380"/>
      <c r="Y7" s="380"/>
      <c r="Z7" s="380"/>
      <c r="AA7" s="380"/>
      <c r="AB7" s="380"/>
      <c r="AC7" s="380"/>
      <c r="AD7" s="380"/>
      <c r="AE7" s="380"/>
      <c r="AF7" s="380"/>
      <c r="AG7" s="264">
        <v>-20000</v>
      </c>
    </row>
    <row r="8" spans="1:33" x14ac:dyDescent="0.25">
      <c r="C8" t="s">
        <v>725</v>
      </c>
      <c r="D8" s="264">
        <v>2157569</v>
      </c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>
        <v>2157569</v>
      </c>
      <c r="T8" t="s">
        <v>725</v>
      </c>
      <c r="U8" s="380">
        <v>110822645</v>
      </c>
      <c r="V8" s="380"/>
      <c r="W8" s="380"/>
      <c r="X8" s="380"/>
      <c r="Y8" s="380"/>
      <c r="Z8" s="380"/>
      <c r="AA8" s="380"/>
      <c r="AB8" s="380"/>
      <c r="AC8" s="380"/>
      <c r="AD8" s="380"/>
      <c r="AE8" s="380"/>
      <c r="AF8" s="380"/>
      <c r="AG8" s="264">
        <v>110822645</v>
      </c>
    </row>
    <row r="9" spans="1:33" x14ac:dyDescent="0.25">
      <c r="C9" t="s">
        <v>1992</v>
      </c>
      <c r="D9" s="264"/>
      <c r="E9" s="264"/>
      <c r="F9" s="264"/>
      <c r="G9" s="264"/>
      <c r="H9" s="264"/>
      <c r="I9" s="264"/>
      <c r="J9" s="264"/>
      <c r="K9" s="264">
        <v>100000</v>
      </c>
      <c r="L9" s="264">
        <v>80000</v>
      </c>
      <c r="M9" s="264"/>
      <c r="N9" s="264"/>
      <c r="O9" s="264"/>
      <c r="P9" s="264">
        <v>180000</v>
      </c>
      <c r="T9" t="s">
        <v>986</v>
      </c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>
        <v>-85000</v>
      </c>
      <c r="AF9" s="264"/>
      <c r="AG9" s="264">
        <v>-85000</v>
      </c>
    </row>
    <row r="10" spans="1:33" x14ac:dyDescent="0.25">
      <c r="C10" t="s">
        <v>2007</v>
      </c>
      <c r="D10" s="264"/>
      <c r="E10" s="264"/>
      <c r="F10" s="264"/>
      <c r="G10" s="264"/>
      <c r="H10" s="264"/>
      <c r="I10" s="264"/>
      <c r="J10" s="264"/>
      <c r="K10" s="264">
        <v>5000</v>
      </c>
      <c r="L10" s="264"/>
      <c r="M10" s="264"/>
      <c r="N10" s="264"/>
      <c r="O10" s="264"/>
      <c r="P10" s="264">
        <v>5000</v>
      </c>
      <c r="T10" t="s">
        <v>987</v>
      </c>
      <c r="U10" s="264"/>
      <c r="V10" s="264"/>
      <c r="W10" s="264"/>
      <c r="X10" s="264"/>
      <c r="Y10" s="264"/>
      <c r="Z10" s="264"/>
      <c r="AA10" s="264">
        <v>120000</v>
      </c>
      <c r="AB10" s="264"/>
      <c r="AC10" s="264"/>
      <c r="AD10" s="264"/>
      <c r="AE10" s="264">
        <v>120000</v>
      </c>
      <c r="AF10" s="264"/>
      <c r="AG10" s="264">
        <v>240000</v>
      </c>
    </row>
    <row r="11" spans="1:33" x14ac:dyDescent="0.25">
      <c r="C11" t="s">
        <v>1718</v>
      </c>
      <c r="D11" s="264"/>
      <c r="E11" s="264"/>
      <c r="F11" s="264"/>
      <c r="G11" s="264"/>
      <c r="H11" s="264">
        <v>10000</v>
      </c>
      <c r="I11" s="264"/>
      <c r="J11" s="264"/>
      <c r="K11" s="264"/>
      <c r="L11" s="264"/>
      <c r="M11" s="264"/>
      <c r="N11" s="264"/>
      <c r="O11" s="264"/>
      <c r="P11" s="264">
        <v>10000</v>
      </c>
      <c r="T11" t="s">
        <v>1268</v>
      </c>
      <c r="U11" s="380"/>
      <c r="V11" s="380">
        <v>-28192</v>
      </c>
      <c r="W11" s="380"/>
      <c r="X11" s="380"/>
      <c r="Y11" s="380"/>
      <c r="Z11" s="380"/>
      <c r="AA11" s="380"/>
      <c r="AB11" s="380"/>
      <c r="AC11" s="380"/>
      <c r="AD11" s="380"/>
      <c r="AE11" s="380"/>
      <c r="AF11" s="380"/>
      <c r="AG11" s="264">
        <v>-28192</v>
      </c>
    </row>
    <row r="12" spans="1:33" x14ac:dyDescent="0.25">
      <c r="C12" t="s">
        <v>1727</v>
      </c>
      <c r="D12" s="264"/>
      <c r="E12" s="264"/>
      <c r="F12" s="264"/>
      <c r="G12" s="264"/>
      <c r="H12" s="264">
        <v>15000</v>
      </c>
      <c r="I12" s="264"/>
      <c r="J12" s="264"/>
      <c r="K12" s="264"/>
      <c r="L12" s="264"/>
      <c r="M12" s="264"/>
      <c r="N12" s="264"/>
      <c r="O12" s="264"/>
      <c r="P12" s="264">
        <v>15000</v>
      </c>
      <c r="T12" t="s">
        <v>1269</v>
      </c>
      <c r="U12" s="264"/>
      <c r="V12" s="264"/>
      <c r="W12" s="380">
        <v>-51262</v>
      </c>
      <c r="X12" s="264"/>
      <c r="Y12" s="264"/>
      <c r="Z12" s="264"/>
      <c r="AA12" s="264"/>
      <c r="AB12" s="264"/>
      <c r="AC12" s="264"/>
      <c r="AD12" s="264"/>
      <c r="AE12" s="264"/>
      <c r="AF12" s="264"/>
      <c r="AG12" s="264">
        <v>-51262</v>
      </c>
    </row>
    <row r="13" spans="1:33" x14ac:dyDescent="0.25">
      <c r="C13" t="s">
        <v>982</v>
      </c>
      <c r="D13" s="264"/>
      <c r="E13" s="264">
        <v>12000</v>
      </c>
      <c r="F13" s="264">
        <v>12000</v>
      </c>
      <c r="G13" s="264">
        <v>12000</v>
      </c>
      <c r="H13" s="264">
        <v>12000</v>
      </c>
      <c r="I13" s="264">
        <v>12000</v>
      </c>
      <c r="J13" s="264">
        <v>12000</v>
      </c>
      <c r="K13" s="264">
        <v>15000</v>
      </c>
      <c r="L13" s="264">
        <v>15000</v>
      </c>
      <c r="M13" s="264">
        <v>15000</v>
      </c>
      <c r="N13" s="264"/>
      <c r="O13" s="264"/>
      <c r="P13" s="264">
        <v>117000</v>
      </c>
      <c r="T13" t="s">
        <v>1087</v>
      </c>
      <c r="U13" s="264"/>
      <c r="V13" s="264"/>
      <c r="W13" s="264">
        <v>-50000</v>
      </c>
      <c r="X13" s="264"/>
      <c r="Y13" s="264"/>
      <c r="Z13" s="264"/>
      <c r="AA13" s="264"/>
      <c r="AB13" s="264"/>
      <c r="AC13" s="264"/>
      <c r="AD13" s="264"/>
      <c r="AE13" s="264"/>
      <c r="AF13" s="264"/>
      <c r="AG13" s="264">
        <v>-50000</v>
      </c>
    </row>
    <row r="14" spans="1:33" x14ac:dyDescent="0.25">
      <c r="C14" t="s">
        <v>1054</v>
      </c>
      <c r="D14" s="264"/>
      <c r="E14" s="264"/>
      <c r="F14" s="264">
        <v>30000</v>
      </c>
      <c r="G14" s="264"/>
      <c r="H14" s="264"/>
      <c r="I14" s="264"/>
      <c r="J14" s="264"/>
      <c r="K14" s="264"/>
      <c r="L14" s="264"/>
      <c r="M14" s="264"/>
      <c r="N14" s="264"/>
      <c r="O14" s="264"/>
      <c r="P14" s="264">
        <v>30000</v>
      </c>
      <c r="T14" t="s">
        <v>407</v>
      </c>
      <c r="U14" s="380">
        <v>-326103</v>
      </c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264">
        <v>-326103</v>
      </c>
    </row>
    <row r="15" spans="1:33" x14ac:dyDescent="0.25">
      <c r="C15" t="s">
        <v>1029</v>
      </c>
      <c r="D15" s="264"/>
      <c r="E15" s="264">
        <v>5000</v>
      </c>
      <c r="F15" s="264">
        <v>5000</v>
      </c>
      <c r="G15" s="264"/>
      <c r="H15" s="264"/>
      <c r="I15" s="264"/>
      <c r="J15" s="264"/>
      <c r="K15" s="264"/>
      <c r="L15" s="264"/>
      <c r="M15" s="264"/>
      <c r="N15" s="264"/>
      <c r="O15" s="264"/>
      <c r="P15" s="264">
        <v>10000</v>
      </c>
      <c r="T15" t="s">
        <v>765</v>
      </c>
      <c r="U15" s="380">
        <v>118015</v>
      </c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264">
        <v>118015</v>
      </c>
    </row>
    <row r="16" spans="1:33" x14ac:dyDescent="0.25">
      <c r="C16" t="s">
        <v>1694</v>
      </c>
      <c r="D16" s="264"/>
      <c r="E16" s="264"/>
      <c r="F16" s="264"/>
      <c r="G16" s="264">
        <v>40000</v>
      </c>
      <c r="H16" s="264">
        <v>20000</v>
      </c>
      <c r="I16" s="264"/>
      <c r="J16" s="264"/>
      <c r="K16" s="264"/>
      <c r="L16" s="264"/>
      <c r="M16" s="264"/>
      <c r="N16" s="264"/>
      <c r="O16" s="264"/>
      <c r="P16" s="264">
        <v>60000</v>
      </c>
      <c r="T16" t="s">
        <v>789</v>
      </c>
      <c r="U16" s="380">
        <v>8000000</v>
      </c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264">
        <v>8000000</v>
      </c>
    </row>
    <row r="17" spans="2:33" x14ac:dyDescent="0.25">
      <c r="C17" t="s">
        <v>1704</v>
      </c>
      <c r="D17" s="264"/>
      <c r="E17" s="264"/>
      <c r="F17" s="264"/>
      <c r="G17" s="264">
        <v>50000</v>
      </c>
      <c r="H17" s="264"/>
      <c r="I17" s="264"/>
      <c r="J17" s="264"/>
      <c r="K17" s="264"/>
      <c r="L17" s="264"/>
      <c r="M17" s="264"/>
      <c r="N17" s="264"/>
      <c r="O17" s="264"/>
      <c r="P17" s="264">
        <v>50000</v>
      </c>
      <c r="T17" t="s">
        <v>1289</v>
      </c>
      <c r="U17" s="264">
        <v>1380000</v>
      </c>
      <c r="V17" s="264"/>
      <c r="W17" s="264"/>
      <c r="X17" s="264"/>
      <c r="Y17" s="264"/>
      <c r="Z17" s="264"/>
      <c r="AA17" s="264"/>
      <c r="AB17" s="264"/>
      <c r="AC17" s="264"/>
      <c r="AD17" s="264"/>
      <c r="AE17" s="264"/>
      <c r="AF17" s="264"/>
      <c r="AG17" s="264">
        <v>1380000</v>
      </c>
    </row>
    <row r="18" spans="2:33" x14ac:dyDescent="0.25">
      <c r="C18" t="s">
        <v>986</v>
      </c>
      <c r="D18" s="264"/>
      <c r="E18" s="264">
        <v>42000</v>
      </c>
      <c r="F18" s="264"/>
      <c r="G18" s="264"/>
      <c r="H18" s="264"/>
      <c r="I18" s="264"/>
      <c r="J18" s="264"/>
      <c r="K18" s="264"/>
      <c r="L18" s="264"/>
      <c r="M18" s="264"/>
      <c r="N18" s="264"/>
      <c r="O18" s="264"/>
      <c r="P18" s="264">
        <v>42000</v>
      </c>
      <c r="T18" t="s">
        <v>883</v>
      </c>
      <c r="U18" s="264"/>
      <c r="V18" s="264">
        <v>250000</v>
      </c>
      <c r="W18" s="264"/>
      <c r="X18" s="264"/>
      <c r="Y18" s="264"/>
      <c r="Z18" s="264"/>
      <c r="AA18" s="264"/>
      <c r="AB18" s="264"/>
      <c r="AC18" s="264"/>
      <c r="AD18" s="264"/>
      <c r="AE18" s="264"/>
      <c r="AF18" s="264"/>
      <c r="AG18" s="264">
        <v>250000</v>
      </c>
    </row>
    <row r="19" spans="2:33" x14ac:dyDescent="0.25">
      <c r="C19" t="s">
        <v>1046</v>
      </c>
      <c r="D19" s="264"/>
      <c r="E19" s="264"/>
      <c r="F19" s="264">
        <v>40000</v>
      </c>
      <c r="G19" s="264">
        <v>20000</v>
      </c>
      <c r="H19" s="264">
        <v>20000</v>
      </c>
      <c r="I19" s="264">
        <v>20000</v>
      </c>
      <c r="J19" s="264">
        <v>20000</v>
      </c>
      <c r="K19" s="264">
        <v>20000</v>
      </c>
      <c r="L19" s="264"/>
      <c r="M19" s="264"/>
      <c r="N19" s="264"/>
      <c r="O19" s="264"/>
      <c r="P19" s="264">
        <v>140000</v>
      </c>
      <c r="T19" t="s">
        <v>891</v>
      </c>
      <c r="U19" s="264"/>
      <c r="V19" s="264">
        <v>100000</v>
      </c>
      <c r="W19" s="264"/>
      <c r="X19" s="264"/>
      <c r="Y19" s="264"/>
      <c r="Z19" s="264"/>
      <c r="AA19" s="264"/>
      <c r="AB19" s="264"/>
      <c r="AC19" s="264"/>
      <c r="AD19" s="264"/>
      <c r="AE19" s="264"/>
      <c r="AF19" s="264"/>
      <c r="AG19" s="264">
        <v>100000</v>
      </c>
    </row>
    <row r="20" spans="2:33" x14ac:dyDescent="0.25">
      <c r="C20" t="s">
        <v>2087</v>
      </c>
      <c r="D20" s="264"/>
      <c r="E20" s="264"/>
      <c r="F20" s="264"/>
      <c r="G20" s="264"/>
      <c r="H20" s="264"/>
      <c r="I20" s="264"/>
      <c r="J20" s="264"/>
      <c r="K20" s="264"/>
      <c r="L20" s="264">
        <v>5000</v>
      </c>
      <c r="M20" s="264"/>
      <c r="N20" s="264"/>
      <c r="O20" s="264"/>
      <c r="P20" s="264">
        <v>5000</v>
      </c>
      <c r="T20" t="s">
        <v>952</v>
      </c>
      <c r="U20" s="264"/>
      <c r="V20" s="264">
        <v>2000000</v>
      </c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>
        <v>2000000</v>
      </c>
    </row>
    <row r="21" spans="2:33" x14ac:dyDescent="0.25">
      <c r="C21" t="s">
        <v>1736</v>
      </c>
      <c r="D21" s="264"/>
      <c r="E21" s="264"/>
      <c r="F21" s="264"/>
      <c r="G21" s="264"/>
      <c r="H21" s="264">
        <v>5000</v>
      </c>
      <c r="I21" s="264">
        <v>5000</v>
      </c>
      <c r="J21" s="264"/>
      <c r="K21" s="264"/>
      <c r="L21" s="264"/>
      <c r="M21" s="264"/>
      <c r="N21" s="264"/>
      <c r="O21" s="264"/>
      <c r="P21" s="264">
        <v>10000</v>
      </c>
      <c r="T21" t="s">
        <v>743</v>
      </c>
      <c r="U21" s="264"/>
      <c r="V21" s="264">
        <v>200000</v>
      </c>
      <c r="W21" s="264">
        <v>100000</v>
      </c>
      <c r="X21" s="264">
        <v>100000</v>
      </c>
      <c r="Y21" s="264">
        <v>100000</v>
      </c>
      <c r="Z21" s="264"/>
      <c r="AA21" s="264"/>
      <c r="AB21" s="264">
        <v>100000</v>
      </c>
      <c r="AC21" s="264"/>
      <c r="AD21" s="264">
        <v>50000</v>
      </c>
      <c r="AE21" s="264">
        <v>50000</v>
      </c>
      <c r="AF21" s="264">
        <v>50000</v>
      </c>
      <c r="AG21" s="264">
        <v>750000</v>
      </c>
    </row>
    <row r="22" spans="2:33" x14ac:dyDescent="0.25">
      <c r="C22" t="s">
        <v>1081</v>
      </c>
      <c r="D22" s="264"/>
      <c r="E22" s="264"/>
      <c r="F22" s="264">
        <v>5000</v>
      </c>
      <c r="G22" s="264">
        <v>5000</v>
      </c>
      <c r="H22" s="264"/>
      <c r="I22" s="264"/>
      <c r="J22" s="264"/>
      <c r="K22" s="264"/>
      <c r="L22" s="264"/>
      <c r="M22" s="264"/>
      <c r="N22" s="264"/>
      <c r="O22" s="264"/>
      <c r="P22" s="264">
        <v>10000</v>
      </c>
      <c r="T22" t="s">
        <v>737</v>
      </c>
      <c r="U22" s="264"/>
      <c r="V22" s="264">
        <v>30000</v>
      </c>
      <c r="W22" s="264">
        <v>30000</v>
      </c>
      <c r="X22" s="264"/>
      <c r="Y22" s="264">
        <v>53000</v>
      </c>
      <c r="Z22" s="264"/>
      <c r="AA22" s="264"/>
      <c r="AB22" s="264">
        <v>30000</v>
      </c>
      <c r="AC22" s="264">
        <v>30000</v>
      </c>
      <c r="AD22" s="264">
        <v>30000</v>
      </c>
      <c r="AE22" s="264">
        <v>30000</v>
      </c>
      <c r="AF22" s="264"/>
      <c r="AG22" s="264">
        <v>233000</v>
      </c>
    </row>
    <row r="23" spans="2:33" x14ac:dyDescent="0.25">
      <c r="C23" t="s">
        <v>1998</v>
      </c>
      <c r="D23" s="264"/>
      <c r="E23" s="264"/>
      <c r="F23" s="264"/>
      <c r="G23" s="264"/>
      <c r="H23" s="264"/>
      <c r="I23" s="264"/>
      <c r="J23" s="264"/>
      <c r="K23" s="264">
        <v>30000</v>
      </c>
      <c r="L23" s="264">
        <v>60000</v>
      </c>
      <c r="M23" s="264">
        <v>30000</v>
      </c>
      <c r="N23" s="264"/>
      <c r="O23" s="264"/>
      <c r="P23" s="264">
        <v>120000</v>
      </c>
      <c r="T23" t="s">
        <v>884</v>
      </c>
      <c r="U23" s="264"/>
      <c r="V23" s="264">
        <v>15000</v>
      </c>
      <c r="W23" s="264"/>
      <c r="X23" s="264">
        <v>15000</v>
      </c>
      <c r="Y23" s="264"/>
      <c r="Z23" s="264"/>
      <c r="AA23" s="264"/>
      <c r="AB23" s="264"/>
      <c r="AC23" s="264"/>
      <c r="AD23" s="264"/>
      <c r="AE23" s="264"/>
      <c r="AF23" s="264"/>
      <c r="AG23" s="264">
        <v>30000</v>
      </c>
    </row>
    <row r="24" spans="2:33" x14ac:dyDescent="0.25">
      <c r="C24" t="s">
        <v>1728</v>
      </c>
      <c r="D24" s="264"/>
      <c r="E24" s="264"/>
      <c r="F24" s="264"/>
      <c r="G24" s="264"/>
      <c r="H24" s="264">
        <v>1</v>
      </c>
      <c r="I24" s="264"/>
      <c r="J24" s="264"/>
      <c r="K24" s="264"/>
      <c r="L24" s="264"/>
      <c r="M24" s="264"/>
      <c r="N24" s="264"/>
      <c r="O24" s="264"/>
      <c r="P24" s="264">
        <v>1</v>
      </c>
      <c r="T24" t="s">
        <v>941</v>
      </c>
      <c r="U24" s="264"/>
      <c r="V24" s="264">
        <v>15000</v>
      </c>
      <c r="W24" s="264">
        <v>20000</v>
      </c>
      <c r="X24" s="264"/>
      <c r="Y24" s="264"/>
      <c r="Z24" s="264"/>
      <c r="AA24" s="264"/>
      <c r="AB24" s="264"/>
      <c r="AC24" s="264"/>
      <c r="AD24" s="264"/>
      <c r="AE24" s="264"/>
      <c r="AF24" s="264"/>
      <c r="AG24" s="264">
        <v>35000</v>
      </c>
    </row>
    <row r="25" spans="2:33" x14ac:dyDescent="0.25">
      <c r="C25" t="s">
        <v>1217</v>
      </c>
      <c r="D25" s="264"/>
      <c r="E25" s="264"/>
      <c r="F25" s="264"/>
      <c r="G25" s="264">
        <v>46</v>
      </c>
      <c r="H25" s="264">
        <v>21</v>
      </c>
      <c r="I25" s="264"/>
      <c r="J25" s="264"/>
      <c r="K25" s="264"/>
      <c r="L25" s="264"/>
      <c r="M25" s="264"/>
      <c r="N25" s="264"/>
      <c r="O25" s="264"/>
      <c r="P25" s="264">
        <v>67</v>
      </c>
      <c r="T25" t="s">
        <v>1236</v>
      </c>
      <c r="U25" s="264"/>
      <c r="V25" s="264"/>
      <c r="W25" s="264">
        <v>60000</v>
      </c>
      <c r="X25" s="264"/>
      <c r="Y25" s="264">
        <v>20000</v>
      </c>
      <c r="Z25" s="264"/>
      <c r="AA25" s="264">
        <v>20000</v>
      </c>
      <c r="AB25" s="264">
        <v>20000</v>
      </c>
      <c r="AC25" s="264">
        <v>20000</v>
      </c>
      <c r="AD25" s="264">
        <v>20000</v>
      </c>
      <c r="AE25" s="264">
        <v>20000</v>
      </c>
      <c r="AF25" s="264">
        <v>20000</v>
      </c>
      <c r="AG25" s="264">
        <v>200000</v>
      </c>
    </row>
    <row r="26" spans="2:33" x14ac:dyDescent="0.25">
      <c r="C26" t="s">
        <v>971</v>
      </c>
      <c r="D26" s="264"/>
      <c r="E26" s="264">
        <v>30000</v>
      </c>
      <c r="F26" s="264">
        <v>48000</v>
      </c>
      <c r="G26" s="264">
        <v>20000</v>
      </c>
      <c r="H26" s="264">
        <v>44000</v>
      </c>
      <c r="I26" s="264"/>
      <c r="J26" s="264"/>
      <c r="K26" s="264"/>
      <c r="L26" s="264"/>
      <c r="M26" s="264"/>
      <c r="N26" s="264"/>
      <c r="O26" s="264"/>
      <c r="P26" s="264">
        <v>142000</v>
      </c>
      <c r="T26" t="s">
        <v>1209</v>
      </c>
      <c r="U26" s="264"/>
      <c r="V26" s="264"/>
      <c r="W26" s="264">
        <v>20000</v>
      </c>
      <c r="X26" s="264"/>
      <c r="Y26" s="264"/>
      <c r="Z26" s="264"/>
      <c r="AA26" s="264"/>
      <c r="AB26" s="264"/>
      <c r="AC26" s="264"/>
      <c r="AD26" s="264"/>
      <c r="AE26" s="264"/>
      <c r="AF26" s="264"/>
      <c r="AG26" s="264">
        <v>20000</v>
      </c>
    </row>
    <row r="27" spans="2:33" x14ac:dyDescent="0.25">
      <c r="C27" t="s">
        <v>1683</v>
      </c>
      <c r="D27" s="264"/>
      <c r="E27" s="264"/>
      <c r="F27" s="264"/>
      <c r="G27" s="264">
        <v>30000</v>
      </c>
      <c r="H27" s="264">
        <v>100000</v>
      </c>
      <c r="I27" s="264"/>
      <c r="J27" s="264"/>
      <c r="K27" s="264"/>
      <c r="L27" s="264"/>
      <c r="M27" s="264"/>
      <c r="N27" s="264"/>
      <c r="O27" s="264"/>
      <c r="P27" s="264">
        <v>130000</v>
      </c>
      <c r="T27" t="s">
        <v>688</v>
      </c>
      <c r="U27" s="264"/>
      <c r="V27" s="264"/>
      <c r="W27" s="264">
        <v>15000</v>
      </c>
      <c r="X27" s="264"/>
      <c r="Y27" s="264">
        <v>15000</v>
      </c>
      <c r="Z27" s="264"/>
      <c r="AA27" s="264">
        <v>15000</v>
      </c>
      <c r="AB27" s="264">
        <v>15000</v>
      </c>
      <c r="AC27" s="264">
        <v>15000</v>
      </c>
      <c r="AD27" s="264">
        <v>15000</v>
      </c>
      <c r="AE27" s="264">
        <v>15000</v>
      </c>
      <c r="AF27" s="264">
        <v>15000</v>
      </c>
      <c r="AG27" s="264">
        <v>120000</v>
      </c>
    </row>
    <row r="28" spans="2:33" x14ac:dyDescent="0.25">
      <c r="C28" t="s">
        <v>1861</v>
      </c>
      <c r="D28" s="264"/>
      <c r="E28" s="264"/>
      <c r="F28" s="264"/>
      <c r="G28" s="264"/>
      <c r="H28" s="264"/>
      <c r="I28" s="264"/>
      <c r="J28" s="264">
        <v>5000</v>
      </c>
      <c r="K28" s="264">
        <v>5000</v>
      </c>
      <c r="L28" s="264">
        <v>5000</v>
      </c>
      <c r="M28" s="264">
        <v>5000</v>
      </c>
      <c r="N28" s="264"/>
      <c r="O28" s="264"/>
      <c r="P28" s="264">
        <v>20000</v>
      </c>
      <c r="T28" t="s">
        <v>1143</v>
      </c>
      <c r="U28" s="264"/>
      <c r="V28" s="264"/>
      <c r="W28" s="264">
        <v>100000</v>
      </c>
      <c r="X28" s="264"/>
      <c r="Y28" s="264"/>
      <c r="Z28" s="264"/>
      <c r="AA28" s="264"/>
      <c r="AB28" s="264"/>
      <c r="AC28" s="264"/>
      <c r="AD28" s="264"/>
      <c r="AE28" s="264"/>
      <c r="AF28" s="264"/>
      <c r="AG28" s="264">
        <v>100000</v>
      </c>
    </row>
    <row r="29" spans="2:33" x14ac:dyDescent="0.25">
      <c r="C29" t="s">
        <v>1010</v>
      </c>
      <c r="D29" s="264"/>
      <c r="E29" s="264">
        <v>3000</v>
      </c>
      <c r="F29" s="264">
        <v>6000</v>
      </c>
      <c r="G29" s="264">
        <v>7000</v>
      </c>
      <c r="H29" s="264">
        <v>7500</v>
      </c>
      <c r="I29" s="264">
        <v>8000</v>
      </c>
      <c r="J29" s="264">
        <v>5000</v>
      </c>
      <c r="K29" s="264">
        <v>5000</v>
      </c>
      <c r="L29" s="264">
        <v>5500</v>
      </c>
      <c r="M29" s="264">
        <v>5500</v>
      </c>
      <c r="N29" s="264"/>
      <c r="O29" s="264"/>
      <c r="P29" s="264">
        <v>52500</v>
      </c>
      <c r="T29" t="s">
        <v>1210</v>
      </c>
      <c r="U29" s="264"/>
      <c r="V29" s="264"/>
      <c r="W29" s="264">
        <v>250000</v>
      </c>
      <c r="X29" s="264"/>
      <c r="Y29" s="264">
        <v>250000</v>
      </c>
      <c r="Z29" s="264"/>
      <c r="AA29" s="264"/>
      <c r="AB29" s="264"/>
      <c r="AC29" s="264"/>
      <c r="AD29" s="264"/>
      <c r="AE29" s="264"/>
      <c r="AF29" s="264"/>
      <c r="AG29" s="264">
        <v>500000</v>
      </c>
    </row>
    <row r="30" spans="2:33" x14ac:dyDescent="0.25">
      <c r="C30" t="s">
        <v>1864</v>
      </c>
      <c r="D30" s="264"/>
      <c r="E30" s="264"/>
      <c r="F30" s="264"/>
      <c r="G30" s="264"/>
      <c r="H30" s="264"/>
      <c r="I30" s="264"/>
      <c r="J30" s="264">
        <v>7000</v>
      </c>
      <c r="K30" s="264"/>
      <c r="L30" s="264"/>
      <c r="M30" s="264"/>
      <c r="N30" s="264"/>
      <c r="O30" s="264"/>
      <c r="P30" s="264">
        <v>7000</v>
      </c>
      <c r="T30" t="s">
        <v>675</v>
      </c>
      <c r="U30" s="464"/>
      <c r="V30" s="464"/>
      <c r="W30" s="464">
        <v>120000</v>
      </c>
      <c r="X30" s="464">
        <v>30000</v>
      </c>
      <c r="Y30" s="464">
        <v>30000</v>
      </c>
      <c r="Z30" s="464">
        <v>30000</v>
      </c>
      <c r="AA30" s="464">
        <v>30000</v>
      </c>
      <c r="AB30" s="464">
        <v>30000</v>
      </c>
      <c r="AC30" s="464">
        <v>30000</v>
      </c>
      <c r="AD30" s="464">
        <v>30000</v>
      </c>
      <c r="AE30" s="464">
        <v>30000</v>
      </c>
      <c r="AF30" s="464">
        <v>30000</v>
      </c>
      <c r="AG30" s="264">
        <v>390000</v>
      </c>
    </row>
    <row r="31" spans="2:33" x14ac:dyDescent="0.25">
      <c r="C31" t="s">
        <v>1290</v>
      </c>
      <c r="D31" s="264">
        <v>-214500</v>
      </c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>
        <v>-214500</v>
      </c>
      <c r="T31" t="s">
        <v>1413</v>
      </c>
      <c r="U31" s="264"/>
      <c r="V31" s="264"/>
      <c r="W31" s="264"/>
      <c r="X31" s="264">
        <v>20020</v>
      </c>
      <c r="Y31" s="264"/>
      <c r="Z31" s="264"/>
      <c r="AA31" s="264"/>
      <c r="AB31" s="264"/>
      <c r="AC31" s="264"/>
      <c r="AD31" s="264"/>
      <c r="AE31" s="264"/>
      <c r="AF31" s="264"/>
      <c r="AG31" s="264">
        <v>20020</v>
      </c>
    </row>
    <row r="32" spans="2:33" x14ac:dyDescent="0.25">
      <c r="B32" t="s">
        <v>2556</v>
      </c>
      <c r="D32" s="464">
        <v>2076084</v>
      </c>
      <c r="E32" s="464">
        <v>92000</v>
      </c>
      <c r="F32" s="464">
        <v>146000</v>
      </c>
      <c r="G32" s="464">
        <v>184046</v>
      </c>
      <c r="H32" s="464">
        <v>233522</v>
      </c>
      <c r="I32" s="464">
        <v>45000</v>
      </c>
      <c r="J32" s="464">
        <v>49000</v>
      </c>
      <c r="K32" s="464">
        <v>180000</v>
      </c>
      <c r="L32" s="464">
        <v>170500</v>
      </c>
      <c r="M32" s="464">
        <v>55500</v>
      </c>
      <c r="N32" s="464"/>
      <c r="O32" s="464">
        <v>-3231652</v>
      </c>
      <c r="P32" s="264">
        <v>0</v>
      </c>
      <c r="T32" t="s">
        <v>1697</v>
      </c>
      <c r="U32" s="264"/>
      <c r="V32" s="264"/>
      <c r="W32" s="264"/>
      <c r="X32" s="264"/>
      <c r="Y32" s="264"/>
      <c r="Z32" s="264"/>
      <c r="AA32" s="264"/>
      <c r="AB32" s="264">
        <v>20000</v>
      </c>
      <c r="AC32" s="264"/>
      <c r="AD32" s="264"/>
      <c r="AE32" s="264"/>
      <c r="AF32" s="264"/>
      <c r="AG32" s="264">
        <v>20000</v>
      </c>
    </row>
    <row r="33" spans="1:33" x14ac:dyDescent="0.25">
      <c r="A33">
        <v>143</v>
      </c>
      <c r="B33" t="s">
        <v>644</v>
      </c>
      <c r="C33" t="s">
        <v>725</v>
      </c>
      <c r="D33" s="264">
        <v>595000</v>
      </c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>
        <v>595000</v>
      </c>
      <c r="T33" t="s">
        <v>1397</v>
      </c>
      <c r="U33" s="264"/>
      <c r="V33" s="264"/>
      <c r="W33" s="264"/>
      <c r="X33" s="264">
        <v>4000000</v>
      </c>
      <c r="Y33" s="264"/>
      <c r="Z33" s="264"/>
      <c r="AA33" s="264"/>
      <c r="AB33" s="264">
        <v>3000000</v>
      </c>
      <c r="AC33" s="264"/>
      <c r="AD33" s="264"/>
      <c r="AE33" s="264"/>
      <c r="AF33" s="264"/>
      <c r="AG33" s="264">
        <v>7000000</v>
      </c>
    </row>
    <row r="34" spans="1:33" x14ac:dyDescent="0.25">
      <c r="C34" t="s">
        <v>1777</v>
      </c>
      <c r="D34" s="264"/>
      <c r="E34" s="264"/>
      <c r="F34" s="264"/>
      <c r="G34" s="264"/>
      <c r="H34" s="264"/>
      <c r="I34" s="264">
        <v>20000</v>
      </c>
      <c r="J34" s="264"/>
      <c r="K34" s="264"/>
      <c r="L34" s="264"/>
      <c r="M34" s="264"/>
      <c r="N34" s="264"/>
      <c r="O34" s="264"/>
      <c r="P34" s="264">
        <v>20000</v>
      </c>
      <c r="T34" t="s">
        <v>1517</v>
      </c>
      <c r="U34" s="264"/>
      <c r="V34" s="264"/>
      <c r="W34" s="264"/>
      <c r="X34" s="264"/>
      <c r="Y34" s="264">
        <v>10000</v>
      </c>
      <c r="Z34" s="264"/>
      <c r="AA34" s="264"/>
      <c r="AB34" s="264"/>
      <c r="AC34" s="264"/>
      <c r="AD34" s="264"/>
      <c r="AE34" s="264"/>
      <c r="AF34" s="264"/>
      <c r="AG34" s="264">
        <v>10000</v>
      </c>
    </row>
    <row r="35" spans="1:33" x14ac:dyDescent="0.25">
      <c r="C35" t="s">
        <v>1686</v>
      </c>
      <c r="D35" s="264"/>
      <c r="E35" s="264"/>
      <c r="F35" s="264"/>
      <c r="G35" s="264">
        <v>20000</v>
      </c>
      <c r="H35" s="264"/>
      <c r="I35" s="264">
        <v>20000</v>
      </c>
      <c r="J35" s="264"/>
      <c r="K35" s="264"/>
      <c r="L35" s="264"/>
      <c r="M35" s="264"/>
      <c r="N35" s="264"/>
      <c r="O35" s="264"/>
      <c r="P35" s="264">
        <v>40000</v>
      </c>
      <c r="T35" t="s">
        <v>1801</v>
      </c>
      <c r="U35" s="264"/>
      <c r="V35" s="264"/>
      <c r="W35" s="264"/>
      <c r="X35" s="264">
        <v>-117035</v>
      </c>
      <c r="Y35" s="264"/>
      <c r="Z35" s="264"/>
      <c r="AA35" s="264"/>
      <c r="AB35" s="264"/>
      <c r="AC35" s="264"/>
      <c r="AD35" s="264"/>
      <c r="AE35" s="264"/>
      <c r="AF35" s="264"/>
      <c r="AG35" s="264">
        <v>-117035</v>
      </c>
    </row>
    <row r="36" spans="1:33" x14ac:dyDescent="0.25">
      <c r="C36" t="s">
        <v>1737</v>
      </c>
      <c r="D36" s="264"/>
      <c r="E36" s="264"/>
      <c r="F36" s="264"/>
      <c r="G36" s="264"/>
      <c r="H36" s="264">
        <v>50000</v>
      </c>
      <c r="I36" s="264"/>
      <c r="J36" s="264"/>
      <c r="K36" s="264"/>
      <c r="L36" s="264"/>
      <c r="M36" s="264"/>
      <c r="N36" s="264"/>
      <c r="O36" s="264"/>
      <c r="P36" s="264">
        <v>50000</v>
      </c>
      <c r="T36" t="s">
        <v>1802</v>
      </c>
      <c r="U36" s="264"/>
      <c r="V36" s="264"/>
      <c r="W36" s="264"/>
      <c r="X36" s="264"/>
      <c r="Y36" s="264">
        <v>-72321</v>
      </c>
      <c r="Z36" s="264"/>
      <c r="AA36" s="264"/>
      <c r="AB36" s="264"/>
      <c r="AC36" s="264"/>
      <c r="AD36" s="264"/>
      <c r="AE36" s="264"/>
      <c r="AF36" s="264"/>
      <c r="AG36" s="264">
        <v>-72321</v>
      </c>
    </row>
    <row r="37" spans="1:33" x14ac:dyDescent="0.25">
      <c r="C37" t="s">
        <v>1717</v>
      </c>
      <c r="D37" s="264"/>
      <c r="E37" s="264"/>
      <c r="F37" s="264"/>
      <c r="G37" s="264"/>
      <c r="H37" s="264">
        <v>20000</v>
      </c>
      <c r="I37" s="264"/>
      <c r="J37" s="264"/>
      <c r="K37" s="264"/>
      <c r="L37" s="264"/>
      <c r="M37" s="264"/>
      <c r="N37" s="264"/>
      <c r="O37" s="264"/>
      <c r="P37" s="264">
        <v>20000</v>
      </c>
      <c r="T37" t="s">
        <v>1803</v>
      </c>
      <c r="U37" s="464"/>
      <c r="V37" s="464"/>
      <c r="W37" s="464"/>
      <c r="X37" s="464"/>
      <c r="Y37" s="464"/>
      <c r="Z37" s="464">
        <v>-66148</v>
      </c>
      <c r="AA37" s="464"/>
      <c r="AB37" s="464"/>
      <c r="AC37" s="464"/>
      <c r="AD37" s="464"/>
      <c r="AE37" s="464"/>
      <c r="AF37" s="464"/>
      <c r="AG37" s="264">
        <v>-66148</v>
      </c>
    </row>
    <row r="38" spans="1:33" x14ac:dyDescent="0.25">
      <c r="C38" t="s">
        <v>1855</v>
      </c>
      <c r="D38" s="264"/>
      <c r="E38" s="264"/>
      <c r="F38" s="264"/>
      <c r="G38" s="264"/>
      <c r="H38" s="264"/>
      <c r="I38" s="264"/>
      <c r="J38" s="264">
        <v>20000</v>
      </c>
      <c r="K38" s="264"/>
      <c r="L38" s="264"/>
      <c r="M38" s="264"/>
      <c r="N38" s="264"/>
      <c r="O38" s="264"/>
      <c r="P38" s="264">
        <v>20000</v>
      </c>
      <c r="T38" t="s">
        <v>1335</v>
      </c>
      <c r="U38" s="264"/>
      <c r="V38" s="264"/>
      <c r="W38" s="264"/>
      <c r="X38" s="264">
        <v>200000</v>
      </c>
      <c r="Y38" s="264"/>
      <c r="Z38" s="264"/>
      <c r="AA38" s="264"/>
      <c r="AB38" s="264"/>
      <c r="AC38" s="264"/>
      <c r="AD38" s="264"/>
      <c r="AE38" s="264"/>
      <c r="AF38" s="264"/>
      <c r="AG38" s="264">
        <v>200000</v>
      </c>
    </row>
    <row r="39" spans="1:33" x14ac:dyDescent="0.25">
      <c r="C39" t="s">
        <v>1773</v>
      </c>
      <c r="D39" s="264"/>
      <c r="E39" s="264"/>
      <c r="F39" s="264"/>
      <c r="G39" s="264"/>
      <c r="H39" s="264"/>
      <c r="I39" s="264">
        <v>20000</v>
      </c>
      <c r="J39" s="264"/>
      <c r="K39" s="264"/>
      <c r="L39" s="264"/>
      <c r="M39" s="264"/>
      <c r="N39" s="264"/>
      <c r="O39" s="264"/>
      <c r="P39" s="264">
        <v>20000</v>
      </c>
      <c r="T39" t="s">
        <v>1316</v>
      </c>
      <c r="U39" s="264"/>
      <c r="V39" s="264"/>
      <c r="W39" s="264"/>
      <c r="X39" s="264">
        <v>20000</v>
      </c>
      <c r="Y39" s="264"/>
      <c r="Z39" s="264"/>
      <c r="AA39" s="264"/>
      <c r="AB39" s="264"/>
      <c r="AC39" s="264"/>
      <c r="AD39" s="264"/>
      <c r="AE39" s="264"/>
      <c r="AF39" s="264"/>
      <c r="AG39" s="264">
        <v>20000</v>
      </c>
    </row>
    <row r="40" spans="1:33" x14ac:dyDescent="0.25">
      <c r="C40" t="s">
        <v>1232</v>
      </c>
      <c r="D40" s="264"/>
      <c r="E40" s="264"/>
      <c r="F40" s="264"/>
      <c r="G40" s="264"/>
      <c r="H40" s="264"/>
      <c r="I40" s="264"/>
      <c r="J40" s="264"/>
      <c r="K40" s="264"/>
      <c r="L40" s="264"/>
      <c r="M40" s="264"/>
      <c r="N40" s="264"/>
      <c r="O40" s="264">
        <v>-765000</v>
      </c>
      <c r="P40" s="264">
        <v>-765000</v>
      </c>
      <c r="T40" t="s">
        <v>1409</v>
      </c>
      <c r="U40" s="264"/>
      <c r="V40" s="264"/>
      <c r="W40" s="264"/>
      <c r="X40" s="264">
        <v>40000</v>
      </c>
      <c r="Y40" s="264">
        <v>40000</v>
      </c>
      <c r="Z40" s="264"/>
      <c r="AA40" s="264"/>
      <c r="AB40" s="264"/>
      <c r="AC40" s="264"/>
      <c r="AD40" s="264"/>
      <c r="AE40" s="264"/>
      <c r="AF40" s="264"/>
      <c r="AG40" s="264">
        <v>80000</v>
      </c>
    </row>
    <row r="41" spans="1:33" x14ac:dyDescent="0.25">
      <c r="B41" t="s">
        <v>2557</v>
      </c>
      <c r="D41" s="264">
        <v>595000</v>
      </c>
      <c r="E41" s="264"/>
      <c r="F41" s="264"/>
      <c r="G41" s="264">
        <v>20000</v>
      </c>
      <c r="H41" s="264">
        <v>70000</v>
      </c>
      <c r="I41" s="264">
        <v>60000</v>
      </c>
      <c r="J41" s="264">
        <v>20000</v>
      </c>
      <c r="K41" s="264"/>
      <c r="L41" s="264"/>
      <c r="M41" s="264"/>
      <c r="N41" s="264"/>
      <c r="O41" s="264">
        <v>-765000</v>
      </c>
      <c r="P41" s="264">
        <v>0</v>
      </c>
      <c r="T41" t="s">
        <v>733</v>
      </c>
      <c r="U41" s="264"/>
      <c r="V41" s="264"/>
      <c r="W41" s="264"/>
      <c r="X41" s="264">
        <v>50000</v>
      </c>
      <c r="Y41" s="264">
        <v>50000</v>
      </c>
      <c r="Z41" s="264"/>
      <c r="AA41" s="264"/>
      <c r="AB41" s="264">
        <v>50000</v>
      </c>
      <c r="AC41" s="264">
        <v>100000</v>
      </c>
      <c r="AD41" s="264"/>
      <c r="AE41" s="264">
        <v>50000</v>
      </c>
      <c r="AF41" s="264">
        <v>50000</v>
      </c>
      <c r="AG41" s="264">
        <v>350000</v>
      </c>
    </row>
    <row r="42" spans="1:33" x14ac:dyDescent="0.25">
      <c r="A42">
        <v>215</v>
      </c>
      <c r="B42" t="s">
        <v>377</v>
      </c>
      <c r="C42" t="s">
        <v>1561</v>
      </c>
      <c r="D42" s="264"/>
      <c r="E42" s="264"/>
      <c r="F42" s="264"/>
      <c r="G42" s="264"/>
      <c r="H42" s="264"/>
      <c r="I42" s="264">
        <v>-30000</v>
      </c>
      <c r="J42" s="264"/>
      <c r="K42" s="264"/>
      <c r="L42" s="264"/>
      <c r="M42" s="264"/>
      <c r="N42" s="264"/>
      <c r="O42" s="264"/>
      <c r="P42" s="264">
        <v>-30000</v>
      </c>
      <c r="T42" t="s">
        <v>1383</v>
      </c>
      <c r="U42" s="264"/>
      <c r="V42" s="264"/>
      <c r="W42" s="264"/>
      <c r="X42" s="264">
        <v>20000</v>
      </c>
      <c r="Y42" s="264"/>
      <c r="Z42" s="264"/>
      <c r="AA42" s="264"/>
      <c r="AB42" s="264"/>
      <c r="AC42" s="264"/>
      <c r="AD42" s="264"/>
      <c r="AE42" s="264"/>
      <c r="AF42" s="264"/>
      <c r="AG42" s="264">
        <v>20000</v>
      </c>
    </row>
    <row r="43" spans="1:33" x14ac:dyDescent="0.25">
      <c r="C43" t="s">
        <v>1641</v>
      </c>
      <c r="D43" s="264"/>
      <c r="E43" s="264"/>
      <c r="F43" s="264"/>
      <c r="G43" s="264"/>
      <c r="H43" s="264"/>
      <c r="I43" s="264"/>
      <c r="J43" s="264">
        <v>-30000</v>
      </c>
      <c r="K43" s="264">
        <v>-30000</v>
      </c>
      <c r="L43" s="264">
        <v>-30000</v>
      </c>
      <c r="M43" s="264">
        <v>-30000</v>
      </c>
      <c r="N43" s="264">
        <v>-30000</v>
      </c>
      <c r="O43" s="264">
        <v>-30000</v>
      </c>
      <c r="P43" s="264">
        <v>-180000</v>
      </c>
      <c r="T43" t="s">
        <v>1319</v>
      </c>
      <c r="U43" s="264"/>
      <c r="V43" s="264"/>
      <c r="W43" s="264"/>
      <c r="X43" s="264">
        <v>30000</v>
      </c>
      <c r="Y43" s="264"/>
      <c r="Z43" s="264"/>
      <c r="AA43" s="264">
        <v>30000</v>
      </c>
      <c r="AB43" s="264"/>
      <c r="AC43" s="264"/>
      <c r="AD43" s="264"/>
      <c r="AE43" s="264"/>
      <c r="AF43" s="264"/>
      <c r="AG43" s="264">
        <v>60000</v>
      </c>
    </row>
    <row r="44" spans="1:33" x14ac:dyDescent="0.25">
      <c r="C44" t="s">
        <v>1988</v>
      </c>
      <c r="D44" s="264"/>
      <c r="E44" s="264"/>
      <c r="F44" s="264"/>
      <c r="G44" s="264"/>
      <c r="H44" s="264"/>
      <c r="I44" s="264"/>
      <c r="J44" s="264"/>
      <c r="K44" s="264">
        <v>-1000000</v>
      </c>
      <c r="L44" s="264"/>
      <c r="M44" s="264"/>
      <c r="N44" s="264"/>
      <c r="O44" s="264"/>
      <c r="P44" s="264">
        <v>-1000000</v>
      </c>
      <c r="T44" t="s">
        <v>1352</v>
      </c>
      <c r="U44" s="264"/>
      <c r="V44" s="264"/>
      <c r="W44" s="264"/>
      <c r="X44" s="264">
        <v>20000</v>
      </c>
      <c r="Y44" s="264">
        <v>30000</v>
      </c>
      <c r="Z44" s="264"/>
      <c r="AA44" s="264"/>
      <c r="AB44" s="264"/>
      <c r="AC44" s="264"/>
      <c r="AD44" s="264"/>
      <c r="AE44" s="264"/>
      <c r="AF44" s="264"/>
      <c r="AG44" s="264">
        <v>50000</v>
      </c>
    </row>
    <row r="45" spans="1:33" x14ac:dyDescent="0.25">
      <c r="C45" t="s">
        <v>1647</v>
      </c>
      <c r="D45" s="264"/>
      <c r="E45" s="264"/>
      <c r="F45" s="264"/>
      <c r="G45" s="264"/>
      <c r="H45" s="264"/>
      <c r="I45" s="264"/>
      <c r="J45" s="264">
        <v>-30000</v>
      </c>
      <c r="K45" s="264"/>
      <c r="L45" s="264"/>
      <c r="M45" s="264"/>
      <c r="N45" s="264"/>
      <c r="O45" s="264"/>
      <c r="P45" s="264">
        <v>-30000</v>
      </c>
      <c r="T45" t="s">
        <v>1404</v>
      </c>
      <c r="U45" s="264"/>
      <c r="V45" s="264"/>
      <c r="W45" s="264"/>
      <c r="X45" s="264">
        <v>15000</v>
      </c>
      <c r="Y45" s="264"/>
      <c r="Z45" s="264"/>
      <c r="AA45" s="264"/>
      <c r="AB45" s="264"/>
      <c r="AC45" s="264"/>
      <c r="AD45" s="264"/>
      <c r="AE45" s="264"/>
      <c r="AF45" s="264"/>
      <c r="AG45" s="264">
        <v>15000</v>
      </c>
    </row>
    <row r="46" spans="1:33" x14ac:dyDescent="0.25">
      <c r="C46" t="s">
        <v>940</v>
      </c>
      <c r="D46" s="264"/>
      <c r="E46" s="264">
        <v>-15000</v>
      </c>
      <c r="F46" s="264"/>
      <c r="G46" s="264"/>
      <c r="H46" s="264"/>
      <c r="I46" s="264"/>
      <c r="J46" s="264"/>
      <c r="K46" s="264"/>
      <c r="L46" s="264"/>
      <c r="M46" s="264"/>
      <c r="N46" s="264"/>
      <c r="O46" s="264"/>
      <c r="P46" s="264">
        <v>-15000</v>
      </c>
      <c r="T46" t="s">
        <v>747</v>
      </c>
      <c r="U46" s="264"/>
      <c r="V46" s="264"/>
      <c r="W46" s="264"/>
      <c r="X46" s="264"/>
      <c r="Y46" s="264">
        <v>30000</v>
      </c>
      <c r="Z46" s="264"/>
      <c r="AA46" s="264">
        <v>30000</v>
      </c>
      <c r="AB46" s="264">
        <v>30000</v>
      </c>
      <c r="AC46" s="264"/>
      <c r="AD46" s="264">
        <v>30000</v>
      </c>
      <c r="AE46" s="264">
        <v>30000</v>
      </c>
      <c r="AF46" s="264"/>
      <c r="AG46" s="264">
        <v>150000</v>
      </c>
    </row>
    <row r="47" spans="1:33" x14ac:dyDescent="0.25">
      <c r="C47" t="s">
        <v>2438</v>
      </c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>
        <v>-3000000</v>
      </c>
      <c r="P47" s="264">
        <v>-3000000</v>
      </c>
      <c r="T47" t="s">
        <v>1440</v>
      </c>
      <c r="U47" s="264"/>
      <c r="V47" s="264"/>
      <c r="W47" s="264"/>
      <c r="X47" s="264"/>
      <c r="Y47" s="264">
        <v>20000</v>
      </c>
      <c r="Z47" s="264"/>
      <c r="AA47" s="264">
        <v>10000</v>
      </c>
      <c r="AB47" s="264"/>
      <c r="AC47" s="264"/>
      <c r="AD47" s="264"/>
      <c r="AE47" s="264"/>
      <c r="AF47" s="264">
        <v>15000</v>
      </c>
      <c r="AG47" s="264">
        <v>45000</v>
      </c>
    </row>
    <row r="48" spans="1:33" x14ac:dyDescent="0.25">
      <c r="C48" t="s">
        <v>778</v>
      </c>
      <c r="D48" s="264">
        <v>20000</v>
      </c>
      <c r="E48" s="264"/>
      <c r="F48" s="264"/>
      <c r="G48" s="264"/>
      <c r="H48" s="264"/>
      <c r="I48" s="264"/>
      <c r="J48" s="264"/>
      <c r="K48" s="264"/>
      <c r="L48" s="264"/>
      <c r="M48" s="264"/>
      <c r="N48" s="264"/>
      <c r="O48" s="264"/>
      <c r="P48" s="264">
        <v>20000</v>
      </c>
      <c r="T48" t="s">
        <v>1459</v>
      </c>
      <c r="U48" s="264"/>
      <c r="V48" s="264"/>
      <c r="W48" s="264"/>
      <c r="X48" s="264"/>
      <c r="Y48" s="264">
        <v>50000</v>
      </c>
      <c r="Z48" s="264"/>
      <c r="AA48" s="264"/>
      <c r="AB48" s="264">
        <v>50000</v>
      </c>
      <c r="AC48" s="264">
        <v>50000</v>
      </c>
      <c r="AD48" s="264">
        <v>95000</v>
      </c>
      <c r="AE48" s="264">
        <v>90000</v>
      </c>
      <c r="AF48" s="264"/>
      <c r="AG48" s="264">
        <v>335000</v>
      </c>
    </row>
    <row r="49" spans="3:33" x14ac:dyDescent="0.25">
      <c r="C49" t="s">
        <v>725</v>
      </c>
      <c r="D49" s="264">
        <v>-110822645</v>
      </c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  <c r="P49" s="264">
        <v>-110822645</v>
      </c>
      <c r="T49" t="s">
        <v>1501</v>
      </c>
      <c r="U49" s="264"/>
      <c r="V49" s="264"/>
      <c r="W49" s="264"/>
      <c r="X49" s="264"/>
      <c r="Y49" s="264">
        <v>200000</v>
      </c>
      <c r="Z49" s="264"/>
      <c r="AA49" s="264"/>
      <c r="AB49" s="264"/>
      <c r="AC49" s="264"/>
      <c r="AD49" s="264"/>
      <c r="AE49" s="264"/>
      <c r="AF49" s="264"/>
      <c r="AG49" s="264">
        <v>200000</v>
      </c>
    </row>
    <row r="50" spans="3:33" x14ac:dyDescent="0.25">
      <c r="C50" t="s">
        <v>1335</v>
      </c>
      <c r="D50" s="264"/>
      <c r="E50" s="264"/>
      <c r="F50" s="264"/>
      <c r="G50" s="264">
        <v>-200000</v>
      </c>
      <c r="H50" s="264"/>
      <c r="I50" s="264"/>
      <c r="J50" s="264"/>
      <c r="K50" s="264"/>
      <c r="L50" s="264"/>
      <c r="M50" s="264"/>
      <c r="N50" s="264"/>
      <c r="O50" s="264"/>
      <c r="P50" s="264">
        <v>-200000</v>
      </c>
      <c r="T50" t="s">
        <v>1544</v>
      </c>
      <c r="U50" s="264"/>
      <c r="V50" s="264"/>
      <c r="W50" s="264"/>
      <c r="X50" s="264"/>
      <c r="Y50" s="264">
        <v>250000</v>
      </c>
      <c r="Z50" s="264"/>
      <c r="AA50" s="264"/>
      <c r="AB50" s="264"/>
      <c r="AC50" s="264"/>
      <c r="AD50" s="264"/>
      <c r="AE50" s="264"/>
      <c r="AF50" s="264"/>
      <c r="AG50" s="264">
        <v>250000</v>
      </c>
    </row>
    <row r="51" spans="3:33" x14ac:dyDescent="0.25">
      <c r="C51" t="s">
        <v>883</v>
      </c>
      <c r="D51" s="264"/>
      <c r="E51" s="264">
        <v>-250000</v>
      </c>
      <c r="F51" s="264"/>
      <c r="G51" s="264"/>
      <c r="H51" s="264"/>
      <c r="I51" s="264"/>
      <c r="J51" s="264"/>
      <c r="K51" s="264"/>
      <c r="L51" s="264"/>
      <c r="M51" s="264"/>
      <c r="N51" s="264"/>
      <c r="O51" s="264"/>
      <c r="P51" s="264">
        <v>-250000</v>
      </c>
      <c r="T51" t="s">
        <v>1547</v>
      </c>
      <c r="U51" s="264"/>
      <c r="V51" s="264"/>
      <c r="W51" s="264"/>
      <c r="X51" s="264"/>
      <c r="Y51" s="264">
        <v>20000</v>
      </c>
      <c r="Z51" s="264"/>
      <c r="AA51" s="264"/>
      <c r="AB51" s="264"/>
      <c r="AC51" s="264"/>
      <c r="AD51" s="264"/>
      <c r="AE51" s="264"/>
      <c r="AF51" s="264"/>
      <c r="AG51" s="264">
        <v>20000</v>
      </c>
    </row>
    <row r="52" spans="3:33" x14ac:dyDescent="0.25">
      <c r="C52" t="s">
        <v>891</v>
      </c>
      <c r="D52" s="264"/>
      <c r="E52" s="264">
        <v>-100000</v>
      </c>
      <c r="F52" s="264"/>
      <c r="G52" s="264"/>
      <c r="H52" s="264"/>
      <c r="I52" s="264"/>
      <c r="J52" s="264"/>
      <c r="K52" s="264"/>
      <c r="L52" s="264"/>
      <c r="M52" s="264"/>
      <c r="N52" s="264"/>
      <c r="O52" s="264"/>
      <c r="P52" s="264">
        <v>-100000</v>
      </c>
      <c r="T52" t="s">
        <v>1553</v>
      </c>
      <c r="U52" s="464"/>
      <c r="V52" s="464"/>
      <c r="W52" s="464"/>
      <c r="X52" s="464"/>
      <c r="Y52" s="464"/>
      <c r="Z52" s="464">
        <v>30000</v>
      </c>
      <c r="AA52" s="464"/>
      <c r="AB52" s="464"/>
      <c r="AC52" s="464"/>
      <c r="AD52" s="464"/>
      <c r="AE52" s="464"/>
      <c r="AF52" s="464"/>
      <c r="AG52" s="264">
        <v>30000</v>
      </c>
    </row>
    <row r="53" spans="3:33" x14ac:dyDescent="0.25">
      <c r="C53" t="s">
        <v>2370</v>
      </c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>
        <v>32000</v>
      </c>
      <c r="P53" s="264">
        <v>32000</v>
      </c>
      <c r="T53" t="s">
        <v>1556</v>
      </c>
      <c r="U53" s="464"/>
      <c r="V53" s="464"/>
      <c r="W53" s="464"/>
      <c r="X53" s="464"/>
      <c r="Y53" s="464"/>
      <c r="Z53" s="464">
        <v>15000</v>
      </c>
      <c r="AA53" s="464"/>
      <c r="AB53" s="464"/>
      <c r="AC53" s="464"/>
      <c r="AD53" s="464"/>
      <c r="AE53" s="464"/>
      <c r="AF53" s="464"/>
      <c r="AG53" s="264">
        <v>15000</v>
      </c>
    </row>
    <row r="54" spans="3:33" x14ac:dyDescent="0.25">
      <c r="C54" t="s">
        <v>2271</v>
      </c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>
        <v>65967</v>
      </c>
      <c r="O54" s="264"/>
      <c r="P54" s="264">
        <v>65967</v>
      </c>
      <c r="T54" t="s">
        <v>1568</v>
      </c>
      <c r="U54" s="264"/>
      <c r="V54" s="264"/>
      <c r="W54" s="264"/>
      <c r="X54" s="264"/>
      <c r="Y54" s="264"/>
      <c r="Z54" s="264">
        <v>100000</v>
      </c>
      <c r="AA54" s="264"/>
      <c r="AB54" s="264"/>
      <c r="AC54" s="264"/>
      <c r="AD54" s="264"/>
      <c r="AE54" s="264"/>
      <c r="AF54" s="264"/>
      <c r="AG54" s="264">
        <v>100000</v>
      </c>
    </row>
    <row r="55" spans="3:33" x14ac:dyDescent="0.25">
      <c r="C55" t="s">
        <v>2218</v>
      </c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>
        <v>94229</v>
      </c>
      <c r="O55" s="264"/>
      <c r="P55" s="264">
        <v>94229</v>
      </c>
      <c r="T55" t="s">
        <v>1569</v>
      </c>
      <c r="U55" s="264"/>
      <c r="V55" s="264"/>
      <c r="W55" s="264"/>
      <c r="X55" s="264"/>
      <c r="Y55" s="264"/>
      <c r="Z55" s="264">
        <v>21000</v>
      </c>
      <c r="AA55" s="264"/>
      <c r="AB55" s="264"/>
      <c r="AC55" s="264"/>
      <c r="AD55" s="264"/>
      <c r="AE55" s="264"/>
      <c r="AF55" s="264"/>
      <c r="AG55" s="264">
        <v>21000</v>
      </c>
    </row>
    <row r="56" spans="3:33" x14ac:dyDescent="0.25">
      <c r="C56" t="s">
        <v>2334</v>
      </c>
      <c r="D56" s="264"/>
      <c r="E56" s="264"/>
      <c r="F56" s="264"/>
      <c r="G56" s="264"/>
      <c r="H56" s="264"/>
      <c r="I56" s="264"/>
      <c r="J56" s="264"/>
      <c r="K56" s="264"/>
      <c r="L56" s="264"/>
      <c r="M56" s="264"/>
      <c r="N56" s="264">
        <v>64000</v>
      </c>
      <c r="O56" s="264"/>
      <c r="P56" s="264">
        <v>64000</v>
      </c>
      <c r="T56" t="s">
        <v>1571</v>
      </c>
      <c r="U56" s="264"/>
      <c r="V56" s="264"/>
      <c r="W56" s="264"/>
      <c r="X56" s="264"/>
      <c r="Y56" s="264"/>
      <c r="Z56" s="264">
        <v>15000</v>
      </c>
      <c r="AA56" s="264"/>
      <c r="AB56" s="264"/>
      <c r="AC56" s="264"/>
      <c r="AD56" s="264"/>
      <c r="AE56" s="264"/>
      <c r="AF56" s="264"/>
      <c r="AG56" s="264">
        <v>15000</v>
      </c>
    </row>
    <row r="57" spans="3:33" x14ac:dyDescent="0.25">
      <c r="C57" t="s">
        <v>2339</v>
      </c>
      <c r="D57" s="264"/>
      <c r="E57" s="264"/>
      <c r="F57" s="264"/>
      <c r="G57" s="264"/>
      <c r="H57" s="264"/>
      <c r="I57" s="264"/>
      <c r="J57" s="264"/>
      <c r="K57" s="264"/>
      <c r="L57" s="264"/>
      <c r="M57" s="264"/>
      <c r="N57" s="264">
        <v>64000</v>
      </c>
      <c r="O57" s="264"/>
      <c r="P57" s="264">
        <v>64000</v>
      </c>
      <c r="T57" t="s">
        <v>1572</v>
      </c>
      <c r="U57" s="264"/>
      <c r="V57" s="264"/>
      <c r="W57" s="264"/>
      <c r="X57" s="264"/>
      <c r="Y57" s="264"/>
      <c r="Z57" s="264">
        <v>20000</v>
      </c>
      <c r="AA57" s="264"/>
      <c r="AB57" s="264"/>
      <c r="AC57" s="264"/>
      <c r="AD57" s="264"/>
      <c r="AE57" s="264"/>
      <c r="AF57" s="264"/>
      <c r="AG57" s="264">
        <v>20000</v>
      </c>
    </row>
    <row r="58" spans="3:33" x14ac:dyDescent="0.25">
      <c r="C58" t="s">
        <v>1553</v>
      </c>
      <c r="D58" s="264"/>
      <c r="E58" s="264"/>
      <c r="F58" s="264"/>
      <c r="G58" s="264"/>
      <c r="H58" s="264"/>
      <c r="I58" s="264">
        <v>-30000</v>
      </c>
      <c r="J58" s="264"/>
      <c r="K58" s="264"/>
      <c r="L58" s="264"/>
      <c r="M58" s="264"/>
      <c r="N58" s="264"/>
      <c r="O58" s="264"/>
      <c r="P58" s="264">
        <v>-30000</v>
      </c>
      <c r="T58" t="s">
        <v>1581</v>
      </c>
      <c r="U58" s="264"/>
      <c r="V58" s="264"/>
      <c r="W58" s="264"/>
      <c r="X58" s="264"/>
      <c r="Y58" s="264"/>
      <c r="Z58" s="264">
        <v>100000</v>
      </c>
      <c r="AA58" s="264">
        <v>100000</v>
      </c>
      <c r="AB58" s="264"/>
      <c r="AC58" s="264"/>
      <c r="AD58" s="264"/>
      <c r="AE58" s="264"/>
      <c r="AF58" s="264"/>
      <c r="AG58" s="264">
        <v>200000</v>
      </c>
    </row>
    <row r="59" spans="3:33" x14ac:dyDescent="0.25">
      <c r="C59" t="s">
        <v>747</v>
      </c>
      <c r="D59" s="264">
        <v>-25000</v>
      </c>
      <c r="E59" s="264"/>
      <c r="F59" s="264"/>
      <c r="G59" s="264"/>
      <c r="H59" s="264">
        <v>-30000</v>
      </c>
      <c r="I59" s="264"/>
      <c r="J59" s="264">
        <v>-30000</v>
      </c>
      <c r="K59" s="264">
        <v>-30000</v>
      </c>
      <c r="L59" s="264"/>
      <c r="M59" s="264">
        <v>-30000</v>
      </c>
      <c r="N59" s="264">
        <v>-30000</v>
      </c>
      <c r="O59" s="264"/>
      <c r="P59" s="264">
        <v>-175000</v>
      </c>
      <c r="T59" t="s">
        <v>1595</v>
      </c>
      <c r="U59" s="264"/>
      <c r="V59" s="264"/>
      <c r="W59" s="264"/>
      <c r="X59" s="264"/>
      <c r="Y59" s="264"/>
      <c r="Z59" s="264">
        <v>100000</v>
      </c>
      <c r="AA59" s="264"/>
      <c r="AB59" s="264"/>
      <c r="AC59" s="264"/>
      <c r="AD59" s="264"/>
      <c r="AE59" s="264"/>
      <c r="AF59" s="264"/>
      <c r="AG59" s="264">
        <v>100000</v>
      </c>
    </row>
    <row r="60" spans="3:33" x14ac:dyDescent="0.25">
      <c r="C60" t="s">
        <v>2244</v>
      </c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>
        <v>-29040</v>
      </c>
      <c r="O60" s="264"/>
      <c r="P60" s="264">
        <v>-29040</v>
      </c>
      <c r="T60" t="s">
        <v>1616</v>
      </c>
      <c r="U60" s="264"/>
      <c r="V60" s="264"/>
      <c r="W60" s="264"/>
      <c r="X60" s="264"/>
      <c r="Y60" s="264"/>
      <c r="Z60" s="264">
        <v>10000</v>
      </c>
      <c r="AA60" s="264"/>
      <c r="AB60" s="264"/>
      <c r="AC60" s="264"/>
      <c r="AD60" s="264"/>
      <c r="AE60" s="264"/>
      <c r="AF60" s="264"/>
      <c r="AG60" s="264">
        <v>10000</v>
      </c>
    </row>
    <row r="61" spans="3:33" x14ac:dyDescent="0.25">
      <c r="C61" t="s">
        <v>982</v>
      </c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>
        <v>15000</v>
      </c>
      <c r="O61" s="264">
        <v>12000</v>
      </c>
      <c r="P61" s="264">
        <v>27000</v>
      </c>
      <c r="T61" t="s">
        <v>1631</v>
      </c>
      <c r="U61" s="264"/>
      <c r="V61" s="264"/>
      <c r="W61" s="264"/>
      <c r="X61" s="264"/>
      <c r="Y61" s="264"/>
      <c r="Z61" s="264">
        <v>40000</v>
      </c>
      <c r="AA61" s="264">
        <v>40000</v>
      </c>
      <c r="AB61" s="264">
        <v>90000</v>
      </c>
      <c r="AC61" s="264">
        <v>40000</v>
      </c>
      <c r="AD61" s="264"/>
      <c r="AE61" s="264">
        <v>80000</v>
      </c>
      <c r="AF61" s="264">
        <v>40000</v>
      </c>
      <c r="AG61" s="264">
        <v>330000</v>
      </c>
    </row>
    <row r="62" spans="3:33" x14ac:dyDescent="0.25">
      <c r="C62" t="s">
        <v>986</v>
      </c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>
        <v>85000</v>
      </c>
      <c r="O62" s="264"/>
      <c r="P62" s="264">
        <v>85000</v>
      </c>
      <c r="T62" t="s">
        <v>1632</v>
      </c>
      <c r="U62" s="264"/>
      <c r="V62" s="264"/>
      <c r="W62" s="264"/>
      <c r="X62" s="264"/>
      <c r="Y62" s="264"/>
      <c r="Z62" s="264">
        <v>30000</v>
      </c>
      <c r="AA62" s="264"/>
      <c r="AB62" s="264"/>
      <c r="AC62" s="264"/>
      <c r="AD62" s="264"/>
      <c r="AE62" s="264"/>
      <c r="AF62" s="264"/>
      <c r="AG62" s="264">
        <v>30000</v>
      </c>
    </row>
    <row r="63" spans="3:33" x14ac:dyDescent="0.25">
      <c r="C63" t="s">
        <v>1313</v>
      </c>
      <c r="D63" s="264"/>
      <c r="E63" s="264"/>
      <c r="F63" s="264"/>
      <c r="G63" s="264">
        <v>-15000</v>
      </c>
      <c r="H63" s="264"/>
      <c r="I63" s="264"/>
      <c r="J63" s="264"/>
      <c r="K63" s="264"/>
      <c r="L63" s="264"/>
      <c r="M63" s="264"/>
      <c r="N63" s="264"/>
      <c r="O63" s="264"/>
      <c r="P63" s="264">
        <v>-15000</v>
      </c>
      <c r="T63" t="s">
        <v>1641</v>
      </c>
      <c r="U63" s="264"/>
      <c r="V63" s="264"/>
      <c r="W63" s="264"/>
      <c r="X63" s="264"/>
      <c r="Y63" s="264"/>
      <c r="Z63" s="264">
        <v>30000</v>
      </c>
      <c r="AA63" s="264">
        <v>30000</v>
      </c>
      <c r="AB63" s="264">
        <v>30000</v>
      </c>
      <c r="AC63" s="264">
        <v>30000</v>
      </c>
      <c r="AD63" s="264">
        <v>30000</v>
      </c>
      <c r="AE63" s="264">
        <v>30000</v>
      </c>
      <c r="AF63" s="264">
        <v>30000</v>
      </c>
      <c r="AG63" s="264">
        <v>210000</v>
      </c>
    </row>
    <row r="64" spans="3:33" x14ac:dyDescent="0.25">
      <c r="C64" t="s">
        <v>1861</v>
      </c>
      <c r="D64" s="264"/>
      <c r="E64" s="264"/>
      <c r="F64" s="264"/>
      <c r="G64" s="264"/>
      <c r="H64" s="264"/>
      <c r="I64" s="264"/>
      <c r="J64" s="264"/>
      <c r="K64" s="264"/>
      <c r="L64" s="264"/>
      <c r="M64" s="264"/>
      <c r="N64" s="264">
        <v>5000</v>
      </c>
      <c r="O64" s="264">
        <v>5000</v>
      </c>
      <c r="P64" s="264">
        <v>10000</v>
      </c>
      <c r="T64" t="s">
        <v>1647</v>
      </c>
      <c r="U64" s="264"/>
      <c r="V64" s="264"/>
      <c r="W64" s="264"/>
      <c r="X64" s="264"/>
      <c r="Y64" s="264"/>
      <c r="Z64" s="264"/>
      <c r="AA64" s="264">
        <v>30000</v>
      </c>
      <c r="AB64" s="264"/>
      <c r="AC64" s="264"/>
      <c r="AD64" s="264"/>
      <c r="AE64" s="264"/>
      <c r="AF64" s="264"/>
      <c r="AG64" s="264">
        <v>30000</v>
      </c>
    </row>
    <row r="65" spans="3:33" x14ac:dyDescent="0.25">
      <c r="C65" t="s">
        <v>1010</v>
      </c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>
        <v>6000</v>
      </c>
      <c r="O65" s="264">
        <v>6000</v>
      </c>
      <c r="P65" s="264">
        <v>12000</v>
      </c>
      <c r="T65" t="s">
        <v>1843</v>
      </c>
      <c r="U65" s="264"/>
      <c r="V65" s="264"/>
      <c r="W65" s="264"/>
      <c r="X65" s="264"/>
      <c r="Y65" s="264"/>
      <c r="Z65" s="264"/>
      <c r="AA65" s="264">
        <v>1000000</v>
      </c>
      <c r="AB65" s="264"/>
      <c r="AC65" s="264"/>
      <c r="AD65" s="264"/>
      <c r="AE65" s="264"/>
      <c r="AF65" s="264"/>
      <c r="AG65" s="264">
        <v>1000000</v>
      </c>
    </row>
    <row r="66" spans="3:33" x14ac:dyDescent="0.25">
      <c r="C66" t="s">
        <v>1110</v>
      </c>
      <c r="D66" s="264"/>
      <c r="E66" s="264"/>
      <c r="F66" s="264">
        <v>-20000</v>
      </c>
      <c r="G66" s="264"/>
      <c r="H66" s="264"/>
      <c r="I66" s="264"/>
      <c r="J66" s="264"/>
      <c r="K66" s="264"/>
      <c r="L66" s="264"/>
      <c r="M66" s="264"/>
      <c r="N66" s="264"/>
      <c r="O66" s="264"/>
      <c r="P66" s="264">
        <v>-20000</v>
      </c>
      <c r="T66" t="s">
        <v>1650</v>
      </c>
      <c r="U66" s="264"/>
      <c r="V66" s="264"/>
      <c r="W66" s="264"/>
      <c r="X66" s="264"/>
      <c r="Y66" s="264"/>
      <c r="Z66" s="264"/>
      <c r="AA66" s="264">
        <v>-6596</v>
      </c>
      <c r="AB66" s="264"/>
      <c r="AC66" s="264"/>
      <c r="AD66" s="264"/>
      <c r="AE66" s="264"/>
      <c r="AF66" s="264"/>
      <c r="AG66" s="264">
        <v>-6596</v>
      </c>
    </row>
    <row r="67" spans="3:33" x14ac:dyDescent="0.25">
      <c r="C67" t="s">
        <v>952</v>
      </c>
      <c r="D67" s="264"/>
      <c r="E67" s="264">
        <v>-2000000</v>
      </c>
      <c r="F67" s="264"/>
      <c r="G67" s="264"/>
      <c r="H67" s="264"/>
      <c r="I67" s="264"/>
      <c r="J67" s="264"/>
      <c r="K67" s="264"/>
      <c r="L67" s="264"/>
      <c r="M67" s="264"/>
      <c r="N67" s="264"/>
      <c r="O67" s="264"/>
      <c r="P67" s="264">
        <v>-2000000</v>
      </c>
      <c r="T67" t="s">
        <v>1648</v>
      </c>
      <c r="U67" s="264"/>
      <c r="V67" s="264"/>
      <c r="W67" s="264"/>
      <c r="X67" s="264"/>
      <c r="Y67" s="264"/>
      <c r="Z67" s="264"/>
      <c r="AA67" s="264">
        <v>21000</v>
      </c>
      <c r="AB67" s="264"/>
      <c r="AC67" s="264"/>
      <c r="AD67" s="264"/>
      <c r="AE67" s="264"/>
      <c r="AF67" s="264"/>
      <c r="AG67" s="264">
        <v>21000</v>
      </c>
    </row>
    <row r="68" spans="3:33" x14ac:dyDescent="0.25">
      <c r="C68" t="s">
        <v>2439</v>
      </c>
      <c r="D68" s="264"/>
      <c r="E68" s="264"/>
      <c r="F68" s="264"/>
      <c r="G68" s="264"/>
      <c r="H68" s="264"/>
      <c r="I68" s="264"/>
      <c r="J68" s="264"/>
      <c r="K68" s="264"/>
      <c r="L68" s="264"/>
      <c r="M68" s="264"/>
      <c r="N68" s="264"/>
      <c r="O68" s="264">
        <v>-7860</v>
      </c>
      <c r="P68" s="264">
        <v>-7860</v>
      </c>
      <c r="T68" t="s">
        <v>1646</v>
      </c>
      <c r="U68" s="264"/>
      <c r="V68" s="264"/>
      <c r="W68" s="264"/>
      <c r="X68" s="264"/>
      <c r="Y68" s="264"/>
      <c r="Z68" s="264"/>
      <c r="AA68" s="264">
        <v>50000</v>
      </c>
      <c r="AB68" s="264"/>
      <c r="AC68" s="264"/>
      <c r="AD68" s="264"/>
      <c r="AE68" s="264"/>
      <c r="AF68" s="264"/>
      <c r="AG68" s="264">
        <v>50000</v>
      </c>
    </row>
    <row r="69" spans="3:33" x14ac:dyDescent="0.25">
      <c r="C69" t="s">
        <v>1940</v>
      </c>
      <c r="D69" s="264"/>
      <c r="E69" s="264"/>
      <c r="F69" s="264"/>
      <c r="G69" s="264"/>
      <c r="H69" s="264"/>
      <c r="I69" s="264"/>
      <c r="J69" s="264"/>
      <c r="K69" s="264">
        <v>-500000</v>
      </c>
      <c r="L69" s="264"/>
      <c r="M69" s="264"/>
      <c r="N69" s="264"/>
      <c r="O69" s="264"/>
      <c r="P69" s="264">
        <v>-500000</v>
      </c>
      <c r="T69" t="s">
        <v>1644</v>
      </c>
      <c r="U69" s="264"/>
      <c r="V69" s="264"/>
      <c r="W69" s="264"/>
      <c r="X69" s="264"/>
      <c r="Y69" s="264"/>
      <c r="Z69" s="264"/>
      <c r="AA69" s="264">
        <v>15000</v>
      </c>
      <c r="AB69" s="264"/>
      <c r="AC69" s="264"/>
      <c r="AD69" s="264"/>
      <c r="AE69" s="264"/>
      <c r="AF69" s="264"/>
      <c r="AG69" s="264">
        <v>15000</v>
      </c>
    </row>
    <row r="70" spans="3:33" x14ac:dyDescent="0.25">
      <c r="C70" t="s">
        <v>1316</v>
      </c>
      <c r="D70" s="264"/>
      <c r="E70" s="264"/>
      <c r="F70" s="264"/>
      <c r="G70" s="264">
        <v>-20000</v>
      </c>
      <c r="H70" s="264"/>
      <c r="I70" s="264"/>
      <c r="J70" s="264"/>
      <c r="K70" s="264"/>
      <c r="L70" s="264"/>
      <c r="M70" s="264"/>
      <c r="N70" s="264"/>
      <c r="O70" s="264"/>
      <c r="P70" s="264">
        <v>-20000</v>
      </c>
      <c r="T70" t="s">
        <v>1996</v>
      </c>
      <c r="U70" s="264"/>
      <c r="V70" s="264"/>
      <c r="W70" s="264"/>
      <c r="X70" s="264"/>
      <c r="Y70" s="264"/>
      <c r="Z70" s="264"/>
      <c r="AA70" s="264"/>
      <c r="AB70" s="264"/>
      <c r="AC70" s="264">
        <v>10000</v>
      </c>
      <c r="AD70" s="264"/>
      <c r="AE70" s="264"/>
      <c r="AF70" s="264"/>
      <c r="AG70" s="264">
        <v>10000</v>
      </c>
    </row>
    <row r="71" spans="3:33" x14ac:dyDescent="0.25">
      <c r="C71" t="s">
        <v>1236</v>
      </c>
      <c r="D71" s="264"/>
      <c r="E71" s="264"/>
      <c r="F71" s="264">
        <v>-60000</v>
      </c>
      <c r="G71" s="264"/>
      <c r="H71" s="264">
        <v>-20000</v>
      </c>
      <c r="I71" s="264"/>
      <c r="J71" s="264">
        <v>-20000</v>
      </c>
      <c r="K71" s="264">
        <v>-20000</v>
      </c>
      <c r="L71" s="264">
        <v>-20000</v>
      </c>
      <c r="M71" s="264">
        <v>-20000</v>
      </c>
      <c r="N71" s="264">
        <v>-20000</v>
      </c>
      <c r="O71" s="264">
        <v>-20000</v>
      </c>
      <c r="P71" s="264">
        <v>-200000</v>
      </c>
      <c r="T71" t="s">
        <v>1988</v>
      </c>
      <c r="U71" s="264"/>
      <c r="V71" s="264"/>
      <c r="W71" s="264"/>
      <c r="X71" s="264"/>
      <c r="Y71" s="264"/>
      <c r="Z71" s="264"/>
      <c r="AA71" s="264"/>
      <c r="AB71" s="264">
        <v>1000000</v>
      </c>
      <c r="AC71" s="264"/>
      <c r="AD71" s="264"/>
      <c r="AE71" s="264"/>
      <c r="AF71" s="264"/>
      <c r="AG71" s="264">
        <v>1000000</v>
      </c>
    </row>
    <row r="72" spans="3:33" x14ac:dyDescent="0.25">
      <c r="C72" t="s">
        <v>1572</v>
      </c>
      <c r="D72" s="264"/>
      <c r="E72" s="264"/>
      <c r="F72" s="264"/>
      <c r="G72" s="264"/>
      <c r="H72" s="264"/>
      <c r="I72" s="264">
        <v>-20000</v>
      </c>
      <c r="J72" s="264"/>
      <c r="K72" s="264"/>
      <c r="L72" s="264"/>
      <c r="M72" s="264"/>
      <c r="N72" s="264"/>
      <c r="O72" s="264"/>
      <c r="P72" s="264">
        <v>-20000</v>
      </c>
      <c r="T72" t="s">
        <v>1940</v>
      </c>
      <c r="U72" s="264"/>
      <c r="V72" s="264"/>
      <c r="W72" s="264"/>
      <c r="X72" s="264"/>
      <c r="Y72" s="264"/>
      <c r="Z72" s="264"/>
      <c r="AA72" s="264"/>
      <c r="AB72" s="264">
        <v>500000</v>
      </c>
      <c r="AC72" s="264"/>
      <c r="AD72" s="264"/>
      <c r="AE72" s="264"/>
      <c r="AF72" s="264"/>
      <c r="AG72" s="264">
        <v>500000</v>
      </c>
    </row>
    <row r="73" spans="3:33" x14ac:dyDescent="0.25">
      <c r="C73" s="312" t="s">
        <v>1631</v>
      </c>
      <c r="D73" s="476"/>
      <c r="E73" s="476"/>
      <c r="F73" s="476"/>
      <c r="G73" s="476"/>
      <c r="H73" s="476"/>
      <c r="I73" s="476">
        <v>-40000</v>
      </c>
      <c r="J73" s="476">
        <v>-40000</v>
      </c>
      <c r="K73" s="476">
        <v>-90000</v>
      </c>
      <c r="L73" s="476">
        <v>-40000</v>
      </c>
      <c r="M73" s="476"/>
      <c r="N73" s="476">
        <v>-80000</v>
      </c>
      <c r="O73" s="476">
        <v>-40000</v>
      </c>
      <c r="P73" s="476">
        <v>-330000</v>
      </c>
      <c r="T73" t="s">
        <v>1930</v>
      </c>
      <c r="U73" s="264"/>
      <c r="V73" s="264"/>
      <c r="W73" s="264"/>
      <c r="X73" s="264"/>
      <c r="Y73" s="264"/>
      <c r="Z73" s="264"/>
      <c r="AA73" s="264"/>
      <c r="AB73" s="264">
        <v>-46890</v>
      </c>
      <c r="AC73" s="264">
        <v>-48353</v>
      </c>
      <c r="AD73" s="264"/>
      <c r="AE73" s="264"/>
      <c r="AF73" s="264"/>
      <c r="AG73" s="264">
        <v>-95243</v>
      </c>
    </row>
    <row r="74" spans="3:33" x14ac:dyDescent="0.25">
      <c r="C74" t="s">
        <v>1409</v>
      </c>
      <c r="D74" s="264"/>
      <c r="E74" s="264"/>
      <c r="F74" s="264"/>
      <c r="G74" s="264">
        <v>-40000</v>
      </c>
      <c r="H74" s="264">
        <v>-40000</v>
      </c>
      <c r="I74" s="264"/>
      <c r="J74" s="264"/>
      <c r="K74" s="264"/>
      <c r="L74" s="264"/>
      <c r="M74" s="264"/>
      <c r="N74" s="264"/>
      <c r="O74" s="264"/>
      <c r="P74" s="264">
        <v>-80000</v>
      </c>
      <c r="T74" t="s">
        <v>1906</v>
      </c>
      <c r="U74" s="264"/>
      <c r="V74" s="264"/>
      <c r="W74" s="264"/>
      <c r="X74" s="264"/>
      <c r="Y74" s="264"/>
      <c r="Z74" s="264"/>
      <c r="AA74" s="264"/>
      <c r="AB74" s="264">
        <v>70000</v>
      </c>
      <c r="AC74" s="264"/>
      <c r="AD74" s="264"/>
      <c r="AE74" s="264"/>
      <c r="AF74" s="264"/>
      <c r="AG74" s="264">
        <v>70000</v>
      </c>
    </row>
    <row r="75" spans="3:33" x14ac:dyDescent="0.25">
      <c r="C75" t="s">
        <v>749</v>
      </c>
      <c r="D75" s="264">
        <v>-600000</v>
      </c>
      <c r="E75" s="264"/>
      <c r="F75" s="264"/>
      <c r="G75" s="264"/>
      <c r="H75" s="264"/>
      <c r="I75" s="264"/>
      <c r="J75" s="264"/>
      <c r="K75" s="264"/>
      <c r="L75" s="264"/>
      <c r="M75" s="264"/>
      <c r="N75" s="264"/>
      <c r="O75" s="264"/>
      <c r="P75" s="264">
        <v>-600000</v>
      </c>
      <c r="T75" t="s">
        <v>1938</v>
      </c>
      <c r="U75" s="264"/>
      <c r="V75" s="264"/>
      <c r="W75" s="264"/>
      <c r="X75" s="264"/>
      <c r="Y75" s="264"/>
      <c r="Z75" s="264"/>
      <c r="AA75" s="264"/>
      <c r="AB75" s="264">
        <v>21000</v>
      </c>
      <c r="AC75" s="264">
        <v>21000</v>
      </c>
      <c r="AD75" s="264">
        <v>21000</v>
      </c>
      <c r="AE75" s="264">
        <v>21000</v>
      </c>
      <c r="AF75" s="264">
        <v>21000</v>
      </c>
      <c r="AG75" s="264">
        <v>105000</v>
      </c>
    </row>
    <row r="76" spans="3:33" x14ac:dyDescent="0.25">
      <c r="C76" t="s">
        <v>1843</v>
      </c>
      <c r="D76" s="264"/>
      <c r="E76" s="264"/>
      <c r="F76" s="264"/>
      <c r="G76" s="264"/>
      <c r="H76" s="264"/>
      <c r="I76" s="264"/>
      <c r="J76" s="264">
        <v>-1000000</v>
      </c>
      <c r="K76" s="264"/>
      <c r="L76" s="264"/>
      <c r="M76" s="264"/>
      <c r="N76" s="264"/>
      <c r="O76" s="264"/>
      <c r="P76" s="264">
        <v>-1000000</v>
      </c>
      <c r="T76" t="s">
        <v>1902</v>
      </c>
      <c r="U76" s="264"/>
      <c r="V76" s="264"/>
      <c r="W76" s="264"/>
      <c r="X76" s="264"/>
      <c r="Y76" s="264"/>
      <c r="Z76" s="264"/>
      <c r="AA76" s="264"/>
      <c r="AB76" s="264">
        <v>70000</v>
      </c>
      <c r="AC76" s="264">
        <v>35000</v>
      </c>
      <c r="AD76" s="264"/>
      <c r="AE76" s="264">
        <v>35000</v>
      </c>
      <c r="AF76" s="264"/>
      <c r="AG76" s="264">
        <v>140000</v>
      </c>
    </row>
    <row r="77" spans="3:33" x14ac:dyDescent="0.25">
      <c r="C77" t="s">
        <v>2200</v>
      </c>
      <c r="D77" s="264"/>
      <c r="E77" s="264"/>
      <c r="F77" s="264"/>
      <c r="G77" s="264"/>
      <c r="H77" s="264"/>
      <c r="I77" s="264"/>
      <c r="J77" s="264"/>
      <c r="K77" s="264"/>
      <c r="L77" s="264"/>
      <c r="M77" s="264"/>
      <c r="N77" s="264">
        <v>-20000</v>
      </c>
      <c r="O77" s="264"/>
      <c r="P77" s="264">
        <v>-20000</v>
      </c>
      <c r="T77" t="s">
        <v>1923</v>
      </c>
      <c r="U77" s="264"/>
      <c r="V77" s="264"/>
      <c r="W77" s="264"/>
      <c r="X77" s="264"/>
      <c r="Y77" s="264"/>
      <c r="Z77" s="264"/>
      <c r="AA77" s="264"/>
      <c r="AB77" s="264">
        <v>35000</v>
      </c>
      <c r="AC77" s="264"/>
      <c r="AD77" s="264"/>
      <c r="AE77" s="264"/>
      <c r="AF77" s="264"/>
      <c r="AG77" s="264">
        <v>35000</v>
      </c>
    </row>
    <row r="78" spans="3:33" x14ac:dyDescent="0.25">
      <c r="C78" t="s">
        <v>1568</v>
      </c>
      <c r="D78" s="264"/>
      <c r="E78" s="264"/>
      <c r="F78" s="264"/>
      <c r="G78" s="264"/>
      <c r="H78" s="264"/>
      <c r="I78" s="264">
        <v>-100000</v>
      </c>
      <c r="J78" s="264"/>
      <c r="K78" s="264"/>
      <c r="L78" s="264"/>
      <c r="M78" s="264"/>
      <c r="N78" s="264"/>
      <c r="O78" s="264"/>
      <c r="P78" s="264">
        <v>-100000</v>
      </c>
      <c r="T78" t="s">
        <v>2042</v>
      </c>
      <c r="U78" s="264"/>
      <c r="V78" s="264"/>
      <c r="W78" s="264"/>
      <c r="X78" s="264"/>
      <c r="Y78" s="264"/>
      <c r="Z78" s="264"/>
      <c r="AA78" s="264"/>
      <c r="AB78" s="264"/>
      <c r="AC78" s="264">
        <v>13000</v>
      </c>
      <c r="AD78" s="264"/>
      <c r="AE78" s="264"/>
      <c r="AF78" s="264"/>
      <c r="AG78" s="264">
        <v>13000</v>
      </c>
    </row>
    <row r="79" spans="3:33" x14ac:dyDescent="0.25">
      <c r="C79" s="312" t="s">
        <v>733</v>
      </c>
      <c r="D79" s="476">
        <v>-50000</v>
      </c>
      <c r="E79" s="476"/>
      <c r="F79" s="476"/>
      <c r="G79" s="476">
        <v>-50000</v>
      </c>
      <c r="H79" s="476">
        <v>-50000</v>
      </c>
      <c r="I79" s="476"/>
      <c r="J79" s="476"/>
      <c r="K79" s="476">
        <v>-50000</v>
      </c>
      <c r="L79" s="476">
        <v>-100000</v>
      </c>
      <c r="M79" s="476"/>
      <c r="N79" s="476">
        <v>-50000</v>
      </c>
      <c r="O79" s="476">
        <v>-50000</v>
      </c>
      <c r="P79" s="476">
        <v>-400000</v>
      </c>
      <c r="T79" t="s">
        <v>2041</v>
      </c>
      <c r="U79" s="264"/>
      <c r="V79" s="264"/>
      <c r="W79" s="264"/>
      <c r="X79" s="264"/>
      <c r="Y79" s="264"/>
      <c r="Z79" s="264"/>
      <c r="AA79" s="264"/>
      <c r="AB79" s="264"/>
      <c r="AC79" s="264">
        <v>13000</v>
      </c>
      <c r="AD79" s="264"/>
      <c r="AE79" s="264"/>
      <c r="AF79" s="264"/>
      <c r="AG79" s="264">
        <v>13000</v>
      </c>
    </row>
    <row r="80" spans="3:33" x14ac:dyDescent="0.25">
      <c r="C80" t="s">
        <v>764</v>
      </c>
      <c r="D80" s="264">
        <v>-50000</v>
      </c>
      <c r="E80" s="264"/>
      <c r="F80" s="264"/>
      <c r="G80" s="264"/>
      <c r="H80" s="264"/>
      <c r="I80" s="264"/>
      <c r="J80" s="264"/>
      <c r="K80" s="264"/>
      <c r="L80" s="264"/>
      <c r="M80" s="264"/>
      <c r="N80" s="264"/>
      <c r="O80" s="264"/>
      <c r="P80" s="264">
        <v>-50000</v>
      </c>
      <c r="T80" t="s">
        <v>2043</v>
      </c>
      <c r="U80" s="264"/>
      <c r="V80" s="264"/>
      <c r="W80" s="264"/>
      <c r="X80" s="264"/>
      <c r="Y80" s="264"/>
      <c r="Z80" s="264"/>
      <c r="AA80" s="264"/>
      <c r="AB80" s="264"/>
      <c r="AC80" s="264">
        <v>13000</v>
      </c>
      <c r="AD80" s="264"/>
      <c r="AE80" s="264"/>
      <c r="AF80" s="264"/>
      <c r="AG80" s="264">
        <v>13000</v>
      </c>
    </row>
    <row r="81" spans="3:33" x14ac:dyDescent="0.25">
      <c r="C81" t="s">
        <v>1581</v>
      </c>
      <c r="D81" s="264"/>
      <c r="E81" s="264"/>
      <c r="F81" s="264"/>
      <c r="G81" s="264"/>
      <c r="H81" s="264"/>
      <c r="I81" s="264">
        <v>-100000</v>
      </c>
      <c r="J81" s="264">
        <v>-100000</v>
      </c>
      <c r="K81" s="264"/>
      <c r="L81" s="264"/>
      <c r="M81" s="264"/>
      <c r="N81" s="264"/>
      <c r="O81" s="264"/>
      <c r="P81" s="264">
        <v>-200000</v>
      </c>
      <c r="T81" t="s">
        <v>2060</v>
      </c>
      <c r="U81" s="264"/>
      <c r="V81" s="264"/>
      <c r="W81" s="264"/>
      <c r="X81" s="264"/>
      <c r="Y81" s="264"/>
      <c r="Z81" s="264"/>
      <c r="AA81" s="264"/>
      <c r="AB81" s="264"/>
      <c r="AC81" s="264">
        <v>20000</v>
      </c>
      <c r="AD81" s="264"/>
      <c r="AE81" s="264"/>
      <c r="AF81" s="264"/>
      <c r="AG81" s="264">
        <v>20000</v>
      </c>
    </row>
    <row r="82" spans="3:33" x14ac:dyDescent="0.25">
      <c r="C82" t="s">
        <v>743</v>
      </c>
      <c r="D82" s="264">
        <v>-100000</v>
      </c>
      <c r="E82" s="264">
        <v>-200000</v>
      </c>
      <c r="F82" s="264">
        <v>-100000</v>
      </c>
      <c r="G82" s="264">
        <v>-100000</v>
      </c>
      <c r="H82" s="264">
        <v>-100000</v>
      </c>
      <c r="I82" s="264"/>
      <c r="J82" s="264"/>
      <c r="K82" s="264">
        <v>-100000</v>
      </c>
      <c r="L82" s="264"/>
      <c r="M82" s="264">
        <v>-50000</v>
      </c>
      <c r="N82" s="264">
        <v>-50000</v>
      </c>
      <c r="O82" s="264">
        <v>-50000</v>
      </c>
      <c r="P82" s="264">
        <v>-850000</v>
      </c>
      <c r="T82" t="s">
        <v>2026</v>
      </c>
      <c r="U82" s="264"/>
      <c r="V82" s="264"/>
      <c r="W82" s="264"/>
      <c r="X82" s="264"/>
      <c r="Y82" s="264"/>
      <c r="Z82" s="264"/>
      <c r="AA82" s="264"/>
      <c r="AB82" s="264"/>
      <c r="AC82" s="264">
        <v>450000</v>
      </c>
      <c r="AD82" s="264"/>
      <c r="AE82" s="264"/>
      <c r="AF82" s="264"/>
      <c r="AG82" s="264">
        <v>450000</v>
      </c>
    </row>
    <row r="83" spans="3:33" x14ac:dyDescent="0.25">
      <c r="C83" t="s">
        <v>987</v>
      </c>
      <c r="D83" s="264"/>
      <c r="E83" s="264"/>
      <c r="F83" s="264"/>
      <c r="G83" s="264"/>
      <c r="H83" s="264"/>
      <c r="I83" s="264"/>
      <c r="J83" s="264">
        <v>-120000</v>
      </c>
      <c r="K83" s="264"/>
      <c r="L83" s="264"/>
      <c r="M83" s="264"/>
      <c r="N83" s="264">
        <v>-120000</v>
      </c>
      <c r="O83" s="264"/>
      <c r="P83" s="264">
        <v>-240000</v>
      </c>
      <c r="T83" t="s">
        <v>2032</v>
      </c>
      <c r="U83" s="264"/>
      <c r="V83" s="264"/>
      <c r="W83" s="264"/>
      <c r="X83" s="264"/>
      <c r="Y83" s="264"/>
      <c r="Z83" s="264"/>
      <c r="AA83" s="264"/>
      <c r="AB83" s="264"/>
      <c r="AC83" s="264">
        <v>450000</v>
      </c>
      <c r="AD83" s="264"/>
      <c r="AE83" s="264"/>
      <c r="AF83" s="264"/>
      <c r="AG83" s="264">
        <v>450000</v>
      </c>
    </row>
    <row r="84" spans="3:33" x14ac:dyDescent="0.25">
      <c r="C84" t="s">
        <v>1326</v>
      </c>
      <c r="D84" s="264"/>
      <c r="E84" s="264"/>
      <c r="F84" s="264"/>
      <c r="G84" s="264">
        <v>117035</v>
      </c>
      <c r="H84" s="264"/>
      <c r="I84" s="264"/>
      <c r="J84" s="264"/>
      <c r="K84" s="264"/>
      <c r="L84" s="264"/>
      <c r="M84" s="264"/>
      <c r="N84" s="264"/>
      <c r="O84" s="264"/>
      <c r="P84" s="264">
        <v>117035</v>
      </c>
      <c r="T84" t="s">
        <v>2061</v>
      </c>
      <c r="U84" s="264"/>
      <c r="V84" s="264"/>
      <c r="W84" s="264"/>
      <c r="X84" s="264"/>
      <c r="Y84" s="264"/>
      <c r="Z84" s="264"/>
      <c r="AA84" s="264"/>
      <c r="AB84" s="264"/>
      <c r="AC84" s="264">
        <v>20000</v>
      </c>
      <c r="AD84" s="264"/>
      <c r="AE84" s="264"/>
      <c r="AF84" s="264"/>
      <c r="AG84" s="264">
        <v>20000</v>
      </c>
    </row>
    <row r="85" spans="3:33" x14ac:dyDescent="0.25">
      <c r="C85" t="s">
        <v>1930</v>
      </c>
      <c r="D85" s="264"/>
      <c r="E85" s="264"/>
      <c r="F85" s="264"/>
      <c r="G85" s="264"/>
      <c r="H85" s="264"/>
      <c r="I85" s="264"/>
      <c r="J85" s="264"/>
      <c r="K85" s="264">
        <v>46890</v>
      </c>
      <c r="L85" s="264">
        <v>48353</v>
      </c>
      <c r="M85" s="264"/>
      <c r="N85" s="264"/>
      <c r="O85" s="264"/>
      <c r="P85" s="264">
        <v>95243</v>
      </c>
      <c r="T85" t="s">
        <v>2113</v>
      </c>
      <c r="U85" s="264"/>
      <c r="V85" s="264"/>
      <c r="W85" s="264"/>
      <c r="X85" s="264"/>
      <c r="Y85" s="264"/>
      <c r="Z85" s="264"/>
      <c r="AA85" s="264"/>
      <c r="AB85" s="264"/>
      <c r="AC85" s="264">
        <v>1000000</v>
      </c>
      <c r="AD85" s="264"/>
      <c r="AE85" s="264"/>
      <c r="AF85" s="264"/>
      <c r="AG85" s="264">
        <v>1000000</v>
      </c>
    </row>
    <row r="86" spans="3:33" x14ac:dyDescent="0.25">
      <c r="C86" t="s">
        <v>1650</v>
      </c>
      <c r="D86" s="264"/>
      <c r="E86" s="264"/>
      <c r="F86" s="264"/>
      <c r="G86" s="264"/>
      <c r="H86" s="264"/>
      <c r="I86" s="264"/>
      <c r="J86" s="264">
        <v>6596</v>
      </c>
      <c r="K86" s="264"/>
      <c r="L86" s="264"/>
      <c r="M86" s="264"/>
      <c r="N86" s="264"/>
      <c r="O86" s="264"/>
      <c r="P86" s="264">
        <v>6596</v>
      </c>
      <c r="T86" t="s">
        <v>2134</v>
      </c>
      <c r="U86" s="264"/>
      <c r="V86" s="264"/>
      <c r="W86" s="264"/>
      <c r="X86" s="264"/>
      <c r="Y86" s="264"/>
      <c r="Z86" s="264"/>
      <c r="AA86" s="264"/>
      <c r="AB86" s="264"/>
      <c r="AC86" s="264"/>
      <c r="AD86" s="264">
        <v>-47291</v>
      </c>
      <c r="AE86" s="264"/>
      <c r="AF86" s="264"/>
      <c r="AG86" s="264">
        <v>-47291</v>
      </c>
    </row>
    <row r="87" spans="3:33" x14ac:dyDescent="0.25">
      <c r="C87" t="s">
        <v>1564</v>
      </c>
      <c r="D87" s="264"/>
      <c r="E87" s="264"/>
      <c r="F87" s="264"/>
      <c r="G87" s="264"/>
      <c r="H87" s="264"/>
      <c r="I87" s="264">
        <v>66148</v>
      </c>
      <c r="J87" s="264"/>
      <c r="K87" s="264"/>
      <c r="L87" s="264"/>
      <c r="M87" s="264"/>
      <c r="N87" s="264"/>
      <c r="O87" s="264"/>
      <c r="P87" s="264">
        <v>66148</v>
      </c>
      <c r="T87" t="s">
        <v>2123</v>
      </c>
      <c r="U87" s="264"/>
      <c r="V87" s="264"/>
      <c r="W87" s="264"/>
      <c r="X87" s="264"/>
      <c r="Y87" s="264"/>
      <c r="Z87" s="264"/>
      <c r="AA87" s="264"/>
      <c r="AB87" s="264"/>
      <c r="AC87" s="264"/>
      <c r="AD87" s="264">
        <v>8500</v>
      </c>
      <c r="AE87" s="264"/>
      <c r="AF87" s="264">
        <v>17000</v>
      </c>
      <c r="AG87" s="264">
        <v>25500</v>
      </c>
    </row>
    <row r="88" spans="3:33" x14ac:dyDescent="0.25">
      <c r="C88" t="s">
        <v>2441</v>
      </c>
      <c r="D88" s="264"/>
      <c r="E88" s="264"/>
      <c r="F88" s="264"/>
      <c r="G88" s="264"/>
      <c r="H88" s="264"/>
      <c r="I88" s="264"/>
      <c r="J88" s="264"/>
      <c r="K88" s="264"/>
      <c r="L88" s="264"/>
      <c r="M88" s="264"/>
      <c r="N88" s="264"/>
      <c r="O88" s="264">
        <v>46739</v>
      </c>
      <c r="P88" s="264">
        <v>46739</v>
      </c>
      <c r="T88" t="s">
        <v>2334</v>
      </c>
      <c r="U88" s="264"/>
      <c r="V88" s="264"/>
      <c r="W88" s="264"/>
      <c r="X88" s="264"/>
      <c r="Y88" s="264"/>
      <c r="Z88" s="264"/>
      <c r="AA88" s="264"/>
      <c r="AB88" s="264"/>
      <c r="AC88" s="264"/>
      <c r="AD88" s="264"/>
      <c r="AE88" s="264">
        <v>-64000</v>
      </c>
      <c r="AF88" s="264"/>
      <c r="AG88" s="264">
        <v>-64000</v>
      </c>
    </row>
    <row r="89" spans="3:33" x14ac:dyDescent="0.25">
      <c r="C89" t="s">
        <v>2209</v>
      </c>
      <c r="D89" s="264"/>
      <c r="E89" s="264"/>
      <c r="F89" s="264"/>
      <c r="G89" s="264"/>
      <c r="H89" s="264"/>
      <c r="I89" s="264"/>
      <c r="J89" s="264"/>
      <c r="K89" s="264"/>
      <c r="L89" s="264"/>
      <c r="M89" s="264"/>
      <c r="N89" s="264">
        <v>45290</v>
      </c>
      <c r="O89" s="264"/>
      <c r="P89" s="264">
        <v>45290</v>
      </c>
      <c r="T89" t="s">
        <v>2271</v>
      </c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4">
        <v>-65967</v>
      </c>
      <c r="AF89" s="264"/>
      <c r="AG89" s="264">
        <v>-65967</v>
      </c>
    </row>
    <row r="90" spans="3:33" x14ac:dyDescent="0.25">
      <c r="C90" t="s">
        <v>2134</v>
      </c>
      <c r="D90" s="264"/>
      <c r="E90" s="264"/>
      <c r="F90" s="264"/>
      <c r="G90" s="264"/>
      <c r="H90" s="264"/>
      <c r="I90" s="264"/>
      <c r="J90" s="264"/>
      <c r="K90" s="264"/>
      <c r="L90" s="264"/>
      <c r="M90" s="264">
        <v>47291</v>
      </c>
      <c r="N90" s="264"/>
      <c r="O90" s="264"/>
      <c r="P90" s="264">
        <v>47291</v>
      </c>
      <c r="T90" t="s">
        <v>2218</v>
      </c>
      <c r="U90" s="264"/>
      <c r="V90" s="264"/>
      <c r="W90" s="264"/>
      <c r="X90" s="264"/>
      <c r="Y90" s="264"/>
      <c r="Z90" s="264"/>
      <c r="AA90" s="264"/>
      <c r="AB90" s="264"/>
      <c r="AC90" s="264"/>
      <c r="AD90" s="264"/>
      <c r="AE90" s="264">
        <v>-94229</v>
      </c>
      <c r="AF90" s="264"/>
      <c r="AG90" s="264">
        <v>-94229</v>
      </c>
    </row>
    <row r="91" spans="3:33" x14ac:dyDescent="0.25">
      <c r="C91" t="s">
        <v>1556</v>
      </c>
      <c r="D91" s="264"/>
      <c r="E91" s="264"/>
      <c r="F91" s="264"/>
      <c r="G91" s="264"/>
      <c r="H91" s="264"/>
      <c r="I91" s="264">
        <v>-15000</v>
      </c>
      <c r="J91" s="264"/>
      <c r="K91" s="264"/>
      <c r="L91" s="264"/>
      <c r="M91" s="264"/>
      <c r="N91" s="264"/>
      <c r="O91" s="264"/>
      <c r="P91" s="264">
        <v>-15000</v>
      </c>
      <c r="T91" t="s">
        <v>2339</v>
      </c>
      <c r="U91" s="264"/>
      <c r="V91" s="264"/>
      <c r="W91" s="264"/>
      <c r="X91" s="264"/>
      <c r="Y91" s="264"/>
      <c r="Z91" s="264"/>
      <c r="AA91" s="264"/>
      <c r="AB91" s="264"/>
      <c r="AC91" s="264"/>
      <c r="AD91" s="264"/>
      <c r="AE91" s="264">
        <v>-64000</v>
      </c>
      <c r="AF91" s="264"/>
      <c r="AG91" s="264">
        <v>-64000</v>
      </c>
    </row>
    <row r="92" spans="3:33" x14ac:dyDescent="0.25">
      <c r="C92" t="s">
        <v>1383</v>
      </c>
      <c r="D92" s="264"/>
      <c r="E92" s="264"/>
      <c r="F92" s="264"/>
      <c r="G92" s="264">
        <v>-20000</v>
      </c>
      <c r="H92" s="264"/>
      <c r="I92" s="264"/>
      <c r="J92" s="264"/>
      <c r="K92" s="264"/>
      <c r="L92" s="264"/>
      <c r="M92" s="264"/>
      <c r="N92" s="264"/>
      <c r="O92" s="264"/>
      <c r="P92" s="264">
        <v>-20000</v>
      </c>
      <c r="T92" t="s">
        <v>2244</v>
      </c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4">
        <v>29040</v>
      </c>
      <c r="AF92" s="264"/>
      <c r="AG92" s="264">
        <v>29040</v>
      </c>
    </row>
    <row r="93" spans="3:33" x14ac:dyDescent="0.25">
      <c r="C93" t="s">
        <v>1440</v>
      </c>
      <c r="D93" s="264"/>
      <c r="E93" s="264"/>
      <c r="F93" s="264"/>
      <c r="G93" s="264"/>
      <c r="H93" s="264">
        <v>-20000</v>
      </c>
      <c r="I93" s="264"/>
      <c r="J93" s="264">
        <v>-10000</v>
      </c>
      <c r="K93" s="264"/>
      <c r="L93" s="264"/>
      <c r="M93" s="264"/>
      <c r="N93" s="264"/>
      <c r="O93" s="264">
        <v>-15000</v>
      </c>
      <c r="P93" s="264">
        <v>-45000</v>
      </c>
      <c r="T93" t="s">
        <v>2200</v>
      </c>
      <c r="U93" s="264"/>
      <c r="V93" s="264"/>
      <c r="W93" s="264"/>
      <c r="X93" s="264"/>
      <c r="Y93" s="264"/>
      <c r="Z93" s="264"/>
      <c r="AA93" s="264"/>
      <c r="AB93" s="264"/>
      <c r="AC93" s="264"/>
      <c r="AD93" s="264"/>
      <c r="AE93" s="264">
        <v>20000</v>
      </c>
      <c r="AF93" s="264"/>
      <c r="AG93" s="264">
        <v>20000</v>
      </c>
    </row>
    <row r="94" spans="3:33" x14ac:dyDescent="0.25">
      <c r="C94" t="s">
        <v>1517</v>
      </c>
      <c r="D94" s="264"/>
      <c r="E94" s="264"/>
      <c r="F94" s="264"/>
      <c r="G94" s="264"/>
      <c r="H94" s="264">
        <v>-10000</v>
      </c>
      <c r="I94" s="264"/>
      <c r="J94" s="264"/>
      <c r="K94" s="264"/>
      <c r="L94" s="264"/>
      <c r="M94" s="264"/>
      <c r="N94" s="264"/>
      <c r="O94" s="264"/>
      <c r="P94" s="264">
        <v>-10000</v>
      </c>
      <c r="T94" t="s">
        <v>2209</v>
      </c>
      <c r="U94" s="264"/>
      <c r="V94" s="264"/>
      <c r="W94" s="264"/>
      <c r="X94" s="264"/>
      <c r="Y94" s="264"/>
      <c r="Z94" s="264"/>
      <c r="AA94" s="264"/>
      <c r="AB94" s="264"/>
      <c r="AC94" s="264"/>
      <c r="AD94" s="264"/>
      <c r="AE94" s="264">
        <v>-45290</v>
      </c>
      <c r="AF94" s="264"/>
      <c r="AG94" s="264">
        <v>-45290</v>
      </c>
    </row>
    <row r="95" spans="3:33" x14ac:dyDescent="0.25">
      <c r="C95" t="s">
        <v>1632</v>
      </c>
      <c r="D95" s="264"/>
      <c r="E95" s="264"/>
      <c r="F95" s="264"/>
      <c r="G95" s="264"/>
      <c r="H95" s="264"/>
      <c r="I95" s="264">
        <v>-30000</v>
      </c>
      <c r="J95" s="264"/>
      <c r="K95" s="264"/>
      <c r="L95" s="264"/>
      <c r="M95" s="264"/>
      <c r="N95" s="264"/>
      <c r="O95" s="264"/>
      <c r="P95" s="264">
        <v>-30000</v>
      </c>
      <c r="T95" t="s">
        <v>2240</v>
      </c>
      <c r="U95" s="264"/>
      <c r="V95" s="264"/>
      <c r="W95" s="264"/>
      <c r="X95" s="264"/>
      <c r="Y95" s="264"/>
      <c r="Z95" s="264"/>
      <c r="AA95" s="264"/>
      <c r="AB95" s="264"/>
      <c r="AC95" s="264"/>
      <c r="AD95" s="264"/>
      <c r="AE95" s="264">
        <v>16686</v>
      </c>
      <c r="AF95" s="264"/>
      <c r="AG95" s="264">
        <v>16686</v>
      </c>
    </row>
    <row r="96" spans="3:33" x14ac:dyDescent="0.25">
      <c r="C96" t="s">
        <v>1319</v>
      </c>
      <c r="D96" s="264"/>
      <c r="E96" s="264"/>
      <c r="F96" s="264"/>
      <c r="G96" s="264">
        <v>-30000</v>
      </c>
      <c r="H96" s="264"/>
      <c r="I96" s="264"/>
      <c r="J96" s="264">
        <v>-30000</v>
      </c>
      <c r="K96" s="264"/>
      <c r="L96" s="264"/>
      <c r="M96" s="264"/>
      <c r="N96" s="264"/>
      <c r="O96" s="264"/>
      <c r="P96" s="264">
        <v>-60000</v>
      </c>
      <c r="T96" t="s">
        <v>2272</v>
      </c>
      <c r="U96" s="264"/>
      <c r="V96" s="264"/>
      <c r="W96" s="264"/>
      <c r="X96" s="264"/>
      <c r="Y96" s="264"/>
      <c r="Z96" s="264"/>
      <c r="AA96" s="264"/>
      <c r="AB96" s="264"/>
      <c r="AC96" s="264"/>
      <c r="AD96" s="264"/>
      <c r="AE96" s="264">
        <v>9816</v>
      </c>
      <c r="AF96" s="264"/>
      <c r="AG96" s="264">
        <v>9816</v>
      </c>
    </row>
    <row r="97" spans="3:33" x14ac:dyDescent="0.25">
      <c r="C97" t="s">
        <v>2443</v>
      </c>
      <c r="D97" s="264"/>
      <c r="E97" s="264"/>
      <c r="F97" s="264"/>
      <c r="G97" s="264"/>
      <c r="H97" s="264"/>
      <c r="I97" s="264"/>
      <c r="J97" s="264"/>
      <c r="K97" s="264"/>
      <c r="L97" s="264"/>
      <c r="M97" s="264"/>
      <c r="N97" s="264"/>
      <c r="O97" s="264">
        <v>-30000</v>
      </c>
      <c r="P97" s="264">
        <v>-30000</v>
      </c>
      <c r="T97" t="s">
        <v>2261</v>
      </c>
      <c r="U97" s="264"/>
      <c r="V97" s="264"/>
      <c r="W97" s="264"/>
      <c r="X97" s="264"/>
      <c r="Y97" s="264"/>
      <c r="Z97" s="264"/>
      <c r="AA97" s="264"/>
      <c r="AB97" s="264"/>
      <c r="AC97" s="264"/>
      <c r="AD97" s="264"/>
      <c r="AE97" s="264">
        <v>14519</v>
      </c>
      <c r="AF97" s="264"/>
      <c r="AG97" s="264">
        <v>14519</v>
      </c>
    </row>
    <row r="98" spans="3:33" x14ac:dyDescent="0.25">
      <c r="C98" t="s">
        <v>737</v>
      </c>
      <c r="D98" s="264">
        <v>-30000</v>
      </c>
      <c r="E98" s="264">
        <v>-30000</v>
      </c>
      <c r="F98" s="264">
        <v>-30000</v>
      </c>
      <c r="G98" s="264"/>
      <c r="H98" s="264">
        <v>-53000</v>
      </c>
      <c r="I98" s="264"/>
      <c r="J98" s="264"/>
      <c r="K98" s="264">
        <v>-30000</v>
      </c>
      <c r="L98" s="264">
        <v>-30000</v>
      </c>
      <c r="M98" s="264">
        <v>-30000</v>
      </c>
      <c r="N98" s="264">
        <v>-30000</v>
      </c>
      <c r="O98" s="264"/>
      <c r="P98" s="264">
        <v>-263000</v>
      </c>
      <c r="T98" t="s">
        <v>2292</v>
      </c>
      <c r="U98" s="264"/>
      <c r="V98" s="264"/>
      <c r="W98" s="264"/>
      <c r="X98" s="264"/>
      <c r="Y98" s="264"/>
      <c r="Z98" s="264"/>
      <c r="AA98" s="264"/>
      <c r="AB98" s="264"/>
      <c r="AC98" s="264"/>
      <c r="AD98" s="264"/>
      <c r="AE98" s="264">
        <v>29040</v>
      </c>
      <c r="AF98" s="264"/>
      <c r="AG98" s="264">
        <v>29040</v>
      </c>
    </row>
    <row r="99" spans="3:33" x14ac:dyDescent="0.25">
      <c r="C99" t="s">
        <v>1209</v>
      </c>
      <c r="D99" s="264"/>
      <c r="E99" s="264"/>
      <c r="F99" s="264">
        <v>-20000</v>
      </c>
      <c r="G99" s="264"/>
      <c r="H99" s="264"/>
      <c r="I99" s="264"/>
      <c r="J99" s="264"/>
      <c r="K99" s="264"/>
      <c r="L99" s="264"/>
      <c r="M99" s="264"/>
      <c r="N99" s="264"/>
      <c r="O99" s="264"/>
      <c r="P99" s="264">
        <v>-20000</v>
      </c>
      <c r="T99" t="s">
        <v>2239</v>
      </c>
      <c r="U99" s="264"/>
      <c r="V99" s="264"/>
      <c r="W99" s="264"/>
      <c r="X99" s="264"/>
      <c r="Y99" s="264"/>
      <c r="Z99" s="264"/>
      <c r="AA99" s="264"/>
      <c r="AB99" s="264"/>
      <c r="AC99" s="264"/>
      <c r="AD99" s="264"/>
      <c r="AE99" s="264">
        <v>49078</v>
      </c>
      <c r="AF99" s="264"/>
      <c r="AG99" s="264">
        <v>49078</v>
      </c>
    </row>
    <row r="100" spans="3:33" x14ac:dyDescent="0.25">
      <c r="C100" t="s">
        <v>763</v>
      </c>
      <c r="D100" s="264">
        <v>-100000</v>
      </c>
      <c r="E100" s="264"/>
      <c r="F100" s="264"/>
      <c r="G100" s="264"/>
      <c r="H100" s="264"/>
      <c r="I100" s="264"/>
      <c r="J100" s="264"/>
      <c r="K100" s="264"/>
      <c r="L100" s="264"/>
      <c r="M100" s="264"/>
      <c r="N100" s="264"/>
      <c r="O100" s="264"/>
      <c r="P100" s="264">
        <v>-100000</v>
      </c>
      <c r="T100" t="s">
        <v>2198</v>
      </c>
      <c r="U100" s="264"/>
      <c r="V100" s="264"/>
      <c r="W100" s="264"/>
      <c r="X100" s="264"/>
      <c r="Y100" s="264"/>
      <c r="Z100" s="264"/>
      <c r="AA100" s="264"/>
      <c r="AB100" s="264"/>
      <c r="AC100" s="264"/>
      <c r="AD100" s="264"/>
      <c r="AE100" s="264">
        <v>9816</v>
      </c>
      <c r="AF100" s="264">
        <v>9824</v>
      </c>
      <c r="AG100" s="264">
        <v>19640</v>
      </c>
    </row>
    <row r="101" spans="3:33" x14ac:dyDescent="0.25">
      <c r="C101" t="s">
        <v>2431</v>
      </c>
      <c r="D101" s="264"/>
      <c r="E101" s="264"/>
      <c r="F101" s="264"/>
      <c r="G101" s="264"/>
      <c r="H101" s="264"/>
      <c r="I101" s="264"/>
      <c r="J101" s="264"/>
      <c r="K101" s="264"/>
      <c r="L101" s="264"/>
      <c r="M101" s="264"/>
      <c r="N101" s="264"/>
      <c r="O101" s="264">
        <v>-29472</v>
      </c>
      <c r="P101" s="264">
        <v>-29472</v>
      </c>
      <c r="T101" t="s">
        <v>2217</v>
      </c>
      <c r="U101" s="264"/>
      <c r="V101" s="264"/>
      <c r="W101" s="264"/>
      <c r="X101" s="264"/>
      <c r="Y101" s="264"/>
      <c r="Z101" s="264"/>
      <c r="AA101" s="264"/>
      <c r="AB101" s="264"/>
      <c r="AC101" s="264"/>
      <c r="AD101" s="264"/>
      <c r="AE101" s="264">
        <v>60000</v>
      </c>
      <c r="AF101" s="264">
        <v>60000</v>
      </c>
      <c r="AG101" s="264">
        <v>120000</v>
      </c>
    </row>
    <row r="102" spans="3:33" x14ac:dyDescent="0.25">
      <c r="C102" t="s">
        <v>2123</v>
      </c>
      <c r="D102" s="264"/>
      <c r="E102" s="264"/>
      <c r="F102" s="264"/>
      <c r="G102" s="264"/>
      <c r="H102" s="264"/>
      <c r="I102" s="264"/>
      <c r="J102" s="264"/>
      <c r="K102" s="264"/>
      <c r="L102" s="264"/>
      <c r="M102" s="264">
        <v>-8500</v>
      </c>
      <c r="N102" s="264"/>
      <c r="O102" s="264">
        <v>-17000</v>
      </c>
      <c r="P102" s="264">
        <v>-25500</v>
      </c>
      <c r="T102" t="s">
        <v>2260</v>
      </c>
      <c r="U102" s="264"/>
      <c r="V102" s="264"/>
      <c r="W102" s="264"/>
      <c r="X102" s="264"/>
      <c r="Y102" s="264"/>
      <c r="Z102" s="264"/>
      <c r="AA102" s="264"/>
      <c r="AB102" s="264"/>
      <c r="AC102" s="264"/>
      <c r="AD102" s="264"/>
      <c r="AE102" s="264">
        <v>9816</v>
      </c>
      <c r="AF102" s="264"/>
      <c r="AG102" s="264">
        <v>9816</v>
      </c>
    </row>
    <row r="103" spans="3:33" x14ac:dyDescent="0.25">
      <c r="C103" t="s">
        <v>2042</v>
      </c>
      <c r="D103" s="264"/>
      <c r="E103" s="264"/>
      <c r="F103" s="264"/>
      <c r="G103" s="264"/>
      <c r="H103" s="264"/>
      <c r="I103" s="264"/>
      <c r="J103" s="264"/>
      <c r="K103" s="264"/>
      <c r="L103" s="264">
        <v>-13000</v>
      </c>
      <c r="M103" s="264"/>
      <c r="N103" s="264"/>
      <c r="O103" s="264"/>
      <c r="P103" s="264">
        <v>-13000</v>
      </c>
      <c r="T103" t="s">
        <v>2220</v>
      </c>
      <c r="U103" s="264"/>
      <c r="V103" s="264"/>
      <c r="W103" s="264"/>
      <c r="X103" s="264"/>
      <c r="Y103" s="264"/>
      <c r="Z103" s="264"/>
      <c r="AA103" s="264"/>
      <c r="AB103" s="264"/>
      <c r="AC103" s="264"/>
      <c r="AD103" s="264"/>
      <c r="AE103" s="264">
        <v>60000</v>
      </c>
      <c r="AF103" s="264"/>
      <c r="AG103" s="264">
        <v>60000</v>
      </c>
    </row>
    <row r="104" spans="3:33" x14ac:dyDescent="0.25">
      <c r="C104" t="s">
        <v>2041</v>
      </c>
      <c r="D104" s="264"/>
      <c r="E104" s="264"/>
      <c r="F104" s="264"/>
      <c r="G104" s="264"/>
      <c r="H104" s="264"/>
      <c r="I104" s="264"/>
      <c r="J104" s="264"/>
      <c r="K104" s="264"/>
      <c r="L104" s="264">
        <v>-13000</v>
      </c>
      <c r="M104" s="264"/>
      <c r="N104" s="264"/>
      <c r="O104" s="264"/>
      <c r="P104" s="264">
        <v>-13000</v>
      </c>
      <c r="T104" s="428" t="s">
        <v>2370</v>
      </c>
      <c r="U104" s="464"/>
      <c r="V104" s="464"/>
      <c r="W104" s="464"/>
      <c r="X104" s="464"/>
      <c r="Y104" s="464"/>
      <c r="Z104" s="464"/>
      <c r="AA104" s="464"/>
      <c r="AB104" s="464"/>
      <c r="AC104" s="464"/>
      <c r="AD104" s="464"/>
      <c r="AE104" s="464"/>
      <c r="AF104" s="464">
        <v>-32000</v>
      </c>
      <c r="AG104" s="464">
        <v>-32000</v>
      </c>
    </row>
    <row r="105" spans="3:33" x14ac:dyDescent="0.25">
      <c r="C105" t="s">
        <v>2043</v>
      </c>
      <c r="D105" s="264"/>
      <c r="E105" s="264"/>
      <c r="F105" s="264"/>
      <c r="G105" s="264"/>
      <c r="H105" s="264"/>
      <c r="I105" s="264"/>
      <c r="J105" s="264"/>
      <c r="K105" s="264"/>
      <c r="L105" s="264">
        <v>-13000</v>
      </c>
      <c r="M105" s="264"/>
      <c r="N105" s="264"/>
      <c r="O105" s="264"/>
      <c r="P105" s="264">
        <v>-13000</v>
      </c>
      <c r="T105" t="s">
        <v>2438</v>
      </c>
      <c r="U105" s="264"/>
      <c r="V105" s="264"/>
      <c r="W105" s="264"/>
      <c r="X105" s="264"/>
      <c r="Y105" s="264"/>
      <c r="Z105" s="264"/>
      <c r="AA105" s="264"/>
      <c r="AB105" s="264"/>
      <c r="AC105" s="264"/>
      <c r="AD105" s="264"/>
      <c r="AE105" s="264"/>
      <c r="AF105" s="264">
        <v>3000000</v>
      </c>
      <c r="AG105" s="264">
        <v>3000000</v>
      </c>
    </row>
    <row r="106" spans="3:33" x14ac:dyDescent="0.25">
      <c r="C106" t="s">
        <v>736</v>
      </c>
      <c r="D106" s="264">
        <v>-30000</v>
      </c>
      <c r="E106" s="264"/>
      <c r="F106" s="264"/>
      <c r="G106" s="264"/>
      <c r="H106" s="264"/>
      <c r="I106" s="264"/>
      <c r="J106" s="264"/>
      <c r="K106" s="264"/>
      <c r="L106" s="264"/>
      <c r="M106" s="264"/>
      <c r="N106" s="264"/>
      <c r="O106" s="264"/>
      <c r="P106" s="264">
        <v>-30000</v>
      </c>
      <c r="T106" t="s">
        <v>2439</v>
      </c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4"/>
      <c r="AE106" s="264"/>
      <c r="AF106" s="264">
        <v>7860</v>
      </c>
      <c r="AG106" s="264">
        <v>7860</v>
      </c>
    </row>
    <row r="107" spans="3:33" x14ac:dyDescent="0.25">
      <c r="C107" t="s">
        <v>2506</v>
      </c>
      <c r="D107" s="264"/>
      <c r="E107" s="264"/>
      <c r="F107" s="264"/>
      <c r="G107" s="264"/>
      <c r="H107" s="264"/>
      <c r="I107" s="264"/>
      <c r="J107" s="264"/>
      <c r="K107" s="264"/>
      <c r="L107" s="264"/>
      <c r="M107" s="264"/>
      <c r="N107" s="264"/>
      <c r="O107" s="264">
        <v>-19648</v>
      </c>
      <c r="P107" s="264">
        <v>-19648</v>
      </c>
      <c r="T107" t="s">
        <v>2441</v>
      </c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4"/>
      <c r="AE107" s="264"/>
      <c r="AF107" s="264">
        <v>-46739</v>
      </c>
      <c r="AG107" s="264">
        <v>-46739</v>
      </c>
    </row>
    <row r="108" spans="3:33" x14ac:dyDescent="0.25">
      <c r="C108" t="s">
        <v>1697</v>
      </c>
      <c r="D108" s="264"/>
      <c r="E108" s="264"/>
      <c r="F108" s="264"/>
      <c r="G108" s="264"/>
      <c r="H108" s="264"/>
      <c r="I108" s="264"/>
      <c r="J108" s="264"/>
      <c r="K108" s="264">
        <v>-20000</v>
      </c>
      <c r="L108" s="264"/>
      <c r="M108" s="264"/>
      <c r="N108" s="264"/>
      <c r="O108" s="264"/>
      <c r="P108" s="264">
        <v>-20000</v>
      </c>
      <c r="T108" t="s">
        <v>2443</v>
      </c>
      <c r="U108" s="264"/>
      <c r="V108" s="264"/>
      <c r="W108" s="264"/>
      <c r="X108" s="264"/>
      <c r="Y108" s="264"/>
      <c r="Z108" s="264"/>
      <c r="AA108" s="264"/>
      <c r="AB108" s="264"/>
      <c r="AC108" s="264"/>
      <c r="AD108" s="264"/>
      <c r="AE108" s="264"/>
      <c r="AF108" s="264">
        <v>30000</v>
      </c>
      <c r="AG108" s="264">
        <v>30000</v>
      </c>
    </row>
    <row r="109" spans="3:33" x14ac:dyDescent="0.25">
      <c r="C109" t="s">
        <v>1544</v>
      </c>
      <c r="D109" s="264"/>
      <c r="E109" s="264"/>
      <c r="F109" s="264"/>
      <c r="G109" s="264"/>
      <c r="H109" s="264">
        <v>-250000</v>
      </c>
      <c r="I109" s="264"/>
      <c r="J109" s="264"/>
      <c r="K109" s="264"/>
      <c r="L109" s="264"/>
      <c r="M109" s="264"/>
      <c r="N109" s="264"/>
      <c r="O109" s="264"/>
      <c r="P109" s="264">
        <v>-250000</v>
      </c>
      <c r="T109" t="s">
        <v>2431</v>
      </c>
      <c r="U109" s="264"/>
      <c r="V109" s="264"/>
      <c r="W109" s="264"/>
      <c r="X109" s="264"/>
      <c r="Y109" s="264"/>
      <c r="Z109" s="264"/>
      <c r="AA109" s="264"/>
      <c r="AB109" s="264"/>
      <c r="AC109" s="264"/>
      <c r="AD109" s="264"/>
      <c r="AE109" s="264"/>
      <c r="AF109" s="264">
        <v>29472</v>
      </c>
      <c r="AG109" s="264">
        <v>29472</v>
      </c>
    </row>
    <row r="110" spans="3:33" x14ac:dyDescent="0.25">
      <c r="C110" t="s">
        <v>1906</v>
      </c>
      <c r="D110" s="264"/>
      <c r="E110" s="264"/>
      <c r="F110" s="264"/>
      <c r="G110" s="264"/>
      <c r="H110" s="264"/>
      <c r="I110" s="264"/>
      <c r="J110" s="264"/>
      <c r="K110" s="264">
        <v>-70000</v>
      </c>
      <c r="L110" s="264"/>
      <c r="M110" s="264"/>
      <c r="N110" s="264"/>
      <c r="O110" s="264"/>
      <c r="P110" s="264">
        <v>-70000</v>
      </c>
      <c r="T110" t="s">
        <v>2506</v>
      </c>
      <c r="U110" s="264"/>
      <c r="V110" s="264"/>
      <c r="W110" s="264"/>
      <c r="X110" s="264"/>
      <c r="Y110" s="264"/>
      <c r="Z110" s="264"/>
      <c r="AA110" s="264"/>
      <c r="AB110" s="264"/>
      <c r="AC110" s="264"/>
      <c r="AD110" s="264"/>
      <c r="AE110" s="264"/>
      <c r="AF110" s="264">
        <v>19648</v>
      </c>
      <c r="AG110" s="264">
        <v>19648</v>
      </c>
    </row>
    <row r="111" spans="3:33" x14ac:dyDescent="0.25">
      <c r="C111" t="s">
        <v>2240</v>
      </c>
      <c r="D111" s="264"/>
      <c r="E111" s="264"/>
      <c r="F111" s="264"/>
      <c r="G111" s="264"/>
      <c r="H111" s="264"/>
      <c r="I111" s="264"/>
      <c r="J111" s="264"/>
      <c r="K111" s="264"/>
      <c r="L111" s="264"/>
      <c r="M111" s="264"/>
      <c r="N111" s="264">
        <v>-16686</v>
      </c>
      <c r="O111" s="264"/>
      <c r="P111" s="264">
        <v>-16686</v>
      </c>
      <c r="T111" t="s">
        <v>2460</v>
      </c>
      <c r="U111" s="264"/>
      <c r="V111" s="264"/>
      <c r="W111" s="264"/>
      <c r="X111" s="264"/>
      <c r="Y111" s="264"/>
      <c r="Z111" s="264"/>
      <c r="AA111" s="264"/>
      <c r="AB111" s="264"/>
      <c r="AC111" s="264"/>
      <c r="AD111" s="264"/>
      <c r="AE111" s="264"/>
      <c r="AF111" s="264">
        <v>16700</v>
      </c>
      <c r="AG111" s="264">
        <v>16700</v>
      </c>
    </row>
    <row r="112" spans="3:33" x14ac:dyDescent="0.25">
      <c r="C112" t="s">
        <v>2460</v>
      </c>
      <c r="D112" s="264"/>
      <c r="E112" s="264"/>
      <c r="F112" s="264"/>
      <c r="G112" s="264"/>
      <c r="H112" s="264"/>
      <c r="I112" s="264"/>
      <c r="J112" s="264"/>
      <c r="K112" s="264"/>
      <c r="L112" s="264"/>
      <c r="M112" s="264"/>
      <c r="N112" s="264"/>
      <c r="O112" s="264">
        <v>-16700</v>
      </c>
      <c r="P112" s="264">
        <v>-16700</v>
      </c>
      <c r="T112" t="s">
        <v>2461</v>
      </c>
      <c r="U112" s="264"/>
      <c r="V112" s="264"/>
      <c r="W112" s="264"/>
      <c r="X112" s="264"/>
      <c r="Y112" s="264"/>
      <c r="Z112" s="264"/>
      <c r="AA112" s="264"/>
      <c r="AB112" s="264"/>
      <c r="AC112" s="264"/>
      <c r="AD112" s="264"/>
      <c r="AE112" s="264"/>
      <c r="AF112" s="264">
        <v>9824</v>
      </c>
      <c r="AG112" s="264">
        <v>9824</v>
      </c>
    </row>
    <row r="113" spans="3:33" x14ac:dyDescent="0.25">
      <c r="C113" t="s">
        <v>1569</v>
      </c>
      <c r="D113" s="264"/>
      <c r="E113" s="264"/>
      <c r="F113" s="264"/>
      <c r="G113" s="264"/>
      <c r="H113" s="264"/>
      <c r="I113" s="264">
        <v>-21000</v>
      </c>
      <c r="J113" s="264"/>
      <c r="K113" s="264"/>
      <c r="L113" s="264"/>
      <c r="M113" s="264"/>
      <c r="N113" s="264"/>
      <c r="O113" s="264"/>
      <c r="P113" s="264">
        <v>-21000</v>
      </c>
      <c r="T113" t="s">
        <v>2462</v>
      </c>
      <c r="U113" s="264"/>
      <c r="V113" s="264"/>
      <c r="W113" s="264"/>
      <c r="X113" s="264"/>
      <c r="Y113" s="264"/>
      <c r="Z113" s="264"/>
      <c r="AA113" s="264"/>
      <c r="AB113" s="264"/>
      <c r="AC113" s="264"/>
      <c r="AD113" s="264"/>
      <c r="AE113" s="264"/>
      <c r="AF113" s="264">
        <v>49119</v>
      </c>
      <c r="AG113" s="264">
        <v>49119</v>
      </c>
    </row>
    <row r="114" spans="3:33" x14ac:dyDescent="0.25">
      <c r="C114" t="s">
        <v>1648</v>
      </c>
      <c r="D114" s="264"/>
      <c r="E114" s="264"/>
      <c r="F114" s="264"/>
      <c r="G114" s="264"/>
      <c r="H114" s="264"/>
      <c r="I114" s="264"/>
      <c r="J114" s="264">
        <v>-21000</v>
      </c>
      <c r="K114" s="264"/>
      <c r="L114" s="264"/>
      <c r="M114" s="264"/>
      <c r="N114" s="264"/>
      <c r="O114" s="264"/>
      <c r="P114" s="264">
        <v>-21000</v>
      </c>
      <c r="T114" t="s">
        <v>2501</v>
      </c>
      <c r="U114" s="264"/>
      <c r="V114" s="264"/>
      <c r="W114" s="264"/>
      <c r="X114" s="264"/>
      <c r="Y114" s="264"/>
      <c r="Z114" s="264"/>
      <c r="AA114" s="264"/>
      <c r="AB114" s="264"/>
      <c r="AC114" s="264"/>
      <c r="AD114" s="264"/>
      <c r="AE114" s="264"/>
      <c r="AF114" s="264">
        <v>100000</v>
      </c>
      <c r="AG114" s="264">
        <v>100000</v>
      </c>
    </row>
    <row r="115" spans="3:33" x14ac:dyDescent="0.25">
      <c r="C115" t="s">
        <v>1938</v>
      </c>
      <c r="D115" s="264"/>
      <c r="E115" s="264"/>
      <c r="F115" s="264"/>
      <c r="G115" s="264"/>
      <c r="H115" s="264"/>
      <c r="I115" s="264"/>
      <c r="J115" s="264"/>
      <c r="K115" s="264">
        <v>-21000</v>
      </c>
      <c r="L115" s="264">
        <v>-21000</v>
      </c>
      <c r="M115" s="264">
        <v>-21000</v>
      </c>
      <c r="N115" s="264">
        <v>-21000</v>
      </c>
      <c r="O115" s="264">
        <v>-21000</v>
      </c>
      <c r="P115" s="264">
        <v>-105000</v>
      </c>
      <c r="T115" t="s">
        <v>2459</v>
      </c>
      <c r="U115" s="264"/>
      <c r="V115" s="264"/>
      <c r="W115" s="264"/>
      <c r="X115" s="264"/>
      <c r="Y115" s="264"/>
      <c r="Z115" s="264"/>
      <c r="AA115" s="264"/>
      <c r="AB115" s="264"/>
      <c r="AC115" s="264"/>
      <c r="AD115" s="264"/>
      <c r="AE115" s="264"/>
      <c r="AF115" s="264">
        <v>9824</v>
      </c>
      <c r="AG115" s="264">
        <v>9824</v>
      </c>
    </row>
    <row r="116" spans="3:33" x14ac:dyDescent="0.25">
      <c r="C116" t="s">
        <v>1616</v>
      </c>
      <c r="D116" s="264"/>
      <c r="E116" s="264"/>
      <c r="F116" s="264"/>
      <c r="G116" s="264"/>
      <c r="H116" s="264"/>
      <c r="I116" s="264">
        <v>-10000</v>
      </c>
      <c r="J116" s="264"/>
      <c r="K116" s="264"/>
      <c r="L116" s="264"/>
      <c r="M116" s="264"/>
      <c r="N116" s="264"/>
      <c r="O116" s="264"/>
      <c r="P116" s="264">
        <v>-10000</v>
      </c>
      <c r="T116" t="s">
        <v>2565</v>
      </c>
      <c r="U116" s="264"/>
      <c r="V116" s="264"/>
      <c r="W116" s="264"/>
      <c r="X116" s="264"/>
      <c r="Y116" s="264"/>
      <c r="Z116" s="264"/>
      <c r="AA116" s="264"/>
      <c r="AB116" s="264"/>
      <c r="AC116" s="264"/>
      <c r="AD116" s="264"/>
      <c r="AE116" s="264"/>
      <c r="AF116" s="264">
        <v>-4045652</v>
      </c>
      <c r="AG116" s="264">
        <v>-4045652</v>
      </c>
    </row>
    <row r="117" spans="3:33" x14ac:dyDescent="0.25">
      <c r="C117" t="s">
        <v>1595</v>
      </c>
      <c r="D117" s="264"/>
      <c r="E117" s="264"/>
      <c r="F117" s="264"/>
      <c r="G117" s="264"/>
      <c r="H117" s="264"/>
      <c r="I117" s="264">
        <v>-100000</v>
      </c>
      <c r="J117" s="264"/>
      <c r="K117" s="264"/>
      <c r="L117" s="264"/>
      <c r="M117" s="264"/>
      <c r="N117" s="264"/>
      <c r="O117" s="264"/>
      <c r="P117" s="264">
        <v>-100000</v>
      </c>
      <c r="R117" t="s">
        <v>1276</v>
      </c>
      <c r="U117" s="380">
        <v>119974557</v>
      </c>
      <c r="V117" s="380">
        <v>2596808</v>
      </c>
      <c r="W117" s="264">
        <v>613738</v>
      </c>
      <c r="X117" s="380">
        <v>4442985</v>
      </c>
      <c r="Y117" s="380">
        <v>1095679</v>
      </c>
      <c r="Z117" s="380">
        <v>474852</v>
      </c>
      <c r="AA117" s="380">
        <v>1534404</v>
      </c>
      <c r="AB117" s="380">
        <v>5114110</v>
      </c>
      <c r="AC117" s="380">
        <v>2311647</v>
      </c>
      <c r="AD117" s="380">
        <v>282209</v>
      </c>
      <c r="AE117" s="380">
        <v>490325</v>
      </c>
      <c r="AF117" s="380">
        <v>-494120</v>
      </c>
      <c r="AG117" s="264">
        <v>138437194</v>
      </c>
    </row>
    <row r="118" spans="3:33" x14ac:dyDescent="0.25">
      <c r="C118" t="s">
        <v>1902</v>
      </c>
      <c r="D118" s="264"/>
      <c r="E118" s="264"/>
      <c r="F118" s="264"/>
      <c r="G118" s="264"/>
      <c r="H118" s="264"/>
      <c r="I118" s="264"/>
      <c r="J118" s="264"/>
      <c r="K118" s="264">
        <v>-70000</v>
      </c>
      <c r="L118" s="264">
        <v>-35000</v>
      </c>
      <c r="M118" s="264"/>
      <c r="N118" s="264">
        <v>-35000</v>
      </c>
      <c r="O118" s="264"/>
      <c r="P118" s="264">
        <v>-140000</v>
      </c>
      <c r="R118">
        <v>216</v>
      </c>
      <c r="S118" t="s">
        <v>645</v>
      </c>
      <c r="T118">
        <v>0</v>
      </c>
      <c r="U118" s="264">
        <v>-35000</v>
      </c>
      <c r="V118" s="264"/>
      <c r="W118" s="264"/>
      <c r="X118" s="264"/>
      <c r="Y118" s="264"/>
      <c r="Z118" s="264"/>
      <c r="AA118" s="264"/>
      <c r="AB118" s="264"/>
      <c r="AC118" s="264"/>
      <c r="AD118" s="264"/>
      <c r="AE118" s="264"/>
      <c r="AF118" s="264"/>
      <c r="AG118" s="264">
        <v>-35000</v>
      </c>
    </row>
    <row r="119" spans="3:33" x14ac:dyDescent="0.25">
      <c r="C119" t="s">
        <v>1501</v>
      </c>
      <c r="D119" s="264"/>
      <c r="E119" s="264"/>
      <c r="F119" s="264"/>
      <c r="G119" s="264"/>
      <c r="H119" s="264">
        <v>-200000</v>
      </c>
      <c r="I119" s="264"/>
      <c r="J119" s="264"/>
      <c r="K119" s="264"/>
      <c r="L119" s="264"/>
      <c r="M119" s="264"/>
      <c r="N119" s="264"/>
      <c r="O119" s="264"/>
      <c r="P119" s="264">
        <v>-200000</v>
      </c>
      <c r="T119" t="s">
        <v>802</v>
      </c>
      <c r="U119" s="264">
        <v>-52015</v>
      </c>
      <c r="V119" s="264"/>
      <c r="W119" s="264"/>
      <c r="X119" s="264"/>
      <c r="Y119" s="264"/>
      <c r="Z119" s="264"/>
      <c r="AA119" s="264"/>
      <c r="AB119" s="264"/>
      <c r="AC119" s="264"/>
      <c r="AD119" s="264"/>
      <c r="AE119" s="264"/>
      <c r="AF119" s="264"/>
      <c r="AG119" s="264">
        <v>-52015</v>
      </c>
    </row>
    <row r="120" spans="3:33" x14ac:dyDescent="0.25">
      <c r="C120" t="s">
        <v>1571</v>
      </c>
      <c r="D120" s="264"/>
      <c r="E120" s="264"/>
      <c r="F120" s="264"/>
      <c r="G120" s="264"/>
      <c r="H120" s="264"/>
      <c r="I120" s="264">
        <v>-15000</v>
      </c>
      <c r="J120" s="264"/>
      <c r="K120" s="264"/>
      <c r="L120" s="264"/>
      <c r="M120" s="264"/>
      <c r="N120" s="264"/>
      <c r="O120" s="264"/>
      <c r="P120" s="264">
        <v>-15000</v>
      </c>
      <c r="T120" t="s">
        <v>725</v>
      </c>
      <c r="U120" s="264">
        <v>-1943069</v>
      </c>
      <c r="V120" s="264"/>
      <c r="W120" s="264"/>
      <c r="X120" s="264"/>
      <c r="Y120" s="264"/>
      <c r="Z120" s="264"/>
      <c r="AA120" s="264"/>
      <c r="AB120" s="264"/>
      <c r="AC120" s="264"/>
      <c r="AD120" s="264"/>
      <c r="AE120" s="264"/>
      <c r="AF120" s="264"/>
      <c r="AG120" s="264">
        <v>-1943069</v>
      </c>
    </row>
    <row r="121" spans="3:33" x14ac:dyDescent="0.25">
      <c r="C121" t="s">
        <v>884</v>
      </c>
      <c r="D121" s="264"/>
      <c r="E121" s="264">
        <v>-15000</v>
      </c>
      <c r="F121" s="264"/>
      <c r="G121" s="264"/>
      <c r="H121" s="264"/>
      <c r="I121" s="264"/>
      <c r="J121" s="264"/>
      <c r="K121" s="264"/>
      <c r="L121" s="264"/>
      <c r="M121" s="264"/>
      <c r="N121" s="264"/>
      <c r="O121" s="264"/>
      <c r="P121" s="264">
        <v>-15000</v>
      </c>
      <c r="T121" t="s">
        <v>982</v>
      </c>
      <c r="U121" s="264"/>
      <c r="V121" s="464">
        <v>-12000</v>
      </c>
      <c r="W121" s="464">
        <v>-12000</v>
      </c>
      <c r="X121" s="464">
        <v>-12000</v>
      </c>
      <c r="Y121" s="464">
        <v>-12000</v>
      </c>
      <c r="Z121" s="464">
        <v>-12000</v>
      </c>
      <c r="AA121" s="264">
        <v>-12000</v>
      </c>
      <c r="AB121" s="264">
        <v>-15000</v>
      </c>
      <c r="AC121" s="264">
        <v>-15000</v>
      </c>
      <c r="AD121" s="264">
        <v>-15000</v>
      </c>
      <c r="AE121" s="264">
        <v>-15000</v>
      </c>
      <c r="AF121" s="264">
        <v>-12000</v>
      </c>
      <c r="AG121" s="464">
        <v>-144000</v>
      </c>
    </row>
    <row r="122" spans="3:33" x14ac:dyDescent="0.25">
      <c r="C122" t="s">
        <v>688</v>
      </c>
      <c r="D122" s="264">
        <v>-15000</v>
      </c>
      <c r="E122" s="264"/>
      <c r="F122" s="264">
        <v>-15000</v>
      </c>
      <c r="G122" s="264"/>
      <c r="H122" s="264">
        <v>-15000</v>
      </c>
      <c r="I122" s="264"/>
      <c r="J122" s="264">
        <v>-15000</v>
      </c>
      <c r="K122" s="264">
        <v>-15000</v>
      </c>
      <c r="L122" s="264">
        <v>-15000</v>
      </c>
      <c r="M122" s="264">
        <v>-15000</v>
      </c>
      <c r="N122" s="264">
        <v>-15000</v>
      </c>
      <c r="O122" s="264">
        <v>-15000</v>
      </c>
      <c r="P122" s="264">
        <v>-135000</v>
      </c>
      <c r="T122" t="s">
        <v>1054</v>
      </c>
      <c r="U122" s="264"/>
      <c r="V122" s="264"/>
      <c r="W122" s="464">
        <v>-30000</v>
      </c>
      <c r="X122" s="264"/>
      <c r="Y122" s="264"/>
      <c r="Z122" s="264"/>
      <c r="AA122" s="264"/>
      <c r="AB122" s="264"/>
      <c r="AC122" s="264"/>
      <c r="AD122" s="264"/>
      <c r="AE122" s="264"/>
      <c r="AF122" s="264"/>
      <c r="AG122" s="264">
        <v>-30000</v>
      </c>
    </row>
    <row r="123" spans="3:33" x14ac:dyDescent="0.25">
      <c r="C123" t="s">
        <v>1352</v>
      </c>
      <c r="D123" s="264"/>
      <c r="E123" s="264"/>
      <c r="F123" s="264"/>
      <c r="G123" s="264">
        <v>-20000</v>
      </c>
      <c r="H123" s="264">
        <v>-30000</v>
      </c>
      <c r="I123" s="264"/>
      <c r="J123" s="264"/>
      <c r="K123" s="264"/>
      <c r="L123" s="264"/>
      <c r="M123" s="264"/>
      <c r="N123" s="264"/>
      <c r="O123" s="264"/>
      <c r="P123" s="264">
        <v>-50000</v>
      </c>
      <c r="T123" t="s">
        <v>1029</v>
      </c>
      <c r="U123" s="264"/>
      <c r="V123" s="464">
        <v>-5000</v>
      </c>
      <c r="W123" s="464">
        <v>-5000</v>
      </c>
      <c r="X123" s="264"/>
      <c r="Y123" s="264"/>
      <c r="Z123" s="264"/>
      <c r="AA123" s="264"/>
      <c r="AB123" s="264"/>
      <c r="AC123" s="264"/>
      <c r="AD123" s="264"/>
      <c r="AE123" s="264"/>
      <c r="AF123" s="264"/>
      <c r="AG123" s="264">
        <v>-10000</v>
      </c>
    </row>
    <row r="124" spans="3:33" x14ac:dyDescent="0.25">
      <c r="C124" t="s">
        <v>1547</v>
      </c>
      <c r="D124" s="264"/>
      <c r="E124" s="264"/>
      <c r="F124" s="264"/>
      <c r="G124" s="264"/>
      <c r="H124" s="264">
        <v>-20000</v>
      </c>
      <c r="I124" s="264"/>
      <c r="J124" s="264"/>
      <c r="K124" s="264"/>
      <c r="L124" s="264"/>
      <c r="M124" s="264"/>
      <c r="N124" s="264"/>
      <c r="O124" s="264"/>
      <c r="P124" s="264">
        <v>-20000</v>
      </c>
      <c r="T124" t="s">
        <v>986</v>
      </c>
      <c r="U124" s="264"/>
      <c r="V124" s="464">
        <v>-42000</v>
      </c>
      <c r="W124" s="264"/>
      <c r="X124" s="264"/>
      <c r="Y124" s="264"/>
      <c r="Z124" s="264"/>
      <c r="AA124" s="264"/>
      <c r="AB124" s="264"/>
      <c r="AC124" s="264"/>
      <c r="AD124" s="264"/>
      <c r="AE124" s="264"/>
      <c r="AF124" s="264"/>
      <c r="AG124" s="264">
        <v>-42000</v>
      </c>
    </row>
    <row r="125" spans="3:33" x14ac:dyDescent="0.25">
      <c r="C125" t="s">
        <v>1413</v>
      </c>
      <c r="D125" s="264"/>
      <c r="E125" s="264"/>
      <c r="F125" s="264"/>
      <c r="G125" s="264">
        <v>-20020</v>
      </c>
      <c r="H125" s="264"/>
      <c r="I125" s="264"/>
      <c r="J125" s="264"/>
      <c r="K125" s="264"/>
      <c r="L125" s="264"/>
      <c r="M125" s="264"/>
      <c r="N125" s="264"/>
      <c r="O125" s="264"/>
      <c r="P125" s="264">
        <v>-20020</v>
      </c>
      <c r="T125" t="s">
        <v>1046</v>
      </c>
      <c r="U125" s="264"/>
      <c r="V125" s="264"/>
      <c r="W125" s="464">
        <v>-40000</v>
      </c>
      <c r="X125" s="464">
        <v>-20000</v>
      </c>
      <c r="Y125" s="464">
        <v>-20000</v>
      </c>
      <c r="Z125" s="464">
        <v>-20000</v>
      </c>
      <c r="AA125" s="264">
        <v>-20000</v>
      </c>
      <c r="AB125" s="264">
        <v>-20000</v>
      </c>
      <c r="AC125" s="264"/>
      <c r="AD125" s="264"/>
      <c r="AE125" s="264"/>
      <c r="AF125" s="264"/>
      <c r="AG125" s="264">
        <v>-140000</v>
      </c>
    </row>
    <row r="126" spans="3:33" x14ac:dyDescent="0.25">
      <c r="C126" t="s">
        <v>744</v>
      </c>
      <c r="D126" s="264">
        <v>-350000</v>
      </c>
      <c r="E126" s="264"/>
      <c r="F126" s="264"/>
      <c r="G126" s="264"/>
      <c r="H126" s="264"/>
      <c r="I126" s="264"/>
      <c r="J126" s="264"/>
      <c r="K126" s="264"/>
      <c r="L126" s="264"/>
      <c r="M126" s="264"/>
      <c r="N126" s="264"/>
      <c r="O126" s="264"/>
      <c r="P126" s="264">
        <v>-350000</v>
      </c>
      <c r="T126" t="s">
        <v>1081</v>
      </c>
      <c r="U126" s="264"/>
      <c r="V126" s="264"/>
      <c r="W126" s="464">
        <v>-5000</v>
      </c>
      <c r="X126" s="464">
        <v>-5000</v>
      </c>
      <c r="Y126" s="264"/>
      <c r="Z126" s="264"/>
      <c r="AA126" s="264"/>
      <c r="AB126" s="264"/>
      <c r="AC126" s="264"/>
      <c r="AD126" s="264"/>
      <c r="AE126" s="264"/>
      <c r="AF126" s="264"/>
      <c r="AG126" s="264">
        <v>-10000</v>
      </c>
    </row>
    <row r="127" spans="3:33" x14ac:dyDescent="0.25">
      <c r="C127" t="s">
        <v>2272</v>
      </c>
      <c r="D127" s="264"/>
      <c r="E127" s="264"/>
      <c r="F127" s="264"/>
      <c r="G127" s="264"/>
      <c r="H127" s="264"/>
      <c r="I127" s="264"/>
      <c r="J127" s="264"/>
      <c r="K127" s="264"/>
      <c r="L127" s="264"/>
      <c r="M127" s="264"/>
      <c r="N127" s="264">
        <v>-9816</v>
      </c>
      <c r="O127" s="264"/>
      <c r="P127" s="264">
        <v>-9816</v>
      </c>
      <c r="T127" t="s">
        <v>971</v>
      </c>
      <c r="U127" s="264"/>
      <c r="V127" s="464">
        <v>-30000</v>
      </c>
      <c r="W127" s="464">
        <v>-48000</v>
      </c>
      <c r="X127" s="464">
        <v>-20000</v>
      </c>
      <c r="Y127" s="464">
        <v>-44000</v>
      </c>
      <c r="Z127" s="264"/>
      <c r="AA127" s="264"/>
      <c r="AB127" s="264"/>
      <c r="AC127" s="264"/>
      <c r="AD127" s="264"/>
      <c r="AE127" s="264"/>
      <c r="AF127" s="264"/>
      <c r="AG127" s="264">
        <v>-142000</v>
      </c>
    </row>
    <row r="128" spans="3:33" x14ac:dyDescent="0.25">
      <c r="C128" t="s">
        <v>2461</v>
      </c>
      <c r="D128" s="264"/>
      <c r="E128" s="264"/>
      <c r="F128" s="264"/>
      <c r="G128" s="264"/>
      <c r="H128" s="264"/>
      <c r="I128" s="264"/>
      <c r="J128" s="264"/>
      <c r="K128" s="264"/>
      <c r="L128" s="264"/>
      <c r="M128" s="264"/>
      <c r="N128" s="264"/>
      <c r="O128" s="264">
        <v>-9824</v>
      </c>
      <c r="P128" s="264">
        <v>-9824</v>
      </c>
      <c r="T128" t="s">
        <v>1010</v>
      </c>
      <c r="U128" s="264"/>
      <c r="V128" s="464">
        <v>-3000</v>
      </c>
      <c r="W128" s="464">
        <v>-6000</v>
      </c>
      <c r="X128" s="464">
        <v>-7000</v>
      </c>
      <c r="Y128" s="464">
        <v>-7500</v>
      </c>
      <c r="Z128" s="464">
        <v>-8000</v>
      </c>
      <c r="AA128" s="264">
        <v>-5000</v>
      </c>
      <c r="AB128" s="264">
        <v>-5000</v>
      </c>
      <c r="AC128" s="264">
        <v>-5500</v>
      </c>
      <c r="AD128" s="264">
        <v>-5500</v>
      </c>
      <c r="AE128" s="264">
        <v>-6000</v>
      </c>
      <c r="AF128" s="264">
        <v>-6000</v>
      </c>
      <c r="AG128" s="264">
        <v>-64500</v>
      </c>
    </row>
    <row r="129" spans="3:33" x14ac:dyDescent="0.25">
      <c r="C129" t="s">
        <v>2261</v>
      </c>
      <c r="D129" s="264"/>
      <c r="E129" s="264"/>
      <c r="F129" s="264"/>
      <c r="G129" s="264"/>
      <c r="H129" s="264"/>
      <c r="I129" s="264"/>
      <c r="J129" s="264"/>
      <c r="K129" s="264"/>
      <c r="L129" s="264"/>
      <c r="M129" s="264"/>
      <c r="N129" s="264">
        <v>-14519</v>
      </c>
      <c r="O129" s="264"/>
      <c r="P129" s="264">
        <v>-14519</v>
      </c>
      <c r="T129" t="s">
        <v>1232</v>
      </c>
      <c r="U129" s="264">
        <v>-46000</v>
      </c>
      <c r="V129" s="264"/>
      <c r="W129" s="264"/>
      <c r="X129" s="264"/>
      <c r="Y129" s="264"/>
      <c r="Z129" s="264"/>
      <c r="AA129" s="264"/>
      <c r="AB129" s="264"/>
      <c r="AC129" s="264"/>
      <c r="AD129" s="264"/>
      <c r="AE129" s="264"/>
      <c r="AF129" s="264"/>
      <c r="AG129" s="264">
        <v>-46000</v>
      </c>
    </row>
    <row r="130" spans="3:33" x14ac:dyDescent="0.25">
      <c r="C130" t="s">
        <v>2292</v>
      </c>
      <c r="D130" s="264"/>
      <c r="E130" s="264"/>
      <c r="F130" s="264"/>
      <c r="G130" s="264"/>
      <c r="H130" s="264"/>
      <c r="I130" s="264"/>
      <c r="J130" s="264"/>
      <c r="K130" s="264"/>
      <c r="L130" s="264"/>
      <c r="M130" s="264"/>
      <c r="N130" s="264">
        <v>-29040</v>
      </c>
      <c r="O130" s="264"/>
      <c r="P130" s="264">
        <v>-29040</v>
      </c>
      <c r="T130" t="s">
        <v>1683</v>
      </c>
      <c r="U130" s="264"/>
      <c r="V130" s="264"/>
      <c r="W130" s="264"/>
      <c r="X130" s="464">
        <v>-30000</v>
      </c>
      <c r="Y130" s="464">
        <v>-100000</v>
      </c>
      <c r="Z130" s="264"/>
      <c r="AA130" s="264"/>
      <c r="AB130" s="264"/>
      <c r="AC130" s="264"/>
      <c r="AD130" s="264"/>
      <c r="AE130" s="264"/>
      <c r="AF130" s="264"/>
      <c r="AG130" s="264">
        <v>-130000</v>
      </c>
    </row>
    <row r="131" spans="3:33" x14ac:dyDescent="0.25">
      <c r="C131" t="s">
        <v>2239</v>
      </c>
      <c r="D131" s="264"/>
      <c r="E131" s="264"/>
      <c r="F131" s="264"/>
      <c r="G131" s="264"/>
      <c r="H131" s="264"/>
      <c r="I131" s="264"/>
      <c r="J131" s="264"/>
      <c r="K131" s="264"/>
      <c r="L131" s="264"/>
      <c r="M131" s="264"/>
      <c r="N131" s="264">
        <v>-49078</v>
      </c>
      <c r="O131" s="264"/>
      <c r="P131" s="264">
        <v>-49078</v>
      </c>
      <c r="T131" t="s">
        <v>1217</v>
      </c>
      <c r="U131" s="264"/>
      <c r="V131" s="264"/>
      <c r="W131" s="264"/>
      <c r="X131" s="464">
        <v>-46</v>
      </c>
      <c r="Y131" s="464">
        <v>-21</v>
      </c>
      <c r="Z131" s="264"/>
      <c r="AA131" s="264"/>
      <c r="AB131" s="264"/>
      <c r="AC131" s="264"/>
      <c r="AD131" s="264"/>
      <c r="AE131" s="264"/>
      <c r="AF131" s="264"/>
      <c r="AG131" s="264">
        <v>-67</v>
      </c>
    </row>
    <row r="132" spans="3:33" x14ac:dyDescent="0.25">
      <c r="C132" t="s">
        <v>2462</v>
      </c>
      <c r="D132" s="264"/>
      <c r="E132" s="264"/>
      <c r="F132" s="264"/>
      <c r="G132" s="264"/>
      <c r="H132" s="264"/>
      <c r="I132" s="264"/>
      <c r="J132" s="264"/>
      <c r="K132" s="264"/>
      <c r="L132" s="264"/>
      <c r="M132" s="264"/>
      <c r="N132" s="264"/>
      <c r="O132" s="264">
        <v>-49119</v>
      </c>
      <c r="P132" s="264">
        <v>-49119</v>
      </c>
      <c r="T132" t="s">
        <v>1694</v>
      </c>
      <c r="U132" s="264"/>
      <c r="V132" s="264"/>
      <c r="W132" s="264"/>
      <c r="X132" s="464">
        <v>-40000</v>
      </c>
      <c r="Y132" s="464">
        <v>-20000</v>
      </c>
      <c r="Z132" s="264"/>
      <c r="AA132" s="264"/>
      <c r="AB132" s="264"/>
      <c r="AC132" s="264"/>
      <c r="AD132" s="264"/>
      <c r="AE132" s="264"/>
      <c r="AF132" s="264"/>
      <c r="AG132" s="264">
        <v>-60000</v>
      </c>
    </row>
    <row r="133" spans="3:33" x14ac:dyDescent="0.25">
      <c r="C133" t="s">
        <v>1646</v>
      </c>
      <c r="D133" s="264"/>
      <c r="E133" s="264"/>
      <c r="F133" s="264"/>
      <c r="G133" s="264"/>
      <c r="H133" s="264"/>
      <c r="I133" s="264"/>
      <c r="J133" s="264">
        <v>-50000</v>
      </c>
      <c r="K133" s="264"/>
      <c r="L133" s="264"/>
      <c r="M133" s="264"/>
      <c r="N133" s="264"/>
      <c r="O133" s="264"/>
      <c r="P133" s="264">
        <v>-50000</v>
      </c>
      <c r="T133" t="s">
        <v>1704</v>
      </c>
      <c r="U133" s="264"/>
      <c r="V133" s="264"/>
      <c r="W133" s="264"/>
      <c r="X133" s="264">
        <v>-50000</v>
      </c>
      <c r="Y133" s="264"/>
      <c r="Z133" s="264"/>
      <c r="AA133" s="264"/>
      <c r="AB133" s="264"/>
      <c r="AC133" s="264"/>
      <c r="AD133" s="264"/>
      <c r="AE133" s="264"/>
      <c r="AF133" s="264"/>
      <c r="AG133" s="264">
        <v>-50000</v>
      </c>
    </row>
    <row r="134" spans="3:33" x14ac:dyDescent="0.25">
      <c r="C134" t="s">
        <v>1459</v>
      </c>
      <c r="D134" s="264"/>
      <c r="E134" s="264"/>
      <c r="F134" s="264"/>
      <c r="G134" s="264"/>
      <c r="H134" s="264">
        <v>-50000</v>
      </c>
      <c r="I134" s="264"/>
      <c r="J134" s="264"/>
      <c r="K134" s="264">
        <v>-50000</v>
      </c>
      <c r="L134" s="264">
        <v>-50000</v>
      </c>
      <c r="M134" s="264">
        <v>-95000</v>
      </c>
      <c r="N134" s="264">
        <v>-90000</v>
      </c>
      <c r="O134" s="264"/>
      <c r="P134" s="264">
        <v>-335000</v>
      </c>
      <c r="T134" t="s">
        <v>1718</v>
      </c>
      <c r="U134" s="264"/>
      <c r="V134" s="264"/>
      <c r="W134" s="264"/>
      <c r="X134" s="264"/>
      <c r="Y134" s="264">
        <v>-10000</v>
      </c>
      <c r="Z134" s="264"/>
      <c r="AA134" s="264"/>
      <c r="AB134" s="264"/>
      <c r="AC134" s="264"/>
      <c r="AD134" s="264"/>
      <c r="AE134" s="264"/>
      <c r="AF134" s="264"/>
      <c r="AG134" s="264">
        <v>-10000</v>
      </c>
    </row>
    <row r="135" spans="3:33" x14ac:dyDescent="0.25">
      <c r="C135" t="s">
        <v>2060</v>
      </c>
      <c r="D135" s="264"/>
      <c r="E135" s="264"/>
      <c r="F135" s="264"/>
      <c r="G135" s="264"/>
      <c r="H135" s="264"/>
      <c r="I135" s="264"/>
      <c r="J135" s="264"/>
      <c r="K135" s="264"/>
      <c r="L135" s="264">
        <v>-20000</v>
      </c>
      <c r="M135" s="264"/>
      <c r="N135" s="264"/>
      <c r="O135" s="264"/>
      <c r="P135" s="264">
        <v>-20000</v>
      </c>
      <c r="T135" t="s">
        <v>1727</v>
      </c>
      <c r="U135" s="264"/>
      <c r="V135" s="264"/>
      <c r="W135" s="264"/>
      <c r="X135" s="264"/>
      <c r="Y135" s="264">
        <v>-15000</v>
      </c>
      <c r="Z135" s="264"/>
      <c r="AA135" s="264"/>
      <c r="AB135" s="264"/>
      <c r="AC135" s="264"/>
      <c r="AD135" s="264"/>
      <c r="AE135" s="264"/>
      <c r="AF135" s="264"/>
      <c r="AG135" s="264">
        <v>-15000</v>
      </c>
    </row>
    <row r="136" spans="3:33" x14ac:dyDescent="0.25">
      <c r="C136" t="s">
        <v>2026</v>
      </c>
      <c r="D136" s="264"/>
      <c r="E136" s="264"/>
      <c r="F136" s="264"/>
      <c r="G136" s="264"/>
      <c r="H136" s="264"/>
      <c r="I136" s="264"/>
      <c r="J136" s="264"/>
      <c r="K136" s="264"/>
      <c r="L136" s="264">
        <v>-450000</v>
      </c>
      <c r="M136" s="264"/>
      <c r="N136" s="264"/>
      <c r="O136" s="264"/>
      <c r="P136" s="264">
        <v>-450000</v>
      </c>
      <c r="T136" t="s">
        <v>1728</v>
      </c>
      <c r="U136" s="264"/>
      <c r="V136" s="264"/>
      <c r="W136" s="264"/>
      <c r="X136" s="264"/>
      <c r="Y136" s="264">
        <v>-1</v>
      </c>
      <c r="Z136" s="264"/>
      <c r="AA136" s="264"/>
      <c r="AB136" s="264"/>
      <c r="AC136" s="264"/>
      <c r="AD136" s="264"/>
      <c r="AE136" s="264"/>
      <c r="AF136" s="264"/>
      <c r="AG136" s="264">
        <v>-1</v>
      </c>
    </row>
    <row r="137" spans="3:33" x14ac:dyDescent="0.25">
      <c r="C137" t="s">
        <v>2032</v>
      </c>
      <c r="D137" s="264"/>
      <c r="E137" s="264"/>
      <c r="F137" s="264"/>
      <c r="G137" s="264"/>
      <c r="H137" s="264"/>
      <c r="I137" s="264"/>
      <c r="J137" s="264"/>
      <c r="K137" s="264"/>
      <c r="L137" s="264">
        <v>-450000</v>
      </c>
      <c r="M137" s="264"/>
      <c r="N137" s="264"/>
      <c r="O137" s="264"/>
      <c r="P137" s="264">
        <v>-450000</v>
      </c>
      <c r="T137" t="s">
        <v>1736</v>
      </c>
      <c r="U137" s="264"/>
      <c r="V137" s="264"/>
      <c r="W137" s="264"/>
      <c r="X137" s="264"/>
      <c r="Y137" s="264">
        <v>-5000</v>
      </c>
      <c r="Z137" s="264">
        <v>-5000</v>
      </c>
      <c r="AA137" s="264"/>
      <c r="AB137" s="264"/>
      <c r="AC137" s="264"/>
      <c r="AD137" s="264"/>
      <c r="AE137" s="264"/>
      <c r="AF137" s="264"/>
      <c r="AG137" s="264">
        <v>-10000</v>
      </c>
    </row>
    <row r="138" spans="3:33" x14ac:dyDescent="0.25">
      <c r="C138" t="s">
        <v>2061</v>
      </c>
      <c r="D138" s="264"/>
      <c r="E138" s="264"/>
      <c r="F138" s="264"/>
      <c r="G138" s="264"/>
      <c r="H138" s="264"/>
      <c r="I138" s="264"/>
      <c r="J138" s="264"/>
      <c r="K138" s="264"/>
      <c r="L138" s="264">
        <v>-20000</v>
      </c>
      <c r="M138" s="264"/>
      <c r="N138" s="264"/>
      <c r="O138" s="264"/>
      <c r="P138" s="264">
        <v>-20000</v>
      </c>
      <c r="T138" t="s">
        <v>1861</v>
      </c>
      <c r="U138" s="264"/>
      <c r="V138" s="264"/>
      <c r="W138" s="264"/>
      <c r="X138" s="264"/>
      <c r="Y138" s="264"/>
      <c r="Z138" s="264"/>
      <c r="AA138" s="264">
        <v>-5000</v>
      </c>
      <c r="AB138" s="264">
        <v>-5000</v>
      </c>
      <c r="AC138" s="264">
        <v>-5000</v>
      </c>
      <c r="AD138" s="264">
        <v>-5000</v>
      </c>
      <c r="AE138" s="264">
        <v>-5000</v>
      </c>
      <c r="AF138" s="264">
        <v>-5000</v>
      </c>
      <c r="AG138" s="264">
        <v>-30000</v>
      </c>
    </row>
    <row r="139" spans="3:33" x14ac:dyDescent="0.25">
      <c r="C139" t="s">
        <v>1143</v>
      </c>
      <c r="D139" s="264"/>
      <c r="E139" s="264"/>
      <c r="F139" s="264">
        <v>-100000</v>
      </c>
      <c r="G139" s="264"/>
      <c r="H139" s="264"/>
      <c r="I139" s="264"/>
      <c r="J139" s="264"/>
      <c r="K139" s="264"/>
      <c r="L139" s="264"/>
      <c r="M139" s="264"/>
      <c r="N139" s="264"/>
      <c r="O139" s="264"/>
      <c r="P139" s="264">
        <v>-100000</v>
      </c>
      <c r="T139" t="s">
        <v>1864</v>
      </c>
      <c r="U139" s="264"/>
      <c r="V139" s="264"/>
      <c r="W139" s="264"/>
      <c r="X139" s="264"/>
      <c r="Y139" s="264"/>
      <c r="Z139" s="264"/>
      <c r="AA139" s="264">
        <v>-7000</v>
      </c>
      <c r="AB139" s="264"/>
      <c r="AC139" s="264"/>
      <c r="AD139" s="264"/>
      <c r="AE139" s="264"/>
      <c r="AF139" s="264"/>
      <c r="AG139" s="264">
        <v>-7000</v>
      </c>
    </row>
    <row r="140" spans="3:33" x14ac:dyDescent="0.25">
      <c r="C140" s="312" t="s">
        <v>2113</v>
      </c>
      <c r="D140" s="476"/>
      <c r="E140" s="476"/>
      <c r="F140" s="476"/>
      <c r="G140" s="476"/>
      <c r="H140" s="476"/>
      <c r="I140" s="476"/>
      <c r="J140" s="476"/>
      <c r="K140" s="476"/>
      <c r="L140" s="476">
        <v>-1000000</v>
      </c>
      <c r="M140" s="476"/>
      <c r="N140" s="476"/>
      <c r="O140" s="476"/>
      <c r="P140" s="476">
        <v>-1000000</v>
      </c>
      <c r="T140" t="s">
        <v>1992</v>
      </c>
      <c r="U140" s="264"/>
      <c r="V140" s="264"/>
      <c r="W140" s="264"/>
      <c r="X140" s="264"/>
      <c r="Y140" s="264"/>
      <c r="Z140" s="264"/>
      <c r="AA140" s="264"/>
      <c r="AB140" s="264">
        <v>-100000</v>
      </c>
      <c r="AC140" s="264">
        <v>-80000</v>
      </c>
      <c r="AD140" s="264"/>
      <c r="AE140" s="264"/>
      <c r="AF140" s="264"/>
      <c r="AG140" s="264">
        <v>-180000</v>
      </c>
    </row>
    <row r="141" spans="3:33" x14ac:dyDescent="0.25">
      <c r="C141" t="s">
        <v>1644</v>
      </c>
      <c r="D141" s="264"/>
      <c r="E141" s="264"/>
      <c r="F141" s="264"/>
      <c r="G141" s="264"/>
      <c r="H141" s="264"/>
      <c r="I141" s="264"/>
      <c r="J141" s="264">
        <v>-15000</v>
      </c>
      <c r="K141" s="264"/>
      <c r="L141" s="264"/>
      <c r="M141" s="264"/>
      <c r="N141" s="264"/>
      <c r="O141" s="264"/>
      <c r="P141" s="264">
        <v>-15000</v>
      </c>
      <c r="T141" t="s">
        <v>1998</v>
      </c>
      <c r="U141" s="264"/>
      <c r="V141" s="264"/>
      <c r="W141" s="264"/>
      <c r="X141" s="264"/>
      <c r="Y141" s="264"/>
      <c r="Z141" s="264"/>
      <c r="AA141" s="264"/>
      <c r="AB141" s="264">
        <v>-30000</v>
      </c>
      <c r="AC141" s="264">
        <v>-60000</v>
      </c>
      <c r="AD141" s="264">
        <v>-30000</v>
      </c>
      <c r="AE141" s="264"/>
      <c r="AF141" s="264"/>
      <c r="AG141" s="264">
        <v>-120000</v>
      </c>
    </row>
    <row r="142" spans="3:33" x14ac:dyDescent="0.25">
      <c r="C142" t="s">
        <v>2198</v>
      </c>
      <c r="D142" s="264"/>
      <c r="E142" s="264"/>
      <c r="F142" s="264"/>
      <c r="G142" s="264"/>
      <c r="H142" s="264"/>
      <c r="I142" s="264"/>
      <c r="J142" s="264"/>
      <c r="K142" s="264"/>
      <c r="L142" s="264"/>
      <c r="M142" s="264"/>
      <c r="N142" s="264">
        <v>-9816</v>
      </c>
      <c r="O142" s="264">
        <v>-9824</v>
      </c>
      <c r="P142" s="264">
        <v>-19640</v>
      </c>
      <c r="T142" t="s">
        <v>2007</v>
      </c>
      <c r="U142" s="264"/>
      <c r="V142" s="264"/>
      <c r="W142" s="264"/>
      <c r="X142" s="264"/>
      <c r="Y142" s="264"/>
      <c r="Z142" s="264"/>
      <c r="AA142" s="264"/>
      <c r="AB142" s="264">
        <v>-5000</v>
      </c>
      <c r="AC142" s="264"/>
      <c r="AD142" s="264"/>
      <c r="AE142" s="264"/>
      <c r="AF142" s="264"/>
      <c r="AG142" s="264">
        <v>-5000</v>
      </c>
    </row>
    <row r="143" spans="3:33" x14ac:dyDescent="0.25">
      <c r="C143" t="s">
        <v>1996</v>
      </c>
      <c r="D143" s="264"/>
      <c r="E143" s="264"/>
      <c r="F143" s="264"/>
      <c r="G143" s="264"/>
      <c r="H143" s="264"/>
      <c r="I143" s="264"/>
      <c r="J143" s="264"/>
      <c r="K143" s="264"/>
      <c r="L143" s="264">
        <v>-10000</v>
      </c>
      <c r="M143" s="264"/>
      <c r="N143" s="264"/>
      <c r="O143" s="264"/>
      <c r="P143" s="264">
        <v>-10000</v>
      </c>
      <c r="T143" t="s">
        <v>2087</v>
      </c>
      <c r="U143" s="264"/>
      <c r="V143" s="264"/>
      <c r="W143" s="264"/>
      <c r="X143" s="264"/>
      <c r="Y143" s="264"/>
      <c r="Z143" s="264"/>
      <c r="AA143" s="264"/>
      <c r="AB143" s="264"/>
      <c r="AC143" s="264">
        <v>-5000</v>
      </c>
      <c r="AD143" s="264"/>
      <c r="AE143" s="264"/>
      <c r="AF143" s="264"/>
      <c r="AG143" s="264">
        <v>-5000</v>
      </c>
    </row>
    <row r="144" spans="3:33" x14ac:dyDescent="0.25">
      <c r="C144" t="s">
        <v>2501</v>
      </c>
      <c r="D144" s="264"/>
      <c r="E144" s="264"/>
      <c r="F144" s="264"/>
      <c r="G144" s="264"/>
      <c r="H144" s="264"/>
      <c r="I144" s="264"/>
      <c r="J144" s="264"/>
      <c r="K144" s="264"/>
      <c r="L144" s="264"/>
      <c r="M144" s="264"/>
      <c r="N144" s="264"/>
      <c r="O144" s="264">
        <v>-100000</v>
      </c>
      <c r="P144" s="264">
        <v>-100000</v>
      </c>
      <c r="T144" t="s">
        <v>2565</v>
      </c>
      <c r="U144" s="264"/>
      <c r="V144" s="264"/>
      <c r="W144" s="264"/>
      <c r="X144" s="264"/>
      <c r="Y144" s="264"/>
      <c r="Z144" s="264"/>
      <c r="AA144" s="264"/>
      <c r="AB144" s="264"/>
      <c r="AC144" s="264"/>
      <c r="AD144" s="264"/>
      <c r="AE144" s="264"/>
      <c r="AF144" s="264">
        <v>3280652</v>
      </c>
      <c r="AG144" s="264">
        <v>3280652</v>
      </c>
    </row>
    <row r="145" spans="3:33" x14ac:dyDescent="0.25">
      <c r="C145" t="s">
        <v>1923</v>
      </c>
      <c r="D145" s="264"/>
      <c r="E145" s="264"/>
      <c r="F145" s="264"/>
      <c r="G145" s="264"/>
      <c r="H145" s="264"/>
      <c r="I145" s="264"/>
      <c r="J145" s="264"/>
      <c r="K145" s="264">
        <v>-35000</v>
      </c>
      <c r="L145" s="264"/>
      <c r="M145" s="264"/>
      <c r="N145" s="264"/>
      <c r="O145" s="264"/>
      <c r="P145" s="264">
        <v>-35000</v>
      </c>
      <c r="R145" t="s">
        <v>1277</v>
      </c>
      <c r="U145" s="264">
        <v>-2076084</v>
      </c>
      <c r="V145" s="264">
        <v>-92000</v>
      </c>
      <c r="W145" s="264">
        <v>-146000</v>
      </c>
      <c r="X145" s="264">
        <v>-184046</v>
      </c>
      <c r="Y145" s="264">
        <v>-233522</v>
      </c>
      <c r="Z145" s="264">
        <v>-45000</v>
      </c>
      <c r="AA145" s="264">
        <v>-49000</v>
      </c>
      <c r="AB145" s="264">
        <v>-180000</v>
      </c>
      <c r="AC145" s="464">
        <v>-170500</v>
      </c>
      <c r="AD145" s="264">
        <v>-55500</v>
      </c>
      <c r="AE145" s="264">
        <v>-26000</v>
      </c>
      <c r="AF145" s="264">
        <v>3257652</v>
      </c>
      <c r="AG145" s="464">
        <v>0</v>
      </c>
    </row>
    <row r="146" spans="3:33" x14ac:dyDescent="0.25">
      <c r="C146" t="s">
        <v>1087</v>
      </c>
      <c r="D146" s="264"/>
      <c r="E146" s="264"/>
      <c r="F146" s="264">
        <v>50000</v>
      </c>
      <c r="G146" s="264"/>
      <c r="H146" s="264"/>
      <c r="I146" s="264"/>
      <c r="J146" s="264"/>
      <c r="K146" s="264"/>
      <c r="L146" s="264"/>
      <c r="M146" s="264"/>
      <c r="N146" s="264"/>
      <c r="O146" s="264"/>
      <c r="P146" s="264">
        <v>50000</v>
      </c>
      <c r="R146">
        <v>217</v>
      </c>
      <c r="S146" t="s">
        <v>646</v>
      </c>
      <c r="T146" t="s">
        <v>725</v>
      </c>
      <c r="U146" s="464">
        <v>-595000</v>
      </c>
      <c r="V146" s="264"/>
      <c r="W146" s="264"/>
      <c r="X146" s="264"/>
      <c r="Y146" s="264"/>
      <c r="Z146" s="264"/>
      <c r="AA146" s="264"/>
      <c r="AB146" s="264"/>
      <c r="AC146" s="264"/>
      <c r="AD146" s="264"/>
      <c r="AE146" s="264"/>
      <c r="AF146" s="264"/>
      <c r="AG146" s="264">
        <v>-595000</v>
      </c>
    </row>
    <row r="147" spans="3:33" x14ac:dyDescent="0.25">
      <c r="C147" t="s">
        <v>2217</v>
      </c>
      <c r="D147" s="264"/>
      <c r="E147" s="264"/>
      <c r="F147" s="264"/>
      <c r="G147" s="264"/>
      <c r="H147" s="264"/>
      <c r="I147" s="264"/>
      <c r="J147" s="264"/>
      <c r="K147" s="264"/>
      <c r="L147" s="264"/>
      <c r="M147" s="264"/>
      <c r="N147" s="264">
        <v>-60000</v>
      </c>
      <c r="O147" s="264">
        <v>-60000</v>
      </c>
      <c r="P147" s="264">
        <v>-120000</v>
      </c>
      <c r="T147" t="s">
        <v>1686</v>
      </c>
      <c r="U147" s="264"/>
      <c r="V147" s="264"/>
      <c r="W147" s="264"/>
      <c r="X147" s="264">
        <v>-20000</v>
      </c>
      <c r="Y147" s="264"/>
      <c r="Z147" s="264">
        <v>-20000</v>
      </c>
      <c r="AA147" s="264"/>
      <c r="AB147" s="264"/>
      <c r="AC147" s="264"/>
      <c r="AD147" s="264"/>
      <c r="AE147" s="264"/>
      <c r="AF147" s="264"/>
      <c r="AG147" s="264">
        <v>-40000</v>
      </c>
    </row>
    <row r="148" spans="3:33" x14ac:dyDescent="0.25">
      <c r="C148" t="s">
        <v>2260</v>
      </c>
      <c r="D148" s="264"/>
      <c r="E148" s="264"/>
      <c r="F148" s="264"/>
      <c r="G148" s="264"/>
      <c r="H148" s="264"/>
      <c r="I148" s="264"/>
      <c r="J148" s="264"/>
      <c r="K148" s="264"/>
      <c r="L148" s="264"/>
      <c r="M148" s="264"/>
      <c r="N148" s="264">
        <v>-9816</v>
      </c>
      <c r="O148" s="264"/>
      <c r="P148" s="264">
        <v>-9816</v>
      </c>
      <c r="T148" t="s">
        <v>1717</v>
      </c>
      <c r="U148" s="264"/>
      <c r="V148" s="264"/>
      <c r="W148" s="264"/>
      <c r="X148" s="264"/>
      <c r="Y148" s="264">
        <v>-20000</v>
      </c>
      <c r="Z148" s="264"/>
      <c r="AA148" s="264"/>
      <c r="AB148" s="264"/>
      <c r="AC148" s="264"/>
      <c r="AD148" s="264"/>
      <c r="AE148" s="264"/>
      <c r="AF148" s="264"/>
      <c r="AG148" s="264">
        <v>-20000</v>
      </c>
    </row>
    <row r="149" spans="3:33" x14ac:dyDescent="0.25">
      <c r="C149" t="s">
        <v>2459</v>
      </c>
      <c r="D149" s="264"/>
      <c r="E149" s="264"/>
      <c r="F149" s="264"/>
      <c r="G149" s="264"/>
      <c r="H149" s="264"/>
      <c r="I149" s="264"/>
      <c r="J149" s="264"/>
      <c r="K149" s="264"/>
      <c r="L149" s="264"/>
      <c r="M149" s="264"/>
      <c r="N149" s="264"/>
      <c r="O149" s="264">
        <v>-9824</v>
      </c>
      <c r="P149" s="264">
        <v>-9824</v>
      </c>
      <c r="T149" t="s">
        <v>1737</v>
      </c>
      <c r="U149" s="264"/>
      <c r="V149" s="264"/>
      <c r="W149" s="264"/>
      <c r="X149" s="264"/>
      <c r="Y149" s="264">
        <v>-50000</v>
      </c>
      <c r="Z149" s="264"/>
      <c r="AA149" s="264"/>
      <c r="AB149" s="264"/>
      <c r="AC149" s="264"/>
      <c r="AD149" s="264"/>
      <c r="AE149" s="264"/>
      <c r="AF149" s="264"/>
      <c r="AG149" s="264">
        <v>-50000</v>
      </c>
    </row>
    <row r="150" spans="3:33" x14ac:dyDescent="0.25">
      <c r="C150" t="s">
        <v>1210</v>
      </c>
      <c r="D150" s="264"/>
      <c r="E150" s="264"/>
      <c r="F150" s="264">
        <v>-250000</v>
      </c>
      <c r="G150" s="264"/>
      <c r="H150" s="264">
        <v>-250000</v>
      </c>
      <c r="I150" s="264"/>
      <c r="J150" s="264"/>
      <c r="K150" s="264"/>
      <c r="L150" s="264"/>
      <c r="M150" s="264"/>
      <c r="N150" s="264"/>
      <c r="O150" s="264"/>
      <c r="P150" s="264">
        <v>-500000</v>
      </c>
      <c r="T150" t="s">
        <v>1773</v>
      </c>
      <c r="U150" s="264"/>
      <c r="V150" s="264"/>
      <c r="W150" s="264"/>
      <c r="X150" s="264"/>
      <c r="Y150" s="264"/>
      <c r="Z150" s="264">
        <v>-20000</v>
      </c>
      <c r="AA150" s="264"/>
      <c r="AB150" s="264"/>
      <c r="AC150" s="264"/>
      <c r="AD150" s="264"/>
      <c r="AE150" s="264"/>
      <c r="AF150" s="264"/>
      <c r="AG150" s="264">
        <v>-20000</v>
      </c>
    </row>
    <row r="151" spans="3:33" x14ac:dyDescent="0.25">
      <c r="C151" t="s">
        <v>1404</v>
      </c>
      <c r="D151" s="264"/>
      <c r="E151" s="264"/>
      <c r="F151" s="264"/>
      <c r="G151" s="264">
        <v>-15000</v>
      </c>
      <c r="H151" s="264"/>
      <c r="I151" s="264"/>
      <c r="J151" s="264"/>
      <c r="K151" s="264"/>
      <c r="L151" s="264"/>
      <c r="M151" s="264"/>
      <c r="N151" s="264"/>
      <c r="O151" s="264"/>
      <c r="P151" s="264">
        <v>-15000</v>
      </c>
      <c r="T151" t="s">
        <v>1777</v>
      </c>
      <c r="U151" s="264"/>
      <c r="V151" s="264"/>
      <c r="W151" s="264"/>
      <c r="X151" s="264"/>
      <c r="Y151" s="264"/>
      <c r="Z151" s="264">
        <v>-20000</v>
      </c>
      <c r="AA151" s="264"/>
      <c r="AB151" s="264"/>
      <c r="AC151" s="264"/>
      <c r="AD151" s="264"/>
      <c r="AE151" s="264"/>
      <c r="AF151" s="264"/>
      <c r="AG151" s="264">
        <v>-20000</v>
      </c>
    </row>
    <row r="152" spans="3:33" x14ac:dyDescent="0.25">
      <c r="C152" t="s">
        <v>941</v>
      </c>
      <c r="D152" s="264"/>
      <c r="E152" s="264">
        <v>-15000</v>
      </c>
      <c r="F152" s="264"/>
      <c r="G152" s="264"/>
      <c r="H152" s="264"/>
      <c r="I152" s="264"/>
      <c r="J152" s="264"/>
      <c r="K152" s="264"/>
      <c r="L152" s="264"/>
      <c r="M152" s="264"/>
      <c r="N152" s="264"/>
      <c r="O152" s="264"/>
      <c r="P152" s="264">
        <v>-15000</v>
      </c>
      <c r="T152" t="s">
        <v>1855</v>
      </c>
      <c r="U152" s="264"/>
      <c r="V152" s="264"/>
      <c r="W152" s="264"/>
      <c r="X152" s="264"/>
      <c r="Y152" s="264"/>
      <c r="Z152" s="264"/>
      <c r="AA152" s="264">
        <v>-20000</v>
      </c>
      <c r="AB152" s="264"/>
      <c r="AC152" s="264"/>
      <c r="AD152" s="264"/>
      <c r="AE152" s="264"/>
      <c r="AF152" s="264"/>
      <c r="AG152" s="264">
        <v>-20000</v>
      </c>
    </row>
    <row r="153" spans="3:33" x14ac:dyDescent="0.25">
      <c r="C153" t="s">
        <v>2220</v>
      </c>
      <c r="D153" s="264"/>
      <c r="E153" s="264"/>
      <c r="F153" s="264"/>
      <c r="G153" s="264"/>
      <c r="H153" s="264"/>
      <c r="I153" s="264"/>
      <c r="J153" s="264"/>
      <c r="K153" s="264"/>
      <c r="L153" s="264"/>
      <c r="M153" s="264"/>
      <c r="N153" s="264">
        <v>-60000</v>
      </c>
      <c r="O153" s="264"/>
      <c r="P153" s="264">
        <v>-60000</v>
      </c>
      <c r="T153" t="s">
        <v>2565</v>
      </c>
      <c r="U153" s="264"/>
      <c r="V153" s="264"/>
      <c r="W153" s="264"/>
      <c r="X153" s="264"/>
      <c r="Y153" s="264"/>
      <c r="Z153" s="264"/>
      <c r="AA153" s="264"/>
      <c r="AB153" s="264"/>
      <c r="AC153" s="264"/>
      <c r="AD153" s="264"/>
      <c r="AE153" s="264"/>
      <c r="AF153" s="264">
        <v>765000</v>
      </c>
      <c r="AG153" s="264">
        <v>765000</v>
      </c>
    </row>
    <row r="154" spans="3:33" x14ac:dyDescent="0.25">
      <c r="C154" t="s">
        <v>407</v>
      </c>
      <c r="D154" s="264">
        <v>326103</v>
      </c>
      <c r="E154" s="264">
        <v>28192</v>
      </c>
      <c r="F154" s="264">
        <v>51262</v>
      </c>
      <c r="G154" s="264"/>
      <c r="H154" s="264"/>
      <c r="I154" s="264"/>
      <c r="J154" s="264"/>
      <c r="K154" s="264"/>
      <c r="L154" s="264"/>
      <c r="M154" s="264"/>
      <c r="N154" s="264"/>
      <c r="O154" s="264"/>
      <c r="P154" s="264">
        <v>405557</v>
      </c>
      <c r="R154" t="s">
        <v>1278</v>
      </c>
      <c r="U154" s="380">
        <v>-595000</v>
      </c>
      <c r="V154" s="380"/>
      <c r="W154" s="380"/>
      <c r="X154" s="380">
        <v>-20000</v>
      </c>
      <c r="Y154" s="380">
        <v>-70000</v>
      </c>
      <c r="Z154" s="380">
        <v>-60000</v>
      </c>
      <c r="AA154" s="380">
        <v>-20000</v>
      </c>
      <c r="AB154" s="380"/>
      <c r="AC154" s="380"/>
      <c r="AD154" s="380"/>
      <c r="AE154" s="380"/>
      <c r="AF154" s="380">
        <v>765000</v>
      </c>
      <c r="AG154" s="264">
        <v>0</v>
      </c>
    </row>
    <row r="155" spans="3:33" x14ac:dyDescent="0.25">
      <c r="C155" t="s">
        <v>1466</v>
      </c>
      <c r="D155" s="264"/>
      <c r="E155" s="264"/>
      <c r="F155" s="264"/>
      <c r="G155" s="264"/>
      <c r="H155" s="264">
        <v>72321</v>
      </c>
      <c r="I155" s="264"/>
      <c r="J155" s="264"/>
      <c r="K155" s="264"/>
      <c r="L155" s="264"/>
      <c r="M155" s="264"/>
      <c r="N155" s="264"/>
      <c r="O155" s="264"/>
      <c r="P155" s="264">
        <v>72321</v>
      </c>
      <c r="R155" t="s">
        <v>409</v>
      </c>
      <c r="U155" s="264">
        <v>117303473</v>
      </c>
      <c r="V155" s="264">
        <v>2504808</v>
      </c>
      <c r="W155" s="264">
        <v>467738</v>
      </c>
      <c r="X155" s="264">
        <v>4238939</v>
      </c>
      <c r="Y155" s="264">
        <v>792157</v>
      </c>
      <c r="Z155" s="264">
        <v>369852</v>
      </c>
      <c r="AA155" s="264">
        <v>1465404</v>
      </c>
      <c r="AB155" s="264">
        <v>4934110</v>
      </c>
      <c r="AC155" s="264">
        <v>2141147</v>
      </c>
      <c r="AD155" s="264">
        <v>226709</v>
      </c>
      <c r="AE155" s="264">
        <v>464325</v>
      </c>
      <c r="AF155" s="264">
        <v>3528532</v>
      </c>
      <c r="AG155" s="476">
        <v>138437194</v>
      </c>
    </row>
    <row r="156" spans="3:33" x14ac:dyDescent="0.25">
      <c r="C156" t="s">
        <v>765</v>
      </c>
      <c r="D156" s="264">
        <v>-118015</v>
      </c>
      <c r="E156" s="264"/>
      <c r="F156" s="264"/>
      <c r="G156" s="264"/>
      <c r="H156" s="264"/>
      <c r="I156" s="264"/>
      <c r="J156" s="264"/>
      <c r="K156" s="264"/>
      <c r="L156" s="264"/>
      <c r="M156" s="264"/>
      <c r="N156" s="264"/>
      <c r="O156" s="264"/>
      <c r="P156" s="264">
        <v>-118015</v>
      </c>
    </row>
    <row r="157" spans="3:33" x14ac:dyDescent="0.25">
      <c r="C157" t="s">
        <v>1397</v>
      </c>
      <c r="D157" s="264"/>
      <c r="E157" s="264"/>
      <c r="F157" s="264"/>
      <c r="G157" s="264">
        <v>-4000000</v>
      </c>
      <c r="H157" s="264"/>
      <c r="I157" s="264"/>
      <c r="J157" s="264"/>
      <c r="K157" s="264">
        <v>-3000000</v>
      </c>
      <c r="L157" s="264"/>
      <c r="M157" s="264"/>
      <c r="N157" s="264"/>
      <c r="O157" s="264"/>
      <c r="P157" s="264">
        <v>-7000000</v>
      </c>
    </row>
    <row r="158" spans="3:33" x14ac:dyDescent="0.25">
      <c r="C158" t="s">
        <v>734</v>
      </c>
      <c r="D158" s="264">
        <v>-8000000</v>
      </c>
      <c r="E158" s="264"/>
      <c r="F158" s="264"/>
      <c r="G158" s="264"/>
      <c r="H158" s="264"/>
      <c r="I158" s="264"/>
      <c r="J158" s="264"/>
      <c r="K158" s="264"/>
      <c r="L158" s="264"/>
      <c r="M158" s="264"/>
      <c r="N158" s="264"/>
      <c r="O158" s="264"/>
      <c r="P158" s="264">
        <v>-8000000</v>
      </c>
    </row>
    <row r="159" spans="3:33" x14ac:dyDescent="0.25">
      <c r="C159" t="s">
        <v>675</v>
      </c>
      <c r="D159" s="264">
        <v>-30000</v>
      </c>
      <c r="E159" s="264"/>
      <c r="F159" s="264">
        <v>-120000</v>
      </c>
      <c r="G159" s="264"/>
      <c r="H159" s="264">
        <v>-30000</v>
      </c>
      <c r="I159" s="264">
        <v>-30000</v>
      </c>
      <c r="J159" s="264">
        <v>-30000</v>
      </c>
      <c r="K159" s="264">
        <v>-30000</v>
      </c>
      <c r="L159" s="264">
        <v>-30000</v>
      </c>
      <c r="M159" s="264">
        <v>-30000</v>
      </c>
      <c r="N159" s="264">
        <v>-30000</v>
      </c>
      <c r="O159" s="264">
        <v>-30000</v>
      </c>
      <c r="P159" s="264">
        <v>-390000</v>
      </c>
    </row>
    <row r="160" spans="3:33" x14ac:dyDescent="0.25">
      <c r="C160" t="s">
        <v>1366</v>
      </c>
      <c r="D160" s="264"/>
      <c r="E160" s="264"/>
      <c r="F160" s="264"/>
      <c r="G160" s="264">
        <v>-30000</v>
      </c>
      <c r="H160" s="264"/>
      <c r="I160" s="264"/>
      <c r="J160" s="264"/>
      <c r="K160" s="264"/>
      <c r="L160" s="264"/>
      <c r="M160" s="264"/>
      <c r="N160" s="264"/>
      <c r="O160" s="264"/>
      <c r="P160" s="264">
        <v>-30000</v>
      </c>
    </row>
    <row r="161" spans="1:16" x14ac:dyDescent="0.25">
      <c r="C161" t="s">
        <v>1232</v>
      </c>
      <c r="D161" s="264"/>
      <c r="E161" s="264"/>
      <c r="F161" s="264"/>
      <c r="G161" s="264"/>
      <c r="H161" s="264"/>
      <c r="I161" s="264"/>
      <c r="J161" s="264"/>
      <c r="K161" s="264"/>
      <c r="L161" s="264"/>
      <c r="M161" s="264"/>
      <c r="N161" s="264"/>
      <c r="O161" s="264">
        <v>3996652</v>
      </c>
      <c r="P161" s="264">
        <v>3996652</v>
      </c>
    </row>
    <row r="162" spans="1:16" x14ac:dyDescent="0.25">
      <c r="B162" t="s">
        <v>1279</v>
      </c>
      <c r="D162" s="264">
        <v>-119974557</v>
      </c>
      <c r="E162" s="264">
        <v>-2596808</v>
      </c>
      <c r="F162" s="264">
        <v>-613738</v>
      </c>
      <c r="G162" s="264">
        <v>-4442985</v>
      </c>
      <c r="H162" s="264">
        <v>-1095679</v>
      </c>
      <c r="I162" s="264">
        <v>-474852</v>
      </c>
      <c r="J162" s="264">
        <v>-1534404</v>
      </c>
      <c r="K162" s="264">
        <v>-5114110</v>
      </c>
      <c r="L162" s="264">
        <v>-2311647</v>
      </c>
      <c r="M162" s="264">
        <v>-282209</v>
      </c>
      <c r="N162" s="264">
        <v>-464325</v>
      </c>
      <c r="O162" s="264">
        <v>468120</v>
      </c>
      <c r="P162" s="264">
        <v>-138437194</v>
      </c>
    </row>
    <row r="163" spans="1:16" x14ac:dyDescent="0.25">
      <c r="A163" t="s">
        <v>409</v>
      </c>
      <c r="D163" s="264">
        <v>-117303473</v>
      </c>
      <c r="E163" s="264">
        <v>-2504808</v>
      </c>
      <c r="F163" s="464">
        <v>-467738</v>
      </c>
      <c r="G163" s="264">
        <v>-4238939</v>
      </c>
      <c r="H163" s="264">
        <v>-792157</v>
      </c>
      <c r="I163" s="264">
        <v>-369852</v>
      </c>
      <c r="J163" s="264">
        <v>-1465404</v>
      </c>
      <c r="K163" s="264">
        <v>-4934110</v>
      </c>
      <c r="L163" s="264">
        <v>-2141147</v>
      </c>
      <c r="M163" s="264">
        <v>-226709</v>
      </c>
      <c r="N163" s="264">
        <v>-464325</v>
      </c>
      <c r="O163" s="264">
        <v>-3528532</v>
      </c>
      <c r="P163" s="476">
        <v>-138437194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38</vt:i4>
      </vt:variant>
      <vt:variant>
        <vt:lpstr>Rangos con nombre</vt:lpstr>
      </vt:variant>
      <vt:variant>
        <vt:i4>8</vt:i4>
      </vt:variant>
    </vt:vector>
  </HeadingPairs>
  <TitlesOfParts>
    <vt:vector size="46" baseType="lpstr">
      <vt:lpstr>Resultado Admin.</vt:lpstr>
      <vt:lpstr>Balance mensual administracion</vt:lpstr>
      <vt:lpstr>Blce Admin mensual</vt:lpstr>
      <vt:lpstr>Conciliación Adm.</vt:lpstr>
      <vt:lpstr>Diario Adm</vt:lpstr>
      <vt:lpstr>Modelo Centralización</vt:lpstr>
      <vt:lpstr>Honorarios2021</vt:lpstr>
      <vt:lpstr>Honorarios Terceros</vt:lpstr>
      <vt:lpstr>Relac.Adm</vt:lpstr>
      <vt:lpstr>Relac.Cali</vt:lpstr>
      <vt:lpstr>TD Cali (2)</vt:lpstr>
      <vt:lpstr>Bce Tributario</vt:lpstr>
      <vt:lpstr>Control EP</vt:lpstr>
      <vt:lpstr>224</vt:lpstr>
      <vt:lpstr>TD Adm</vt:lpstr>
      <vt:lpstr>Hoja6</vt:lpstr>
      <vt:lpstr>TD Cali</vt:lpstr>
      <vt:lpstr>Plan</vt:lpstr>
      <vt:lpstr>Libro De Compras 2021</vt:lpstr>
      <vt:lpstr>Proveedores</vt:lpstr>
      <vt:lpstr>Diario Cali</vt:lpstr>
      <vt:lpstr>Conciliación Chile Cali</vt:lpstr>
      <vt:lpstr>Conciliación Security Cali</vt:lpstr>
      <vt:lpstr>Conciliación Santander Cali</vt:lpstr>
      <vt:lpstr>Resultado Cali</vt:lpstr>
      <vt:lpstr>Balance mensual CALI</vt:lpstr>
      <vt:lpstr>Blce CALI mensual</vt:lpstr>
      <vt:lpstr>Modelos</vt:lpstr>
      <vt:lpstr>3ros</vt:lpstr>
      <vt:lpstr>Anticipo y Retenciones</vt:lpstr>
      <vt:lpstr>Resultado Consolidado</vt:lpstr>
      <vt:lpstr>Blce Consolidado</vt:lpstr>
      <vt:lpstr>Analisis Adm.</vt:lpstr>
      <vt:lpstr>Analisis Cali</vt:lpstr>
      <vt:lpstr>Analisis Consolidado</vt:lpstr>
      <vt:lpstr>Costos Activados</vt:lpstr>
      <vt:lpstr>Inversiones</vt:lpstr>
      <vt:lpstr>Pablo Cerda</vt:lpstr>
      <vt:lpstr>'Analisis Adm.'!Área_de_impresión</vt:lpstr>
      <vt:lpstr>'Balance mensual administracion'!Área_de_impresión</vt:lpstr>
      <vt:lpstr>'Balance mensual CALI'!Área_de_impresión</vt:lpstr>
      <vt:lpstr>Plan!Área_de_impresión</vt:lpstr>
      <vt:lpstr>'Resultado Admin.'!Área_de_impresión</vt:lpstr>
      <vt:lpstr>'Resultado Cali'!Área_de_impresión</vt:lpstr>
      <vt:lpstr>'Bce Tributario'!Títulos_a_imprimir</vt:lpstr>
      <vt:lpstr>'Resultado Admin.'!Títulos_a_imprimir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JosÚ Pablo</dc:creator>
  <cp:lastModifiedBy>Rafael Valdés</cp:lastModifiedBy>
  <cp:lastPrinted>2019-09-21T12:38:48Z</cp:lastPrinted>
  <dcterms:created xsi:type="dcterms:W3CDTF">2007-01-15T22:59:27Z</dcterms:created>
  <dcterms:modified xsi:type="dcterms:W3CDTF">2022-09-01T15:19:56Z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